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13.xml" ContentType="application/vnd.openxmlformats-officedocument.spreadsheetml.worksheet+xml"/>
  <Override PartName="/xl/externalLinks/externalLink9.xml" ContentType="application/vnd.openxmlformats-officedocument.spreadsheetml.externalLink+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externalLinks/externalLink27.xml" ContentType="application/vnd.openxmlformats-officedocument.spreadsheetml.externalLink+xml"/>
  <Override PartName="/xl/drawings/drawing17.xml" ContentType="application/vnd.openxmlformats-officedocument.drawing+xml"/>
  <Override PartName="/xl/drawings/drawing28.xml" ContentType="application/vnd.openxmlformats-officedocument.drawing+xml"/>
  <Default Extension="xml" ContentType="application/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drawings/drawing2.xml" ContentType="application/vnd.openxmlformats-officedocument.drawing+xml"/>
  <Override PartName="/xl/drawings/drawing35.xml" ContentType="application/vnd.openxmlformats-officedocument.drawing+xml"/>
  <Override PartName="/xl/worksheets/sheet3.xml" ContentType="application/vnd.openxmlformats-officedocument.spreadsheetml.worksheet+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23.xml" ContentType="application/vnd.openxmlformats-officedocument.spreadsheetml.externalLink+xml"/>
  <Override PartName="/xl/drawings/drawing13.xml" ContentType="application/vnd.openxmlformats-officedocument.drawing+xml"/>
  <Override PartName="/xl/drawings/drawing22.xml" ContentType="application/vnd.openxmlformats-officedocument.drawing+xml"/>
  <Override PartName="/xl/drawings/drawing24.xml" ContentType="application/vnd.openxmlformats-officedocument.drawing+xml"/>
  <Override PartName="/xl/drawings/drawing33.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externalLinks/externalLink21.xml" ContentType="application/vnd.openxmlformats-officedocument.spreadsheetml.externalLink+xml"/>
  <Override PartName="/xl/externalLinks/externalLink30.xml" ContentType="application/vnd.openxmlformats-officedocument.spreadsheetml.externalLink+xml"/>
  <Override PartName="/xl/drawings/drawing11.xml" ContentType="application/vnd.openxmlformats-officedocument.drawing+xml"/>
  <Override PartName="/xl/drawings/drawing20.xml" ContentType="application/vnd.openxmlformats-officedocument.drawing+xml"/>
  <Override PartName="/xl/drawings/drawing31.xml" ContentType="application/vnd.openxmlformats-officedocument.drawing+xml"/>
  <Override PartName="/xl/worksheets/sheet29.xml" ContentType="application/vnd.openxmlformats-officedocument.spreadsheetml.worksheet+xml"/>
  <Override PartName="/xl/worksheets/sheet38.xml" ContentType="application/vnd.openxmlformats-officedocument.spreadsheetml.worksheet+xml"/>
  <Override PartName="/xl/externalLinks/externalLink10.xml" ContentType="application/vnd.openxmlformats-officedocument.spreadsheetml.externalLink+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drawings/drawing7.xml" ContentType="application/vnd.openxmlformats-officedocument.drawing+xml"/>
  <Override PartName="/xl/drawings/drawing29.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drawings/drawing5.xml" ContentType="application/vnd.openxmlformats-officedocument.drawing+xml"/>
  <Default Extension="emf" ContentType="image/x-emf"/>
  <Default Extension="jpeg" ContentType="image/jpeg"/>
  <Override PartName="/xl/drawings/drawing18.xml" ContentType="application/vnd.openxmlformats-officedocument.drawing+xml"/>
  <Override PartName="/xl/drawings/drawing27.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4.xml" ContentType="application/vnd.openxmlformats-officedocument.spreadsheetml.externalLink+xml"/>
  <Override PartName="/xl/externalLinks/externalLink26.xml" ContentType="application/vnd.openxmlformats-officedocument.spreadsheetml.externalLink+xml"/>
  <Override PartName="/xl/drawings/drawing3.xml" ContentType="application/vnd.openxmlformats-officedocument.drawing+xml"/>
  <Override PartName="/xl/drawings/drawing16.xml" ContentType="application/vnd.openxmlformats-officedocument.drawing+xml"/>
  <Override PartName="/xl/embeddings/oleObject1.bin" ContentType="application/vnd.openxmlformats-officedocument.oleObject"/>
  <Override PartName="/xl/drawings/drawing25.xml" ContentType="application/vnd.openxmlformats-officedocument.drawing+xml"/>
  <Override PartName="/xl/drawings/drawing34.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externalLinks/externalLink22.xml" ContentType="application/vnd.openxmlformats-officedocument.spreadsheetml.externalLink+xml"/>
  <Override PartName="/xl/drawings/drawing1.xml" ContentType="application/vnd.openxmlformats-officedocument.drawing+xml"/>
  <Override PartName="/xl/drawings/drawing14.xml" ContentType="application/vnd.openxmlformats-officedocument.drawing+xml"/>
  <Override PartName="/xl/drawings/drawing23.xml" ContentType="application/vnd.openxmlformats-officedocument.drawing+xml"/>
  <Override PartName="/xl/drawings/drawing32.xml" ContentType="application/vnd.openxmlformats-officedocument.drawing+xml"/>
  <Override PartName="/xl/externalLinks/externalLink11.xml" ContentType="application/vnd.openxmlformats-officedocument.spreadsheetml.externalLink+xml"/>
  <Override PartName="/xl/externalLinks/externalLink20.xml" ContentType="application/vnd.openxmlformats-officedocument.spreadsheetml.externalLink+xml"/>
  <Default Extension="vml" ContentType="application/vnd.openxmlformats-officedocument.vmlDrawing"/>
  <Override PartName="/xl/drawings/drawing12.xml" ContentType="application/vnd.openxmlformats-officedocument.drawing+xml"/>
  <Override PartName="/xl/drawings/drawing21.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drawings/drawing10.xml" ContentType="application/vnd.openxmlformats-officedocument.drawing+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externalLinks/externalLink29.xml" ContentType="application/vnd.openxmlformats-officedocument.spreadsheetml.externalLink+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worksheets/sheet11.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drawings/drawing4.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externalLinks/externalLink25.xml" ContentType="application/vnd.openxmlformats-officedocument.spreadsheetml.externalLink+xml"/>
  <Override PartName="/xl/drawings/drawing15.xml" ContentType="application/vnd.openxmlformats-officedocument.drawing+xml"/>
  <Override PartName="/xl/embeddings/oleObject2.bin" ContentType="application/vnd.openxmlformats-officedocument.oleObject"/>
  <Override PartName="/xl/drawings/drawing26.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codeName="EstaPasta_de_trabalho" defaultThemeVersion="124226"/>
  <bookViews>
    <workbookView xWindow="-120" yWindow="-120" windowWidth="20730" windowHeight="11160" tabRatio="797" activeTab="2"/>
  </bookViews>
  <sheets>
    <sheet name="Dimensionamento" sheetId="50" r:id="rId1"/>
    <sheet name="RESUMO" sheetId="15" r:id="rId2"/>
    <sheet name="ORÇAMENTO " sheetId="7" r:id="rId3"/>
    <sheet name="MEM. DE CALCULO" sheetId="16" r:id="rId4"/>
    <sheet name="CRONOGRAMA" sheetId="38" r:id="rId5"/>
    <sheet name="COMP SAA" sheetId="46" r:id="rId6"/>
    <sheet name="COMPOSIÇÃO CIVIL" sheetId="9" r:id="rId7"/>
    <sheet name="COMP. ELETRICO " sheetId="23" r:id="rId8"/>
    <sheet name="COMP. SPDA " sheetId="24" r:id="rId9"/>
    <sheet name="COMPOSIÇÃO ESTRUTURAL" sheetId="29" r:id="rId10"/>
    <sheet name="M.C. FUNDAÇÃO RES. 150M3" sheetId="51" r:id="rId11"/>
    <sheet name="REMOÇÃO DE PAV. ADUTORA" sheetId="54" r:id="rId12"/>
    <sheet name="BASE ADUTORA" sheetId="55" r:id="rId13"/>
    <sheet name="SUB BASE ADUTORA" sheetId="56" r:id="rId14"/>
    <sheet name="IMPRIMAÇÃO ADUTORA" sheetId="57" r:id="rId15"/>
    <sheet name="TSD ADUTORA" sheetId="58" r:id="rId16"/>
    <sheet name="TRANSP. BRITA (PAV) ADUTORA" sheetId="59" r:id="rId17"/>
    <sheet name="TRANSP. EMULSÃO PAV ADUTORA" sheetId="60" r:id="rId18"/>
    <sheet name="CM30" sheetId="61" r:id="rId19"/>
    <sheet name="RR2C" sheetId="62" r:id="rId20"/>
    <sheet name="COMP. IMPRIMAÇÃO" sheetId="63" r:id="rId21"/>
    <sheet name="COMP. TSD" sheetId="64" r:id="rId22"/>
    <sheet name="COTAÇÃO PEDRA BRITADA N.0" sheetId="65" r:id="rId23"/>
    <sheet name="COTAÇÃO PEDRA BRITADA N.1" sheetId="66" r:id="rId24"/>
    <sheet name="CUSTO BRITA" sheetId="67" r:id="rId25"/>
    <sheet name="REMOÇÃO DE PAV. REDE" sheetId="68" r:id="rId26"/>
    <sheet name="BASE REDE" sheetId="69" r:id="rId27"/>
    <sheet name="SUB BASE REDE" sheetId="70" r:id="rId28"/>
    <sheet name="IMPRIMAÇÃO REDE" sheetId="71" r:id="rId29"/>
    <sheet name="TSD REDE" sheetId="72" r:id="rId30"/>
    <sheet name="TRANSP. BRITA (PAV) REDE" sheetId="73" r:id="rId31"/>
    <sheet name="TRANSP. EMULSÃO PAV REDE" sheetId="74" r:id="rId32"/>
    <sheet name="BANCO DE DADOS JAN-23 SERV" sheetId="8" state="hidden" r:id="rId33"/>
    <sheet name="BANCO DE DADOS JAN-23 INS" sheetId="20" state="hidden" r:id="rId34"/>
    <sheet name="BDI " sheetId="18" r:id="rId35"/>
    <sheet name="BDI DIF" sheetId="37" r:id="rId36"/>
    <sheet name="ENCARGOS SOCIAIS" sheetId="22" r:id="rId37"/>
    <sheet name="COMPOSIÇÕES" sheetId="36" state="hidden" r:id="rId38"/>
  </sheets>
  <externalReferences>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s>
  <definedNames>
    <definedName name="______________cab1" localSheetId="5">#REF!</definedName>
    <definedName name="______________cab1" localSheetId="10">#REF!</definedName>
    <definedName name="______________cab1">#REF!</definedName>
    <definedName name="_____________cab1" localSheetId="5">#REF!</definedName>
    <definedName name="_____________cab1" localSheetId="10">#REF!</definedName>
    <definedName name="_____________cab1">#REF!</definedName>
    <definedName name="____________cab1" localSheetId="5">#REF!</definedName>
    <definedName name="____________cab1" localSheetId="10">#REF!</definedName>
    <definedName name="____________cab1">#REF!</definedName>
    <definedName name="___________cab1" localSheetId="5">#REF!</definedName>
    <definedName name="___________cab1" localSheetId="10">#REF!</definedName>
    <definedName name="___________cab1">#REF!</definedName>
    <definedName name="___________RET1" localSheetId="5">#REF!</definedName>
    <definedName name="___________RET1" localSheetId="10">#REF!</definedName>
    <definedName name="___________RET1">#REF!</definedName>
    <definedName name="__________R" localSheetId="5">'[1]Relatório-1ª med.'!#REF!</definedName>
    <definedName name="__________R" localSheetId="0">'[1]Relatório-1ª med.'!#REF!</definedName>
    <definedName name="__________R" localSheetId="10">'[1]Relatório-1ª med.'!#REF!</definedName>
    <definedName name="__________R">'[1]Relatório-1ª med.'!#REF!</definedName>
    <definedName name="__________RET1" localSheetId="5">#REF!</definedName>
    <definedName name="__________RET1" localSheetId="10">#REF!</definedName>
    <definedName name="__________RET1">#REF!</definedName>
    <definedName name="__________TT21" localSheetId="5">[2]RELATÓRIO!#REF!</definedName>
    <definedName name="__________TT21" localSheetId="0">[2]RELATÓRIO!#REF!</definedName>
    <definedName name="__________TT21" localSheetId="10">[2]RELATÓRIO!#REF!</definedName>
    <definedName name="__________TT21">[2]RELATÓRIO!#REF!</definedName>
    <definedName name="__________TT22" localSheetId="5">[2]RELATÓRIO!#REF!</definedName>
    <definedName name="__________TT22" localSheetId="0">[2]RELATÓRIO!#REF!</definedName>
    <definedName name="__________TT22" localSheetId="10">[2]RELATÓRIO!#REF!</definedName>
    <definedName name="__________TT22">[2]RELATÓRIO!#REF!</definedName>
    <definedName name="_________cab1" localSheetId="5">#REF!</definedName>
    <definedName name="_________cab1" localSheetId="10">#REF!</definedName>
    <definedName name="_________cab1">#REF!</definedName>
    <definedName name="_________JAZ1" localSheetId="5">#REF!</definedName>
    <definedName name="_________JAZ1" localSheetId="10">#REF!</definedName>
    <definedName name="_________JAZ1">#REF!</definedName>
    <definedName name="_________JAZ11" localSheetId="5">#REF!</definedName>
    <definedName name="_________JAZ11" localSheetId="10">#REF!</definedName>
    <definedName name="_________JAZ11">#REF!</definedName>
    <definedName name="_________JAZ2" localSheetId="5">#REF!</definedName>
    <definedName name="_________JAZ2" localSheetId="10">#REF!</definedName>
    <definedName name="_________JAZ2">#REF!</definedName>
    <definedName name="_________JAZ22" localSheetId="5">#REF!</definedName>
    <definedName name="_________JAZ22" localSheetId="10">#REF!</definedName>
    <definedName name="_________JAZ22">#REF!</definedName>
    <definedName name="_________JAZ3" localSheetId="5">#REF!</definedName>
    <definedName name="_________JAZ3" localSheetId="10">#REF!</definedName>
    <definedName name="_________JAZ3">#REF!</definedName>
    <definedName name="_________JAZ33" localSheetId="5">#REF!</definedName>
    <definedName name="_________JAZ33" localSheetId="10">#REF!</definedName>
    <definedName name="_________JAZ33">#REF!</definedName>
    <definedName name="_________RET1" localSheetId="5">#REF!</definedName>
    <definedName name="_________RET1" localSheetId="10">#REF!</definedName>
    <definedName name="_________RET1">#REF!</definedName>
    <definedName name="_________TT21" localSheetId="5">[2]RELATÓRIO!#REF!</definedName>
    <definedName name="_________TT21" localSheetId="0">[2]RELATÓRIO!#REF!</definedName>
    <definedName name="_________TT21" localSheetId="10">[2]RELATÓRIO!#REF!</definedName>
    <definedName name="_________TT21">[2]RELATÓRIO!#REF!</definedName>
    <definedName name="_________TT22" localSheetId="5">[2]RELATÓRIO!#REF!</definedName>
    <definedName name="_________TT22" localSheetId="0">[2]RELATÓRIO!#REF!</definedName>
    <definedName name="_________TT22" localSheetId="10">[2]RELATÓRIO!#REF!</definedName>
    <definedName name="_________TT22">[2]RELATÓRIO!#REF!</definedName>
    <definedName name="________cab1" localSheetId="5">#REF!</definedName>
    <definedName name="________cab1" localSheetId="10">#REF!</definedName>
    <definedName name="________cab1">#REF!</definedName>
    <definedName name="________JAZ1" localSheetId="5">#REF!</definedName>
    <definedName name="________JAZ1" localSheetId="10">#REF!</definedName>
    <definedName name="________JAZ1">#REF!</definedName>
    <definedName name="________JAZ11" localSheetId="5">#REF!</definedName>
    <definedName name="________JAZ11" localSheetId="10">#REF!</definedName>
    <definedName name="________JAZ11">#REF!</definedName>
    <definedName name="________JAZ2" localSheetId="5">#REF!</definedName>
    <definedName name="________JAZ2" localSheetId="10">#REF!</definedName>
    <definedName name="________JAZ2">#REF!</definedName>
    <definedName name="________JAZ22" localSheetId="5">#REF!</definedName>
    <definedName name="________JAZ22" localSheetId="10">#REF!</definedName>
    <definedName name="________JAZ22">#REF!</definedName>
    <definedName name="________JAZ3" localSheetId="5">#REF!</definedName>
    <definedName name="________JAZ3" localSheetId="10">#REF!</definedName>
    <definedName name="________JAZ3">#REF!</definedName>
    <definedName name="________JAZ33" localSheetId="5">#REF!</definedName>
    <definedName name="________JAZ33" localSheetId="10">#REF!</definedName>
    <definedName name="________JAZ33">#REF!</definedName>
    <definedName name="________RET1" localSheetId="5">#REF!</definedName>
    <definedName name="________RET1" localSheetId="0">#REF!</definedName>
    <definedName name="________RET1" localSheetId="10">#REF!</definedName>
    <definedName name="________RET1">#REF!</definedName>
    <definedName name="________TT21" localSheetId="5">[2]RELATÓRIO!#REF!</definedName>
    <definedName name="________TT21" localSheetId="0">[2]RELATÓRIO!#REF!</definedName>
    <definedName name="________TT21" localSheetId="10">[2]RELATÓRIO!#REF!</definedName>
    <definedName name="________TT21">[2]RELATÓRIO!#REF!</definedName>
    <definedName name="________TT22" localSheetId="5">[2]RELATÓRIO!#REF!</definedName>
    <definedName name="________TT22" localSheetId="0">[2]RELATÓRIO!#REF!</definedName>
    <definedName name="________TT22" localSheetId="10">[2]RELATÓRIO!#REF!</definedName>
    <definedName name="________TT22">[2]RELATÓRIO!#REF!</definedName>
    <definedName name="_______emp2">'[3]DMT modelo'!$AA$13</definedName>
    <definedName name="_______ind100" localSheetId="5">#REF!</definedName>
    <definedName name="_______ind100" localSheetId="0">#REF!</definedName>
    <definedName name="_______ind100" localSheetId="10">#REF!</definedName>
    <definedName name="_______ind100">#REF!</definedName>
    <definedName name="_______JAZ1" localSheetId="5">#REF!</definedName>
    <definedName name="_______JAZ1" localSheetId="0">#REF!</definedName>
    <definedName name="_______JAZ1" localSheetId="10">#REF!</definedName>
    <definedName name="_______JAZ1">#REF!</definedName>
    <definedName name="_______JAZ11" localSheetId="5">#REF!</definedName>
    <definedName name="_______JAZ11" localSheetId="0">#REF!</definedName>
    <definedName name="_______JAZ11" localSheetId="10">#REF!</definedName>
    <definedName name="_______JAZ11">#REF!</definedName>
    <definedName name="_______JAZ2" localSheetId="5">#REF!</definedName>
    <definedName name="_______JAZ2" localSheetId="0">#REF!</definedName>
    <definedName name="_______JAZ2" localSheetId="10">#REF!</definedName>
    <definedName name="_______JAZ2">#REF!</definedName>
    <definedName name="_______JAZ22" localSheetId="5">#REF!</definedName>
    <definedName name="_______JAZ22" localSheetId="0">#REF!</definedName>
    <definedName name="_______JAZ22" localSheetId="10">#REF!</definedName>
    <definedName name="_______JAZ22">#REF!</definedName>
    <definedName name="_______JAZ3" localSheetId="5">#REF!</definedName>
    <definedName name="_______JAZ3" localSheetId="0">#REF!</definedName>
    <definedName name="_______JAZ3" localSheetId="10">#REF!</definedName>
    <definedName name="_______JAZ3">#REF!</definedName>
    <definedName name="_______JAZ33" localSheetId="5">#REF!</definedName>
    <definedName name="_______JAZ33" localSheetId="0">#REF!</definedName>
    <definedName name="_______JAZ33" localSheetId="10">#REF!</definedName>
    <definedName name="_______JAZ33">#REF!</definedName>
    <definedName name="_______mem2">'[4]Mat Asf'!$H$37</definedName>
    <definedName name="_______RET1" localSheetId="5">#REF!</definedName>
    <definedName name="_______RET1" localSheetId="0">#REF!</definedName>
    <definedName name="_______RET1" localSheetId="10">#REF!</definedName>
    <definedName name="_______RET1">#REF!</definedName>
    <definedName name="_______TT21" localSheetId="5">[2]RELATÓRIO!#REF!</definedName>
    <definedName name="_______TT21" localSheetId="0">[2]RELATÓRIO!#REF!</definedName>
    <definedName name="_______TT21" localSheetId="10">[2]RELATÓRIO!#REF!</definedName>
    <definedName name="_______TT21">[2]RELATÓRIO!#REF!</definedName>
    <definedName name="_______TT22" localSheetId="5">[2]RELATÓRIO!#REF!</definedName>
    <definedName name="_______TT22" localSheetId="0">[2]RELATÓRIO!#REF!</definedName>
    <definedName name="_______TT22" localSheetId="10">[2]RELATÓRIO!#REF!</definedName>
    <definedName name="_______TT22">[2]RELATÓRIO!#REF!</definedName>
    <definedName name="______emp2">'[3]DMT modelo'!$AA$13</definedName>
    <definedName name="______EXT1" localSheetId="5">#REF!</definedName>
    <definedName name="______EXT1" localSheetId="0">#REF!</definedName>
    <definedName name="______EXT1" localSheetId="10">#REF!</definedName>
    <definedName name="______EXT1">#REF!</definedName>
    <definedName name="______ind100" localSheetId="5">#REF!</definedName>
    <definedName name="______ind100" localSheetId="0">#REF!</definedName>
    <definedName name="______ind100" localSheetId="10">#REF!</definedName>
    <definedName name="______ind100">#REF!</definedName>
    <definedName name="______JAZ1" localSheetId="5">#REF!</definedName>
    <definedName name="______JAZ1" localSheetId="0">#REF!</definedName>
    <definedName name="______JAZ1" localSheetId="10">#REF!</definedName>
    <definedName name="______JAZ1">#REF!</definedName>
    <definedName name="______JAZ11" localSheetId="5">#REF!</definedName>
    <definedName name="______JAZ11" localSheetId="0">#REF!</definedName>
    <definedName name="______JAZ11" localSheetId="10">#REF!</definedName>
    <definedName name="______JAZ11">#REF!</definedName>
    <definedName name="______JAZ2" localSheetId="5">#REF!</definedName>
    <definedName name="______JAZ2" localSheetId="0">#REF!</definedName>
    <definedName name="______JAZ2" localSheetId="10">#REF!</definedName>
    <definedName name="______JAZ2">#REF!</definedName>
    <definedName name="______JAZ22" localSheetId="5">#REF!</definedName>
    <definedName name="______JAZ22" localSheetId="0">#REF!</definedName>
    <definedName name="______JAZ22" localSheetId="10">#REF!</definedName>
    <definedName name="______JAZ22">#REF!</definedName>
    <definedName name="______JAZ3" localSheetId="5">#REF!</definedName>
    <definedName name="______JAZ3" localSheetId="0">#REF!</definedName>
    <definedName name="______JAZ3" localSheetId="10">#REF!</definedName>
    <definedName name="______JAZ3">#REF!</definedName>
    <definedName name="______JAZ33" localSheetId="5">#REF!</definedName>
    <definedName name="______JAZ33" localSheetId="0">#REF!</definedName>
    <definedName name="______JAZ33" localSheetId="10">#REF!</definedName>
    <definedName name="______JAZ33">#REF!</definedName>
    <definedName name="______mem2">'[4]Mat Asf'!$H$37</definedName>
    <definedName name="______oac2" localSheetId="5">#REF!</definedName>
    <definedName name="______oac2" localSheetId="0">#REF!</definedName>
    <definedName name="______oac2" localSheetId="10">#REF!</definedName>
    <definedName name="______oac2">#REF!</definedName>
    <definedName name="______RET1" localSheetId="5">#REF!</definedName>
    <definedName name="______RET1" localSheetId="0">#REF!</definedName>
    <definedName name="______RET1" localSheetId="10">#REF!</definedName>
    <definedName name="______RET1">#REF!</definedName>
    <definedName name="______TT21" localSheetId="5">[2]RELATÓRIO!#REF!</definedName>
    <definedName name="______TT21" localSheetId="0">[2]RELATÓRIO!#REF!</definedName>
    <definedName name="______TT21" localSheetId="10">[2]RELATÓRIO!#REF!</definedName>
    <definedName name="______TT21">[2]RELATÓRIO!#REF!</definedName>
    <definedName name="______TT22" localSheetId="5">[2]RELATÓRIO!#REF!</definedName>
    <definedName name="______TT22" localSheetId="0">[2]RELATÓRIO!#REF!</definedName>
    <definedName name="______TT22" localSheetId="10">[2]RELATÓRIO!#REF!</definedName>
    <definedName name="______TT22">[2]RELATÓRIO!#REF!</definedName>
    <definedName name="_____cab1" localSheetId="5">#REF!</definedName>
    <definedName name="_____cab1" localSheetId="0">#REF!</definedName>
    <definedName name="_____cab1" localSheetId="10">#REF!</definedName>
    <definedName name="_____cab1">#REF!</definedName>
    <definedName name="_____emp2">'[3]DMT modelo'!$AA$13</definedName>
    <definedName name="_____EXT1" localSheetId="5">#REF!</definedName>
    <definedName name="_____EXT1" localSheetId="0">#REF!</definedName>
    <definedName name="_____EXT1" localSheetId="10">#REF!</definedName>
    <definedName name="_____EXT1">#REF!</definedName>
    <definedName name="_____ind100" localSheetId="5">#REF!</definedName>
    <definedName name="_____ind100" localSheetId="0">#REF!</definedName>
    <definedName name="_____ind100" localSheetId="10">#REF!</definedName>
    <definedName name="_____ind100">#REF!</definedName>
    <definedName name="_____JAZ1" localSheetId="5">#REF!</definedName>
    <definedName name="_____JAZ1" localSheetId="0">#REF!</definedName>
    <definedName name="_____JAZ1" localSheetId="10">#REF!</definedName>
    <definedName name="_____JAZ1">#REF!</definedName>
    <definedName name="_____JAZ11" localSheetId="5">#REF!</definedName>
    <definedName name="_____JAZ11" localSheetId="0">#REF!</definedName>
    <definedName name="_____JAZ11" localSheetId="10">#REF!</definedName>
    <definedName name="_____JAZ11">#REF!</definedName>
    <definedName name="_____JAZ2" localSheetId="5">#REF!</definedName>
    <definedName name="_____JAZ2" localSheetId="0">#REF!</definedName>
    <definedName name="_____JAZ2" localSheetId="10">#REF!</definedName>
    <definedName name="_____JAZ2">#REF!</definedName>
    <definedName name="_____JAZ22" localSheetId="5">#REF!</definedName>
    <definedName name="_____JAZ22" localSheetId="0">#REF!</definedName>
    <definedName name="_____JAZ22" localSheetId="10">#REF!</definedName>
    <definedName name="_____JAZ22">#REF!</definedName>
    <definedName name="_____JAZ3" localSheetId="5">#REF!</definedName>
    <definedName name="_____JAZ3" localSheetId="0">#REF!</definedName>
    <definedName name="_____JAZ3" localSheetId="10">#REF!</definedName>
    <definedName name="_____JAZ3">#REF!</definedName>
    <definedName name="_____JAZ33" localSheetId="5">#REF!</definedName>
    <definedName name="_____JAZ33" localSheetId="0">#REF!</definedName>
    <definedName name="_____JAZ33" localSheetId="10">#REF!</definedName>
    <definedName name="_____JAZ33">#REF!</definedName>
    <definedName name="_____mem2">'[4]Mat Asf'!$H$37</definedName>
    <definedName name="_____oac2" localSheetId="5">#REF!</definedName>
    <definedName name="_____oac2" localSheetId="0">#REF!</definedName>
    <definedName name="_____oac2" localSheetId="10">#REF!</definedName>
    <definedName name="_____oac2">#REF!</definedName>
    <definedName name="_____RET1" localSheetId="5">#REF!</definedName>
    <definedName name="_____RET1" localSheetId="0">#REF!</definedName>
    <definedName name="_____RET1" localSheetId="10">#REF!</definedName>
    <definedName name="_____RET1">#REF!</definedName>
    <definedName name="_____tsd4" localSheetId="5">#REF!</definedName>
    <definedName name="_____tsd4" localSheetId="0">#REF!</definedName>
    <definedName name="_____tsd4" localSheetId="10">#REF!</definedName>
    <definedName name="_____tsd4">#REF!</definedName>
    <definedName name="_____TT102" localSheetId="5">'[1]Relatório-1ª med.'!#REF!</definedName>
    <definedName name="_____TT102" localSheetId="0">'[1]Relatório-1ª med.'!#REF!</definedName>
    <definedName name="_____TT102" localSheetId="10">'[1]Relatório-1ª med.'!#REF!</definedName>
    <definedName name="_____TT102">'[1]Relatório-1ª med.'!#REF!</definedName>
    <definedName name="_____TT107" localSheetId="5">'[1]Relatório-1ª med.'!#REF!</definedName>
    <definedName name="_____TT107" localSheetId="0">'[1]Relatório-1ª med.'!#REF!</definedName>
    <definedName name="_____TT107" localSheetId="10">'[1]Relatório-1ª med.'!#REF!</definedName>
    <definedName name="_____TT107">'[1]Relatório-1ª med.'!#REF!</definedName>
    <definedName name="_____TT121" localSheetId="5">'[1]Relatório-1ª med.'!#REF!</definedName>
    <definedName name="_____TT121" localSheetId="0">'[1]Relatório-1ª med.'!#REF!</definedName>
    <definedName name="_____TT121" localSheetId="10">'[1]Relatório-1ª med.'!#REF!</definedName>
    <definedName name="_____TT121">'[1]Relatório-1ª med.'!#REF!</definedName>
    <definedName name="_____TT123" localSheetId="5">'[1]Relatório-1ª med.'!#REF!</definedName>
    <definedName name="_____TT123" localSheetId="0">'[1]Relatório-1ª med.'!#REF!</definedName>
    <definedName name="_____TT123" localSheetId="10">'[1]Relatório-1ª med.'!#REF!</definedName>
    <definedName name="_____TT123">'[1]Relatório-1ª med.'!#REF!</definedName>
    <definedName name="_____TT19" localSheetId="5">'[1]Relatório-1ª med.'!#REF!</definedName>
    <definedName name="_____TT19" localSheetId="0">'[1]Relatório-1ª med.'!#REF!</definedName>
    <definedName name="_____TT19" localSheetId="10">'[1]Relatório-1ª med.'!#REF!</definedName>
    <definedName name="_____TT19">'[1]Relatório-1ª med.'!#REF!</definedName>
    <definedName name="_____TT20" localSheetId="5">'[1]Relatório-1ª med.'!#REF!</definedName>
    <definedName name="_____TT20" localSheetId="0">'[1]Relatório-1ª med.'!#REF!</definedName>
    <definedName name="_____TT20" localSheetId="10">'[1]Relatório-1ª med.'!#REF!</definedName>
    <definedName name="_____TT20">'[1]Relatório-1ª med.'!#REF!</definedName>
    <definedName name="_____TT21" localSheetId="5">'[1]Relatório-1ª med.'!#REF!</definedName>
    <definedName name="_____TT21" localSheetId="0">'[1]Relatório-1ª med.'!#REF!</definedName>
    <definedName name="_____TT21" localSheetId="10">'[1]Relatório-1ª med.'!#REF!</definedName>
    <definedName name="_____TT21">'[1]Relatório-1ª med.'!#REF!</definedName>
    <definedName name="_____TT22" localSheetId="5">'[1]Relatório-1ª med.'!#REF!</definedName>
    <definedName name="_____TT22" localSheetId="0">'[1]Relatório-1ª med.'!#REF!</definedName>
    <definedName name="_____TT22" localSheetId="10">'[1]Relatório-1ª med.'!#REF!</definedName>
    <definedName name="_____TT22">'[1]Relatório-1ª med.'!#REF!</definedName>
    <definedName name="_____TT26" localSheetId="5">'[1]Relatório-1ª med.'!#REF!</definedName>
    <definedName name="_____TT26" localSheetId="0">'[1]Relatório-1ª med.'!#REF!</definedName>
    <definedName name="_____TT26" localSheetId="10">'[1]Relatório-1ª med.'!#REF!</definedName>
    <definedName name="_____TT26">'[1]Relatório-1ª med.'!#REF!</definedName>
    <definedName name="_____TT27" localSheetId="5">'[1]Relatório-1ª med.'!#REF!</definedName>
    <definedName name="_____TT27" localSheetId="0">'[1]Relatório-1ª med.'!#REF!</definedName>
    <definedName name="_____TT27" localSheetId="10">'[1]Relatório-1ª med.'!#REF!</definedName>
    <definedName name="_____TT27">'[1]Relatório-1ª med.'!#REF!</definedName>
    <definedName name="_____TT28" localSheetId="5">'[1]Relatório-1ª med.'!#REF!</definedName>
    <definedName name="_____TT28" localSheetId="0">'[1]Relatório-1ª med.'!#REF!</definedName>
    <definedName name="_____TT28" localSheetId="10">'[1]Relatório-1ª med.'!#REF!</definedName>
    <definedName name="_____TT28">'[1]Relatório-1ª med.'!#REF!</definedName>
    <definedName name="_____TT30" localSheetId="5">'[1]Relatório-1ª med.'!#REF!</definedName>
    <definedName name="_____TT30" localSheetId="0">'[1]Relatório-1ª med.'!#REF!</definedName>
    <definedName name="_____TT30" localSheetId="10">'[1]Relatório-1ª med.'!#REF!</definedName>
    <definedName name="_____TT30">'[1]Relatório-1ª med.'!#REF!</definedName>
    <definedName name="_____TT31" localSheetId="5">'[1]Relatório-1ª med.'!#REF!</definedName>
    <definedName name="_____TT31" localSheetId="0">'[1]Relatório-1ª med.'!#REF!</definedName>
    <definedName name="_____TT31" localSheetId="10">'[1]Relatório-1ª med.'!#REF!</definedName>
    <definedName name="_____TT31">'[1]Relatório-1ª med.'!#REF!</definedName>
    <definedName name="_____TT32" localSheetId="5">'[1]Relatório-1ª med.'!#REF!</definedName>
    <definedName name="_____TT32" localSheetId="0">'[1]Relatório-1ª med.'!#REF!</definedName>
    <definedName name="_____TT32" localSheetId="10">'[1]Relatório-1ª med.'!#REF!</definedName>
    <definedName name="_____TT32">'[1]Relatório-1ª med.'!#REF!</definedName>
    <definedName name="_____TT33" localSheetId="5">'[1]Relatório-1ª med.'!#REF!</definedName>
    <definedName name="_____TT33" localSheetId="0">'[1]Relatório-1ª med.'!#REF!</definedName>
    <definedName name="_____TT33" localSheetId="10">'[1]Relatório-1ª med.'!#REF!</definedName>
    <definedName name="_____TT33">'[1]Relatório-1ª med.'!#REF!</definedName>
    <definedName name="_____TT34" localSheetId="5">'[1]Relatório-1ª med.'!#REF!</definedName>
    <definedName name="_____TT34" localSheetId="0">'[1]Relatório-1ª med.'!#REF!</definedName>
    <definedName name="_____TT34" localSheetId="10">'[1]Relatório-1ª med.'!#REF!</definedName>
    <definedName name="_____TT34">'[1]Relatório-1ª med.'!#REF!</definedName>
    <definedName name="_____TT36" localSheetId="5">'[1]Relatório-1ª med.'!#REF!</definedName>
    <definedName name="_____TT36" localSheetId="0">'[1]Relatório-1ª med.'!#REF!</definedName>
    <definedName name="_____TT36" localSheetId="10">'[1]Relatório-1ª med.'!#REF!</definedName>
    <definedName name="_____TT36">'[1]Relatório-1ª med.'!#REF!</definedName>
    <definedName name="_____TT37" localSheetId="5">'[1]Relatório-1ª med.'!#REF!</definedName>
    <definedName name="_____TT37" localSheetId="0">'[1]Relatório-1ª med.'!#REF!</definedName>
    <definedName name="_____TT37" localSheetId="10">'[1]Relatório-1ª med.'!#REF!</definedName>
    <definedName name="_____TT37">'[1]Relatório-1ª med.'!#REF!</definedName>
    <definedName name="_____TT38" localSheetId="5">'[1]Relatório-1ª med.'!#REF!</definedName>
    <definedName name="_____TT38" localSheetId="0">'[1]Relatório-1ª med.'!#REF!</definedName>
    <definedName name="_____TT38" localSheetId="10">'[1]Relatório-1ª med.'!#REF!</definedName>
    <definedName name="_____TT38">'[1]Relatório-1ª med.'!#REF!</definedName>
    <definedName name="_____TT39" localSheetId="5">'[1]Relatório-1ª med.'!#REF!</definedName>
    <definedName name="_____TT39" localSheetId="0">'[1]Relatório-1ª med.'!#REF!</definedName>
    <definedName name="_____TT39" localSheetId="10">'[1]Relatório-1ª med.'!#REF!</definedName>
    <definedName name="_____TT39">'[1]Relatório-1ª med.'!#REF!</definedName>
    <definedName name="_____TT40" localSheetId="5">'[1]Relatório-1ª med.'!#REF!</definedName>
    <definedName name="_____TT40" localSheetId="0">'[1]Relatório-1ª med.'!#REF!</definedName>
    <definedName name="_____TT40" localSheetId="10">'[1]Relatório-1ª med.'!#REF!</definedName>
    <definedName name="_____TT40">'[1]Relatório-1ª med.'!#REF!</definedName>
    <definedName name="_____TT5" localSheetId="5">'[1]Relatório-1ª med.'!#REF!</definedName>
    <definedName name="_____TT5" localSheetId="0">'[1]Relatório-1ª med.'!#REF!</definedName>
    <definedName name="_____TT5" localSheetId="10">'[1]Relatório-1ª med.'!#REF!</definedName>
    <definedName name="_____TT5">'[1]Relatório-1ª med.'!#REF!</definedName>
    <definedName name="_____TT52" localSheetId="5">'[1]Relatório-1ª med.'!#REF!</definedName>
    <definedName name="_____TT52" localSheetId="0">'[1]Relatório-1ª med.'!#REF!</definedName>
    <definedName name="_____TT52" localSheetId="10">'[1]Relatório-1ª med.'!#REF!</definedName>
    <definedName name="_____TT52">'[1]Relatório-1ª med.'!#REF!</definedName>
    <definedName name="_____TT53" localSheetId="5">'[1]Relatório-1ª med.'!#REF!</definedName>
    <definedName name="_____TT53" localSheetId="0">'[1]Relatório-1ª med.'!#REF!</definedName>
    <definedName name="_____TT53" localSheetId="10">'[1]Relatório-1ª med.'!#REF!</definedName>
    <definedName name="_____TT53">'[1]Relatório-1ª med.'!#REF!</definedName>
    <definedName name="_____TT54" localSheetId="5">'[1]Relatório-1ª med.'!#REF!</definedName>
    <definedName name="_____TT54" localSheetId="0">'[1]Relatório-1ª med.'!#REF!</definedName>
    <definedName name="_____TT54" localSheetId="10">'[1]Relatório-1ª med.'!#REF!</definedName>
    <definedName name="_____TT54">'[1]Relatório-1ª med.'!#REF!</definedName>
    <definedName name="_____TT55" localSheetId="5">'[1]Relatório-1ª med.'!#REF!</definedName>
    <definedName name="_____TT55" localSheetId="0">'[1]Relatório-1ª med.'!#REF!</definedName>
    <definedName name="_____TT55" localSheetId="10">'[1]Relatório-1ª med.'!#REF!</definedName>
    <definedName name="_____TT55">'[1]Relatório-1ª med.'!#REF!</definedName>
    <definedName name="_____TT6" localSheetId="5">'[1]Relatório-1ª med.'!#REF!</definedName>
    <definedName name="_____TT6" localSheetId="0">'[1]Relatório-1ª med.'!#REF!</definedName>
    <definedName name="_____TT6" localSheetId="10">'[1]Relatório-1ª med.'!#REF!</definedName>
    <definedName name="_____TT6">'[1]Relatório-1ª med.'!#REF!</definedName>
    <definedName name="_____TT60" localSheetId="5">'[1]Relatório-1ª med.'!#REF!</definedName>
    <definedName name="_____TT60" localSheetId="0">'[1]Relatório-1ª med.'!#REF!</definedName>
    <definedName name="_____TT60" localSheetId="10">'[1]Relatório-1ª med.'!#REF!</definedName>
    <definedName name="_____TT60">'[1]Relatório-1ª med.'!#REF!</definedName>
    <definedName name="_____TT61" localSheetId="5">'[1]Relatório-1ª med.'!#REF!</definedName>
    <definedName name="_____TT61" localSheetId="0">'[1]Relatório-1ª med.'!#REF!</definedName>
    <definedName name="_____TT61" localSheetId="10">'[1]Relatório-1ª med.'!#REF!</definedName>
    <definedName name="_____TT61">'[1]Relatório-1ª med.'!#REF!</definedName>
    <definedName name="_____TT69" localSheetId="5">'[1]Relatório-1ª med.'!#REF!</definedName>
    <definedName name="_____TT69" localSheetId="0">'[1]Relatório-1ª med.'!#REF!</definedName>
    <definedName name="_____TT69" localSheetId="10">'[1]Relatório-1ª med.'!#REF!</definedName>
    <definedName name="_____TT69">'[1]Relatório-1ª med.'!#REF!</definedName>
    <definedName name="_____TT7" localSheetId="5">'[1]Relatório-1ª med.'!#REF!</definedName>
    <definedName name="_____TT7" localSheetId="0">'[1]Relatório-1ª med.'!#REF!</definedName>
    <definedName name="_____TT7" localSheetId="10">'[1]Relatório-1ª med.'!#REF!</definedName>
    <definedName name="_____TT7">'[1]Relatório-1ª med.'!#REF!</definedName>
    <definedName name="_____TT70" localSheetId="5">'[1]Relatório-1ª med.'!#REF!</definedName>
    <definedName name="_____TT70" localSheetId="0">'[1]Relatório-1ª med.'!#REF!</definedName>
    <definedName name="_____TT70" localSheetId="10">'[1]Relatório-1ª med.'!#REF!</definedName>
    <definedName name="_____TT70">'[1]Relatório-1ª med.'!#REF!</definedName>
    <definedName name="_____TT71" localSheetId="5">'[1]Relatório-1ª med.'!#REF!</definedName>
    <definedName name="_____TT71" localSheetId="0">'[1]Relatório-1ª med.'!#REF!</definedName>
    <definedName name="_____TT71" localSheetId="10">'[1]Relatório-1ª med.'!#REF!</definedName>
    <definedName name="_____TT71">'[1]Relatório-1ª med.'!#REF!</definedName>
    <definedName name="_____TT74" localSheetId="5">'[1]Relatório-1ª med.'!#REF!</definedName>
    <definedName name="_____TT74" localSheetId="0">'[1]Relatório-1ª med.'!#REF!</definedName>
    <definedName name="_____TT74" localSheetId="10">'[1]Relatório-1ª med.'!#REF!</definedName>
    <definedName name="_____TT74">'[1]Relatório-1ª med.'!#REF!</definedName>
    <definedName name="_____TT75" localSheetId="5">'[1]Relatório-1ª med.'!#REF!</definedName>
    <definedName name="_____TT75" localSheetId="0">'[1]Relatório-1ª med.'!#REF!</definedName>
    <definedName name="_____TT75" localSheetId="10">'[1]Relatório-1ª med.'!#REF!</definedName>
    <definedName name="_____TT75">'[1]Relatório-1ª med.'!#REF!</definedName>
    <definedName name="_____TT76" localSheetId="5">'[1]Relatório-1ª med.'!#REF!</definedName>
    <definedName name="_____TT76" localSheetId="0">'[1]Relatório-1ª med.'!#REF!</definedName>
    <definedName name="_____TT76" localSheetId="10">'[1]Relatório-1ª med.'!#REF!</definedName>
    <definedName name="_____TT76">'[1]Relatório-1ª med.'!#REF!</definedName>
    <definedName name="_____TT77" localSheetId="5">'[1]Relatório-1ª med.'!#REF!</definedName>
    <definedName name="_____TT77" localSheetId="0">'[1]Relatório-1ª med.'!#REF!</definedName>
    <definedName name="_____TT77" localSheetId="10">'[1]Relatório-1ª med.'!#REF!</definedName>
    <definedName name="_____TT77">'[1]Relatório-1ª med.'!#REF!</definedName>
    <definedName name="_____TT78" localSheetId="5">'[1]Relatório-1ª med.'!#REF!</definedName>
    <definedName name="_____TT78" localSheetId="0">'[1]Relatório-1ª med.'!#REF!</definedName>
    <definedName name="_____TT78" localSheetId="10">'[1]Relatório-1ª med.'!#REF!</definedName>
    <definedName name="_____TT78">'[1]Relatório-1ª med.'!#REF!</definedName>
    <definedName name="_____TT79" localSheetId="5">'[1]Relatório-1ª med.'!#REF!</definedName>
    <definedName name="_____TT79" localSheetId="0">'[1]Relatório-1ª med.'!#REF!</definedName>
    <definedName name="_____TT79" localSheetId="10">'[1]Relatório-1ª med.'!#REF!</definedName>
    <definedName name="_____TT79">'[1]Relatório-1ª med.'!#REF!</definedName>
    <definedName name="_____TT94" localSheetId="5">'[1]Relatório-1ª med.'!#REF!</definedName>
    <definedName name="_____TT94" localSheetId="0">'[1]Relatório-1ª med.'!#REF!</definedName>
    <definedName name="_____TT94" localSheetId="10">'[1]Relatório-1ª med.'!#REF!</definedName>
    <definedName name="_____TT94">'[1]Relatório-1ª med.'!#REF!</definedName>
    <definedName name="_____TT95" localSheetId="5">'[1]Relatório-1ª med.'!#REF!</definedName>
    <definedName name="_____TT95" localSheetId="0">'[1]Relatório-1ª med.'!#REF!</definedName>
    <definedName name="_____TT95" localSheetId="10">'[1]Relatório-1ª med.'!#REF!</definedName>
    <definedName name="_____TT95">'[1]Relatório-1ª med.'!#REF!</definedName>
    <definedName name="_____TT97" localSheetId="5">'[1]Relatório-1ª med.'!#REF!</definedName>
    <definedName name="_____TT97" localSheetId="0">'[1]Relatório-1ª med.'!#REF!</definedName>
    <definedName name="_____TT97" localSheetId="10">'[1]Relatório-1ª med.'!#REF!</definedName>
    <definedName name="_____TT97">'[1]Relatório-1ª med.'!#REF!</definedName>
    <definedName name="____cab1" localSheetId="5">#REF!</definedName>
    <definedName name="____cab1" localSheetId="0">#REF!</definedName>
    <definedName name="____cab1" localSheetId="10">#REF!</definedName>
    <definedName name="____cab1">#REF!</definedName>
    <definedName name="____EXT1" localSheetId="5">#REF!</definedName>
    <definedName name="____EXT1" localSheetId="0">#REF!</definedName>
    <definedName name="____EXT1" localSheetId="10">#REF!</definedName>
    <definedName name="____EXT1">#REF!</definedName>
    <definedName name="____ind100" localSheetId="5">#REF!</definedName>
    <definedName name="____ind100" localSheetId="0">#REF!</definedName>
    <definedName name="____ind100" localSheetId="10">#REF!</definedName>
    <definedName name="____ind100">#REF!</definedName>
    <definedName name="____JAZ1" localSheetId="5">#REF!</definedName>
    <definedName name="____JAZ1" localSheetId="0">#REF!</definedName>
    <definedName name="____JAZ1" localSheetId="10">#REF!</definedName>
    <definedName name="____JAZ1">#REF!</definedName>
    <definedName name="____JAZ11" localSheetId="5">#REF!</definedName>
    <definedName name="____JAZ11" localSheetId="0">#REF!</definedName>
    <definedName name="____JAZ11" localSheetId="10">#REF!</definedName>
    <definedName name="____JAZ11">#REF!</definedName>
    <definedName name="____JAZ2" localSheetId="5">#REF!</definedName>
    <definedName name="____JAZ2" localSheetId="0">#REF!</definedName>
    <definedName name="____JAZ2" localSheetId="10">#REF!</definedName>
    <definedName name="____JAZ2">#REF!</definedName>
    <definedName name="____JAZ22" localSheetId="5">#REF!</definedName>
    <definedName name="____JAZ22" localSheetId="0">#REF!</definedName>
    <definedName name="____JAZ22" localSheetId="10">#REF!</definedName>
    <definedName name="____JAZ22">#REF!</definedName>
    <definedName name="____JAZ3" localSheetId="5">#REF!</definedName>
    <definedName name="____JAZ3" localSheetId="0">#REF!</definedName>
    <definedName name="____JAZ3" localSheetId="10">#REF!</definedName>
    <definedName name="____JAZ3">#REF!</definedName>
    <definedName name="____JAZ33" localSheetId="5">#REF!</definedName>
    <definedName name="____JAZ33" localSheetId="0">#REF!</definedName>
    <definedName name="____JAZ33" localSheetId="10">#REF!</definedName>
    <definedName name="____JAZ33">#REF!</definedName>
    <definedName name="____oac2" localSheetId="5">#REF!</definedName>
    <definedName name="____oac2" localSheetId="0">#REF!</definedName>
    <definedName name="____oac2" localSheetId="10">#REF!</definedName>
    <definedName name="____oac2">#REF!</definedName>
    <definedName name="____RET1" localSheetId="5">#REF!</definedName>
    <definedName name="____RET1" localSheetId="0">#REF!</definedName>
    <definedName name="____RET1" localSheetId="10">#REF!</definedName>
    <definedName name="____RET1">#REF!</definedName>
    <definedName name="____tsd4" localSheetId="5">#REF!</definedName>
    <definedName name="____tsd4" localSheetId="0">#REF!</definedName>
    <definedName name="____tsd4" localSheetId="10">#REF!</definedName>
    <definedName name="____tsd4">#REF!</definedName>
    <definedName name="____TT102" localSheetId="5">'[1]Relatório-1ª med.'!#REF!</definedName>
    <definedName name="____TT102" localSheetId="0">'[1]Relatório-1ª med.'!#REF!</definedName>
    <definedName name="____TT102" localSheetId="10">'[1]Relatório-1ª med.'!#REF!</definedName>
    <definedName name="____TT102">'[1]Relatório-1ª med.'!#REF!</definedName>
    <definedName name="____TT107" localSheetId="5">'[1]Relatório-1ª med.'!#REF!</definedName>
    <definedName name="____TT107" localSheetId="0">'[1]Relatório-1ª med.'!#REF!</definedName>
    <definedName name="____TT107" localSheetId="10">'[1]Relatório-1ª med.'!#REF!</definedName>
    <definedName name="____TT107">'[1]Relatório-1ª med.'!#REF!</definedName>
    <definedName name="____TT121" localSheetId="5">'[1]Relatório-1ª med.'!#REF!</definedName>
    <definedName name="____TT121" localSheetId="0">'[1]Relatório-1ª med.'!#REF!</definedName>
    <definedName name="____TT121" localSheetId="10">'[1]Relatório-1ª med.'!#REF!</definedName>
    <definedName name="____TT121">'[1]Relatório-1ª med.'!#REF!</definedName>
    <definedName name="____TT123" localSheetId="5">'[1]Relatório-1ª med.'!#REF!</definedName>
    <definedName name="____TT123" localSheetId="0">'[1]Relatório-1ª med.'!#REF!</definedName>
    <definedName name="____TT123" localSheetId="10">'[1]Relatório-1ª med.'!#REF!</definedName>
    <definedName name="____TT123">'[1]Relatório-1ª med.'!#REF!</definedName>
    <definedName name="____TT19" localSheetId="5">'[1]Relatório-1ª med.'!#REF!</definedName>
    <definedName name="____TT19" localSheetId="0">'[1]Relatório-1ª med.'!#REF!</definedName>
    <definedName name="____TT19" localSheetId="10">'[1]Relatório-1ª med.'!#REF!</definedName>
    <definedName name="____TT19">'[1]Relatório-1ª med.'!#REF!</definedName>
    <definedName name="____TT20" localSheetId="5">'[1]Relatório-1ª med.'!#REF!</definedName>
    <definedName name="____TT20" localSheetId="0">'[1]Relatório-1ª med.'!#REF!</definedName>
    <definedName name="____TT20" localSheetId="10">'[1]Relatório-1ª med.'!#REF!</definedName>
    <definedName name="____TT20">'[1]Relatório-1ª med.'!#REF!</definedName>
    <definedName name="____TT21" localSheetId="5">'[1]Relatório-1ª med.'!#REF!</definedName>
    <definedName name="____TT21" localSheetId="0">'[1]Relatório-1ª med.'!#REF!</definedName>
    <definedName name="____TT21" localSheetId="10">'[1]Relatório-1ª med.'!#REF!</definedName>
    <definedName name="____TT21">'[1]Relatório-1ª med.'!#REF!</definedName>
    <definedName name="____TT22" localSheetId="5">'[1]Relatório-1ª med.'!#REF!</definedName>
    <definedName name="____TT22" localSheetId="0">'[1]Relatório-1ª med.'!#REF!</definedName>
    <definedName name="____TT22" localSheetId="10">'[1]Relatório-1ª med.'!#REF!</definedName>
    <definedName name="____TT22">'[1]Relatório-1ª med.'!#REF!</definedName>
    <definedName name="____TT236" localSheetId="5">'[1]Relatório-1ª med.'!#REF!</definedName>
    <definedName name="____TT236" localSheetId="0">'[1]Relatório-1ª med.'!#REF!</definedName>
    <definedName name="____TT236" localSheetId="10">'[1]Relatório-1ª med.'!#REF!</definedName>
    <definedName name="____TT236">'[1]Relatório-1ª med.'!#REF!</definedName>
    <definedName name="____TT26" localSheetId="5">'[1]Relatório-1ª med.'!#REF!</definedName>
    <definedName name="____TT26" localSheetId="0">'[1]Relatório-1ª med.'!#REF!</definedName>
    <definedName name="____TT26" localSheetId="10">'[1]Relatório-1ª med.'!#REF!</definedName>
    <definedName name="____TT26">'[1]Relatório-1ª med.'!#REF!</definedName>
    <definedName name="____TT27" localSheetId="5">'[1]Relatório-1ª med.'!#REF!</definedName>
    <definedName name="____TT27" localSheetId="0">'[1]Relatório-1ª med.'!#REF!</definedName>
    <definedName name="____TT27" localSheetId="10">'[1]Relatório-1ª med.'!#REF!</definedName>
    <definedName name="____TT27">'[1]Relatório-1ª med.'!#REF!</definedName>
    <definedName name="____TT28" localSheetId="5">'[1]Relatório-1ª med.'!#REF!</definedName>
    <definedName name="____TT28" localSheetId="0">'[1]Relatório-1ª med.'!#REF!</definedName>
    <definedName name="____TT28" localSheetId="10">'[1]Relatório-1ª med.'!#REF!</definedName>
    <definedName name="____TT28">'[1]Relatório-1ª med.'!#REF!</definedName>
    <definedName name="____TT30" localSheetId="5">'[1]Relatório-1ª med.'!#REF!</definedName>
    <definedName name="____TT30" localSheetId="0">'[1]Relatório-1ª med.'!#REF!</definedName>
    <definedName name="____TT30" localSheetId="10">'[1]Relatório-1ª med.'!#REF!</definedName>
    <definedName name="____TT30">'[1]Relatório-1ª med.'!#REF!</definedName>
    <definedName name="____TT31" localSheetId="5">'[1]Relatório-1ª med.'!#REF!</definedName>
    <definedName name="____TT31" localSheetId="0">'[1]Relatório-1ª med.'!#REF!</definedName>
    <definedName name="____TT31" localSheetId="10">'[1]Relatório-1ª med.'!#REF!</definedName>
    <definedName name="____TT31">'[1]Relatório-1ª med.'!#REF!</definedName>
    <definedName name="____TT32" localSheetId="5">'[1]Relatório-1ª med.'!#REF!</definedName>
    <definedName name="____TT32" localSheetId="0">'[1]Relatório-1ª med.'!#REF!</definedName>
    <definedName name="____TT32" localSheetId="10">'[1]Relatório-1ª med.'!#REF!</definedName>
    <definedName name="____TT32">'[1]Relatório-1ª med.'!#REF!</definedName>
    <definedName name="____TT33" localSheetId="5">'[1]Relatório-1ª med.'!#REF!</definedName>
    <definedName name="____TT33" localSheetId="0">'[1]Relatório-1ª med.'!#REF!</definedName>
    <definedName name="____TT33" localSheetId="10">'[1]Relatório-1ª med.'!#REF!</definedName>
    <definedName name="____TT33">'[1]Relatório-1ª med.'!#REF!</definedName>
    <definedName name="____TT34" localSheetId="5">'[1]Relatório-1ª med.'!#REF!</definedName>
    <definedName name="____TT34" localSheetId="0">'[1]Relatório-1ª med.'!#REF!</definedName>
    <definedName name="____TT34" localSheetId="10">'[1]Relatório-1ª med.'!#REF!</definedName>
    <definedName name="____TT34">'[1]Relatório-1ª med.'!#REF!</definedName>
    <definedName name="____TT36" localSheetId="5">'[1]Relatório-1ª med.'!#REF!</definedName>
    <definedName name="____TT36" localSheetId="0">'[1]Relatório-1ª med.'!#REF!</definedName>
    <definedName name="____TT36" localSheetId="10">'[1]Relatório-1ª med.'!#REF!</definedName>
    <definedName name="____TT36">'[1]Relatório-1ª med.'!#REF!</definedName>
    <definedName name="____TT37" localSheetId="5">'[1]Relatório-1ª med.'!#REF!</definedName>
    <definedName name="____TT37" localSheetId="0">'[1]Relatório-1ª med.'!#REF!</definedName>
    <definedName name="____TT37" localSheetId="10">'[1]Relatório-1ª med.'!#REF!</definedName>
    <definedName name="____TT37">'[1]Relatório-1ª med.'!#REF!</definedName>
    <definedName name="____TT38" localSheetId="5">'[1]Relatório-1ª med.'!#REF!</definedName>
    <definedName name="____TT38" localSheetId="0">'[1]Relatório-1ª med.'!#REF!</definedName>
    <definedName name="____TT38" localSheetId="10">'[1]Relatório-1ª med.'!#REF!</definedName>
    <definedName name="____TT38">'[1]Relatório-1ª med.'!#REF!</definedName>
    <definedName name="____TT39" localSheetId="5">'[1]Relatório-1ª med.'!#REF!</definedName>
    <definedName name="____TT39" localSheetId="0">'[1]Relatório-1ª med.'!#REF!</definedName>
    <definedName name="____TT39" localSheetId="10">'[1]Relatório-1ª med.'!#REF!</definedName>
    <definedName name="____TT39">'[1]Relatório-1ª med.'!#REF!</definedName>
    <definedName name="____TT40" localSheetId="5">'[1]Relatório-1ª med.'!#REF!</definedName>
    <definedName name="____TT40" localSheetId="0">'[1]Relatório-1ª med.'!#REF!</definedName>
    <definedName name="____TT40" localSheetId="10">'[1]Relatório-1ª med.'!#REF!</definedName>
    <definedName name="____TT40">'[1]Relatório-1ª med.'!#REF!</definedName>
    <definedName name="____TT5" localSheetId="5">'[1]Relatório-1ª med.'!#REF!</definedName>
    <definedName name="____TT5" localSheetId="0">'[1]Relatório-1ª med.'!#REF!</definedName>
    <definedName name="____TT5" localSheetId="10">'[1]Relatório-1ª med.'!#REF!</definedName>
    <definedName name="____TT5">'[1]Relatório-1ª med.'!#REF!</definedName>
    <definedName name="____TT52" localSheetId="5">'[1]Relatório-1ª med.'!#REF!</definedName>
    <definedName name="____TT52" localSheetId="0">'[1]Relatório-1ª med.'!#REF!</definedName>
    <definedName name="____TT52" localSheetId="10">'[1]Relatório-1ª med.'!#REF!</definedName>
    <definedName name="____TT52">'[1]Relatório-1ª med.'!#REF!</definedName>
    <definedName name="____TT53" localSheetId="5">'[1]Relatório-1ª med.'!#REF!</definedName>
    <definedName name="____TT53" localSheetId="0">'[1]Relatório-1ª med.'!#REF!</definedName>
    <definedName name="____TT53" localSheetId="10">'[1]Relatório-1ª med.'!#REF!</definedName>
    <definedName name="____TT53">'[1]Relatório-1ª med.'!#REF!</definedName>
    <definedName name="____TT54" localSheetId="5">'[1]Relatório-1ª med.'!#REF!</definedName>
    <definedName name="____TT54" localSheetId="0">'[1]Relatório-1ª med.'!#REF!</definedName>
    <definedName name="____TT54" localSheetId="10">'[1]Relatório-1ª med.'!#REF!</definedName>
    <definedName name="____TT54">'[1]Relatório-1ª med.'!#REF!</definedName>
    <definedName name="____TT55" localSheetId="5">'[1]Relatório-1ª med.'!#REF!</definedName>
    <definedName name="____TT55" localSheetId="0">'[1]Relatório-1ª med.'!#REF!</definedName>
    <definedName name="____TT55" localSheetId="10">'[1]Relatório-1ª med.'!#REF!</definedName>
    <definedName name="____TT55">'[1]Relatório-1ª med.'!#REF!</definedName>
    <definedName name="____TT6" localSheetId="5">'[1]Relatório-1ª med.'!#REF!</definedName>
    <definedName name="____TT6" localSheetId="0">'[1]Relatório-1ª med.'!#REF!</definedName>
    <definedName name="____TT6" localSheetId="10">'[1]Relatório-1ª med.'!#REF!</definedName>
    <definedName name="____TT6">'[1]Relatório-1ª med.'!#REF!</definedName>
    <definedName name="____TT60" localSheetId="5">'[1]Relatório-1ª med.'!#REF!</definedName>
    <definedName name="____TT60" localSheetId="0">'[1]Relatório-1ª med.'!#REF!</definedName>
    <definedName name="____TT60" localSheetId="10">'[1]Relatório-1ª med.'!#REF!</definedName>
    <definedName name="____TT60">'[1]Relatório-1ª med.'!#REF!</definedName>
    <definedName name="____TT61" localSheetId="5">'[1]Relatório-1ª med.'!#REF!</definedName>
    <definedName name="____TT61" localSheetId="0">'[1]Relatório-1ª med.'!#REF!</definedName>
    <definedName name="____TT61" localSheetId="10">'[1]Relatório-1ª med.'!#REF!</definedName>
    <definedName name="____TT61">'[1]Relatório-1ª med.'!#REF!</definedName>
    <definedName name="____TT69" localSheetId="5">'[1]Relatório-1ª med.'!#REF!</definedName>
    <definedName name="____TT69" localSheetId="0">'[1]Relatório-1ª med.'!#REF!</definedName>
    <definedName name="____TT69" localSheetId="10">'[1]Relatório-1ª med.'!#REF!</definedName>
    <definedName name="____TT69">'[1]Relatório-1ª med.'!#REF!</definedName>
    <definedName name="____TT7" localSheetId="5">'[1]Relatório-1ª med.'!#REF!</definedName>
    <definedName name="____TT7" localSheetId="0">'[1]Relatório-1ª med.'!#REF!</definedName>
    <definedName name="____TT7" localSheetId="10">'[1]Relatório-1ª med.'!#REF!</definedName>
    <definedName name="____TT7">'[1]Relatório-1ª med.'!#REF!</definedName>
    <definedName name="____TT70" localSheetId="5">'[1]Relatório-1ª med.'!#REF!</definedName>
    <definedName name="____TT70" localSheetId="0">'[1]Relatório-1ª med.'!#REF!</definedName>
    <definedName name="____TT70" localSheetId="10">'[1]Relatório-1ª med.'!#REF!</definedName>
    <definedName name="____TT70">'[1]Relatório-1ª med.'!#REF!</definedName>
    <definedName name="____TT71" localSheetId="5">'[1]Relatório-1ª med.'!#REF!</definedName>
    <definedName name="____TT71" localSheetId="0">'[1]Relatório-1ª med.'!#REF!</definedName>
    <definedName name="____TT71" localSheetId="10">'[1]Relatório-1ª med.'!#REF!</definedName>
    <definedName name="____TT71">'[1]Relatório-1ª med.'!#REF!</definedName>
    <definedName name="____TT74" localSheetId="5">'[1]Relatório-1ª med.'!#REF!</definedName>
    <definedName name="____TT74" localSheetId="0">'[1]Relatório-1ª med.'!#REF!</definedName>
    <definedName name="____TT74" localSheetId="10">'[1]Relatório-1ª med.'!#REF!</definedName>
    <definedName name="____TT74">'[1]Relatório-1ª med.'!#REF!</definedName>
    <definedName name="____TT75" localSheetId="5">'[1]Relatório-1ª med.'!#REF!</definedName>
    <definedName name="____TT75" localSheetId="0">'[1]Relatório-1ª med.'!#REF!</definedName>
    <definedName name="____TT75" localSheetId="10">'[1]Relatório-1ª med.'!#REF!</definedName>
    <definedName name="____TT75">'[1]Relatório-1ª med.'!#REF!</definedName>
    <definedName name="____TT76" localSheetId="5">'[1]Relatório-1ª med.'!#REF!</definedName>
    <definedName name="____TT76" localSheetId="0">'[1]Relatório-1ª med.'!#REF!</definedName>
    <definedName name="____TT76" localSheetId="10">'[1]Relatório-1ª med.'!#REF!</definedName>
    <definedName name="____TT76">'[1]Relatório-1ª med.'!#REF!</definedName>
    <definedName name="____TT77" localSheetId="5">'[1]Relatório-1ª med.'!#REF!</definedName>
    <definedName name="____TT77" localSheetId="0">'[1]Relatório-1ª med.'!#REF!</definedName>
    <definedName name="____TT77" localSheetId="10">'[1]Relatório-1ª med.'!#REF!</definedName>
    <definedName name="____TT77">'[1]Relatório-1ª med.'!#REF!</definedName>
    <definedName name="____TT78" localSheetId="5">'[1]Relatório-1ª med.'!#REF!</definedName>
    <definedName name="____TT78" localSheetId="0">'[1]Relatório-1ª med.'!#REF!</definedName>
    <definedName name="____TT78" localSheetId="10">'[1]Relatório-1ª med.'!#REF!</definedName>
    <definedName name="____TT78">'[1]Relatório-1ª med.'!#REF!</definedName>
    <definedName name="____TT78954" localSheetId="5">'[1]Relatório-1ª med.'!#REF!</definedName>
    <definedName name="____TT78954" localSheetId="0">'[1]Relatório-1ª med.'!#REF!</definedName>
    <definedName name="____TT78954" localSheetId="10">'[1]Relatório-1ª med.'!#REF!</definedName>
    <definedName name="____TT78954">'[1]Relatório-1ª med.'!#REF!</definedName>
    <definedName name="____TT79" localSheetId="5">'[1]Relatório-1ª med.'!#REF!</definedName>
    <definedName name="____TT79" localSheetId="0">'[1]Relatório-1ª med.'!#REF!</definedName>
    <definedName name="____TT79" localSheetId="10">'[1]Relatório-1ª med.'!#REF!</definedName>
    <definedName name="____TT79">'[1]Relatório-1ª med.'!#REF!</definedName>
    <definedName name="____TT94" localSheetId="5">'[1]Relatório-1ª med.'!#REF!</definedName>
    <definedName name="____TT94" localSheetId="0">'[1]Relatório-1ª med.'!#REF!</definedName>
    <definedName name="____TT94" localSheetId="10">'[1]Relatório-1ª med.'!#REF!</definedName>
    <definedName name="____TT94">'[1]Relatório-1ª med.'!#REF!</definedName>
    <definedName name="____TT95" localSheetId="5">'[1]Relatório-1ª med.'!#REF!</definedName>
    <definedName name="____TT95" localSheetId="0">'[1]Relatório-1ª med.'!#REF!</definedName>
    <definedName name="____TT95" localSheetId="10">'[1]Relatório-1ª med.'!#REF!</definedName>
    <definedName name="____TT95">'[1]Relatório-1ª med.'!#REF!</definedName>
    <definedName name="____TT97" localSheetId="5">'[1]Relatório-1ª med.'!#REF!</definedName>
    <definedName name="____TT97" localSheetId="0">'[1]Relatório-1ª med.'!#REF!</definedName>
    <definedName name="____TT97" localSheetId="10">'[1]Relatório-1ª med.'!#REF!</definedName>
    <definedName name="____TT97">'[1]Relatório-1ª med.'!#REF!</definedName>
    <definedName name="___cab1" localSheetId="5">#REF!</definedName>
    <definedName name="___cab1" localSheetId="0">#REF!</definedName>
    <definedName name="___cab1" localSheetId="10">#REF!</definedName>
    <definedName name="___cab1">#REF!</definedName>
    <definedName name="___emp2">'[3]DMT modelo'!$AA$13</definedName>
    <definedName name="___EXT1" localSheetId="5">#REF!</definedName>
    <definedName name="___EXT1" localSheetId="0">#REF!</definedName>
    <definedName name="___EXT1" localSheetId="10">#REF!</definedName>
    <definedName name="___EXT1">#REF!</definedName>
    <definedName name="___ind100" localSheetId="5">#REF!</definedName>
    <definedName name="___ind100" localSheetId="0">#REF!</definedName>
    <definedName name="___ind100" localSheetId="10">#REF!</definedName>
    <definedName name="___ind100">#REF!</definedName>
    <definedName name="___JAZ1" localSheetId="5">#REF!</definedName>
    <definedName name="___JAZ1" localSheetId="0">#REF!</definedName>
    <definedName name="___JAZ1" localSheetId="10">#REF!</definedName>
    <definedName name="___JAZ1">#REF!</definedName>
    <definedName name="___JAZ11" localSheetId="5">#REF!</definedName>
    <definedName name="___JAZ11" localSheetId="0">#REF!</definedName>
    <definedName name="___JAZ11" localSheetId="10">#REF!</definedName>
    <definedName name="___JAZ11">#REF!</definedName>
    <definedName name="___JAZ2" localSheetId="5">#REF!</definedName>
    <definedName name="___JAZ2" localSheetId="0">#REF!</definedName>
    <definedName name="___JAZ2" localSheetId="10">#REF!</definedName>
    <definedName name="___JAZ2">#REF!</definedName>
    <definedName name="___JAZ22" localSheetId="5">#REF!</definedName>
    <definedName name="___JAZ22" localSheetId="0">#REF!</definedName>
    <definedName name="___JAZ22" localSheetId="10">#REF!</definedName>
    <definedName name="___JAZ22">#REF!</definedName>
    <definedName name="___JAZ3" localSheetId="5">#REF!</definedName>
    <definedName name="___JAZ3" localSheetId="0">#REF!</definedName>
    <definedName name="___JAZ3" localSheetId="10">#REF!</definedName>
    <definedName name="___JAZ3">#REF!</definedName>
    <definedName name="___JAZ33" localSheetId="5">#REF!</definedName>
    <definedName name="___JAZ33" localSheetId="0">#REF!</definedName>
    <definedName name="___JAZ33" localSheetId="10">#REF!</definedName>
    <definedName name="___JAZ33">#REF!</definedName>
    <definedName name="___mem2">'[4]Mat Asf'!$H$37</definedName>
    <definedName name="___oac2" localSheetId="5">#REF!</definedName>
    <definedName name="___oac2" localSheetId="0">#REF!</definedName>
    <definedName name="___oac2" localSheetId="10">#REF!</definedName>
    <definedName name="___oac2">#REF!</definedName>
    <definedName name="___RET1" localSheetId="5">#REF!</definedName>
    <definedName name="___RET1" localSheetId="0">#REF!</definedName>
    <definedName name="___RET1" localSheetId="10">#REF!</definedName>
    <definedName name="___RET1">#REF!</definedName>
    <definedName name="___tsd4" localSheetId="5">#REF!</definedName>
    <definedName name="___tsd4" localSheetId="0">#REF!</definedName>
    <definedName name="___tsd4" localSheetId="10">#REF!</definedName>
    <definedName name="___tsd4">#REF!</definedName>
    <definedName name="___TT102" localSheetId="5">'[1]Relatório-1ª med.'!#REF!</definedName>
    <definedName name="___TT102" localSheetId="0">'[1]Relatório-1ª med.'!#REF!</definedName>
    <definedName name="___TT102" localSheetId="10">'[1]Relatório-1ª med.'!#REF!</definedName>
    <definedName name="___TT102">'[1]Relatório-1ª med.'!#REF!</definedName>
    <definedName name="___TT107" localSheetId="5">'[1]Relatório-1ª med.'!#REF!</definedName>
    <definedName name="___TT107" localSheetId="0">'[1]Relatório-1ª med.'!#REF!</definedName>
    <definedName name="___TT107" localSheetId="10">'[1]Relatório-1ª med.'!#REF!</definedName>
    <definedName name="___TT107">'[1]Relatório-1ª med.'!#REF!</definedName>
    <definedName name="___TT121" localSheetId="5">'[1]Relatório-1ª med.'!#REF!</definedName>
    <definedName name="___TT121" localSheetId="0">'[1]Relatório-1ª med.'!#REF!</definedName>
    <definedName name="___TT121" localSheetId="10">'[1]Relatório-1ª med.'!#REF!</definedName>
    <definedName name="___TT121">'[1]Relatório-1ª med.'!#REF!</definedName>
    <definedName name="___TT123" localSheetId="5">'[1]Relatório-1ª med.'!#REF!</definedName>
    <definedName name="___TT123" localSheetId="0">'[1]Relatório-1ª med.'!#REF!</definedName>
    <definedName name="___TT123" localSheetId="10">'[1]Relatório-1ª med.'!#REF!</definedName>
    <definedName name="___TT123">'[1]Relatório-1ª med.'!#REF!</definedName>
    <definedName name="___TT19" localSheetId="5">'[1]Relatório-1ª med.'!#REF!</definedName>
    <definedName name="___TT19" localSheetId="0">'[1]Relatório-1ª med.'!#REF!</definedName>
    <definedName name="___TT19" localSheetId="10">'[1]Relatório-1ª med.'!#REF!</definedName>
    <definedName name="___TT19">'[1]Relatório-1ª med.'!#REF!</definedName>
    <definedName name="___TT20" localSheetId="5">'[1]Relatório-1ª med.'!#REF!</definedName>
    <definedName name="___TT20" localSheetId="0">'[1]Relatório-1ª med.'!#REF!</definedName>
    <definedName name="___TT20" localSheetId="10">'[1]Relatório-1ª med.'!#REF!</definedName>
    <definedName name="___TT20">'[1]Relatório-1ª med.'!#REF!</definedName>
    <definedName name="___TT21" localSheetId="5">'[1]Relatório-1ª med.'!#REF!</definedName>
    <definedName name="___TT21" localSheetId="0">'[1]Relatório-1ª med.'!#REF!</definedName>
    <definedName name="___TT21" localSheetId="10">'[1]Relatório-1ª med.'!#REF!</definedName>
    <definedName name="___TT21">'[1]Relatório-1ª med.'!#REF!</definedName>
    <definedName name="___TT22" localSheetId="5">'[1]Relatório-1ª med.'!#REF!</definedName>
    <definedName name="___TT22" localSheetId="0">'[1]Relatório-1ª med.'!#REF!</definedName>
    <definedName name="___TT22" localSheetId="10">'[1]Relatório-1ª med.'!#REF!</definedName>
    <definedName name="___TT22">'[1]Relatório-1ª med.'!#REF!</definedName>
    <definedName name="___TT26" localSheetId="5">'[1]Relatório-1ª med.'!#REF!</definedName>
    <definedName name="___TT26" localSheetId="0">'[1]Relatório-1ª med.'!#REF!</definedName>
    <definedName name="___TT26" localSheetId="10">'[1]Relatório-1ª med.'!#REF!</definedName>
    <definedName name="___TT26">'[1]Relatório-1ª med.'!#REF!</definedName>
    <definedName name="___TT27" localSheetId="5">'[1]Relatório-1ª med.'!#REF!</definedName>
    <definedName name="___TT27" localSheetId="0">'[1]Relatório-1ª med.'!#REF!</definedName>
    <definedName name="___TT27" localSheetId="10">'[1]Relatório-1ª med.'!#REF!</definedName>
    <definedName name="___TT27">'[1]Relatório-1ª med.'!#REF!</definedName>
    <definedName name="___TT28" localSheetId="5">'[1]Relatório-1ª med.'!#REF!</definedName>
    <definedName name="___TT28" localSheetId="0">'[1]Relatório-1ª med.'!#REF!</definedName>
    <definedName name="___TT28" localSheetId="10">'[1]Relatório-1ª med.'!#REF!</definedName>
    <definedName name="___TT28">'[1]Relatório-1ª med.'!#REF!</definedName>
    <definedName name="___TT30" localSheetId="5">'[1]Relatório-1ª med.'!#REF!</definedName>
    <definedName name="___TT30" localSheetId="0">'[1]Relatório-1ª med.'!#REF!</definedName>
    <definedName name="___TT30" localSheetId="10">'[1]Relatório-1ª med.'!#REF!</definedName>
    <definedName name="___TT30">'[1]Relatório-1ª med.'!#REF!</definedName>
    <definedName name="___TT31" localSheetId="5">'[1]Relatório-1ª med.'!#REF!</definedName>
    <definedName name="___TT31" localSheetId="0">'[1]Relatório-1ª med.'!#REF!</definedName>
    <definedName name="___TT31" localSheetId="10">'[1]Relatório-1ª med.'!#REF!</definedName>
    <definedName name="___TT31">'[1]Relatório-1ª med.'!#REF!</definedName>
    <definedName name="___TT32" localSheetId="5">'[1]Relatório-1ª med.'!#REF!</definedName>
    <definedName name="___TT32" localSheetId="0">'[1]Relatório-1ª med.'!#REF!</definedName>
    <definedName name="___TT32" localSheetId="10">'[1]Relatório-1ª med.'!#REF!</definedName>
    <definedName name="___TT32">'[1]Relatório-1ª med.'!#REF!</definedName>
    <definedName name="___TT33" localSheetId="5">'[1]Relatório-1ª med.'!#REF!</definedName>
    <definedName name="___TT33" localSheetId="0">'[1]Relatório-1ª med.'!#REF!</definedName>
    <definedName name="___TT33" localSheetId="10">'[1]Relatório-1ª med.'!#REF!</definedName>
    <definedName name="___TT33">'[1]Relatório-1ª med.'!#REF!</definedName>
    <definedName name="___TT34" localSheetId="5">'[1]Relatório-1ª med.'!#REF!</definedName>
    <definedName name="___TT34" localSheetId="0">'[1]Relatório-1ª med.'!#REF!</definedName>
    <definedName name="___TT34" localSheetId="10">'[1]Relatório-1ª med.'!#REF!</definedName>
    <definedName name="___TT34">'[1]Relatório-1ª med.'!#REF!</definedName>
    <definedName name="___TT36" localSheetId="5">'[1]Relatório-1ª med.'!#REF!</definedName>
    <definedName name="___TT36" localSheetId="0">'[1]Relatório-1ª med.'!#REF!</definedName>
    <definedName name="___TT36" localSheetId="10">'[1]Relatório-1ª med.'!#REF!</definedName>
    <definedName name="___TT36">'[1]Relatório-1ª med.'!#REF!</definedName>
    <definedName name="___TT37" localSheetId="5">'[1]Relatório-1ª med.'!#REF!</definedName>
    <definedName name="___TT37" localSheetId="0">'[1]Relatório-1ª med.'!#REF!</definedName>
    <definedName name="___TT37" localSheetId="10">'[1]Relatório-1ª med.'!#REF!</definedName>
    <definedName name="___TT37">'[1]Relatório-1ª med.'!#REF!</definedName>
    <definedName name="___TT38" localSheetId="5">'[1]Relatório-1ª med.'!#REF!</definedName>
    <definedName name="___TT38" localSheetId="0">'[1]Relatório-1ª med.'!#REF!</definedName>
    <definedName name="___TT38" localSheetId="10">'[1]Relatório-1ª med.'!#REF!</definedName>
    <definedName name="___TT38">'[1]Relatório-1ª med.'!#REF!</definedName>
    <definedName name="___TT39" localSheetId="5">'[1]Relatório-1ª med.'!#REF!</definedName>
    <definedName name="___TT39" localSheetId="0">'[1]Relatório-1ª med.'!#REF!</definedName>
    <definedName name="___TT39" localSheetId="10">'[1]Relatório-1ª med.'!#REF!</definedName>
    <definedName name="___TT39">'[1]Relatório-1ª med.'!#REF!</definedName>
    <definedName name="___TT40" localSheetId="5">'[1]Relatório-1ª med.'!#REF!</definedName>
    <definedName name="___TT40" localSheetId="0">'[1]Relatório-1ª med.'!#REF!</definedName>
    <definedName name="___TT40" localSheetId="10">'[1]Relatório-1ª med.'!#REF!</definedName>
    <definedName name="___TT40">'[1]Relatório-1ª med.'!#REF!</definedName>
    <definedName name="___TT5" localSheetId="5">'[1]Relatório-1ª med.'!#REF!</definedName>
    <definedName name="___TT5" localSheetId="0">'[1]Relatório-1ª med.'!#REF!</definedName>
    <definedName name="___TT5" localSheetId="10">'[1]Relatório-1ª med.'!#REF!</definedName>
    <definedName name="___TT5">'[1]Relatório-1ª med.'!#REF!</definedName>
    <definedName name="___TT52" localSheetId="5">'[1]Relatório-1ª med.'!#REF!</definedName>
    <definedName name="___TT52" localSheetId="0">'[1]Relatório-1ª med.'!#REF!</definedName>
    <definedName name="___TT52" localSheetId="10">'[1]Relatório-1ª med.'!#REF!</definedName>
    <definedName name="___TT52">'[1]Relatório-1ª med.'!#REF!</definedName>
    <definedName name="___TT53" localSheetId="5">'[1]Relatório-1ª med.'!#REF!</definedName>
    <definedName name="___TT53" localSheetId="0">'[1]Relatório-1ª med.'!#REF!</definedName>
    <definedName name="___TT53" localSheetId="10">'[1]Relatório-1ª med.'!#REF!</definedName>
    <definedName name="___TT53">'[1]Relatório-1ª med.'!#REF!</definedName>
    <definedName name="___TT54" localSheetId="5">'[1]Relatório-1ª med.'!#REF!</definedName>
    <definedName name="___TT54" localSheetId="0">'[1]Relatório-1ª med.'!#REF!</definedName>
    <definedName name="___TT54" localSheetId="10">'[1]Relatório-1ª med.'!#REF!</definedName>
    <definedName name="___TT54">'[1]Relatório-1ª med.'!#REF!</definedName>
    <definedName name="___TT55" localSheetId="5">'[1]Relatório-1ª med.'!#REF!</definedName>
    <definedName name="___TT55" localSheetId="0">'[1]Relatório-1ª med.'!#REF!</definedName>
    <definedName name="___TT55" localSheetId="10">'[1]Relatório-1ª med.'!#REF!</definedName>
    <definedName name="___TT55">'[1]Relatório-1ª med.'!#REF!</definedName>
    <definedName name="___TT6" localSheetId="5">'[1]Relatório-1ª med.'!#REF!</definedName>
    <definedName name="___TT6" localSheetId="0">'[1]Relatório-1ª med.'!#REF!</definedName>
    <definedName name="___TT6" localSheetId="10">'[1]Relatório-1ª med.'!#REF!</definedName>
    <definedName name="___TT6">'[1]Relatório-1ª med.'!#REF!</definedName>
    <definedName name="___TT60" localSheetId="5">'[1]Relatório-1ª med.'!#REF!</definedName>
    <definedName name="___TT60" localSheetId="0">'[1]Relatório-1ª med.'!#REF!</definedName>
    <definedName name="___TT60" localSheetId="10">'[1]Relatório-1ª med.'!#REF!</definedName>
    <definedName name="___TT60">'[1]Relatório-1ª med.'!#REF!</definedName>
    <definedName name="___TT61" localSheetId="5">'[1]Relatório-1ª med.'!#REF!</definedName>
    <definedName name="___TT61" localSheetId="0">'[1]Relatório-1ª med.'!#REF!</definedName>
    <definedName name="___TT61" localSheetId="10">'[1]Relatório-1ª med.'!#REF!</definedName>
    <definedName name="___TT61">'[1]Relatório-1ª med.'!#REF!</definedName>
    <definedName name="___TT69" localSheetId="5">'[1]Relatório-1ª med.'!#REF!</definedName>
    <definedName name="___TT69" localSheetId="0">'[1]Relatório-1ª med.'!#REF!</definedName>
    <definedName name="___TT69" localSheetId="10">'[1]Relatório-1ª med.'!#REF!</definedName>
    <definedName name="___TT69">'[1]Relatório-1ª med.'!#REF!</definedName>
    <definedName name="___TT7" localSheetId="5">'[1]Relatório-1ª med.'!#REF!</definedName>
    <definedName name="___TT7" localSheetId="0">'[1]Relatório-1ª med.'!#REF!</definedName>
    <definedName name="___TT7" localSheetId="10">'[1]Relatório-1ª med.'!#REF!</definedName>
    <definedName name="___TT7">'[1]Relatório-1ª med.'!#REF!</definedName>
    <definedName name="___TT70" localSheetId="5">'[1]Relatório-1ª med.'!#REF!</definedName>
    <definedName name="___TT70" localSheetId="0">'[1]Relatório-1ª med.'!#REF!</definedName>
    <definedName name="___TT70" localSheetId="10">'[1]Relatório-1ª med.'!#REF!</definedName>
    <definedName name="___TT70">'[1]Relatório-1ª med.'!#REF!</definedName>
    <definedName name="___TT71" localSheetId="5">'[1]Relatório-1ª med.'!#REF!</definedName>
    <definedName name="___TT71" localSheetId="0">'[1]Relatório-1ª med.'!#REF!</definedName>
    <definedName name="___TT71" localSheetId="10">'[1]Relatório-1ª med.'!#REF!</definedName>
    <definedName name="___TT71">'[1]Relatório-1ª med.'!#REF!</definedName>
    <definedName name="___TT74" localSheetId="5">'[1]Relatório-1ª med.'!#REF!</definedName>
    <definedName name="___TT74" localSheetId="0">'[1]Relatório-1ª med.'!#REF!</definedName>
    <definedName name="___TT74" localSheetId="10">'[1]Relatório-1ª med.'!#REF!</definedName>
    <definedName name="___TT74">'[1]Relatório-1ª med.'!#REF!</definedName>
    <definedName name="___TT75" localSheetId="5">'[1]Relatório-1ª med.'!#REF!</definedName>
    <definedName name="___TT75" localSheetId="0">'[1]Relatório-1ª med.'!#REF!</definedName>
    <definedName name="___TT75" localSheetId="10">'[1]Relatório-1ª med.'!#REF!</definedName>
    <definedName name="___TT75">'[1]Relatório-1ª med.'!#REF!</definedName>
    <definedName name="___TT76" localSheetId="5">'[1]Relatório-1ª med.'!#REF!</definedName>
    <definedName name="___TT76" localSheetId="0">'[1]Relatório-1ª med.'!#REF!</definedName>
    <definedName name="___TT76" localSheetId="10">'[1]Relatório-1ª med.'!#REF!</definedName>
    <definedName name="___TT76">'[1]Relatório-1ª med.'!#REF!</definedName>
    <definedName name="___TT77" localSheetId="5">'[1]Relatório-1ª med.'!#REF!</definedName>
    <definedName name="___TT77" localSheetId="0">'[1]Relatório-1ª med.'!#REF!</definedName>
    <definedName name="___TT77" localSheetId="10">'[1]Relatório-1ª med.'!#REF!</definedName>
    <definedName name="___TT77">'[1]Relatório-1ª med.'!#REF!</definedName>
    <definedName name="___TT78" localSheetId="5">'[1]Relatório-1ª med.'!#REF!</definedName>
    <definedName name="___TT78" localSheetId="0">'[1]Relatório-1ª med.'!#REF!</definedName>
    <definedName name="___TT78" localSheetId="10">'[1]Relatório-1ª med.'!#REF!</definedName>
    <definedName name="___TT78">'[1]Relatório-1ª med.'!#REF!</definedName>
    <definedName name="___TT79" localSheetId="5">'[1]Relatório-1ª med.'!#REF!</definedName>
    <definedName name="___TT79" localSheetId="0">'[1]Relatório-1ª med.'!#REF!</definedName>
    <definedName name="___TT79" localSheetId="10">'[1]Relatório-1ª med.'!#REF!</definedName>
    <definedName name="___TT79">'[1]Relatório-1ª med.'!#REF!</definedName>
    <definedName name="___TT94" localSheetId="5">'[1]Relatório-1ª med.'!#REF!</definedName>
    <definedName name="___TT94" localSheetId="0">'[1]Relatório-1ª med.'!#REF!</definedName>
    <definedName name="___TT94" localSheetId="10">'[1]Relatório-1ª med.'!#REF!</definedName>
    <definedName name="___TT94">'[1]Relatório-1ª med.'!#REF!</definedName>
    <definedName name="___TT95" localSheetId="5">'[1]Relatório-1ª med.'!#REF!</definedName>
    <definedName name="___TT95" localSheetId="0">'[1]Relatório-1ª med.'!#REF!</definedName>
    <definedName name="___TT95" localSheetId="10">'[1]Relatório-1ª med.'!#REF!</definedName>
    <definedName name="___TT95">'[1]Relatório-1ª med.'!#REF!</definedName>
    <definedName name="___TT97" localSheetId="5">'[1]Relatório-1ª med.'!#REF!</definedName>
    <definedName name="___TT97" localSheetId="0">'[1]Relatório-1ª med.'!#REF!</definedName>
    <definedName name="___TT97" localSheetId="10">'[1]Relatório-1ª med.'!#REF!</definedName>
    <definedName name="___TT97">'[1]Relatório-1ª med.'!#REF!</definedName>
    <definedName name="__123Graph_A" hidden="1">[5]aux!$I$28:$M$28</definedName>
    <definedName name="__123Graph_AGraph1" hidden="1">[5]aux!$I$6:$M$6</definedName>
    <definedName name="__123Graph_AGraph10" hidden="1">[5]aux!$I$24:$M$24</definedName>
    <definedName name="__123Graph_AGraph11" hidden="1">[5]aux!$I$26:$M$26</definedName>
    <definedName name="__123Graph_AGraph12" hidden="1">[5]aux!$I$28:$M$28</definedName>
    <definedName name="__123Graph_AGraph2" hidden="1">[5]aux!$I$8:$M$8</definedName>
    <definedName name="__123Graph_AGraph3" hidden="1">[5]aux!$I$10:$M$10</definedName>
    <definedName name="__123Graph_AGraph4" hidden="1">[5]aux!$I$12:$M$12</definedName>
    <definedName name="__123Graph_AGraph5" hidden="1">[5]aux!$I$14:$M$14</definedName>
    <definedName name="__123Graph_AGraph6" hidden="1">[5]aux!$I$16:$M$16</definedName>
    <definedName name="__123Graph_AGraph7" hidden="1">[5]aux!$I$18:$M$18</definedName>
    <definedName name="__123Graph_AGraph8" hidden="1">[5]aux!$I$20:$M$20</definedName>
    <definedName name="__123Graph_AGraph9" hidden="1">[5]aux!$I$22:$M$22</definedName>
    <definedName name="__123Graph_B" hidden="1">[5]aux!$B$28:$F$28</definedName>
    <definedName name="__123Graph_BGraph1" hidden="1">[5]aux!$B$6:$F$6</definedName>
    <definedName name="__123Graph_BGraph10" hidden="1">[5]aux!$B$24:$F$24</definedName>
    <definedName name="__123Graph_BGraph11" hidden="1">[5]aux!$B$26:$F$26</definedName>
    <definedName name="__123Graph_BGraph12" hidden="1">[5]aux!$B$28:$F$28</definedName>
    <definedName name="__123Graph_BGraph2" hidden="1">[5]aux!$B$8:$F$8</definedName>
    <definedName name="__123Graph_BGraph3" hidden="1">[5]aux!$B$10:$F$10</definedName>
    <definedName name="__123Graph_BGraph4" hidden="1">[5]aux!$B$12:$F$12</definedName>
    <definedName name="__123Graph_BGraph5" hidden="1">[5]aux!$B$14:$F$14</definedName>
    <definedName name="__123Graph_BGraph6" hidden="1">[5]aux!$B$16:$F$16</definedName>
    <definedName name="__123Graph_BGraph7" hidden="1">[5]aux!$B$18:$F$18</definedName>
    <definedName name="__123Graph_BGraph8" hidden="1">[5]aux!$B$20:$F$20</definedName>
    <definedName name="__123Graph_BGraph9" hidden="1">[5]aux!$B$22:$F$22</definedName>
    <definedName name="__123Graph_X" hidden="1">[5]aux!$B$29:$F$29</definedName>
    <definedName name="__123Graph_XGraph1" hidden="1">[5]aux!$B$7:$F$7</definedName>
    <definedName name="__123Graph_XGraph10" hidden="1">[5]aux!$B$25:$F$25</definedName>
    <definedName name="__123Graph_XGraph11" hidden="1">[5]aux!$B$27:$F$27</definedName>
    <definedName name="__123Graph_XGraph12" hidden="1">[5]aux!$B$29:$F$29</definedName>
    <definedName name="__123Graph_XGraph2" hidden="1">[5]aux!$B$9:$F$9</definedName>
    <definedName name="__123Graph_XGraph3" hidden="1">[5]aux!$B$11:$F$11</definedName>
    <definedName name="__123Graph_XGraph4" hidden="1">[5]aux!$B$13:$F$13</definedName>
    <definedName name="__123Graph_XGraph5" hidden="1">[5]aux!$B$15:$F$15</definedName>
    <definedName name="__123Graph_XGraph6" hidden="1">[5]aux!$B$17:$F$17</definedName>
    <definedName name="__123Graph_XGraph7" hidden="1">[5]aux!$B$19:$F$19</definedName>
    <definedName name="__123Graph_XGraph8" hidden="1">[5]aux!$B$21:$F$21</definedName>
    <definedName name="__123Graph_XGraph9" hidden="1">[5]aux!$B$23:$F$23</definedName>
    <definedName name="__cab1" localSheetId="5">#REF!</definedName>
    <definedName name="__cab1" localSheetId="0">#REF!</definedName>
    <definedName name="__cab1" localSheetId="10">#REF!</definedName>
    <definedName name="__cab1">#REF!</definedName>
    <definedName name="__emp2">'[3]DMT modelo'!$AA$13</definedName>
    <definedName name="__EXT1" localSheetId="5">#REF!</definedName>
    <definedName name="__EXT1" localSheetId="0">#REF!</definedName>
    <definedName name="__EXT1" localSheetId="10">#REF!</definedName>
    <definedName name="__EXT1">#REF!</definedName>
    <definedName name="__ind100" localSheetId="5">#REF!</definedName>
    <definedName name="__ind100" localSheetId="0">#REF!</definedName>
    <definedName name="__ind100" localSheetId="10">#REF!</definedName>
    <definedName name="__ind100">#REF!</definedName>
    <definedName name="__JAZ1" localSheetId="5">#REF!</definedName>
    <definedName name="__JAZ1" localSheetId="0">#REF!</definedName>
    <definedName name="__JAZ1" localSheetId="10">#REF!</definedName>
    <definedName name="__JAZ1">#REF!</definedName>
    <definedName name="__JAZ11" localSheetId="5">#REF!</definedName>
    <definedName name="__JAZ11" localSheetId="0">#REF!</definedName>
    <definedName name="__JAZ11" localSheetId="10">#REF!</definedName>
    <definedName name="__JAZ11">#REF!</definedName>
    <definedName name="__JAZ2" localSheetId="5">#REF!</definedName>
    <definedName name="__JAZ2" localSheetId="0">#REF!</definedName>
    <definedName name="__JAZ2" localSheetId="10">#REF!</definedName>
    <definedName name="__JAZ2">#REF!</definedName>
    <definedName name="__JAZ22" localSheetId="5">#REF!</definedName>
    <definedName name="__JAZ22" localSheetId="0">#REF!</definedName>
    <definedName name="__JAZ22" localSheetId="10">#REF!</definedName>
    <definedName name="__JAZ22">#REF!</definedName>
    <definedName name="__JAZ3" localSheetId="5">#REF!</definedName>
    <definedName name="__JAZ3" localSheetId="0">#REF!</definedName>
    <definedName name="__JAZ3" localSheetId="10">#REF!</definedName>
    <definedName name="__JAZ3">#REF!</definedName>
    <definedName name="__JAZ33" localSheetId="5">#REF!</definedName>
    <definedName name="__JAZ33" localSheetId="0">#REF!</definedName>
    <definedName name="__JAZ33" localSheetId="10">#REF!</definedName>
    <definedName name="__JAZ33">#REF!</definedName>
    <definedName name="__mem2">'[4]Mat Asf'!$H$37</definedName>
    <definedName name="__oac2" localSheetId="5">#REF!</definedName>
    <definedName name="__oac2" localSheetId="0">#REF!</definedName>
    <definedName name="__oac2" localSheetId="10">#REF!</definedName>
    <definedName name="__oac2">#REF!</definedName>
    <definedName name="__RET1" localSheetId="5">#REF!</definedName>
    <definedName name="__RET1" localSheetId="0">#REF!</definedName>
    <definedName name="__RET1" localSheetId="10">#REF!</definedName>
    <definedName name="__RET1">#REF!</definedName>
    <definedName name="__tsd4" localSheetId="5">#REF!</definedName>
    <definedName name="__tsd4" localSheetId="0">#REF!</definedName>
    <definedName name="__tsd4" localSheetId="10">#REF!</definedName>
    <definedName name="__tsd4">#REF!</definedName>
    <definedName name="__TT102" localSheetId="5">'[1]Relatório-1ª med.'!#REF!</definedName>
    <definedName name="__TT102" localSheetId="0">'[1]Relatório-1ª med.'!#REF!</definedName>
    <definedName name="__TT102" localSheetId="10">'[1]Relatório-1ª med.'!#REF!</definedName>
    <definedName name="__TT102">'[1]Relatório-1ª med.'!#REF!</definedName>
    <definedName name="__TT107" localSheetId="5">'[1]Relatório-1ª med.'!#REF!</definedName>
    <definedName name="__TT107" localSheetId="0">'[1]Relatório-1ª med.'!#REF!</definedName>
    <definedName name="__TT107" localSheetId="10">'[1]Relatório-1ª med.'!#REF!</definedName>
    <definedName name="__TT107">'[1]Relatório-1ª med.'!#REF!</definedName>
    <definedName name="__TT121" localSheetId="5">'[1]Relatório-1ª med.'!#REF!</definedName>
    <definedName name="__TT121" localSheetId="0">'[1]Relatório-1ª med.'!#REF!</definedName>
    <definedName name="__TT121" localSheetId="10">'[1]Relatório-1ª med.'!#REF!</definedName>
    <definedName name="__TT121">'[1]Relatório-1ª med.'!#REF!</definedName>
    <definedName name="__TT123" localSheetId="5">'[1]Relatório-1ª med.'!#REF!</definedName>
    <definedName name="__TT123" localSheetId="0">'[1]Relatório-1ª med.'!#REF!</definedName>
    <definedName name="__TT123" localSheetId="10">'[1]Relatório-1ª med.'!#REF!</definedName>
    <definedName name="__TT123">'[1]Relatório-1ª med.'!#REF!</definedName>
    <definedName name="__TT19" localSheetId="5">'[1]Relatório-1ª med.'!#REF!</definedName>
    <definedName name="__TT19" localSheetId="0">'[1]Relatório-1ª med.'!#REF!</definedName>
    <definedName name="__TT19" localSheetId="10">'[1]Relatório-1ª med.'!#REF!</definedName>
    <definedName name="__TT19">'[1]Relatório-1ª med.'!#REF!</definedName>
    <definedName name="__TT20" localSheetId="5">'[1]Relatório-1ª med.'!#REF!</definedName>
    <definedName name="__TT20" localSheetId="0">'[1]Relatório-1ª med.'!#REF!</definedName>
    <definedName name="__TT20" localSheetId="10">'[1]Relatório-1ª med.'!#REF!</definedName>
    <definedName name="__TT20">'[1]Relatório-1ª med.'!#REF!</definedName>
    <definedName name="__TT21" localSheetId="5">'[1]Relatório-1ª med.'!#REF!</definedName>
    <definedName name="__TT21" localSheetId="0">'[1]Relatório-1ª med.'!#REF!</definedName>
    <definedName name="__TT21" localSheetId="10">'[1]Relatório-1ª med.'!#REF!</definedName>
    <definedName name="__TT21">'[1]Relatório-1ª med.'!#REF!</definedName>
    <definedName name="__TT22" localSheetId="5">'[1]Relatório-1ª med.'!#REF!</definedName>
    <definedName name="__TT22" localSheetId="0">'[1]Relatório-1ª med.'!#REF!</definedName>
    <definedName name="__TT22" localSheetId="10">'[1]Relatório-1ª med.'!#REF!</definedName>
    <definedName name="__TT22">'[1]Relatório-1ª med.'!#REF!</definedName>
    <definedName name="__TT26" localSheetId="5">'[1]Relatório-1ª med.'!#REF!</definedName>
    <definedName name="__TT26" localSheetId="0">'[1]Relatório-1ª med.'!#REF!</definedName>
    <definedName name="__TT26" localSheetId="10">'[1]Relatório-1ª med.'!#REF!</definedName>
    <definedName name="__TT26">'[1]Relatório-1ª med.'!#REF!</definedName>
    <definedName name="__TT27" localSheetId="5">'[1]Relatório-1ª med.'!#REF!</definedName>
    <definedName name="__TT27" localSheetId="0">'[1]Relatório-1ª med.'!#REF!</definedName>
    <definedName name="__TT27" localSheetId="10">'[1]Relatório-1ª med.'!#REF!</definedName>
    <definedName name="__TT27">'[1]Relatório-1ª med.'!#REF!</definedName>
    <definedName name="__TT28" localSheetId="5">'[1]Relatório-1ª med.'!#REF!</definedName>
    <definedName name="__TT28" localSheetId="0">'[1]Relatório-1ª med.'!#REF!</definedName>
    <definedName name="__TT28" localSheetId="10">'[1]Relatório-1ª med.'!#REF!</definedName>
    <definedName name="__TT28">'[1]Relatório-1ª med.'!#REF!</definedName>
    <definedName name="__TT30" localSheetId="5">'[1]Relatório-1ª med.'!#REF!</definedName>
    <definedName name="__TT30" localSheetId="0">'[1]Relatório-1ª med.'!#REF!</definedName>
    <definedName name="__TT30" localSheetId="10">'[1]Relatório-1ª med.'!#REF!</definedName>
    <definedName name="__TT30">'[1]Relatório-1ª med.'!#REF!</definedName>
    <definedName name="__TT31" localSheetId="5">'[1]Relatório-1ª med.'!#REF!</definedName>
    <definedName name="__TT31" localSheetId="0">'[1]Relatório-1ª med.'!#REF!</definedName>
    <definedName name="__TT31" localSheetId="10">'[1]Relatório-1ª med.'!#REF!</definedName>
    <definedName name="__TT31">'[1]Relatório-1ª med.'!#REF!</definedName>
    <definedName name="__TT32" localSheetId="5">'[1]Relatório-1ª med.'!#REF!</definedName>
    <definedName name="__TT32" localSheetId="0">'[1]Relatório-1ª med.'!#REF!</definedName>
    <definedName name="__TT32" localSheetId="10">'[1]Relatório-1ª med.'!#REF!</definedName>
    <definedName name="__TT32">'[1]Relatório-1ª med.'!#REF!</definedName>
    <definedName name="__TT33" localSheetId="5">'[1]Relatório-1ª med.'!#REF!</definedName>
    <definedName name="__TT33" localSheetId="0">'[1]Relatório-1ª med.'!#REF!</definedName>
    <definedName name="__TT33" localSheetId="10">'[1]Relatório-1ª med.'!#REF!</definedName>
    <definedName name="__TT33">'[1]Relatório-1ª med.'!#REF!</definedName>
    <definedName name="__TT34" localSheetId="5">'[1]Relatório-1ª med.'!#REF!</definedName>
    <definedName name="__TT34" localSheetId="0">'[1]Relatório-1ª med.'!#REF!</definedName>
    <definedName name="__TT34" localSheetId="10">'[1]Relatório-1ª med.'!#REF!</definedName>
    <definedName name="__TT34">'[1]Relatório-1ª med.'!#REF!</definedName>
    <definedName name="__TT36" localSheetId="5">'[1]Relatório-1ª med.'!#REF!</definedName>
    <definedName name="__TT36" localSheetId="0">'[1]Relatório-1ª med.'!#REF!</definedName>
    <definedName name="__TT36" localSheetId="10">'[1]Relatório-1ª med.'!#REF!</definedName>
    <definedName name="__TT36">'[1]Relatório-1ª med.'!#REF!</definedName>
    <definedName name="__TT37" localSheetId="5">'[1]Relatório-1ª med.'!#REF!</definedName>
    <definedName name="__TT37" localSheetId="0">'[1]Relatório-1ª med.'!#REF!</definedName>
    <definedName name="__TT37" localSheetId="10">'[1]Relatório-1ª med.'!#REF!</definedName>
    <definedName name="__TT37">'[1]Relatório-1ª med.'!#REF!</definedName>
    <definedName name="__TT38" localSheetId="5">'[1]Relatório-1ª med.'!#REF!</definedName>
    <definedName name="__TT38" localSheetId="0">'[1]Relatório-1ª med.'!#REF!</definedName>
    <definedName name="__TT38" localSheetId="10">'[1]Relatório-1ª med.'!#REF!</definedName>
    <definedName name="__TT38">'[1]Relatório-1ª med.'!#REF!</definedName>
    <definedName name="__TT39" localSheetId="5">'[1]Relatório-1ª med.'!#REF!</definedName>
    <definedName name="__TT39" localSheetId="0">'[1]Relatório-1ª med.'!#REF!</definedName>
    <definedName name="__TT39" localSheetId="10">'[1]Relatório-1ª med.'!#REF!</definedName>
    <definedName name="__TT39">'[1]Relatório-1ª med.'!#REF!</definedName>
    <definedName name="__TT40" localSheetId="5">'[1]Relatório-1ª med.'!#REF!</definedName>
    <definedName name="__TT40" localSheetId="0">'[1]Relatório-1ª med.'!#REF!</definedName>
    <definedName name="__TT40" localSheetId="10">'[1]Relatório-1ª med.'!#REF!</definedName>
    <definedName name="__TT40">'[1]Relatório-1ª med.'!#REF!</definedName>
    <definedName name="__TT5" localSheetId="5">'[1]Relatório-1ª med.'!#REF!</definedName>
    <definedName name="__TT5" localSheetId="0">'[1]Relatório-1ª med.'!#REF!</definedName>
    <definedName name="__TT5" localSheetId="10">'[1]Relatório-1ª med.'!#REF!</definedName>
    <definedName name="__TT5">'[1]Relatório-1ª med.'!#REF!</definedName>
    <definedName name="__TT52" localSheetId="5">'[1]Relatório-1ª med.'!#REF!</definedName>
    <definedName name="__TT52" localSheetId="0">'[1]Relatório-1ª med.'!#REF!</definedName>
    <definedName name="__TT52" localSheetId="10">'[1]Relatório-1ª med.'!#REF!</definedName>
    <definedName name="__TT52">'[1]Relatório-1ª med.'!#REF!</definedName>
    <definedName name="__TT53" localSheetId="5">'[1]Relatório-1ª med.'!#REF!</definedName>
    <definedName name="__TT53" localSheetId="0">'[1]Relatório-1ª med.'!#REF!</definedName>
    <definedName name="__TT53" localSheetId="10">'[1]Relatório-1ª med.'!#REF!</definedName>
    <definedName name="__TT53">'[1]Relatório-1ª med.'!#REF!</definedName>
    <definedName name="__TT54" localSheetId="5">'[1]Relatório-1ª med.'!#REF!</definedName>
    <definedName name="__TT54" localSheetId="0">'[1]Relatório-1ª med.'!#REF!</definedName>
    <definedName name="__TT54" localSheetId="10">'[1]Relatório-1ª med.'!#REF!</definedName>
    <definedName name="__TT54">'[1]Relatório-1ª med.'!#REF!</definedName>
    <definedName name="__TT55" localSheetId="5">'[1]Relatório-1ª med.'!#REF!</definedName>
    <definedName name="__TT55" localSheetId="0">'[1]Relatório-1ª med.'!#REF!</definedName>
    <definedName name="__TT55" localSheetId="10">'[1]Relatório-1ª med.'!#REF!</definedName>
    <definedName name="__TT55">'[1]Relatório-1ª med.'!#REF!</definedName>
    <definedName name="__TT6" localSheetId="5">'[1]Relatório-1ª med.'!#REF!</definedName>
    <definedName name="__TT6" localSheetId="0">'[1]Relatório-1ª med.'!#REF!</definedName>
    <definedName name="__TT6" localSheetId="10">'[1]Relatório-1ª med.'!#REF!</definedName>
    <definedName name="__TT6">'[1]Relatório-1ª med.'!#REF!</definedName>
    <definedName name="__TT60" localSheetId="5">'[1]Relatório-1ª med.'!#REF!</definedName>
    <definedName name="__TT60" localSheetId="0">'[1]Relatório-1ª med.'!#REF!</definedName>
    <definedName name="__TT60" localSheetId="10">'[1]Relatório-1ª med.'!#REF!</definedName>
    <definedName name="__TT60">'[1]Relatório-1ª med.'!#REF!</definedName>
    <definedName name="__TT61" localSheetId="5">'[1]Relatório-1ª med.'!#REF!</definedName>
    <definedName name="__TT61" localSheetId="0">'[1]Relatório-1ª med.'!#REF!</definedName>
    <definedName name="__TT61" localSheetId="10">'[1]Relatório-1ª med.'!#REF!</definedName>
    <definedName name="__TT61">'[1]Relatório-1ª med.'!#REF!</definedName>
    <definedName name="__TT69" localSheetId="5">'[1]Relatório-1ª med.'!#REF!</definedName>
    <definedName name="__TT69" localSheetId="0">'[1]Relatório-1ª med.'!#REF!</definedName>
    <definedName name="__TT69" localSheetId="10">'[1]Relatório-1ª med.'!#REF!</definedName>
    <definedName name="__TT69">'[1]Relatório-1ª med.'!#REF!</definedName>
    <definedName name="__TT7" localSheetId="5">'[1]Relatório-1ª med.'!#REF!</definedName>
    <definedName name="__TT7" localSheetId="0">'[1]Relatório-1ª med.'!#REF!</definedName>
    <definedName name="__TT7" localSheetId="10">'[1]Relatório-1ª med.'!#REF!</definedName>
    <definedName name="__TT7">'[1]Relatório-1ª med.'!#REF!</definedName>
    <definedName name="__TT70" localSheetId="5">'[1]Relatório-1ª med.'!#REF!</definedName>
    <definedName name="__TT70" localSheetId="0">'[1]Relatório-1ª med.'!#REF!</definedName>
    <definedName name="__TT70" localSheetId="10">'[1]Relatório-1ª med.'!#REF!</definedName>
    <definedName name="__TT70">'[1]Relatório-1ª med.'!#REF!</definedName>
    <definedName name="__TT71" localSheetId="5">'[1]Relatório-1ª med.'!#REF!</definedName>
    <definedName name="__TT71" localSheetId="0">'[1]Relatório-1ª med.'!#REF!</definedName>
    <definedName name="__TT71" localSheetId="10">'[1]Relatório-1ª med.'!#REF!</definedName>
    <definedName name="__TT71">'[1]Relatório-1ª med.'!#REF!</definedName>
    <definedName name="__TT74" localSheetId="5">'[1]Relatório-1ª med.'!#REF!</definedName>
    <definedName name="__TT74" localSheetId="0">'[1]Relatório-1ª med.'!#REF!</definedName>
    <definedName name="__TT74" localSheetId="10">'[1]Relatório-1ª med.'!#REF!</definedName>
    <definedName name="__TT74">'[1]Relatório-1ª med.'!#REF!</definedName>
    <definedName name="__TT75" localSheetId="5">'[1]Relatório-1ª med.'!#REF!</definedName>
    <definedName name="__TT75" localSheetId="0">'[1]Relatório-1ª med.'!#REF!</definedName>
    <definedName name="__TT75" localSheetId="10">'[1]Relatório-1ª med.'!#REF!</definedName>
    <definedName name="__TT75">'[1]Relatório-1ª med.'!#REF!</definedName>
    <definedName name="__TT76" localSheetId="5">'[1]Relatório-1ª med.'!#REF!</definedName>
    <definedName name="__TT76" localSheetId="0">'[1]Relatório-1ª med.'!#REF!</definedName>
    <definedName name="__TT76" localSheetId="10">'[1]Relatório-1ª med.'!#REF!</definedName>
    <definedName name="__TT76">'[1]Relatório-1ª med.'!#REF!</definedName>
    <definedName name="__TT77" localSheetId="5">'[1]Relatório-1ª med.'!#REF!</definedName>
    <definedName name="__TT77" localSheetId="0">'[1]Relatório-1ª med.'!#REF!</definedName>
    <definedName name="__TT77" localSheetId="10">'[1]Relatório-1ª med.'!#REF!</definedName>
    <definedName name="__TT77">'[1]Relatório-1ª med.'!#REF!</definedName>
    <definedName name="__TT78" localSheetId="5">'[1]Relatório-1ª med.'!#REF!</definedName>
    <definedName name="__TT78" localSheetId="0">'[1]Relatório-1ª med.'!#REF!</definedName>
    <definedName name="__TT78" localSheetId="10">'[1]Relatório-1ª med.'!#REF!</definedName>
    <definedName name="__TT78">'[1]Relatório-1ª med.'!#REF!</definedName>
    <definedName name="__TT79" localSheetId="5">'[1]Relatório-1ª med.'!#REF!</definedName>
    <definedName name="__TT79" localSheetId="0">'[1]Relatório-1ª med.'!#REF!</definedName>
    <definedName name="__TT79" localSheetId="10">'[1]Relatório-1ª med.'!#REF!</definedName>
    <definedName name="__TT79">'[1]Relatório-1ª med.'!#REF!</definedName>
    <definedName name="__TT94" localSheetId="5">'[1]Relatório-1ª med.'!#REF!</definedName>
    <definedName name="__TT94" localSheetId="0">'[1]Relatório-1ª med.'!#REF!</definedName>
    <definedName name="__TT94" localSheetId="10">'[1]Relatório-1ª med.'!#REF!</definedName>
    <definedName name="__TT94">'[1]Relatório-1ª med.'!#REF!</definedName>
    <definedName name="__TT95" localSheetId="5">'[1]Relatório-1ª med.'!#REF!</definedName>
    <definedName name="__TT95" localSheetId="0">'[1]Relatório-1ª med.'!#REF!</definedName>
    <definedName name="__TT95" localSheetId="10">'[1]Relatório-1ª med.'!#REF!</definedName>
    <definedName name="__TT95">'[1]Relatório-1ª med.'!#REF!</definedName>
    <definedName name="__TT97" localSheetId="5">'[1]Relatório-1ª med.'!#REF!</definedName>
    <definedName name="__TT97" localSheetId="0">'[1]Relatório-1ª med.'!#REF!</definedName>
    <definedName name="__TT97" localSheetId="10">'[1]Relatório-1ª med.'!#REF!</definedName>
    <definedName name="__TT97">'[1]Relatório-1ª med.'!#REF!</definedName>
    <definedName name="__xlfn_SUMIFS">NA()</definedName>
    <definedName name="_cab1" localSheetId="5">#REF!</definedName>
    <definedName name="_cab1" localSheetId="0">#REF!</definedName>
    <definedName name="_cab1" localSheetId="10">#REF!</definedName>
    <definedName name="_cab1">#REF!</definedName>
    <definedName name="_dre2" localSheetId="5">#REF!</definedName>
    <definedName name="_dre2" localSheetId="0">#REF!</definedName>
    <definedName name="_dre2" localSheetId="10">#REF!</definedName>
    <definedName name="_dre2">#REF!</definedName>
    <definedName name="_ELE1" localSheetId="5">#REF!</definedName>
    <definedName name="_ELE1" localSheetId="0">#REF!</definedName>
    <definedName name="_ELE1" localSheetId="10">#REF!</definedName>
    <definedName name="_ELE1">#REF!</definedName>
    <definedName name="_ELE2" localSheetId="5">#REF!</definedName>
    <definedName name="_ELE2" localSheetId="0">#REF!</definedName>
    <definedName name="_ELE2" localSheetId="10">#REF!</definedName>
    <definedName name="_ELE2">#REF!</definedName>
    <definedName name="_ELE3" localSheetId="5">#REF!</definedName>
    <definedName name="_ELE3" localSheetId="0">#REF!</definedName>
    <definedName name="_ELE3" localSheetId="10">#REF!</definedName>
    <definedName name="_ELE3">#REF!</definedName>
    <definedName name="_emp2">'[3]DMT modelo'!$AA$13</definedName>
    <definedName name="_EXT1" localSheetId="5">#REF!</definedName>
    <definedName name="_EXT1" localSheetId="0">#REF!</definedName>
    <definedName name="_EXT1" localSheetId="10">#REF!</definedName>
    <definedName name="_EXT1">#REF!</definedName>
    <definedName name="_xlnm._FilterDatabase" localSheetId="8" hidden="1">'COMP. SPDA '!#REF!</definedName>
    <definedName name="_xlnm._FilterDatabase" hidden="1">[6]Orçamento!$A$13:$H$24</definedName>
    <definedName name="_ind100" localSheetId="5">#REF!</definedName>
    <definedName name="_ind100" localSheetId="0">#REF!</definedName>
    <definedName name="_ind100" localSheetId="10">#REF!</definedName>
    <definedName name="_ind100">#REF!</definedName>
    <definedName name="_JAZ1" localSheetId="5">#REF!</definedName>
    <definedName name="_JAZ1" localSheetId="0">#REF!</definedName>
    <definedName name="_JAZ1" localSheetId="10">#REF!</definedName>
    <definedName name="_JAZ1">#REF!</definedName>
    <definedName name="_JAZ11" localSheetId="5">#REF!</definedName>
    <definedName name="_JAZ11" localSheetId="0">#REF!</definedName>
    <definedName name="_JAZ11" localSheetId="10">#REF!</definedName>
    <definedName name="_JAZ11">#REF!</definedName>
    <definedName name="_JAZ2" localSheetId="5">#REF!</definedName>
    <definedName name="_JAZ2" localSheetId="0">#REF!</definedName>
    <definedName name="_JAZ2" localSheetId="10">#REF!</definedName>
    <definedName name="_JAZ2">#REF!</definedName>
    <definedName name="_JAZ22" localSheetId="5">#REF!</definedName>
    <definedName name="_JAZ22" localSheetId="0">#REF!</definedName>
    <definedName name="_JAZ22" localSheetId="10">#REF!</definedName>
    <definedName name="_JAZ22">#REF!</definedName>
    <definedName name="_JAZ3" localSheetId="5">#REF!</definedName>
    <definedName name="_JAZ3" localSheetId="0">#REF!</definedName>
    <definedName name="_JAZ3" localSheetId="10">#REF!</definedName>
    <definedName name="_JAZ3">#REF!</definedName>
    <definedName name="_JAZ33" localSheetId="5">#REF!</definedName>
    <definedName name="_JAZ33" localSheetId="0">#REF!</definedName>
    <definedName name="_JAZ33" localSheetId="10">#REF!</definedName>
    <definedName name="_JAZ33">#REF!</definedName>
    <definedName name="_Key1" hidden="1">'[7]1.6'!$A$11</definedName>
    <definedName name="_mem2">'[4]Mat Asf'!$H$37</definedName>
    <definedName name="_oac2" localSheetId="5">#REF!</definedName>
    <definedName name="_oac2" localSheetId="0">#REF!</definedName>
    <definedName name="_oac2" localSheetId="10">#REF!</definedName>
    <definedName name="_oac2">#REF!</definedName>
    <definedName name="_oae2" localSheetId="5">#REF!</definedName>
    <definedName name="_oae2" localSheetId="0">#REF!</definedName>
    <definedName name="_oae2" localSheetId="10">#REF!</definedName>
    <definedName name="_oae2">#REF!</definedName>
    <definedName name="_oco2" localSheetId="5">#REF!</definedName>
    <definedName name="_oco2" localSheetId="0">#REF!</definedName>
    <definedName name="_oco2" localSheetId="10">#REF!</definedName>
    <definedName name="_oco2">#REF!</definedName>
    <definedName name="_Order1" hidden="1">255</definedName>
    <definedName name="_Order2" hidden="1">255</definedName>
    <definedName name="_pav2" localSheetId="5">#REF!</definedName>
    <definedName name="_pav2" localSheetId="0">#REF!</definedName>
    <definedName name="_pav2" localSheetId="10">#REF!</definedName>
    <definedName name="_pav2">#REF!</definedName>
    <definedName name="_RET1" localSheetId="5">#REF!</definedName>
    <definedName name="_RET1" localSheetId="0">#REF!</definedName>
    <definedName name="_RET1" localSheetId="10">#REF!</definedName>
    <definedName name="_RET1">#REF!</definedName>
    <definedName name="_sub1" localSheetId="5">#REF!</definedName>
    <definedName name="_sub1" localSheetId="0">#REF!</definedName>
    <definedName name="_sub1" localSheetId="10">#REF!</definedName>
    <definedName name="_sub1">#REF!</definedName>
    <definedName name="_sub2" localSheetId="5">#REF!</definedName>
    <definedName name="_sub2" localSheetId="0">#REF!</definedName>
    <definedName name="_sub2" localSheetId="10">#REF!</definedName>
    <definedName name="_sub2">#REF!</definedName>
    <definedName name="_sub3" localSheetId="5">#REF!</definedName>
    <definedName name="_sub3" localSheetId="0">#REF!</definedName>
    <definedName name="_sub3" localSheetId="10">#REF!</definedName>
    <definedName name="_sub3">#REF!</definedName>
    <definedName name="_sub4" localSheetId="5">#REF!</definedName>
    <definedName name="_sub4" localSheetId="0">#REF!</definedName>
    <definedName name="_sub4" localSheetId="10">#REF!</definedName>
    <definedName name="_sub4">#REF!</definedName>
    <definedName name="_ter2" localSheetId="5">#REF!</definedName>
    <definedName name="_ter2" localSheetId="0">#REF!</definedName>
    <definedName name="_ter2" localSheetId="10">#REF!</definedName>
    <definedName name="_ter2">#REF!</definedName>
    <definedName name="_tot1" localSheetId="5">#REF!</definedName>
    <definedName name="_tot1" localSheetId="0">#REF!</definedName>
    <definedName name="_tot1" localSheetId="10">#REF!</definedName>
    <definedName name="_tot1">#REF!</definedName>
    <definedName name="_tot2" localSheetId="5">#REF!</definedName>
    <definedName name="_tot2" localSheetId="0">#REF!</definedName>
    <definedName name="_tot2" localSheetId="10">#REF!</definedName>
    <definedName name="_tot2">#REF!</definedName>
    <definedName name="_tot3" localSheetId="5">#REF!</definedName>
    <definedName name="_tot3" localSheetId="0">#REF!</definedName>
    <definedName name="_tot3" localSheetId="10">#REF!</definedName>
    <definedName name="_tot3">#REF!</definedName>
    <definedName name="_tot4" localSheetId="5">#REF!</definedName>
    <definedName name="_tot4" localSheetId="0">#REF!</definedName>
    <definedName name="_tot4" localSheetId="10">#REF!</definedName>
    <definedName name="_tot4">#REF!</definedName>
    <definedName name="_tot5" localSheetId="5">#REF!</definedName>
    <definedName name="_tot5" localSheetId="0">#REF!</definedName>
    <definedName name="_tot5" localSheetId="10">#REF!</definedName>
    <definedName name="_tot5">#REF!</definedName>
    <definedName name="_tot6" localSheetId="5">#REF!</definedName>
    <definedName name="_tot6" localSheetId="0">#REF!</definedName>
    <definedName name="_tot6" localSheetId="10">#REF!</definedName>
    <definedName name="_tot6">#REF!</definedName>
    <definedName name="_tot7" localSheetId="5">#REF!</definedName>
    <definedName name="_tot7" localSheetId="0">#REF!</definedName>
    <definedName name="_tot7" localSheetId="10">#REF!</definedName>
    <definedName name="_tot7">#REF!</definedName>
    <definedName name="_tot8" localSheetId="5">#REF!</definedName>
    <definedName name="_tot8" localSheetId="0">#REF!</definedName>
    <definedName name="_tot8" localSheetId="10">#REF!</definedName>
    <definedName name="_tot8">#REF!</definedName>
    <definedName name="_tsd4" localSheetId="5">#REF!</definedName>
    <definedName name="_tsd4" localSheetId="0">#REF!</definedName>
    <definedName name="_tsd4" localSheetId="10">#REF!</definedName>
    <definedName name="_tsd4">#REF!</definedName>
    <definedName name="_TT102" localSheetId="5">'[1]Relatório-1ª med.'!#REF!</definedName>
    <definedName name="_TT102" localSheetId="0">'[1]Relatório-1ª med.'!#REF!</definedName>
    <definedName name="_TT102" localSheetId="10">'[1]Relatório-1ª med.'!#REF!</definedName>
    <definedName name="_TT102">'[1]Relatório-1ª med.'!#REF!</definedName>
    <definedName name="_TT107" localSheetId="5">'[1]Relatório-1ª med.'!#REF!</definedName>
    <definedName name="_TT107" localSheetId="0">'[1]Relatório-1ª med.'!#REF!</definedName>
    <definedName name="_TT107" localSheetId="10">'[1]Relatório-1ª med.'!#REF!</definedName>
    <definedName name="_TT107">'[1]Relatório-1ª med.'!#REF!</definedName>
    <definedName name="_TT121" localSheetId="5">'[1]Relatório-1ª med.'!#REF!</definedName>
    <definedName name="_TT121" localSheetId="0">'[1]Relatório-1ª med.'!#REF!</definedName>
    <definedName name="_TT121" localSheetId="10">'[1]Relatório-1ª med.'!#REF!</definedName>
    <definedName name="_TT121">'[1]Relatório-1ª med.'!#REF!</definedName>
    <definedName name="_TT123" localSheetId="5">'[1]Relatório-1ª med.'!#REF!</definedName>
    <definedName name="_TT123" localSheetId="0">'[1]Relatório-1ª med.'!#REF!</definedName>
    <definedName name="_TT123" localSheetId="10">'[1]Relatório-1ª med.'!#REF!</definedName>
    <definedName name="_TT123">'[1]Relatório-1ª med.'!#REF!</definedName>
    <definedName name="_TT18" localSheetId="5">[8]RELATÓRIO!#REF!</definedName>
    <definedName name="_TT18" localSheetId="0">[8]RELATÓRIO!#REF!</definedName>
    <definedName name="_TT18" localSheetId="10">[8]RELATÓRIO!#REF!</definedName>
    <definedName name="_TT18">[8]RELATÓRIO!#REF!</definedName>
    <definedName name="_TT19" localSheetId="5">'[1]Relatório-1ª med.'!#REF!</definedName>
    <definedName name="_TT19" localSheetId="0">'[1]Relatório-1ª med.'!#REF!</definedName>
    <definedName name="_TT19" localSheetId="10">'[1]Relatório-1ª med.'!#REF!</definedName>
    <definedName name="_TT19">'[1]Relatório-1ª med.'!#REF!</definedName>
    <definedName name="_TT20" localSheetId="5">'[1]Relatório-1ª med.'!#REF!</definedName>
    <definedName name="_TT20" localSheetId="0">'[1]Relatório-1ª med.'!#REF!</definedName>
    <definedName name="_TT20" localSheetId="10">'[1]Relatório-1ª med.'!#REF!</definedName>
    <definedName name="_TT20">'[1]Relatório-1ª med.'!#REF!</definedName>
    <definedName name="_TT21" localSheetId="5">'[1]Relatório-1ª med.'!#REF!</definedName>
    <definedName name="_TT21" localSheetId="0">'[1]Relatório-1ª med.'!#REF!</definedName>
    <definedName name="_TT21" localSheetId="10">'[1]Relatório-1ª med.'!#REF!</definedName>
    <definedName name="_TT21">'[1]Relatório-1ª med.'!#REF!</definedName>
    <definedName name="_TT22" localSheetId="5">'[1]Relatório-1ª med.'!#REF!</definedName>
    <definedName name="_TT22" localSheetId="0">'[1]Relatório-1ª med.'!#REF!</definedName>
    <definedName name="_TT22" localSheetId="10">'[1]Relatório-1ª med.'!#REF!</definedName>
    <definedName name="_TT22">'[1]Relatório-1ª med.'!#REF!</definedName>
    <definedName name="_TT26" localSheetId="5">'[1]Relatório-1ª med.'!#REF!</definedName>
    <definedName name="_TT26" localSheetId="0">'[1]Relatório-1ª med.'!#REF!</definedName>
    <definedName name="_TT26" localSheetId="10">'[1]Relatório-1ª med.'!#REF!</definedName>
    <definedName name="_TT26">'[1]Relatório-1ª med.'!#REF!</definedName>
    <definedName name="_TT27" localSheetId="5">'[1]Relatório-1ª med.'!#REF!</definedName>
    <definedName name="_TT27" localSheetId="0">'[1]Relatório-1ª med.'!#REF!</definedName>
    <definedName name="_TT27" localSheetId="10">'[1]Relatório-1ª med.'!#REF!</definedName>
    <definedName name="_TT27">'[1]Relatório-1ª med.'!#REF!</definedName>
    <definedName name="_TT28" localSheetId="5">'[1]Relatório-1ª med.'!#REF!</definedName>
    <definedName name="_TT28" localSheetId="0">'[1]Relatório-1ª med.'!#REF!</definedName>
    <definedName name="_TT28" localSheetId="10">'[1]Relatório-1ª med.'!#REF!</definedName>
    <definedName name="_TT28">'[1]Relatório-1ª med.'!#REF!</definedName>
    <definedName name="_TT30" localSheetId="5">'[1]Relatório-1ª med.'!#REF!</definedName>
    <definedName name="_TT30" localSheetId="0">'[1]Relatório-1ª med.'!#REF!</definedName>
    <definedName name="_TT30" localSheetId="10">'[1]Relatório-1ª med.'!#REF!</definedName>
    <definedName name="_TT30">'[1]Relatório-1ª med.'!#REF!</definedName>
    <definedName name="_TT31" localSheetId="5">'[1]Relatório-1ª med.'!#REF!</definedName>
    <definedName name="_TT31" localSheetId="0">'[1]Relatório-1ª med.'!#REF!</definedName>
    <definedName name="_TT31" localSheetId="10">'[1]Relatório-1ª med.'!#REF!</definedName>
    <definedName name="_TT31">'[1]Relatório-1ª med.'!#REF!</definedName>
    <definedName name="_TT32" localSheetId="5">'[1]Relatório-1ª med.'!#REF!</definedName>
    <definedName name="_TT32" localSheetId="0">'[1]Relatório-1ª med.'!#REF!</definedName>
    <definedName name="_TT32" localSheetId="10">'[1]Relatório-1ª med.'!#REF!</definedName>
    <definedName name="_TT32">'[1]Relatório-1ª med.'!#REF!</definedName>
    <definedName name="_TT33" localSheetId="5">'[1]Relatório-1ª med.'!#REF!</definedName>
    <definedName name="_TT33" localSheetId="0">'[1]Relatório-1ª med.'!#REF!</definedName>
    <definedName name="_TT33" localSheetId="10">'[1]Relatório-1ª med.'!#REF!</definedName>
    <definedName name="_TT33">'[1]Relatório-1ª med.'!#REF!</definedName>
    <definedName name="_TT34" localSheetId="5">'[1]Relatório-1ª med.'!#REF!</definedName>
    <definedName name="_TT34" localSheetId="0">'[1]Relatório-1ª med.'!#REF!</definedName>
    <definedName name="_TT34" localSheetId="10">'[1]Relatório-1ª med.'!#REF!</definedName>
    <definedName name="_TT34">'[1]Relatório-1ª med.'!#REF!</definedName>
    <definedName name="_TT36" localSheetId="5">'[1]Relatório-1ª med.'!#REF!</definedName>
    <definedName name="_TT36" localSheetId="0">'[1]Relatório-1ª med.'!#REF!</definedName>
    <definedName name="_TT36" localSheetId="10">'[1]Relatório-1ª med.'!#REF!</definedName>
    <definedName name="_TT36">'[1]Relatório-1ª med.'!#REF!</definedName>
    <definedName name="_TT37" localSheetId="5">'[1]Relatório-1ª med.'!#REF!</definedName>
    <definedName name="_TT37" localSheetId="0">'[1]Relatório-1ª med.'!#REF!</definedName>
    <definedName name="_TT37" localSheetId="10">'[1]Relatório-1ª med.'!#REF!</definedName>
    <definedName name="_TT37">'[1]Relatório-1ª med.'!#REF!</definedName>
    <definedName name="_TT38" localSheetId="5">'[1]Relatório-1ª med.'!#REF!</definedName>
    <definedName name="_TT38" localSheetId="0">'[1]Relatório-1ª med.'!#REF!</definedName>
    <definedName name="_TT38" localSheetId="10">'[1]Relatório-1ª med.'!#REF!</definedName>
    <definedName name="_TT38">'[1]Relatório-1ª med.'!#REF!</definedName>
    <definedName name="_TT39" localSheetId="5">'[1]Relatório-1ª med.'!#REF!</definedName>
    <definedName name="_TT39" localSheetId="0">'[1]Relatório-1ª med.'!#REF!</definedName>
    <definedName name="_TT39" localSheetId="10">'[1]Relatório-1ª med.'!#REF!</definedName>
    <definedName name="_TT39">'[1]Relatório-1ª med.'!#REF!</definedName>
    <definedName name="_TT40" localSheetId="5">'[1]Relatório-1ª med.'!#REF!</definedName>
    <definedName name="_TT40" localSheetId="0">'[1]Relatório-1ª med.'!#REF!</definedName>
    <definedName name="_TT40" localSheetId="10">'[1]Relatório-1ª med.'!#REF!</definedName>
    <definedName name="_TT40">'[1]Relatório-1ª med.'!#REF!</definedName>
    <definedName name="_TT5" localSheetId="5">'[1]Relatório-1ª med.'!#REF!</definedName>
    <definedName name="_TT5" localSheetId="0">'[1]Relatório-1ª med.'!#REF!</definedName>
    <definedName name="_TT5" localSheetId="10">'[1]Relatório-1ª med.'!#REF!</definedName>
    <definedName name="_TT5">'[1]Relatório-1ª med.'!#REF!</definedName>
    <definedName name="_TT52" localSheetId="5">'[1]Relatório-1ª med.'!#REF!</definedName>
    <definedName name="_TT52" localSheetId="0">'[1]Relatório-1ª med.'!#REF!</definedName>
    <definedName name="_TT52" localSheetId="10">'[1]Relatório-1ª med.'!#REF!</definedName>
    <definedName name="_TT52">'[1]Relatório-1ª med.'!#REF!</definedName>
    <definedName name="_TT53" localSheetId="5">'[1]Relatório-1ª med.'!#REF!</definedName>
    <definedName name="_TT53" localSheetId="0">'[1]Relatório-1ª med.'!#REF!</definedName>
    <definedName name="_TT53" localSheetId="10">'[1]Relatório-1ª med.'!#REF!</definedName>
    <definedName name="_TT53">'[1]Relatório-1ª med.'!#REF!</definedName>
    <definedName name="_TT54" localSheetId="5">'[1]Relatório-1ª med.'!#REF!</definedName>
    <definedName name="_TT54" localSheetId="0">'[1]Relatório-1ª med.'!#REF!</definedName>
    <definedName name="_TT54" localSheetId="10">'[1]Relatório-1ª med.'!#REF!</definedName>
    <definedName name="_TT54">'[1]Relatório-1ª med.'!#REF!</definedName>
    <definedName name="_TT55" localSheetId="5">'[1]Relatório-1ª med.'!#REF!</definedName>
    <definedName name="_TT55" localSheetId="0">'[1]Relatório-1ª med.'!#REF!</definedName>
    <definedName name="_TT55" localSheetId="10">'[1]Relatório-1ª med.'!#REF!</definedName>
    <definedName name="_TT55">'[1]Relatório-1ª med.'!#REF!</definedName>
    <definedName name="_TT6" localSheetId="5">'[1]Relatório-1ª med.'!#REF!</definedName>
    <definedName name="_TT6" localSheetId="0">'[1]Relatório-1ª med.'!#REF!</definedName>
    <definedName name="_TT6" localSheetId="10">'[1]Relatório-1ª med.'!#REF!</definedName>
    <definedName name="_TT6">'[1]Relatório-1ª med.'!#REF!</definedName>
    <definedName name="_TT60" localSheetId="5">'[1]Relatório-1ª med.'!#REF!</definedName>
    <definedName name="_TT60" localSheetId="0">'[1]Relatório-1ª med.'!#REF!</definedName>
    <definedName name="_TT60" localSheetId="10">'[1]Relatório-1ª med.'!#REF!</definedName>
    <definedName name="_TT60">'[1]Relatório-1ª med.'!#REF!</definedName>
    <definedName name="_TT61" localSheetId="5">'[1]Relatório-1ª med.'!#REF!</definedName>
    <definedName name="_TT61" localSheetId="0">'[1]Relatório-1ª med.'!#REF!</definedName>
    <definedName name="_TT61" localSheetId="10">'[1]Relatório-1ª med.'!#REF!</definedName>
    <definedName name="_TT61">'[1]Relatório-1ª med.'!#REF!</definedName>
    <definedName name="_TT69" localSheetId="5">'[1]Relatório-1ª med.'!#REF!</definedName>
    <definedName name="_TT69" localSheetId="0">'[1]Relatório-1ª med.'!#REF!</definedName>
    <definedName name="_TT69" localSheetId="10">'[1]Relatório-1ª med.'!#REF!</definedName>
    <definedName name="_TT69">'[1]Relatório-1ª med.'!#REF!</definedName>
    <definedName name="_TT7" localSheetId="5">'[1]Relatório-1ª med.'!#REF!</definedName>
    <definedName name="_TT7" localSheetId="0">'[1]Relatório-1ª med.'!#REF!</definedName>
    <definedName name="_TT7" localSheetId="10">'[1]Relatório-1ª med.'!#REF!</definedName>
    <definedName name="_TT7">'[1]Relatório-1ª med.'!#REF!</definedName>
    <definedName name="_TT70" localSheetId="5">'[1]Relatório-1ª med.'!#REF!</definedName>
    <definedName name="_TT70" localSheetId="0">'[1]Relatório-1ª med.'!#REF!</definedName>
    <definedName name="_TT70" localSheetId="10">'[1]Relatório-1ª med.'!#REF!</definedName>
    <definedName name="_TT70">'[1]Relatório-1ª med.'!#REF!</definedName>
    <definedName name="_TT71" localSheetId="5">'[1]Relatório-1ª med.'!#REF!</definedName>
    <definedName name="_TT71" localSheetId="0">'[1]Relatório-1ª med.'!#REF!</definedName>
    <definedName name="_TT71" localSheetId="10">'[1]Relatório-1ª med.'!#REF!</definedName>
    <definedName name="_TT71">'[1]Relatório-1ª med.'!#REF!</definedName>
    <definedName name="_TT74" localSheetId="5">'[1]Relatório-1ª med.'!#REF!</definedName>
    <definedName name="_TT74" localSheetId="0">'[1]Relatório-1ª med.'!#REF!</definedName>
    <definedName name="_TT74" localSheetId="10">'[1]Relatório-1ª med.'!#REF!</definedName>
    <definedName name="_TT74">'[1]Relatório-1ª med.'!#REF!</definedName>
    <definedName name="_TT75" localSheetId="5">'[1]Relatório-1ª med.'!#REF!</definedName>
    <definedName name="_TT75" localSheetId="0">'[1]Relatório-1ª med.'!#REF!</definedName>
    <definedName name="_TT75" localSheetId="10">'[1]Relatório-1ª med.'!#REF!</definedName>
    <definedName name="_TT75">'[1]Relatório-1ª med.'!#REF!</definedName>
    <definedName name="_TT76" localSheetId="5">'[1]Relatório-1ª med.'!#REF!</definedName>
    <definedName name="_TT76" localSheetId="0">'[1]Relatório-1ª med.'!#REF!</definedName>
    <definedName name="_TT76" localSheetId="10">'[1]Relatório-1ª med.'!#REF!</definedName>
    <definedName name="_TT76">'[1]Relatório-1ª med.'!#REF!</definedName>
    <definedName name="_TT77" localSheetId="5">'[1]Relatório-1ª med.'!#REF!</definedName>
    <definedName name="_TT77" localSheetId="0">'[1]Relatório-1ª med.'!#REF!</definedName>
    <definedName name="_TT77" localSheetId="10">'[1]Relatório-1ª med.'!#REF!</definedName>
    <definedName name="_TT77">'[1]Relatório-1ª med.'!#REF!</definedName>
    <definedName name="_TT78" localSheetId="5">'[1]Relatório-1ª med.'!#REF!</definedName>
    <definedName name="_TT78" localSheetId="0">'[1]Relatório-1ª med.'!#REF!</definedName>
    <definedName name="_TT78" localSheetId="10">'[1]Relatório-1ª med.'!#REF!</definedName>
    <definedName name="_TT78">'[1]Relatório-1ª med.'!#REF!</definedName>
    <definedName name="_TT79" localSheetId="5">'[1]Relatório-1ª med.'!#REF!</definedName>
    <definedName name="_TT79" localSheetId="0">'[1]Relatório-1ª med.'!#REF!</definedName>
    <definedName name="_TT79" localSheetId="10">'[1]Relatório-1ª med.'!#REF!</definedName>
    <definedName name="_TT79">'[1]Relatório-1ª med.'!#REF!</definedName>
    <definedName name="_TT94" localSheetId="5">'[1]Relatório-1ª med.'!#REF!</definedName>
    <definedName name="_TT94" localSheetId="0">'[1]Relatório-1ª med.'!#REF!</definedName>
    <definedName name="_TT94" localSheetId="10">'[1]Relatório-1ª med.'!#REF!</definedName>
    <definedName name="_TT94">'[1]Relatório-1ª med.'!#REF!</definedName>
    <definedName name="_TT95" localSheetId="5">'[1]Relatório-1ª med.'!#REF!</definedName>
    <definedName name="_TT95" localSheetId="0">'[1]Relatório-1ª med.'!#REF!</definedName>
    <definedName name="_TT95" localSheetId="10">'[1]Relatório-1ª med.'!#REF!</definedName>
    <definedName name="_TT95">'[1]Relatório-1ª med.'!#REF!</definedName>
    <definedName name="_TT97" localSheetId="5">'[1]Relatório-1ª med.'!#REF!</definedName>
    <definedName name="_TT97" localSheetId="0">'[1]Relatório-1ª med.'!#REF!</definedName>
    <definedName name="_TT97" localSheetId="10">'[1]Relatório-1ª med.'!#REF!</definedName>
    <definedName name="_TT97">'[1]Relatório-1ª med.'!#REF!</definedName>
    <definedName name="a" localSheetId="5" hidden="1">{#N/A,#N/A,FALSE,"MO (2)"}</definedName>
    <definedName name="a" localSheetId="0" hidden="1">{#N/A,#N/A,FALSE,"MO (2)"}</definedName>
    <definedName name="a" localSheetId="10" hidden="1">{#N/A,#N/A,FALSE,"MO (2)"}</definedName>
    <definedName name="a" localSheetId="11" hidden="1">{#N/A,#N/A,FALSE,"MO (2)"}</definedName>
    <definedName name="a" localSheetId="30" hidden="1">{#N/A,#N/A,FALSE,"MO (2)"}</definedName>
    <definedName name="a" localSheetId="31" hidden="1">{#N/A,#N/A,FALSE,"MO (2)"}</definedName>
    <definedName name="a" hidden="1">{#N/A,#N/A,FALSE,"MO (2)"}</definedName>
    <definedName name="AA" localSheetId="5">#REF!</definedName>
    <definedName name="AA" localSheetId="0">#REF!</definedName>
    <definedName name="AA" localSheetId="10">#REF!</definedName>
    <definedName name="AA">#REF!</definedName>
    <definedName name="AAAA" localSheetId="5">'[1]Relatório-1ª med.'!#REF!</definedName>
    <definedName name="AAAA" localSheetId="0">'[1]Relatório-1ª med.'!#REF!</definedName>
    <definedName name="AAAA" localSheetId="10">'[1]Relatório-1ª med.'!#REF!</definedName>
    <definedName name="AAAA">'[1]Relatório-1ª med.'!#REF!</definedName>
    <definedName name="AAAAA" localSheetId="5">#REF!</definedName>
    <definedName name="AAAAA" localSheetId="0">#REF!</definedName>
    <definedName name="AAAAA" localSheetId="10">#REF!</definedName>
    <definedName name="AAAAA">#REF!</definedName>
    <definedName name="ABCD23" localSheetId="5">'[1]Relatório-1ª med.'!#REF!</definedName>
    <definedName name="ABCD23" localSheetId="0">'[1]Relatório-1ª med.'!#REF!</definedName>
    <definedName name="ABCD23" localSheetId="10">'[1]Relatório-1ª med.'!#REF!</definedName>
    <definedName name="ABCD23">'[1]Relatório-1ª med.'!#REF!</definedName>
    <definedName name="ACADGDDJSDJSBDJSJFSF" localSheetId="5">'[1]Relatório-1ª med.'!#REF!</definedName>
    <definedName name="ACADGDDJSDJSBDJSJFSF" localSheetId="0">'[1]Relatório-1ª med.'!#REF!</definedName>
    <definedName name="ACADGDDJSDJSBDJSJFSF" localSheetId="10">'[1]Relatório-1ª med.'!#REF!</definedName>
    <definedName name="ACADGDDJSDJSBDJSJFSF">'[1]Relatório-1ª med.'!#REF!</definedName>
    <definedName name="AÇO_CA_50" localSheetId="5">#REF!</definedName>
    <definedName name="AÇO_CA_50" localSheetId="0">#REF!</definedName>
    <definedName name="AÇO_CA_50" localSheetId="10">#REF!</definedName>
    <definedName name="AÇO_CA_50">#REF!</definedName>
    <definedName name="aditivo" localSheetId="5">#REF!</definedName>
    <definedName name="aditivo" localSheetId="0">#REF!</definedName>
    <definedName name="aditivo" localSheetId="10">#REF!</definedName>
    <definedName name="aditivo">#REF!</definedName>
    <definedName name="AGREGADO" localSheetId="5">#REF!</definedName>
    <definedName name="AGREGADO" localSheetId="0">#REF!</definedName>
    <definedName name="AGREGADO" localSheetId="10">#REF!</definedName>
    <definedName name="AGREGADO">#REF!</definedName>
    <definedName name="AJ" localSheetId="5">#REF!</definedName>
    <definedName name="AJ" localSheetId="0">#REF!</definedName>
    <definedName name="AJ" localSheetId="10">#REF!</definedName>
    <definedName name="AJ">#REF!</definedName>
    <definedName name="AJA" localSheetId="5">#REF!</definedName>
    <definedName name="AJA" localSheetId="0">#REF!</definedName>
    <definedName name="AJA" localSheetId="10">#REF!</definedName>
    <definedName name="AJA">#REF!</definedName>
    <definedName name="alex" localSheetId="11" hidden="1">{#N/A,#N/A,FALSE,"MO (2)"}</definedName>
    <definedName name="alex" localSheetId="30" hidden="1">{#N/A,#N/A,FALSE,"MO (2)"}</definedName>
    <definedName name="alex" localSheetId="31" hidden="1">{#N/A,#N/A,FALSE,"MO (2)"}</definedName>
    <definedName name="alex" hidden="1">{#N/A,#N/A,FALSE,"MO (2)"}</definedName>
    <definedName name="Alvenaria_vedação" localSheetId="5">#REF!</definedName>
    <definedName name="Alvenaria_vedação" localSheetId="0">#REF!</definedName>
    <definedName name="Alvenaria_vedação" localSheetId="10">#REF!</definedName>
    <definedName name="Alvenaria_vedação">#REF!</definedName>
    <definedName name="AND" localSheetId="5">#REF!</definedName>
    <definedName name="AND" localSheetId="0">#REF!</definedName>
    <definedName name="AND" localSheetId="10">#REF!</definedName>
    <definedName name="AND">#REF!</definedName>
    <definedName name="ant" localSheetId="5" hidden="1">{#N/A,#N/A,FALSE,"MO (2)"}</definedName>
    <definedName name="ant" localSheetId="0" hidden="1">{#N/A,#N/A,FALSE,"MO (2)"}</definedName>
    <definedName name="ant" localSheetId="10" hidden="1">{#N/A,#N/A,FALSE,"MO (2)"}</definedName>
    <definedName name="ant" localSheetId="11" hidden="1">{#N/A,#N/A,FALSE,"MO (2)"}</definedName>
    <definedName name="ant" localSheetId="30" hidden="1">{#N/A,#N/A,FALSE,"MO (2)"}</definedName>
    <definedName name="ant" localSheetId="31" hidden="1">{#N/A,#N/A,FALSE,"MO (2)"}</definedName>
    <definedName name="ant" hidden="1">{#N/A,#N/A,FALSE,"MO (2)"}</definedName>
    <definedName name="ant_1" localSheetId="5" hidden="1">{#N/A,#N/A,FALSE,"MO (2)"}</definedName>
    <definedName name="ant_1" localSheetId="0" hidden="1">{#N/A,#N/A,FALSE,"MO (2)"}</definedName>
    <definedName name="ant_1" localSheetId="10" hidden="1">{#N/A,#N/A,FALSE,"MO (2)"}</definedName>
    <definedName name="ant_1" localSheetId="11" hidden="1">{#N/A,#N/A,FALSE,"MO (2)"}</definedName>
    <definedName name="ant_1" localSheetId="30" hidden="1">{#N/A,#N/A,FALSE,"MO (2)"}</definedName>
    <definedName name="ant_1" localSheetId="31" hidden="1">{#N/A,#N/A,FALSE,"MO (2)"}</definedName>
    <definedName name="ant_1" hidden="1">{#N/A,#N/A,FALSE,"MO (2)"}</definedName>
    <definedName name="area_base" localSheetId="5">#REF!</definedName>
    <definedName name="area_base" localSheetId="0">#REF!</definedName>
    <definedName name="area_base" localSheetId="10">#REF!</definedName>
    <definedName name="area_base">#REF!</definedName>
    <definedName name="_xlnm.Extract" localSheetId="5">#REF!</definedName>
    <definedName name="_xlnm.Extract" localSheetId="0">#REF!</definedName>
    <definedName name="_xlnm.Extract" localSheetId="10">#REF!</definedName>
    <definedName name="_xlnm.Extract">#REF!</definedName>
    <definedName name="_xlnm.Print_Area" localSheetId="32">'BANCO DE DADOS JAN-23 SERV'!$B$1:$E$7195</definedName>
    <definedName name="_xlnm.Print_Area" localSheetId="12">'BASE ADUTORA'!$A$1:$K$29</definedName>
    <definedName name="_xlnm.Print_Area" localSheetId="26">'BASE REDE'!$A$1:$I$66</definedName>
    <definedName name="_xlnm.Print_Area" localSheetId="34">'BDI '!$C$4:$H$43</definedName>
    <definedName name="_xlnm.Print_Area" localSheetId="35">'BDI DIF'!$E$4:$J$39</definedName>
    <definedName name="_xlnm.Print_Area" localSheetId="5">'COMP SAA'!$B$2:$G$938</definedName>
    <definedName name="_xlnm.Print_Area" localSheetId="7">'COMP. ELETRICO '!$B$2:$G$189</definedName>
    <definedName name="_xlnm.Print_Area" localSheetId="8">'COMP. SPDA '!$B$5:$G$39</definedName>
    <definedName name="_xlnm.Print_Area" localSheetId="6">'COMPOSIÇÃO CIVIL'!$B$2:$G$77</definedName>
    <definedName name="_xlnm.Print_Area" localSheetId="9">'COMPOSIÇÃO ESTRUTURAL'!$B$2:$G$128</definedName>
    <definedName name="_xlnm.Print_Area" localSheetId="4">CRONOGRAMA!$C$2:$R$38</definedName>
    <definedName name="_xlnm.Print_Area" localSheetId="0">Dimensionamento!$C$2:$M$145</definedName>
    <definedName name="_xlnm.Print_Area" localSheetId="36">'ENCARGOS SOCIAIS'!$C$3:$H$46</definedName>
    <definedName name="_xlnm.Print_Area" localSheetId="10">'M.C. FUNDAÇÃO RES. 150M3'!$C$3:$O$19</definedName>
    <definedName name="_xlnm.Print_Area" localSheetId="3">'MEM. DE CALCULO'!$B$2:$F$188</definedName>
    <definedName name="_xlnm.Print_Area" localSheetId="2">'ORÇAMENTO '!$F$4:$M$196</definedName>
    <definedName name="_xlnm.Print_Area" localSheetId="1">RESUMO!$B$2:$I$36</definedName>
    <definedName name="_xlnm.Print_Area" localSheetId="13">'SUB BASE ADUTORA'!$A$1:$I$29</definedName>
    <definedName name="_xlnm.Print_Area" localSheetId="27">'SUB BASE REDE'!$A$1:$N$66</definedName>
    <definedName name="_xlnm.Print_Area">#REF!</definedName>
    <definedName name="AREA_IMPRI" localSheetId="5">#REF!</definedName>
    <definedName name="AREA_IMPRI" localSheetId="0">#REF!</definedName>
    <definedName name="AREA_IMPRI" localSheetId="10">#REF!</definedName>
    <definedName name="AREA_IMPRI">#REF!</definedName>
    <definedName name="area_sub_base" localSheetId="5">#REF!</definedName>
    <definedName name="area_sub_base" localSheetId="0">#REF!</definedName>
    <definedName name="area_sub_base" localSheetId="10">#REF!</definedName>
    <definedName name="area_sub_base">#REF!</definedName>
    <definedName name="ARGAMASSA10">'[9]QUADRO 08 - COMPOSIÇÕES'!$H$715</definedName>
    <definedName name="ARGAMASSA10S">'[9]QUADRO 08 - COMPOSIÇÕES'!$H$713</definedName>
    <definedName name="as" localSheetId="5" hidden="1">{#N/A,#N/A,FALSE,"MO (2)"}</definedName>
    <definedName name="as" localSheetId="0" hidden="1">{#N/A,#N/A,FALSE,"MO (2)"}</definedName>
    <definedName name="as" localSheetId="10" hidden="1">{#N/A,#N/A,FALSE,"MO (2)"}</definedName>
    <definedName name="as" localSheetId="11" hidden="1">{#N/A,#N/A,FALSE,"MO (2)"}</definedName>
    <definedName name="as" localSheetId="30" hidden="1">{#N/A,#N/A,FALSE,"MO (2)"}</definedName>
    <definedName name="as" localSheetId="31" hidden="1">{#N/A,#N/A,FALSE,"MO (2)"}</definedName>
    <definedName name="as" hidden="1">{#N/A,#N/A,FALSE,"MO (2)"}</definedName>
    <definedName name="ASSEN_TUBO_EMISS" localSheetId="5">#REF!</definedName>
    <definedName name="ASSEN_TUBO_EMISS" localSheetId="0">#REF!</definedName>
    <definedName name="ASSEN_TUBO_EMISS" localSheetId="10">#REF!</definedName>
    <definedName name="ASSEN_TUBO_EMISS">#REF!</definedName>
    <definedName name="ASSEN_TUBO_EMISS2" localSheetId="5">#REF!</definedName>
    <definedName name="ASSEN_TUBO_EMISS2" localSheetId="0">#REF!</definedName>
    <definedName name="ASSEN_TUBO_EMISS2" localSheetId="10">#REF!</definedName>
    <definedName name="ASSEN_TUBO_EMISS2">#REF!</definedName>
    <definedName name="ASSENT_EMISS3_S" localSheetId="5">#REF!</definedName>
    <definedName name="ASSENT_EMISS3_S" localSheetId="0">#REF!</definedName>
    <definedName name="ASSENT_EMISS3_S" localSheetId="10">#REF!</definedName>
    <definedName name="ASSENT_EMISS3_S">#REF!</definedName>
    <definedName name="ASSENT_TUBO" localSheetId="5">#REF!</definedName>
    <definedName name="ASSENT_TUBO" localSheetId="0">#REF!</definedName>
    <definedName name="ASSENT_TUBO" localSheetId="10">#REF!</definedName>
    <definedName name="ASSENT_TUBO">#REF!</definedName>
    <definedName name="bacia16" localSheetId="5">#REF!</definedName>
    <definedName name="bacia16" localSheetId="0">#REF!</definedName>
    <definedName name="bacia16" localSheetId="10">#REF!</definedName>
    <definedName name="bacia16">#REF!</definedName>
    <definedName name="_xlnm.Database" localSheetId="5">#REF!</definedName>
    <definedName name="_xlnm.Database" localSheetId="0">#REF!</definedName>
    <definedName name="_xlnm.Database" localSheetId="10">#REF!</definedName>
    <definedName name="_xlnm.Database">#REF!</definedName>
    <definedName name="bbbb" localSheetId="11" hidden="1">{#N/A,#N/A,FALSE,"MO (2)"}</definedName>
    <definedName name="bbbb" localSheetId="30" hidden="1">{#N/A,#N/A,FALSE,"MO (2)"}</definedName>
    <definedName name="bbbb" localSheetId="31" hidden="1">{#N/A,#N/A,FALSE,"MO (2)"}</definedName>
    <definedName name="bbbb" hidden="1">{#N/A,#N/A,FALSE,"MO (2)"}</definedName>
    <definedName name="BDI" localSheetId="5">#REF!</definedName>
    <definedName name="BDI" localSheetId="0">#REF!</definedName>
    <definedName name="BDI" localSheetId="10">#REF!</definedName>
    <definedName name="BDI">#REF!</definedName>
    <definedName name="BL_ANC_EMISS3_S" localSheetId="5">#REF!</definedName>
    <definedName name="BL_ANC_EMISS3_S" localSheetId="0">#REF!</definedName>
    <definedName name="BL_ANC_EMISS3_S" localSheetId="10">#REF!</definedName>
    <definedName name="BL_ANC_EMISS3_S">#REF!</definedName>
    <definedName name="BL_ANCO_EMISS2" localSheetId="5">#REF!</definedName>
    <definedName name="BL_ANCO_EMISS2" localSheetId="0">#REF!</definedName>
    <definedName name="BL_ANCO_EMISS2" localSheetId="10">#REF!</definedName>
    <definedName name="BL_ANCO_EMISS2">#REF!</definedName>
    <definedName name="BLOCO_ANCOR_EMISS" localSheetId="5">#REF!</definedName>
    <definedName name="BLOCO_ANCOR_EMISS" localSheetId="0">#REF!</definedName>
    <definedName name="BLOCO_ANCOR_EMISS" localSheetId="10">#REF!</definedName>
    <definedName name="BLOCO_ANCOR_EMISS">#REF!</definedName>
    <definedName name="BONI" localSheetId="5">#REF!</definedName>
    <definedName name="BONI" localSheetId="0">#REF!</definedName>
    <definedName name="BONI" localSheetId="10">#REF!</definedName>
    <definedName name="BONI">#REF!</definedName>
    <definedName name="bueiro" localSheetId="5" hidden="1">{#N/A,#N/A,FALSE,"MO (2)"}</definedName>
    <definedName name="bueiro" localSheetId="0" hidden="1">{#N/A,#N/A,FALSE,"MO (2)"}</definedName>
    <definedName name="bueiro" localSheetId="10" hidden="1">{#N/A,#N/A,FALSE,"MO (2)"}</definedName>
    <definedName name="bueiro" localSheetId="11" hidden="1">{#N/A,#N/A,FALSE,"MO (2)"}</definedName>
    <definedName name="bueiro" localSheetId="30" hidden="1">{#N/A,#N/A,FALSE,"MO (2)"}</definedName>
    <definedName name="bueiro" localSheetId="31" hidden="1">{#N/A,#N/A,FALSE,"MO (2)"}</definedName>
    <definedName name="bueiro" hidden="1">{#N/A,#N/A,FALSE,"MO (2)"}</definedName>
    <definedName name="c.drena" localSheetId="5">#REF!</definedName>
    <definedName name="c.drena" localSheetId="0">#REF!</definedName>
    <definedName name="c.drena" localSheetId="10">#REF!</definedName>
    <definedName name="c.drena">#REF!</definedName>
    <definedName name="cab" localSheetId="5">#REF!</definedName>
    <definedName name="cab" localSheetId="0">#REF!</definedName>
    <definedName name="cab" localSheetId="10">#REF!</definedName>
    <definedName name="cab">#REF!</definedName>
    <definedName name="CAB_ATERRO" localSheetId="5">#REF!</definedName>
    <definedName name="CAB_ATERRO" localSheetId="0">#REF!</definedName>
    <definedName name="CAB_ATERRO" localSheetId="10">#REF!</definedName>
    <definedName name="CAB_ATERRO">#REF!</definedName>
    <definedName name="cab_cortes" localSheetId="5">#REF!</definedName>
    <definedName name="cab_cortes" localSheetId="0">#REF!</definedName>
    <definedName name="cab_cortes" localSheetId="10">#REF!</definedName>
    <definedName name="cab_cortes">#REF!</definedName>
    <definedName name="cab_dmt" localSheetId="5">#REF!</definedName>
    <definedName name="cab_dmt" localSheetId="0">#REF!</definedName>
    <definedName name="cab_dmt" localSheetId="10">#REF!</definedName>
    <definedName name="cab_dmt">#REF!</definedName>
    <definedName name="cab_limpeza" localSheetId="5">#REF!</definedName>
    <definedName name="cab_limpeza" localSheetId="0">#REF!</definedName>
    <definedName name="cab_limpeza" localSheetId="10">#REF!</definedName>
    <definedName name="cab_limpeza">#REF!</definedName>
    <definedName name="CAB_PLANO" localSheetId="5">#REF!</definedName>
    <definedName name="CAB_PLANO" localSheetId="0">#REF!</definedName>
    <definedName name="CAB_PLANO" localSheetId="10">#REF!</definedName>
    <definedName name="CAB_PLANO">#REF!</definedName>
    <definedName name="cab_pmf" localSheetId="5">#REF!</definedName>
    <definedName name="cab_pmf" localSheetId="0">#REF!</definedName>
    <definedName name="cab_pmf" localSheetId="10">#REF!</definedName>
    <definedName name="cab_pmf">#REF!</definedName>
    <definedName name="cabeca" localSheetId="5">#REF!</definedName>
    <definedName name="cabeca" localSheetId="0">#REF!</definedName>
    <definedName name="cabeca" localSheetId="10">#REF!</definedName>
    <definedName name="cabeca">#REF!</definedName>
    <definedName name="CABEÇA" localSheetId="5">#REF!</definedName>
    <definedName name="CABEÇA" localSheetId="0">#REF!</definedName>
    <definedName name="CABEÇA" localSheetId="10">#REF!</definedName>
    <definedName name="CABEÇA">#REF!</definedName>
    <definedName name="cabeca1" localSheetId="5">#REF!</definedName>
    <definedName name="cabeca1" localSheetId="0">#REF!</definedName>
    <definedName name="cabeca1" localSheetId="10">#REF!</definedName>
    <definedName name="cabeca1">#REF!</definedName>
    <definedName name="cabeçalho" localSheetId="5">#REF!</definedName>
    <definedName name="cabeçalho" localSheetId="0">#REF!</definedName>
    <definedName name="cabeçalho" localSheetId="10">#REF!</definedName>
    <definedName name="cabeçalho">#REF!</definedName>
    <definedName name="cabeçalho1" localSheetId="5">#REF!</definedName>
    <definedName name="cabeçalho1" localSheetId="0">#REF!</definedName>
    <definedName name="cabeçalho1" localSheetId="10">#REF!</definedName>
    <definedName name="cabeçalho1">#REF!</definedName>
    <definedName name="cabmeio" localSheetId="5">#REF!</definedName>
    <definedName name="cabmeio" localSheetId="0">#REF!</definedName>
    <definedName name="cabmeio" localSheetId="10">#REF!</definedName>
    <definedName name="cabmeio">#REF!</definedName>
    <definedName name="CAD_EMISS3_S" localSheetId="5">#REF!</definedName>
    <definedName name="CAD_EMISS3_S" localSheetId="0">#REF!</definedName>
    <definedName name="CAD_EMISS3_S" localSheetId="10">#REF!</definedName>
    <definedName name="CAD_EMISS3_S">#REF!</definedName>
    <definedName name="CADASTRO" localSheetId="5">#REF!</definedName>
    <definedName name="CADASTRO" localSheetId="0">#REF!</definedName>
    <definedName name="CADASTRO" localSheetId="10">#REF!</definedName>
    <definedName name="CADASTRO">#REF!</definedName>
    <definedName name="CADASTRO_EMISS" localSheetId="5">#REF!</definedName>
    <definedName name="CADASTRO_EMISS" localSheetId="0">#REF!</definedName>
    <definedName name="CADASTRO_EMISS" localSheetId="10">#REF!</definedName>
    <definedName name="CADASTRO_EMISS">#REF!</definedName>
    <definedName name="CADASTRO_EMISS2" localSheetId="5">#REF!</definedName>
    <definedName name="CADASTRO_EMISS2" localSheetId="0">#REF!</definedName>
    <definedName name="CADASTRO_EMISS2" localSheetId="10">#REF!</definedName>
    <definedName name="CADASTRO_EMISS2">#REF!</definedName>
    <definedName name="CADASTRO_REDE_COL" localSheetId="5">#REF!</definedName>
    <definedName name="CADASTRO_REDE_COL" localSheetId="0">#REF!</definedName>
    <definedName name="CADASTRO_REDE_COL" localSheetId="10">#REF!</definedName>
    <definedName name="CADASTRO_REDE_COL">#REF!</definedName>
    <definedName name="caixa">'[2]RESUMO-DVOP'!$C$36</definedName>
    <definedName name="CAIXAS" localSheetId="5">#REF!</definedName>
    <definedName name="CAIXAS" localSheetId="0">#REF!</definedName>
    <definedName name="CAIXAS" localSheetId="10">#REF!</definedName>
    <definedName name="CAIXAS">#REF!</definedName>
    <definedName name="CAIXAS_EMISS3_S" localSheetId="5">#REF!</definedName>
    <definedName name="CAIXAS_EMISS3_S" localSheetId="0">#REF!</definedName>
    <definedName name="CAIXAS_EMISS3_S" localSheetId="10">#REF!</definedName>
    <definedName name="CAIXAS_EMISS3_S">#REF!</definedName>
    <definedName name="Camada_brita" localSheetId="5">#REF!</definedName>
    <definedName name="Camada_brita" localSheetId="0">#REF!</definedName>
    <definedName name="Camada_brita" localSheetId="10">#REF!</definedName>
    <definedName name="Camada_brita">#REF!</definedName>
    <definedName name="Camada_impermeabilizadora" localSheetId="5">#REF!</definedName>
    <definedName name="Camada_impermeabilizadora" localSheetId="0">#REF!</definedName>
    <definedName name="Camada_impermeabilizadora" localSheetId="10">#REF!</definedName>
    <definedName name="Camada_impermeabilizadora">#REF!</definedName>
    <definedName name="CAMPANARIO" localSheetId="5">'[10]UTR 2'!#REF!</definedName>
    <definedName name="CAMPANARIO" localSheetId="0">'[10]UTR 2'!#REF!</definedName>
    <definedName name="CAMPANARIO" localSheetId="10">'[10]UTR 2'!#REF!</definedName>
    <definedName name="CAMPANARIO">'[10]UTR 2'!#REF!</definedName>
    <definedName name="CANTEIRO_DE_OBRAS">[11]CANT_OBRAS!$H$8</definedName>
    <definedName name="CANTEIRO_OBRAS" localSheetId="5">#REF!</definedName>
    <definedName name="CANTEIRO_OBRAS" localSheetId="0">#REF!</definedName>
    <definedName name="CANTEIRO_OBRAS" localSheetId="10">#REF!</definedName>
    <definedName name="CANTEIRO_OBRAS">#REF!</definedName>
    <definedName name="cap">[2]RELATÓRIO!$U$31</definedName>
    <definedName name="cap_20" localSheetId="5">#REF!</definedName>
    <definedName name="cap_20" localSheetId="0">#REF!</definedName>
    <definedName name="cap_20" localSheetId="10">#REF!</definedName>
    <definedName name="cap_20">#REF!</definedName>
    <definedName name="cbuq" localSheetId="5">#REF!</definedName>
    <definedName name="cbuq" localSheetId="0">#REF!</definedName>
    <definedName name="cbuq" localSheetId="10">#REF!</definedName>
    <definedName name="cbuq">#REF!</definedName>
    <definedName name="cesar" localSheetId="5">#REF!</definedName>
    <definedName name="cesar" localSheetId="0">#REF!</definedName>
    <definedName name="cesar" localSheetId="10">#REF!</definedName>
    <definedName name="cesar">#REF!</definedName>
    <definedName name="Chapisco" localSheetId="5">#REF!</definedName>
    <definedName name="Chapisco" localSheetId="0">#REF!</definedName>
    <definedName name="Chapisco" localSheetId="10">#REF!</definedName>
    <definedName name="Chapisco">#REF!</definedName>
    <definedName name="CM_30" localSheetId="5">#REF!</definedName>
    <definedName name="CM_30" localSheetId="0">#REF!</definedName>
    <definedName name="CM_30" localSheetId="10">#REF!</definedName>
    <definedName name="CM_30">#REF!</definedName>
    <definedName name="Cobertura" localSheetId="5">#REF!</definedName>
    <definedName name="Cobertura" localSheetId="0">#REF!</definedName>
    <definedName name="Cobertura" localSheetId="10">#REF!</definedName>
    <definedName name="Cobertura">#REF!</definedName>
    <definedName name="Cobertura_canal" localSheetId="5">#REF!</definedName>
    <definedName name="Cobertura_canal" localSheetId="0">#REF!</definedName>
    <definedName name="Cobertura_canal" localSheetId="10">#REF!</definedName>
    <definedName name="Cobertura_canal">#REF!</definedName>
    <definedName name="Colchão" localSheetId="5">#REF!</definedName>
    <definedName name="Colchão" localSheetId="0">#REF!</definedName>
    <definedName name="Colchão" localSheetId="10">#REF!</definedName>
    <definedName name="Colchão">#REF!</definedName>
    <definedName name="CONCRETO">'[9]QUADRO 08 - COMPOSIÇÕES'!$H$129</definedName>
    <definedName name="Conser" localSheetId="5">#REF!</definedName>
    <definedName name="Conser" localSheetId="0">#REF!</definedName>
    <definedName name="Conser" localSheetId="10">#REF!</definedName>
    <definedName name="Conser">#REF!</definedName>
    <definedName name="conserva" localSheetId="5">#REF!</definedName>
    <definedName name="conserva" localSheetId="0">#REF!</definedName>
    <definedName name="conserva" localSheetId="10">#REF!</definedName>
    <definedName name="conserva">#REF!</definedName>
    <definedName name="cont" localSheetId="5">#REF!</definedName>
    <definedName name="cont" localSheetId="0">#REF!</definedName>
    <definedName name="cont" localSheetId="10">#REF!</definedName>
    <definedName name="cont">#REF!</definedName>
    <definedName name="CONT_CANTEIRO" localSheetId="5">#REF!</definedName>
    <definedName name="CONT_CANTEIRO" localSheetId="0">#REF!</definedName>
    <definedName name="CONT_CANTEIRO" localSheetId="10">#REF!</definedName>
    <definedName name="CONT_CANTEIRO">#REF!</definedName>
    <definedName name="contrapartida" localSheetId="5">#REF!</definedName>
    <definedName name="contrapartida" localSheetId="0">#REF!</definedName>
    <definedName name="contrapartida" localSheetId="10">#REF!</definedName>
    <definedName name="contrapartida">#REF!</definedName>
    <definedName name="CONTRATO" localSheetId="10">[12]APONT!$B$5:$G$426</definedName>
    <definedName name="CONTRATO">[13]APONT!$B$5:$G$426</definedName>
    <definedName name="cp.100" localSheetId="5">#REF!</definedName>
    <definedName name="cp.100" localSheetId="0">#REF!</definedName>
    <definedName name="cp.100" localSheetId="10">#REF!</definedName>
    <definedName name="cp.100">#REF!</definedName>
    <definedName name="cp.95" localSheetId="5">#REF!</definedName>
    <definedName name="cp.95" localSheetId="0">#REF!</definedName>
    <definedName name="cp.95" localSheetId="10">#REF!</definedName>
    <definedName name="cp.95">#REF!</definedName>
    <definedName name="_xlnm.Criteria" localSheetId="5">#REF!</definedName>
    <definedName name="_xlnm.Criteria" localSheetId="0">#REF!</definedName>
    <definedName name="_xlnm.Criteria" localSheetId="10">#REF!</definedName>
    <definedName name="_xlnm.Criteria">#REF!</definedName>
    <definedName name="Cron" localSheetId="5" hidden="1">{#N/A,#N/A,FALSE,"MO (2)"}</definedName>
    <definedName name="Cron" localSheetId="0" hidden="1">{#N/A,#N/A,FALSE,"MO (2)"}</definedName>
    <definedName name="Cron" localSheetId="10" hidden="1">{#N/A,#N/A,FALSE,"MO (2)"}</definedName>
    <definedName name="Cron" localSheetId="11" hidden="1">{#N/A,#N/A,FALSE,"MO (2)"}</definedName>
    <definedName name="Cron" localSheetId="30" hidden="1">{#N/A,#N/A,FALSE,"MO (2)"}</definedName>
    <definedName name="Cron" localSheetId="31" hidden="1">{#N/A,#N/A,FALSE,"MO (2)"}</definedName>
    <definedName name="Cron" hidden="1">{#N/A,#N/A,FALSE,"MO (2)"}</definedName>
    <definedName name="Cron_1" localSheetId="5" hidden="1">{#N/A,#N/A,FALSE,"MO (2)"}</definedName>
    <definedName name="Cron_1" localSheetId="0" hidden="1">{#N/A,#N/A,FALSE,"MO (2)"}</definedName>
    <definedName name="Cron_1" localSheetId="10" hidden="1">{#N/A,#N/A,FALSE,"MO (2)"}</definedName>
    <definedName name="Cron_1" localSheetId="11" hidden="1">{#N/A,#N/A,FALSE,"MO (2)"}</definedName>
    <definedName name="Cron_1" localSheetId="30" hidden="1">{#N/A,#N/A,FALSE,"MO (2)"}</definedName>
    <definedName name="Cron_1" localSheetId="31" hidden="1">{#N/A,#N/A,FALSE,"MO (2)"}</definedName>
    <definedName name="Cron_1" hidden="1">{#N/A,#N/A,FALSE,"MO (2)"}</definedName>
    <definedName name="crona" localSheetId="5">#REF!</definedName>
    <definedName name="crona" localSheetId="0">#REF!</definedName>
    <definedName name="crona" localSheetId="10">#REF!</definedName>
    <definedName name="crona">#REF!</definedName>
    <definedName name="cronograma" localSheetId="11" hidden="1">{#N/A,#N/A,TRUE,"Plan1"}</definedName>
    <definedName name="cronograma" localSheetId="30" hidden="1">{#N/A,#N/A,TRUE,"Plan1"}</definedName>
    <definedName name="cronograma" localSheetId="31" hidden="1">{#N/A,#N/A,TRUE,"Plan1"}</definedName>
    <definedName name="cronograma" hidden="1">{#N/A,#N/A,TRUE,"Plan1"}</definedName>
    <definedName name="CUBAÇÃO" localSheetId="5">#REF!</definedName>
    <definedName name="CUBAÇÃO" localSheetId="0">#REF!</definedName>
    <definedName name="CUBAÇÃO" localSheetId="10">#REF!</definedName>
    <definedName name="CUBAÇÃO">#REF!</definedName>
    <definedName name="cx.01" localSheetId="5">[14]Aterro!#REF!</definedName>
    <definedName name="cx.01" localSheetId="0">[14]Aterro!#REF!</definedName>
    <definedName name="cx.01" localSheetId="10">[14]Aterro!#REF!</definedName>
    <definedName name="cx.01">[14]Aterro!#REF!</definedName>
    <definedName name="cx_coletora" localSheetId="5">#REF!</definedName>
    <definedName name="cx_coletora" localSheetId="0">#REF!</definedName>
    <definedName name="cx_coletora" localSheetId="10">#REF!</definedName>
    <definedName name="cx_coletora">#REF!</definedName>
    <definedName name="DAS" localSheetId="5" hidden="1">{#N/A,#N/A,FALSE,"MO (2)"}</definedName>
    <definedName name="DAS" localSheetId="0" hidden="1">{#N/A,#N/A,FALSE,"MO (2)"}</definedName>
    <definedName name="DAS" localSheetId="10" hidden="1">{#N/A,#N/A,FALSE,"MO (2)"}</definedName>
    <definedName name="DAS" localSheetId="11" hidden="1">{#N/A,#N/A,FALSE,"MO (2)"}</definedName>
    <definedName name="DAS" localSheetId="30" hidden="1">{#N/A,#N/A,FALSE,"MO (2)"}</definedName>
    <definedName name="DAS" localSheetId="31" hidden="1">{#N/A,#N/A,FALSE,"MO (2)"}</definedName>
    <definedName name="DAS" hidden="1">{#N/A,#N/A,FALSE,"MO (2)"}</definedName>
    <definedName name="DAS_1" localSheetId="5" hidden="1">{#N/A,#N/A,FALSE,"MO (2)"}</definedName>
    <definedName name="DAS_1" localSheetId="0" hidden="1">{#N/A,#N/A,FALSE,"MO (2)"}</definedName>
    <definedName name="DAS_1" localSheetId="10" hidden="1">{#N/A,#N/A,FALSE,"MO (2)"}</definedName>
    <definedName name="DAS_1" localSheetId="11" hidden="1">{#N/A,#N/A,FALSE,"MO (2)"}</definedName>
    <definedName name="DAS_1" localSheetId="30" hidden="1">{#N/A,#N/A,FALSE,"MO (2)"}</definedName>
    <definedName name="DAS_1" localSheetId="31" hidden="1">{#N/A,#N/A,FALSE,"MO (2)"}</definedName>
    <definedName name="DAS_1" hidden="1">{#N/A,#N/A,FALSE,"MO (2)"}</definedName>
    <definedName name="DATA" localSheetId="5">#REF!</definedName>
    <definedName name="DATA" localSheetId="0">#REF!</definedName>
    <definedName name="DATA" localSheetId="10">#REF!</definedName>
    <definedName name="DATA">#REF!</definedName>
    <definedName name="data1" localSheetId="5">#REF!</definedName>
    <definedName name="data1" localSheetId="0">#REF!</definedName>
    <definedName name="data1" localSheetId="10">#REF!</definedName>
    <definedName name="data1">#REF!</definedName>
    <definedName name="DATA2" localSheetId="5">#REF!</definedName>
    <definedName name="DATA2" localSheetId="0">#REF!</definedName>
    <definedName name="DATA2" localSheetId="10">#REF!</definedName>
    <definedName name="DATA2">#REF!</definedName>
    <definedName name="DATA3" localSheetId="5">#REF!</definedName>
    <definedName name="DATA3" localSheetId="0">#REF!</definedName>
    <definedName name="DATA3" localSheetId="10">#REF!</definedName>
    <definedName name="DATA3">#REF!</definedName>
    <definedName name="DDDDE" localSheetId="5" hidden="1">{#N/A,#N/A,FALSE,"MO (2)"}</definedName>
    <definedName name="DDDDE" localSheetId="0" hidden="1">{#N/A,#N/A,FALSE,"MO (2)"}</definedName>
    <definedName name="DDDDE" localSheetId="10" hidden="1">{#N/A,#N/A,FALSE,"MO (2)"}</definedName>
    <definedName name="DDDDE" localSheetId="11" hidden="1">{#N/A,#N/A,FALSE,"MO (2)"}</definedName>
    <definedName name="DDDDE" localSheetId="30" hidden="1">{#N/A,#N/A,FALSE,"MO (2)"}</definedName>
    <definedName name="DDDDE" localSheetId="31" hidden="1">{#N/A,#N/A,FALSE,"MO (2)"}</definedName>
    <definedName name="DDDDE" hidden="1">{#N/A,#N/A,FALSE,"MO (2)"}</definedName>
    <definedName name="DDDDE_1" localSheetId="5" hidden="1">{#N/A,#N/A,FALSE,"MO (2)"}</definedName>
    <definedName name="DDDDE_1" localSheetId="0" hidden="1">{#N/A,#N/A,FALSE,"MO (2)"}</definedName>
    <definedName name="DDDDE_1" localSheetId="10" hidden="1">{#N/A,#N/A,FALSE,"MO (2)"}</definedName>
    <definedName name="DDDDE_1" localSheetId="11" hidden="1">{#N/A,#N/A,FALSE,"MO (2)"}</definedName>
    <definedName name="DDDDE_1" localSheetId="30" hidden="1">{#N/A,#N/A,FALSE,"MO (2)"}</definedName>
    <definedName name="DDDDE_1" localSheetId="31" hidden="1">{#N/A,#N/A,FALSE,"MO (2)"}</definedName>
    <definedName name="DDDDE_1" hidden="1">{#N/A,#N/A,FALSE,"MO (2)"}</definedName>
    <definedName name="ddlc" localSheetId="5">#REF!</definedName>
    <definedName name="ddlc" localSheetId="0">#REF!</definedName>
    <definedName name="ddlc" localSheetId="10">#REF!</definedName>
    <definedName name="ddlc">#REF!</definedName>
    <definedName name="defensas" localSheetId="5">#REF!</definedName>
    <definedName name="defensas" localSheetId="0">#REF!</definedName>
    <definedName name="defensas" localSheetId="10">#REF!</definedName>
    <definedName name="defensas">#REF!</definedName>
    <definedName name="densidade_cap" localSheetId="5">#REF!</definedName>
    <definedName name="densidade_cap" localSheetId="0">#REF!</definedName>
    <definedName name="densidade_cap" localSheetId="10">#REF!</definedName>
    <definedName name="densidade_cap">#REF!</definedName>
    <definedName name="DESAP" localSheetId="5">#REF!</definedName>
    <definedName name="DESAP" localSheetId="0">#REF!</definedName>
    <definedName name="DESAP" localSheetId="10">#REF!</definedName>
    <definedName name="DESAP">#REF!</definedName>
    <definedName name="DESAPROPRIAÇÃO">'[11]AQU TERRENO-'!$H$9</definedName>
    <definedName name="descida1" localSheetId="5">#REF!</definedName>
    <definedName name="descida1" localSheetId="0">#REF!</definedName>
    <definedName name="descida1" localSheetId="10">#REF!</definedName>
    <definedName name="descida1">#REF!</definedName>
    <definedName name="descida2" localSheetId="5">#REF!</definedName>
    <definedName name="descida2" localSheetId="0">#REF!</definedName>
    <definedName name="descida2" localSheetId="10">#REF!</definedName>
    <definedName name="descida2">#REF!</definedName>
    <definedName name="DFDFDGFGSG">[15]Serviços!$A$3:$F$1403</definedName>
    <definedName name="DIE">'[16]INSUMOS BÁSICOS'!$E$67</definedName>
    <definedName name="DIESEL" localSheetId="5">#REF!</definedName>
    <definedName name="DIESEL" localSheetId="0">#REF!</definedName>
    <definedName name="DIESEL" localSheetId="10">#REF!</definedName>
    <definedName name="DIESEL">#REF!</definedName>
    <definedName name="DMT_0_50" localSheetId="5">#REF!</definedName>
    <definedName name="DMT_0_50" localSheetId="0">#REF!</definedName>
    <definedName name="DMT_0_50" localSheetId="10">#REF!</definedName>
    <definedName name="DMT_0_50">#REF!</definedName>
    <definedName name="dmt_1000" localSheetId="5">#REF!</definedName>
    <definedName name="dmt_1000" localSheetId="0">#REF!</definedName>
    <definedName name="dmt_1000" localSheetId="10">#REF!</definedName>
    <definedName name="dmt_1000">#REF!</definedName>
    <definedName name="dmt_1200" localSheetId="5">#REF!</definedName>
    <definedName name="dmt_1200" localSheetId="0">#REF!</definedName>
    <definedName name="dmt_1200" localSheetId="10">#REF!</definedName>
    <definedName name="dmt_1200">#REF!</definedName>
    <definedName name="dmt_1400" localSheetId="5">#REF!</definedName>
    <definedName name="dmt_1400" localSheetId="0">#REF!</definedName>
    <definedName name="dmt_1400" localSheetId="10">#REF!</definedName>
    <definedName name="dmt_1400">#REF!</definedName>
    <definedName name="dmt_200" localSheetId="5">#REF!</definedName>
    <definedName name="dmt_200" localSheetId="0">#REF!</definedName>
    <definedName name="dmt_200" localSheetId="10">#REF!</definedName>
    <definedName name="dmt_200">#REF!</definedName>
    <definedName name="DMT_200_400" localSheetId="5">#REF!</definedName>
    <definedName name="DMT_200_400" localSheetId="0">#REF!</definedName>
    <definedName name="DMT_200_400" localSheetId="10">#REF!</definedName>
    <definedName name="DMT_200_400">#REF!</definedName>
    <definedName name="dmt_400" localSheetId="5">#REF!</definedName>
    <definedName name="dmt_400" localSheetId="0">#REF!</definedName>
    <definedName name="dmt_400" localSheetId="10">#REF!</definedName>
    <definedName name="dmt_400">#REF!</definedName>
    <definedName name="DMT_400_600" localSheetId="5">#REF!</definedName>
    <definedName name="DMT_400_600" localSheetId="0">#REF!</definedName>
    <definedName name="DMT_400_600" localSheetId="10">#REF!</definedName>
    <definedName name="DMT_400_600">#REF!</definedName>
    <definedName name="dmt_50" localSheetId="5">#REF!</definedName>
    <definedName name="dmt_50" localSheetId="0">#REF!</definedName>
    <definedName name="dmt_50" localSheetId="10">#REF!</definedName>
    <definedName name="dmt_50">#REF!</definedName>
    <definedName name="DMT_50_200" localSheetId="5">#REF!</definedName>
    <definedName name="DMT_50_200" localSheetId="0">#REF!</definedName>
    <definedName name="DMT_50_200" localSheetId="10">#REF!</definedName>
    <definedName name="DMT_50_200">#REF!</definedName>
    <definedName name="dmt_600" localSheetId="5">#REF!</definedName>
    <definedName name="dmt_600" localSheetId="0">#REF!</definedName>
    <definedName name="dmt_600" localSheetId="10">#REF!</definedName>
    <definedName name="dmt_600">#REF!</definedName>
    <definedName name="dmt_800" localSheetId="5">#REF!</definedName>
    <definedName name="dmt_800" localSheetId="0">#REF!</definedName>
    <definedName name="dmt_800" localSheetId="10">#REF!</definedName>
    <definedName name="dmt_800">#REF!</definedName>
    <definedName name="dren" localSheetId="5">#REF!</definedName>
    <definedName name="dren" localSheetId="0">#REF!</definedName>
    <definedName name="dren" localSheetId="10">#REF!</definedName>
    <definedName name="dren">#REF!</definedName>
    <definedName name="drena" localSheetId="5">#REF!</definedName>
    <definedName name="drena" localSheetId="0">#REF!</definedName>
    <definedName name="drena" localSheetId="10">#REF!</definedName>
    <definedName name="drena">#REF!</definedName>
    <definedName name="Drena2" localSheetId="5">#REF!</definedName>
    <definedName name="Drena2" localSheetId="0">#REF!</definedName>
    <definedName name="Drena2" localSheetId="10">#REF!</definedName>
    <definedName name="Drena2">#REF!</definedName>
    <definedName name="DRF" localSheetId="5">#REF!</definedName>
    <definedName name="DRF" localSheetId="0">#REF!</definedName>
    <definedName name="DRF" localSheetId="10">#REF!</definedName>
    <definedName name="DRF">#REF!</definedName>
    <definedName name="edefegeh" localSheetId="5" hidden="1">{#N/A,#N/A,FALSE,"MO (2)"}</definedName>
    <definedName name="edefegeh" localSheetId="0" hidden="1">{#N/A,#N/A,FALSE,"MO (2)"}</definedName>
    <definedName name="edefegeh" localSheetId="10" hidden="1">{#N/A,#N/A,FALSE,"MO (2)"}</definedName>
    <definedName name="edefegeh" localSheetId="11" hidden="1">{#N/A,#N/A,FALSE,"MO (2)"}</definedName>
    <definedName name="edefegeh" localSheetId="30" hidden="1">{#N/A,#N/A,FALSE,"MO (2)"}</definedName>
    <definedName name="edefegeh" localSheetId="31" hidden="1">{#N/A,#N/A,FALSE,"MO (2)"}</definedName>
    <definedName name="edefegeh" hidden="1">{#N/A,#N/A,FALSE,"MO (2)"}</definedName>
    <definedName name="edefegeh_1" localSheetId="5" hidden="1">{#N/A,#N/A,FALSE,"MO (2)"}</definedName>
    <definedName name="edefegeh_1" localSheetId="0" hidden="1">{#N/A,#N/A,FALSE,"MO (2)"}</definedName>
    <definedName name="edefegeh_1" localSheetId="10" hidden="1">{#N/A,#N/A,FALSE,"MO (2)"}</definedName>
    <definedName name="edefegeh_1" localSheetId="11" hidden="1">{#N/A,#N/A,FALSE,"MO (2)"}</definedName>
    <definedName name="edefegeh_1" localSheetId="30" hidden="1">{#N/A,#N/A,FALSE,"MO (2)"}</definedName>
    <definedName name="edefegeh_1" localSheetId="31" hidden="1">{#N/A,#N/A,FALSE,"MO (2)"}</definedName>
    <definedName name="edefegeh_1" hidden="1">{#N/A,#N/A,FALSE,"MO (2)"}</definedName>
    <definedName name="edit" localSheetId="5">#REF!</definedName>
    <definedName name="edit" localSheetId="0">#REF!</definedName>
    <definedName name="edit" localSheetId="10">#REF!</definedName>
    <definedName name="edit">#REF!</definedName>
    <definedName name="edita" localSheetId="5">#REF!</definedName>
    <definedName name="edita" localSheetId="0">#REF!</definedName>
    <definedName name="edita" localSheetId="10">#REF!</definedName>
    <definedName name="edita">#REF!</definedName>
    <definedName name="EDITA1" localSheetId="5">#REF!</definedName>
    <definedName name="EDITA1" localSheetId="0">#REF!</definedName>
    <definedName name="EDITA1" localSheetId="10">#REF!</definedName>
    <definedName name="EDITA1">#REF!</definedName>
    <definedName name="EDITA2" localSheetId="5">#REF!</definedName>
    <definedName name="EDITA2" localSheetId="0">#REF!</definedName>
    <definedName name="EDITA2" localSheetId="10">#REF!</definedName>
    <definedName name="EDITA2">#REF!</definedName>
    <definedName name="EDITAL" localSheetId="5">#REF!</definedName>
    <definedName name="EDITAL" localSheetId="0">#REF!</definedName>
    <definedName name="EDITAL" localSheetId="10">#REF!</definedName>
    <definedName name="EDITAL">#REF!</definedName>
    <definedName name="EDITAL2" localSheetId="5">#REF!</definedName>
    <definedName name="EDITAL2" localSheetId="0">#REF!</definedName>
    <definedName name="EDITAL2" localSheetId="10">#REF!</definedName>
    <definedName name="EDITAL2">#REF!</definedName>
    <definedName name="EDITALA" localSheetId="5">#REF!</definedName>
    <definedName name="EDITALA" localSheetId="0">#REF!</definedName>
    <definedName name="EDITALA" localSheetId="10">#REF!</definedName>
    <definedName name="EDITALA">#REF!</definedName>
    <definedName name="EE1_MAT" localSheetId="5">#REF!</definedName>
    <definedName name="EE1_MAT" localSheetId="0">#REF!</definedName>
    <definedName name="EE1_MAT" localSheetId="10">#REF!</definedName>
    <definedName name="EE1_MAT">#REF!</definedName>
    <definedName name="EE1_MATERIAIS">'[11]ESTA ELEVATÓRIA_'!$H$106</definedName>
    <definedName name="EE1_SERV" localSheetId="5">#REF!</definedName>
    <definedName name="EE1_SERV" localSheetId="0">#REF!</definedName>
    <definedName name="EE1_SERV" localSheetId="10">#REF!</definedName>
    <definedName name="EE1_SERV">#REF!</definedName>
    <definedName name="EE1_SERVIÇOS">'[11]ESTA ELEVATÓRIA_'!$H$9</definedName>
    <definedName name="EE2_MAT" localSheetId="5">#REF!</definedName>
    <definedName name="EE2_MAT" localSheetId="0">#REF!</definedName>
    <definedName name="EE2_MAT" localSheetId="10">#REF!</definedName>
    <definedName name="EE2_MAT">#REF!</definedName>
    <definedName name="EE2_MATERIAIS">'[11]ESTA ELEVATÓRIA_'!$H$244</definedName>
    <definedName name="EE2_SERV" localSheetId="5">#REF!</definedName>
    <definedName name="EE2_SERV" localSheetId="0">#REF!</definedName>
    <definedName name="EE2_SERV" localSheetId="10">#REF!</definedName>
    <definedName name="EE2_SERV">#REF!</definedName>
    <definedName name="EE2_SERVIÇOS">'[11]ESTA ELEVATÓRIA_'!$H$143</definedName>
    <definedName name="EE3_MAT" localSheetId="5">#REF!</definedName>
    <definedName name="EE3_MAT" localSheetId="0">#REF!</definedName>
    <definedName name="EE3_MAT" localSheetId="10">#REF!</definedName>
    <definedName name="EE3_MAT">#REF!</definedName>
    <definedName name="EE3_SERV" localSheetId="5">#REF!</definedName>
    <definedName name="EE3_SERV" localSheetId="0">#REF!</definedName>
    <definedName name="EE3_SERV" localSheetId="10">#REF!</definedName>
    <definedName name="EE3_SERV">#REF!</definedName>
    <definedName name="Elemento_vazado" localSheetId="5">#REF!</definedName>
    <definedName name="Elemento_vazado" localSheetId="0">#REF!</definedName>
    <definedName name="Elemento_vazado" localSheetId="10">#REF!</definedName>
    <definedName name="Elemento_vazado">#REF!</definedName>
    <definedName name="ELIAS" localSheetId="5">#REF!</definedName>
    <definedName name="ELIAS" localSheetId="0">#REF!</definedName>
    <definedName name="ELIAS" localSheetId="10">#REF!</definedName>
    <definedName name="ELIAS">#REF!</definedName>
    <definedName name="EMISS_1_MAT" localSheetId="5">#REF!</definedName>
    <definedName name="EMISS_1_MAT" localSheetId="0">#REF!</definedName>
    <definedName name="EMISS_1_MAT" localSheetId="10">#REF!</definedName>
    <definedName name="EMISS_1_MAT">#REF!</definedName>
    <definedName name="EMISS_1_SERV" localSheetId="5">#REF!</definedName>
    <definedName name="EMISS_1_SERV" localSheetId="0">#REF!</definedName>
    <definedName name="EMISS_1_SERV" localSheetId="10">#REF!</definedName>
    <definedName name="EMISS_1_SERV">#REF!</definedName>
    <definedName name="EMISS_2_MAT" localSheetId="5">#REF!</definedName>
    <definedName name="EMISS_2_MAT" localSheetId="0">#REF!</definedName>
    <definedName name="EMISS_2_MAT" localSheetId="10">#REF!</definedName>
    <definedName name="EMISS_2_MAT">#REF!</definedName>
    <definedName name="EMISS_2_SERV" localSheetId="5">#REF!</definedName>
    <definedName name="EMISS_2_SERV" localSheetId="0">#REF!</definedName>
    <definedName name="EMISS_2_SERV" localSheetId="10">#REF!</definedName>
    <definedName name="EMISS_2_SERV">#REF!</definedName>
    <definedName name="EMISS_3_MAT" localSheetId="5">#REF!</definedName>
    <definedName name="EMISS_3_MAT" localSheetId="0">#REF!</definedName>
    <definedName name="EMISS_3_MAT" localSheetId="10">#REF!</definedName>
    <definedName name="EMISS_3_MAT">#REF!</definedName>
    <definedName name="EMISS_3_SERV" localSheetId="5">#REF!</definedName>
    <definedName name="EMISS_3_SERV" localSheetId="0">#REF!</definedName>
    <definedName name="EMISS_3_SERV" localSheetId="10">#REF!</definedName>
    <definedName name="EMISS_3_SERV">#REF!</definedName>
    <definedName name="EMISSÁRIO1_MATERIAIS">[11]EMISSÁRIO_!$H$39</definedName>
    <definedName name="EMISSÁRIO1_SERVIÇOS">[11]EMISSÁRIO_!$H$9</definedName>
    <definedName name="EMISSÁRIO2_MATERIAIS">[11]EMISSÁRIO_!$H$80</definedName>
    <definedName name="EMISSÁRIO2_SERVIÇOS">[11]EMISSÁRIO_!$H$50</definedName>
    <definedName name="Empo" localSheetId="5">#REF!</definedName>
    <definedName name="Empo" localSheetId="0">#REF!</definedName>
    <definedName name="Empo" localSheetId="10">#REF!</definedName>
    <definedName name="Empo">#REF!</definedName>
    <definedName name="empo2" localSheetId="5">#REF!</definedName>
    <definedName name="empo2" localSheetId="0">#REF!</definedName>
    <definedName name="empo2" localSheetId="10">#REF!</definedName>
    <definedName name="empo2">#REF!</definedName>
    <definedName name="Empola2" localSheetId="5">#REF!</definedName>
    <definedName name="Empola2" localSheetId="0">#REF!</definedName>
    <definedName name="Empola2" localSheetId="10">#REF!</definedName>
    <definedName name="Empola2">#REF!</definedName>
    <definedName name="Empolamento" localSheetId="5">#REF!</definedName>
    <definedName name="Empolamento" localSheetId="0">#REF!</definedName>
    <definedName name="Empolamento" localSheetId="10">#REF!</definedName>
    <definedName name="Empolamento">#REF!</definedName>
    <definedName name="Empolo2" localSheetId="5">#REF!</definedName>
    <definedName name="Empolo2" localSheetId="0">#REF!</definedName>
    <definedName name="Empolo2" localSheetId="10">#REF!</definedName>
    <definedName name="Empolo2">#REF!</definedName>
    <definedName name="empolo3" localSheetId="5">#REF!</definedName>
    <definedName name="empolo3" localSheetId="0">#REF!</definedName>
    <definedName name="empolo3" localSheetId="10">#REF!</definedName>
    <definedName name="empolo3">#REF!</definedName>
    <definedName name="ENCP" localSheetId="5">#REF!</definedName>
    <definedName name="ENCP" localSheetId="0">#REF!</definedName>
    <definedName name="ENCP" localSheetId="10">#REF!</definedName>
    <definedName name="ENCP">#REF!</definedName>
    <definedName name="ENCPA" localSheetId="5">#REF!</definedName>
    <definedName name="ENCPA" localSheetId="0">#REF!</definedName>
    <definedName name="ENCPA" localSheetId="10">#REF!</definedName>
    <definedName name="ENCPA">#REF!</definedName>
    <definedName name="ENCT" localSheetId="5">#REF!</definedName>
    <definedName name="ENCT" localSheetId="0">#REF!</definedName>
    <definedName name="ENCT" localSheetId="10">#REF!</definedName>
    <definedName name="ENCT">#REF!</definedName>
    <definedName name="ENCTA" localSheetId="5">#REF!</definedName>
    <definedName name="ENCTA" localSheetId="0">#REF!</definedName>
    <definedName name="ENCTA" localSheetId="10">#REF!</definedName>
    <definedName name="ENCTA">#REF!</definedName>
    <definedName name="eng">'[4]Mat Asf'!$C$36</definedName>
    <definedName name="eng." localSheetId="5" hidden="1">{#N/A,#N/A,FALSE,"MO (2)"}</definedName>
    <definedName name="eng." localSheetId="0" hidden="1">{#N/A,#N/A,FALSE,"MO (2)"}</definedName>
    <definedName name="eng." localSheetId="10" hidden="1">{#N/A,#N/A,FALSE,"MO (2)"}</definedName>
    <definedName name="eng." localSheetId="11" hidden="1">{#N/A,#N/A,FALSE,"MO (2)"}</definedName>
    <definedName name="eng." localSheetId="30" hidden="1">{#N/A,#N/A,FALSE,"MO (2)"}</definedName>
    <definedName name="eng." localSheetId="31" hidden="1">{#N/A,#N/A,FALSE,"MO (2)"}</definedName>
    <definedName name="eng." hidden="1">{#N/A,#N/A,FALSE,"MO (2)"}</definedName>
    <definedName name="eng._1" localSheetId="5" hidden="1">{#N/A,#N/A,FALSE,"MO (2)"}</definedName>
    <definedName name="eng._1" localSheetId="0" hidden="1">{#N/A,#N/A,FALSE,"MO (2)"}</definedName>
    <definedName name="eng._1" localSheetId="10" hidden="1">{#N/A,#N/A,FALSE,"MO (2)"}</definedName>
    <definedName name="eng._1" localSheetId="11" hidden="1">{#N/A,#N/A,FALSE,"MO (2)"}</definedName>
    <definedName name="eng._1" localSheetId="30" hidden="1">{#N/A,#N/A,FALSE,"MO (2)"}</definedName>
    <definedName name="eng._1" localSheetId="31" hidden="1">{#N/A,#N/A,FALSE,"MO (2)"}</definedName>
    <definedName name="eng._1" hidden="1">{#N/A,#N/A,FALSE,"MO (2)"}</definedName>
    <definedName name="ENGENHARIA" localSheetId="5" hidden="1">{#N/A,#N/A,FALSE,"MO (2)"}</definedName>
    <definedName name="ENGENHARIA" localSheetId="0" hidden="1">{#N/A,#N/A,FALSE,"MO (2)"}</definedName>
    <definedName name="ENGENHARIA" localSheetId="10" hidden="1">{#N/A,#N/A,FALSE,"MO (2)"}</definedName>
    <definedName name="ENGENHARIA" localSheetId="11" hidden="1">{#N/A,#N/A,FALSE,"MO (2)"}</definedName>
    <definedName name="ENGENHARIA" localSheetId="30" hidden="1">{#N/A,#N/A,FALSE,"MO (2)"}</definedName>
    <definedName name="ENGENHARIA" localSheetId="31" hidden="1">{#N/A,#N/A,FALSE,"MO (2)"}</definedName>
    <definedName name="ENGENHARIA" hidden="1">{#N/A,#N/A,FALSE,"MO (2)"}</definedName>
    <definedName name="ENGENHARIA_1" localSheetId="5" hidden="1">{#N/A,#N/A,FALSE,"MO (2)"}</definedName>
    <definedName name="ENGENHARIA_1" localSheetId="0" hidden="1">{#N/A,#N/A,FALSE,"MO (2)"}</definedName>
    <definedName name="ENGENHARIA_1" localSheetId="10" hidden="1">{#N/A,#N/A,FALSE,"MO (2)"}</definedName>
    <definedName name="ENGENHARIA_1" localSheetId="11" hidden="1">{#N/A,#N/A,FALSE,"MO (2)"}</definedName>
    <definedName name="ENGENHARIA_1" localSheetId="30" hidden="1">{#N/A,#N/A,FALSE,"MO (2)"}</definedName>
    <definedName name="ENGENHARIA_1" localSheetId="31" hidden="1">{#N/A,#N/A,FALSE,"MO (2)"}</definedName>
    <definedName name="ENGENHARIA_1" hidden="1">{#N/A,#N/A,FALSE,"MO (2)"}</definedName>
    <definedName name="entrada1" localSheetId="5">#REF!</definedName>
    <definedName name="entrada1" localSheetId="0">#REF!</definedName>
    <definedName name="entrada1" localSheetId="10">#REF!</definedName>
    <definedName name="entrada1">#REF!</definedName>
    <definedName name="entrada2" localSheetId="5">#REF!</definedName>
    <definedName name="entrada2" localSheetId="0">#REF!</definedName>
    <definedName name="entrada2" localSheetId="10">#REF!</definedName>
    <definedName name="entrada2">#REF!</definedName>
    <definedName name="ESC" localSheetId="5">#REF!</definedName>
    <definedName name="ESC" localSheetId="0">#REF!</definedName>
    <definedName name="ESC" localSheetId="10">#REF!</definedName>
    <definedName name="ESC">#REF!</definedName>
    <definedName name="ESC_EMISS3_S" localSheetId="5">#REF!</definedName>
    <definedName name="ESC_EMISS3_S" localSheetId="0">#REF!</definedName>
    <definedName name="ESC_EMISS3_S" localSheetId="10">#REF!</definedName>
    <definedName name="ESC_EMISS3_S">#REF!</definedName>
    <definedName name="Escavação" localSheetId="5">#REF!</definedName>
    <definedName name="Escavação" localSheetId="0">#REF!</definedName>
    <definedName name="Escavação" localSheetId="10">#REF!</definedName>
    <definedName name="Escavação">#REF!</definedName>
    <definedName name="escavmec" localSheetId="5">#REF!</definedName>
    <definedName name="escavmec" localSheetId="0">#REF!</definedName>
    <definedName name="escavmec" localSheetId="10">#REF!</definedName>
    <definedName name="escavmec">#REF!</definedName>
    <definedName name="ESCORAMENTO" localSheetId="5">#REF!</definedName>
    <definedName name="ESCORAMENTO" localSheetId="0">#REF!</definedName>
    <definedName name="ESCORAMENTO" localSheetId="10">#REF!</definedName>
    <definedName name="ESCORAMENTO">#REF!</definedName>
    <definedName name="ESGOT_EMISS3_S" localSheetId="5">#REF!</definedName>
    <definedName name="ESGOT_EMISS3_S" localSheetId="0">#REF!</definedName>
    <definedName name="ESGOT_EMISS3_S" localSheetId="10">#REF!</definedName>
    <definedName name="ESGOT_EMISS3_S">#REF!</definedName>
    <definedName name="ESGOTAMENTO" localSheetId="5">#REF!</definedName>
    <definedName name="ESGOTAMENTO" localSheetId="0">#REF!</definedName>
    <definedName name="ESGOTAMENTO" localSheetId="10">#REF!</definedName>
    <definedName name="ESGOTAMENTO">#REF!</definedName>
    <definedName name="Esquadrias" localSheetId="5">#REF!</definedName>
    <definedName name="Esquadrias" localSheetId="0">#REF!</definedName>
    <definedName name="Esquadrias" localSheetId="10">#REF!</definedName>
    <definedName name="Esquadrias">#REF!</definedName>
    <definedName name="EU" localSheetId="5" hidden="1">{#N/A,#N/A,FALSE,"MO (2)"}</definedName>
    <definedName name="EU" localSheetId="0" hidden="1">{#N/A,#N/A,FALSE,"MO (2)"}</definedName>
    <definedName name="EU" localSheetId="10" hidden="1">{#N/A,#N/A,FALSE,"MO (2)"}</definedName>
    <definedName name="EU" localSheetId="11" hidden="1">{#N/A,#N/A,FALSE,"MO (2)"}</definedName>
    <definedName name="EU" localSheetId="30" hidden="1">{#N/A,#N/A,FALSE,"MO (2)"}</definedName>
    <definedName name="EU" localSheetId="31" hidden="1">{#N/A,#N/A,FALSE,"MO (2)"}</definedName>
    <definedName name="EU" hidden="1">{#N/A,#N/A,FALSE,"MO (2)"}</definedName>
    <definedName name="EU_1" localSheetId="5" hidden="1">{#N/A,#N/A,FALSE,"MO (2)"}</definedName>
    <definedName name="EU_1" localSheetId="0" hidden="1">{#N/A,#N/A,FALSE,"MO (2)"}</definedName>
    <definedName name="EU_1" localSheetId="10" hidden="1">{#N/A,#N/A,FALSE,"MO (2)"}</definedName>
    <definedName name="EU_1" localSheetId="11" hidden="1">{#N/A,#N/A,FALSE,"MO (2)"}</definedName>
    <definedName name="EU_1" localSheetId="30" hidden="1">{#N/A,#N/A,FALSE,"MO (2)"}</definedName>
    <definedName name="EU_1" localSheetId="31" hidden="1">{#N/A,#N/A,FALSE,"MO (2)"}</definedName>
    <definedName name="EU_1" hidden="1">{#N/A,#N/A,FALSE,"MO (2)"}</definedName>
    <definedName name="EXER" localSheetId="5">#REF!</definedName>
    <definedName name="EXER" localSheetId="0">#REF!</definedName>
    <definedName name="EXER" localSheetId="10">#REF!</definedName>
    <definedName name="EXER">#REF!</definedName>
    <definedName name="EXPU" localSheetId="5">#REF!</definedName>
    <definedName name="EXPU" localSheetId="0">#REF!</definedName>
    <definedName name="EXPU" localSheetId="10">#REF!</definedName>
    <definedName name="EXPU">#REF!</definedName>
    <definedName name="EXT" localSheetId="5">#REF!</definedName>
    <definedName name="EXT" localSheetId="0">#REF!</definedName>
    <definedName name="EXT" localSheetId="10">#REF!</definedName>
    <definedName name="EXT">#REF!</definedName>
    <definedName name="EXTA" localSheetId="5">#REF!</definedName>
    <definedName name="EXTA" localSheetId="0">#REF!</definedName>
    <definedName name="EXTA" localSheetId="10">#REF!</definedName>
    <definedName name="EXTA">#REF!</definedName>
    <definedName name="EXTENSÃO1" localSheetId="5">#REF!</definedName>
    <definedName name="EXTENSÃO1" localSheetId="0">#REF!</definedName>
    <definedName name="EXTENSÃO1" localSheetId="10">#REF!</definedName>
    <definedName name="EXTENSÃO1">#REF!</definedName>
    <definedName name="F_01_120" localSheetId="5">#REF!</definedName>
    <definedName name="F_01_120" localSheetId="0">#REF!</definedName>
    <definedName name="F_01_120" localSheetId="10">#REF!</definedName>
    <definedName name="F_01_120">#REF!</definedName>
    <definedName name="F_01_150" localSheetId="5">#REF!</definedName>
    <definedName name="F_01_150" localSheetId="0">#REF!</definedName>
    <definedName name="F_01_150" localSheetId="10">#REF!</definedName>
    <definedName name="F_01_150">#REF!</definedName>
    <definedName name="F_01_180" localSheetId="5">#REF!</definedName>
    <definedName name="F_01_180" localSheetId="0">#REF!</definedName>
    <definedName name="F_01_180" localSheetId="10">#REF!</definedName>
    <definedName name="F_01_180">#REF!</definedName>
    <definedName name="F_01_210" localSheetId="5">#REF!</definedName>
    <definedName name="F_01_210" localSheetId="0">#REF!</definedName>
    <definedName name="F_01_210" localSheetId="10">#REF!</definedName>
    <definedName name="F_01_210">#REF!</definedName>
    <definedName name="F_01_240" localSheetId="5">#REF!</definedName>
    <definedName name="F_01_240" localSheetId="0">#REF!</definedName>
    <definedName name="F_01_240" localSheetId="10">#REF!</definedName>
    <definedName name="F_01_240">#REF!</definedName>
    <definedName name="F_01_270" localSheetId="5">#REF!</definedName>
    <definedName name="F_01_270" localSheetId="0">#REF!</definedName>
    <definedName name="F_01_270" localSheetId="10">#REF!</definedName>
    <definedName name="F_01_270">#REF!</definedName>
    <definedName name="F_01_30" localSheetId="5">#REF!</definedName>
    <definedName name="F_01_30" localSheetId="0">#REF!</definedName>
    <definedName name="F_01_30" localSheetId="10">#REF!</definedName>
    <definedName name="F_01_30">#REF!</definedName>
    <definedName name="F_01_300" localSheetId="5">#REF!</definedName>
    <definedName name="F_01_300" localSheetId="0">#REF!</definedName>
    <definedName name="F_01_300" localSheetId="10">#REF!</definedName>
    <definedName name="F_01_300">#REF!</definedName>
    <definedName name="F_01_330" localSheetId="5">#REF!</definedName>
    <definedName name="F_01_330" localSheetId="0">#REF!</definedName>
    <definedName name="F_01_330" localSheetId="10">#REF!</definedName>
    <definedName name="F_01_330">#REF!</definedName>
    <definedName name="F_01_360" localSheetId="5">#REF!</definedName>
    <definedName name="F_01_360" localSheetId="0">#REF!</definedName>
    <definedName name="F_01_360" localSheetId="10">#REF!</definedName>
    <definedName name="F_01_360">#REF!</definedName>
    <definedName name="F_01_390" localSheetId="5">#REF!</definedName>
    <definedName name="F_01_390" localSheetId="0">#REF!</definedName>
    <definedName name="F_01_390" localSheetId="10">#REF!</definedName>
    <definedName name="F_01_390">#REF!</definedName>
    <definedName name="F_01_420" localSheetId="5">#REF!</definedName>
    <definedName name="F_01_420" localSheetId="0">#REF!</definedName>
    <definedName name="F_01_420" localSheetId="10">#REF!</definedName>
    <definedName name="F_01_420">#REF!</definedName>
    <definedName name="F_01_450" localSheetId="5">#REF!</definedName>
    <definedName name="F_01_450" localSheetId="0">#REF!</definedName>
    <definedName name="F_01_450" localSheetId="10">#REF!</definedName>
    <definedName name="F_01_450">#REF!</definedName>
    <definedName name="F_01_480" localSheetId="5">#REF!</definedName>
    <definedName name="F_01_480" localSheetId="0">#REF!</definedName>
    <definedName name="F_01_480" localSheetId="10">#REF!</definedName>
    <definedName name="F_01_480">#REF!</definedName>
    <definedName name="F_01_510" localSheetId="5">#REF!</definedName>
    <definedName name="F_01_510" localSheetId="0">#REF!</definedName>
    <definedName name="F_01_510" localSheetId="10">#REF!</definedName>
    <definedName name="F_01_510">#REF!</definedName>
    <definedName name="F_01_540" localSheetId="5">#REF!</definedName>
    <definedName name="F_01_540" localSheetId="0">#REF!</definedName>
    <definedName name="F_01_540" localSheetId="10">#REF!</definedName>
    <definedName name="F_01_540">#REF!</definedName>
    <definedName name="F_01_570" localSheetId="5">#REF!</definedName>
    <definedName name="F_01_570" localSheetId="0">#REF!</definedName>
    <definedName name="F_01_570" localSheetId="10">#REF!</definedName>
    <definedName name="F_01_570">#REF!</definedName>
    <definedName name="F_01_60" localSheetId="5">#REF!</definedName>
    <definedName name="F_01_60" localSheetId="0">#REF!</definedName>
    <definedName name="F_01_60" localSheetId="10">#REF!</definedName>
    <definedName name="F_01_60">#REF!</definedName>
    <definedName name="F_01_600" localSheetId="5">#REF!</definedName>
    <definedName name="F_01_600" localSheetId="0">#REF!</definedName>
    <definedName name="F_01_600" localSheetId="10">#REF!</definedName>
    <definedName name="F_01_600">#REF!</definedName>
    <definedName name="F_01_630" localSheetId="5">#REF!</definedName>
    <definedName name="F_01_630" localSheetId="0">#REF!</definedName>
    <definedName name="F_01_630" localSheetId="10">#REF!</definedName>
    <definedName name="F_01_630">#REF!</definedName>
    <definedName name="F_01_660" localSheetId="5">#REF!</definedName>
    <definedName name="F_01_660" localSheetId="0">#REF!</definedName>
    <definedName name="F_01_660" localSheetId="10">#REF!</definedName>
    <definedName name="F_01_660">#REF!</definedName>
    <definedName name="F_01_690" localSheetId="5">#REF!</definedName>
    <definedName name="F_01_690" localSheetId="0">#REF!</definedName>
    <definedName name="F_01_690" localSheetId="10">#REF!</definedName>
    <definedName name="F_01_690">#REF!</definedName>
    <definedName name="F_01_720" localSheetId="5">#REF!</definedName>
    <definedName name="F_01_720" localSheetId="0">#REF!</definedName>
    <definedName name="F_01_720" localSheetId="10">#REF!</definedName>
    <definedName name="F_01_720">#REF!</definedName>
    <definedName name="F_01_90" localSheetId="5">#REF!</definedName>
    <definedName name="F_01_90" localSheetId="0">#REF!</definedName>
    <definedName name="F_01_90" localSheetId="10">#REF!</definedName>
    <definedName name="F_01_90">#REF!</definedName>
    <definedName name="F_02_120" localSheetId="5">#REF!</definedName>
    <definedName name="F_02_120" localSheetId="0">#REF!</definedName>
    <definedName name="F_02_120" localSheetId="10">#REF!</definedName>
    <definedName name="F_02_120">#REF!</definedName>
    <definedName name="F_02_150" localSheetId="5">#REF!</definedName>
    <definedName name="F_02_150" localSheetId="0">#REF!</definedName>
    <definedName name="F_02_150" localSheetId="10">#REF!</definedName>
    <definedName name="F_02_150">#REF!</definedName>
    <definedName name="F_02_180" localSheetId="5">#REF!</definedName>
    <definedName name="F_02_180" localSheetId="0">#REF!</definedName>
    <definedName name="F_02_180" localSheetId="10">#REF!</definedName>
    <definedName name="F_02_180">#REF!</definedName>
    <definedName name="F_02_210" localSheetId="5">#REF!</definedName>
    <definedName name="F_02_210" localSheetId="0">#REF!</definedName>
    <definedName name="F_02_210" localSheetId="10">#REF!</definedName>
    <definedName name="F_02_210">#REF!</definedName>
    <definedName name="F_02_240" localSheetId="5">#REF!</definedName>
    <definedName name="F_02_240" localSheetId="0">#REF!</definedName>
    <definedName name="F_02_240" localSheetId="10">#REF!</definedName>
    <definedName name="F_02_240">#REF!</definedName>
    <definedName name="F_02_270" localSheetId="5">#REF!</definedName>
    <definedName name="F_02_270" localSheetId="0">#REF!</definedName>
    <definedName name="F_02_270" localSheetId="10">#REF!</definedName>
    <definedName name="F_02_270">#REF!</definedName>
    <definedName name="F_02_30" localSheetId="5">#REF!</definedName>
    <definedName name="F_02_30" localSheetId="0">#REF!</definedName>
    <definedName name="F_02_30" localSheetId="10">#REF!</definedName>
    <definedName name="F_02_30">#REF!</definedName>
    <definedName name="F_02_300" localSheetId="5">#REF!</definedName>
    <definedName name="F_02_300" localSheetId="0">#REF!</definedName>
    <definedName name="F_02_300" localSheetId="10">#REF!</definedName>
    <definedName name="F_02_300">#REF!</definedName>
    <definedName name="F_02_330" localSheetId="5">#REF!</definedName>
    <definedName name="F_02_330" localSheetId="0">#REF!</definedName>
    <definedName name="F_02_330" localSheetId="10">#REF!</definedName>
    <definedName name="F_02_330">#REF!</definedName>
    <definedName name="F_02_360" localSheetId="5">#REF!</definedName>
    <definedName name="F_02_360" localSheetId="0">#REF!</definedName>
    <definedName name="F_02_360" localSheetId="10">#REF!</definedName>
    <definedName name="F_02_360">#REF!</definedName>
    <definedName name="F_02_390" localSheetId="5">#REF!</definedName>
    <definedName name="F_02_390" localSheetId="0">#REF!</definedName>
    <definedName name="F_02_390" localSheetId="10">#REF!</definedName>
    <definedName name="F_02_390">#REF!</definedName>
    <definedName name="F_02_420" localSheetId="5">#REF!</definedName>
    <definedName name="F_02_420" localSheetId="0">#REF!</definedName>
    <definedName name="F_02_420" localSheetId="10">#REF!</definedName>
    <definedName name="F_02_420">#REF!</definedName>
    <definedName name="F_02_450" localSheetId="5">#REF!</definedName>
    <definedName name="F_02_450" localSheetId="0">#REF!</definedName>
    <definedName name="F_02_450" localSheetId="10">#REF!</definedName>
    <definedName name="F_02_450">#REF!</definedName>
    <definedName name="F_02_480" localSheetId="5">#REF!</definedName>
    <definedName name="F_02_480" localSheetId="0">#REF!</definedName>
    <definedName name="F_02_480" localSheetId="10">#REF!</definedName>
    <definedName name="F_02_480">#REF!</definedName>
    <definedName name="F_02_510" localSheetId="5">#REF!</definedName>
    <definedName name="F_02_510" localSheetId="0">#REF!</definedName>
    <definedName name="F_02_510" localSheetId="10">#REF!</definedName>
    <definedName name="F_02_510">#REF!</definedName>
    <definedName name="F_02_540" localSheetId="5">#REF!</definedName>
    <definedName name="F_02_540" localSheetId="0">#REF!</definedName>
    <definedName name="F_02_540" localSheetId="10">#REF!</definedName>
    <definedName name="F_02_540">#REF!</definedName>
    <definedName name="F_02_570" localSheetId="5">#REF!</definedName>
    <definedName name="F_02_570" localSheetId="0">#REF!</definedName>
    <definedName name="F_02_570" localSheetId="10">#REF!</definedName>
    <definedName name="F_02_570">#REF!</definedName>
    <definedName name="F_02_60" localSheetId="5">#REF!</definedName>
    <definedName name="F_02_60" localSheetId="0">#REF!</definedName>
    <definedName name="F_02_60" localSheetId="10">#REF!</definedName>
    <definedName name="F_02_60">#REF!</definedName>
    <definedName name="F_02_600" localSheetId="5">#REF!</definedName>
    <definedName name="F_02_600" localSheetId="0">#REF!</definedName>
    <definedName name="F_02_600" localSheetId="10">#REF!</definedName>
    <definedName name="F_02_600">#REF!</definedName>
    <definedName name="F_02_630" localSheetId="5">#REF!</definedName>
    <definedName name="F_02_630" localSheetId="0">#REF!</definedName>
    <definedName name="F_02_630" localSheetId="10">#REF!</definedName>
    <definedName name="F_02_630">#REF!</definedName>
    <definedName name="F_02_660" localSheetId="5">#REF!</definedName>
    <definedName name="F_02_660" localSheetId="0">#REF!</definedName>
    <definedName name="F_02_660" localSheetId="10">#REF!</definedName>
    <definedName name="F_02_660">#REF!</definedName>
    <definedName name="F_02_690" localSheetId="5">#REF!</definedName>
    <definedName name="F_02_690" localSheetId="0">#REF!</definedName>
    <definedName name="F_02_690" localSheetId="10">#REF!</definedName>
    <definedName name="F_02_690">#REF!</definedName>
    <definedName name="F_02_720" localSheetId="5">#REF!</definedName>
    <definedName name="F_02_720" localSheetId="0">#REF!</definedName>
    <definedName name="F_02_720" localSheetId="10">#REF!</definedName>
    <definedName name="F_02_720">#REF!</definedName>
    <definedName name="F_02_90" localSheetId="5">#REF!</definedName>
    <definedName name="F_02_90" localSheetId="0">#REF!</definedName>
    <definedName name="F_02_90" localSheetId="10">#REF!</definedName>
    <definedName name="F_02_90">#REF!</definedName>
    <definedName name="F_03_120" localSheetId="5">#REF!</definedName>
    <definedName name="F_03_120" localSheetId="0">#REF!</definedName>
    <definedName name="F_03_120" localSheetId="10">#REF!</definedName>
    <definedName name="F_03_120">#REF!</definedName>
    <definedName name="F_03_150" localSheetId="5">#REF!</definedName>
    <definedName name="F_03_150" localSheetId="0">#REF!</definedName>
    <definedName name="F_03_150" localSheetId="10">#REF!</definedName>
    <definedName name="F_03_150">#REF!</definedName>
    <definedName name="F_03_180" localSheetId="5">#REF!</definedName>
    <definedName name="F_03_180" localSheetId="0">#REF!</definedName>
    <definedName name="F_03_180" localSheetId="10">#REF!</definedName>
    <definedName name="F_03_180">#REF!</definedName>
    <definedName name="F_03_210" localSheetId="5">#REF!</definedName>
    <definedName name="F_03_210" localSheetId="0">#REF!</definedName>
    <definedName name="F_03_210" localSheetId="10">#REF!</definedName>
    <definedName name="F_03_210">#REF!</definedName>
    <definedName name="F_03_240" localSheetId="5">#REF!</definedName>
    <definedName name="F_03_240" localSheetId="0">#REF!</definedName>
    <definedName name="F_03_240" localSheetId="10">#REF!</definedName>
    <definedName name="F_03_240">#REF!</definedName>
    <definedName name="F_03_270" localSheetId="5">#REF!</definedName>
    <definedName name="F_03_270" localSheetId="0">#REF!</definedName>
    <definedName name="F_03_270" localSheetId="10">#REF!</definedName>
    <definedName name="F_03_270">#REF!</definedName>
    <definedName name="F_03_30" localSheetId="5">#REF!</definedName>
    <definedName name="F_03_30" localSheetId="0">#REF!</definedName>
    <definedName name="F_03_30" localSheetId="10">#REF!</definedName>
    <definedName name="F_03_30">#REF!</definedName>
    <definedName name="F_03_300" localSheetId="5">#REF!</definedName>
    <definedName name="F_03_300" localSheetId="0">#REF!</definedName>
    <definedName name="F_03_300" localSheetId="10">#REF!</definedName>
    <definedName name="F_03_300">#REF!</definedName>
    <definedName name="F_03_330" localSheetId="5">#REF!</definedName>
    <definedName name="F_03_330" localSheetId="0">#REF!</definedName>
    <definedName name="F_03_330" localSheetId="10">#REF!</definedName>
    <definedName name="F_03_330">#REF!</definedName>
    <definedName name="F_03_360" localSheetId="5">#REF!</definedName>
    <definedName name="F_03_360" localSheetId="0">#REF!</definedName>
    <definedName name="F_03_360" localSheetId="10">#REF!</definedName>
    <definedName name="F_03_360">#REF!</definedName>
    <definedName name="F_03_390" localSheetId="5">#REF!</definedName>
    <definedName name="F_03_390" localSheetId="0">#REF!</definedName>
    <definedName name="F_03_390" localSheetId="10">#REF!</definedName>
    <definedName name="F_03_390">#REF!</definedName>
    <definedName name="F_03_420" localSheetId="5">#REF!</definedName>
    <definedName name="F_03_420" localSheetId="0">#REF!</definedName>
    <definedName name="F_03_420" localSheetId="10">#REF!</definedName>
    <definedName name="F_03_420">#REF!</definedName>
    <definedName name="F_03_450" localSheetId="5">#REF!</definedName>
    <definedName name="F_03_450" localSheetId="0">#REF!</definedName>
    <definedName name="F_03_450" localSheetId="10">#REF!</definedName>
    <definedName name="F_03_450">#REF!</definedName>
    <definedName name="F_03_480" localSheetId="5">#REF!</definedName>
    <definedName name="F_03_480" localSheetId="0">#REF!</definedName>
    <definedName name="F_03_480" localSheetId="10">#REF!</definedName>
    <definedName name="F_03_480">#REF!</definedName>
    <definedName name="F_03_510" localSheetId="5">#REF!</definedName>
    <definedName name="F_03_510" localSheetId="0">#REF!</definedName>
    <definedName name="F_03_510" localSheetId="10">#REF!</definedName>
    <definedName name="F_03_510">#REF!</definedName>
    <definedName name="F_03_540" localSheetId="5">#REF!</definedName>
    <definedName name="F_03_540" localSheetId="0">#REF!</definedName>
    <definedName name="F_03_540" localSheetId="10">#REF!</definedName>
    <definedName name="F_03_540">#REF!</definedName>
    <definedName name="F_03_570" localSheetId="5">#REF!</definedName>
    <definedName name="F_03_570" localSheetId="0">#REF!</definedName>
    <definedName name="F_03_570" localSheetId="10">#REF!</definedName>
    <definedName name="F_03_570">#REF!</definedName>
    <definedName name="F_03_60" localSheetId="5">#REF!</definedName>
    <definedName name="F_03_60" localSheetId="0">#REF!</definedName>
    <definedName name="F_03_60" localSheetId="10">#REF!</definedName>
    <definedName name="F_03_60">#REF!</definedName>
    <definedName name="F_03_600" localSheetId="5">#REF!</definedName>
    <definedName name="F_03_600" localSheetId="0">#REF!</definedName>
    <definedName name="F_03_600" localSheetId="10">#REF!</definedName>
    <definedName name="F_03_600">#REF!</definedName>
    <definedName name="F_03_630" localSheetId="5">#REF!</definedName>
    <definedName name="F_03_630" localSheetId="0">#REF!</definedName>
    <definedName name="F_03_630" localSheetId="10">#REF!</definedName>
    <definedName name="F_03_630">#REF!</definedName>
    <definedName name="F_03_660" localSheetId="5">#REF!</definedName>
    <definedName name="F_03_660" localSheetId="0">#REF!</definedName>
    <definedName name="F_03_660" localSheetId="10">#REF!</definedName>
    <definedName name="F_03_660">#REF!</definedName>
    <definedName name="F_03_690" localSheetId="5">#REF!</definedName>
    <definedName name="F_03_690" localSheetId="0">#REF!</definedName>
    <definedName name="F_03_690" localSheetId="10">#REF!</definedName>
    <definedName name="F_03_690">#REF!</definedName>
    <definedName name="F_03_720" localSheetId="5">#REF!</definedName>
    <definedName name="F_03_720" localSheetId="0">#REF!</definedName>
    <definedName name="F_03_720" localSheetId="10">#REF!</definedName>
    <definedName name="F_03_720">#REF!</definedName>
    <definedName name="F_03_90" localSheetId="5">#REF!</definedName>
    <definedName name="F_03_90" localSheetId="0">#REF!</definedName>
    <definedName name="F_03_90" localSheetId="10">#REF!</definedName>
    <definedName name="F_03_90">#REF!</definedName>
    <definedName name="F_04_120" localSheetId="5">#REF!</definedName>
    <definedName name="F_04_120" localSheetId="0">#REF!</definedName>
    <definedName name="F_04_120" localSheetId="10">#REF!</definedName>
    <definedName name="F_04_120">#REF!</definedName>
    <definedName name="F_04_150" localSheetId="5">#REF!</definedName>
    <definedName name="F_04_150" localSheetId="0">#REF!</definedName>
    <definedName name="F_04_150" localSheetId="10">#REF!</definedName>
    <definedName name="F_04_150">#REF!</definedName>
    <definedName name="F_04_180" localSheetId="5">#REF!</definedName>
    <definedName name="F_04_180" localSheetId="0">#REF!</definedName>
    <definedName name="F_04_180" localSheetId="10">#REF!</definedName>
    <definedName name="F_04_180">#REF!</definedName>
    <definedName name="F_04_210" localSheetId="5">#REF!</definedName>
    <definedName name="F_04_210" localSheetId="0">#REF!</definedName>
    <definedName name="F_04_210" localSheetId="10">#REF!</definedName>
    <definedName name="F_04_210">#REF!</definedName>
    <definedName name="F_04_240" localSheetId="5">#REF!</definedName>
    <definedName name="F_04_240" localSheetId="0">#REF!</definedName>
    <definedName name="F_04_240" localSheetId="10">#REF!</definedName>
    <definedName name="F_04_240">#REF!</definedName>
    <definedName name="F_04_270" localSheetId="5">#REF!</definedName>
    <definedName name="F_04_270" localSheetId="0">#REF!</definedName>
    <definedName name="F_04_270" localSheetId="10">#REF!</definedName>
    <definedName name="F_04_270">#REF!</definedName>
    <definedName name="F_04_30" localSheetId="5">#REF!</definedName>
    <definedName name="F_04_30" localSheetId="0">#REF!</definedName>
    <definedName name="F_04_30" localSheetId="10">#REF!</definedName>
    <definedName name="F_04_30">#REF!</definedName>
    <definedName name="F_04_300" localSheetId="5">#REF!</definedName>
    <definedName name="F_04_300" localSheetId="0">#REF!</definedName>
    <definedName name="F_04_300" localSheetId="10">#REF!</definedName>
    <definedName name="F_04_300">#REF!</definedName>
    <definedName name="F_04_330" localSheetId="5">#REF!</definedName>
    <definedName name="F_04_330" localSheetId="0">#REF!</definedName>
    <definedName name="F_04_330" localSheetId="10">#REF!</definedName>
    <definedName name="F_04_330">#REF!</definedName>
    <definedName name="F_04_360" localSheetId="5">#REF!</definedName>
    <definedName name="F_04_360" localSheetId="0">#REF!</definedName>
    <definedName name="F_04_360" localSheetId="10">#REF!</definedName>
    <definedName name="F_04_360">#REF!</definedName>
    <definedName name="F_04_390" localSheetId="5">#REF!</definedName>
    <definedName name="F_04_390" localSheetId="0">#REF!</definedName>
    <definedName name="F_04_390" localSheetId="10">#REF!</definedName>
    <definedName name="F_04_390">#REF!</definedName>
    <definedName name="F_04_420" localSheetId="5">#REF!</definedName>
    <definedName name="F_04_420" localSheetId="0">#REF!</definedName>
    <definedName name="F_04_420" localSheetId="10">#REF!</definedName>
    <definedName name="F_04_420">#REF!</definedName>
    <definedName name="F_04_450" localSheetId="5">#REF!</definedName>
    <definedName name="F_04_450" localSheetId="0">#REF!</definedName>
    <definedName name="F_04_450" localSheetId="10">#REF!</definedName>
    <definedName name="F_04_450">#REF!</definedName>
    <definedName name="F_04_480" localSheetId="5">#REF!</definedName>
    <definedName name="F_04_480" localSheetId="0">#REF!</definedName>
    <definedName name="F_04_480" localSheetId="10">#REF!</definedName>
    <definedName name="F_04_480">#REF!</definedName>
    <definedName name="F_04_510" localSheetId="5">#REF!</definedName>
    <definedName name="F_04_510" localSheetId="0">#REF!</definedName>
    <definedName name="F_04_510" localSheetId="10">#REF!</definedName>
    <definedName name="F_04_510">#REF!</definedName>
    <definedName name="F_04_540" localSheetId="5">#REF!</definedName>
    <definedName name="F_04_540" localSheetId="0">#REF!</definedName>
    <definedName name="F_04_540" localSheetId="10">#REF!</definedName>
    <definedName name="F_04_540">#REF!</definedName>
    <definedName name="F_04_570" localSheetId="5">#REF!</definedName>
    <definedName name="F_04_570" localSheetId="0">#REF!</definedName>
    <definedName name="F_04_570" localSheetId="10">#REF!</definedName>
    <definedName name="F_04_570">#REF!</definedName>
    <definedName name="F_04_60" localSheetId="5">#REF!</definedName>
    <definedName name="F_04_60" localSheetId="0">#REF!</definedName>
    <definedName name="F_04_60" localSheetId="10">#REF!</definedName>
    <definedName name="F_04_60">#REF!</definedName>
    <definedName name="F_04_600" localSheetId="5">#REF!</definedName>
    <definedName name="F_04_600" localSheetId="0">#REF!</definedName>
    <definedName name="F_04_600" localSheetId="10">#REF!</definedName>
    <definedName name="F_04_600">#REF!</definedName>
    <definedName name="F_04_630" localSheetId="5">#REF!</definedName>
    <definedName name="F_04_630" localSheetId="0">#REF!</definedName>
    <definedName name="F_04_630" localSheetId="10">#REF!</definedName>
    <definedName name="F_04_630">#REF!</definedName>
    <definedName name="F_04_660" localSheetId="5">#REF!</definedName>
    <definedName name="F_04_660" localSheetId="0">#REF!</definedName>
    <definedName name="F_04_660" localSheetId="10">#REF!</definedName>
    <definedName name="F_04_660">#REF!</definedName>
    <definedName name="F_04_690" localSheetId="5">#REF!</definedName>
    <definedName name="F_04_690" localSheetId="0">#REF!</definedName>
    <definedName name="F_04_690" localSheetId="10">#REF!</definedName>
    <definedName name="F_04_690">#REF!</definedName>
    <definedName name="F_04_720" localSheetId="5">#REF!</definedName>
    <definedName name="F_04_720" localSheetId="0">#REF!</definedName>
    <definedName name="F_04_720" localSheetId="10">#REF!</definedName>
    <definedName name="F_04_720">#REF!</definedName>
    <definedName name="F_04_90" localSheetId="5">#REF!</definedName>
    <definedName name="F_04_90" localSheetId="0">#REF!</definedName>
    <definedName name="F_04_90" localSheetId="10">#REF!</definedName>
    <definedName name="F_04_90">#REF!</definedName>
    <definedName name="F_05_120" localSheetId="5">#REF!</definedName>
    <definedName name="F_05_120" localSheetId="0">#REF!</definedName>
    <definedName name="F_05_120" localSheetId="10">#REF!</definedName>
    <definedName name="F_05_120">#REF!</definedName>
    <definedName name="F_05_150" localSheetId="5">#REF!</definedName>
    <definedName name="F_05_150" localSheetId="0">#REF!</definedName>
    <definedName name="F_05_150" localSheetId="10">#REF!</definedName>
    <definedName name="F_05_150">#REF!</definedName>
    <definedName name="F_05_180" localSheetId="5">#REF!</definedName>
    <definedName name="F_05_180" localSheetId="0">#REF!</definedName>
    <definedName name="F_05_180" localSheetId="10">#REF!</definedName>
    <definedName name="F_05_180">#REF!</definedName>
    <definedName name="F_05_210" localSheetId="5">#REF!</definedName>
    <definedName name="F_05_210" localSheetId="0">#REF!</definedName>
    <definedName name="F_05_210" localSheetId="10">#REF!</definedName>
    <definedName name="F_05_210">#REF!</definedName>
    <definedName name="F_05_240" localSheetId="5">#REF!</definedName>
    <definedName name="F_05_240" localSheetId="0">#REF!</definedName>
    <definedName name="F_05_240" localSheetId="10">#REF!</definedName>
    <definedName name="F_05_240">#REF!</definedName>
    <definedName name="F_05_270" localSheetId="5">#REF!</definedName>
    <definedName name="F_05_270" localSheetId="0">#REF!</definedName>
    <definedName name="F_05_270" localSheetId="10">#REF!</definedName>
    <definedName name="F_05_270">#REF!</definedName>
    <definedName name="F_05_30" localSheetId="5">#REF!</definedName>
    <definedName name="F_05_30" localSheetId="0">#REF!</definedName>
    <definedName name="F_05_30" localSheetId="10">#REF!</definedName>
    <definedName name="F_05_30">#REF!</definedName>
    <definedName name="F_05_300" localSheetId="5">#REF!</definedName>
    <definedName name="F_05_300" localSheetId="0">#REF!</definedName>
    <definedName name="F_05_300" localSheetId="10">#REF!</definedName>
    <definedName name="F_05_300">#REF!</definedName>
    <definedName name="F_05_330" localSheetId="5">#REF!</definedName>
    <definedName name="F_05_330" localSheetId="0">#REF!</definedName>
    <definedName name="F_05_330" localSheetId="10">#REF!</definedName>
    <definedName name="F_05_330">#REF!</definedName>
    <definedName name="F_05_360" localSheetId="5">#REF!</definedName>
    <definedName name="F_05_360" localSheetId="0">#REF!</definedName>
    <definedName name="F_05_360" localSheetId="10">#REF!</definedName>
    <definedName name="F_05_360">#REF!</definedName>
    <definedName name="F_05_390" localSheetId="5">#REF!</definedName>
    <definedName name="F_05_390" localSheetId="0">#REF!</definedName>
    <definedName name="F_05_390" localSheetId="10">#REF!</definedName>
    <definedName name="F_05_390">#REF!</definedName>
    <definedName name="F_05_420" localSheetId="5">#REF!</definedName>
    <definedName name="F_05_420" localSheetId="0">#REF!</definedName>
    <definedName name="F_05_420" localSheetId="10">#REF!</definedName>
    <definedName name="F_05_420">#REF!</definedName>
    <definedName name="F_05_450" localSheetId="5">#REF!</definedName>
    <definedName name="F_05_450" localSheetId="0">#REF!</definedName>
    <definedName name="F_05_450" localSheetId="10">#REF!</definedName>
    <definedName name="F_05_450">#REF!</definedName>
    <definedName name="F_05_480" localSheetId="5">#REF!</definedName>
    <definedName name="F_05_480" localSheetId="0">#REF!</definedName>
    <definedName name="F_05_480" localSheetId="10">#REF!</definedName>
    <definedName name="F_05_480">#REF!</definedName>
    <definedName name="F_05_510" localSheetId="5">#REF!</definedName>
    <definedName name="F_05_510" localSheetId="0">#REF!</definedName>
    <definedName name="F_05_510" localSheetId="10">#REF!</definedName>
    <definedName name="F_05_510">#REF!</definedName>
    <definedName name="F_05_540" localSheetId="5">#REF!</definedName>
    <definedName name="F_05_540" localSheetId="0">#REF!</definedName>
    <definedName name="F_05_540" localSheetId="10">#REF!</definedName>
    <definedName name="F_05_540">#REF!</definedName>
    <definedName name="F_05_570" localSheetId="5">#REF!</definedName>
    <definedName name="F_05_570" localSheetId="0">#REF!</definedName>
    <definedName name="F_05_570" localSheetId="10">#REF!</definedName>
    <definedName name="F_05_570">#REF!</definedName>
    <definedName name="F_05_60" localSheetId="5">#REF!</definedName>
    <definedName name="F_05_60" localSheetId="0">#REF!</definedName>
    <definedName name="F_05_60" localSheetId="10">#REF!</definedName>
    <definedName name="F_05_60">#REF!</definedName>
    <definedName name="F_05_600" localSheetId="5">#REF!</definedName>
    <definedName name="F_05_600" localSheetId="0">#REF!</definedName>
    <definedName name="F_05_600" localSheetId="10">#REF!</definedName>
    <definedName name="F_05_600">#REF!</definedName>
    <definedName name="F_05_630" localSheetId="5">#REF!</definedName>
    <definedName name="F_05_630" localSheetId="0">#REF!</definedName>
    <definedName name="F_05_630" localSheetId="10">#REF!</definedName>
    <definedName name="F_05_630">#REF!</definedName>
    <definedName name="F_05_660" localSheetId="5">#REF!</definedName>
    <definedName name="F_05_660" localSheetId="0">#REF!</definedName>
    <definedName name="F_05_660" localSheetId="10">#REF!</definedName>
    <definedName name="F_05_660">#REF!</definedName>
    <definedName name="F_05_690" localSheetId="5">#REF!</definedName>
    <definedName name="F_05_690" localSheetId="0">#REF!</definedName>
    <definedName name="F_05_690" localSheetId="10">#REF!</definedName>
    <definedName name="F_05_690">#REF!</definedName>
    <definedName name="F_05_720" localSheetId="5">#REF!</definedName>
    <definedName name="F_05_720" localSheetId="0">#REF!</definedName>
    <definedName name="F_05_720" localSheetId="10">#REF!</definedName>
    <definedName name="F_05_720">#REF!</definedName>
    <definedName name="F_05_90" localSheetId="5">#REF!</definedName>
    <definedName name="F_05_90" localSheetId="0">#REF!</definedName>
    <definedName name="F_05_90" localSheetId="10">#REF!</definedName>
    <definedName name="F_05_90">#REF!</definedName>
    <definedName name="F_06_120" localSheetId="5">#REF!</definedName>
    <definedName name="F_06_120" localSheetId="0">#REF!</definedName>
    <definedName name="F_06_120" localSheetId="10">#REF!</definedName>
    <definedName name="F_06_120">#REF!</definedName>
    <definedName name="F_06_150" localSheetId="5">#REF!</definedName>
    <definedName name="F_06_150" localSheetId="0">#REF!</definedName>
    <definedName name="F_06_150" localSheetId="10">#REF!</definedName>
    <definedName name="F_06_150">#REF!</definedName>
    <definedName name="F_06_180" localSheetId="5">#REF!</definedName>
    <definedName name="F_06_180" localSheetId="0">#REF!</definedName>
    <definedName name="F_06_180" localSheetId="10">#REF!</definedName>
    <definedName name="F_06_180">#REF!</definedName>
    <definedName name="F_06_210" localSheetId="5">#REF!</definedName>
    <definedName name="F_06_210" localSheetId="0">#REF!</definedName>
    <definedName name="F_06_210" localSheetId="10">#REF!</definedName>
    <definedName name="F_06_210">#REF!</definedName>
    <definedName name="F_06_240" localSheetId="5">#REF!</definedName>
    <definedName name="F_06_240" localSheetId="0">#REF!</definedName>
    <definedName name="F_06_240" localSheetId="10">#REF!</definedName>
    <definedName name="F_06_240">#REF!</definedName>
    <definedName name="F_06_270" localSheetId="5">#REF!</definedName>
    <definedName name="F_06_270" localSheetId="0">#REF!</definedName>
    <definedName name="F_06_270" localSheetId="10">#REF!</definedName>
    <definedName name="F_06_270">#REF!</definedName>
    <definedName name="F_06_30" localSheetId="5">#REF!</definedName>
    <definedName name="F_06_30" localSheetId="0">#REF!</definedName>
    <definedName name="F_06_30" localSheetId="10">#REF!</definedName>
    <definedName name="F_06_30">#REF!</definedName>
    <definedName name="F_06_300" localSheetId="5">#REF!</definedName>
    <definedName name="F_06_300" localSheetId="0">#REF!</definedName>
    <definedName name="F_06_300" localSheetId="10">#REF!</definedName>
    <definedName name="F_06_300">#REF!</definedName>
    <definedName name="F_06_330" localSheetId="5">#REF!</definedName>
    <definedName name="F_06_330" localSheetId="0">#REF!</definedName>
    <definedName name="F_06_330" localSheetId="10">#REF!</definedName>
    <definedName name="F_06_330">#REF!</definedName>
    <definedName name="F_06_360" localSheetId="5">#REF!</definedName>
    <definedName name="F_06_360" localSheetId="0">#REF!</definedName>
    <definedName name="F_06_360" localSheetId="10">#REF!</definedName>
    <definedName name="F_06_360">#REF!</definedName>
    <definedName name="F_06_390" localSheetId="5">#REF!</definedName>
    <definedName name="F_06_390" localSheetId="0">#REF!</definedName>
    <definedName name="F_06_390" localSheetId="10">#REF!</definedName>
    <definedName name="F_06_390">#REF!</definedName>
    <definedName name="F_06_420" localSheetId="5">#REF!</definedName>
    <definedName name="F_06_420" localSheetId="0">#REF!</definedName>
    <definedName name="F_06_420" localSheetId="10">#REF!</definedName>
    <definedName name="F_06_420">#REF!</definedName>
    <definedName name="F_06_450" localSheetId="5">#REF!</definedName>
    <definedName name="F_06_450" localSheetId="0">#REF!</definedName>
    <definedName name="F_06_450" localSheetId="10">#REF!</definedName>
    <definedName name="F_06_450">#REF!</definedName>
    <definedName name="F_06_480" localSheetId="5">#REF!</definedName>
    <definedName name="F_06_480" localSheetId="0">#REF!</definedName>
    <definedName name="F_06_480" localSheetId="10">#REF!</definedName>
    <definedName name="F_06_480">#REF!</definedName>
    <definedName name="F_06_510" localSheetId="5">#REF!</definedName>
    <definedName name="F_06_510" localSheetId="0">#REF!</definedName>
    <definedName name="F_06_510" localSheetId="10">#REF!</definedName>
    <definedName name="F_06_510">#REF!</definedName>
    <definedName name="F_06_540" localSheetId="5">#REF!</definedName>
    <definedName name="F_06_540" localSheetId="0">#REF!</definedName>
    <definedName name="F_06_540" localSheetId="10">#REF!</definedName>
    <definedName name="F_06_540">#REF!</definedName>
    <definedName name="F_06_570" localSheetId="5">#REF!</definedName>
    <definedName name="F_06_570" localSheetId="0">#REF!</definedName>
    <definedName name="F_06_570" localSheetId="10">#REF!</definedName>
    <definedName name="F_06_570">#REF!</definedName>
    <definedName name="F_06_60" localSheetId="5">#REF!</definedName>
    <definedName name="F_06_60" localSheetId="0">#REF!</definedName>
    <definedName name="F_06_60" localSheetId="10">#REF!</definedName>
    <definedName name="F_06_60">#REF!</definedName>
    <definedName name="F_06_600" localSheetId="5">#REF!</definedName>
    <definedName name="F_06_600" localSheetId="0">#REF!</definedName>
    <definedName name="F_06_600" localSheetId="10">#REF!</definedName>
    <definedName name="F_06_600">#REF!</definedName>
    <definedName name="F_06_630" localSheetId="5">#REF!</definedName>
    <definedName name="F_06_630" localSheetId="0">#REF!</definedName>
    <definedName name="F_06_630" localSheetId="10">#REF!</definedName>
    <definedName name="F_06_630">#REF!</definedName>
    <definedName name="F_06_660" localSheetId="5">#REF!</definedName>
    <definedName name="F_06_660" localSheetId="0">#REF!</definedName>
    <definedName name="F_06_660" localSheetId="10">#REF!</definedName>
    <definedName name="F_06_660">#REF!</definedName>
    <definedName name="F_06_690" localSheetId="5">#REF!</definedName>
    <definedName name="F_06_690" localSheetId="0">#REF!</definedName>
    <definedName name="F_06_690" localSheetId="10">#REF!</definedName>
    <definedName name="F_06_690">#REF!</definedName>
    <definedName name="F_06_720" localSheetId="5">#REF!</definedName>
    <definedName name="F_06_720" localSheetId="0">#REF!</definedName>
    <definedName name="F_06_720" localSheetId="10">#REF!</definedName>
    <definedName name="F_06_720">#REF!</definedName>
    <definedName name="F_06_90" localSheetId="5">#REF!</definedName>
    <definedName name="F_06_90" localSheetId="0">#REF!</definedName>
    <definedName name="F_06_90" localSheetId="10">#REF!</definedName>
    <definedName name="F_06_90">#REF!</definedName>
    <definedName name="F_07_120" localSheetId="5">#REF!</definedName>
    <definedName name="F_07_120" localSheetId="0">#REF!</definedName>
    <definedName name="F_07_120" localSheetId="10">#REF!</definedName>
    <definedName name="F_07_120">#REF!</definedName>
    <definedName name="F_07_150" localSheetId="5">#REF!</definedName>
    <definedName name="F_07_150" localSheetId="0">#REF!</definedName>
    <definedName name="F_07_150" localSheetId="10">#REF!</definedName>
    <definedName name="F_07_150">#REF!</definedName>
    <definedName name="F_07_180" localSheetId="5">#REF!</definedName>
    <definedName name="F_07_180" localSheetId="0">#REF!</definedName>
    <definedName name="F_07_180" localSheetId="10">#REF!</definedName>
    <definedName name="F_07_180">#REF!</definedName>
    <definedName name="F_07_210" localSheetId="5">#REF!</definedName>
    <definedName name="F_07_210" localSheetId="0">#REF!</definedName>
    <definedName name="F_07_210" localSheetId="10">#REF!</definedName>
    <definedName name="F_07_210">#REF!</definedName>
    <definedName name="F_07_240" localSheetId="5">#REF!</definedName>
    <definedName name="F_07_240" localSheetId="0">#REF!</definedName>
    <definedName name="F_07_240" localSheetId="10">#REF!</definedName>
    <definedName name="F_07_240">#REF!</definedName>
    <definedName name="F_07_270" localSheetId="5">#REF!</definedName>
    <definedName name="F_07_270" localSheetId="0">#REF!</definedName>
    <definedName name="F_07_270" localSheetId="10">#REF!</definedName>
    <definedName name="F_07_270">#REF!</definedName>
    <definedName name="F_07_30" localSheetId="5">#REF!</definedName>
    <definedName name="F_07_30" localSheetId="0">#REF!</definedName>
    <definedName name="F_07_30" localSheetId="10">#REF!</definedName>
    <definedName name="F_07_30">#REF!</definedName>
    <definedName name="F_07_300" localSheetId="5">#REF!</definedName>
    <definedName name="F_07_300" localSheetId="0">#REF!</definedName>
    <definedName name="F_07_300" localSheetId="10">#REF!</definedName>
    <definedName name="F_07_300">#REF!</definedName>
    <definedName name="F_07_330" localSheetId="5">#REF!</definedName>
    <definedName name="F_07_330" localSheetId="0">#REF!</definedName>
    <definedName name="F_07_330" localSheetId="10">#REF!</definedName>
    <definedName name="F_07_330">#REF!</definedName>
    <definedName name="F_07_360" localSheetId="5">#REF!</definedName>
    <definedName name="F_07_360" localSheetId="0">#REF!</definedName>
    <definedName name="F_07_360" localSheetId="10">#REF!</definedName>
    <definedName name="F_07_360">#REF!</definedName>
    <definedName name="F_07_390" localSheetId="5">#REF!</definedName>
    <definedName name="F_07_390" localSheetId="0">#REF!</definedName>
    <definedName name="F_07_390" localSheetId="10">#REF!</definedName>
    <definedName name="F_07_390">#REF!</definedName>
    <definedName name="F_07_420" localSheetId="5">#REF!</definedName>
    <definedName name="F_07_420" localSheetId="0">#REF!</definedName>
    <definedName name="F_07_420" localSheetId="10">#REF!</definedName>
    <definedName name="F_07_420">#REF!</definedName>
    <definedName name="F_07_450" localSheetId="5">#REF!</definedName>
    <definedName name="F_07_450" localSheetId="0">#REF!</definedName>
    <definedName name="F_07_450" localSheetId="10">#REF!</definedName>
    <definedName name="F_07_450">#REF!</definedName>
    <definedName name="F_07_480" localSheetId="5">#REF!</definedName>
    <definedName name="F_07_480" localSheetId="0">#REF!</definedName>
    <definedName name="F_07_480" localSheetId="10">#REF!</definedName>
    <definedName name="F_07_480">#REF!</definedName>
    <definedName name="F_07_510" localSheetId="5">#REF!</definedName>
    <definedName name="F_07_510" localSheetId="0">#REF!</definedName>
    <definedName name="F_07_510" localSheetId="10">#REF!</definedName>
    <definedName name="F_07_510">#REF!</definedName>
    <definedName name="F_07_540" localSheetId="5">#REF!</definedName>
    <definedName name="F_07_540" localSheetId="0">#REF!</definedName>
    <definedName name="F_07_540" localSheetId="10">#REF!</definedName>
    <definedName name="F_07_540">#REF!</definedName>
    <definedName name="F_07_570" localSheetId="5">#REF!</definedName>
    <definedName name="F_07_570" localSheetId="0">#REF!</definedName>
    <definedName name="F_07_570" localSheetId="10">#REF!</definedName>
    <definedName name="F_07_570">#REF!</definedName>
    <definedName name="F_07_60" localSheetId="5">#REF!</definedName>
    <definedName name="F_07_60" localSheetId="0">#REF!</definedName>
    <definedName name="F_07_60" localSheetId="10">#REF!</definedName>
    <definedName name="F_07_60">#REF!</definedName>
    <definedName name="F_07_600" localSheetId="5">#REF!</definedName>
    <definedName name="F_07_600" localSheetId="0">#REF!</definedName>
    <definedName name="F_07_600" localSheetId="10">#REF!</definedName>
    <definedName name="F_07_600">#REF!</definedName>
    <definedName name="F_07_630" localSheetId="5">#REF!</definedName>
    <definedName name="F_07_630" localSheetId="0">#REF!</definedName>
    <definedName name="F_07_630" localSheetId="10">#REF!</definedName>
    <definedName name="F_07_630">#REF!</definedName>
    <definedName name="F_07_660" localSheetId="5">#REF!</definedName>
    <definedName name="F_07_660" localSheetId="0">#REF!</definedName>
    <definedName name="F_07_660" localSheetId="10">#REF!</definedName>
    <definedName name="F_07_660">#REF!</definedName>
    <definedName name="F_07_690" localSheetId="5">#REF!</definedName>
    <definedName name="F_07_690" localSheetId="0">#REF!</definedName>
    <definedName name="F_07_690" localSheetId="10">#REF!</definedName>
    <definedName name="F_07_690">#REF!</definedName>
    <definedName name="F_07_720" localSheetId="5">#REF!</definedName>
    <definedName name="F_07_720" localSheetId="0">#REF!</definedName>
    <definedName name="F_07_720" localSheetId="10">#REF!</definedName>
    <definedName name="F_07_720">#REF!</definedName>
    <definedName name="F_07_90" localSheetId="5">#REF!</definedName>
    <definedName name="F_07_90" localSheetId="0">#REF!</definedName>
    <definedName name="F_07_90" localSheetId="10">#REF!</definedName>
    <definedName name="F_07_90">#REF!</definedName>
    <definedName name="F_08_120" localSheetId="5">#REF!</definedName>
    <definedName name="F_08_120" localSheetId="0">#REF!</definedName>
    <definedName name="F_08_120" localSheetId="10">#REF!</definedName>
    <definedName name="F_08_120">#REF!</definedName>
    <definedName name="F_08_150" localSheetId="5">#REF!</definedName>
    <definedName name="F_08_150" localSheetId="0">#REF!</definedName>
    <definedName name="F_08_150" localSheetId="10">#REF!</definedName>
    <definedName name="F_08_150">#REF!</definedName>
    <definedName name="F_08_180" localSheetId="5">#REF!</definedName>
    <definedName name="F_08_180" localSheetId="0">#REF!</definedName>
    <definedName name="F_08_180" localSheetId="10">#REF!</definedName>
    <definedName name="F_08_180">#REF!</definedName>
    <definedName name="F_08_210" localSheetId="5">#REF!</definedName>
    <definedName name="F_08_210" localSheetId="0">#REF!</definedName>
    <definedName name="F_08_210" localSheetId="10">#REF!</definedName>
    <definedName name="F_08_210">#REF!</definedName>
    <definedName name="F_08_240" localSheetId="5">#REF!</definedName>
    <definedName name="F_08_240" localSheetId="0">#REF!</definedName>
    <definedName name="F_08_240" localSheetId="10">#REF!</definedName>
    <definedName name="F_08_240">#REF!</definedName>
    <definedName name="F_08_270" localSheetId="5">#REF!</definedName>
    <definedName name="F_08_270" localSheetId="0">#REF!</definedName>
    <definedName name="F_08_270" localSheetId="10">#REF!</definedName>
    <definedName name="F_08_270">#REF!</definedName>
    <definedName name="F_08_30" localSheetId="5">#REF!</definedName>
    <definedName name="F_08_30" localSheetId="0">#REF!</definedName>
    <definedName name="F_08_30" localSheetId="10">#REF!</definedName>
    <definedName name="F_08_30">#REF!</definedName>
    <definedName name="F_08_300" localSheetId="5">#REF!</definedName>
    <definedName name="F_08_300" localSheetId="0">#REF!</definedName>
    <definedName name="F_08_300" localSheetId="10">#REF!</definedName>
    <definedName name="F_08_300">#REF!</definedName>
    <definedName name="F_08_330" localSheetId="5">#REF!</definedName>
    <definedName name="F_08_330" localSheetId="0">#REF!</definedName>
    <definedName name="F_08_330" localSheetId="10">#REF!</definedName>
    <definedName name="F_08_330">#REF!</definedName>
    <definedName name="F_08_360" localSheetId="5">#REF!</definedName>
    <definedName name="F_08_360" localSheetId="0">#REF!</definedName>
    <definedName name="F_08_360" localSheetId="10">#REF!</definedName>
    <definedName name="F_08_360">#REF!</definedName>
    <definedName name="F_08_390" localSheetId="5">#REF!</definedName>
    <definedName name="F_08_390" localSheetId="0">#REF!</definedName>
    <definedName name="F_08_390" localSheetId="10">#REF!</definedName>
    <definedName name="F_08_390">#REF!</definedName>
    <definedName name="F_08_420" localSheetId="5">#REF!</definedName>
    <definedName name="F_08_420" localSheetId="0">#REF!</definedName>
    <definedName name="F_08_420" localSheetId="10">#REF!</definedName>
    <definedName name="F_08_420">#REF!</definedName>
    <definedName name="F_08_450" localSheetId="5">#REF!</definedName>
    <definedName name="F_08_450" localSheetId="0">#REF!</definedName>
    <definedName name="F_08_450" localSheetId="10">#REF!</definedName>
    <definedName name="F_08_450">#REF!</definedName>
    <definedName name="F_08_480" localSheetId="5">#REF!</definedName>
    <definedName name="F_08_480" localSheetId="0">#REF!</definedName>
    <definedName name="F_08_480" localSheetId="10">#REF!</definedName>
    <definedName name="F_08_480">#REF!</definedName>
    <definedName name="F_08_510" localSheetId="5">#REF!</definedName>
    <definedName name="F_08_510" localSheetId="0">#REF!</definedName>
    <definedName name="F_08_510" localSheetId="10">#REF!</definedName>
    <definedName name="F_08_510">#REF!</definedName>
    <definedName name="F_08_540" localSheetId="5">#REF!</definedName>
    <definedName name="F_08_540" localSheetId="0">#REF!</definedName>
    <definedName name="F_08_540" localSheetId="10">#REF!</definedName>
    <definedName name="F_08_540">#REF!</definedName>
    <definedName name="F_08_570" localSheetId="5">#REF!</definedName>
    <definedName name="F_08_570" localSheetId="0">#REF!</definedName>
    <definedName name="F_08_570" localSheetId="10">#REF!</definedName>
    <definedName name="F_08_570">#REF!</definedName>
    <definedName name="F_08_60" localSheetId="5">#REF!</definedName>
    <definedName name="F_08_60" localSheetId="0">#REF!</definedName>
    <definedName name="F_08_60" localSheetId="10">#REF!</definedName>
    <definedName name="F_08_60">#REF!</definedName>
    <definedName name="F_08_600" localSheetId="5">#REF!</definedName>
    <definedName name="F_08_600" localSheetId="0">#REF!</definedName>
    <definedName name="F_08_600" localSheetId="10">#REF!</definedName>
    <definedName name="F_08_600">#REF!</definedName>
    <definedName name="F_08_630" localSheetId="5">#REF!</definedName>
    <definedName name="F_08_630" localSheetId="0">#REF!</definedName>
    <definedName name="F_08_630" localSheetId="10">#REF!</definedName>
    <definedName name="F_08_630">#REF!</definedName>
    <definedName name="F_08_660" localSheetId="5">#REF!</definedName>
    <definedName name="F_08_660" localSheetId="0">#REF!</definedName>
    <definedName name="F_08_660" localSheetId="10">#REF!</definedName>
    <definedName name="F_08_660">#REF!</definedName>
    <definedName name="F_08_690" localSheetId="5">#REF!</definedName>
    <definedName name="F_08_690" localSheetId="0">#REF!</definedName>
    <definedName name="F_08_690" localSheetId="10">#REF!</definedName>
    <definedName name="F_08_690">#REF!</definedName>
    <definedName name="F_08_720" localSheetId="5">#REF!</definedName>
    <definedName name="F_08_720" localSheetId="0">#REF!</definedName>
    <definedName name="F_08_720" localSheetId="10">#REF!</definedName>
    <definedName name="F_08_720">#REF!</definedName>
    <definedName name="F_08_90" localSheetId="5">#REF!</definedName>
    <definedName name="F_08_90" localSheetId="0">#REF!</definedName>
    <definedName name="F_08_90" localSheetId="10">#REF!</definedName>
    <definedName name="F_08_90">#REF!</definedName>
    <definedName name="F_09_120" localSheetId="5">#REF!</definedName>
    <definedName name="F_09_120" localSheetId="0">#REF!</definedName>
    <definedName name="F_09_120" localSheetId="10">#REF!</definedName>
    <definedName name="F_09_120">#REF!</definedName>
    <definedName name="F_09_150" localSheetId="5">#REF!</definedName>
    <definedName name="F_09_150" localSheetId="0">#REF!</definedName>
    <definedName name="F_09_150" localSheetId="10">#REF!</definedName>
    <definedName name="F_09_150">#REF!</definedName>
    <definedName name="F_09_180" localSheetId="5">#REF!</definedName>
    <definedName name="F_09_180" localSheetId="0">#REF!</definedName>
    <definedName name="F_09_180" localSheetId="10">#REF!</definedName>
    <definedName name="F_09_180">#REF!</definedName>
    <definedName name="F_09_210" localSheetId="5">#REF!</definedName>
    <definedName name="F_09_210" localSheetId="0">#REF!</definedName>
    <definedName name="F_09_210" localSheetId="10">#REF!</definedName>
    <definedName name="F_09_210">#REF!</definedName>
    <definedName name="F_09_240" localSheetId="5">#REF!</definedName>
    <definedName name="F_09_240" localSheetId="0">#REF!</definedName>
    <definedName name="F_09_240" localSheetId="10">#REF!</definedName>
    <definedName name="F_09_240">#REF!</definedName>
    <definedName name="F_09_270" localSheetId="5">#REF!</definedName>
    <definedName name="F_09_270" localSheetId="0">#REF!</definedName>
    <definedName name="F_09_270" localSheetId="10">#REF!</definedName>
    <definedName name="F_09_270">#REF!</definedName>
    <definedName name="F_09_30" localSheetId="5">#REF!</definedName>
    <definedName name="F_09_30" localSheetId="0">#REF!</definedName>
    <definedName name="F_09_30" localSheetId="10">#REF!</definedName>
    <definedName name="F_09_30">#REF!</definedName>
    <definedName name="F_09_300" localSheetId="5">#REF!</definedName>
    <definedName name="F_09_300" localSheetId="0">#REF!</definedName>
    <definedName name="F_09_300" localSheetId="10">#REF!</definedName>
    <definedName name="F_09_300">#REF!</definedName>
    <definedName name="F_09_330" localSheetId="5">#REF!</definedName>
    <definedName name="F_09_330" localSheetId="0">#REF!</definedName>
    <definedName name="F_09_330" localSheetId="10">#REF!</definedName>
    <definedName name="F_09_330">#REF!</definedName>
    <definedName name="F_09_360" localSheetId="5">#REF!</definedName>
    <definedName name="F_09_360" localSheetId="0">#REF!</definedName>
    <definedName name="F_09_360" localSheetId="10">#REF!</definedName>
    <definedName name="F_09_360">#REF!</definedName>
    <definedName name="F_09_390" localSheetId="5">#REF!</definedName>
    <definedName name="F_09_390" localSheetId="0">#REF!</definedName>
    <definedName name="F_09_390" localSheetId="10">#REF!</definedName>
    <definedName name="F_09_390">#REF!</definedName>
    <definedName name="F_09_420" localSheetId="5">#REF!</definedName>
    <definedName name="F_09_420" localSheetId="0">#REF!</definedName>
    <definedName name="F_09_420" localSheetId="10">#REF!</definedName>
    <definedName name="F_09_420">#REF!</definedName>
    <definedName name="F_09_450" localSheetId="5">#REF!</definedName>
    <definedName name="F_09_450" localSheetId="0">#REF!</definedName>
    <definedName name="F_09_450" localSheetId="10">#REF!</definedName>
    <definedName name="F_09_450">#REF!</definedName>
    <definedName name="F_09_480" localSheetId="5">#REF!</definedName>
    <definedName name="F_09_480" localSheetId="0">#REF!</definedName>
    <definedName name="F_09_480" localSheetId="10">#REF!</definedName>
    <definedName name="F_09_480">#REF!</definedName>
    <definedName name="F_09_510" localSheetId="5">#REF!</definedName>
    <definedName name="F_09_510" localSheetId="0">#REF!</definedName>
    <definedName name="F_09_510" localSheetId="10">#REF!</definedName>
    <definedName name="F_09_510">#REF!</definedName>
    <definedName name="F_09_540" localSheetId="5">#REF!</definedName>
    <definedName name="F_09_540" localSheetId="0">#REF!</definedName>
    <definedName name="F_09_540" localSheetId="10">#REF!</definedName>
    <definedName name="F_09_540">#REF!</definedName>
    <definedName name="F_09_570" localSheetId="5">#REF!</definedName>
    <definedName name="F_09_570" localSheetId="0">#REF!</definedName>
    <definedName name="F_09_570" localSheetId="10">#REF!</definedName>
    <definedName name="F_09_570">#REF!</definedName>
    <definedName name="F_09_60" localSheetId="5">#REF!</definedName>
    <definedName name="F_09_60" localSheetId="0">#REF!</definedName>
    <definedName name="F_09_60" localSheetId="10">#REF!</definedName>
    <definedName name="F_09_60">#REF!</definedName>
    <definedName name="F_09_600" localSheetId="5">#REF!</definedName>
    <definedName name="F_09_600" localSheetId="0">#REF!</definedName>
    <definedName name="F_09_600" localSheetId="10">#REF!</definedName>
    <definedName name="F_09_600">#REF!</definedName>
    <definedName name="F_09_630" localSheetId="5">#REF!</definedName>
    <definedName name="F_09_630" localSheetId="0">#REF!</definedName>
    <definedName name="F_09_630" localSheetId="10">#REF!</definedName>
    <definedName name="F_09_630">#REF!</definedName>
    <definedName name="F_09_660" localSheetId="5">#REF!</definedName>
    <definedName name="F_09_660" localSheetId="0">#REF!</definedName>
    <definedName name="F_09_660" localSheetId="10">#REF!</definedName>
    <definedName name="F_09_660">#REF!</definedName>
    <definedName name="F_09_690" localSheetId="5">#REF!</definedName>
    <definedName name="F_09_690" localSheetId="0">#REF!</definedName>
    <definedName name="F_09_690" localSheetId="10">#REF!</definedName>
    <definedName name="F_09_690">#REF!</definedName>
    <definedName name="F_09_720" localSheetId="5">#REF!</definedName>
    <definedName name="F_09_720" localSheetId="0">#REF!</definedName>
    <definedName name="F_09_720" localSheetId="10">#REF!</definedName>
    <definedName name="F_09_720">#REF!</definedName>
    <definedName name="F_09_90" localSheetId="5">#REF!</definedName>
    <definedName name="F_09_90" localSheetId="0">#REF!</definedName>
    <definedName name="F_09_90" localSheetId="10">#REF!</definedName>
    <definedName name="F_09_90">#REF!</definedName>
    <definedName name="F_10_120" localSheetId="5">#REF!</definedName>
    <definedName name="F_10_120" localSheetId="0">#REF!</definedName>
    <definedName name="F_10_120" localSheetId="10">#REF!</definedName>
    <definedName name="F_10_120">#REF!</definedName>
    <definedName name="F_10_150" localSheetId="5">#REF!</definedName>
    <definedName name="F_10_150" localSheetId="0">#REF!</definedName>
    <definedName name="F_10_150" localSheetId="10">#REF!</definedName>
    <definedName name="F_10_150">#REF!</definedName>
    <definedName name="F_10_180" localSheetId="5">#REF!</definedName>
    <definedName name="F_10_180" localSheetId="0">#REF!</definedName>
    <definedName name="F_10_180" localSheetId="10">#REF!</definedName>
    <definedName name="F_10_180">#REF!</definedName>
    <definedName name="F_10_210" localSheetId="5">#REF!</definedName>
    <definedName name="F_10_210" localSheetId="0">#REF!</definedName>
    <definedName name="F_10_210" localSheetId="10">#REF!</definedName>
    <definedName name="F_10_210">#REF!</definedName>
    <definedName name="F_10_240" localSheetId="5">#REF!</definedName>
    <definedName name="F_10_240" localSheetId="0">#REF!</definedName>
    <definedName name="F_10_240" localSheetId="10">#REF!</definedName>
    <definedName name="F_10_240">#REF!</definedName>
    <definedName name="F_10_270" localSheetId="5">#REF!</definedName>
    <definedName name="F_10_270" localSheetId="0">#REF!</definedName>
    <definedName name="F_10_270" localSheetId="10">#REF!</definedName>
    <definedName name="F_10_270">#REF!</definedName>
    <definedName name="F_10_30" localSheetId="5">#REF!</definedName>
    <definedName name="F_10_30" localSheetId="0">#REF!</definedName>
    <definedName name="F_10_30" localSheetId="10">#REF!</definedName>
    <definedName name="F_10_30">#REF!</definedName>
    <definedName name="F_10_300" localSheetId="5">#REF!</definedName>
    <definedName name="F_10_300" localSheetId="0">#REF!</definedName>
    <definedName name="F_10_300" localSheetId="10">#REF!</definedName>
    <definedName name="F_10_300">#REF!</definedName>
    <definedName name="F_10_330" localSheetId="5">#REF!</definedName>
    <definedName name="F_10_330" localSheetId="0">#REF!</definedName>
    <definedName name="F_10_330" localSheetId="10">#REF!</definedName>
    <definedName name="F_10_330">#REF!</definedName>
    <definedName name="F_10_360" localSheetId="5">#REF!</definedName>
    <definedName name="F_10_360" localSheetId="0">#REF!</definedName>
    <definedName name="F_10_360" localSheetId="10">#REF!</definedName>
    <definedName name="F_10_360">#REF!</definedName>
    <definedName name="F_10_390" localSheetId="5">#REF!</definedName>
    <definedName name="F_10_390" localSheetId="0">#REF!</definedName>
    <definedName name="F_10_390" localSheetId="10">#REF!</definedName>
    <definedName name="F_10_390">#REF!</definedName>
    <definedName name="F_10_420" localSheetId="5">#REF!</definedName>
    <definedName name="F_10_420" localSheetId="0">#REF!</definedName>
    <definedName name="F_10_420" localSheetId="10">#REF!</definedName>
    <definedName name="F_10_420">#REF!</definedName>
    <definedName name="F_10_450" localSheetId="5">#REF!</definedName>
    <definedName name="F_10_450" localSheetId="0">#REF!</definedName>
    <definedName name="F_10_450" localSheetId="10">#REF!</definedName>
    <definedName name="F_10_450">#REF!</definedName>
    <definedName name="F_10_480" localSheetId="5">#REF!</definedName>
    <definedName name="F_10_480" localSheetId="0">#REF!</definedName>
    <definedName name="F_10_480" localSheetId="10">#REF!</definedName>
    <definedName name="F_10_480">#REF!</definedName>
    <definedName name="F_10_510" localSheetId="5">#REF!</definedName>
    <definedName name="F_10_510" localSheetId="0">#REF!</definedName>
    <definedName name="F_10_510" localSheetId="10">#REF!</definedName>
    <definedName name="F_10_510">#REF!</definedName>
    <definedName name="F_10_540" localSheetId="5">#REF!</definedName>
    <definedName name="F_10_540" localSheetId="0">#REF!</definedName>
    <definedName name="F_10_540" localSheetId="10">#REF!</definedName>
    <definedName name="F_10_540">#REF!</definedName>
    <definedName name="F_10_570" localSheetId="5">#REF!</definedName>
    <definedName name="F_10_570" localSheetId="0">#REF!</definedName>
    <definedName name="F_10_570" localSheetId="10">#REF!</definedName>
    <definedName name="F_10_570">#REF!</definedName>
    <definedName name="F_10_60" localSheetId="5">#REF!</definedName>
    <definedName name="F_10_60" localSheetId="0">#REF!</definedName>
    <definedName name="F_10_60" localSheetId="10">#REF!</definedName>
    <definedName name="F_10_60">#REF!</definedName>
    <definedName name="F_10_600" localSheetId="5">#REF!</definedName>
    <definedName name="F_10_600" localSheetId="0">#REF!</definedName>
    <definedName name="F_10_600" localSheetId="10">#REF!</definedName>
    <definedName name="F_10_600">#REF!</definedName>
    <definedName name="F_10_630" localSheetId="5">#REF!</definedName>
    <definedName name="F_10_630" localSheetId="0">#REF!</definedName>
    <definedName name="F_10_630" localSheetId="10">#REF!</definedName>
    <definedName name="F_10_630">#REF!</definedName>
    <definedName name="F_10_660" localSheetId="5">#REF!</definedName>
    <definedName name="F_10_660" localSheetId="0">#REF!</definedName>
    <definedName name="F_10_660" localSheetId="10">#REF!</definedName>
    <definedName name="F_10_660">#REF!</definedName>
    <definedName name="F_10_690" localSheetId="5">#REF!</definedName>
    <definedName name="F_10_690" localSheetId="0">#REF!</definedName>
    <definedName name="F_10_690" localSheetId="10">#REF!</definedName>
    <definedName name="F_10_690">#REF!</definedName>
    <definedName name="F_10_720" localSheetId="5">#REF!</definedName>
    <definedName name="F_10_720" localSheetId="0">#REF!</definedName>
    <definedName name="F_10_720" localSheetId="10">#REF!</definedName>
    <definedName name="F_10_720">#REF!</definedName>
    <definedName name="F_10_90" localSheetId="5">#REF!</definedName>
    <definedName name="F_10_90" localSheetId="0">#REF!</definedName>
    <definedName name="F_10_90" localSheetId="10">#REF!</definedName>
    <definedName name="F_10_90">#REF!</definedName>
    <definedName name="F_11_120" localSheetId="5">#REF!</definedName>
    <definedName name="F_11_120" localSheetId="0">#REF!</definedName>
    <definedName name="F_11_120" localSheetId="10">#REF!</definedName>
    <definedName name="F_11_120">#REF!</definedName>
    <definedName name="F_11_150" localSheetId="5">#REF!</definedName>
    <definedName name="F_11_150" localSheetId="0">#REF!</definedName>
    <definedName name="F_11_150" localSheetId="10">#REF!</definedName>
    <definedName name="F_11_150">#REF!</definedName>
    <definedName name="F_11_180" localSheetId="5">#REF!</definedName>
    <definedName name="F_11_180" localSheetId="0">#REF!</definedName>
    <definedName name="F_11_180" localSheetId="10">#REF!</definedName>
    <definedName name="F_11_180">#REF!</definedName>
    <definedName name="F_11_210" localSheetId="5">#REF!</definedName>
    <definedName name="F_11_210" localSheetId="0">#REF!</definedName>
    <definedName name="F_11_210" localSheetId="10">#REF!</definedName>
    <definedName name="F_11_210">#REF!</definedName>
    <definedName name="F_11_240" localSheetId="5">#REF!</definedName>
    <definedName name="F_11_240" localSheetId="0">#REF!</definedName>
    <definedName name="F_11_240" localSheetId="10">#REF!</definedName>
    <definedName name="F_11_240">#REF!</definedName>
    <definedName name="F_11_270" localSheetId="5">#REF!</definedName>
    <definedName name="F_11_270" localSheetId="0">#REF!</definedName>
    <definedName name="F_11_270" localSheetId="10">#REF!</definedName>
    <definedName name="F_11_270">#REF!</definedName>
    <definedName name="F_11_30" localSheetId="5">#REF!</definedName>
    <definedName name="F_11_30" localSheetId="0">#REF!</definedName>
    <definedName name="F_11_30" localSheetId="10">#REF!</definedName>
    <definedName name="F_11_30">#REF!</definedName>
    <definedName name="F_11_300" localSheetId="5">#REF!</definedName>
    <definedName name="F_11_300" localSheetId="0">#REF!</definedName>
    <definedName name="F_11_300" localSheetId="10">#REF!</definedName>
    <definedName name="F_11_300">#REF!</definedName>
    <definedName name="F_11_330" localSheetId="5">#REF!</definedName>
    <definedName name="F_11_330" localSheetId="0">#REF!</definedName>
    <definedName name="F_11_330" localSheetId="10">#REF!</definedName>
    <definedName name="F_11_330">#REF!</definedName>
    <definedName name="F_11_360" localSheetId="5">#REF!</definedName>
    <definedName name="F_11_360" localSheetId="0">#REF!</definedName>
    <definedName name="F_11_360" localSheetId="10">#REF!</definedName>
    <definedName name="F_11_360">#REF!</definedName>
    <definedName name="F_11_390" localSheetId="5">#REF!</definedName>
    <definedName name="F_11_390" localSheetId="0">#REF!</definedName>
    <definedName name="F_11_390" localSheetId="10">#REF!</definedName>
    <definedName name="F_11_390">#REF!</definedName>
    <definedName name="F_11_420" localSheetId="5">#REF!</definedName>
    <definedName name="F_11_420" localSheetId="0">#REF!</definedName>
    <definedName name="F_11_420" localSheetId="10">#REF!</definedName>
    <definedName name="F_11_420">#REF!</definedName>
    <definedName name="F_11_450" localSheetId="5">#REF!</definedName>
    <definedName name="F_11_450" localSheetId="0">#REF!</definedName>
    <definedName name="F_11_450" localSheetId="10">#REF!</definedName>
    <definedName name="F_11_450">#REF!</definedName>
    <definedName name="F_11_480" localSheetId="5">#REF!</definedName>
    <definedName name="F_11_480" localSheetId="0">#REF!</definedName>
    <definedName name="F_11_480" localSheetId="10">#REF!</definedName>
    <definedName name="F_11_480">#REF!</definedName>
    <definedName name="F_11_510" localSheetId="5">#REF!</definedName>
    <definedName name="F_11_510" localSheetId="0">#REF!</definedName>
    <definedName name="F_11_510" localSheetId="10">#REF!</definedName>
    <definedName name="F_11_510">#REF!</definedName>
    <definedName name="F_11_540" localSheetId="5">#REF!</definedName>
    <definedName name="F_11_540" localSheetId="0">#REF!</definedName>
    <definedName name="F_11_540" localSheetId="10">#REF!</definedName>
    <definedName name="F_11_540">#REF!</definedName>
    <definedName name="F_11_570" localSheetId="5">#REF!</definedName>
    <definedName name="F_11_570" localSheetId="0">#REF!</definedName>
    <definedName name="F_11_570" localSheetId="10">#REF!</definedName>
    <definedName name="F_11_570">#REF!</definedName>
    <definedName name="F_11_60" localSheetId="5">#REF!</definedName>
    <definedName name="F_11_60" localSheetId="0">#REF!</definedName>
    <definedName name="F_11_60" localSheetId="10">#REF!</definedName>
    <definedName name="F_11_60">#REF!</definedName>
    <definedName name="F_11_600" localSheetId="5">#REF!</definedName>
    <definedName name="F_11_600" localSheetId="0">#REF!</definedName>
    <definedName name="F_11_600" localSheetId="10">#REF!</definedName>
    <definedName name="F_11_600">#REF!</definedName>
    <definedName name="F_11_630" localSheetId="5">#REF!</definedName>
    <definedName name="F_11_630" localSheetId="0">#REF!</definedName>
    <definedName name="F_11_630" localSheetId="10">#REF!</definedName>
    <definedName name="F_11_630">#REF!</definedName>
    <definedName name="F_11_660" localSheetId="5">#REF!</definedName>
    <definedName name="F_11_660" localSheetId="0">#REF!</definedName>
    <definedName name="F_11_660" localSheetId="10">#REF!</definedName>
    <definedName name="F_11_660">#REF!</definedName>
    <definedName name="F_11_690" localSheetId="5">#REF!</definedName>
    <definedName name="F_11_690" localSheetId="0">#REF!</definedName>
    <definedName name="F_11_690" localSheetId="10">#REF!</definedName>
    <definedName name="F_11_690">#REF!</definedName>
    <definedName name="F_11_720" localSheetId="5">#REF!</definedName>
    <definedName name="F_11_720" localSheetId="0">#REF!</definedName>
    <definedName name="F_11_720" localSheetId="10">#REF!</definedName>
    <definedName name="F_11_720">#REF!</definedName>
    <definedName name="F_11_90" localSheetId="5">#REF!</definedName>
    <definedName name="F_11_90" localSheetId="0">#REF!</definedName>
    <definedName name="F_11_90" localSheetId="10">#REF!</definedName>
    <definedName name="F_11_90">#REF!</definedName>
    <definedName name="F_12_120" localSheetId="5">#REF!</definedName>
    <definedName name="F_12_120" localSheetId="0">#REF!</definedName>
    <definedName name="F_12_120" localSheetId="10">#REF!</definedName>
    <definedName name="F_12_120">#REF!</definedName>
    <definedName name="F_12_150" localSheetId="5">#REF!</definedName>
    <definedName name="F_12_150" localSheetId="0">#REF!</definedName>
    <definedName name="F_12_150" localSheetId="10">#REF!</definedName>
    <definedName name="F_12_150">#REF!</definedName>
    <definedName name="F_12_180" localSheetId="5">#REF!</definedName>
    <definedName name="F_12_180" localSheetId="0">#REF!</definedName>
    <definedName name="F_12_180" localSheetId="10">#REF!</definedName>
    <definedName name="F_12_180">#REF!</definedName>
    <definedName name="F_12_210" localSheetId="5">#REF!</definedName>
    <definedName name="F_12_210" localSheetId="0">#REF!</definedName>
    <definedName name="F_12_210" localSheetId="10">#REF!</definedName>
    <definedName name="F_12_210">#REF!</definedName>
    <definedName name="F_12_240" localSheetId="5">#REF!</definedName>
    <definedName name="F_12_240" localSheetId="0">#REF!</definedName>
    <definedName name="F_12_240" localSheetId="10">#REF!</definedName>
    <definedName name="F_12_240">#REF!</definedName>
    <definedName name="F_12_270" localSheetId="5">#REF!</definedName>
    <definedName name="F_12_270" localSheetId="0">#REF!</definedName>
    <definedName name="F_12_270" localSheetId="10">#REF!</definedName>
    <definedName name="F_12_270">#REF!</definedName>
    <definedName name="F_12_30" localSheetId="5">#REF!</definedName>
    <definedName name="F_12_30" localSheetId="0">#REF!</definedName>
    <definedName name="F_12_30" localSheetId="10">#REF!</definedName>
    <definedName name="F_12_30">#REF!</definedName>
    <definedName name="F_12_300" localSheetId="5">#REF!</definedName>
    <definedName name="F_12_300" localSheetId="0">#REF!</definedName>
    <definedName name="F_12_300" localSheetId="10">#REF!</definedName>
    <definedName name="F_12_300">#REF!</definedName>
    <definedName name="F_12_330" localSheetId="5">#REF!</definedName>
    <definedName name="F_12_330" localSheetId="0">#REF!</definedName>
    <definedName name="F_12_330" localSheetId="10">#REF!</definedName>
    <definedName name="F_12_330">#REF!</definedName>
    <definedName name="F_12_360" localSheetId="5">#REF!</definedName>
    <definedName name="F_12_360" localSheetId="0">#REF!</definedName>
    <definedName name="F_12_360" localSheetId="10">#REF!</definedName>
    <definedName name="F_12_360">#REF!</definedName>
    <definedName name="F_12_390" localSheetId="5">#REF!</definedName>
    <definedName name="F_12_390" localSheetId="0">#REF!</definedName>
    <definedName name="F_12_390" localSheetId="10">#REF!</definedName>
    <definedName name="F_12_390">#REF!</definedName>
    <definedName name="F_12_420" localSheetId="5">#REF!</definedName>
    <definedName name="F_12_420" localSheetId="0">#REF!</definedName>
    <definedName name="F_12_420" localSheetId="10">#REF!</definedName>
    <definedName name="F_12_420">#REF!</definedName>
    <definedName name="F_12_450" localSheetId="5">#REF!</definedName>
    <definedName name="F_12_450" localSheetId="0">#REF!</definedName>
    <definedName name="F_12_450" localSheetId="10">#REF!</definedName>
    <definedName name="F_12_450">#REF!</definedName>
    <definedName name="F_12_480" localSheetId="5">#REF!</definedName>
    <definedName name="F_12_480" localSheetId="0">#REF!</definedName>
    <definedName name="F_12_480" localSheetId="10">#REF!</definedName>
    <definedName name="F_12_480">#REF!</definedName>
    <definedName name="F_12_510" localSheetId="5">#REF!</definedName>
    <definedName name="F_12_510" localSheetId="0">#REF!</definedName>
    <definedName name="F_12_510" localSheetId="10">#REF!</definedName>
    <definedName name="F_12_510">#REF!</definedName>
    <definedName name="F_12_540" localSheetId="5">#REF!</definedName>
    <definedName name="F_12_540" localSheetId="0">#REF!</definedName>
    <definedName name="F_12_540" localSheetId="10">#REF!</definedName>
    <definedName name="F_12_540">#REF!</definedName>
    <definedName name="F_12_570" localSheetId="5">#REF!</definedName>
    <definedName name="F_12_570" localSheetId="0">#REF!</definedName>
    <definedName name="F_12_570" localSheetId="10">#REF!</definedName>
    <definedName name="F_12_570">#REF!</definedName>
    <definedName name="F_12_60" localSheetId="5">#REF!</definedName>
    <definedName name="F_12_60" localSheetId="0">#REF!</definedName>
    <definedName name="F_12_60" localSheetId="10">#REF!</definedName>
    <definedName name="F_12_60">#REF!</definedName>
    <definedName name="F_12_600" localSheetId="5">#REF!</definedName>
    <definedName name="F_12_600" localSheetId="0">#REF!</definedName>
    <definedName name="F_12_600" localSheetId="10">#REF!</definedName>
    <definedName name="F_12_600">#REF!</definedName>
    <definedName name="F_12_630" localSheetId="5">#REF!</definedName>
    <definedName name="F_12_630" localSheetId="0">#REF!</definedName>
    <definedName name="F_12_630" localSheetId="10">#REF!</definedName>
    <definedName name="F_12_630">#REF!</definedName>
    <definedName name="F_12_660" localSheetId="5">#REF!</definedName>
    <definedName name="F_12_660" localSheetId="0">#REF!</definedName>
    <definedName name="F_12_660" localSheetId="10">#REF!</definedName>
    <definedName name="F_12_660">#REF!</definedName>
    <definedName name="F_12_690" localSheetId="5">#REF!</definedName>
    <definedName name="F_12_690" localSheetId="0">#REF!</definedName>
    <definedName name="F_12_690" localSheetId="10">#REF!</definedName>
    <definedName name="F_12_690">#REF!</definedName>
    <definedName name="F_12_720" localSheetId="5">#REF!</definedName>
    <definedName name="F_12_720" localSheetId="0">#REF!</definedName>
    <definedName name="F_12_720" localSheetId="10">#REF!</definedName>
    <definedName name="F_12_720">#REF!</definedName>
    <definedName name="F_12_90" localSheetId="5">#REF!</definedName>
    <definedName name="F_12_90" localSheetId="0">#REF!</definedName>
    <definedName name="F_12_90" localSheetId="10">#REF!</definedName>
    <definedName name="F_12_90">#REF!</definedName>
    <definedName name="F_13_120" localSheetId="5">#REF!</definedName>
    <definedName name="F_13_120" localSheetId="0">#REF!</definedName>
    <definedName name="F_13_120" localSheetId="10">#REF!</definedName>
    <definedName name="F_13_120">#REF!</definedName>
    <definedName name="F_13_150" localSheetId="5">#REF!</definedName>
    <definedName name="F_13_150" localSheetId="0">#REF!</definedName>
    <definedName name="F_13_150" localSheetId="10">#REF!</definedName>
    <definedName name="F_13_150">#REF!</definedName>
    <definedName name="F_13_180" localSheetId="5">#REF!</definedName>
    <definedName name="F_13_180" localSheetId="0">#REF!</definedName>
    <definedName name="F_13_180" localSheetId="10">#REF!</definedName>
    <definedName name="F_13_180">#REF!</definedName>
    <definedName name="F_13_210" localSheetId="5">#REF!</definedName>
    <definedName name="F_13_210" localSheetId="0">#REF!</definedName>
    <definedName name="F_13_210" localSheetId="10">#REF!</definedName>
    <definedName name="F_13_210">#REF!</definedName>
    <definedName name="F_13_240" localSheetId="5">#REF!</definedName>
    <definedName name="F_13_240" localSheetId="0">#REF!</definedName>
    <definedName name="F_13_240" localSheetId="10">#REF!</definedName>
    <definedName name="F_13_240">#REF!</definedName>
    <definedName name="F_13_270" localSheetId="5">#REF!</definedName>
    <definedName name="F_13_270" localSheetId="0">#REF!</definedName>
    <definedName name="F_13_270" localSheetId="10">#REF!</definedName>
    <definedName name="F_13_270">#REF!</definedName>
    <definedName name="F_13_30" localSheetId="5">#REF!</definedName>
    <definedName name="F_13_30" localSheetId="0">#REF!</definedName>
    <definedName name="F_13_30" localSheetId="10">#REF!</definedName>
    <definedName name="F_13_30">#REF!</definedName>
    <definedName name="F_13_300" localSheetId="5">#REF!</definedName>
    <definedName name="F_13_300" localSheetId="0">#REF!</definedName>
    <definedName name="F_13_300" localSheetId="10">#REF!</definedName>
    <definedName name="F_13_300">#REF!</definedName>
    <definedName name="F_13_330" localSheetId="5">#REF!</definedName>
    <definedName name="F_13_330" localSheetId="0">#REF!</definedName>
    <definedName name="F_13_330" localSheetId="10">#REF!</definedName>
    <definedName name="F_13_330">#REF!</definedName>
    <definedName name="F_13_360" localSheetId="5">#REF!</definedName>
    <definedName name="F_13_360" localSheetId="0">#REF!</definedName>
    <definedName name="F_13_360" localSheetId="10">#REF!</definedName>
    <definedName name="F_13_360">#REF!</definedName>
    <definedName name="F_13_390" localSheetId="5">#REF!</definedName>
    <definedName name="F_13_390" localSheetId="0">#REF!</definedName>
    <definedName name="F_13_390" localSheetId="10">#REF!</definedName>
    <definedName name="F_13_390">#REF!</definedName>
    <definedName name="F_13_420" localSheetId="5">#REF!</definedName>
    <definedName name="F_13_420" localSheetId="0">#REF!</definedName>
    <definedName name="F_13_420" localSheetId="10">#REF!</definedName>
    <definedName name="F_13_420">#REF!</definedName>
    <definedName name="F_13_450" localSheetId="5">#REF!</definedName>
    <definedName name="F_13_450" localSheetId="0">#REF!</definedName>
    <definedName name="F_13_450" localSheetId="10">#REF!</definedName>
    <definedName name="F_13_450">#REF!</definedName>
    <definedName name="F_13_480" localSheetId="5">#REF!</definedName>
    <definedName name="F_13_480" localSheetId="0">#REF!</definedName>
    <definedName name="F_13_480" localSheetId="10">#REF!</definedName>
    <definedName name="F_13_480">#REF!</definedName>
    <definedName name="F_13_510" localSheetId="5">#REF!</definedName>
    <definedName name="F_13_510" localSheetId="0">#REF!</definedName>
    <definedName name="F_13_510" localSheetId="10">#REF!</definedName>
    <definedName name="F_13_510">#REF!</definedName>
    <definedName name="F_13_540" localSheetId="5">#REF!</definedName>
    <definedName name="F_13_540" localSheetId="0">#REF!</definedName>
    <definedName name="F_13_540" localSheetId="10">#REF!</definedName>
    <definedName name="F_13_540">#REF!</definedName>
    <definedName name="F_13_570" localSheetId="5">#REF!</definedName>
    <definedName name="F_13_570" localSheetId="0">#REF!</definedName>
    <definedName name="F_13_570" localSheetId="10">#REF!</definedName>
    <definedName name="F_13_570">#REF!</definedName>
    <definedName name="F_13_60" localSheetId="5">#REF!</definedName>
    <definedName name="F_13_60" localSheetId="0">#REF!</definedName>
    <definedName name="F_13_60" localSheetId="10">#REF!</definedName>
    <definedName name="F_13_60">#REF!</definedName>
    <definedName name="F_13_600" localSheetId="5">#REF!</definedName>
    <definedName name="F_13_600" localSheetId="0">#REF!</definedName>
    <definedName name="F_13_600" localSheetId="10">#REF!</definedName>
    <definedName name="F_13_600">#REF!</definedName>
    <definedName name="F_13_630" localSheetId="5">#REF!</definedName>
    <definedName name="F_13_630" localSheetId="0">#REF!</definedName>
    <definedName name="F_13_630" localSheetId="10">#REF!</definedName>
    <definedName name="F_13_630">#REF!</definedName>
    <definedName name="F_13_660" localSheetId="5">#REF!</definedName>
    <definedName name="F_13_660" localSheetId="0">#REF!</definedName>
    <definedName name="F_13_660" localSheetId="10">#REF!</definedName>
    <definedName name="F_13_660">#REF!</definedName>
    <definedName name="F_13_690" localSheetId="5">#REF!</definedName>
    <definedName name="F_13_690" localSheetId="0">#REF!</definedName>
    <definedName name="F_13_690" localSheetId="10">#REF!</definedName>
    <definedName name="F_13_690">#REF!</definedName>
    <definedName name="F_13_720" localSheetId="5">#REF!</definedName>
    <definedName name="F_13_720" localSheetId="0">#REF!</definedName>
    <definedName name="F_13_720" localSheetId="10">#REF!</definedName>
    <definedName name="F_13_720">#REF!</definedName>
    <definedName name="F_13_90" localSheetId="5">#REF!</definedName>
    <definedName name="F_13_90" localSheetId="0">#REF!</definedName>
    <definedName name="F_13_90" localSheetId="10">#REF!</definedName>
    <definedName name="F_13_90">#REF!</definedName>
    <definedName name="F_14_120" localSheetId="5">#REF!</definedName>
    <definedName name="F_14_120" localSheetId="0">#REF!</definedName>
    <definedName name="F_14_120" localSheetId="10">#REF!</definedName>
    <definedName name="F_14_120">#REF!</definedName>
    <definedName name="F_14_150" localSheetId="5">#REF!</definedName>
    <definedName name="F_14_150" localSheetId="0">#REF!</definedName>
    <definedName name="F_14_150" localSheetId="10">#REF!</definedName>
    <definedName name="F_14_150">#REF!</definedName>
    <definedName name="F_14_180" localSheetId="5">#REF!</definedName>
    <definedName name="F_14_180" localSheetId="0">#REF!</definedName>
    <definedName name="F_14_180" localSheetId="10">#REF!</definedName>
    <definedName name="F_14_180">#REF!</definedName>
    <definedName name="F_14_210" localSheetId="5">#REF!</definedName>
    <definedName name="F_14_210" localSheetId="0">#REF!</definedName>
    <definedName name="F_14_210" localSheetId="10">#REF!</definedName>
    <definedName name="F_14_210">#REF!</definedName>
    <definedName name="F_14_240" localSheetId="5">#REF!</definedName>
    <definedName name="F_14_240" localSheetId="0">#REF!</definedName>
    <definedName name="F_14_240" localSheetId="10">#REF!</definedName>
    <definedName name="F_14_240">#REF!</definedName>
    <definedName name="F_14_270" localSheetId="5">#REF!</definedName>
    <definedName name="F_14_270" localSheetId="0">#REF!</definedName>
    <definedName name="F_14_270" localSheetId="10">#REF!</definedName>
    <definedName name="F_14_270">#REF!</definedName>
    <definedName name="F_14_30" localSheetId="5">#REF!</definedName>
    <definedName name="F_14_30" localSheetId="0">#REF!</definedName>
    <definedName name="F_14_30" localSheetId="10">#REF!</definedName>
    <definedName name="F_14_30">#REF!</definedName>
    <definedName name="F_14_300" localSheetId="5">#REF!</definedName>
    <definedName name="F_14_300" localSheetId="0">#REF!</definedName>
    <definedName name="F_14_300" localSheetId="10">#REF!</definedName>
    <definedName name="F_14_300">#REF!</definedName>
    <definedName name="F_14_330" localSheetId="5">#REF!</definedName>
    <definedName name="F_14_330" localSheetId="0">#REF!</definedName>
    <definedName name="F_14_330" localSheetId="10">#REF!</definedName>
    <definedName name="F_14_330">#REF!</definedName>
    <definedName name="F_14_360" localSheetId="5">#REF!</definedName>
    <definedName name="F_14_360" localSheetId="0">#REF!</definedName>
    <definedName name="F_14_360" localSheetId="10">#REF!</definedName>
    <definedName name="F_14_360">#REF!</definedName>
    <definedName name="F_14_390" localSheetId="5">#REF!</definedName>
    <definedName name="F_14_390" localSheetId="0">#REF!</definedName>
    <definedName name="F_14_390" localSheetId="10">#REF!</definedName>
    <definedName name="F_14_390">#REF!</definedName>
    <definedName name="F_14_420" localSheetId="5">#REF!</definedName>
    <definedName name="F_14_420" localSheetId="0">#REF!</definedName>
    <definedName name="F_14_420" localSheetId="10">#REF!</definedName>
    <definedName name="F_14_420">#REF!</definedName>
    <definedName name="F_14_450" localSheetId="5">#REF!</definedName>
    <definedName name="F_14_450" localSheetId="0">#REF!</definedName>
    <definedName name="F_14_450" localSheetId="10">#REF!</definedName>
    <definedName name="F_14_450">#REF!</definedName>
    <definedName name="F_14_480" localSheetId="5">#REF!</definedName>
    <definedName name="F_14_480" localSheetId="0">#REF!</definedName>
    <definedName name="F_14_480" localSheetId="10">#REF!</definedName>
    <definedName name="F_14_480">#REF!</definedName>
    <definedName name="F_14_510" localSheetId="5">#REF!</definedName>
    <definedName name="F_14_510" localSheetId="0">#REF!</definedName>
    <definedName name="F_14_510" localSheetId="10">#REF!</definedName>
    <definedName name="F_14_510">#REF!</definedName>
    <definedName name="F_14_540" localSheetId="5">#REF!</definedName>
    <definedName name="F_14_540" localSheetId="0">#REF!</definedName>
    <definedName name="F_14_540" localSheetId="10">#REF!</definedName>
    <definedName name="F_14_540">#REF!</definedName>
    <definedName name="F_14_570" localSheetId="5">#REF!</definedName>
    <definedName name="F_14_570" localSheetId="0">#REF!</definedName>
    <definedName name="F_14_570" localSheetId="10">#REF!</definedName>
    <definedName name="F_14_570">#REF!</definedName>
    <definedName name="F_14_60" localSheetId="5">#REF!</definedName>
    <definedName name="F_14_60" localSheetId="0">#REF!</definedName>
    <definedName name="F_14_60" localSheetId="10">#REF!</definedName>
    <definedName name="F_14_60">#REF!</definedName>
    <definedName name="F_14_600" localSheetId="5">#REF!</definedName>
    <definedName name="F_14_600" localSheetId="0">#REF!</definedName>
    <definedName name="F_14_600" localSheetId="10">#REF!</definedName>
    <definedName name="F_14_600">#REF!</definedName>
    <definedName name="F_14_630" localSheetId="5">#REF!</definedName>
    <definedName name="F_14_630" localSheetId="0">#REF!</definedName>
    <definedName name="F_14_630" localSheetId="10">#REF!</definedName>
    <definedName name="F_14_630">#REF!</definedName>
    <definedName name="F_14_660" localSheetId="5">#REF!</definedName>
    <definedName name="F_14_660" localSheetId="0">#REF!</definedName>
    <definedName name="F_14_660" localSheetId="10">#REF!</definedName>
    <definedName name="F_14_660">#REF!</definedName>
    <definedName name="F_14_690" localSheetId="5">#REF!</definedName>
    <definedName name="F_14_690" localSheetId="0">#REF!</definedName>
    <definedName name="F_14_690" localSheetId="10">#REF!</definedName>
    <definedName name="F_14_690">#REF!</definedName>
    <definedName name="F_14_720" localSheetId="5">#REF!</definedName>
    <definedName name="F_14_720" localSheetId="0">#REF!</definedName>
    <definedName name="F_14_720" localSheetId="10">#REF!</definedName>
    <definedName name="F_14_720">#REF!</definedName>
    <definedName name="F_14_90" localSheetId="5">#REF!</definedName>
    <definedName name="F_14_90" localSheetId="0">#REF!</definedName>
    <definedName name="F_14_90" localSheetId="10">#REF!</definedName>
    <definedName name="F_14_90">#REF!</definedName>
    <definedName name="F_15_120" localSheetId="5">#REF!</definedName>
    <definedName name="F_15_120" localSheetId="0">#REF!</definedName>
    <definedName name="F_15_120" localSheetId="10">#REF!</definedName>
    <definedName name="F_15_120">#REF!</definedName>
    <definedName name="F_15_150" localSheetId="5">#REF!</definedName>
    <definedName name="F_15_150" localSheetId="0">#REF!</definedName>
    <definedName name="F_15_150" localSheetId="10">#REF!</definedName>
    <definedName name="F_15_150">#REF!</definedName>
    <definedName name="F_15_180" localSheetId="5">#REF!</definedName>
    <definedName name="F_15_180" localSheetId="0">#REF!</definedName>
    <definedName name="F_15_180" localSheetId="10">#REF!</definedName>
    <definedName name="F_15_180">#REF!</definedName>
    <definedName name="F_15_210" localSheetId="5">#REF!</definedName>
    <definedName name="F_15_210" localSheetId="0">#REF!</definedName>
    <definedName name="F_15_210" localSheetId="10">#REF!</definedName>
    <definedName name="F_15_210">#REF!</definedName>
    <definedName name="F_15_240" localSheetId="5">#REF!</definedName>
    <definedName name="F_15_240" localSheetId="0">#REF!</definedName>
    <definedName name="F_15_240" localSheetId="10">#REF!</definedName>
    <definedName name="F_15_240">#REF!</definedName>
    <definedName name="F_15_270" localSheetId="5">#REF!</definedName>
    <definedName name="F_15_270" localSheetId="0">#REF!</definedName>
    <definedName name="F_15_270" localSheetId="10">#REF!</definedName>
    <definedName name="F_15_270">#REF!</definedName>
    <definedName name="F_15_30" localSheetId="5">#REF!</definedName>
    <definedName name="F_15_30" localSheetId="0">#REF!</definedName>
    <definedName name="F_15_30" localSheetId="10">#REF!</definedName>
    <definedName name="F_15_30">#REF!</definedName>
    <definedName name="F_15_300" localSheetId="5">#REF!</definedName>
    <definedName name="F_15_300" localSheetId="0">#REF!</definedName>
    <definedName name="F_15_300" localSheetId="10">#REF!</definedName>
    <definedName name="F_15_300">#REF!</definedName>
    <definedName name="F_15_330" localSheetId="5">#REF!</definedName>
    <definedName name="F_15_330" localSheetId="0">#REF!</definedName>
    <definedName name="F_15_330" localSheetId="10">#REF!</definedName>
    <definedName name="F_15_330">#REF!</definedName>
    <definedName name="F_15_360" localSheetId="5">#REF!</definedName>
    <definedName name="F_15_360" localSheetId="0">#REF!</definedName>
    <definedName name="F_15_360" localSheetId="10">#REF!</definedName>
    <definedName name="F_15_360">#REF!</definedName>
    <definedName name="F_15_390" localSheetId="5">#REF!</definedName>
    <definedName name="F_15_390" localSheetId="0">#REF!</definedName>
    <definedName name="F_15_390" localSheetId="10">#REF!</definedName>
    <definedName name="F_15_390">#REF!</definedName>
    <definedName name="F_15_420" localSheetId="5">#REF!</definedName>
    <definedName name="F_15_420" localSheetId="0">#REF!</definedName>
    <definedName name="F_15_420" localSheetId="10">#REF!</definedName>
    <definedName name="F_15_420">#REF!</definedName>
    <definedName name="F_15_450" localSheetId="5">#REF!</definedName>
    <definedName name="F_15_450" localSheetId="0">#REF!</definedName>
    <definedName name="F_15_450" localSheetId="10">#REF!</definedName>
    <definedName name="F_15_450">#REF!</definedName>
    <definedName name="F_15_480" localSheetId="5">#REF!</definedName>
    <definedName name="F_15_480" localSheetId="0">#REF!</definedName>
    <definedName name="F_15_480" localSheetId="10">#REF!</definedName>
    <definedName name="F_15_480">#REF!</definedName>
    <definedName name="F_15_510" localSheetId="5">#REF!</definedName>
    <definedName name="F_15_510" localSheetId="0">#REF!</definedName>
    <definedName name="F_15_510" localSheetId="10">#REF!</definedName>
    <definedName name="F_15_510">#REF!</definedName>
    <definedName name="F_15_540" localSheetId="5">#REF!</definedName>
    <definedName name="F_15_540" localSheetId="0">#REF!</definedName>
    <definedName name="F_15_540" localSheetId="10">#REF!</definedName>
    <definedName name="F_15_540">#REF!</definedName>
    <definedName name="F_15_570" localSheetId="5">#REF!</definedName>
    <definedName name="F_15_570" localSheetId="0">#REF!</definedName>
    <definedName name="F_15_570" localSheetId="10">#REF!</definedName>
    <definedName name="F_15_570">#REF!</definedName>
    <definedName name="F_15_60" localSheetId="5">#REF!</definedName>
    <definedName name="F_15_60" localSheetId="0">#REF!</definedName>
    <definedName name="F_15_60" localSheetId="10">#REF!</definedName>
    <definedName name="F_15_60">#REF!</definedName>
    <definedName name="F_15_600" localSheetId="5">#REF!</definedName>
    <definedName name="F_15_600" localSheetId="0">#REF!</definedName>
    <definedName name="F_15_600" localSheetId="10">#REF!</definedName>
    <definedName name="F_15_600">#REF!</definedName>
    <definedName name="F_15_630" localSheetId="5">#REF!</definedName>
    <definedName name="F_15_630" localSheetId="0">#REF!</definedName>
    <definedName name="F_15_630" localSheetId="10">#REF!</definedName>
    <definedName name="F_15_630">#REF!</definedName>
    <definedName name="F_15_660" localSheetId="5">#REF!</definedName>
    <definedName name="F_15_660" localSheetId="0">#REF!</definedName>
    <definedName name="F_15_660" localSheetId="10">#REF!</definedName>
    <definedName name="F_15_660">#REF!</definedName>
    <definedName name="F_15_690" localSheetId="5">#REF!</definedName>
    <definedName name="F_15_690" localSheetId="0">#REF!</definedName>
    <definedName name="F_15_690" localSheetId="10">#REF!</definedName>
    <definedName name="F_15_690">#REF!</definedName>
    <definedName name="F_15_720" localSheetId="5">#REF!</definedName>
    <definedName name="F_15_720" localSheetId="0">#REF!</definedName>
    <definedName name="F_15_720" localSheetId="10">#REF!</definedName>
    <definedName name="F_15_720">#REF!</definedName>
    <definedName name="F_15_90" localSheetId="5">#REF!</definedName>
    <definedName name="F_15_90" localSheetId="0">#REF!</definedName>
    <definedName name="F_15_90" localSheetId="10">#REF!</definedName>
    <definedName name="F_15_90">#REF!</definedName>
    <definedName name="faixa">'[2]RESUMO-DVOP'!$N$123</definedName>
    <definedName name="faixa2">'[2]RESUMO-DVOP'!$N$185</definedName>
    <definedName name="FATOR" localSheetId="5">#REF!</definedName>
    <definedName name="FATOR" localSheetId="0">#REF!</definedName>
    <definedName name="FATOR" localSheetId="10">#REF!</definedName>
    <definedName name="FATOR">#REF!</definedName>
    <definedName name="fator100" localSheetId="5">#REF!</definedName>
    <definedName name="fator100" localSheetId="0">#REF!</definedName>
    <definedName name="fator100" localSheetId="10">#REF!</definedName>
    <definedName name="fator100">#REF!</definedName>
    <definedName name="FATOR2" localSheetId="5">#REF!</definedName>
    <definedName name="FATOR2" localSheetId="0">#REF!</definedName>
    <definedName name="FATOR2" localSheetId="10">#REF!</definedName>
    <definedName name="FATOR2">#REF!</definedName>
    <definedName name="fator50" localSheetId="5">#REF!</definedName>
    <definedName name="fator50" localSheetId="0">#REF!</definedName>
    <definedName name="fator50" localSheetId="10">#REF!</definedName>
    <definedName name="fator50">#REF!</definedName>
    <definedName name="FE">'[17]RESUMO-DVOP'!$C$35</definedName>
    <definedName name="Ferro_CA60" localSheetId="5">#REF!</definedName>
    <definedName name="Ferro_CA60" localSheetId="0">#REF!</definedName>
    <definedName name="Ferro_CA60" localSheetId="10">#REF!</definedName>
    <definedName name="Ferro_CA60">#REF!</definedName>
    <definedName name="ffg" localSheetId="5" hidden="1">{#N/A,#N/A,FALSE,"MO (2)"}</definedName>
    <definedName name="ffg" localSheetId="0" hidden="1">{#N/A,#N/A,FALSE,"MO (2)"}</definedName>
    <definedName name="ffg" localSheetId="10" hidden="1">{#N/A,#N/A,FALSE,"MO (2)"}</definedName>
    <definedName name="ffg" localSheetId="11" hidden="1">{#N/A,#N/A,FALSE,"MO (2)"}</definedName>
    <definedName name="ffg" localSheetId="30" hidden="1">{#N/A,#N/A,FALSE,"MO (2)"}</definedName>
    <definedName name="ffg" localSheetId="31" hidden="1">{#N/A,#N/A,FALSE,"MO (2)"}</definedName>
    <definedName name="ffg" hidden="1">{#N/A,#N/A,FALSE,"MO (2)"}</definedName>
    <definedName name="ffg_1" localSheetId="5" hidden="1">{#N/A,#N/A,FALSE,"MO (2)"}</definedName>
    <definedName name="ffg_1" localSheetId="0" hidden="1">{#N/A,#N/A,FALSE,"MO (2)"}</definedName>
    <definedName name="ffg_1" localSheetId="10" hidden="1">{#N/A,#N/A,FALSE,"MO (2)"}</definedName>
    <definedName name="ffg_1" localSheetId="11" hidden="1">{#N/A,#N/A,FALSE,"MO (2)"}</definedName>
    <definedName name="ffg_1" localSheetId="30" hidden="1">{#N/A,#N/A,FALSE,"MO (2)"}</definedName>
    <definedName name="ffg_1" localSheetId="31" hidden="1">{#N/A,#N/A,FALSE,"MO (2)"}</definedName>
    <definedName name="ffg_1" hidden="1">{#N/A,#N/A,FALSE,"MO (2)"}</definedName>
    <definedName name="fgff" localSheetId="11" hidden="1">{#N/A,#N/A,FALSE,"MO (2)"}</definedName>
    <definedName name="fgff" localSheetId="30" hidden="1">{#N/A,#N/A,FALSE,"MO (2)"}</definedName>
    <definedName name="fgff" localSheetId="31" hidden="1">{#N/A,#N/A,FALSE,"MO (2)"}</definedName>
    <definedName name="fgff" hidden="1">{#N/A,#N/A,FALSE,"MO (2)"}</definedName>
    <definedName name="fghji" localSheetId="5" hidden="1">{#N/A,#N/A,FALSE,"MO (2)"}</definedName>
    <definedName name="fghji" localSheetId="0" hidden="1">{#N/A,#N/A,FALSE,"MO (2)"}</definedName>
    <definedName name="fghji" localSheetId="10" hidden="1">{#N/A,#N/A,FALSE,"MO (2)"}</definedName>
    <definedName name="fghji" localSheetId="11" hidden="1">{#N/A,#N/A,FALSE,"MO (2)"}</definedName>
    <definedName name="fghji" localSheetId="30" hidden="1">{#N/A,#N/A,FALSE,"MO (2)"}</definedName>
    <definedName name="fghji" localSheetId="31" hidden="1">{#N/A,#N/A,FALSE,"MO (2)"}</definedName>
    <definedName name="fghji" hidden="1">{#N/A,#N/A,FALSE,"MO (2)"}</definedName>
    <definedName name="fghji_1" localSheetId="5" hidden="1">{#N/A,#N/A,FALSE,"MO (2)"}</definedName>
    <definedName name="fghji_1" localSheetId="0" hidden="1">{#N/A,#N/A,FALSE,"MO (2)"}</definedName>
    <definedName name="fghji_1" localSheetId="10" hidden="1">{#N/A,#N/A,FALSE,"MO (2)"}</definedName>
    <definedName name="fghji_1" localSheetId="11" hidden="1">{#N/A,#N/A,FALSE,"MO (2)"}</definedName>
    <definedName name="fghji_1" localSheetId="30" hidden="1">{#N/A,#N/A,FALSE,"MO (2)"}</definedName>
    <definedName name="fghji_1" localSheetId="31" hidden="1">{#N/A,#N/A,FALSE,"MO (2)"}</definedName>
    <definedName name="fghji_1" hidden="1">{#N/A,#N/A,FALSE,"MO (2)"}</definedName>
    <definedName name="Filtro" localSheetId="5">#REF!</definedName>
    <definedName name="Filtro" localSheetId="0">#REF!</definedName>
    <definedName name="Filtro" localSheetId="10">#REF!</definedName>
    <definedName name="Filtro">#REF!</definedName>
    <definedName name="fir" localSheetId="5">#REF!</definedName>
    <definedName name="fir" localSheetId="0">#REF!</definedName>
    <definedName name="fir" localSheetId="10">#REF!</definedName>
    <definedName name="fir">#REF!</definedName>
    <definedName name="FIRMA" localSheetId="5">#REF!</definedName>
    <definedName name="FIRMA" localSheetId="0">#REF!</definedName>
    <definedName name="FIRMA" localSheetId="10">#REF!</definedName>
    <definedName name="FIRMA">#REF!</definedName>
    <definedName name="FIRMA1" localSheetId="5">#REF!</definedName>
    <definedName name="FIRMA1" localSheetId="0">#REF!</definedName>
    <definedName name="FIRMA1" localSheetId="10">#REF!</definedName>
    <definedName name="FIRMA1">#REF!</definedName>
    <definedName name="FIRMA2" localSheetId="5">#REF!</definedName>
    <definedName name="FIRMA2" localSheetId="0">#REF!</definedName>
    <definedName name="FIRMA2" localSheetId="10">#REF!</definedName>
    <definedName name="FIRMA2">#REF!</definedName>
    <definedName name="FIRMA3" localSheetId="5">#REF!</definedName>
    <definedName name="FIRMA3" localSheetId="0">#REF!</definedName>
    <definedName name="FIRMA3" localSheetId="10">#REF!</definedName>
    <definedName name="FIRMA3">#REF!</definedName>
    <definedName name="FOG" localSheetId="5">#REF!</definedName>
    <definedName name="FOG" localSheetId="0">#REF!</definedName>
    <definedName name="FOG" localSheetId="10">#REF!</definedName>
    <definedName name="FOG">#REF!</definedName>
    <definedName name="FORN_ACESS_EMISS" localSheetId="5">#REF!</definedName>
    <definedName name="FORN_ACESS_EMISS" localSheetId="0">#REF!</definedName>
    <definedName name="FORN_ACESS_EMISS" localSheetId="10">#REF!</definedName>
    <definedName name="FORN_ACESS_EMISS">#REF!</definedName>
    <definedName name="FORN_ACESS_EMISS2_M" localSheetId="5">#REF!</definedName>
    <definedName name="FORN_ACESS_EMISS2_M" localSheetId="0">#REF!</definedName>
    <definedName name="FORN_ACESS_EMISS2_M" localSheetId="10">#REF!</definedName>
    <definedName name="FORN_ACESS_EMISS2_M">#REF!</definedName>
    <definedName name="FORN_ACESS_EMISS3_M" localSheetId="5">#REF!</definedName>
    <definedName name="FORN_ACESS_EMISS3_M" localSheetId="0">#REF!</definedName>
    <definedName name="FORN_ACESS_EMISS3_M" localSheetId="10">#REF!</definedName>
    <definedName name="FORN_ACESS_EMISS3_M">#REF!</definedName>
    <definedName name="FORN_ACESS_REDE_COL" localSheetId="5">#REF!</definedName>
    <definedName name="FORN_ACESS_REDE_COL" localSheetId="0">#REF!</definedName>
    <definedName name="FORN_ACESS_REDE_COL" localSheetId="10">#REF!</definedName>
    <definedName name="FORN_ACESS_REDE_COL">#REF!</definedName>
    <definedName name="FORN_ACESSÓRIOS" localSheetId="5">#REF!</definedName>
    <definedName name="FORN_ACESSÓRIOS" localSheetId="0">#REF!</definedName>
    <definedName name="FORN_ACESSÓRIOS" localSheetId="10">#REF!</definedName>
    <definedName name="FORN_ACESSÓRIOS">#REF!</definedName>
    <definedName name="FORN_CON_EMISS3_M" localSheetId="5">#REF!</definedName>
    <definedName name="FORN_CON_EMISS3_M" localSheetId="0">#REF!</definedName>
    <definedName name="FORN_CON_EMISS3_M" localSheetId="10">#REF!</definedName>
    <definedName name="FORN_CON_EMISS3_M">#REF!</definedName>
    <definedName name="FORN_CONEX" localSheetId="5">#REF!</definedName>
    <definedName name="FORN_CONEX" localSheetId="0">#REF!</definedName>
    <definedName name="FORN_CONEX" localSheetId="10">#REF!</definedName>
    <definedName name="FORN_CONEX">#REF!</definedName>
    <definedName name="FORN_CONEX_EMISS" localSheetId="5">#REF!</definedName>
    <definedName name="FORN_CONEX_EMISS" localSheetId="0">#REF!</definedName>
    <definedName name="FORN_CONEX_EMISS" localSheetId="10">#REF!</definedName>
    <definedName name="FORN_CONEX_EMISS">#REF!</definedName>
    <definedName name="FORN_CONEX_PEÇAS" localSheetId="5">#REF!</definedName>
    <definedName name="FORN_CONEX_PEÇAS" localSheetId="0">#REF!</definedName>
    <definedName name="FORN_CONEX_PEÇAS" localSheetId="10">#REF!</definedName>
    <definedName name="FORN_CONEX_PEÇAS">#REF!</definedName>
    <definedName name="FORN_PEÇAS_EMISS2_M" localSheetId="5">#REF!</definedName>
    <definedName name="FORN_PEÇAS_EMISS2_M" localSheetId="0">#REF!</definedName>
    <definedName name="FORN_PEÇAS_EMISS2_M" localSheetId="10">#REF!</definedName>
    <definedName name="FORN_PEÇAS_EMISS2_M">#REF!</definedName>
    <definedName name="FORN_TUB_EMISS" localSheetId="5">#REF!</definedName>
    <definedName name="FORN_TUB_EMISS" localSheetId="0">#REF!</definedName>
    <definedName name="FORN_TUB_EMISS" localSheetId="10">#REF!</definedName>
    <definedName name="FORN_TUB_EMISS">#REF!</definedName>
    <definedName name="FORN_TUB_EMISS2_M" localSheetId="5">#REF!</definedName>
    <definedName name="FORN_TUB_EMISS2_M" localSheetId="0">#REF!</definedName>
    <definedName name="FORN_TUB_EMISS2_M" localSheetId="10">#REF!</definedName>
    <definedName name="FORN_TUB_EMISS2_M">#REF!</definedName>
    <definedName name="FORN_TUB_EMISS3_M" localSheetId="5">#REF!</definedName>
    <definedName name="FORN_TUB_EMISS3_M" localSheetId="0">#REF!</definedName>
    <definedName name="FORN_TUB_EMISS3_M" localSheetId="10">#REF!</definedName>
    <definedName name="FORN_TUB_EMISS3_M">#REF!</definedName>
    <definedName name="FORN_TUB_REDE_COL" localSheetId="5">#REF!</definedName>
    <definedName name="FORN_TUB_REDE_COL" localSheetId="0">#REF!</definedName>
    <definedName name="FORN_TUB_REDE_COL" localSheetId="10">#REF!</definedName>
    <definedName name="FORN_TUB_REDE_COL">#REF!</definedName>
    <definedName name="FORN_TUBU" localSheetId="5">#REF!</definedName>
    <definedName name="FORN_TUBU" localSheetId="0">#REF!</definedName>
    <definedName name="FORN_TUBU" localSheetId="10">#REF!</definedName>
    <definedName name="FORN_TUBU">#REF!</definedName>
    <definedName name="fornecer" localSheetId="5">#REF!</definedName>
    <definedName name="fornecer" localSheetId="0">#REF!</definedName>
    <definedName name="fornecer" localSheetId="10">#REF!</definedName>
    <definedName name="fornecer">#REF!</definedName>
    <definedName name="Fundação" localSheetId="5">#REF!</definedName>
    <definedName name="Fundação" localSheetId="0">#REF!</definedName>
    <definedName name="Fundação" localSheetId="10">#REF!</definedName>
    <definedName name="Fundação">#REF!</definedName>
    <definedName name="fx_horiz" localSheetId="5">#REF!</definedName>
    <definedName name="fx_horiz" localSheetId="0">#REF!</definedName>
    <definedName name="fx_horiz" localSheetId="10">#REF!</definedName>
    <definedName name="fx_horiz">#REF!</definedName>
    <definedName name="G_01" localSheetId="5">#REF!</definedName>
    <definedName name="G_01" localSheetId="0">#REF!</definedName>
    <definedName name="G_01" localSheetId="10">#REF!</definedName>
    <definedName name="G_01">#REF!</definedName>
    <definedName name="G_02" localSheetId="5">#REF!</definedName>
    <definedName name="G_02" localSheetId="0">#REF!</definedName>
    <definedName name="G_02" localSheetId="10">#REF!</definedName>
    <definedName name="G_02">#REF!</definedName>
    <definedName name="G_03" localSheetId="5">#REF!</definedName>
    <definedName name="G_03" localSheetId="0">#REF!</definedName>
    <definedName name="G_03" localSheetId="10">#REF!</definedName>
    <definedName name="G_03">#REF!</definedName>
    <definedName name="G_04" localSheetId="5">#REF!</definedName>
    <definedName name="G_04" localSheetId="0">#REF!</definedName>
    <definedName name="G_04" localSheetId="10">#REF!</definedName>
    <definedName name="G_04">#REF!</definedName>
    <definedName name="G_05" localSheetId="5">#REF!</definedName>
    <definedName name="G_05" localSheetId="0">#REF!</definedName>
    <definedName name="G_05" localSheetId="10">#REF!</definedName>
    <definedName name="G_05">#REF!</definedName>
    <definedName name="G_06" localSheetId="5">#REF!</definedName>
    <definedName name="G_06" localSheetId="0">#REF!</definedName>
    <definedName name="G_06" localSheetId="10">#REF!</definedName>
    <definedName name="G_06">#REF!</definedName>
    <definedName name="G_07" localSheetId="5">#REF!</definedName>
    <definedName name="G_07" localSheetId="0">#REF!</definedName>
    <definedName name="G_07" localSheetId="10">#REF!</definedName>
    <definedName name="G_07">#REF!</definedName>
    <definedName name="G_08" localSheetId="5">#REF!</definedName>
    <definedName name="G_08" localSheetId="0">#REF!</definedName>
    <definedName name="G_08" localSheetId="10">#REF!</definedName>
    <definedName name="G_08">#REF!</definedName>
    <definedName name="G_09" localSheetId="5">#REF!</definedName>
    <definedName name="G_09" localSheetId="0">#REF!</definedName>
    <definedName name="G_09" localSheetId="10">#REF!</definedName>
    <definedName name="G_09">#REF!</definedName>
    <definedName name="G_10" localSheetId="5">#REF!</definedName>
    <definedName name="G_10" localSheetId="0">#REF!</definedName>
    <definedName name="G_10" localSheetId="10">#REF!</definedName>
    <definedName name="G_10">#REF!</definedName>
    <definedName name="G_11" localSheetId="5">#REF!</definedName>
    <definedName name="G_11" localSheetId="0">#REF!</definedName>
    <definedName name="G_11" localSheetId="10">#REF!</definedName>
    <definedName name="G_11">#REF!</definedName>
    <definedName name="G_12" localSheetId="5">#REF!</definedName>
    <definedName name="G_12" localSheetId="0">#REF!</definedName>
    <definedName name="G_12" localSheetId="10">#REF!</definedName>
    <definedName name="G_12">#REF!</definedName>
    <definedName name="G_13" localSheetId="5">#REF!</definedName>
    <definedName name="G_13" localSheetId="0">#REF!</definedName>
    <definedName name="G_13" localSheetId="10">#REF!</definedName>
    <definedName name="G_13">#REF!</definedName>
    <definedName name="G_14" localSheetId="5">#REF!</definedName>
    <definedName name="G_14" localSheetId="0">#REF!</definedName>
    <definedName name="G_14" localSheetId="10">#REF!</definedName>
    <definedName name="G_14">#REF!</definedName>
    <definedName name="G_15" localSheetId="5">#REF!</definedName>
    <definedName name="G_15" localSheetId="0">#REF!</definedName>
    <definedName name="G_15" localSheetId="10">#REF!</definedName>
    <definedName name="G_15">#REF!</definedName>
    <definedName name="G_16" localSheetId="5">#REF!</definedName>
    <definedName name="G_16" localSheetId="0">#REF!</definedName>
    <definedName name="G_16" localSheetId="10">#REF!</definedName>
    <definedName name="G_16">#REF!</definedName>
    <definedName name="G_17" localSheetId="5">#REF!</definedName>
    <definedName name="G_17" localSheetId="0">#REF!</definedName>
    <definedName name="G_17" localSheetId="10">#REF!</definedName>
    <definedName name="G_17">#REF!</definedName>
    <definedName name="G_18" localSheetId="5">#REF!</definedName>
    <definedName name="G_18" localSheetId="0">#REF!</definedName>
    <definedName name="G_18" localSheetId="10">#REF!</definedName>
    <definedName name="G_18">#REF!</definedName>
    <definedName name="G_19" localSheetId="5">#REF!</definedName>
    <definedName name="G_19" localSheetId="0">#REF!</definedName>
    <definedName name="G_19" localSheetId="10">#REF!</definedName>
    <definedName name="G_19">#REF!</definedName>
    <definedName name="G_20" localSheetId="5">#REF!</definedName>
    <definedName name="G_20" localSheetId="0">#REF!</definedName>
    <definedName name="G_20" localSheetId="10">#REF!</definedName>
    <definedName name="G_20">#REF!</definedName>
    <definedName name="G_21" localSheetId="5">#REF!</definedName>
    <definedName name="G_21" localSheetId="0">#REF!</definedName>
    <definedName name="G_21" localSheetId="10">#REF!</definedName>
    <definedName name="G_21">#REF!</definedName>
    <definedName name="G_22" localSheetId="5">#REF!</definedName>
    <definedName name="G_22" localSheetId="0">#REF!</definedName>
    <definedName name="G_22" localSheetId="10">#REF!</definedName>
    <definedName name="G_22">#REF!</definedName>
    <definedName name="G_23" localSheetId="5">#REF!</definedName>
    <definedName name="G_23" localSheetId="0">#REF!</definedName>
    <definedName name="G_23" localSheetId="10">#REF!</definedName>
    <definedName name="G_23">#REF!</definedName>
    <definedName name="G_24" localSheetId="5">#REF!</definedName>
    <definedName name="G_24" localSheetId="0">#REF!</definedName>
    <definedName name="G_24" localSheetId="10">#REF!</definedName>
    <definedName name="G_24">#REF!</definedName>
    <definedName name="G_25" localSheetId="5">#REF!</definedName>
    <definedName name="G_25" localSheetId="0">#REF!</definedName>
    <definedName name="G_25" localSheetId="10">#REF!</definedName>
    <definedName name="G_25">#REF!</definedName>
    <definedName name="GAS">'[16]INSUMOS BÁSICOS'!$E$66</definedName>
    <definedName name="GASOLINA" localSheetId="5">#REF!</definedName>
    <definedName name="GASOLINA" localSheetId="0">#REF!</definedName>
    <definedName name="GASOLINA" localSheetId="10">#REF!</definedName>
    <definedName name="GASOLINA">#REF!</definedName>
    <definedName name="GD" localSheetId="5">'[16]QUADRO 04 - PLANILHAS PREÇOS'!#REF!</definedName>
    <definedName name="GD" localSheetId="0">'[16]QUADRO 04 - PLANILHAS PREÇOS'!#REF!</definedName>
    <definedName name="GD" localSheetId="10">'[16]QUADRO 04 - PLANILHAS PREÇOS'!#REF!</definedName>
    <definedName name="GD">'[16]QUADRO 04 - PLANILHAS PREÇOS'!#REF!</definedName>
    <definedName name="geral" localSheetId="5">#REF!</definedName>
    <definedName name="geral" localSheetId="0">#REF!</definedName>
    <definedName name="geral" localSheetId="10">#REF!</definedName>
    <definedName name="geral">#REF!</definedName>
    <definedName name="gfgh" localSheetId="5" hidden="1">{#N/A,#N/A,FALSE,"MO (2)"}</definedName>
    <definedName name="gfgh" localSheetId="0" hidden="1">{#N/A,#N/A,FALSE,"MO (2)"}</definedName>
    <definedName name="gfgh" localSheetId="10" hidden="1">{#N/A,#N/A,FALSE,"MO (2)"}</definedName>
    <definedName name="gfgh" localSheetId="11" hidden="1">{#N/A,#N/A,FALSE,"MO (2)"}</definedName>
    <definedName name="gfgh" localSheetId="30" hidden="1">{#N/A,#N/A,FALSE,"MO (2)"}</definedName>
    <definedName name="gfgh" localSheetId="31" hidden="1">{#N/A,#N/A,FALSE,"MO (2)"}</definedName>
    <definedName name="gfgh" hidden="1">{#N/A,#N/A,FALSE,"MO (2)"}</definedName>
    <definedName name="gfgh_1" localSheetId="5" hidden="1">{#N/A,#N/A,FALSE,"MO (2)"}</definedName>
    <definedName name="gfgh_1" localSheetId="0" hidden="1">{#N/A,#N/A,FALSE,"MO (2)"}</definedName>
    <definedName name="gfgh_1" localSheetId="10" hidden="1">{#N/A,#N/A,FALSE,"MO (2)"}</definedName>
    <definedName name="gfgh_1" localSheetId="11" hidden="1">{#N/A,#N/A,FALSE,"MO (2)"}</definedName>
    <definedName name="gfgh_1" localSheetId="30" hidden="1">{#N/A,#N/A,FALSE,"MO (2)"}</definedName>
    <definedName name="gfgh_1" localSheetId="31" hidden="1">{#N/A,#N/A,FALSE,"MO (2)"}</definedName>
    <definedName name="gfgh_1" hidden="1">{#N/A,#N/A,FALSE,"MO (2)"}</definedName>
    <definedName name="GRAMA" localSheetId="5">'[16]QUADRO 04 - PLANILHAS PREÇOS'!#REF!</definedName>
    <definedName name="GRAMA" localSheetId="0">'[16]QUADRO 04 - PLANILHAS PREÇOS'!#REF!</definedName>
    <definedName name="GRAMA" localSheetId="10">'[16]QUADRO 04 - PLANILHAS PREÇOS'!#REF!</definedName>
    <definedName name="GRAMA">'[16]QUADRO 04 - PLANILHAS PREÇOS'!#REF!</definedName>
    <definedName name="grama_mudas" localSheetId="5">#REF!</definedName>
    <definedName name="grama_mudas" localSheetId="0">#REF!</definedName>
    <definedName name="grama_mudas" localSheetId="10">#REF!</definedName>
    <definedName name="grama_mudas">#REF!</definedName>
    <definedName name="_xlnm.Recorder" localSheetId="5">#REF!</definedName>
    <definedName name="_xlnm.Recorder" localSheetId="0">#REF!</definedName>
    <definedName name="_xlnm.Recorder" localSheetId="10">#REF!</definedName>
    <definedName name="_xlnm.Recorder">#REF!</definedName>
    <definedName name="Guias" localSheetId="5">#REF!</definedName>
    <definedName name="Guias" localSheetId="0">#REF!</definedName>
    <definedName name="Guias" localSheetId="10">#REF!</definedName>
    <definedName name="Guias">#REF!</definedName>
    <definedName name="ic">'[18]Desmatamento '!$L$10</definedName>
    <definedName name="INDI" localSheetId="5">#REF!</definedName>
    <definedName name="INDI" localSheetId="0">#REF!</definedName>
    <definedName name="INDI" localSheetId="10">#REF!</definedName>
    <definedName name="INDI">#REF!</definedName>
    <definedName name="indi_33" localSheetId="5">#REF!</definedName>
    <definedName name="indi_33" localSheetId="0">#REF!</definedName>
    <definedName name="indi_33" localSheetId="10">#REF!</definedName>
    <definedName name="indi_33">#REF!</definedName>
    <definedName name="INDI22" localSheetId="5">#REF!</definedName>
    <definedName name="INDI22" localSheetId="0">#REF!</definedName>
    <definedName name="INDI22" localSheetId="10">#REF!</definedName>
    <definedName name="INDI22">#REF!</definedName>
    <definedName name="indice_2" localSheetId="5">#REF!</definedName>
    <definedName name="indice_2" localSheetId="0">#REF!</definedName>
    <definedName name="indice_2" localSheetId="10">#REF!</definedName>
    <definedName name="indice_2">#REF!</definedName>
    <definedName name="INDICEI1" localSheetId="5">#REF!</definedName>
    <definedName name="INDICEI1" localSheetId="0">#REF!</definedName>
    <definedName name="INDICEI1" localSheetId="10">#REF!</definedName>
    <definedName name="INDICEI1">#REF!</definedName>
    <definedName name="inic" localSheetId="5">#REF!</definedName>
    <definedName name="inic" localSheetId="0">#REF!</definedName>
    <definedName name="inic" localSheetId="10">#REF!</definedName>
    <definedName name="inic">#REF!</definedName>
    <definedName name="Inst_elétricas" localSheetId="5">#REF!</definedName>
    <definedName name="Inst_elétricas" localSheetId="0">#REF!</definedName>
    <definedName name="Inst_elétricas" localSheetId="10">#REF!</definedName>
    <definedName name="Inst_elétricas">#REF!</definedName>
    <definedName name="Inst_hidráulicas" localSheetId="5">#REF!</definedName>
    <definedName name="Inst_hidráulicas" localSheetId="0">#REF!</definedName>
    <definedName name="Inst_hidráulicas" localSheetId="10">#REF!</definedName>
    <definedName name="Inst_hidráulicas">#REF!</definedName>
    <definedName name="INST_PROVISÓRIAS" localSheetId="5">#REF!</definedName>
    <definedName name="INST_PROVISÓRIAS" localSheetId="0">#REF!</definedName>
    <definedName name="INST_PROVISÓRIAS" localSheetId="10">#REF!</definedName>
    <definedName name="INST_PROVISÓRIAS">#REF!</definedName>
    <definedName name="Inst_sanitárias" localSheetId="5">#REF!</definedName>
    <definedName name="Inst_sanitárias" localSheetId="0">#REF!</definedName>
    <definedName name="Inst_sanitárias" localSheetId="10">#REF!</definedName>
    <definedName name="Inst_sanitárias">#REF!</definedName>
    <definedName name="JAZ" localSheetId="5">#REF!</definedName>
    <definedName name="JAZ" localSheetId="0">#REF!</definedName>
    <definedName name="JAZ" localSheetId="10">#REF!</definedName>
    <definedName name="JAZ">#REF!</definedName>
    <definedName name="JAZIDAS">'[9]QUADRO 08 - COMPOSIÇÕES'!$H$786</definedName>
    <definedName name="jkhjkjkg" localSheetId="5" hidden="1">{#N/A,#N/A,FALSE,"MO (2)"}</definedName>
    <definedName name="jkhjkjkg" localSheetId="0" hidden="1">{#N/A,#N/A,FALSE,"MO (2)"}</definedName>
    <definedName name="jkhjkjkg" localSheetId="10" hidden="1">{#N/A,#N/A,FALSE,"MO (2)"}</definedName>
    <definedName name="jkhjkjkg" localSheetId="11" hidden="1">{#N/A,#N/A,FALSE,"MO (2)"}</definedName>
    <definedName name="jkhjkjkg" localSheetId="30" hidden="1">{#N/A,#N/A,FALSE,"MO (2)"}</definedName>
    <definedName name="jkhjkjkg" localSheetId="31" hidden="1">{#N/A,#N/A,FALSE,"MO (2)"}</definedName>
    <definedName name="jkhjkjkg" hidden="1">{#N/A,#N/A,FALSE,"MO (2)"}</definedName>
    <definedName name="jkhjkjkg_1" localSheetId="5" hidden="1">{#N/A,#N/A,FALSE,"MO (2)"}</definedName>
    <definedName name="jkhjkjkg_1" localSheetId="0" hidden="1">{#N/A,#N/A,FALSE,"MO (2)"}</definedName>
    <definedName name="jkhjkjkg_1" localSheetId="10" hidden="1">{#N/A,#N/A,FALSE,"MO (2)"}</definedName>
    <definedName name="jkhjkjkg_1" localSheetId="11" hidden="1">{#N/A,#N/A,FALSE,"MO (2)"}</definedName>
    <definedName name="jkhjkjkg_1" localSheetId="30" hidden="1">{#N/A,#N/A,FALSE,"MO (2)"}</definedName>
    <definedName name="jkhjkjkg_1" localSheetId="31" hidden="1">{#N/A,#N/A,FALSE,"MO (2)"}</definedName>
    <definedName name="jkhjkjkg_1" hidden="1">{#N/A,#N/A,FALSE,"MO (2)"}</definedName>
    <definedName name="JOSE">[2]RELATÓRIO!$I$31</definedName>
    <definedName name="kdren" localSheetId="5">#REF!</definedName>
    <definedName name="kdren" localSheetId="0">#REF!</definedName>
    <definedName name="kdren" localSheetId="10">#REF!</definedName>
    <definedName name="kdren">#REF!</definedName>
    <definedName name="kdrena" localSheetId="5">#REF!</definedName>
    <definedName name="kdrena" localSheetId="0">#REF!</definedName>
    <definedName name="kdrena" localSheetId="10">#REF!</definedName>
    <definedName name="kdrena">#REF!</definedName>
    <definedName name="Km" localSheetId="5">#REF!</definedName>
    <definedName name="Km" localSheetId="0">#REF!</definedName>
    <definedName name="Km" localSheetId="10">#REF!</definedName>
    <definedName name="Km">#REF!</definedName>
    <definedName name="koae" localSheetId="5">#REF!</definedName>
    <definedName name="koae" localSheetId="0">#REF!</definedName>
    <definedName name="koae" localSheetId="10">#REF!</definedName>
    <definedName name="koae">#REF!</definedName>
    <definedName name="kpavi" localSheetId="5">#REF!</definedName>
    <definedName name="kpavi" localSheetId="0">#REF!</definedName>
    <definedName name="kpavi" localSheetId="10">#REF!</definedName>
    <definedName name="kpavi">#REF!</definedName>
    <definedName name="KSIN" localSheetId="5">#REF!</definedName>
    <definedName name="KSIN" localSheetId="0">#REF!</definedName>
    <definedName name="KSIN" localSheetId="10">#REF!</definedName>
    <definedName name="KSIN">#REF!</definedName>
    <definedName name="ksinal" localSheetId="5">'[19]Indice de Reajuste'!#REF!</definedName>
    <definedName name="ksinal" localSheetId="0">'[19]Indice de Reajuste'!#REF!</definedName>
    <definedName name="ksinal" localSheetId="10">'[19]Indice de Reajuste'!#REF!</definedName>
    <definedName name="ksinal">'[19]Indice de Reajuste'!#REF!</definedName>
    <definedName name="kterra" localSheetId="5">#REF!</definedName>
    <definedName name="kterra" localSheetId="0">#REF!</definedName>
    <definedName name="kterra" localSheetId="10">#REF!</definedName>
    <definedName name="kterra">#REF!</definedName>
    <definedName name="la" localSheetId="11" hidden="1">{#N/A,#N/A,FALSE,"MO (2)"}</definedName>
    <definedName name="la" localSheetId="30" hidden="1">{#N/A,#N/A,FALSE,"MO (2)"}</definedName>
    <definedName name="la" localSheetId="31" hidden="1">{#N/A,#N/A,FALSE,"MO (2)"}</definedName>
    <definedName name="la" hidden="1">{#N/A,#N/A,FALSE,"MO (2)"}</definedName>
    <definedName name="LASTRO_CONCRETO" localSheetId="5">#REF!</definedName>
    <definedName name="LASTRO_CONCRETO" localSheetId="0">#REF!</definedName>
    <definedName name="LASTRO_CONCRETO" localSheetId="10">#REF!</definedName>
    <definedName name="LASTRO_CONCRETO">#REF!</definedName>
    <definedName name="LASTRO_EMISS3_S" localSheetId="5">#REF!</definedName>
    <definedName name="LASTRO_EMISS3_S" localSheetId="0">#REF!</definedName>
    <definedName name="LASTRO_EMISS3_S" localSheetId="10">#REF!</definedName>
    <definedName name="LASTRO_EMISS3_S">#REF!</definedName>
    <definedName name="LIG_PRED_SERV" localSheetId="5">#REF!</definedName>
    <definedName name="LIG_PRED_SERV" localSheetId="0">#REF!</definedName>
    <definedName name="LIG_PRED_SERV" localSheetId="10">#REF!</definedName>
    <definedName name="LIG_PRED_SERV">#REF!</definedName>
    <definedName name="LIG_PREDIAIS_MAT" localSheetId="5">#REF!</definedName>
    <definedName name="LIG_PREDIAIS_MAT" localSheetId="0">#REF!</definedName>
    <definedName name="LIG_PREDIAIS_MAT" localSheetId="10">#REF!</definedName>
    <definedName name="LIG_PREDIAIS_MAT">#REF!</definedName>
    <definedName name="LIGAÇÃO_PREDIAL_MATERIAL">'[11]ligação predial'!$H$19</definedName>
    <definedName name="LIGAÇÃO_PREDIAL_SERVIÇOS">'[11]ligação predial'!$H$9</definedName>
    <definedName name="LIGAÇÕES" localSheetId="5">#REF!</definedName>
    <definedName name="LIGAÇÕES" localSheetId="0">#REF!</definedName>
    <definedName name="LIGAÇÕES" localSheetId="10">#REF!</definedName>
    <definedName name="LIGAÇÕES">#REF!</definedName>
    <definedName name="loc" localSheetId="5">#REF!</definedName>
    <definedName name="loc" localSheetId="0">#REF!</definedName>
    <definedName name="loc" localSheetId="10">#REF!</definedName>
    <definedName name="loc">#REF!</definedName>
    <definedName name="LOC_EMISS3" localSheetId="5">#REF!</definedName>
    <definedName name="LOC_EMISS3" localSheetId="0">#REF!</definedName>
    <definedName name="LOC_EMISS3" localSheetId="10">#REF!</definedName>
    <definedName name="LOC_EMISS3">#REF!</definedName>
    <definedName name="LOCAÇÃO" localSheetId="5">#REF!</definedName>
    <definedName name="LOCAÇÃO" localSheetId="0">#REF!</definedName>
    <definedName name="LOCAÇÃO" localSheetId="10">#REF!</definedName>
    <definedName name="LOCAÇÃO">#REF!</definedName>
    <definedName name="LOCAÇÃO_EMISS" localSheetId="5">#REF!</definedName>
    <definedName name="LOCAÇÃO_EMISS" localSheetId="0">#REF!</definedName>
    <definedName name="LOCAÇÃO_EMISS" localSheetId="10">#REF!</definedName>
    <definedName name="LOCAÇÃO_EMISS">#REF!</definedName>
    <definedName name="LOCAÇÃO_EMISS2" localSheetId="5">#REF!</definedName>
    <definedName name="LOCAÇÃO_EMISS2" localSheetId="0">#REF!</definedName>
    <definedName name="LOCAÇÃO_EMISS2" localSheetId="10">#REF!</definedName>
    <definedName name="LOCAÇÃO_EMISS2">#REF!</definedName>
    <definedName name="local" localSheetId="5">#REF!</definedName>
    <definedName name="local" localSheetId="0">#REF!</definedName>
    <definedName name="local" localSheetId="10">#REF!</definedName>
    <definedName name="local">#REF!</definedName>
    <definedName name="LOCAL1">'[9]DADOS DE ENTRADA CONCORRÊNCIA'!$B$25</definedName>
    <definedName name="LOCALIDADE">'[9]DADOS DE ENTRADA CONCORRÊNCIA'!$B$8</definedName>
    <definedName name="LOTA" localSheetId="5">#REF!</definedName>
    <definedName name="LOTA" localSheetId="0">#REF!</definedName>
    <definedName name="LOTA" localSheetId="10">#REF!</definedName>
    <definedName name="LOTA">#REF!</definedName>
    <definedName name="LOTE" localSheetId="5">#REF!</definedName>
    <definedName name="LOTE" localSheetId="0">#REF!</definedName>
    <definedName name="LOTE" localSheetId="10">#REF!</definedName>
    <definedName name="LOTE">#REF!</definedName>
    <definedName name="LOTE1" localSheetId="5">#REF!</definedName>
    <definedName name="LOTE1" localSheetId="0">#REF!</definedName>
    <definedName name="LOTE1" localSheetId="10">#REF!</definedName>
    <definedName name="LOTE1">#REF!</definedName>
    <definedName name="Louças_acessórios" localSheetId="5">#REF!</definedName>
    <definedName name="Louças_acessórios" localSheetId="0">#REF!</definedName>
    <definedName name="Louças_acessórios" localSheetId="10">#REF!</definedName>
    <definedName name="Louças_acessórios">#REF!</definedName>
    <definedName name="LS" localSheetId="5">#REF!</definedName>
    <definedName name="LS" localSheetId="0">#REF!</definedName>
    <definedName name="LS" localSheetId="10">#REF!</definedName>
    <definedName name="LS">#REF!</definedName>
    <definedName name="luis" localSheetId="5">#REF!</definedName>
    <definedName name="luis" localSheetId="0">#REF!</definedName>
    <definedName name="luis" localSheetId="10">#REF!</definedName>
    <definedName name="luis">#REF!</definedName>
    <definedName name="maria">'[2]RESUMO-DVOP'!$I$12</definedName>
    <definedName name="Material_britado" localSheetId="5">#REF!</definedName>
    <definedName name="Material_britado" localSheetId="0">#REF!</definedName>
    <definedName name="Material_britado" localSheetId="10">#REF!</definedName>
    <definedName name="Material_britado">#REF!</definedName>
    <definedName name="mbc" localSheetId="5">#REF!</definedName>
    <definedName name="mbc" localSheetId="0">#REF!</definedName>
    <definedName name="mbc" localSheetId="10">#REF!</definedName>
    <definedName name="mbc">#REF!</definedName>
    <definedName name="med" localSheetId="5" hidden="1">{#N/A,#N/A,FALSE,"MO (2)"}</definedName>
    <definedName name="med" localSheetId="0" hidden="1">{#N/A,#N/A,FALSE,"MO (2)"}</definedName>
    <definedName name="med" localSheetId="10" hidden="1">{#N/A,#N/A,FALSE,"MO (2)"}</definedName>
    <definedName name="med" localSheetId="11" hidden="1">{#N/A,#N/A,FALSE,"MO (2)"}</definedName>
    <definedName name="med" localSheetId="30" hidden="1">{#N/A,#N/A,FALSE,"MO (2)"}</definedName>
    <definedName name="med" localSheetId="31" hidden="1">{#N/A,#N/A,FALSE,"MO (2)"}</definedName>
    <definedName name="med" hidden="1">{#N/A,#N/A,FALSE,"MO (2)"}</definedName>
    <definedName name="med_1" localSheetId="5" hidden="1">{#N/A,#N/A,FALSE,"MO (2)"}</definedName>
    <definedName name="med_1" localSheetId="0" hidden="1">{#N/A,#N/A,FALSE,"MO (2)"}</definedName>
    <definedName name="med_1" localSheetId="10" hidden="1">{#N/A,#N/A,FALSE,"MO (2)"}</definedName>
    <definedName name="med_1" localSheetId="11" hidden="1">{#N/A,#N/A,FALSE,"MO (2)"}</definedName>
    <definedName name="med_1" localSheetId="30" hidden="1">{#N/A,#N/A,FALSE,"MO (2)"}</definedName>
    <definedName name="med_1" localSheetId="31" hidden="1">{#N/A,#N/A,FALSE,"MO (2)"}</definedName>
    <definedName name="med_1" hidden="1">{#N/A,#N/A,FALSE,"MO (2)"}</definedName>
    <definedName name="MEDAGOREAL">[2]RELATÓRIO!$I$30</definedName>
    <definedName name="MEIO_FIO" localSheetId="5">#REF!</definedName>
    <definedName name="MEIO_FIO" localSheetId="0">#REF!</definedName>
    <definedName name="MEIO_FIO" localSheetId="10">#REF!</definedName>
    <definedName name="MEIO_FIO">#REF!</definedName>
    <definedName name="meiofio" localSheetId="5">#REF!</definedName>
    <definedName name="meiofio" localSheetId="0">#REF!</definedName>
    <definedName name="meiofio" localSheetId="10">#REF!</definedName>
    <definedName name="meiofio">#REF!</definedName>
    <definedName name="Mem">'[4]Mat Asf'!$C$37</definedName>
    <definedName name="mo_base" localSheetId="5">#REF!</definedName>
    <definedName name="mo_base" localSheetId="0">#REF!</definedName>
    <definedName name="mo_base" localSheetId="10">#REF!</definedName>
    <definedName name="mo_base">#REF!</definedName>
    <definedName name="mo_sub_base" localSheetId="5">#REF!</definedName>
    <definedName name="mo_sub_base" localSheetId="0">#REF!</definedName>
    <definedName name="mo_sub_base" localSheetId="10">#REF!</definedName>
    <definedName name="mo_sub_base">#REF!</definedName>
    <definedName name="mosubb" localSheetId="5">#REF!</definedName>
    <definedName name="mosubb" localSheetId="0">#REF!</definedName>
    <definedName name="mosubb" localSheetId="10">#REF!</definedName>
    <definedName name="mosubb">#REF!</definedName>
    <definedName name="mosubl" localSheetId="5">#REF!</definedName>
    <definedName name="mosubl" localSheetId="0">#REF!</definedName>
    <definedName name="mosubl" localSheetId="10">#REF!</definedName>
    <definedName name="mosubl">#REF!</definedName>
    <definedName name="MOV_TERR_EMISS3_S" localSheetId="5">#REF!</definedName>
    <definedName name="MOV_TERR_EMISS3_S" localSheetId="0">#REF!</definedName>
    <definedName name="MOV_TERR_EMISS3_S" localSheetId="10">#REF!</definedName>
    <definedName name="MOV_TERR_EMISS3_S">#REF!</definedName>
    <definedName name="MOV_TERRA" localSheetId="5">#REF!</definedName>
    <definedName name="MOV_TERRA" localSheetId="0">#REF!</definedName>
    <definedName name="MOV_TERRA" localSheetId="10">#REF!</definedName>
    <definedName name="MOV_TERRA">#REF!</definedName>
    <definedName name="MOV_TERRA_EMISS" localSheetId="5">#REF!</definedName>
    <definedName name="MOV_TERRA_EMISS" localSheetId="0">#REF!</definedName>
    <definedName name="MOV_TERRA_EMISS" localSheetId="10">#REF!</definedName>
    <definedName name="MOV_TERRA_EMISS">#REF!</definedName>
    <definedName name="MOV_TERRA_EMISS2" localSheetId="5">#REF!</definedName>
    <definedName name="MOV_TERRA_EMISS2" localSheetId="0">#REF!</definedName>
    <definedName name="MOV_TERRA_EMISS2" localSheetId="10">#REF!</definedName>
    <definedName name="MOV_TERRA_EMISS2">#REF!</definedName>
    <definedName name="OAC" localSheetId="5">#REF!</definedName>
    <definedName name="OAC" localSheetId="0">#REF!</definedName>
    <definedName name="OAC" localSheetId="10">#REF!</definedName>
    <definedName name="OAC">#REF!</definedName>
    <definedName name="oac.b" localSheetId="5">#REF!</definedName>
    <definedName name="oac.b" localSheetId="0">#REF!</definedName>
    <definedName name="oac.b" localSheetId="10">#REF!</definedName>
    <definedName name="oac.b">#REF!</definedName>
    <definedName name="oac.c" localSheetId="5">#REF!</definedName>
    <definedName name="oac.c" localSheetId="0">#REF!</definedName>
    <definedName name="oac.c" localSheetId="10">#REF!</definedName>
    <definedName name="oac.c">#REF!</definedName>
    <definedName name="oac.ve" localSheetId="5">#REF!</definedName>
    <definedName name="oac.ve" localSheetId="0">#REF!</definedName>
    <definedName name="oac.ve" localSheetId="10">#REF!</definedName>
    <definedName name="oac.ve">#REF!</definedName>
    <definedName name="oac.ve.remoc" localSheetId="5">#REF!</definedName>
    <definedName name="oac.ve.remoc" localSheetId="0">#REF!</definedName>
    <definedName name="oac.ve.remoc" localSheetId="10">#REF!</definedName>
    <definedName name="oac.ve.remoc">#REF!</definedName>
    <definedName name="oac.vr" localSheetId="5">#REF!</definedName>
    <definedName name="oac.vr" localSheetId="0">#REF!</definedName>
    <definedName name="oac.vr" localSheetId="10">#REF!</definedName>
    <definedName name="oac.vr">#REF!</definedName>
    <definedName name="oac.vr.remoc" localSheetId="5">#REF!</definedName>
    <definedName name="oac.vr.remoc" localSheetId="0">#REF!</definedName>
    <definedName name="oac.vr.remoc" localSheetId="10">#REF!</definedName>
    <definedName name="oac.vr.remoc">#REF!</definedName>
    <definedName name="Oacorre2" localSheetId="5">#REF!</definedName>
    <definedName name="Oacorre2" localSheetId="0">#REF!</definedName>
    <definedName name="Oacorre2" localSheetId="10">#REF!</definedName>
    <definedName name="Oacorre2">#REF!</definedName>
    <definedName name="OAE" localSheetId="5">#REF!</definedName>
    <definedName name="OAE" localSheetId="0">#REF!</definedName>
    <definedName name="OAE" localSheetId="10">#REF!</definedName>
    <definedName name="OAE">#REF!</definedName>
    <definedName name="oae.vc" localSheetId="5">#REF!</definedName>
    <definedName name="oae.vc" localSheetId="0">#REF!</definedName>
    <definedName name="oae.vc" localSheetId="10">#REF!</definedName>
    <definedName name="oae.vc">#REF!</definedName>
    <definedName name="Oaesp2" localSheetId="5">#REF!</definedName>
    <definedName name="Oaesp2" localSheetId="0">#REF!</definedName>
    <definedName name="Oaesp2" localSheetId="10">#REF!</definedName>
    <definedName name="Oaesp2">#REF!</definedName>
    <definedName name="OBJETO" localSheetId="5">#REF!</definedName>
    <definedName name="OBJETO" localSheetId="0">#REF!</definedName>
    <definedName name="OBJETO" localSheetId="10">#REF!</definedName>
    <definedName name="OBJETO">#REF!</definedName>
    <definedName name="OBJETOA" localSheetId="5">#REF!</definedName>
    <definedName name="OBJETOA" localSheetId="0">#REF!</definedName>
    <definedName name="OBJETOA" localSheetId="10">#REF!</definedName>
    <definedName name="OBJETOA">#REF!</definedName>
    <definedName name="OCOM" localSheetId="5">#REF!</definedName>
    <definedName name="OCOM" localSheetId="0">#REF!</definedName>
    <definedName name="OCOM" localSheetId="10">#REF!</definedName>
    <definedName name="OCOM">#REF!</definedName>
    <definedName name="Ocomp2" localSheetId="5">#REF!</definedName>
    <definedName name="Ocomp2" localSheetId="0">#REF!</definedName>
    <definedName name="Ocomp2" localSheetId="10">#REF!</definedName>
    <definedName name="Ocomp2">#REF!</definedName>
    <definedName name="oesp" localSheetId="5">#REF!</definedName>
    <definedName name="oesp" localSheetId="0">#REF!</definedName>
    <definedName name="oesp" localSheetId="10">#REF!</definedName>
    <definedName name="oesp">#REF!</definedName>
    <definedName name="OP" localSheetId="5">#REF!</definedName>
    <definedName name="OP" localSheetId="0">#REF!</definedName>
    <definedName name="OP" localSheetId="10">#REF!</definedName>
    <definedName name="OP">#REF!</definedName>
    <definedName name="OPA" localSheetId="5">#REF!</definedName>
    <definedName name="OPA" localSheetId="0">#REF!</definedName>
    <definedName name="OPA" localSheetId="10">#REF!</definedName>
    <definedName name="OPA">#REF!</definedName>
    <definedName name="Orçamento" localSheetId="5">#REF!</definedName>
    <definedName name="Orçamento" localSheetId="0">#REF!</definedName>
    <definedName name="Orçamento" localSheetId="10">#REF!</definedName>
    <definedName name="Orçamento">#REF!</definedName>
    <definedName name="org" localSheetId="5">#REF!</definedName>
    <definedName name="org" localSheetId="0">#REF!</definedName>
    <definedName name="org" localSheetId="10">#REF!</definedName>
    <definedName name="org">#REF!</definedName>
    <definedName name="ÓRGÃO" localSheetId="5">#REF!</definedName>
    <definedName name="ÓRGÃO" localSheetId="0">#REF!</definedName>
    <definedName name="ÓRGÃO" localSheetId="10">#REF!</definedName>
    <definedName name="ÓRGÃO">#REF!</definedName>
    <definedName name="Orla" localSheetId="5">#REF!</definedName>
    <definedName name="Orla" localSheetId="0">#REF!</definedName>
    <definedName name="Orla" localSheetId="10">#REF!</definedName>
    <definedName name="Orla">#REF!</definedName>
    <definedName name="orlando" localSheetId="5">#REF!</definedName>
    <definedName name="orlando" localSheetId="0">#REF!</definedName>
    <definedName name="orlando" localSheetId="10">#REF!</definedName>
    <definedName name="orlando">#REF!</definedName>
    <definedName name="pav" localSheetId="5">#REF!</definedName>
    <definedName name="pav" localSheetId="0">#REF!</definedName>
    <definedName name="pav" localSheetId="10">#REF!</definedName>
    <definedName name="pav">#REF!</definedName>
    <definedName name="PAV_2" localSheetId="5">[2]RELATÓRIO!#REF!</definedName>
    <definedName name="PAV_2" localSheetId="0">[2]RELATÓRIO!#REF!</definedName>
    <definedName name="PAV_2" localSheetId="10">[2]RELATÓRIO!#REF!</definedName>
    <definedName name="PAV_2">[2]RELATÓRIO!#REF!</definedName>
    <definedName name="PAV_EMISS3_S" localSheetId="5">#REF!</definedName>
    <definedName name="PAV_EMISS3_S" localSheetId="0">#REF!</definedName>
    <definedName name="PAV_EMISS3_S" localSheetId="10">#REF!</definedName>
    <definedName name="PAV_EMISS3_S">#REF!</definedName>
    <definedName name="pavi" localSheetId="5">#REF!</definedName>
    <definedName name="pavi" localSheetId="0">#REF!</definedName>
    <definedName name="pavi" localSheetId="10">#REF!</definedName>
    <definedName name="pavi">#REF!</definedName>
    <definedName name="Pavi2" localSheetId="5">#REF!</definedName>
    <definedName name="Pavi2" localSheetId="0">#REF!</definedName>
    <definedName name="Pavi2" localSheetId="10">#REF!</definedName>
    <definedName name="Pavi2">#REF!</definedName>
    <definedName name="PAVIM_EMISS" localSheetId="5">#REF!</definedName>
    <definedName name="PAVIM_EMISS" localSheetId="0">#REF!</definedName>
    <definedName name="PAVIM_EMISS" localSheetId="10">#REF!</definedName>
    <definedName name="PAVIM_EMISS">#REF!</definedName>
    <definedName name="PAVIM_EMISS2" localSheetId="5">#REF!</definedName>
    <definedName name="PAVIM_EMISS2" localSheetId="0">#REF!</definedName>
    <definedName name="PAVIM_EMISS2" localSheetId="10">#REF!</definedName>
    <definedName name="PAVIM_EMISS2">#REF!</definedName>
    <definedName name="PAVIMENTAÇÃO" localSheetId="5">#REF!</definedName>
    <definedName name="PAVIMENTAÇÃO" localSheetId="0">#REF!</definedName>
    <definedName name="PAVIMENTAÇÃO" localSheetId="10">#REF!</definedName>
    <definedName name="PAVIMENTAÇÃO">#REF!</definedName>
    <definedName name="PED" localSheetId="5">#REF!</definedName>
    <definedName name="PED" localSheetId="0">#REF!</definedName>
    <definedName name="PED" localSheetId="10">#REF!</definedName>
    <definedName name="PED">#REF!</definedName>
    <definedName name="PEDA" localSheetId="5">#REF!</definedName>
    <definedName name="PEDA" localSheetId="0">#REF!</definedName>
    <definedName name="PEDA" localSheetId="10">#REF!</definedName>
    <definedName name="PEDA">#REF!</definedName>
    <definedName name="PEDREIRA" localSheetId="5">#REF!</definedName>
    <definedName name="PEDREIRA" localSheetId="0">#REF!</definedName>
    <definedName name="PEDREIRA" localSheetId="10">#REF!</definedName>
    <definedName name="PEDREIRA">#REF!</definedName>
    <definedName name="Pia_cozinha" localSheetId="5">#REF!</definedName>
    <definedName name="Pia_cozinha" localSheetId="0">#REF!</definedName>
    <definedName name="Pia_cozinha" localSheetId="10">#REF!</definedName>
    <definedName name="Pia_cozinha">#REF!</definedName>
    <definedName name="Pilar" localSheetId="5">#REF!</definedName>
    <definedName name="Pilar" localSheetId="0">#REF!</definedName>
    <definedName name="Pilar" localSheetId="10">#REF!</definedName>
    <definedName name="Pilar">#REF!</definedName>
    <definedName name="pint_lig" localSheetId="5">#REF!</definedName>
    <definedName name="pint_lig" localSheetId="0">#REF!</definedName>
    <definedName name="pint_lig" localSheetId="10">#REF!</definedName>
    <definedName name="pint_lig">#REF!</definedName>
    <definedName name="Pintura_cal" localSheetId="5">#REF!</definedName>
    <definedName name="Pintura_cal" localSheetId="0">#REF!</definedName>
    <definedName name="Pintura_cal" localSheetId="10">#REF!</definedName>
    <definedName name="Pintura_cal">#REF!</definedName>
    <definedName name="Pintura_óleo" localSheetId="5">#REF!</definedName>
    <definedName name="Pintura_óleo" localSheetId="0">#REF!</definedName>
    <definedName name="Pintura_óleo" localSheetId="10">#REF!</definedName>
    <definedName name="Pintura_óleo">#REF!</definedName>
    <definedName name="Piso_cimentado" localSheetId="5">#REF!</definedName>
    <definedName name="Piso_cimentado" localSheetId="0">#REF!</definedName>
    <definedName name="Piso_cimentado" localSheetId="10">#REF!</definedName>
    <definedName name="Piso_cimentado">#REF!</definedName>
    <definedName name="Placa_de_cimento" localSheetId="5">#REF!</definedName>
    <definedName name="Placa_de_cimento" localSheetId="0">#REF!</definedName>
    <definedName name="Placa_de_cimento" localSheetId="10">#REF!</definedName>
    <definedName name="Placa_de_cimento">#REF!</definedName>
    <definedName name="PLACA_OBRA" localSheetId="5">#REF!</definedName>
    <definedName name="PLACA_OBRA" localSheetId="0">#REF!</definedName>
    <definedName name="PLACA_OBRA" localSheetId="10">#REF!</definedName>
    <definedName name="PLACA_OBRA">#REF!</definedName>
    <definedName name="plan">[20]Orçamento!$A$17:$D$80</definedName>
    <definedName name="plan2">[20]Orçamento!$A$17:$D$80</definedName>
    <definedName name="plan3">[20]Orçamento!$A$17:$D$80</definedName>
    <definedName name="plano" localSheetId="5">#REF!</definedName>
    <definedName name="plano" localSheetId="0">#REF!</definedName>
    <definedName name="plano" localSheetId="10">#REF!</definedName>
    <definedName name="plano">#REF!</definedName>
    <definedName name="POÇO_VISIT" localSheetId="5">#REF!</definedName>
    <definedName name="POÇO_VISIT" localSheetId="0">#REF!</definedName>
    <definedName name="POÇO_VISIT" localSheetId="10">#REF!</definedName>
    <definedName name="POÇO_VISIT">#REF!</definedName>
    <definedName name="PRAZO" localSheetId="5">#REF!</definedName>
    <definedName name="PRAZO" localSheetId="0">#REF!</definedName>
    <definedName name="PRAZO" localSheetId="10">#REF!</definedName>
    <definedName name="PRAZO">#REF!</definedName>
    <definedName name="PRAZOA" localSheetId="5">#REF!</definedName>
    <definedName name="PRAZOA" localSheetId="0">#REF!</definedName>
    <definedName name="PRAZOA" localSheetId="10">#REF!</definedName>
    <definedName name="PRAZOA">#REF!</definedName>
    <definedName name="Preço_Unitário" localSheetId="5">#REF!</definedName>
    <definedName name="Preço_Unitário" localSheetId="0">#REF!</definedName>
    <definedName name="Preço_Unitário" localSheetId="10">#REF!</definedName>
    <definedName name="Preço_Unitário">#REF!</definedName>
    <definedName name="Print_Area_MI" localSheetId="5">#REF!</definedName>
    <definedName name="Print_Area_MI" localSheetId="0">#REF!</definedName>
    <definedName name="Print_Area_MI" localSheetId="10">#REF!</definedName>
    <definedName name="Print_Area_MI">#REF!</definedName>
    <definedName name="pz" localSheetId="5">#REF!</definedName>
    <definedName name="pz" localSheetId="0">#REF!</definedName>
    <definedName name="pz" localSheetId="10">#REF!</definedName>
    <definedName name="pz">#REF!</definedName>
    <definedName name="QUANT_acumu" localSheetId="5">#REF!</definedName>
    <definedName name="QUANT_acumu" localSheetId="0">#REF!</definedName>
    <definedName name="QUANT_acumu" localSheetId="10">#REF!</definedName>
    <definedName name="QUANT_acumu">#REF!</definedName>
    <definedName name="Quantidade" localSheetId="5">#REF!</definedName>
    <definedName name="Quantidade" localSheetId="0">#REF!</definedName>
    <definedName name="Quantidade" localSheetId="10">#REF!</definedName>
    <definedName name="Quantidade">#REF!</definedName>
    <definedName name="quantidades" localSheetId="5">#REF!</definedName>
    <definedName name="quantidades" localSheetId="0">#REF!</definedName>
    <definedName name="quantidades" localSheetId="10">#REF!</definedName>
    <definedName name="quantidades">#REF!</definedName>
    <definedName name="Radier" localSheetId="5">#REF!</definedName>
    <definedName name="Radier" localSheetId="0">#REF!</definedName>
    <definedName name="Radier" localSheetId="10">#REF!</definedName>
    <definedName name="Radier">#REF!</definedName>
    <definedName name="rc.cerca" localSheetId="5">#REF!</definedName>
    <definedName name="rc.cerca" localSheetId="0">#REF!</definedName>
    <definedName name="rc.cerca" localSheetId="10">#REF!</definedName>
    <definedName name="rc.cerca">#REF!</definedName>
    <definedName name="rea" localSheetId="5">#REF!</definedName>
    <definedName name="rea" localSheetId="0">#REF!</definedName>
    <definedName name="rea" localSheetId="10">#REF!</definedName>
    <definedName name="rea">#REF!</definedName>
    <definedName name="REAJ" localSheetId="5">#REF!</definedName>
    <definedName name="REAJ" localSheetId="0">#REF!</definedName>
    <definedName name="REAJ" localSheetId="10">#REF!</definedName>
    <definedName name="REAJ">#REF!</definedName>
    <definedName name="Reaterro" localSheetId="5">#REF!</definedName>
    <definedName name="Reaterro" localSheetId="0">#REF!</definedName>
    <definedName name="Reaterro" localSheetId="10">#REF!</definedName>
    <definedName name="Reaterro">#REF!</definedName>
    <definedName name="Reboco" localSheetId="5">#REF!</definedName>
    <definedName name="Reboco" localSheetId="0">#REF!</definedName>
    <definedName name="Reboco" localSheetId="10">#REF!</definedName>
    <definedName name="Reboco">#REF!</definedName>
    <definedName name="REDE_COLETORA_MAT" localSheetId="5">#REF!</definedName>
    <definedName name="REDE_COLETORA_MAT" localSheetId="0">#REF!</definedName>
    <definedName name="REDE_COLETORA_MAT" localSheetId="10">#REF!</definedName>
    <definedName name="REDE_COLETORA_MAT">#REF!</definedName>
    <definedName name="REDE_COLETORA_MATERIAL">'[11]REDE COLETORA'!$H$67</definedName>
    <definedName name="REDE_COLETORA_SERV" localSheetId="5">#REF!</definedName>
    <definedName name="REDE_COLETORA_SERV" localSheetId="0">#REF!</definedName>
    <definedName name="REDE_COLETORA_SERV" localSheetId="10">#REF!</definedName>
    <definedName name="REDE_COLETORA_SERV">#REF!</definedName>
    <definedName name="REDE_COLETORA_SERVIÇOS">'[11]REDE COLETORA'!$H$9</definedName>
    <definedName name="REG" localSheetId="5">#REF!</definedName>
    <definedName name="REG" localSheetId="0">#REF!</definedName>
    <definedName name="REG" localSheetId="10">#REF!</definedName>
    <definedName name="REG">#REF!</definedName>
    <definedName name="REGULA" localSheetId="5">#REF!</definedName>
    <definedName name="REGULA" localSheetId="0">#REF!</definedName>
    <definedName name="REGULA" localSheetId="10">#REF!</definedName>
    <definedName name="REGULA">#REF!</definedName>
    <definedName name="RELATÓRIO_DOS_SERVIÇOS_EXECUTADOS" localSheetId="5">#REF!</definedName>
    <definedName name="RELATÓRIO_DOS_SERVIÇOS_EXECUTADOS" localSheetId="0">#REF!</definedName>
    <definedName name="RELATÓRIO_DOS_SERVIÇOS_EXECUTADOS" localSheetId="10">#REF!</definedName>
    <definedName name="RELATÓRIO_DOS_SERVIÇOS_EXECUTADOS">#REF!</definedName>
    <definedName name="remoc" localSheetId="5">#REF!</definedName>
    <definedName name="remoc" localSheetId="0">#REF!</definedName>
    <definedName name="remoc" localSheetId="10">#REF!</definedName>
    <definedName name="remoc">#REF!</definedName>
    <definedName name="REMOÇÃO" localSheetId="5">#REF!</definedName>
    <definedName name="REMOÇÃO" localSheetId="0">#REF!</definedName>
    <definedName name="REMOÇÃO" localSheetId="10">#REF!</definedName>
    <definedName name="REMOÇÃO">#REF!</definedName>
    <definedName name="resumo3" localSheetId="5" hidden="1">{#N/A,#N/A,FALSE,"MO (2)"}</definedName>
    <definedName name="resumo3" localSheetId="0" hidden="1">{#N/A,#N/A,FALSE,"MO (2)"}</definedName>
    <definedName name="resumo3" localSheetId="10" hidden="1">{#N/A,#N/A,FALSE,"MO (2)"}</definedName>
    <definedName name="resumo3" localSheetId="11" hidden="1">{#N/A,#N/A,FALSE,"MO (2)"}</definedName>
    <definedName name="resumo3" localSheetId="30" hidden="1">{#N/A,#N/A,FALSE,"MO (2)"}</definedName>
    <definedName name="resumo3" localSheetId="31" hidden="1">{#N/A,#N/A,FALSE,"MO (2)"}</definedName>
    <definedName name="resumo3" hidden="1">{#N/A,#N/A,FALSE,"MO (2)"}</definedName>
    <definedName name="resumo3_1" localSheetId="5" hidden="1">{#N/A,#N/A,FALSE,"MO (2)"}</definedName>
    <definedName name="resumo3_1" localSheetId="0" hidden="1">{#N/A,#N/A,FALSE,"MO (2)"}</definedName>
    <definedName name="resumo3_1" localSheetId="10" hidden="1">{#N/A,#N/A,FALSE,"MO (2)"}</definedName>
    <definedName name="resumo3_1" localSheetId="11" hidden="1">{#N/A,#N/A,FALSE,"MO (2)"}</definedName>
    <definedName name="resumo3_1" localSheetId="30" hidden="1">{#N/A,#N/A,FALSE,"MO (2)"}</definedName>
    <definedName name="resumo3_1" localSheetId="31" hidden="1">{#N/A,#N/A,FALSE,"MO (2)"}</definedName>
    <definedName name="resumo3_1" hidden="1">{#N/A,#N/A,FALSE,"MO (2)"}</definedName>
    <definedName name="resumou" localSheetId="11" hidden="1">{#N/A,#N/A,TRUE,"Plan1"}</definedName>
    <definedName name="resumou" localSheetId="30" hidden="1">{#N/A,#N/A,TRUE,"Plan1"}</definedName>
    <definedName name="resumou" localSheetId="31" hidden="1">{#N/A,#N/A,TRUE,"Plan1"}</definedName>
    <definedName name="resumou" hidden="1">{#N/A,#N/A,TRUE,"Plan1"}</definedName>
    <definedName name="RL1C" localSheetId="5">#REF!</definedName>
    <definedName name="RL1C" localSheetId="0">#REF!</definedName>
    <definedName name="RL1C" localSheetId="10">#REF!</definedName>
    <definedName name="RL1C">#REF!</definedName>
    <definedName name="ROB" localSheetId="10">'[21]Mat Asf'!$C$36</definedName>
    <definedName name="ROB">'[22]Mat Asf'!$C$36</definedName>
    <definedName name="ROBERTO" localSheetId="10">'[21]Mat Asf'!$C$37</definedName>
    <definedName name="ROBERTO">'[22]Mat Asf'!$C$37</definedName>
    <definedName name="rod" localSheetId="5">#REF!</definedName>
    <definedName name="rod" localSheetId="0">#REF!</definedName>
    <definedName name="rod" localSheetId="10">#REF!</definedName>
    <definedName name="rod">#REF!</definedName>
    <definedName name="rodo" localSheetId="5">#REF!</definedName>
    <definedName name="rodo" localSheetId="0">#REF!</definedName>
    <definedName name="rodo" localSheetId="10">#REF!</definedName>
    <definedName name="rodo">#REF!</definedName>
    <definedName name="RODO1" localSheetId="5">#REF!</definedName>
    <definedName name="RODO1" localSheetId="0">#REF!</definedName>
    <definedName name="RODO1" localSheetId="10">#REF!</definedName>
    <definedName name="RODO1">#REF!</definedName>
    <definedName name="RODO2" localSheetId="5">#REF!</definedName>
    <definedName name="RODO2" localSheetId="0">#REF!</definedName>
    <definedName name="RODO2" localSheetId="10">#REF!</definedName>
    <definedName name="RODO2">#REF!</definedName>
    <definedName name="RODOA" localSheetId="5">#REF!</definedName>
    <definedName name="RODOA" localSheetId="0">#REF!</definedName>
    <definedName name="RODOA" localSheetId="10">#REF!</definedName>
    <definedName name="RODOA">#REF!</definedName>
    <definedName name="RODOA1" localSheetId="5">#REF!</definedName>
    <definedName name="RODOA1" localSheetId="0">#REF!</definedName>
    <definedName name="RODOA1" localSheetId="10">#REF!</definedName>
    <definedName name="RODOA1">#REF!</definedName>
    <definedName name="rodov" localSheetId="5">#REF!</definedName>
    <definedName name="rodov" localSheetId="0">#REF!</definedName>
    <definedName name="rodov" localSheetId="10">#REF!</definedName>
    <definedName name="rodov">#REF!</definedName>
    <definedName name="RODOVIA1">'[9]DADOS DE ENTRADA CONCORRÊNCIA'!$B$15</definedName>
    <definedName name="RODOVIA2">'[9]DADOS DE ENTRADA CONCORRÊNCIA'!$B$22</definedName>
    <definedName name="Rodoviário">'[23]Serviços Rodoviários'!$A$3:$E$144</definedName>
    <definedName name="rr.2c_pint" localSheetId="5">#REF!</definedName>
    <definedName name="rr.2c_pint" localSheetId="0">#REF!</definedName>
    <definedName name="rr.2c_pint" localSheetId="10">#REF!</definedName>
    <definedName name="rr.2c_pint">#REF!</definedName>
    <definedName name="RR_2C" localSheetId="5">#REF!</definedName>
    <definedName name="RR_2C" localSheetId="0">#REF!</definedName>
    <definedName name="RR_2C" localSheetId="10">#REF!</definedName>
    <definedName name="RR_2C">#REF!</definedName>
    <definedName name="RR1C" localSheetId="5">#REF!</definedName>
    <definedName name="RR1C" localSheetId="0">#REF!</definedName>
    <definedName name="RR1C" localSheetId="10">#REF!</definedName>
    <definedName name="RR1C">#REF!</definedName>
    <definedName name="RRD" localSheetId="5">#REF!</definedName>
    <definedName name="RRD" localSheetId="0">#REF!</definedName>
    <definedName name="RRD" localSheetId="10">#REF!</definedName>
    <definedName name="RRD">#REF!</definedName>
    <definedName name="s">[24]Serviços!$A$3:$F$1403</definedName>
    <definedName name="SADERA" localSheetId="5" hidden="1">{#N/A,#N/A,FALSE,"MO (2)"}</definedName>
    <definedName name="SADERA" localSheetId="0" hidden="1">{#N/A,#N/A,FALSE,"MO (2)"}</definedName>
    <definedName name="SADERA" localSheetId="10" hidden="1">{#N/A,#N/A,FALSE,"MO (2)"}</definedName>
    <definedName name="SADERA" localSheetId="11" hidden="1">{#N/A,#N/A,FALSE,"MO (2)"}</definedName>
    <definedName name="SADERA" localSheetId="30" hidden="1">{#N/A,#N/A,FALSE,"MO (2)"}</definedName>
    <definedName name="SADERA" localSheetId="31" hidden="1">{#N/A,#N/A,FALSE,"MO (2)"}</definedName>
    <definedName name="SADERA" hidden="1">{#N/A,#N/A,FALSE,"MO (2)"}</definedName>
    <definedName name="SADERA_1" localSheetId="5" hidden="1">{#N/A,#N/A,FALSE,"MO (2)"}</definedName>
    <definedName name="SADERA_1" localSheetId="0" hidden="1">{#N/A,#N/A,FALSE,"MO (2)"}</definedName>
    <definedName name="SADERA_1" localSheetId="10" hidden="1">{#N/A,#N/A,FALSE,"MO (2)"}</definedName>
    <definedName name="SADERA_1" localSheetId="11" hidden="1">{#N/A,#N/A,FALSE,"MO (2)"}</definedName>
    <definedName name="SADERA_1" localSheetId="30" hidden="1">{#N/A,#N/A,FALSE,"MO (2)"}</definedName>
    <definedName name="SADERA_1" localSheetId="31" hidden="1">{#N/A,#N/A,FALSE,"MO (2)"}</definedName>
    <definedName name="SADERA_1" hidden="1">{#N/A,#N/A,FALSE,"MO (2)"}</definedName>
    <definedName name="saderadesa" localSheetId="5" hidden="1">{#N/A,#N/A,FALSE,"MO (2)"}</definedName>
    <definedName name="saderadesa" localSheetId="0" hidden="1">{#N/A,#N/A,FALSE,"MO (2)"}</definedName>
    <definedName name="saderadesa" localSheetId="10" hidden="1">{#N/A,#N/A,FALSE,"MO (2)"}</definedName>
    <definedName name="saderadesa" localSheetId="11" hidden="1">{#N/A,#N/A,FALSE,"MO (2)"}</definedName>
    <definedName name="saderadesa" localSheetId="30" hidden="1">{#N/A,#N/A,FALSE,"MO (2)"}</definedName>
    <definedName name="saderadesa" localSheetId="31" hidden="1">{#N/A,#N/A,FALSE,"MO (2)"}</definedName>
    <definedName name="saderadesa" hidden="1">{#N/A,#N/A,FALSE,"MO (2)"}</definedName>
    <definedName name="saderadesa_1" localSheetId="5" hidden="1">{#N/A,#N/A,FALSE,"MO (2)"}</definedName>
    <definedName name="saderadesa_1" localSheetId="0" hidden="1">{#N/A,#N/A,FALSE,"MO (2)"}</definedName>
    <definedName name="saderadesa_1" localSheetId="10" hidden="1">{#N/A,#N/A,FALSE,"MO (2)"}</definedName>
    <definedName name="saderadesa_1" localSheetId="11" hidden="1">{#N/A,#N/A,FALSE,"MO (2)"}</definedName>
    <definedName name="saderadesa_1" localSheetId="30" hidden="1">{#N/A,#N/A,FALSE,"MO (2)"}</definedName>
    <definedName name="saderadesa_1" localSheetId="31" hidden="1">{#N/A,#N/A,FALSE,"MO (2)"}</definedName>
    <definedName name="saderadesa_1" hidden="1">{#N/A,#N/A,FALSE,"MO (2)"}</definedName>
    <definedName name="saderasa" localSheetId="5" hidden="1">{#N/A,#N/A,FALSE,"MO (2)"}</definedName>
    <definedName name="saderasa" localSheetId="0" hidden="1">{#N/A,#N/A,FALSE,"MO (2)"}</definedName>
    <definedName name="saderasa" localSheetId="10" hidden="1">{#N/A,#N/A,FALSE,"MO (2)"}</definedName>
    <definedName name="saderasa" localSheetId="11" hidden="1">{#N/A,#N/A,FALSE,"MO (2)"}</definedName>
    <definedName name="saderasa" localSheetId="30" hidden="1">{#N/A,#N/A,FALSE,"MO (2)"}</definedName>
    <definedName name="saderasa" localSheetId="31" hidden="1">{#N/A,#N/A,FALSE,"MO (2)"}</definedName>
    <definedName name="saderasa" hidden="1">{#N/A,#N/A,FALSE,"MO (2)"}</definedName>
    <definedName name="saderasa_1" localSheetId="5" hidden="1">{#N/A,#N/A,FALSE,"MO (2)"}</definedName>
    <definedName name="saderasa_1" localSheetId="0" hidden="1">{#N/A,#N/A,FALSE,"MO (2)"}</definedName>
    <definedName name="saderasa_1" localSheetId="10" hidden="1">{#N/A,#N/A,FALSE,"MO (2)"}</definedName>
    <definedName name="saderasa_1" localSheetId="11" hidden="1">{#N/A,#N/A,FALSE,"MO (2)"}</definedName>
    <definedName name="saderasa_1" localSheetId="30" hidden="1">{#N/A,#N/A,FALSE,"MO (2)"}</definedName>
    <definedName name="saderasa_1" localSheetId="31" hidden="1">{#N/A,#N/A,FALSE,"MO (2)"}</definedName>
    <definedName name="saderasa_1" hidden="1">{#N/A,#N/A,FALSE,"MO (2)"}</definedName>
    <definedName name="saderefe" localSheetId="5" hidden="1">{#N/A,#N/A,FALSE,"MO (2)"}</definedName>
    <definedName name="saderefe" localSheetId="0" hidden="1">{#N/A,#N/A,FALSE,"MO (2)"}</definedName>
    <definedName name="saderefe" localSheetId="10" hidden="1">{#N/A,#N/A,FALSE,"MO (2)"}</definedName>
    <definedName name="saderefe" localSheetId="11" hidden="1">{#N/A,#N/A,FALSE,"MO (2)"}</definedName>
    <definedName name="saderefe" localSheetId="30" hidden="1">{#N/A,#N/A,FALSE,"MO (2)"}</definedName>
    <definedName name="saderefe" localSheetId="31" hidden="1">{#N/A,#N/A,FALSE,"MO (2)"}</definedName>
    <definedName name="saderefe" hidden="1">{#N/A,#N/A,FALSE,"MO (2)"}</definedName>
    <definedName name="saderefe_1" localSheetId="5" hidden="1">{#N/A,#N/A,FALSE,"MO (2)"}</definedName>
    <definedName name="saderefe_1" localSheetId="0" hidden="1">{#N/A,#N/A,FALSE,"MO (2)"}</definedName>
    <definedName name="saderefe_1" localSheetId="10" hidden="1">{#N/A,#N/A,FALSE,"MO (2)"}</definedName>
    <definedName name="saderefe_1" localSheetId="11" hidden="1">{#N/A,#N/A,FALSE,"MO (2)"}</definedName>
    <definedName name="saderefe_1" localSheetId="30" hidden="1">{#N/A,#N/A,FALSE,"MO (2)"}</definedName>
    <definedName name="saderefe_1" localSheetId="31" hidden="1">{#N/A,#N/A,FALSE,"MO (2)"}</definedName>
    <definedName name="saderefe_1" hidden="1">{#N/A,#N/A,FALSE,"MO (2)"}</definedName>
    <definedName name="salario">[2]RELATÓRIO!$H$3</definedName>
    <definedName name="SALÁRIOMINIMO" localSheetId="5">#REF!</definedName>
    <definedName name="SALÁRIOMINIMO" localSheetId="0">#REF!</definedName>
    <definedName name="SALÁRIOMINIMO" localSheetId="10">#REF!</definedName>
    <definedName name="SALÁRIOMINIMO">#REF!</definedName>
    <definedName name="salete" localSheetId="5" hidden="1">{#N/A,#N/A,FALSE,"MO (2)"}</definedName>
    <definedName name="salete" localSheetId="0" hidden="1">{#N/A,#N/A,FALSE,"MO (2)"}</definedName>
    <definedName name="salete" localSheetId="10" hidden="1">{#N/A,#N/A,FALSE,"MO (2)"}</definedName>
    <definedName name="salete" localSheetId="11" hidden="1">{#N/A,#N/A,FALSE,"MO (2)"}</definedName>
    <definedName name="salete" localSheetId="30" hidden="1">{#N/A,#N/A,FALSE,"MO (2)"}</definedName>
    <definedName name="salete" localSheetId="31" hidden="1">{#N/A,#N/A,FALSE,"MO (2)"}</definedName>
    <definedName name="salete" hidden="1">{#N/A,#N/A,FALSE,"MO (2)"}</definedName>
    <definedName name="salete.com" localSheetId="5" hidden="1">{#N/A,#N/A,FALSE,"MO (2)"}</definedName>
    <definedName name="salete.com" localSheetId="0" hidden="1">{#N/A,#N/A,FALSE,"MO (2)"}</definedName>
    <definedName name="salete.com" localSheetId="10" hidden="1">{#N/A,#N/A,FALSE,"MO (2)"}</definedName>
    <definedName name="salete.com" localSheetId="11" hidden="1">{#N/A,#N/A,FALSE,"MO (2)"}</definedName>
    <definedName name="salete.com" localSheetId="30" hidden="1">{#N/A,#N/A,FALSE,"MO (2)"}</definedName>
    <definedName name="salete.com" localSheetId="31" hidden="1">{#N/A,#N/A,FALSE,"MO (2)"}</definedName>
    <definedName name="salete.com" hidden="1">{#N/A,#N/A,FALSE,"MO (2)"}</definedName>
    <definedName name="salete.com_1" localSheetId="5" hidden="1">{#N/A,#N/A,FALSE,"MO (2)"}</definedName>
    <definedName name="salete.com_1" localSheetId="0" hidden="1">{#N/A,#N/A,FALSE,"MO (2)"}</definedName>
    <definedName name="salete.com_1" localSheetId="10" hidden="1">{#N/A,#N/A,FALSE,"MO (2)"}</definedName>
    <definedName name="salete.com_1" localSheetId="11" hidden="1">{#N/A,#N/A,FALSE,"MO (2)"}</definedName>
    <definedName name="salete.com_1" localSheetId="30" hidden="1">{#N/A,#N/A,FALSE,"MO (2)"}</definedName>
    <definedName name="salete.com_1" localSheetId="31" hidden="1">{#N/A,#N/A,FALSE,"MO (2)"}</definedName>
    <definedName name="salete.com_1" hidden="1">{#N/A,#N/A,FALSE,"MO (2)"}</definedName>
    <definedName name="salete_1" localSheetId="5" hidden="1">{#N/A,#N/A,FALSE,"MO (2)"}</definedName>
    <definedName name="salete_1" localSheetId="0" hidden="1">{#N/A,#N/A,FALSE,"MO (2)"}</definedName>
    <definedName name="salete_1" localSheetId="10" hidden="1">{#N/A,#N/A,FALSE,"MO (2)"}</definedName>
    <definedName name="salete_1" localSheetId="11" hidden="1">{#N/A,#N/A,FALSE,"MO (2)"}</definedName>
    <definedName name="salete_1" localSheetId="30" hidden="1">{#N/A,#N/A,FALSE,"MO (2)"}</definedName>
    <definedName name="salete_1" localSheetId="31" hidden="1">{#N/A,#N/A,FALSE,"MO (2)"}</definedName>
    <definedName name="salete_1" hidden="1">{#N/A,#N/A,FALSE,"MO (2)"}</definedName>
    <definedName name="salete333" localSheetId="5" hidden="1">{#N/A,#N/A,FALSE,"MO (2)"}</definedName>
    <definedName name="salete333" localSheetId="0" hidden="1">{#N/A,#N/A,FALSE,"MO (2)"}</definedName>
    <definedName name="salete333" localSheetId="10" hidden="1">{#N/A,#N/A,FALSE,"MO (2)"}</definedName>
    <definedName name="salete333" localSheetId="11" hidden="1">{#N/A,#N/A,FALSE,"MO (2)"}</definedName>
    <definedName name="salete333" localSheetId="30" hidden="1">{#N/A,#N/A,FALSE,"MO (2)"}</definedName>
    <definedName name="salete333" localSheetId="31" hidden="1">{#N/A,#N/A,FALSE,"MO (2)"}</definedName>
    <definedName name="salete333" hidden="1">{#N/A,#N/A,FALSE,"MO (2)"}</definedName>
    <definedName name="salete333_1" localSheetId="5" hidden="1">{#N/A,#N/A,FALSE,"MO (2)"}</definedName>
    <definedName name="salete333_1" localSheetId="0" hidden="1">{#N/A,#N/A,FALSE,"MO (2)"}</definedName>
    <definedName name="salete333_1" localSheetId="10" hidden="1">{#N/A,#N/A,FALSE,"MO (2)"}</definedName>
    <definedName name="salete333_1" localSheetId="11" hidden="1">{#N/A,#N/A,FALSE,"MO (2)"}</definedName>
    <definedName name="salete333_1" localSheetId="30" hidden="1">{#N/A,#N/A,FALSE,"MO (2)"}</definedName>
    <definedName name="salete333_1" localSheetId="31" hidden="1">{#N/A,#N/A,FALSE,"MO (2)"}</definedName>
    <definedName name="salete333_1" hidden="1">{#N/A,#N/A,FALSE,"MO (2)"}</definedName>
    <definedName name="SASA" localSheetId="5" hidden="1">{#N/A,#N/A,FALSE,"MO (2)"}</definedName>
    <definedName name="SASA" localSheetId="0" hidden="1">{#N/A,#N/A,FALSE,"MO (2)"}</definedName>
    <definedName name="SASA" localSheetId="10" hidden="1">{#N/A,#N/A,FALSE,"MO (2)"}</definedName>
    <definedName name="SASA" localSheetId="11" hidden="1">{#N/A,#N/A,FALSE,"MO (2)"}</definedName>
    <definedName name="SASA" localSheetId="30" hidden="1">{#N/A,#N/A,FALSE,"MO (2)"}</definedName>
    <definedName name="SASA" localSheetId="31" hidden="1">{#N/A,#N/A,FALSE,"MO (2)"}</definedName>
    <definedName name="SASA" hidden="1">{#N/A,#N/A,FALSE,"MO (2)"}</definedName>
    <definedName name="sasa.com" localSheetId="5" hidden="1">{#N/A,#N/A,FALSE,"MO (2)"}</definedName>
    <definedName name="sasa.com" localSheetId="0" hidden="1">{#N/A,#N/A,FALSE,"MO (2)"}</definedName>
    <definedName name="sasa.com" localSheetId="10" hidden="1">{#N/A,#N/A,FALSE,"MO (2)"}</definedName>
    <definedName name="sasa.com" localSheetId="11" hidden="1">{#N/A,#N/A,FALSE,"MO (2)"}</definedName>
    <definedName name="sasa.com" localSheetId="30" hidden="1">{#N/A,#N/A,FALSE,"MO (2)"}</definedName>
    <definedName name="sasa.com" localSheetId="31" hidden="1">{#N/A,#N/A,FALSE,"MO (2)"}</definedName>
    <definedName name="sasa.com" hidden="1">{#N/A,#N/A,FALSE,"MO (2)"}</definedName>
    <definedName name="sasa.com_1" localSheetId="5" hidden="1">{#N/A,#N/A,FALSE,"MO (2)"}</definedName>
    <definedName name="sasa.com_1" localSheetId="0" hidden="1">{#N/A,#N/A,FALSE,"MO (2)"}</definedName>
    <definedName name="sasa.com_1" localSheetId="10" hidden="1">{#N/A,#N/A,FALSE,"MO (2)"}</definedName>
    <definedName name="sasa.com_1" localSheetId="11" hidden="1">{#N/A,#N/A,FALSE,"MO (2)"}</definedName>
    <definedName name="sasa.com_1" localSheetId="30" hidden="1">{#N/A,#N/A,FALSE,"MO (2)"}</definedName>
    <definedName name="sasa.com_1" localSheetId="31" hidden="1">{#N/A,#N/A,FALSE,"MO (2)"}</definedName>
    <definedName name="sasa.com_1" hidden="1">{#N/A,#N/A,FALSE,"MO (2)"}</definedName>
    <definedName name="SASA_1" localSheetId="5" hidden="1">{#N/A,#N/A,FALSE,"MO (2)"}</definedName>
    <definedName name="SASA_1" localSheetId="0" hidden="1">{#N/A,#N/A,FALSE,"MO (2)"}</definedName>
    <definedName name="SASA_1" localSheetId="10" hidden="1">{#N/A,#N/A,FALSE,"MO (2)"}</definedName>
    <definedName name="SASA_1" localSheetId="11" hidden="1">{#N/A,#N/A,FALSE,"MO (2)"}</definedName>
    <definedName name="SASA_1" localSheetId="30" hidden="1">{#N/A,#N/A,FALSE,"MO (2)"}</definedName>
    <definedName name="SASA_1" localSheetId="31" hidden="1">{#N/A,#N/A,FALSE,"MO (2)"}</definedName>
    <definedName name="SASA_1" hidden="1">{#N/A,#N/A,FALSE,"MO (2)"}</definedName>
    <definedName name="sasaasa" localSheetId="5" hidden="1">{#N/A,#N/A,FALSE,"MO (2)"}</definedName>
    <definedName name="sasaasa" localSheetId="0" hidden="1">{#N/A,#N/A,FALSE,"MO (2)"}</definedName>
    <definedName name="sasaasa" localSheetId="10" hidden="1">{#N/A,#N/A,FALSE,"MO (2)"}</definedName>
    <definedName name="sasaasa" localSheetId="11" hidden="1">{#N/A,#N/A,FALSE,"MO (2)"}</definedName>
    <definedName name="sasaasa" localSheetId="30" hidden="1">{#N/A,#N/A,FALSE,"MO (2)"}</definedName>
    <definedName name="sasaasa" localSheetId="31" hidden="1">{#N/A,#N/A,FALSE,"MO (2)"}</definedName>
    <definedName name="sasaasa" hidden="1">{#N/A,#N/A,FALSE,"MO (2)"}</definedName>
    <definedName name="sasaasa_1" localSheetId="5" hidden="1">{#N/A,#N/A,FALSE,"MO (2)"}</definedName>
    <definedName name="sasaasa_1" localSheetId="0" hidden="1">{#N/A,#N/A,FALSE,"MO (2)"}</definedName>
    <definedName name="sasaasa_1" localSheetId="10" hidden="1">{#N/A,#N/A,FALSE,"MO (2)"}</definedName>
    <definedName name="sasaasa_1" localSheetId="11" hidden="1">{#N/A,#N/A,FALSE,"MO (2)"}</definedName>
    <definedName name="sasaasa_1" localSheetId="30" hidden="1">{#N/A,#N/A,FALSE,"MO (2)"}</definedName>
    <definedName name="sasaasa_1" localSheetId="31" hidden="1">{#N/A,#N/A,FALSE,"MO (2)"}</definedName>
    <definedName name="sasaasa_1" hidden="1">{#N/A,#N/A,FALSE,"MO (2)"}</definedName>
    <definedName name="sasadasas" localSheetId="5" hidden="1">{#N/A,#N/A,FALSE,"MO (2)"}</definedName>
    <definedName name="sasadasas" localSheetId="0" hidden="1">{#N/A,#N/A,FALSE,"MO (2)"}</definedName>
    <definedName name="sasadasas" localSheetId="10" hidden="1">{#N/A,#N/A,FALSE,"MO (2)"}</definedName>
    <definedName name="sasadasas" localSheetId="11" hidden="1">{#N/A,#N/A,FALSE,"MO (2)"}</definedName>
    <definedName name="sasadasas" localSheetId="30" hidden="1">{#N/A,#N/A,FALSE,"MO (2)"}</definedName>
    <definedName name="sasadasas" localSheetId="31" hidden="1">{#N/A,#N/A,FALSE,"MO (2)"}</definedName>
    <definedName name="sasadasas" hidden="1">{#N/A,#N/A,FALSE,"MO (2)"}</definedName>
    <definedName name="sasadasas_1" localSheetId="5" hidden="1">{#N/A,#N/A,FALSE,"MO (2)"}</definedName>
    <definedName name="sasadasas_1" localSheetId="0" hidden="1">{#N/A,#N/A,FALSE,"MO (2)"}</definedName>
    <definedName name="sasadasas_1" localSheetId="10" hidden="1">{#N/A,#N/A,FALSE,"MO (2)"}</definedName>
    <definedName name="sasadasas_1" localSheetId="11" hidden="1">{#N/A,#N/A,FALSE,"MO (2)"}</definedName>
    <definedName name="sasadasas_1" localSheetId="30" hidden="1">{#N/A,#N/A,FALSE,"MO (2)"}</definedName>
    <definedName name="sasadasas_1" localSheetId="31" hidden="1">{#N/A,#N/A,FALSE,"MO (2)"}</definedName>
    <definedName name="sasadasas_1" hidden="1">{#N/A,#N/A,FALSE,"MO (2)"}</definedName>
    <definedName name="sasadefadesa" localSheetId="5" hidden="1">{#N/A,#N/A,FALSE,"MO (2)"}</definedName>
    <definedName name="sasadefadesa" localSheetId="0" hidden="1">{#N/A,#N/A,FALSE,"MO (2)"}</definedName>
    <definedName name="sasadefadesa" localSheetId="10" hidden="1">{#N/A,#N/A,FALSE,"MO (2)"}</definedName>
    <definedName name="sasadefadesa" localSheetId="11" hidden="1">{#N/A,#N/A,FALSE,"MO (2)"}</definedName>
    <definedName name="sasadefadesa" localSheetId="30" hidden="1">{#N/A,#N/A,FALSE,"MO (2)"}</definedName>
    <definedName name="sasadefadesa" localSheetId="31" hidden="1">{#N/A,#N/A,FALSE,"MO (2)"}</definedName>
    <definedName name="sasadefadesa" hidden="1">{#N/A,#N/A,FALSE,"MO (2)"}</definedName>
    <definedName name="sasadefadesa_1" localSheetId="5" hidden="1">{#N/A,#N/A,FALSE,"MO (2)"}</definedName>
    <definedName name="sasadefadesa_1" localSheetId="0" hidden="1">{#N/A,#N/A,FALSE,"MO (2)"}</definedName>
    <definedName name="sasadefadesa_1" localSheetId="10" hidden="1">{#N/A,#N/A,FALSE,"MO (2)"}</definedName>
    <definedName name="sasadefadesa_1" localSheetId="11" hidden="1">{#N/A,#N/A,FALSE,"MO (2)"}</definedName>
    <definedName name="sasadefadesa_1" localSheetId="30" hidden="1">{#N/A,#N/A,FALSE,"MO (2)"}</definedName>
    <definedName name="sasadefadesa_1" localSheetId="31" hidden="1">{#N/A,#N/A,FALSE,"MO (2)"}</definedName>
    <definedName name="sasadefadesa_1" hidden="1">{#N/A,#N/A,FALSE,"MO (2)"}</definedName>
    <definedName name="SASASA" localSheetId="11" hidden="1">{#N/A,#N/A,FALSE,"MO (2)"}</definedName>
    <definedName name="SASASA" localSheetId="30" hidden="1">{#N/A,#N/A,FALSE,"MO (2)"}</definedName>
    <definedName name="SASASA" localSheetId="31" hidden="1">{#N/A,#N/A,FALSE,"MO (2)"}</definedName>
    <definedName name="SASASA" hidden="1">{#N/A,#N/A,FALSE,"MO (2)"}</definedName>
    <definedName name="saux" localSheetId="5">#REF!</definedName>
    <definedName name="saux" localSheetId="0">#REF!</definedName>
    <definedName name="saux" localSheetId="10">#REF!</definedName>
    <definedName name="saux">#REF!</definedName>
    <definedName name="SB" localSheetId="5">#REF!</definedName>
    <definedName name="SB" localSheetId="0">#REF!</definedName>
    <definedName name="SB" localSheetId="10">#REF!</definedName>
    <definedName name="SB">#REF!</definedName>
    <definedName name="scon" localSheetId="5">#REF!</definedName>
    <definedName name="scon" localSheetId="0">#REF!</definedName>
    <definedName name="scon" localSheetId="10">#REF!</definedName>
    <definedName name="scon">#REF!</definedName>
    <definedName name="se">[25]Serviços!$A$3:$F$1403</definedName>
    <definedName name="segm">[26]dados!$B$5</definedName>
    <definedName name="segment" localSheetId="5">#REF!</definedName>
    <definedName name="segment" localSheetId="0">#REF!</definedName>
    <definedName name="segment" localSheetId="10">#REF!</definedName>
    <definedName name="segment">#REF!</definedName>
    <definedName name="SEGMENTO">'[9]DADOS DE ENTRADA CONCORRÊNCIA'!$B$19</definedName>
    <definedName name="SELO" localSheetId="5">'[16]QUADRO 04 - PLANILHAS PREÇOS'!#REF!</definedName>
    <definedName name="SELO" localSheetId="0">'[16]QUADRO 04 - PLANILHAS PREÇOS'!#REF!</definedName>
    <definedName name="SELO" localSheetId="10">'[16]QUADRO 04 - PLANILHAS PREÇOS'!#REF!</definedName>
    <definedName name="SELO">'[16]QUADRO 04 - PLANILHAS PREÇOS'!#REF!</definedName>
    <definedName name="SELOA" localSheetId="5">'[16]QUADRO 04 - PLANILHAS PREÇOS'!#REF!</definedName>
    <definedName name="SELOA" localSheetId="0">'[16]QUADRO 04 - PLANILHAS PREÇOS'!#REF!</definedName>
    <definedName name="SELOA" localSheetId="10">'[16]QUADRO 04 - PLANILHAS PREÇOS'!#REF!</definedName>
    <definedName name="SELOA">'[16]QUADRO 04 - PLANILHAS PREÇOS'!#REF!</definedName>
    <definedName name="SerP">[27]Serviços!$A$3:$F$1403</definedName>
    <definedName name="SERR">[28]Serviços!$A$3:$F$1403</definedName>
    <definedName name="serv">[27]Serviços!$A$3:$F$1403</definedName>
    <definedName name="servi">[27]Serviços!$A$3:$F$1403</definedName>
    <definedName name="ServiçoD">[27]Serviços!$A$3:$F$1403</definedName>
    <definedName name="Serviços">[29]Solum!$A$3:$AD$2430</definedName>
    <definedName name="sfsfsfs" localSheetId="5" hidden="1">{#N/A,#N/A,FALSE,"MO (2)"}</definedName>
    <definedName name="sfsfsfs" localSheetId="0" hidden="1">{#N/A,#N/A,FALSE,"MO (2)"}</definedName>
    <definedName name="sfsfsfs" localSheetId="10" hidden="1">{#N/A,#N/A,FALSE,"MO (2)"}</definedName>
    <definedName name="sfsfsfs" localSheetId="11" hidden="1">{#N/A,#N/A,FALSE,"MO (2)"}</definedName>
    <definedName name="sfsfsfs" localSheetId="30" hidden="1">{#N/A,#N/A,FALSE,"MO (2)"}</definedName>
    <definedName name="sfsfsfs" localSheetId="31" hidden="1">{#N/A,#N/A,FALSE,"MO (2)"}</definedName>
    <definedName name="sfsfsfs" hidden="1">{#N/A,#N/A,FALSE,"MO (2)"}</definedName>
    <definedName name="SG_01_01" localSheetId="5">#REF!</definedName>
    <definedName name="SG_01_01" localSheetId="0">#REF!</definedName>
    <definedName name="SG_01_01" localSheetId="10">#REF!</definedName>
    <definedName name="SG_01_01">#REF!</definedName>
    <definedName name="SG_01_02" localSheetId="5">#REF!</definedName>
    <definedName name="SG_01_02" localSheetId="0">#REF!</definedName>
    <definedName name="SG_01_02" localSheetId="10">#REF!</definedName>
    <definedName name="SG_01_02">#REF!</definedName>
    <definedName name="SG_01_03" localSheetId="5">#REF!</definedName>
    <definedName name="SG_01_03" localSheetId="0">#REF!</definedName>
    <definedName name="SG_01_03" localSheetId="10">#REF!</definedName>
    <definedName name="SG_01_03">#REF!</definedName>
    <definedName name="SG_01_04" localSheetId="5">#REF!</definedName>
    <definedName name="SG_01_04" localSheetId="0">#REF!</definedName>
    <definedName name="SG_01_04" localSheetId="10">#REF!</definedName>
    <definedName name="SG_01_04">#REF!</definedName>
    <definedName name="SG_01_05" localSheetId="5">#REF!</definedName>
    <definedName name="SG_01_05" localSheetId="0">#REF!</definedName>
    <definedName name="SG_01_05" localSheetId="10">#REF!</definedName>
    <definedName name="SG_01_05">#REF!</definedName>
    <definedName name="SG_01_06" localSheetId="5">#REF!</definedName>
    <definedName name="SG_01_06" localSheetId="0">#REF!</definedName>
    <definedName name="SG_01_06" localSheetId="10">#REF!</definedName>
    <definedName name="SG_01_06">#REF!</definedName>
    <definedName name="SG_01_07" localSheetId="5">#REF!</definedName>
    <definedName name="SG_01_07" localSheetId="0">#REF!</definedName>
    <definedName name="SG_01_07" localSheetId="10">#REF!</definedName>
    <definedName name="SG_01_07">#REF!</definedName>
    <definedName name="SG_01_08" localSheetId="5">#REF!</definedName>
    <definedName name="SG_01_08" localSheetId="0">#REF!</definedName>
    <definedName name="SG_01_08" localSheetId="10">#REF!</definedName>
    <definedName name="SG_01_08">#REF!</definedName>
    <definedName name="SG_01_09" localSheetId="5">#REF!</definedName>
    <definedName name="SG_01_09" localSheetId="0">#REF!</definedName>
    <definedName name="SG_01_09" localSheetId="10">#REF!</definedName>
    <definedName name="SG_01_09">#REF!</definedName>
    <definedName name="SG_01_10" localSheetId="5">#REF!</definedName>
    <definedName name="SG_01_10" localSheetId="0">#REF!</definedName>
    <definedName name="SG_01_10" localSheetId="10">#REF!</definedName>
    <definedName name="SG_01_10">#REF!</definedName>
    <definedName name="SG_01_11" localSheetId="5">#REF!</definedName>
    <definedName name="SG_01_11" localSheetId="0">#REF!</definedName>
    <definedName name="SG_01_11" localSheetId="10">#REF!</definedName>
    <definedName name="SG_01_11">#REF!</definedName>
    <definedName name="SG_01_12" localSheetId="5">#REF!</definedName>
    <definedName name="SG_01_12" localSheetId="0">#REF!</definedName>
    <definedName name="SG_01_12" localSheetId="10">#REF!</definedName>
    <definedName name="SG_01_12">#REF!</definedName>
    <definedName name="SG_01_13" localSheetId="5">#REF!</definedName>
    <definedName name="SG_01_13" localSheetId="0">#REF!</definedName>
    <definedName name="SG_01_13" localSheetId="10">#REF!</definedName>
    <definedName name="SG_01_13">#REF!</definedName>
    <definedName name="SG_01_14" localSheetId="5">#REF!</definedName>
    <definedName name="SG_01_14" localSheetId="0">#REF!</definedName>
    <definedName name="SG_01_14" localSheetId="10">#REF!</definedName>
    <definedName name="SG_01_14">#REF!</definedName>
    <definedName name="SG_01_15" localSheetId="5">#REF!</definedName>
    <definedName name="SG_01_15" localSheetId="0">#REF!</definedName>
    <definedName name="SG_01_15" localSheetId="10">#REF!</definedName>
    <definedName name="SG_01_15">#REF!</definedName>
    <definedName name="SG_01_16" localSheetId="5">#REF!</definedName>
    <definedName name="SG_01_16" localSheetId="0">#REF!</definedName>
    <definedName name="SG_01_16" localSheetId="10">#REF!</definedName>
    <definedName name="SG_01_16">#REF!</definedName>
    <definedName name="SG_01_17" localSheetId="5">#REF!</definedName>
    <definedName name="SG_01_17" localSheetId="0">#REF!</definedName>
    <definedName name="SG_01_17" localSheetId="10">#REF!</definedName>
    <definedName name="SG_01_17">#REF!</definedName>
    <definedName name="SG_01_18" localSheetId="5">#REF!</definedName>
    <definedName name="SG_01_18" localSheetId="0">#REF!</definedName>
    <definedName name="SG_01_18" localSheetId="10">#REF!</definedName>
    <definedName name="SG_01_18">#REF!</definedName>
    <definedName name="SG_01_19" localSheetId="5">#REF!</definedName>
    <definedName name="SG_01_19" localSheetId="0">#REF!</definedName>
    <definedName name="SG_01_19" localSheetId="10">#REF!</definedName>
    <definedName name="SG_01_19">#REF!</definedName>
    <definedName name="SG_01_20" localSheetId="5">#REF!</definedName>
    <definedName name="SG_01_20" localSheetId="0">#REF!</definedName>
    <definedName name="SG_01_20" localSheetId="10">#REF!</definedName>
    <definedName name="SG_01_20">#REF!</definedName>
    <definedName name="SG_01_21" localSheetId="5">#REF!</definedName>
    <definedName name="SG_01_21" localSheetId="0">#REF!</definedName>
    <definedName name="SG_01_21" localSheetId="10">#REF!</definedName>
    <definedName name="SG_01_21">#REF!</definedName>
    <definedName name="SG_01_22" localSheetId="5">#REF!</definedName>
    <definedName name="SG_01_22" localSheetId="0">#REF!</definedName>
    <definedName name="SG_01_22" localSheetId="10">#REF!</definedName>
    <definedName name="SG_01_22">#REF!</definedName>
    <definedName name="SG_01_23" localSheetId="5">#REF!</definedName>
    <definedName name="SG_01_23" localSheetId="0">#REF!</definedName>
    <definedName name="SG_01_23" localSheetId="10">#REF!</definedName>
    <definedName name="SG_01_23">#REF!</definedName>
    <definedName name="SG_01_24" localSheetId="5">#REF!</definedName>
    <definedName name="SG_01_24" localSheetId="0">#REF!</definedName>
    <definedName name="SG_01_24" localSheetId="10">#REF!</definedName>
    <definedName name="SG_01_24">#REF!</definedName>
    <definedName name="SG_01_25" localSheetId="5">#REF!</definedName>
    <definedName name="SG_01_25" localSheetId="0">#REF!</definedName>
    <definedName name="SG_01_25" localSheetId="10">#REF!</definedName>
    <definedName name="SG_01_25">#REF!</definedName>
    <definedName name="SG_02_01" localSheetId="5">#REF!</definedName>
    <definedName name="SG_02_01" localSheetId="0">#REF!</definedName>
    <definedName name="SG_02_01" localSheetId="10">#REF!</definedName>
    <definedName name="SG_02_01">#REF!</definedName>
    <definedName name="SG_02_02" localSheetId="5">#REF!</definedName>
    <definedName name="SG_02_02" localSheetId="0">#REF!</definedName>
    <definedName name="SG_02_02" localSheetId="10">#REF!</definedName>
    <definedName name="SG_02_02">#REF!</definedName>
    <definedName name="SG_02_03" localSheetId="5">#REF!</definedName>
    <definedName name="SG_02_03" localSheetId="0">#REF!</definedName>
    <definedName name="SG_02_03" localSheetId="10">#REF!</definedName>
    <definedName name="SG_02_03">#REF!</definedName>
    <definedName name="SG_02_04" localSheetId="5">#REF!</definedName>
    <definedName name="SG_02_04" localSheetId="0">#REF!</definedName>
    <definedName name="SG_02_04" localSheetId="10">#REF!</definedName>
    <definedName name="SG_02_04">#REF!</definedName>
    <definedName name="SG_02_05" localSheetId="5">#REF!</definedName>
    <definedName name="SG_02_05" localSheetId="0">#REF!</definedName>
    <definedName name="SG_02_05" localSheetId="10">#REF!</definedName>
    <definedName name="SG_02_05">#REF!</definedName>
    <definedName name="SG_02_06" localSheetId="5">#REF!</definedName>
    <definedName name="SG_02_06" localSheetId="0">#REF!</definedName>
    <definedName name="SG_02_06" localSheetId="10">#REF!</definedName>
    <definedName name="SG_02_06">#REF!</definedName>
    <definedName name="SG_02_07" localSheetId="5">#REF!</definedName>
    <definedName name="SG_02_07" localSheetId="0">#REF!</definedName>
    <definedName name="SG_02_07" localSheetId="10">#REF!</definedName>
    <definedName name="SG_02_07">#REF!</definedName>
    <definedName name="SG_02_08" localSheetId="5">#REF!</definedName>
    <definedName name="SG_02_08" localSheetId="0">#REF!</definedName>
    <definedName name="SG_02_08" localSheetId="10">#REF!</definedName>
    <definedName name="SG_02_08">#REF!</definedName>
    <definedName name="SG_02_09" localSheetId="5">#REF!</definedName>
    <definedName name="SG_02_09" localSheetId="0">#REF!</definedName>
    <definedName name="SG_02_09" localSheetId="10">#REF!</definedName>
    <definedName name="SG_02_09">#REF!</definedName>
    <definedName name="SG_02_10" localSheetId="5">#REF!</definedName>
    <definedName name="SG_02_10" localSheetId="0">#REF!</definedName>
    <definedName name="SG_02_10" localSheetId="10">#REF!</definedName>
    <definedName name="SG_02_10">#REF!</definedName>
    <definedName name="SG_02_11" localSheetId="5">#REF!</definedName>
    <definedName name="SG_02_11" localSheetId="0">#REF!</definedName>
    <definedName name="SG_02_11" localSheetId="10">#REF!</definedName>
    <definedName name="SG_02_11">#REF!</definedName>
    <definedName name="SG_02_12" localSheetId="5">#REF!</definedName>
    <definedName name="SG_02_12" localSheetId="0">#REF!</definedName>
    <definedName name="SG_02_12" localSheetId="10">#REF!</definedName>
    <definedName name="SG_02_12">#REF!</definedName>
    <definedName name="SG_02_13" localSheetId="5">#REF!</definedName>
    <definedName name="SG_02_13" localSheetId="0">#REF!</definedName>
    <definedName name="SG_02_13" localSheetId="10">#REF!</definedName>
    <definedName name="SG_02_13">#REF!</definedName>
    <definedName name="SG_02_14" localSheetId="5">#REF!</definedName>
    <definedName name="SG_02_14" localSheetId="0">#REF!</definedName>
    <definedName name="SG_02_14" localSheetId="10">#REF!</definedName>
    <definedName name="SG_02_14">#REF!</definedName>
    <definedName name="SG_02_15" localSheetId="5">#REF!</definedName>
    <definedName name="SG_02_15" localSheetId="0">#REF!</definedName>
    <definedName name="SG_02_15" localSheetId="10">#REF!</definedName>
    <definedName name="SG_02_15">#REF!</definedName>
    <definedName name="SG_02_16" localSheetId="5">#REF!</definedName>
    <definedName name="SG_02_16" localSheetId="0">#REF!</definedName>
    <definedName name="SG_02_16" localSheetId="10">#REF!</definedName>
    <definedName name="SG_02_16">#REF!</definedName>
    <definedName name="SG_02_17" localSheetId="5">#REF!</definedName>
    <definedName name="SG_02_17" localSheetId="0">#REF!</definedName>
    <definedName name="SG_02_17" localSheetId="10">#REF!</definedName>
    <definedName name="SG_02_17">#REF!</definedName>
    <definedName name="SG_02_18" localSheetId="5">#REF!</definedName>
    <definedName name="SG_02_18" localSheetId="0">#REF!</definedName>
    <definedName name="SG_02_18" localSheetId="10">#REF!</definedName>
    <definedName name="SG_02_18">#REF!</definedName>
    <definedName name="SG_02_19" localSheetId="5">#REF!</definedName>
    <definedName name="SG_02_19" localSheetId="0">#REF!</definedName>
    <definedName name="SG_02_19" localSheetId="10">#REF!</definedName>
    <definedName name="SG_02_19">#REF!</definedName>
    <definedName name="SG_02_20" localSheetId="5">#REF!</definedName>
    <definedName name="SG_02_20" localSheetId="0">#REF!</definedName>
    <definedName name="SG_02_20" localSheetId="10">#REF!</definedName>
    <definedName name="SG_02_20">#REF!</definedName>
    <definedName name="SG_02_21" localSheetId="5">#REF!</definedName>
    <definedName name="SG_02_21" localSheetId="0">#REF!</definedName>
    <definedName name="SG_02_21" localSheetId="10">#REF!</definedName>
    <definedName name="SG_02_21">#REF!</definedName>
    <definedName name="SG_02_22" localSheetId="5">#REF!</definedName>
    <definedName name="SG_02_22" localSheetId="0">#REF!</definedName>
    <definedName name="SG_02_22" localSheetId="10">#REF!</definedName>
    <definedName name="SG_02_22">#REF!</definedName>
    <definedName name="SG_02_23" localSheetId="5">#REF!</definedName>
    <definedName name="SG_02_23" localSheetId="0">#REF!</definedName>
    <definedName name="SG_02_23" localSheetId="10">#REF!</definedName>
    <definedName name="SG_02_23">#REF!</definedName>
    <definedName name="SG_02_24" localSheetId="5">#REF!</definedName>
    <definedName name="SG_02_24" localSheetId="0">#REF!</definedName>
    <definedName name="SG_02_24" localSheetId="10">#REF!</definedName>
    <definedName name="SG_02_24">#REF!</definedName>
    <definedName name="SG_02_25" localSheetId="5">#REF!</definedName>
    <definedName name="SG_02_25" localSheetId="0">#REF!</definedName>
    <definedName name="SG_02_25" localSheetId="10">#REF!</definedName>
    <definedName name="SG_02_25">#REF!</definedName>
    <definedName name="SG_03_01" localSheetId="5">#REF!</definedName>
    <definedName name="SG_03_01" localSheetId="0">#REF!</definedName>
    <definedName name="SG_03_01" localSheetId="10">#REF!</definedName>
    <definedName name="SG_03_01">#REF!</definedName>
    <definedName name="SG_03_02" localSheetId="5">#REF!</definedName>
    <definedName name="SG_03_02" localSheetId="0">#REF!</definedName>
    <definedName name="SG_03_02" localSheetId="10">#REF!</definedName>
    <definedName name="SG_03_02">#REF!</definedName>
    <definedName name="SG_03_03" localSheetId="5">#REF!</definedName>
    <definedName name="SG_03_03" localSheetId="0">#REF!</definedName>
    <definedName name="SG_03_03" localSheetId="10">#REF!</definedName>
    <definedName name="SG_03_03">#REF!</definedName>
    <definedName name="SG_03_04" localSheetId="5">#REF!</definedName>
    <definedName name="SG_03_04" localSheetId="0">#REF!</definedName>
    <definedName name="SG_03_04" localSheetId="10">#REF!</definedName>
    <definedName name="SG_03_04">#REF!</definedName>
    <definedName name="SG_03_05" localSheetId="5">#REF!</definedName>
    <definedName name="SG_03_05" localSheetId="0">#REF!</definedName>
    <definedName name="SG_03_05" localSheetId="10">#REF!</definedName>
    <definedName name="SG_03_05">#REF!</definedName>
    <definedName name="SG_03_06" localSheetId="5">#REF!</definedName>
    <definedName name="SG_03_06" localSheetId="0">#REF!</definedName>
    <definedName name="SG_03_06" localSheetId="10">#REF!</definedName>
    <definedName name="SG_03_06">#REF!</definedName>
    <definedName name="SG_03_07" localSheetId="5">#REF!</definedName>
    <definedName name="SG_03_07" localSheetId="0">#REF!</definedName>
    <definedName name="SG_03_07" localSheetId="10">#REF!</definedName>
    <definedName name="SG_03_07">#REF!</definedName>
    <definedName name="SG_03_08" localSheetId="5">#REF!</definedName>
    <definedName name="SG_03_08" localSheetId="0">#REF!</definedName>
    <definedName name="SG_03_08" localSheetId="10">#REF!</definedName>
    <definedName name="SG_03_08">#REF!</definedName>
    <definedName name="SG_03_09" localSheetId="5">#REF!</definedName>
    <definedName name="SG_03_09" localSheetId="0">#REF!</definedName>
    <definedName name="SG_03_09" localSheetId="10">#REF!</definedName>
    <definedName name="SG_03_09">#REF!</definedName>
    <definedName name="SG_03_10" localSheetId="5">#REF!</definedName>
    <definedName name="SG_03_10" localSheetId="0">#REF!</definedName>
    <definedName name="SG_03_10" localSheetId="10">#REF!</definedName>
    <definedName name="SG_03_10">#REF!</definedName>
    <definedName name="SG_03_11" localSheetId="5">#REF!</definedName>
    <definedName name="SG_03_11" localSheetId="0">#REF!</definedName>
    <definedName name="SG_03_11" localSheetId="10">#REF!</definedName>
    <definedName name="SG_03_11">#REF!</definedName>
    <definedName name="SG_03_12" localSheetId="5">#REF!</definedName>
    <definedName name="SG_03_12" localSheetId="0">#REF!</definedName>
    <definedName name="SG_03_12" localSheetId="10">#REF!</definedName>
    <definedName name="SG_03_12">#REF!</definedName>
    <definedName name="SG_03_13" localSheetId="5">#REF!</definedName>
    <definedName name="SG_03_13" localSheetId="0">#REF!</definedName>
    <definedName name="SG_03_13" localSheetId="10">#REF!</definedName>
    <definedName name="SG_03_13">#REF!</definedName>
    <definedName name="SG_03_14" localSheetId="5">#REF!</definedName>
    <definedName name="SG_03_14" localSheetId="0">#REF!</definedName>
    <definedName name="SG_03_14" localSheetId="10">#REF!</definedName>
    <definedName name="SG_03_14">#REF!</definedName>
    <definedName name="SG_03_15" localSheetId="5">#REF!</definedName>
    <definedName name="SG_03_15" localSheetId="0">#REF!</definedName>
    <definedName name="SG_03_15" localSheetId="10">#REF!</definedName>
    <definedName name="SG_03_15">#REF!</definedName>
    <definedName name="SG_03_16" localSheetId="5">#REF!</definedName>
    <definedName name="SG_03_16" localSheetId="0">#REF!</definedName>
    <definedName name="SG_03_16" localSheetId="10">#REF!</definedName>
    <definedName name="SG_03_16">#REF!</definedName>
    <definedName name="SG_03_17" localSheetId="5">#REF!</definedName>
    <definedName name="SG_03_17" localSheetId="0">#REF!</definedName>
    <definedName name="SG_03_17" localSheetId="10">#REF!</definedName>
    <definedName name="SG_03_17">#REF!</definedName>
    <definedName name="SG_03_18" localSheetId="5">#REF!</definedName>
    <definedName name="SG_03_18" localSheetId="0">#REF!</definedName>
    <definedName name="SG_03_18" localSheetId="10">#REF!</definedName>
    <definedName name="SG_03_18">#REF!</definedName>
    <definedName name="SG_03_19" localSheetId="5">#REF!</definedName>
    <definedName name="SG_03_19" localSheetId="0">#REF!</definedName>
    <definedName name="SG_03_19" localSheetId="10">#REF!</definedName>
    <definedName name="SG_03_19">#REF!</definedName>
    <definedName name="SG_03_20" localSheetId="5">#REF!</definedName>
    <definedName name="SG_03_20" localSheetId="0">#REF!</definedName>
    <definedName name="SG_03_20" localSheetId="10">#REF!</definedName>
    <definedName name="SG_03_20">#REF!</definedName>
    <definedName name="SG_03_21" localSheetId="5">#REF!</definedName>
    <definedName name="SG_03_21" localSheetId="0">#REF!</definedName>
    <definedName name="SG_03_21" localSheetId="10">#REF!</definedName>
    <definedName name="SG_03_21">#REF!</definedName>
    <definedName name="SG_03_22" localSheetId="5">#REF!</definedName>
    <definedName name="SG_03_22" localSheetId="0">#REF!</definedName>
    <definedName name="SG_03_22" localSheetId="10">#REF!</definedName>
    <definedName name="SG_03_22">#REF!</definedName>
    <definedName name="SG_03_23" localSheetId="5">#REF!</definedName>
    <definedName name="SG_03_23" localSheetId="0">#REF!</definedName>
    <definedName name="SG_03_23" localSheetId="10">#REF!</definedName>
    <definedName name="SG_03_23">#REF!</definedName>
    <definedName name="SG_03_24" localSheetId="5">#REF!</definedName>
    <definedName name="SG_03_24" localSheetId="0">#REF!</definedName>
    <definedName name="SG_03_24" localSheetId="10">#REF!</definedName>
    <definedName name="SG_03_24">#REF!</definedName>
    <definedName name="SG_03_25" localSheetId="5">#REF!</definedName>
    <definedName name="SG_03_25" localSheetId="0">#REF!</definedName>
    <definedName name="SG_03_25" localSheetId="10">#REF!</definedName>
    <definedName name="SG_03_25">#REF!</definedName>
    <definedName name="SG_04_01" localSheetId="5">#REF!</definedName>
    <definedName name="SG_04_01" localSheetId="0">#REF!</definedName>
    <definedName name="SG_04_01" localSheetId="10">#REF!</definedName>
    <definedName name="SG_04_01">#REF!</definedName>
    <definedName name="SG_04_02" localSheetId="5">#REF!</definedName>
    <definedName name="SG_04_02" localSheetId="0">#REF!</definedName>
    <definedName name="SG_04_02" localSheetId="10">#REF!</definedName>
    <definedName name="SG_04_02">#REF!</definedName>
    <definedName name="SG_04_03" localSheetId="5">#REF!</definedName>
    <definedName name="SG_04_03" localSheetId="0">#REF!</definedName>
    <definedName name="SG_04_03" localSheetId="10">#REF!</definedName>
    <definedName name="SG_04_03">#REF!</definedName>
    <definedName name="SG_04_04" localSheetId="5">#REF!</definedName>
    <definedName name="SG_04_04" localSheetId="0">#REF!</definedName>
    <definedName name="SG_04_04" localSheetId="10">#REF!</definedName>
    <definedName name="SG_04_04">#REF!</definedName>
    <definedName name="SG_04_05" localSheetId="5">#REF!</definedName>
    <definedName name="SG_04_05" localSheetId="0">#REF!</definedName>
    <definedName name="SG_04_05" localSheetId="10">#REF!</definedName>
    <definedName name="SG_04_05">#REF!</definedName>
    <definedName name="SG_04_06" localSheetId="5">#REF!</definedName>
    <definedName name="SG_04_06" localSheetId="0">#REF!</definedName>
    <definedName name="SG_04_06" localSheetId="10">#REF!</definedName>
    <definedName name="SG_04_06">#REF!</definedName>
    <definedName name="SG_04_07" localSheetId="5">#REF!</definedName>
    <definedName name="SG_04_07" localSheetId="0">#REF!</definedName>
    <definedName name="SG_04_07" localSheetId="10">#REF!</definedName>
    <definedName name="SG_04_07">#REF!</definedName>
    <definedName name="SG_04_08" localSheetId="5">#REF!</definedName>
    <definedName name="SG_04_08" localSheetId="0">#REF!</definedName>
    <definedName name="SG_04_08" localSheetId="10">#REF!</definedName>
    <definedName name="SG_04_08">#REF!</definedName>
    <definedName name="SG_04_09" localSheetId="5">#REF!</definedName>
    <definedName name="SG_04_09" localSheetId="0">#REF!</definedName>
    <definedName name="SG_04_09" localSheetId="10">#REF!</definedName>
    <definedName name="SG_04_09">#REF!</definedName>
    <definedName name="SG_04_10" localSheetId="5">#REF!</definedName>
    <definedName name="SG_04_10" localSheetId="0">#REF!</definedName>
    <definedName name="SG_04_10" localSheetId="10">#REF!</definedName>
    <definedName name="SG_04_10">#REF!</definedName>
    <definedName name="SG_04_11" localSheetId="5">#REF!</definedName>
    <definedName name="SG_04_11" localSheetId="0">#REF!</definedName>
    <definedName name="SG_04_11" localSheetId="10">#REF!</definedName>
    <definedName name="SG_04_11">#REF!</definedName>
    <definedName name="SG_04_12" localSheetId="5">#REF!</definedName>
    <definedName name="SG_04_12" localSheetId="0">#REF!</definedName>
    <definedName name="SG_04_12" localSheetId="10">#REF!</definedName>
    <definedName name="SG_04_12">#REF!</definedName>
    <definedName name="SG_04_13" localSheetId="5">#REF!</definedName>
    <definedName name="SG_04_13" localSheetId="0">#REF!</definedName>
    <definedName name="SG_04_13" localSheetId="10">#REF!</definedName>
    <definedName name="SG_04_13">#REF!</definedName>
    <definedName name="SG_04_14" localSheetId="5">#REF!</definedName>
    <definedName name="SG_04_14" localSheetId="0">#REF!</definedName>
    <definedName name="SG_04_14" localSheetId="10">#REF!</definedName>
    <definedName name="SG_04_14">#REF!</definedName>
    <definedName name="SG_04_15" localSheetId="5">#REF!</definedName>
    <definedName name="SG_04_15" localSheetId="0">#REF!</definedName>
    <definedName name="SG_04_15" localSheetId="10">#REF!</definedName>
    <definedName name="SG_04_15">#REF!</definedName>
    <definedName name="SG_04_16" localSheetId="5">#REF!</definedName>
    <definedName name="SG_04_16" localSheetId="0">#REF!</definedName>
    <definedName name="SG_04_16" localSheetId="10">#REF!</definedName>
    <definedName name="SG_04_16">#REF!</definedName>
    <definedName name="SG_04_17" localSheetId="5">#REF!</definedName>
    <definedName name="SG_04_17" localSheetId="0">#REF!</definedName>
    <definedName name="SG_04_17" localSheetId="10">#REF!</definedName>
    <definedName name="SG_04_17">#REF!</definedName>
    <definedName name="SG_04_18" localSheetId="5">#REF!</definedName>
    <definedName name="SG_04_18" localSheetId="0">#REF!</definedName>
    <definedName name="SG_04_18" localSheetId="10">#REF!</definedName>
    <definedName name="SG_04_18">#REF!</definedName>
    <definedName name="SG_04_19" localSheetId="5">#REF!</definedName>
    <definedName name="SG_04_19" localSheetId="0">#REF!</definedName>
    <definedName name="SG_04_19" localSheetId="10">#REF!</definedName>
    <definedName name="SG_04_19">#REF!</definedName>
    <definedName name="SG_04_20" localSheetId="5">#REF!</definedName>
    <definedName name="SG_04_20" localSheetId="0">#REF!</definedName>
    <definedName name="SG_04_20" localSheetId="10">#REF!</definedName>
    <definedName name="SG_04_20">#REF!</definedName>
    <definedName name="SG_04_21" localSheetId="5">#REF!</definedName>
    <definedName name="SG_04_21" localSheetId="0">#REF!</definedName>
    <definedName name="SG_04_21" localSheetId="10">#REF!</definedName>
    <definedName name="SG_04_21">#REF!</definedName>
    <definedName name="SG_04_22" localSheetId="5">#REF!</definedName>
    <definedName name="SG_04_22" localSheetId="0">#REF!</definedName>
    <definedName name="SG_04_22" localSheetId="10">#REF!</definedName>
    <definedName name="SG_04_22">#REF!</definedName>
    <definedName name="SG_04_23" localSheetId="5">#REF!</definedName>
    <definedName name="SG_04_23" localSheetId="0">#REF!</definedName>
    <definedName name="SG_04_23" localSheetId="10">#REF!</definedName>
    <definedName name="SG_04_23">#REF!</definedName>
    <definedName name="SG_04_24" localSheetId="5">#REF!</definedName>
    <definedName name="SG_04_24" localSheetId="0">#REF!</definedName>
    <definedName name="SG_04_24" localSheetId="10">#REF!</definedName>
    <definedName name="SG_04_24">#REF!</definedName>
    <definedName name="SG_04_25" localSheetId="5">#REF!</definedName>
    <definedName name="SG_04_25" localSheetId="0">#REF!</definedName>
    <definedName name="SG_04_25" localSheetId="10">#REF!</definedName>
    <definedName name="SG_04_25">#REF!</definedName>
    <definedName name="SG_05_01" localSheetId="5">#REF!</definedName>
    <definedName name="SG_05_01" localSheetId="0">#REF!</definedName>
    <definedName name="SG_05_01" localSheetId="10">#REF!</definedName>
    <definedName name="SG_05_01">#REF!</definedName>
    <definedName name="SG_05_02" localSheetId="5">#REF!</definedName>
    <definedName name="SG_05_02" localSheetId="0">#REF!</definedName>
    <definedName name="SG_05_02" localSheetId="10">#REF!</definedName>
    <definedName name="SG_05_02">#REF!</definedName>
    <definedName name="SG_05_03" localSheetId="5">#REF!</definedName>
    <definedName name="SG_05_03" localSheetId="0">#REF!</definedName>
    <definedName name="SG_05_03" localSheetId="10">#REF!</definedName>
    <definedName name="SG_05_03">#REF!</definedName>
    <definedName name="SG_05_04" localSheetId="5">#REF!</definedName>
    <definedName name="SG_05_04" localSheetId="0">#REF!</definedName>
    <definedName name="SG_05_04" localSheetId="10">#REF!</definedName>
    <definedName name="SG_05_04">#REF!</definedName>
    <definedName name="SG_05_05" localSheetId="5">#REF!</definedName>
    <definedName name="SG_05_05" localSheetId="0">#REF!</definedName>
    <definedName name="SG_05_05" localSheetId="10">#REF!</definedName>
    <definedName name="SG_05_05">#REF!</definedName>
    <definedName name="SG_05_06" localSheetId="5">#REF!</definedName>
    <definedName name="SG_05_06" localSheetId="0">#REF!</definedName>
    <definedName name="SG_05_06" localSheetId="10">#REF!</definedName>
    <definedName name="SG_05_06">#REF!</definedName>
    <definedName name="SG_05_07" localSheetId="5">#REF!</definedName>
    <definedName name="SG_05_07" localSheetId="0">#REF!</definedName>
    <definedName name="SG_05_07" localSheetId="10">#REF!</definedName>
    <definedName name="SG_05_07">#REF!</definedName>
    <definedName name="SG_05_08" localSheetId="5">#REF!</definedName>
    <definedName name="SG_05_08" localSheetId="0">#REF!</definedName>
    <definedName name="SG_05_08" localSheetId="10">#REF!</definedName>
    <definedName name="SG_05_08">#REF!</definedName>
    <definedName name="SG_05_09" localSheetId="5">#REF!</definedName>
    <definedName name="SG_05_09" localSheetId="0">#REF!</definedName>
    <definedName name="SG_05_09" localSheetId="10">#REF!</definedName>
    <definedName name="SG_05_09">#REF!</definedName>
    <definedName name="SG_05_10" localSheetId="5">#REF!</definedName>
    <definedName name="SG_05_10" localSheetId="0">#REF!</definedName>
    <definedName name="SG_05_10" localSheetId="10">#REF!</definedName>
    <definedName name="SG_05_10">#REF!</definedName>
    <definedName name="SG_05_11" localSheetId="5">#REF!</definedName>
    <definedName name="SG_05_11" localSheetId="0">#REF!</definedName>
    <definedName name="SG_05_11" localSheetId="10">#REF!</definedName>
    <definedName name="SG_05_11">#REF!</definedName>
    <definedName name="SG_05_12" localSheetId="5">#REF!</definedName>
    <definedName name="SG_05_12" localSheetId="0">#REF!</definedName>
    <definedName name="SG_05_12" localSheetId="10">#REF!</definedName>
    <definedName name="SG_05_12">#REF!</definedName>
    <definedName name="SG_05_13" localSheetId="5">#REF!</definedName>
    <definedName name="SG_05_13" localSheetId="0">#REF!</definedName>
    <definedName name="SG_05_13" localSheetId="10">#REF!</definedName>
    <definedName name="SG_05_13">#REF!</definedName>
    <definedName name="SG_05_14" localSheetId="5">#REF!</definedName>
    <definedName name="SG_05_14" localSheetId="0">#REF!</definedName>
    <definedName name="SG_05_14" localSheetId="10">#REF!</definedName>
    <definedName name="SG_05_14">#REF!</definedName>
    <definedName name="SG_05_15" localSheetId="5">#REF!</definedName>
    <definedName name="SG_05_15" localSheetId="0">#REF!</definedName>
    <definedName name="SG_05_15" localSheetId="10">#REF!</definedName>
    <definedName name="SG_05_15">#REF!</definedName>
    <definedName name="SG_05_16" localSheetId="5">#REF!</definedName>
    <definedName name="SG_05_16" localSheetId="0">#REF!</definedName>
    <definedName name="SG_05_16" localSheetId="10">#REF!</definedName>
    <definedName name="SG_05_16">#REF!</definedName>
    <definedName name="SG_05_17" localSheetId="5">#REF!</definedName>
    <definedName name="SG_05_17" localSheetId="0">#REF!</definedName>
    <definedName name="SG_05_17" localSheetId="10">#REF!</definedName>
    <definedName name="SG_05_17">#REF!</definedName>
    <definedName name="SG_05_18" localSheetId="5">#REF!</definedName>
    <definedName name="SG_05_18" localSheetId="0">#REF!</definedName>
    <definedName name="SG_05_18" localSheetId="10">#REF!</definedName>
    <definedName name="SG_05_18">#REF!</definedName>
    <definedName name="SG_05_19" localSheetId="5">#REF!</definedName>
    <definedName name="SG_05_19" localSheetId="0">#REF!</definedName>
    <definedName name="SG_05_19" localSheetId="10">#REF!</definedName>
    <definedName name="SG_05_19">#REF!</definedName>
    <definedName name="SG_05_20" localSheetId="5">#REF!</definedName>
    <definedName name="SG_05_20" localSheetId="0">#REF!</definedName>
    <definedName name="SG_05_20" localSheetId="10">#REF!</definedName>
    <definedName name="SG_05_20">#REF!</definedName>
    <definedName name="SG_05_21" localSheetId="5">#REF!</definedName>
    <definedName name="SG_05_21" localSheetId="0">#REF!</definedName>
    <definedName name="SG_05_21" localSheetId="10">#REF!</definedName>
    <definedName name="SG_05_21">#REF!</definedName>
    <definedName name="SG_05_22" localSheetId="5">#REF!</definedName>
    <definedName name="SG_05_22" localSheetId="0">#REF!</definedName>
    <definedName name="SG_05_22" localSheetId="10">#REF!</definedName>
    <definedName name="SG_05_22">#REF!</definedName>
    <definedName name="SG_05_23" localSheetId="5">#REF!</definedName>
    <definedName name="SG_05_23" localSheetId="0">#REF!</definedName>
    <definedName name="SG_05_23" localSheetId="10">#REF!</definedName>
    <definedName name="SG_05_23">#REF!</definedName>
    <definedName name="SG_05_24" localSheetId="5">#REF!</definedName>
    <definedName name="SG_05_24" localSheetId="0">#REF!</definedName>
    <definedName name="SG_05_24" localSheetId="10">#REF!</definedName>
    <definedName name="SG_05_24">#REF!</definedName>
    <definedName name="SG_05_25" localSheetId="5">#REF!</definedName>
    <definedName name="SG_05_25" localSheetId="0">#REF!</definedName>
    <definedName name="SG_05_25" localSheetId="10">#REF!</definedName>
    <definedName name="SG_05_25">#REF!</definedName>
    <definedName name="SG_06_01" localSheetId="5">#REF!</definedName>
    <definedName name="SG_06_01" localSheetId="0">#REF!</definedName>
    <definedName name="SG_06_01" localSheetId="10">#REF!</definedName>
    <definedName name="SG_06_01">#REF!</definedName>
    <definedName name="SG_06_02" localSheetId="5">#REF!</definedName>
    <definedName name="SG_06_02" localSheetId="0">#REF!</definedName>
    <definedName name="SG_06_02" localSheetId="10">#REF!</definedName>
    <definedName name="SG_06_02">#REF!</definedName>
    <definedName name="SG_06_03" localSheetId="5">#REF!</definedName>
    <definedName name="SG_06_03" localSheetId="0">#REF!</definedName>
    <definedName name="SG_06_03" localSheetId="10">#REF!</definedName>
    <definedName name="SG_06_03">#REF!</definedName>
    <definedName name="SG_06_04" localSheetId="5">#REF!</definedName>
    <definedName name="SG_06_04" localSheetId="0">#REF!</definedName>
    <definedName name="SG_06_04" localSheetId="10">#REF!</definedName>
    <definedName name="SG_06_04">#REF!</definedName>
    <definedName name="SG_06_05" localSheetId="5">#REF!</definedName>
    <definedName name="SG_06_05" localSheetId="0">#REF!</definedName>
    <definedName name="SG_06_05" localSheetId="10">#REF!</definedName>
    <definedName name="SG_06_05">#REF!</definedName>
    <definedName name="SG_06_06" localSheetId="5">#REF!</definedName>
    <definedName name="SG_06_06" localSheetId="0">#REF!</definedName>
    <definedName name="SG_06_06" localSheetId="10">#REF!</definedName>
    <definedName name="SG_06_06">#REF!</definedName>
    <definedName name="SG_06_07" localSheetId="5">#REF!</definedName>
    <definedName name="SG_06_07" localSheetId="0">#REF!</definedName>
    <definedName name="SG_06_07" localSheetId="10">#REF!</definedName>
    <definedName name="SG_06_07">#REF!</definedName>
    <definedName name="SG_06_08" localSheetId="5">#REF!</definedName>
    <definedName name="SG_06_08" localSheetId="0">#REF!</definedName>
    <definedName name="SG_06_08" localSheetId="10">#REF!</definedName>
    <definedName name="SG_06_08">#REF!</definedName>
    <definedName name="SG_06_09" localSheetId="5">#REF!</definedName>
    <definedName name="SG_06_09" localSheetId="0">#REF!</definedName>
    <definedName name="SG_06_09" localSheetId="10">#REF!</definedName>
    <definedName name="SG_06_09">#REF!</definedName>
    <definedName name="SG_06_10" localSheetId="5">#REF!</definedName>
    <definedName name="SG_06_10" localSheetId="0">#REF!</definedName>
    <definedName name="SG_06_10" localSheetId="10">#REF!</definedName>
    <definedName name="SG_06_10">#REF!</definedName>
    <definedName name="SG_06_11" localSheetId="5">#REF!</definedName>
    <definedName name="SG_06_11" localSheetId="0">#REF!</definedName>
    <definedName name="SG_06_11" localSheetId="10">#REF!</definedName>
    <definedName name="SG_06_11">#REF!</definedName>
    <definedName name="SG_06_12" localSheetId="5">#REF!</definedName>
    <definedName name="SG_06_12" localSheetId="0">#REF!</definedName>
    <definedName name="SG_06_12" localSheetId="10">#REF!</definedName>
    <definedName name="SG_06_12">#REF!</definedName>
    <definedName name="SG_06_13" localSheetId="5">#REF!</definedName>
    <definedName name="SG_06_13" localSheetId="0">#REF!</definedName>
    <definedName name="SG_06_13" localSheetId="10">#REF!</definedName>
    <definedName name="SG_06_13">#REF!</definedName>
    <definedName name="SG_06_14" localSheetId="5">#REF!</definedName>
    <definedName name="SG_06_14" localSheetId="0">#REF!</definedName>
    <definedName name="SG_06_14" localSheetId="10">#REF!</definedName>
    <definedName name="SG_06_14">#REF!</definedName>
    <definedName name="SG_06_15" localSheetId="5">#REF!</definedName>
    <definedName name="SG_06_15" localSheetId="0">#REF!</definedName>
    <definedName name="SG_06_15" localSheetId="10">#REF!</definedName>
    <definedName name="SG_06_15">#REF!</definedName>
    <definedName name="SG_06_16" localSheetId="5">#REF!</definedName>
    <definedName name="SG_06_16" localSheetId="0">#REF!</definedName>
    <definedName name="SG_06_16" localSheetId="10">#REF!</definedName>
    <definedName name="SG_06_16">#REF!</definedName>
    <definedName name="SG_06_17" localSheetId="5">#REF!</definedName>
    <definedName name="SG_06_17" localSheetId="0">#REF!</definedName>
    <definedName name="SG_06_17" localSheetId="10">#REF!</definedName>
    <definedName name="SG_06_17">#REF!</definedName>
    <definedName name="SG_06_18" localSheetId="5">#REF!</definedName>
    <definedName name="SG_06_18" localSheetId="0">#REF!</definedName>
    <definedName name="SG_06_18" localSheetId="10">#REF!</definedName>
    <definedName name="SG_06_18">#REF!</definedName>
    <definedName name="SG_06_19" localSheetId="5">#REF!</definedName>
    <definedName name="SG_06_19" localSheetId="0">#REF!</definedName>
    <definedName name="SG_06_19" localSheetId="10">#REF!</definedName>
    <definedName name="SG_06_19">#REF!</definedName>
    <definedName name="SG_06_20" localSheetId="5">#REF!</definedName>
    <definedName name="SG_06_20" localSheetId="0">#REF!</definedName>
    <definedName name="SG_06_20" localSheetId="10">#REF!</definedName>
    <definedName name="SG_06_20">#REF!</definedName>
    <definedName name="SG_06_21" localSheetId="5">#REF!</definedName>
    <definedName name="SG_06_21" localSheetId="0">#REF!</definedName>
    <definedName name="SG_06_21" localSheetId="10">#REF!</definedName>
    <definedName name="SG_06_21">#REF!</definedName>
    <definedName name="SG_06_22" localSheetId="5">#REF!</definedName>
    <definedName name="SG_06_22" localSheetId="0">#REF!</definedName>
    <definedName name="SG_06_22" localSheetId="10">#REF!</definedName>
    <definedName name="SG_06_22">#REF!</definedName>
    <definedName name="SG_06_23" localSheetId="5">#REF!</definedName>
    <definedName name="SG_06_23" localSheetId="0">#REF!</definedName>
    <definedName name="SG_06_23" localSheetId="10">#REF!</definedName>
    <definedName name="SG_06_23">#REF!</definedName>
    <definedName name="SG_06_24" localSheetId="5">#REF!</definedName>
    <definedName name="SG_06_24" localSheetId="0">#REF!</definedName>
    <definedName name="SG_06_24" localSheetId="10">#REF!</definedName>
    <definedName name="SG_06_24">#REF!</definedName>
    <definedName name="SG_06_25" localSheetId="5">#REF!</definedName>
    <definedName name="SG_06_25" localSheetId="0">#REF!</definedName>
    <definedName name="SG_06_25" localSheetId="10">#REF!</definedName>
    <definedName name="SG_06_25">#REF!</definedName>
    <definedName name="SG_07_01" localSheetId="5">#REF!</definedName>
    <definedName name="SG_07_01" localSheetId="0">#REF!</definedName>
    <definedName name="SG_07_01" localSheetId="10">#REF!</definedName>
    <definedName name="SG_07_01">#REF!</definedName>
    <definedName name="SG_07_02" localSheetId="5">#REF!</definedName>
    <definedName name="SG_07_02" localSheetId="0">#REF!</definedName>
    <definedName name="SG_07_02" localSheetId="10">#REF!</definedName>
    <definedName name="SG_07_02">#REF!</definedName>
    <definedName name="SG_07_03" localSheetId="5">#REF!</definedName>
    <definedName name="SG_07_03" localSheetId="0">#REF!</definedName>
    <definedName name="SG_07_03" localSheetId="10">#REF!</definedName>
    <definedName name="SG_07_03">#REF!</definedName>
    <definedName name="SG_07_04" localSheetId="5">#REF!</definedName>
    <definedName name="SG_07_04" localSheetId="0">#REF!</definedName>
    <definedName name="SG_07_04" localSheetId="10">#REF!</definedName>
    <definedName name="SG_07_04">#REF!</definedName>
    <definedName name="SG_07_05" localSheetId="5">#REF!</definedName>
    <definedName name="SG_07_05" localSheetId="0">#REF!</definedName>
    <definedName name="SG_07_05" localSheetId="10">#REF!</definedName>
    <definedName name="SG_07_05">#REF!</definedName>
    <definedName name="SG_07_06" localSheetId="5">#REF!</definedName>
    <definedName name="SG_07_06" localSheetId="0">#REF!</definedName>
    <definedName name="SG_07_06" localSheetId="10">#REF!</definedName>
    <definedName name="SG_07_06">#REF!</definedName>
    <definedName name="SG_07_07" localSheetId="5">#REF!</definedName>
    <definedName name="SG_07_07" localSheetId="0">#REF!</definedName>
    <definedName name="SG_07_07" localSheetId="10">#REF!</definedName>
    <definedName name="SG_07_07">#REF!</definedName>
    <definedName name="SG_07_08" localSheetId="5">#REF!</definedName>
    <definedName name="SG_07_08" localSheetId="0">#REF!</definedName>
    <definedName name="SG_07_08" localSheetId="10">#REF!</definedName>
    <definedName name="SG_07_08">#REF!</definedName>
    <definedName name="SG_07_09" localSheetId="5">#REF!</definedName>
    <definedName name="SG_07_09" localSheetId="0">#REF!</definedName>
    <definedName name="SG_07_09" localSheetId="10">#REF!</definedName>
    <definedName name="SG_07_09">#REF!</definedName>
    <definedName name="SG_07_10" localSheetId="5">#REF!</definedName>
    <definedName name="SG_07_10" localSheetId="0">#REF!</definedName>
    <definedName name="SG_07_10" localSheetId="10">#REF!</definedName>
    <definedName name="SG_07_10">#REF!</definedName>
    <definedName name="SG_07_11" localSheetId="5">#REF!</definedName>
    <definedName name="SG_07_11" localSheetId="0">#REF!</definedName>
    <definedName name="SG_07_11" localSheetId="10">#REF!</definedName>
    <definedName name="SG_07_11">#REF!</definedName>
    <definedName name="SG_07_12" localSheetId="5">#REF!</definedName>
    <definedName name="SG_07_12" localSheetId="0">#REF!</definedName>
    <definedName name="SG_07_12" localSheetId="10">#REF!</definedName>
    <definedName name="SG_07_12">#REF!</definedName>
    <definedName name="SG_07_13" localSheetId="5">#REF!</definedName>
    <definedName name="SG_07_13" localSheetId="0">#REF!</definedName>
    <definedName name="SG_07_13" localSheetId="10">#REF!</definedName>
    <definedName name="SG_07_13">#REF!</definedName>
    <definedName name="SG_07_14" localSheetId="5">#REF!</definedName>
    <definedName name="SG_07_14" localSheetId="0">#REF!</definedName>
    <definedName name="SG_07_14" localSheetId="10">#REF!</definedName>
    <definedName name="SG_07_14">#REF!</definedName>
    <definedName name="SG_07_15" localSheetId="5">#REF!</definedName>
    <definedName name="SG_07_15" localSheetId="0">#REF!</definedName>
    <definedName name="SG_07_15" localSheetId="10">#REF!</definedName>
    <definedName name="SG_07_15">#REF!</definedName>
    <definedName name="SG_07_16" localSheetId="5">#REF!</definedName>
    <definedName name="SG_07_16" localSheetId="0">#REF!</definedName>
    <definedName name="SG_07_16" localSheetId="10">#REF!</definedName>
    <definedName name="SG_07_16">#REF!</definedName>
    <definedName name="SG_07_17" localSheetId="5">#REF!</definedName>
    <definedName name="SG_07_17" localSheetId="0">#REF!</definedName>
    <definedName name="SG_07_17" localSheetId="10">#REF!</definedName>
    <definedName name="SG_07_17">#REF!</definedName>
    <definedName name="SG_07_18" localSheetId="5">#REF!</definedName>
    <definedName name="SG_07_18" localSheetId="0">#REF!</definedName>
    <definedName name="SG_07_18" localSheetId="10">#REF!</definedName>
    <definedName name="SG_07_18">#REF!</definedName>
    <definedName name="SG_07_19" localSheetId="5">#REF!</definedName>
    <definedName name="SG_07_19" localSheetId="0">#REF!</definedName>
    <definedName name="SG_07_19" localSheetId="10">#REF!</definedName>
    <definedName name="SG_07_19">#REF!</definedName>
    <definedName name="SG_07_20" localSheetId="5">#REF!</definedName>
    <definedName name="SG_07_20" localSheetId="0">#REF!</definedName>
    <definedName name="SG_07_20" localSheetId="10">#REF!</definedName>
    <definedName name="SG_07_20">#REF!</definedName>
    <definedName name="SG_07_21" localSheetId="5">#REF!</definedName>
    <definedName name="SG_07_21" localSheetId="0">#REF!</definedName>
    <definedName name="SG_07_21" localSheetId="10">#REF!</definedName>
    <definedName name="SG_07_21">#REF!</definedName>
    <definedName name="SG_07_22" localSheetId="5">#REF!</definedName>
    <definedName name="SG_07_22" localSheetId="0">#REF!</definedName>
    <definedName name="SG_07_22" localSheetId="10">#REF!</definedName>
    <definedName name="SG_07_22">#REF!</definedName>
    <definedName name="SG_07_23" localSheetId="5">#REF!</definedName>
    <definedName name="SG_07_23" localSheetId="0">#REF!</definedName>
    <definedName name="SG_07_23" localSheetId="10">#REF!</definedName>
    <definedName name="SG_07_23">#REF!</definedName>
    <definedName name="SG_07_24" localSheetId="5">#REF!</definedName>
    <definedName name="SG_07_24" localSheetId="0">#REF!</definedName>
    <definedName name="SG_07_24" localSheetId="10">#REF!</definedName>
    <definedName name="SG_07_24">#REF!</definedName>
    <definedName name="SG_07_25" localSheetId="5">#REF!</definedName>
    <definedName name="SG_07_25" localSheetId="0">#REF!</definedName>
    <definedName name="SG_07_25" localSheetId="10">#REF!</definedName>
    <definedName name="SG_07_25">#REF!</definedName>
    <definedName name="SG_08_01" localSheetId="5">#REF!</definedName>
    <definedName name="SG_08_01" localSheetId="0">#REF!</definedName>
    <definedName name="SG_08_01" localSheetId="10">#REF!</definedName>
    <definedName name="SG_08_01">#REF!</definedName>
    <definedName name="SG_08_02" localSheetId="5">#REF!</definedName>
    <definedName name="SG_08_02" localSheetId="0">#REF!</definedName>
    <definedName name="SG_08_02" localSheetId="10">#REF!</definedName>
    <definedName name="SG_08_02">#REF!</definedName>
    <definedName name="SG_08_03" localSheetId="5">#REF!</definedName>
    <definedName name="SG_08_03" localSheetId="0">#REF!</definedName>
    <definedName name="SG_08_03" localSheetId="10">#REF!</definedName>
    <definedName name="SG_08_03">#REF!</definedName>
    <definedName name="SG_08_04" localSheetId="5">#REF!</definedName>
    <definedName name="SG_08_04" localSheetId="0">#REF!</definedName>
    <definedName name="SG_08_04" localSheetId="10">#REF!</definedName>
    <definedName name="SG_08_04">#REF!</definedName>
    <definedName name="SG_08_05" localSheetId="5">#REF!</definedName>
    <definedName name="SG_08_05" localSheetId="0">#REF!</definedName>
    <definedName name="SG_08_05" localSheetId="10">#REF!</definedName>
    <definedName name="SG_08_05">#REF!</definedName>
    <definedName name="SG_08_06" localSheetId="5">#REF!</definedName>
    <definedName name="SG_08_06" localSheetId="0">#REF!</definedName>
    <definedName name="SG_08_06" localSheetId="10">#REF!</definedName>
    <definedName name="SG_08_06">#REF!</definedName>
    <definedName name="SG_08_07" localSheetId="5">#REF!</definedName>
    <definedName name="SG_08_07" localSheetId="0">#REF!</definedName>
    <definedName name="SG_08_07" localSheetId="10">#REF!</definedName>
    <definedName name="SG_08_07">#REF!</definedName>
    <definedName name="SG_08_08" localSheetId="5">#REF!</definedName>
    <definedName name="SG_08_08" localSheetId="0">#REF!</definedName>
    <definedName name="SG_08_08" localSheetId="10">#REF!</definedName>
    <definedName name="SG_08_08">#REF!</definedName>
    <definedName name="SG_08_09" localSheetId="5">#REF!</definedName>
    <definedName name="SG_08_09" localSheetId="0">#REF!</definedName>
    <definedName name="SG_08_09" localSheetId="10">#REF!</definedName>
    <definedName name="SG_08_09">#REF!</definedName>
    <definedName name="SG_08_10" localSheetId="5">#REF!</definedName>
    <definedName name="SG_08_10" localSheetId="0">#REF!</definedName>
    <definedName name="SG_08_10" localSheetId="10">#REF!</definedName>
    <definedName name="SG_08_10">#REF!</definedName>
    <definedName name="SG_08_11" localSheetId="5">#REF!</definedName>
    <definedName name="SG_08_11" localSheetId="0">#REF!</definedName>
    <definedName name="SG_08_11" localSheetId="10">#REF!</definedName>
    <definedName name="SG_08_11">#REF!</definedName>
    <definedName name="SG_08_12" localSheetId="5">#REF!</definedName>
    <definedName name="SG_08_12" localSheetId="0">#REF!</definedName>
    <definedName name="SG_08_12" localSheetId="10">#REF!</definedName>
    <definedName name="SG_08_12">#REF!</definedName>
    <definedName name="SG_08_13" localSheetId="5">#REF!</definedName>
    <definedName name="SG_08_13" localSheetId="0">#REF!</definedName>
    <definedName name="SG_08_13" localSheetId="10">#REF!</definedName>
    <definedName name="SG_08_13">#REF!</definedName>
    <definedName name="SG_08_14" localSheetId="5">#REF!</definedName>
    <definedName name="SG_08_14" localSheetId="0">#REF!</definedName>
    <definedName name="SG_08_14" localSheetId="10">#REF!</definedName>
    <definedName name="SG_08_14">#REF!</definedName>
    <definedName name="SG_08_15" localSheetId="5">#REF!</definedName>
    <definedName name="SG_08_15" localSheetId="0">#REF!</definedName>
    <definedName name="SG_08_15" localSheetId="10">#REF!</definedName>
    <definedName name="SG_08_15">#REF!</definedName>
    <definedName name="SG_08_16" localSheetId="5">#REF!</definedName>
    <definedName name="SG_08_16" localSheetId="0">#REF!</definedName>
    <definedName name="SG_08_16" localSheetId="10">#REF!</definedName>
    <definedName name="SG_08_16">#REF!</definedName>
    <definedName name="SG_08_17" localSheetId="5">#REF!</definedName>
    <definedName name="SG_08_17" localSheetId="0">#REF!</definedName>
    <definedName name="SG_08_17" localSheetId="10">#REF!</definedName>
    <definedName name="SG_08_17">#REF!</definedName>
    <definedName name="SG_08_18" localSheetId="5">#REF!</definedName>
    <definedName name="SG_08_18" localSheetId="0">#REF!</definedName>
    <definedName name="SG_08_18" localSheetId="10">#REF!</definedName>
    <definedName name="SG_08_18">#REF!</definedName>
    <definedName name="SG_08_19" localSheetId="5">#REF!</definedName>
    <definedName name="SG_08_19" localSheetId="0">#REF!</definedName>
    <definedName name="SG_08_19" localSheetId="10">#REF!</definedName>
    <definedName name="SG_08_19">#REF!</definedName>
    <definedName name="SG_08_20" localSheetId="5">#REF!</definedName>
    <definedName name="SG_08_20" localSheetId="0">#REF!</definedName>
    <definedName name="SG_08_20" localSheetId="10">#REF!</definedName>
    <definedName name="SG_08_20">#REF!</definedName>
    <definedName name="SG_08_21" localSheetId="5">#REF!</definedName>
    <definedName name="SG_08_21" localSheetId="0">#REF!</definedName>
    <definedName name="SG_08_21" localSheetId="10">#REF!</definedName>
    <definedName name="SG_08_21">#REF!</definedName>
    <definedName name="SG_08_22" localSheetId="5">#REF!</definedName>
    <definedName name="SG_08_22" localSheetId="0">#REF!</definedName>
    <definedName name="SG_08_22" localSheetId="10">#REF!</definedName>
    <definedName name="SG_08_22">#REF!</definedName>
    <definedName name="SG_08_23" localSheetId="5">#REF!</definedName>
    <definedName name="SG_08_23" localSheetId="0">#REF!</definedName>
    <definedName name="SG_08_23" localSheetId="10">#REF!</definedName>
    <definedName name="SG_08_23">#REF!</definedName>
    <definedName name="SG_08_24" localSheetId="5">#REF!</definedName>
    <definedName name="SG_08_24" localSheetId="0">#REF!</definedName>
    <definedName name="SG_08_24" localSheetId="10">#REF!</definedName>
    <definedName name="SG_08_24">#REF!</definedName>
    <definedName name="SG_08_25" localSheetId="5">#REF!</definedName>
    <definedName name="SG_08_25" localSheetId="0">#REF!</definedName>
    <definedName name="SG_08_25" localSheetId="10">#REF!</definedName>
    <definedName name="SG_08_25">#REF!</definedName>
    <definedName name="SG_09_01" localSheetId="5">#REF!</definedName>
    <definedName name="SG_09_01" localSheetId="0">#REF!</definedName>
    <definedName name="SG_09_01" localSheetId="10">#REF!</definedName>
    <definedName name="SG_09_01">#REF!</definedName>
    <definedName name="SG_09_02" localSheetId="5">#REF!</definedName>
    <definedName name="SG_09_02" localSheetId="0">#REF!</definedName>
    <definedName name="SG_09_02" localSheetId="10">#REF!</definedName>
    <definedName name="SG_09_02">#REF!</definedName>
    <definedName name="SG_09_03" localSheetId="5">#REF!</definedName>
    <definedName name="SG_09_03" localSheetId="0">#REF!</definedName>
    <definedName name="SG_09_03" localSheetId="10">#REF!</definedName>
    <definedName name="SG_09_03">#REF!</definedName>
    <definedName name="SG_09_04" localSheetId="5">#REF!</definedName>
    <definedName name="SG_09_04" localSheetId="0">#REF!</definedName>
    <definedName name="SG_09_04" localSheetId="10">#REF!</definedName>
    <definedName name="SG_09_04">#REF!</definedName>
    <definedName name="SG_09_05" localSheetId="5">#REF!</definedName>
    <definedName name="SG_09_05" localSheetId="0">#REF!</definedName>
    <definedName name="SG_09_05" localSheetId="10">#REF!</definedName>
    <definedName name="SG_09_05">#REF!</definedName>
    <definedName name="SG_09_06" localSheetId="5">#REF!</definedName>
    <definedName name="SG_09_06" localSheetId="0">#REF!</definedName>
    <definedName name="SG_09_06" localSheetId="10">#REF!</definedName>
    <definedName name="SG_09_06">#REF!</definedName>
    <definedName name="SG_09_07" localSheetId="5">#REF!</definedName>
    <definedName name="SG_09_07" localSheetId="0">#REF!</definedName>
    <definedName name="SG_09_07" localSheetId="10">#REF!</definedName>
    <definedName name="SG_09_07">#REF!</definedName>
    <definedName name="SG_09_08" localSheetId="5">#REF!</definedName>
    <definedName name="SG_09_08" localSheetId="0">#REF!</definedName>
    <definedName name="SG_09_08" localSheetId="10">#REF!</definedName>
    <definedName name="SG_09_08">#REF!</definedName>
    <definedName name="SG_09_09" localSheetId="5">#REF!</definedName>
    <definedName name="SG_09_09" localSheetId="0">#REF!</definedName>
    <definedName name="SG_09_09" localSheetId="10">#REF!</definedName>
    <definedName name="SG_09_09">#REF!</definedName>
    <definedName name="SG_09_10" localSheetId="5">#REF!</definedName>
    <definedName name="SG_09_10" localSheetId="0">#REF!</definedName>
    <definedName name="SG_09_10" localSheetId="10">#REF!</definedName>
    <definedName name="SG_09_10">#REF!</definedName>
    <definedName name="SG_09_11" localSheetId="5">#REF!</definedName>
    <definedName name="SG_09_11" localSheetId="0">#REF!</definedName>
    <definedName name="SG_09_11" localSheetId="10">#REF!</definedName>
    <definedName name="SG_09_11">#REF!</definedName>
    <definedName name="SG_09_12" localSheetId="5">#REF!</definedName>
    <definedName name="SG_09_12" localSheetId="0">#REF!</definedName>
    <definedName name="SG_09_12" localSheetId="10">#REF!</definedName>
    <definedName name="SG_09_12">#REF!</definedName>
    <definedName name="SG_09_13" localSheetId="5">#REF!</definedName>
    <definedName name="SG_09_13" localSheetId="0">#REF!</definedName>
    <definedName name="SG_09_13" localSheetId="10">#REF!</definedName>
    <definedName name="SG_09_13">#REF!</definedName>
    <definedName name="SG_09_14" localSheetId="5">#REF!</definedName>
    <definedName name="SG_09_14" localSheetId="0">#REF!</definedName>
    <definedName name="SG_09_14" localSheetId="10">#REF!</definedName>
    <definedName name="SG_09_14">#REF!</definedName>
    <definedName name="SG_09_15" localSheetId="5">#REF!</definedName>
    <definedName name="SG_09_15" localSheetId="0">#REF!</definedName>
    <definedName name="SG_09_15" localSheetId="10">#REF!</definedName>
    <definedName name="SG_09_15">#REF!</definedName>
    <definedName name="SG_09_16" localSheetId="5">#REF!</definedName>
    <definedName name="SG_09_16" localSheetId="0">#REF!</definedName>
    <definedName name="SG_09_16" localSheetId="10">#REF!</definedName>
    <definedName name="SG_09_16">#REF!</definedName>
    <definedName name="SG_09_17" localSheetId="5">#REF!</definedName>
    <definedName name="SG_09_17" localSheetId="0">#REF!</definedName>
    <definedName name="SG_09_17" localSheetId="10">#REF!</definedName>
    <definedName name="SG_09_17">#REF!</definedName>
    <definedName name="SG_09_18" localSheetId="5">#REF!</definedName>
    <definedName name="SG_09_18" localSheetId="0">#REF!</definedName>
    <definedName name="SG_09_18" localSheetId="10">#REF!</definedName>
    <definedName name="SG_09_18">#REF!</definedName>
    <definedName name="SG_09_19" localSheetId="5">#REF!</definedName>
    <definedName name="SG_09_19" localSheetId="0">#REF!</definedName>
    <definedName name="SG_09_19" localSheetId="10">#REF!</definedName>
    <definedName name="SG_09_19">#REF!</definedName>
    <definedName name="SG_09_20" localSheetId="5">#REF!</definedName>
    <definedName name="SG_09_20" localSheetId="0">#REF!</definedName>
    <definedName name="SG_09_20" localSheetId="10">#REF!</definedName>
    <definedName name="SG_09_20">#REF!</definedName>
    <definedName name="SG_09_21" localSheetId="5">#REF!</definedName>
    <definedName name="SG_09_21" localSheetId="0">#REF!</definedName>
    <definedName name="SG_09_21" localSheetId="10">#REF!</definedName>
    <definedName name="SG_09_21">#REF!</definedName>
    <definedName name="SG_09_22" localSheetId="5">#REF!</definedName>
    <definedName name="SG_09_22" localSheetId="0">#REF!</definedName>
    <definedName name="SG_09_22" localSheetId="10">#REF!</definedName>
    <definedName name="SG_09_22">#REF!</definedName>
    <definedName name="SG_09_23" localSheetId="5">#REF!</definedName>
    <definedName name="SG_09_23" localSheetId="0">#REF!</definedName>
    <definedName name="SG_09_23" localSheetId="10">#REF!</definedName>
    <definedName name="SG_09_23">#REF!</definedName>
    <definedName name="SG_09_24" localSheetId="5">#REF!</definedName>
    <definedName name="SG_09_24" localSheetId="0">#REF!</definedName>
    <definedName name="SG_09_24" localSheetId="10">#REF!</definedName>
    <definedName name="SG_09_24">#REF!</definedName>
    <definedName name="SG_09_25" localSheetId="5">#REF!</definedName>
    <definedName name="SG_09_25" localSheetId="0">#REF!</definedName>
    <definedName name="SG_09_25" localSheetId="10">#REF!</definedName>
    <definedName name="SG_09_25">#REF!</definedName>
    <definedName name="SG_10_01" localSheetId="5">#REF!</definedName>
    <definedName name="SG_10_01" localSheetId="0">#REF!</definedName>
    <definedName name="SG_10_01" localSheetId="10">#REF!</definedName>
    <definedName name="SG_10_01">#REF!</definedName>
    <definedName name="SG_10_02" localSheetId="5">#REF!</definedName>
    <definedName name="SG_10_02" localSheetId="0">#REF!</definedName>
    <definedName name="SG_10_02" localSheetId="10">#REF!</definedName>
    <definedName name="SG_10_02">#REF!</definedName>
    <definedName name="SG_10_03" localSheetId="5">#REF!</definedName>
    <definedName name="SG_10_03" localSheetId="0">#REF!</definedName>
    <definedName name="SG_10_03" localSheetId="10">#REF!</definedName>
    <definedName name="SG_10_03">#REF!</definedName>
    <definedName name="SG_10_04" localSheetId="5">#REF!</definedName>
    <definedName name="SG_10_04" localSheetId="0">#REF!</definedName>
    <definedName name="SG_10_04" localSheetId="10">#REF!</definedName>
    <definedName name="SG_10_04">#REF!</definedName>
    <definedName name="SG_10_05" localSheetId="5">#REF!</definedName>
    <definedName name="SG_10_05" localSheetId="0">#REF!</definedName>
    <definedName name="SG_10_05" localSheetId="10">#REF!</definedName>
    <definedName name="SG_10_05">#REF!</definedName>
    <definedName name="SG_10_06" localSheetId="5">#REF!</definedName>
    <definedName name="SG_10_06" localSheetId="0">#REF!</definedName>
    <definedName name="SG_10_06" localSheetId="10">#REF!</definedName>
    <definedName name="SG_10_06">#REF!</definedName>
    <definedName name="SG_10_07" localSheetId="5">#REF!</definedName>
    <definedName name="SG_10_07" localSheetId="0">#REF!</definedName>
    <definedName name="SG_10_07" localSheetId="10">#REF!</definedName>
    <definedName name="SG_10_07">#REF!</definedName>
    <definedName name="SG_10_08" localSheetId="5">#REF!</definedName>
    <definedName name="SG_10_08" localSheetId="0">#REF!</definedName>
    <definedName name="SG_10_08" localSheetId="10">#REF!</definedName>
    <definedName name="SG_10_08">#REF!</definedName>
    <definedName name="SG_10_09" localSheetId="5">#REF!</definedName>
    <definedName name="SG_10_09" localSheetId="0">#REF!</definedName>
    <definedName name="SG_10_09" localSheetId="10">#REF!</definedName>
    <definedName name="SG_10_09">#REF!</definedName>
    <definedName name="SG_10_10" localSheetId="5">#REF!</definedName>
    <definedName name="SG_10_10" localSheetId="0">#REF!</definedName>
    <definedName name="SG_10_10" localSheetId="10">#REF!</definedName>
    <definedName name="SG_10_10">#REF!</definedName>
    <definedName name="SG_10_11" localSheetId="5">#REF!</definedName>
    <definedName name="SG_10_11" localSheetId="0">#REF!</definedName>
    <definedName name="SG_10_11" localSheetId="10">#REF!</definedName>
    <definedName name="SG_10_11">#REF!</definedName>
    <definedName name="SG_10_12" localSheetId="5">#REF!</definedName>
    <definedName name="SG_10_12" localSheetId="0">#REF!</definedName>
    <definedName name="SG_10_12" localSheetId="10">#REF!</definedName>
    <definedName name="SG_10_12">#REF!</definedName>
    <definedName name="SG_10_13" localSheetId="5">#REF!</definedName>
    <definedName name="SG_10_13" localSheetId="0">#REF!</definedName>
    <definedName name="SG_10_13" localSheetId="10">#REF!</definedName>
    <definedName name="SG_10_13">#REF!</definedName>
    <definedName name="SG_10_14" localSheetId="5">#REF!</definedName>
    <definedName name="SG_10_14" localSheetId="0">#REF!</definedName>
    <definedName name="SG_10_14" localSheetId="10">#REF!</definedName>
    <definedName name="SG_10_14">#REF!</definedName>
    <definedName name="SG_10_15" localSheetId="5">#REF!</definedName>
    <definedName name="SG_10_15" localSheetId="0">#REF!</definedName>
    <definedName name="SG_10_15" localSheetId="10">#REF!</definedName>
    <definedName name="SG_10_15">#REF!</definedName>
    <definedName name="SG_10_16" localSheetId="5">#REF!</definedName>
    <definedName name="SG_10_16" localSheetId="0">#REF!</definedName>
    <definedName name="SG_10_16" localSheetId="10">#REF!</definedName>
    <definedName name="SG_10_16">#REF!</definedName>
    <definedName name="SG_10_17" localSheetId="5">#REF!</definedName>
    <definedName name="SG_10_17" localSheetId="0">#REF!</definedName>
    <definedName name="SG_10_17" localSheetId="10">#REF!</definedName>
    <definedName name="SG_10_17">#REF!</definedName>
    <definedName name="SG_10_18" localSheetId="5">#REF!</definedName>
    <definedName name="SG_10_18" localSheetId="0">#REF!</definedName>
    <definedName name="SG_10_18" localSheetId="10">#REF!</definedName>
    <definedName name="SG_10_18">#REF!</definedName>
    <definedName name="SG_10_19" localSheetId="5">#REF!</definedName>
    <definedName name="SG_10_19" localSheetId="0">#REF!</definedName>
    <definedName name="SG_10_19" localSheetId="10">#REF!</definedName>
    <definedName name="SG_10_19">#REF!</definedName>
    <definedName name="SG_10_20" localSheetId="5">#REF!</definedName>
    <definedName name="SG_10_20" localSheetId="0">#REF!</definedName>
    <definedName name="SG_10_20" localSheetId="10">#REF!</definedName>
    <definedName name="SG_10_20">#REF!</definedName>
    <definedName name="SG_10_21" localSheetId="5">#REF!</definedName>
    <definedName name="SG_10_21" localSheetId="0">#REF!</definedName>
    <definedName name="SG_10_21" localSheetId="10">#REF!</definedName>
    <definedName name="SG_10_21">#REF!</definedName>
    <definedName name="SG_10_22" localSheetId="5">#REF!</definedName>
    <definedName name="SG_10_22" localSheetId="0">#REF!</definedName>
    <definedName name="SG_10_22" localSheetId="10">#REF!</definedName>
    <definedName name="SG_10_22">#REF!</definedName>
    <definedName name="SG_10_23" localSheetId="5">#REF!</definedName>
    <definedName name="SG_10_23" localSheetId="0">#REF!</definedName>
    <definedName name="SG_10_23" localSheetId="10">#REF!</definedName>
    <definedName name="SG_10_23">#REF!</definedName>
    <definedName name="SG_10_24" localSheetId="5">#REF!</definedName>
    <definedName name="SG_10_24" localSheetId="0">#REF!</definedName>
    <definedName name="SG_10_24" localSheetId="10">#REF!</definedName>
    <definedName name="SG_10_24">#REF!</definedName>
    <definedName name="SG_10_25" localSheetId="5">#REF!</definedName>
    <definedName name="SG_10_25" localSheetId="0">#REF!</definedName>
    <definedName name="SG_10_25" localSheetId="10">#REF!</definedName>
    <definedName name="SG_10_25">#REF!</definedName>
    <definedName name="SG_11_01" localSheetId="5">#REF!</definedName>
    <definedName name="SG_11_01" localSheetId="0">#REF!</definedName>
    <definedName name="SG_11_01" localSheetId="10">#REF!</definedName>
    <definedName name="SG_11_01">#REF!</definedName>
    <definedName name="SG_11_02" localSheetId="5">#REF!</definedName>
    <definedName name="SG_11_02" localSheetId="0">#REF!</definedName>
    <definedName name="SG_11_02" localSheetId="10">#REF!</definedName>
    <definedName name="SG_11_02">#REF!</definedName>
    <definedName name="SG_11_03" localSheetId="5">#REF!</definedName>
    <definedName name="SG_11_03" localSheetId="0">#REF!</definedName>
    <definedName name="SG_11_03" localSheetId="10">#REF!</definedName>
    <definedName name="SG_11_03">#REF!</definedName>
    <definedName name="SG_11_04" localSheetId="5">#REF!</definedName>
    <definedName name="SG_11_04" localSheetId="0">#REF!</definedName>
    <definedName name="SG_11_04" localSheetId="10">#REF!</definedName>
    <definedName name="SG_11_04">#REF!</definedName>
    <definedName name="SG_11_05" localSheetId="5">#REF!</definedName>
    <definedName name="SG_11_05" localSheetId="0">#REF!</definedName>
    <definedName name="SG_11_05" localSheetId="10">#REF!</definedName>
    <definedName name="SG_11_05">#REF!</definedName>
    <definedName name="SG_11_06" localSheetId="5">#REF!</definedName>
    <definedName name="SG_11_06" localSheetId="0">#REF!</definedName>
    <definedName name="SG_11_06" localSheetId="10">#REF!</definedName>
    <definedName name="SG_11_06">#REF!</definedName>
    <definedName name="SG_11_07" localSheetId="5">#REF!</definedName>
    <definedName name="SG_11_07" localSheetId="0">#REF!</definedName>
    <definedName name="SG_11_07" localSheetId="10">#REF!</definedName>
    <definedName name="SG_11_07">#REF!</definedName>
    <definedName name="SG_11_08" localSheetId="5">#REF!</definedName>
    <definedName name="SG_11_08" localSheetId="0">#REF!</definedName>
    <definedName name="SG_11_08" localSheetId="10">#REF!</definedName>
    <definedName name="SG_11_08">#REF!</definedName>
    <definedName name="SG_11_09" localSheetId="5">#REF!</definedName>
    <definedName name="SG_11_09" localSheetId="0">#REF!</definedName>
    <definedName name="SG_11_09" localSheetId="10">#REF!</definedName>
    <definedName name="SG_11_09">#REF!</definedName>
    <definedName name="SG_11_10" localSheetId="5">#REF!</definedName>
    <definedName name="SG_11_10" localSheetId="0">#REF!</definedName>
    <definedName name="SG_11_10" localSheetId="10">#REF!</definedName>
    <definedName name="SG_11_10">#REF!</definedName>
    <definedName name="SG_11_11" localSheetId="5">#REF!</definedName>
    <definedName name="SG_11_11" localSheetId="0">#REF!</definedName>
    <definedName name="SG_11_11" localSheetId="10">#REF!</definedName>
    <definedName name="SG_11_11">#REF!</definedName>
    <definedName name="SG_11_12" localSheetId="5">#REF!</definedName>
    <definedName name="SG_11_12" localSheetId="0">#REF!</definedName>
    <definedName name="SG_11_12" localSheetId="10">#REF!</definedName>
    <definedName name="SG_11_12">#REF!</definedName>
    <definedName name="SG_11_13" localSheetId="5">#REF!</definedName>
    <definedName name="SG_11_13" localSheetId="0">#REF!</definedName>
    <definedName name="SG_11_13" localSheetId="10">#REF!</definedName>
    <definedName name="SG_11_13">#REF!</definedName>
    <definedName name="SG_11_14" localSheetId="5">#REF!</definedName>
    <definedName name="SG_11_14" localSheetId="0">#REF!</definedName>
    <definedName name="SG_11_14" localSheetId="10">#REF!</definedName>
    <definedName name="SG_11_14">#REF!</definedName>
    <definedName name="SG_11_15" localSheetId="5">#REF!</definedName>
    <definedName name="SG_11_15" localSheetId="0">#REF!</definedName>
    <definedName name="SG_11_15" localSheetId="10">#REF!</definedName>
    <definedName name="SG_11_15">#REF!</definedName>
    <definedName name="SG_11_16" localSheetId="5">#REF!</definedName>
    <definedName name="SG_11_16" localSheetId="0">#REF!</definedName>
    <definedName name="SG_11_16" localSheetId="10">#REF!</definedName>
    <definedName name="SG_11_16">#REF!</definedName>
    <definedName name="SG_11_17" localSheetId="5">#REF!</definedName>
    <definedName name="SG_11_17" localSheetId="0">#REF!</definedName>
    <definedName name="SG_11_17" localSheetId="10">#REF!</definedName>
    <definedName name="SG_11_17">#REF!</definedName>
    <definedName name="SG_11_18" localSheetId="5">#REF!</definedName>
    <definedName name="SG_11_18" localSheetId="0">#REF!</definedName>
    <definedName name="SG_11_18" localSheetId="10">#REF!</definedName>
    <definedName name="SG_11_18">#REF!</definedName>
    <definedName name="SG_11_19" localSheetId="5">#REF!</definedName>
    <definedName name="SG_11_19" localSheetId="0">#REF!</definedName>
    <definedName name="SG_11_19" localSheetId="10">#REF!</definedName>
    <definedName name="SG_11_19">#REF!</definedName>
    <definedName name="SG_11_20" localSheetId="5">#REF!</definedName>
    <definedName name="SG_11_20" localSheetId="0">#REF!</definedName>
    <definedName name="SG_11_20" localSheetId="10">#REF!</definedName>
    <definedName name="SG_11_20">#REF!</definedName>
    <definedName name="SG_11_21" localSheetId="5">#REF!</definedName>
    <definedName name="SG_11_21" localSheetId="0">#REF!</definedName>
    <definedName name="SG_11_21" localSheetId="10">#REF!</definedName>
    <definedName name="SG_11_21">#REF!</definedName>
    <definedName name="SG_11_22" localSheetId="5">#REF!</definedName>
    <definedName name="SG_11_22" localSheetId="0">#REF!</definedName>
    <definedName name="SG_11_22" localSheetId="10">#REF!</definedName>
    <definedName name="SG_11_22">#REF!</definedName>
    <definedName name="SG_11_23" localSheetId="5">#REF!</definedName>
    <definedName name="SG_11_23" localSheetId="0">#REF!</definedName>
    <definedName name="SG_11_23" localSheetId="10">#REF!</definedName>
    <definedName name="SG_11_23">#REF!</definedName>
    <definedName name="SG_11_24" localSheetId="5">#REF!</definedName>
    <definedName name="SG_11_24" localSheetId="0">#REF!</definedName>
    <definedName name="SG_11_24" localSheetId="10">#REF!</definedName>
    <definedName name="SG_11_24">#REF!</definedName>
    <definedName name="SG_11_25" localSheetId="5">#REF!</definedName>
    <definedName name="SG_11_25" localSheetId="0">#REF!</definedName>
    <definedName name="SG_11_25" localSheetId="10">#REF!</definedName>
    <definedName name="SG_11_25">#REF!</definedName>
    <definedName name="SG_12_01" localSheetId="5">#REF!</definedName>
    <definedName name="SG_12_01" localSheetId="0">#REF!</definedName>
    <definedName name="SG_12_01" localSheetId="10">#REF!</definedName>
    <definedName name="SG_12_01">#REF!</definedName>
    <definedName name="SG_12_02" localSheetId="5">#REF!</definedName>
    <definedName name="SG_12_02" localSheetId="0">#REF!</definedName>
    <definedName name="SG_12_02" localSheetId="10">#REF!</definedName>
    <definedName name="SG_12_02">#REF!</definedName>
    <definedName name="SG_12_03" localSheetId="5">#REF!</definedName>
    <definedName name="SG_12_03" localSheetId="0">#REF!</definedName>
    <definedName name="SG_12_03" localSheetId="10">#REF!</definedName>
    <definedName name="SG_12_03">#REF!</definedName>
    <definedName name="SG_12_04" localSheetId="5">#REF!</definedName>
    <definedName name="SG_12_04" localSheetId="0">#REF!</definedName>
    <definedName name="SG_12_04" localSheetId="10">#REF!</definedName>
    <definedName name="SG_12_04">#REF!</definedName>
    <definedName name="SG_12_05" localSheetId="5">#REF!</definedName>
    <definedName name="SG_12_05" localSheetId="0">#REF!</definedName>
    <definedName name="SG_12_05" localSheetId="10">#REF!</definedName>
    <definedName name="SG_12_05">#REF!</definedName>
    <definedName name="SG_12_06" localSheetId="5">#REF!</definedName>
    <definedName name="SG_12_06" localSheetId="0">#REF!</definedName>
    <definedName name="SG_12_06" localSheetId="10">#REF!</definedName>
    <definedName name="SG_12_06">#REF!</definedName>
    <definedName name="SG_12_07" localSheetId="5">#REF!</definedName>
    <definedName name="SG_12_07" localSheetId="0">#REF!</definedName>
    <definedName name="SG_12_07" localSheetId="10">#REF!</definedName>
    <definedName name="SG_12_07">#REF!</definedName>
    <definedName name="SG_12_08" localSheetId="5">#REF!</definedName>
    <definedName name="SG_12_08" localSheetId="0">#REF!</definedName>
    <definedName name="SG_12_08" localSheetId="10">#REF!</definedName>
    <definedName name="SG_12_08">#REF!</definedName>
    <definedName name="SG_12_09" localSheetId="5">#REF!</definedName>
    <definedName name="SG_12_09" localSheetId="0">#REF!</definedName>
    <definedName name="SG_12_09" localSheetId="10">#REF!</definedName>
    <definedName name="SG_12_09">#REF!</definedName>
    <definedName name="SG_12_10" localSheetId="5">#REF!</definedName>
    <definedName name="SG_12_10" localSheetId="0">#REF!</definedName>
    <definedName name="SG_12_10" localSheetId="10">#REF!</definedName>
    <definedName name="SG_12_10">#REF!</definedName>
    <definedName name="SG_12_11" localSheetId="5">#REF!</definedName>
    <definedName name="SG_12_11" localSheetId="0">#REF!</definedName>
    <definedName name="SG_12_11" localSheetId="10">#REF!</definedName>
    <definedName name="SG_12_11">#REF!</definedName>
    <definedName name="SG_12_12" localSheetId="5">#REF!</definedName>
    <definedName name="SG_12_12" localSheetId="0">#REF!</definedName>
    <definedName name="SG_12_12" localSheetId="10">#REF!</definedName>
    <definedName name="SG_12_12">#REF!</definedName>
    <definedName name="SG_12_13" localSheetId="5">#REF!</definedName>
    <definedName name="SG_12_13" localSheetId="0">#REF!</definedName>
    <definedName name="SG_12_13" localSheetId="10">#REF!</definedName>
    <definedName name="SG_12_13">#REF!</definedName>
    <definedName name="SG_12_14" localSheetId="5">#REF!</definedName>
    <definedName name="SG_12_14" localSheetId="0">#REF!</definedName>
    <definedName name="SG_12_14" localSheetId="10">#REF!</definedName>
    <definedName name="SG_12_14">#REF!</definedName>
    <definedName name="SG_12_15" localSheetId="5">#REF!</definedName>
    <definedName name="SG_12_15" localSheetId="0">#REF!</definedName>
    <definedName name="SG_12_15" localSheetId="10">#REF!</definedName>
    <definedName name="SG_12_15">#REF!</definedName>
    <definedName name="SG_12_16" localSheetId="5">#REF!</definedName>
    <definedName name="SG_12_16" localSheetId="0">#REF!</definedName>
    <definedName name="SG_12_16" localSheetId="10">#REF!</definedName>
    <definedName name="SG_12_16">#REF!</definedName>
    <definedName name="SG_12_17" localSheetId="5">#REF!</definedName>
    <definedName name="SG_12_17" localSheetId="0">#REF!</definedName>
    <definedName name="SG_12_17" localSheetId="10">#REF!</definedName>
    <definedName name="SG_12_17">#REF!</definedName>
    <definedName name="SG_12_18" localSheetId="5">#REF!</definedName>
    <definedName name="SG_12_18" localSheetId="0">#REF!</definedName>
    <definedName name="SG_12_18" localSheetId="10">#REF!</definedName>
    <definedName name="SG_12_18">#REF!</definedName>
    <definedName name="SG_12_19" localSheetId="5">#REF!</definedName>
    <definedName name="SG_12_19" localSheetId="0">#REF!</definedName>
    <definedName name="SG_12_19" localSheetId="10">#REF!</definedName>
    <definedName name="SG_12_19">#REF!</definedName>
    <definedName name="SG_12_20" localSheetId="5">#REF!</definedName>
    <definedName name="SG_12_20" localSheetId="0">#REF!</definedName>
    <definedName name="SG_12_20" localSheetId="10">#REF!</definedName>
    <definedName name="SG_12_20">#REF!</definedName>
    <definedName name="SG_12_21" localSheetId="5">#REF!</definedName>
    <definedName name="SG_12_21" localSheetId="0">#REF!</definedName>
    <definedName name="SG_12_21" localSheetId="10">#REF!</definedName>
    <definedName name="SG_12_21">#REF!</definedName>
    <definedName name="SG_12_22" localSheetId="5">#REF!</definedName>
    <definedName name="SG_12_22" localSheetId="0">#REF!</definedName>
    <definedName name="SG_12_22" localSheetId="10">#REF!</definedName>
    <definedName name="SG_12_22">#REF!</definedName>
    <definedName name="SG_12_23" localSheetId="5">#REF!</definedName>
    <definedName name="SG_12_23" localSheetId="0">#REF!</definedName>
    <definedName name="SG_12_23" localSheetId="10">#REF!</definedName>
    <definedName name="SG_12_23">#REF!</definedName>
    <definedName name="SG_12_24" localSheetId="5">#REF!</definedName>
    <definedName name="SG_12_24" localSheetId="0">#REF!</definedName>
    <definedName name="SG_12_24" localSheetId="10">#REF!</definedName>
    <definedName name="SG_12_24">#REF!</definedName>
    <definedName name="SG_12_25" localSheetId="5">#REF!</definedName>
    <definedName name="SG_12_25" localSheetId="0">#REF!</definedName>
    <definedName name="SG_12_25" localSheetId="10">#REF!</definedName>
    <definedName name="SG_12_25">#REF!</definedName>
    <definedName name="SG_13_01" localSheetId="5">#REF!</definedName>
    <definedName name="SG_13_01" localSheetId="0">#REF!</definedName>
    <definedName name="SG_13_01" localSheetId="10">#REF!</definedName>
    <definedName name="SG_13_01">#REF!</definedName>
    <definedName name="SG_13_02" localSheetId="5">#REF!</definedName>
    <definedName name="SG_13_02" localSheetId="0">#REF!</definedName>
    <definedName name="SG_13_02" localSheetId="10">#REF!</definedName>
    <definedName name="SG_13_02">#REF!</definedName>
    <definedName name="SG_13_03" localSheetId="5">#REF!</definedName>
    <definedName name="SG_13_03" localSheetId="0">#REF!</definedName>
    <definedName name="SG_13_03" localSheetId="10">#REF!</definedName>
    <definedName name="SG_13_03">#REF!</definedName>
    <definedName name="SG_13_04" localSheetId="5">#REF!</definedName>
    <definedName name="SG_13_04" localSheetId="0">#REF!</definedName>
    <definedName name="SG_13_04" localSheetId="10">#REF!</definedName>
    <definedName name="SG_13_04">#REF!</definedName>
    <definedName name="SG_13_05" localSheetId="5">#REF!</definedName>
    <definedName name="SG_13_05" localSheetId="0">#REF!</definedName>
    <definedName name="SG_13_05" localSheetId="10">#REF!</definedName>
    <definedName name="SG_13_05">#REF!</definedName>
    <definedName name="SG_13_06" localSheetId="5">#REF!</definedName>
    <definedName name="SG_13_06" localSheetId="0">#REF!</definedName>
    <definedName name="SG_13_06" localSheetId="10">#REF!</definedName>
    <definedName name="SG_13_06">#REF!</definedName>
    <definedName name="SG_13_07" localSheetId="5">#REF!</definedName>
    <definedName name="SG_13_07" localSheetId="0">#REF!</definedName>
    <definedName name="SG_13_07" localSheetId="10">#REF!</definedName>
    <definedName name="SG_13_07">#REF!</definedName>
    <definedName name="SG_13_08" localSheetId="5">#REF!</definedName>
    <definedName name="SG_13_08" localSheetId="0">#REF!</definedName>
    <definedName name="SG_13_08" localSheetId="10">#REF!</definedName>
    <definedName name="SG_13_08">#REF!</definedName>
    <definedName name="SG_13_09" localSheetId="5">#REF!</definedName>
    <definedName name="SG_13_09" localSheetId="0">#REF!</definedName>
    <definedName name="SG_13_09" localSheetId="10">#REF!</definedName>
    <definedName name="SG_13_09">#REF!</definedName>
    <definedName name="SG_13_10" localSheetId="5">#REF!</definedName>
    <definedName name="SG_13_10" localSheetId="0">#REF!</definedName>
    <definedName name="SG_13_10" localSheetId="10">#REF!</definedName>
    <definedName name="SG_13_10">#REF!</definedName>
    <definedName name="SG_13_11" localSheetId="5">#REF!</definedName>
    <definedName name="SG_13_11" localSheetId="0">#REF!</definedName>
    <definedName name="SG_13_11" localSheetId="10">#REF!</definedName>
    <definedName name="SG_13_11">#REF!</definedName>
    <definedName name="SG_13_12" localSheetId="5">#REF!</definedName>
    <definedName name="SG_13_12" localSheetId="0">#REF!</definedName>
    <definedName name="SG_13_12" localSheetId="10">#REF!</definedName>
    <definedName name="SG_13_12">#REF!</definedName>
    <definedName name="SG_13_13" localSheetId="5">#REF!</definedName>
    <definedName name="SG_13_13" localSheetId="0">#REF!</definedName>
    <definedName name="SG_13_13" localSheetId="10">#REF!</definedName>
    <definedName name="SG_13_13">#REF!</definedName>
    <definedName name="SG_13_14" localSheetId="5">#REF!</definedName>
    <definedName name="SG_13_14" localSheetId="0">#REF!</definedName>
    <definedName name="SG_13_14" localSheetId="10">#REF!</definedName>
    <definedName name="SG_13_14">#REF!</definedName>
    <definedName name="SG_13_15" localSheetId="5">#REF!</definedName>
    <definedName name="SG_13_15" localSheetId="0">#REF!</definedName>
    <definedName name="SG_13_15" localSheetId="10">#REF!</definedName>
    <definedName name="SG_13_15">#REF!</definedName>
    <definedName name="SG_13_16" localSheetId="5">#REF!</definedName>
    <definedName name="SG_13_16" localSheetId="0">#REF!</definedName>
    <definedName name="SG_13_16" localSheetId="10">#REF!</definedName>
    <definedName name="SG_13_16">#REF!</definedName>
    <definedName name="SG_13_17" localSheetId="5">#REF!</definedName>
    <definedName name="SG_13_17" localSheetId="0">#REF!</definedName>
    <definedName name="SG_13_17" localSheetId="10">#REF!</definedName>
    <definedName name="SG_13_17">#REF!</definedName>
    <definedName name="SG_13_18" localSheetId="5">#REF!</definedName>
    <definedName name="SG_13_18" localSheetId="0">#REF!</definedName>
    <definedName name="SG_13_18" localSheetId="10">#REF!</definedName>
    <definedName name="SG_13_18">#REF!</definedName>
    <definedName name="SG_13_19" localSheetId="5">#REF!</definedName>
    <definedName name="SG_13_19" localSheetId="0">#REF!</definedName>
    <definedName name="SG_13_19" localSheetId="10">#REF!</definedName>
    <definedName name="SG_13_19">#REF!</definedName>
    <definedName name="SG_13_20" localSheetId="5">#REF!</definedName>
    <definedName name="SG_13_20" localSheetId="0">#REF!</definedName>
    <definedName name="SG_13_20" localSheetId="10">#REF!</definedName>
    <definedName name="SG_13_20">#REF!</definedName>
    <definedName name="SG_13_21" localSheetId="5">#REF!</definedName>
    <definedName name="SG_13_21" localSheetId="0">#REF!</definedName>
    <definedName name="SG_13_21" localSheetId="10">#REF!</definedName>
    <definedName name="SG_13_21">#REF!</definedName>
    <definedName name="SG_13_22" localSheetId="5">#REF!</definedName>
    <definedName name="SG_13_22" localSheetId="0">#REF!</definedName>
    <definedName name="SG_13_22" localSheetId="10">#REF!</definedName>
    <definedName name="SG_13_22">#REF!</definedName>
    <definedName name="SG_13_23" localSheetId="5">#REF!</definedName>
    <definedName name="SG_13_23" localSheetId="0">#REF!</definedName>
    <definedName name="SG_13_23" localSheetId="10">#REF!</definedName>
    <definedName name="SG_13_23">#REF!</definedName>
    <definedName name="SG_13_24" localSheetId="5">#REF!</definedName>
    <definedName name="SG_13_24" localSheetId="0">#REF!</definedName>
    <definedName name="SG_13_24" localSheetId="10">#REF!</definedName>
    <definedName name="SG_13_24">#REF!</definedName>
    <definedName name="SG_13_25" localSheetId="5">#REF!</definedName>
    <definedName name="SG_13_25" localSheetId="0">#REF!</definedName>
    <definedName name="SG_13_25" localSheetId="10">#REF!</definedName>
    <definedName name="SG_13_25">#REF!</definedName>
    <definedName name="SG_14_01" localSheetId="5">#REF!</definedName>
    <definedName name="SG_14_01" localSheetId="0">#REF!</definedName>
    <definedName name="SG_14_01" localSheetId="10">#REF!</definedName>
    <definedName name="SG_14_01">#REF!</definedName>
    <definedName name="SG_14_02" localSheetId="5">#REF!</definedName>
    <definedName name="SG_14_02" localSheetId="0">#REF!</definedName>
    <definedName name="SG_14_02" localSheetId="10">#REF!</definedName>
    <definedName name="SG_14_02">#REF!</definedName>
    <definedName name="SG_14_03" localSheetId="5">#REF!</definedName>
    <definedName name="SG_14_03" localSheetId="0">#REF!</definedName>
    <definedName name="SG_14_03" localSheetId="10">#REF!</definedName>
    <definedName name="SG_14_03">#REF!</definedName>
    <definedName name="SG_14_04" localSheetId="5">#REF!</definedName>
    <definedName name="SG_14_04" localSheetId="0">#REF!</definedName>
    <definedName name="SG_14_04" localSheetId="10">#REF!</definedName>
    <definedName name="SG_14_04">#REF!</definedName>
    <definedName name="SG_14_05" localSheetId="5">#REF!</definedName>
    <definedName name="SG_14_05" localSheetId="0">#REF!</definedName>
    <definedName name="SG_14_05" localSheetId="10">#REF!</definedName>
    <definedName name="SG_14_05">#REF!</definedName>
    <definedName name="SG_14_06" localSheetId="5">#REF!</definedName>
    <definedName name="SG_14_06" localSheetId="0">#REF!</definedName>
    <definedName name="SG_14_06" localSheetId="10">#REF!</definedName>
    <definedName name="SG_14_06">#REF!</definedName>
    <definedName name="SG_14_07" localSheetId="5">#REF!</definedName>
    <definedName name="SG_14_07" localSheetId="0">#REF!</definedName>
    <definedName name="SG_14_07" localSheetId="10">#REF!</definedName>
    <definedName name="SG_14_07">#REF!</definedName>
    <definedName name="SG_14_08" localSheetId="5">#REF!</definedName>
    <definedName name="SG_14_08" localSheetId="0">#REF!</definedName>
    <definedName name="SG_14_08" localSheetId="10">#REF!</definedName>
    <definedName name="SG_14_08">#REF!</definedName>
    <definedName name="SG_14_09" localSheetId="5">#REF!</definedName>
    <definedName name="SG_14_09" localSheetId="0">#REF!</definedName>
    <definedName name="SG_14_09" localSheetId="10">#REF!</definedName>
    <definedName name="SG_14_09">#REF!</definedName>
    <definedName name="SG_14_10" localSheetId="5">#REF!</definedName>
    <definedName name="SG_14_10" localSheetId="0">#REF!</definedName>
    <definedName name="SG_14_10" localSheetId="10">#REF!</definedName>
    <definedName name="SG_14_10">#REF!</definedName>
    <definedName name="SG_14_11" localSheetId="5">#REF!</definedName>
    <definedName name="SG_14_11" localSheetId="0">#REF!</definedName>
    <definedName name="SG_14_11" localSheetId="10">#REF!</definedName>
    <definedName name="SG_14_11">#REF!</definedName>
    <definedName name="SG_14_12" localSheetId="5">#REF!</definedName>
    <definedName name="SG_14_12" localSheetId="0">#REF!</definedName>
    <definedName name="SG_14_12" localSheetId="10">#REF!</definedName>
    <definedName name="SG_14_12">#REF!</definedName>
    <definedName name="SG_14_13" localSheetId="5">#REF!</definedName>
    <definedName name="SG_14_13" localSheetId="0">#REF!</definedName>
    <definedName name="SG_14_13" localSheetId="10">#REF!</definedName>
    <definedName name="SG_14_13">#REF!</definedName>
    <definedName name="SG_14_14" localSheetId="5">#REF!</definedName>
    <definedName name="SG_14_14" localSheetId="0">#REF!</definedName>
    <definedName name="SG_14_14" localSheetId="10">#REF!</definedName>
    <definedName name="SG_14_14">#REF!</definedName>
    <definedName name="SG_14_15" localSheetId="5">#REF!</definedName>
    <definedName name="SG_14_15" localSheetId="0">#REF!</definedName>
    <definedName name="SG_14_15" localSheetId="10">#REF!</definedName>
    <definedName name="SG_14_15">#REF!</definedName>
    <definedName name="SG_14_16" localSheetId="5">#REF!</definedName>
    <definedName name="SG_14_16" localSheetId="0">#REF!</definedName>
    <definedName name="SG_14_16" localSheetId="10">#REF!</definedName>
    <definedName name="SG_14_16">#REF!</definedName>
    <definedName name="SG_14_17" localSheetId="5">#REF!</definedName>
    <definedName name="SG_14_17" localSheetId="0">#REF!</definedName>
    <definedName name="SG_14_17" localSheetId="10">#REF!</definedName>
    <definedName name="SG_14_17">#REF!</definedName>
    <definedName name="SG_14_18" localSheetId="5">#REF!</definedName>
    <definedName name="SG_14_18" localSheetId="0">#REF!</definedName>
    <definedName name="SG_14_18" localSheetId="10">#REF!</definedName>
    <definedName name="SG_14_18">#REF!</definedName>
    <definedName name="SG_14_19" localSheetId="5">#REF!</definedName>
    <definedName name="SG_14_19" localSheetId="0">#REF!</definedName>
    <definedName name="SG_14_19" localSheetId="10">#REF!</definedName>
    <definedName name="SG_14_19">#REF!</definedName>
    <definedName name="SG_14_20" localSheetId="5">#REF!</definedName>
    <definedName name="SG_14_20" localSheetId="0">#REF!</definedName>
    <definedName name="SG_14_20" localSheetId="10">#REF!</definedName>
    <definedName name="SG_14_20">#REF!</definedName>
    <definedName name="SG_14_21" localSheetId="5">#REF!</definedName>
    <definedName name="SG_14_21" localSheetId="0">#REF!</definedName>
    <definedName name="SG_14_21" localSheetId="10">#REF!</definedName>
    <definedName name="SG_14_21">#REF!</definedName>
    <definedName name="SG_14_22" localSheetId="5">#REF!</definedName>
    <definedName name="SG_14_22" localSheetId="0">#REF!</definedName>
    <definedName name="SG_14_22" localSheetId="10">#REF!</definedName>
    <definedName name="SG_14_22">#REF!</definedName>
    <definedName name="SG_14_23" localSheetId="5">#REF!</definedName>
    <definedName name="SG_14_23" localSheetId="0">#REF!</definedName>
    <definedName name="SG_14_23" localSheetId="10">#REF!</definedName>
    <definedName name="SG_14_23">#REF!</definedName>
    <definedName name="SG_14_24" localSheetId="5">#REF!</definedName>
    <definedName name="SG_14_24" localSheetId="0">#REF!</definedName>
    <definedName name="SG_14_24" localSheetId="10">#REF!</definedName>
    <definedName name="SG_14_24">#REF!</definedName>
    <definedName name="SG_14_25" localSheetId="5">#REF!</definedName>
    <definedName name="SG_14_25" localSheetId="0">#REF!</definedName>
    <definedName name="SG_14_25" localSheetId="10">#REF!</definedName>
    <definedName name="SG_14_25">#REF!</definedName>
    <definedName name="SG_15_01" localSheetId="5">#REF!</definedName>
    <definedName name="SG_15_01" localSheetId="0">#REF!</definedName>
    <definedName name="SG_15_01" localSheetId="10">#REF!</definedName>
    <definedName name="SG_15_01">#REF!</definedName>
    <definedName name="SG_15_02" localSheetId="5">#REF!</definedName>
    <definedName name="SG_15_02" localSheetId="0">#REF!</definedName>
    <definedName name="SG_15_02" localSheetId="10">#REF!</definedName>
    <definedName name="SG_15_02">#REF!</definedName>
    <definedName name="SG_15_03" localSheetId="5">#REF!</definedName>
    <definedName name="SG_15_03" localSheetId="0">#REF!</definedName>
    <definedName name="SG_15_03" localSheetId="10">#REF!</definedName>
    <definedName name="SG_15_03">#REF!</definedName>
    <definedName name="SG_15_04" localSheetId="5">#REF!</definedName>
    <definedName name="SG_15_04" localSheetId="0">#REF!</definedName>
    <definedName name="SG_15_04" localSheetId="10">#REF!</definedName>
    <definedName name="SG_15_04">#REF!</definedName>
    <definedName name="SG_15_05" localSheetId="5">#REF!</definedName>
    <definedName name="SG_15_05" localSheetId="0">#REF!</definedName>
    <definedName name="SG_15_05" localSheetId="10">#REF!</definedName>
    <definedName name="SG_15_05">#REF!</definedName>
    <definedName name="SG_15_06" localSheetId="5">#REF!</definedName>
    <definedName name="SG_15_06" localSheetId="0">#REF!</definedName>
    <definedName name="SG_15_06" localSheetId="10">#REF!</definedName>
    <definedName name="SG_15_06">#REF!</definedName>
    <definedName name="SG_15_07" localSheetId="5">#REF!</definedName>
    <definedName name="SG_15_07" localSheetId="0">#REF!</definedName>
    <definedName name="SG_15_07" localSheetId="10">#REF!</definedName>
    <definedName name="SG_15_07">#REF!</definedName>
    <definedName name="SG_15_08" localSheetId="5">#REF!</definedName>
    <definedName name="SG_15_08" localSheetId="0">#REF!</definedName>
    <definedName name="SG_15_08" localSheetId="10">#REF!</definedName>
    <definedName name="SG_15_08">#REF!</definedName>
    <definedName name="SG_15_09" localSheetId="5">#REF!</definedName>
    <definedName name="SG_15_09" localSheetId="0">#REF!</definedName>
    <definedName name="SG_15_09" localSheetId="10">#REF!</definedName>
    <definedName name="SG_15_09">#REF!</definedName>
    <definedName name="SG_15_10" localSheetId="5">#REF!</definedName>
    <definedName name="SG_15_10" localSheetId="0">#REF!</definedName>
    <definedName name="SG_15_10" localSheetId="10">#REF!</definedName>
    <definedName name="SG_15_10">#REF!</definedName>
    <definedName name="SG_15_11" localSheetId="5">#REF!</definedName>
    <definedName name="SG_15_11" localSheetId="0">#REF!</definedName>
    <definedName name="SG_15_11" localSheetId="10">#REF!</definedName>
    <definedName name="SG_15_11">#REF!</definedName>
    <definedName name="SG_15_12" localSheetId="5">#REF!</definedName>
    <definedName name="SG_15_12" localSheetId="0">#REF!</definedName>
    <definedName name="SG_15_12" localSheetId="10">#REF!</definedName>
    <definedName name="SG_15_12">#REF!</definedName>
    <definedName name="SG_15_13" localSheetId="5">#REF!</definedName>
    <definedName name="SG_15_13" localSheetId="0">#REF!</definedName>
    <definedName name="SG_15_13" localSheetId="10">#REF!</definedName>
    <definedName name="SG_15_13">#REF!</definedName>
    <definedName name="SG_15_14" localSheetId="5">#REF!</definedName>
    <definedName name="SG_15_14" localSheetId="0">#REF!</definedName>
    <definedName name="SG_15_14" localSheetId="10">#REF!</definedName>
    <definedName name="SG_15_14">#REF!</definedName>
    <definedName name="SG_15_15" localSheetId="5">#REF!</definedName>
    <definedName name="SG_15_15" localSheetId="0">#REF!</definedName>
    <definedName name="SG_15_15" localSheetId="10">#REF!</definedName>
    <definedName name="SG_15_15">#REF!</definedName>
    <definedName name="SG_15_16" localSheetId="5">#REF!</definedName>
    <definedName name="SG_15_16" localSheetId="0">#REF!</definedName>
    <definedName name="SG_15_16" localSheetId="10">#REF!</definedName>
    <definedName name="SG_15_16">#REF!</definedName>
    <definedName name="SG_15_17" localSheetId="5">#REF!</definedName>
    <definedName name="SG_15_17" localSheetId="0">#REF!</definedName>
    <definedName name="SG_15_17" localSheetId="10">#REF!</definedName>
    <definedName name="SG_15_17">#REF!</definedName>
    <definedName name="SG_15_18" localSheetId="5">#REF!</definedName>
    <definedName name="SG_15_18" localSheetId="0">#REF!</definedName>
    <definedName name="SG_15_18" localSheetId="10">#REF!</definedName>
    <definedName name="SG_15_18">#REF!</definedName>
    <definedName name="SG_15_19" localSheetId="5">#REF!</definedName>
    <definedName name="SG_15_19" localSheetId="0">#REF!</definedName>
    <definedName name="SG_15_19" localSheetId="10">#REF!</definedName>
    <definedName name="SG_15_19">#REF!</definedName>
    <definedName name="SG_15_20" localSheetId="5">#REF!</definedName>
    <definedName name="SG_15_20" localSheetId="0">#REF!</definedName>
    <definedName name="SG_15_20" localSheetId="10">#REF!</definedName>
    <definedName name="SG_15_20">#REF!</definedName>
    <definedName name="SG_15_21" localSheetId="5">#REF!</definedName>
    <definedName name="SG_15_21" localSheetId="0">#REF!</definedName>
    <definedName name="SG_15_21" localSheetId="10">#REF!</definedName>
    <definedName name="SG_15_21">#REF!</definedName>
    <definedName name="SG_15_22" localSheetId="5">#REF!</definedName>
    <definedName name="SG_15_22" localSheetId="0">#REF!</definedName>
    <definedName name="SG_15_22" localSheetId="10">#REF!</definedName>
    <definedName name="SG_15_22">#REF!</definedName>
    <definedName name="SG_15_23" localSheetId="5">#REF!</definedName>
    <definedName name="SG_15_23" localSheetId="0">#REF!</definedName>
    <definedName name="SG_15_23" localSheetId="10">#REF!</definedName>
    <definedName name="SG_15_23">#REF!</definedName>
    <definedName name="SG_15_24" localSheetId="5">#REF!</definedName>
    <definedName name="SG_15_24" localSheetId="0">#REF!</definedName>
    <definedName name="SG_15_24" localSheetId="10">#REF!</definedName>
    <definedName name="SG_15_24">#REF!</definedName>
    <definedName name="SG_15_25" localSheetId="5">#REF!</definedName>
    <definedName name="SG_15_25" localSheetId="0">#REF!</definedName>
    <definedName name="SG_15_25" localSheetId="10">#REF!</definedName>
    <definedName name="SG_15_25">#REF!</definedName>
    <definedName name="SG_16_01" localSheetId="5">#REF!</definedName>
    <definedName name="SG_16_01" localSheetId="0">#REF!</definedName>
    <definedName name="SG_16_01" localSheetId="10">#REF!</definedName>
    <definedName name="SG_16_01">#REF!</definedName>
    <definedName name="SG_16_02" localSheetId="5">#REF!</definedName>
    <definedName name="SG_16_02" localSheetId="0">#REF!</definedName>
    <definedName name="SG_16_02" localSheetId="10">#REF!</definedName>
    <definedName name="SG_16_02">#REF!</definedName>
    <definedName name="SG_16_03" localSheetId="5">#REF!</definedName>
    <definedName name="SG_16_03" localSheetId="0">#REF!</definedName>
    <definedName name="SG_16_03" localSheetId="10">#REF!</definedName>
    <definedName name="SG_16_03">#REF!</definedName>
    <definedName name="SG_16_04" localSheetId="5">#REF!</definedName>
    <definedName name="SG_16_04" localSheetId="0">#REF!</definedName>
    <definedName name="SG_16_04" localSheetId="10">#REF!</definedName>
    <definedName name="SG_16_04">#REF!</definedName>
    <definedName name="SG_16_05" localSheetId="5">#REF!</definedName>
    <definedName name="SG_16_05" localSheetId="0">#REF!</definedName>
    <definedName name="SG_16_05" localSheetId="10">#REF!</definedName>
    <definedName name="SG_16_05">#REF!</definedName>
    <definedName name="SG_16_06" localSheetId="5">#REF!</definedName>
    <definedName name="SG_16_06" localSheetId="0">#REF!</definedName>
    <definedName name="SG_16_06" localSheetId="10">#REF!</definedName>
    <definedName name="SG_16_06">#REF!</definedName>
    <definedName name="SG_16_07" localSheetId="5">#REF!</definedName>
    <definedName name="SG_16_07" localSheetId="0">#REF!</definedName>
    <definedName name="SG_16_07" localSheetId="10">#REF!</definedName>
    <definedName name="SG_16_07">#REF!</definedName>
    <definedName name="SG_16_08" localSheetId="5">#REF!</definedName>
    <definedName name="SG_16_08" localSheetId="0">#REF!</definedName>
    <definedName name="SG_16_08" localSheetId="10">#REF!</definedName>
    <definedName name="SG_16_08">#REF!</definedName>
    <definedName name="SG_16_09" localSheetId="5">#REF!</definedName>
    <definedName name="SG_16_09" localSheetId="0">#REF!</definedName>
    <definedName name="SG_16_09" localSheetId="10">#REF!</definedName>
    <definedName name="SG_16_09">#REF!</definedName>
    <definedName name="SG_16_10" localSheetId="5">#REF!</definedName>
    <definedName name="SG_16_10" localSheetId="0">#REF!</definedName>
    <definedName name="SG_16_10" localSheetId="10">#REF!</definedName>
    <definedName name="SG_16_10">#REF!</definedName>
    <definedName name="SG_16_11" localSheetId="5">#REF!</definedName>
    <definedName name="SG_16_11" localSheetId="0">#REF!</definedName>
    <definedName name="SG_16_11" localSheetId="10">#REF!</definedName>
    <definedName name="SG_16_11">#REF!</definedName>
    <definedName name="SG_16_12" localSheetId="5">#REF!</definedName>
    <definedName name="SG_16_12" localSheetId="0">#REF!</definedName>
    <definedName name="SG_16_12" localSheetId="10">#REF!</definedName>
    <definedName name="SG_16_12">#REF!</definedName>
    <definedName name="SG_16_13" localSheetId="5">#REF!</definedName>
    <definedName name="SG_16_13" localSheetId="0">#REF!</definedName>
    <definedName name="SG_16_13" localSheetId="10">#REF!</definedName>
    <definedName name="SG_16_13">#REF!</definedName>
    <definedName name="SG_16_14" localSheetId="5">#REF!</definedName>
    <definedName name="SG_16_14" localSheetId="0">#REF!</definedName>
    <definedName name="SG_16_14" localSheetId="10">#REF!</definedName>
    <definedName name="SG_16_14">#REF!</definedName>
    <definedName name="SG_16_15" localSheetId="5">#REF!</definedName>
    <definedName name="SG_16_15" localSheetId="0">#REF!</definedName>
    <definedName name="SG_16_15" localSheetId="10">#REF!</definedName>
    <definedName name="SG_16_15">#REF!</definedName>
    <definedName name="SG_16_16" localSheetId="5">#REF!</definedName>
    <definedName name="SG_16_16" localSheetId="0">#REF!</definedName>
    <definedName name="SG_16_16" localSheetId="10">#REF!</definedName>
    <definedName name="SG_16_16">#REF!</definedName>
    <definedName name="SG_16_17" localSheetId="5">#REF!</definedName>
    <definedName name="SG_16_17" localSheetId="0">#REF!</definedName>
    <definedName name="SG_16_17" localSheetId="10">#REF!</definedName>
    <definedName name="SG_16_17">#REF!</definedName>
    <definedName name="SG_16_18" localSheetId="5">#REF!</definedName>
    <definedName name="SG_16_18" localSheetId="0">#REF!</definedName>
    <definedName name="SG_16_18" localSheetId="10">#REF!</definedName>
    <definedName name="SG_16_18">#REF!</definedName>
    <definedName name="SG_16_19" localSheetId="5">#REF!</definedName>
    <definedName name="SG_16_19" localSheetId="0">#REF!</definedName>
    <definedName name="SG_16_19" localSheetId="10">#REF!</definedName>
    <definedName name="SG_16_19">#REF!</definedName>
    <definedName name="SG_16_20" localSheetId="5">#REF!</definedName>
    <definedName name="SG_16_20" localSheetId="0">#REF!</definedName>
    <definedName name="SG_16_20" localSheetId="10">#REF!</definedName>
    <definedName name="SG_16_20">#REF!</definedName>
    <definedName name="SG_16_21" localSheetId="5">#REF!</definedName>
    <definedName name="SG_16_21" localSheetId="0">#REF!</definedName>
    <definedName name="SG_16_21" localSheetId="10">#REF!</definedName>
    <definedName name="SG_16_21">#REF!</definedName>
    <definedName name="SG_16_22" localSheetId="5">#REF!</definedName>
    <definedName name="SG_16_22" localSheetId="0">#REF!</definedName>
    <definedName name="SG_16_22" localSheetId="10">#REF!</definedName>
    <definedName name="SG_16_22">#REF!</definedName>
    <definedName name="SG_16_23" localSheetId="5">#REF!</definedName>
    <definedName name="SG_16_23" localSheetId="0">#REF!</definedName>
    <definedName name="SG_16_23" localSheetId="10">#REF!</definedName>
    <definedName name="SG_16_23">#REF!</definedName>
    <definedName name="SG_16_24" localSheetId="5">#REF!</definedName>
    <definedName name="SG_16_24" localSheetId="0">#REF!</definedName>
    <definedName name="SG_16_24" localSheetId="10">#REF!</definedName>
    <definedName name="SG_16_24">#REF!</definedName>
    <definedName name="SG_16_25" localSheetId="5">#REF!</definedName>
    <definedName name="SG_16_25" localSheetId="0">#REF!</definedName>
    <definedName name="SG_16_25" localSheetId="10">#REF!</definedName>
    <definedName name="SG_16_25">#REF!</definedName>
    <definedName name="SG_17_01" localSheetId="5">#REF!</definedName>
    <definedName name="SG_17_01" localSheetId="0">#REF!</definedName>
    <definedName name="SG_17_01" localSheetId="10">#REF!</definedName>
    <definedName name="SG_17_01">#REF!</definedName>
    <definedName name="SG_17_02" localSheetId="5">#REF!</definedName>
    <definedName name="SG_17_02" localSheetId="0">#REF!</definedName>
    <definedName name="SG_17_02" localSheetId="10">#REF!</definedName>
    <definedName name="SG_17_02">#REF!</definedName>
    <definedName name="SG_17_03" localSheetId="5">#REF!</definedName>
    <definedName name="SG_17_03" localSheetId="0">#REF!</definedName>
    <definedName name="SG_17_03" localSheetId="10">#REF!</definedName>
    <definedName name="SG_17_03">#REF!</definedName>
    <definedName name="SG_17_04" localSheetId="5">#REF!</definedName>
    <definedName name="SG_17_04" localSheetId="0">#REF!</definedName>
    <definedName name="SG_17_04" localSheetId="10">#REF!</definedName>
    <definedName name="SG_17_04">#REF!</definedName>
    <definedName name="SG_17_05" localSheetId="5">#REF!</definedName>
    <definedName name="SG_17_05" localSheetId="0">#REF!</definedName>
    <definedName name="SG_17_05" localSheetId="10">#REF!</definedName>
    <definedName name="SG_17_05">#REF!</definedName>
    <definedName name="SG_17_06" localSheetId="5">#REF!</definedName>
    <definedName name="SG_17_06" localSheetId="0">#REF!</definedName>
    <definedName name="SG_17_06" localSheetId="10">#REF!</definedName>
    <definedName name="SG_17_06">#REF!</definedName>
    <definedName name="SG_17_07" localSheetId="5">#REF!</definedName>
    <definedName name="SG_17_07" localSheetId="0">#REF!</definedName>
    <definedName name="SG_17_07" localSheetId="10">#REF!</definedName>
    <definedName name="SG_17_07">#REF!</definedName>
    <definedName name="SG_17_08" localSheetId="5">#REF!</definedName>
    <definedName name="SG_17_08" localSheetId="0">#REF!</definedName>
    <definedName name="SG_17_08" localSheetId="10">#REF!</definedName>
    <definedName name="SG_17_08">#REF!</definedName>
    <definedName name="SG_17_09" localSheetId="5">#REF!</definedName>
    <definedName name="SG_17_09" localSheetId="0">#REF!</definedName>
    <definedName name="SG_17_09" localSheetId="10">#REF!</definedName>
    <definedName name="SG_17_09">#REF!</definedName>
    <definedName name="SG_17_10" localSheetId="5">#REF!</definedName>
    <definedName name="SG_17_10" localSheetId="0">#REF!</definedName>
    <definedName name="SG_17_10" localSheetId="10">#REF!</definedName>
    <definedName name="SG_17_10">#REF!</definedName>
    <definedName name="SG_17_11" localSheetId="5">#REF!</definedName>
    <definedName name="SG_17_11" localSheetId="0">#REF!</definedName>
    <definedName name="SG_17_11" localSheetId="10">#REF!</definedName>
    <definedName name="SG_17_11">#REF!</definedName>
    <definedName name="SG_17_12" localSheetId="5">#REF!</definedName>
    <definedName name="SG_17_12" localSheetId="0">#REF!</definedName>
    <definedName name="SG_17_12" localSheetId="10">#REF!</definedName>
    <definedName name="SG_17_12">#REF!</definedName>
    <definedName name="SG_17_13" localSheetId="5">#REF!</definedName>
    <definedName name="SG_17_13" localSheetId="0">#REF!</definedName>
    <definedName name="SG_17_13" localSheetId="10">#REF!</definedName>
    <definedName name="SG_17_13">#REF!</definedName>
    <definedName name="SG_17_14" localSheetId="5">#REF!</definedName>
    <definedName name="SG_17_14" localSheetId="0">#REF!</definedName>
    <definedName name="SG_17_14" localSheetId="10">#REF!</definedName>
    <definedName name="SG_17_14">#REF!</definedName>
    <definedName name="SG_17_15" localSheetId="5">#REF!</definedName>
    <definedName name="SG_17_15" localSheetId="0">#REF!</definedName>
    <definedName name="SG_17_15" localSheetId="10">#REF!</definedName>
    <definedName name="SG_17_15">#REF!</definedName>
    <definedName name="SG_17_16" localSheetId="5">#REF!</definedName>
    <definedName name="SG_17_16" localSheetId="0">#REF!</definedName>
    <definedName name="SG_17_16" localSheetId="10">#REF!</definedName>
    <definedName name="SG_17_16">#REF!</definedName>
    <definedName name="SG_17_17" localSheetId="5">#REF!</definedName>
    <definedName name="SG_17_17" localSheetId="0">#REF!</definedName>
    <definedName name="SG_17_17" localSheetId="10">#REF!</definedName>
    <definedName name="SG_17_17">#REF!</definedName>
    <definedName name="SG_17_18" localSheetId="5">#REF!</definedName>
    <definedName name="SG_17_18" localSheetId="0">#REF!</definedName>
    <definedName name="SG_17_18" localSheetId="10">#REF!</definedName>
    <definedName name="SG_17_18">#REF!</definedName>
    <definedName name="SG_17_19" localSheetId="5">#REF!</definedName>
    <definedName name="SG_17_19" localSheetId="0">#REF!</definedName>
    <definedName name="SG_17_19" localSheetId="10">#REF!</definedName>
    <definedName name="SG_17_19">#REF!</definedName>
    <definedName name="SG_17_20" localSheetId="5">#REF!</definedName>
    <definedName name="SG_17_20" localSheetId="0">#REF!</definedName>
    <definedName name="SG_17_20" localSheetId="10">#REF!</definedName>
    <definedName name="SG_17_20">#REF!</definedName>
    <definedName name="SG_17_21" localSheetId="5">#REF!</definedName>
    <definedName name="SG_17_21" localSheetId="0">#REF!</definedName>
    <definedName name="SG_17_21" localSheetId="10">#REF!</definedName>
    <definedName name="SG_17_21">#REF!</definedName>
    <definedName name="SG_17_22" localSheetId="5">#REF!</definedName>
    <definedName name="SG_17_22" localSheetId="0">#REF!</definedName>
    <definedName name="SG_17_22" localSheetId="10">#REF!</definedName>
    <definedName name="SG_17_22">#REF!</definedName>
    <definedName name="SG_17_23" localSheetId="5">#REF!</definedName>
    <definedName name="SG_17_23" localSheetId="0">#REF!</definedName>
    <definedName name="SG_17_23" localSheetId="10">#REF!</definedName>
    <definedName name="SG_17_23">#REF!</definedName>
    <definedName name="SG_17_24" localSheetId="5">#REF!</definedName>
    <definedName name="SG_17_24" localSheetId="0">#REF!</definedName>
    <definedName name="SG_17_24" localSheetId="10">#REF!</definedName>
    <definedName name="SG_17_24">#REF!</definedName>
    <definedName name="SG_17_25" localSheetId="5">#REF!</definedName>
    <definedName name="SG_17_25" localSheetId="0">#REF!</definedName>
    <definedName name="SG_17_25" localSheetId="10">#REF!</definedName>
    <definedName name="SG_17_25">#REF!</definedName>
    <definedName name="SG_18_01" localSheetId="5">#REF!</definedName>
    <definedName name="SG_18_01" localSheetId="0">#REF!</definedName>
    <definedName name="SG_18_01" localSheetId="10">#REF!</definedName>
    <definedName name="SG_18_01">#REF!</definedName>
    <definedName name="SG_18_02" localSheetId="5">#REF!</definedName>
    <definedName name="SG_18_02" localSheetId="0">#REF!</definedName>
    <definedName name="SG_18_02" localSheetId="10">#REF!</definedName>
    <definedName name="SG_18_02">#REF!</definedName>
    <definedName name="SG_18_03" localSheetId="5">#REF!</definedName>
    <definedName name="SG_18_03" localSheetId="0">#REF!</definedName>
    <definedName name="SG_18_03" localSheetId="10">#REF!</definedName>
    <definedName name="SG_18_03">#REF!</definedName>
    <definedName name="SG_18_04" localSheetId="5">#REF!</definedName>
    <definedName name="SG_18_04" localSheetId="0">#REF!</definedName>
    <definedName name="SG_18_04" localSheetId="10">#REF!</definedName>
    <definedName name="SG_18_04">#REF!</definedName>
    <definedName name="SG_18_05" localSheetId="5">#REF!</definedName>
    <definedName name="SG_18_05" localSheetId="0">#REF!</definedName>
    <definedName name="SG_18_05" localSheetId="10">#REF!</definedName>
    <definedName name="SG_18_05">#REF!</definedName>
    <definedName name="SG_18_06" localSheetId="5">#REF!</definedName>
    <definedName name="SG_18_06" localSheetId="0">#REF!</definedName>
    <definedName name="SG_18_06" localSheetId="10">#REF!</definedName>
    <definedName name="SG_18_06">#REF!</definedName>
    <definedName name="SG_18_07" localSheetId="5">#REF!</definedName>
    <definedName name="SG_18_07" localSheetId="0">#REF!</definedName>
    <definedName name="SG_18_07" localSheetId="10">#REF!</definedName>
    <definedName name="SG_18_07">#REF!</definedName>
    <definedName name="SG_18_08" localSheetId="5">#REF!</definedName>
    <definedName name="SG_18_08" localSheetId="0">#REF!</definedName>
    <definedName name="SG_18_08" localSheetId="10">#REF!</definedName>
    <definedName name="SG_18_08">#REF!</definedName>
    <definedName name="SG_18_09" localSheetId="5">#REF!</definedName>
    <definedName name="SG_18_09" localSheetId="0">#REF!</definedName>
    <definedName name="SG_18_09" localSheetId="10">#REF!</definedName>
    <definedName name="SG_18_09">#REF!</definedName>
    <definedName name="SG_18_10" localSheetId="5">#REF!</definedName>
    <definedName name="SG_18_10" localSheetId="0">#REF!</definedName>
    <definedName name="SG_18_10" localSheetId="10">#REF!</definedName>
    <definedName name="SG_18_10">#REF!</definedName>
    <definedName name="SG_18_11" localSheetId="5">#REF!</definedName>
    <definedName name="SG_18_11" localSheetId="0">#REF!</definedName>
    <definedName name="SG_18_11" localSheetId="10">#REF!</definedName>
    <definedName name="SG_18_11">#REF!</definedName>
    <definedName name="SG_18_12" localSheetId="5">#REF!</definedName>
    <definedName name="SG_18_12" localSheetId="0">#REF!</definedName>
    <definedName name="SG_18_12" localSheetId="10">#REF!</definedName>
    <definedName name="SG_18_12">#REF!</definedName>
    <definedName name="SG_18_13" localSheetId="5">#REF!</definedName>
    <definedName name="SG_18_13" localSheetId="0">#REF!</definedName>
    <definedName name="SG_18_13" localSheetId="10">#REF!</definedName>
    <definedName name="SG_18_13">#REF!</definedName>
    <definedName name="SG_18_14" localSheetId="5">#REF!</definedName>
    <definedName name="SG_18_14" localSheetId="0">#REF!</definedName>
    <definedName name="SG_18_14" localSheetId="10">#REF!</definedName>
    <definedName name="SG_18_14">#REF!</definedName>
    <definedName name="SG_18_15" localSheetId="5">#REF!</definedName>
    <definedName name="SG_18_15" localSheetId="0">#REF!</definedName>
    <definedName name="SG_18_15" localSheetId="10">#REF!</definedName>
    <definedName name="SG_18_15">#REF!</definedName>
    <definedName name="SG_18_16" localSheetId="5">#REF!</definedName>
    <definedName name="SG_18_16" localSheetId="0">#REF!</definedName>
    <definedName name="SG_18_16" localSheetId="10">#REF!</definedName>
    <definedName name="SG_18_16">#REF!</definedName>
    <definedName name="SG_18_17" localSheetId="5">#REF!</definedName>
    <definedName name="SG_18_17" localSheetId="0">#REF!</definedName>
    <definedName name="SG_18_17" localSheetId="10">#REF!</definedName>
    <definedName name="SG_18_17">#REF!</definedName>
    <definedName name="SG_18_18" localSheetId="5">#REF!</definedName>
    <definedName name="SG_18_18" localSheetId="0">#REF!</definedName>
    <definedName name="SG_18_18" localSheetId="10">#REF!</definedName>
    <definedName name="SG_18_18">#REF!</definedName>
    <definedName name="SG_18_19" localSheetId="5">#REF!</definedName>
    <definedName name="SG_18_19" localSheetId="0">#REF!</definedName>
    <definedName name="SG_18_19" localSheetId="10">#REF!</definedName>
    <definedName name="SG_18_19">#REF!</definedName>
    <definedName name="SG_18_20" localSheetId="5">#REF!</definedName>
    <definedName name="SG_18_20" localSheetId="0">#REF!</definedName>
    <definedName name="SG_18_20" localSheetId="10">#REF!</definedName>
    <definedName name="SG_18_20">#REF!</definedName>
    <definedName name="SG_18_21" localSheetId="5">#REF!</definedName>
    <definedName name="SG_18_21" localSheetId="0">#REF!</definedName>
    <definedName name="SG_18_21" localSheetId="10">#REF!</definedName>
    <definedName name="SG_18_21">#REF!</definedName>
    <definedName name="SG_18_22" localSheetId="5">#REF!</definedName>
    <definedName name="SG_18_22" localSheetId="0">#REF!</definedName>
    <definedName name="SG_18_22" localSheetId="10">#REF!</definedName>
    <definedName name="SG_18_22">#REF!</definedName>
    <definedName name="SG_18_23" localSheetId="5">#REF!</definedName>
    <definedName name="SG_18_23" localSheetId="0">#REF!</definedName>
    <definedName name="SG_18_23" localSheetId="10">#REF!</definedName>
    <definedName name="SG_18_23">#REF!</definedName>
    <definedName name="SG_18_24" localSheetId="5">#REF!</definedName>
    <definedName name="SG_18_24" localSheetId="0">#REF!</definedName>
    <definedName name="SG_18_24" localSheetId="10">#REF!</definedName>
    <definedName name="SG_18_24">#REF!</definedName>
    <definedName name="SG_18_25" localSheetId="5">#REF!</definedName>
    <definedName name="SG_18_25" localSheetId="0">#REF!</definedName>
    <definedName name="SG_18_25" localSheetId="10">#REF!</definedName>
    <definedName name="SG_18_25">#REF!</definedName>
    <definedName name="SG_19_01" localSheetId="5">#REF!</definedName>
    <definedName name="SG_19_01" localSheetId="0">#REF!</definedName>
    <definedName name="SG_19_01" localSheetId="10">#REF!</definedName>
    <definedName name="SG_19_01">#REF!</definedName>
    <definedName name="SG_19_02" localSheetId="5">#REF!</definedName>
    <definedName name="SG_19_02" localSheetId="0">#REF!</definedName>
    <definedName name="SG_19_02" localSheetId="10">#REF!</definedName>
    <definedName name="SG_19_02">#REF!</definedName>
    <definedName name="SG_19_03" localSheetId="5">#REF!</definedName>
    <definedName name="SG_19_03" localSheetId="0">#REF!</definedName>
    <definedName name="SG_19_03" localSheetId="10">#REF!</definedName>
    <definedName name="SG_19_03">#REF!</definedName>
    <definedName name="SG_19_04" localSheetId="5">#REF!</definedName>
    <definedName name="SG_19_04" localSheetId="0">#REF!</definedName>
    <definedName name="SG_19_04" localSheetId="10">#REF!</definedName>
    <definedName name="SG_19_04">#REF!</definedName>
    <definedName name="SG_19_05" localSheetId="5">#REF!</definedName>
    <definedName name="SG_19_05" localSheetId="0">#REF!</definedName>
    <definedName name="SG_19_05" localSheetId="10">#REF!</definedName>
    <definedName name="SG_19_05">#REF!</definedName>
    <definedName name="SG_19_06" localSheetId="5">#REF!</definedName>
    <definedName name="SG_19_06" localSheetId="0">#REF!</definedName>
    <definedName name="SG_19_06" localSheetId="10">#REF!</definedName>
    <definedName name="SG_19_06">#REF!</definedName>
    <definedName name="SG_19_07" localSheetId="5">#REF!</definedName>
    <definedName name="SG_19_07" localSheetId="0">#REF!</definedName>
    <definedName name="SG_19_07" localSheetId="10">#REF!</definedName>
    <definedName name="SG_19_07">#REF!</definedName>
    <definedName name="SG_19_08" localSheetId="5">#REF!</definedName>
    <definedName name="SG_19_08" localSheetId="0">#REF!</definedName>
    <definedName name="SG_19_08" localSheetId="10">#REF!</definedName>
    <definedName name="SG_19_08">#REF!</definedName>
    <definedName name="SG_19_09" localSheetId="5">#REF!</definedName>
    <definedName name="SG_19_09" localSheetId="0">#REF!</definedName>
    <definedName name="SG_19_09" localSheetId="10">#REF!</definedName>
    <definedName name="SG_19_09">#REF!</definedName>
    <definedName name="SG_19_10" localSheetId="5">#REF!</definedName>
    <definedName name="SG_19_10" localSheetId="0">#REF!</definedName>
    <definedName name="SG_19_10" localSheetId="10">#REF!</definedName>
    <definedName name="SG_19_10">#REF!</definedName>
    <definedName name="SG_19_11" localSheetId="5">#REF!</definedName>
    <definedName name="SG_19_11" localSheetId="0">#REF!</definedName>
    <definedName name="SG_19_11" localSheetId="10">#REF!</definedName>
    <definedName name="SG_19_11">#REF!</definedName>
    <definedName name="SG_19_12" localSheetId="5">#REF!</definedName>
    <definedName name="SG_19_12" localSheetId="0">#REF!</definedName>
    <definedName name="SG_19_12" localSheetId="10">#REF!</definedName>
    <definedName name="SG_19_12">#REF!</definedName>
    <definedName name="SG_19_13" localSheetId="5">#REF!</definedName>
    <definedName name="SG_19_13" localSheetId="0">#REF!</definedName>
    <definedName name="SG_19_13" localSheetId="10">#REF!</definedName>
    <definedName name="SG_19_13">#REF!</definedName>
    <definedName name="SG_19_14" localSheetId="5">#REF!</definedName>
    <definedName name="SG_19_14" localSheetId="0">#REF!</definedName>
    <definedName name="SG_19_14" localSheetId="10">#REF!</definedName>
    <definedName name="SG_19_14">#REF!</definedName>
    <definedName name="SG_19_15" localSheetId="5">#REF!</definedName>
    <definedName name="SG_19_15" localSheetId="0">#REF!</definedName>
    <definedName name="SG_19_15" localSheetId="10">#REF!</definedName>
    <definedName name="SG_19_15">#REF!</definedName>
    <definedName name="SG_19_16" localSheetId="5">#REF!</definedName>
    <definedName name="SG_19_16" localSheetId="0">#REF!</definedName>
    <definedName name="SG_19_16" localSheetId="10">#REF!</definedName>
    <definedName name="SG_19_16">#REF!</definedName>
    <definedName name="SG_19_17" localSheetId="5">#REF!</definedName>
    <definedName name="SG_19_17" localSheetId="0">#REF!</definedName>
    <definedName name="SG_19_17" localSheetId="10">#REF!</definedName>
    <definedName name="SG_19_17">#REF!</definedName>
    <definedName name="SG_19_18" localSheetId="5">#REF!</definedName>
    <definedName name="SG_19_18" localSheetId="0">#REF!</definedName>
    <definedName name="SG_19_18" localSheetId="10">#REF!</definedName>
    <definedName name="SG_19_18">#REF!</definedName>
    <definedName name="SG_19_19" localSheetId="5">#REF!</definedName>
    <definedName name="SG_19_19" localSheetId="0">#REF!</definedName>
    <definedName name="SG_19_19" localSheetId="10">#REF!</definedName>
    <definedName name="SG_19_19">#REF!</definedName>
    <definedName name="SG_19_20" localSheetId="5">#REF!</definedName>
    <definedName name="SG_19_20" localSheetId="0">#REF!</definedName>
    <definedName name="SG_19_20" localSheetId="10">#REF!</definedName>
    <definedName name="SG_19_20">#REF!</definedName>
    <definedName name="SG_19_21" localSheetId="5">#REF!</definedName>
    <definedName name="SG_19_21" localSheetId="0">#REF!</definedName>
    <definedName name="SG_19_21" localSheetId="10">#REF!</definedName>
    <definedName name="SG_19_21">#REF!</definedName>
    <definedName name="SG_19_22" localSheetId="5">#REF!</definedName>
    <definedName name="SG_19_22" localSheetId="0">#REF!</definedName>
    <definedName name="SG_19_22" localSheetId="10">#REF!</definedName>
    <definedName name="SG_19_22">#REF!</definedName>
    <definedName name="SG_19_23" localSheetId="5">#REF!</definedName>
    <definedName name="SG_19_23" localSheetId="0">#REF!</definedName>
    <definedName name="SG_19_23" localSheetId="10">#REF!</definedName>
    <definedName name="SG_19_23">#REF!</definedName>
    <definedName name="SG_19_24" localSheetId="5">#REF!</definedName>
    <definedName name="SG_19_24" localSheetId="0">#REF!</definedName>
    <definedName name="SG_19_24" localSheetId="10">#REF!</definedName>
    <definedName name="SG_19_24">#REF!</definedName>
    <definedName name="SG_19_25" localSheetId="5">#REF!</definedName>
    <definedName name="SG_19_25" localSheetId="0">#REF!</definedName>
    <definedName name="SG_19_25" localSheetId="10">#REF!</definedName>
    <definedName name="SG_19_25">#REF!</definedName>
    <definedName name="SG_20_01" localSheetId="5">#REF!</definedName>
    <definedName name="SG_20_01" localSheetId="0">#REF!</definedName>
    <definedName name="SG_20_01" localSheetId="10">#REF!</definedName>
    <definedName name="SG_20_01">#REF!</definedName>
    <definedName name="SG_20_02" localSheetId="5">#REF!</definedName>
    <definedName name="SG_20_02" localSheetId="0">#REF!</definedName>
    <definedName name="SG_20_02" localSheetId="10">#REF!</definedName>
    <definedName name="SG_20_02">#REF!</definedName>
    <definedName name="SG_20_03" localSheetId="5">#REF!</definedName>
    <definedName name="SG_20_03" localSheetId="0">#REF!</definedName>
    <definedName name="SG_20_03" localSheetId="10">#REF!</definedName>
    <definedName name="SG_20_03">#REF!</definedName>
    <definedName name="SG_20_04" localSheetId="5">#REF!</definedName>
    <definedName name="SG_20_04" localSheetId="0">#REF!</definedName>
    <definedName name="SG_20_04" localSheetId="10">#REF!</definedName>
    <definedName name="SG_20_04">#REF!</definedName>
    <definedName name="SG_20_05" localSheetId="5">#REF!</definedName>
    <definedName name="SG_20_05" localSheetId="0">#REF!</definedName>
    <definedName name="SG_20_05" localSheetId="10">#REF!</definedName>
    <definedName name="SG_20_05">#REF!</definedName>
    <definedName name="SG_20_06" localSheetId="5">#REF!</definedName>
    <definedName name="SG_20_06" localSheetId="0">#REF!</definedName>
    <definedName name="SG_20_06" localSheetId="10">#REF!</definedName>
    <definedName name="SG_20_06">#REF!</definedName>
    <definedName name="SG_20_07" localSheetId="5">#REF!</definedName>
    <definedName name="SG_20_07" localSheetId="0">#REF!</definedName>
    <definedName name="SG_20_07" localSheetId="10">#REF!</definedName>
    <definedName name="SG_20_07">#REF!</definedName>
    <definedName name="SG_20_08" localSheetId="5">#REF!</definedName>
    <definedName name="SG_20_08" localSheetId="0">#REF!</definedName>
    <definedName name="SG_20_08" localSheetId="10">#REF!</definedName>
    <definedName name="SG_20_08">#REF!</definedName>
    <definedName name="SG_20_09" localSheetId="5">#REF!</definedName>
    <definedName name="SG_20_09" localSheetId="0">#REF!</definedName>
    <definedName name="SG_20_09" localSheetId="10">#REF!</definedName>
    <definedName name="SG_20_09">#REF!</definedName>
    <definedName name="SG_20_10" localSheetId="5">#REF!</definedName>
    <definedName name="SG_20_10" localSheetId="0">#REF!</definedName>
    <definedName name="SG_20_10" localSheetId="10">#REF!</definedName>
    <definedName name="SG_20_10">#REF!</definedName>
    <definedName name="SG_20_11" localSheetId="5">#REF!</definedName>
    <definedName name="SG_20_11" localSheetId="0">#REF!</definedName>
    <definedName name="SG_20_11" localSheetId="10">#REF!</definedName>
    <definedName name="SG_20_11">#REF!</definedName>
    <definedName name="SG_20_12" localSheetId="5">#REF!</definedName>
    <definedName name="SG_20_12" localSheetId="0">#REF!</definedName>
    <definedName name="SG_20_12" localSheetId="10">#REF!</definedName>
    <definedName name="SG_20_12">#REF!</definedName>
    <definedName name="SG_20_13" localSheetId="5">#REF!</definedName>
    <definedName name="SG_20_13" localSheetId="0">#REF!</definedName>
    <definedName name="SG_20_13" localSheetId="10">#REF!</definedName>
    <definedName name="SG_20_13">#REF!</definedName>
    <definedName name="SG_20_14" localSheetId="5">#REF!</definedName>
    <definedName name="SG_20_14" localSheetId="0">#REF!</definedName>
    <definedName name="SG_20_14" localSheetId="10">#REF!</definedName>
    <definedName name="SG_20_14">#REF!</definedName>
    <definedName name="SG_20_15" localSheetId="5">#REF!</definedName>
    <definedName name="SG_20_15" localSheetId="0">#REF!</definedName>
    <definedName name="SG_20_15" localSheetId="10">#REF!</definedName>
    <definedName name="SG_20_15">#REF!</definedName>
    <definedName name="SG_20_16" localSheetId="5">#REF!</definedName>
    <definedName name="SG_20_16" localSheetId="0">#REF!</definedName>
    <definedName name="SG_20_16" localSheetId="10">#REF!</definedName>
    <definedName name="SG_20_16">#REF!</definedName>
    <definedName name="SG_20_17" localSheetId="5">#REF!</definedName>
    <definedName name="SG_20_17" localSheetId="0">#REF!</definedName>
    <definedName name="SG_20_17" localSheetId="10">#REF!</definedName>
    <definedName name="SG_20_17">#REF!</definedName>
    <definedName name="SG_20_18" localSheetId="5">#REF!</definedName>
    <definedName name="SG_20_18" localSheetId="0">#REF!</definedName>
    <definedName name="SG_20_18" localSheetId="10">#REF!</definedName>
    <definedName name="SG_20_18">#REF!</definedName>
    <definedName name="SG_20_19" localSheetId="5">#REF!</definedName>
    <definedName name="SG_20_19" localSheetId="0">#REF!</definedName>
    <definedName name="SG_20_19" localSheetId="10">#REF!</definedName>
    <definedName name="SG_20_19">#REF!</definedName>
    <definedName name="SG_20_20" localSheetId="5">#REF!</definedName>
    <definedName name="SG_20_20" localSheetId="0">#REF!</definedName>
    <definedName name="SG_20_20" localSheetId="10">#REF!</definedName>
    <definedName name="SG_20_20">#REF!</definedName>
    <definedName name="SG_20_21" localSheetId="5">#REF!</definedName>
    <definedName name="SG_20_21" localSheetId="0">#REF!</definedName>
    <definedName name="SG_20_21" localSheetId="10">#REF!</definedName>
    <definedName name="SG_20_21">#REF!</definedName>
    <definedName name="SG_20_22" localSheetId="5">#REF!</definedName>
    <definedName name="SG_20_22" localSheetId="0">#REF!</definedName>
    <definedName name="SG_20_22" localSheetId="10">#REF!</definedName>
    <definedName name="SG_20_22">#REF!</definedName>
    <definedName name="SG_20_23" localSheetId="5">#REF!</definedName>
    <definedName name="SG_20_23" localSheetId="0">#REF!</definedName>
    <definedName name="SG_20_23" localSheetId="10">#REF!</definedName>
    <definedName name="SG_20_23">#REF!</definedName>
    <definedName name="SG_20_24" localSheetId="5">#REF!</definedName>
    <definedName name="SG_20_24" localSheetId="0">#REF!</definedName>
    <definedName name="SG_20_24" localSheetId="10">#REF!</definedName>
    <definedName name="SG_20_24">#REF!</definedName>
    <definedName name="SG_20_25" localSheetId="5">#REF!</definedName>
    <definedName name="SG_20_25" localSheetId="0">#REF!</definedName>
    <definedName name="SG_20_25" localSheetId="10">#REF!</definedName>
    <definedName name="SG_20_25">#REF!</definedName>
    <definedName name="SG_21_01" localSheetId="5">#REF!</definedName>
    <definedName name="SG_21_01" localSheetId="0">#REF!</definedName>
    <definedName name="SG_21_01" localSheetId="10">#REF!</definedName>
    <definedName name="SG_21_01">#REF!</definedName>
    <definedName name="SG_21_02" localSheetId="5">#REF!</definedName>
    <definedName name="SG_21_02" localSheetId="0">#REF!</definedName>
    <definedName name="SG_21_02" localSheetId="10">#REF!</definedName>
    <definedName name="SG_21_02">#REF!</definedName>
    <definedName name="SG_21_03" localSheetId="5">#REF!</definedName>
    <definedName name="SG_21_03" localSheetId="0">#REF!</definedName>
    <definedName name="SG_21_03" localSheetId="10">#REF!</definedName>
    <definedName name="SG_21_03">#REF!</definedName>
    <definedName name="SG_21_04" localSheetId="5">#REF!</definedName>
    <definedName name="SG_21_04" localSheetId="0">#REF!</definedName>
    <definedName name="SG_21_04" localSheetId="10">#REF!</definedName>
    <definedName name="SG_21_04">#REF!</definedName>
    <definedName name="SG_21_05" localSheetId="5">#REF!</definedName>
    <definedName name="SG_21_05" localSheetId="0">#REF!</definedName>
    <definedName name="SG_21_05" localSheetId="10">#REF!</definedName>
    <definedName name="SG_21_05">#REF!</definedName>
    <definedName name="SG_21_06" localSheetId="5">#REF!</definedName>
    <definedName name="SG_21_06" localSheetId="0">#REF!</definedName>
    <definedName name="SG_21_06" localSheetId="10">#REF!</definedName>
    <definedName name="SG_21_06">#REF!</definedName>
    <definedName name="SG_21_07" localSheetId="5">#REF!</definedName>
    <definedName name="SG_21_07" localSheetId="0">#REF!</definedName>
    <definedName name="SG_21_07" localSheetId="10">#REF!</definedName>
    <definedName name="SG_21_07">#REF!</definedName>
    <definedName name="SG_21_08" localSheetId="5">#REF!</definedName>
    <definedName name="SG_21_08" localSheetId="0">#REF!</definedName>
    <definedName name="SG_21_08" localSheetId="10">#REF!</definedName>
    <definedName name="SG_21_08">#REF!</definedName>
    <definedName name="SG_21_09" localSheetId="5">#REF!</definedName>
    <definedName name="SG_21_09" localSheetId="0">#REF!</definedName>
    <definedName name="SG_21_09" localSheetId="10">#REF!</definedName>
    <definedName name="SG_21_09">#REF!</definedName>
    <definedName name="SG_21_10" localSheetId="5">#REF!</definedName>
    <definedName name="SG_21_10" localSheetId="0">#REF!</definedName>
    <definedName name="SG_21_10" localSheetId="10">#REF!</definedName>
    <definedName name="SG_21_10">#REF!</definedName>
    <definedName name="SG_21_11" localSheetId="5">#REF!</definedName>
    <definedName name="SG_21_11" localSheetId="0">#REF!</definedName>
    <definedName name="SG_21_11" localSheetId="10">#REF!</definedName>
    <definedName name="SG_21_11">#REF!</definedName>
    <definedName name="SG_21_12" localSheetId="5">#REF!</definedName>
    <definedName name="SG_21_12" localSheetId="0">#REF!</definedName>
    <definedName name="SG_21_12" localSheetId="10">#REF!</definedName>
    <definedName name="SG_21_12">#REF!</definedName>
    <definedName name="SG_21_13" localSheetId="5">#REF!</definedName>
    <definedName name="SG_21_13" localSheetId="0">#REF!</definedName>
    <definedName name="SG_21_13" localSheetId="10">#REF!</definedName>
    <definedName name="SG_21_13">#REF!</definedName>
    <definedName name="SG_21_14" localSheetId="5">#REF!</definedName>
    <definedName name="SG_21_14" localSheetId="0">#REF!</definedName>
    <definedName name="SG_21_14" localSheetId="10">#REF!</definedName>
    <definedName name="SG_21_14">#REF!</definedName>
    <definedName name="SG_21_15" localSheetId="5">#REF!</definedName>
    <definedName name="SG_21_15" localSheetId="0">#REF!</definedName>
    <definedName name="SG_21_15" localSheetId="10">#REF!</definedName>
    <definedName name="SG_21_15">#REF!</definedName>
    <definedName name="SG_21_16" localSheetId="5">#REF!</definedName>
    <definedName name="SG_21_16" localSheetId="0">#REF!</definedName>
    <definedName name="SG_21_16" localSheetId="10">#REF!</definedName>
    <definedName name="SG_21_16">#REF!</definedName>
    <definedName name="SG_21_17" localSheetId="5">#REF!</definedName>
    <definedName name="SG_21_17" localSheetId="0">#REF!</definedName>
    <definedName name="SG_21_17" localSheetId="10">#REF!</definedName>
    <definedName name="SG_21_17">#REF!</definedName>
    <definedName name="SG_21_18" localSheetId="5">#REF!</definedName>
    <definedName name="SG_21_18" localSheetId="0">#REF!</definedName>
    <definedName name="SG_21_18" localSheetId="10">#REF!</definedName>
    <definedName name="SG_21_18">#REF!</definedName>
    <definedName name="SG_21_19" localSheetId="5">#REF!</definedName>
    <definedName name="SG_21_19" localSheetId="0">#REF!</definedName>
    <definedName name="SG_21_19" localSheetId="10">#REF!</definedName>
    <definedName name="SG_21_19">#REF!</definedName>
    <definedName name="SG_21_20" localSheetId="5">#REF!</definedName>
    <definedName name="SG_21_20" localSheetId="0">#REF!</definedName>
    <definedName name="SG_21_20" localSheetId="10">#REF!</definedName>
    <definedName name="SG_21_20">#REF!</definedName>
    <definedName name="SG_21_21" localSheetId="5">#REF!</definedName>
    <definedName name="SG_21_21" localSheetId="0">#REF!</definedName>
    <definedName name="SG_21_21" localSheetId="10">#REF!</definedName>
    <definedName name="SG_21_21">#REF!</definedName>
    <definedName name="SG_21_22" localSheetId="5">#REF!</definedName>
    <definedName name="SG_21_22" localSheetId="0">#REF!</definedName>
    <definedName name="SG_21_22" localSheetId="10">#REF!</definedName>
    <definedName name="SG_21_22">#REF!</definedName>
    <definedName name="SG_21_23" localSheetId="5">#REF!</definedName>
    <definedName name="SG_21_23" localSheetId="0">#REF!</definedName>
    <definedName name="SG_21_23" localSheetId="10">#REF!</definedName>
    <definedName name="SG_21_23">#REF!</definedName>
    <definedName name="SG_21_24" localSheetId="5">#REF!</definedName>
    <definedName name="SG_21_24" localSheetId="0">#REF!</definedName>
    <definedName name="SG_21_24" localSheetId="10">#REF!</definedName>
    <definedName name="SG_21_24">#REF!</definedName>
    <definedName name="SG_21_25" localSheetId="5">#REF!</definedName>
    <definedName name="SG_21_25" localSheetId="0">#REF!</definedName>
    <definedName name="SG_21_25" localSheetId="10">#REF!</definedName>
    <definedName name="SG_21_25">#REF!</definedName>
    <definedName name="SG_22_01" localSheetId="5">#REF!</definedName>
    <definedName name="SG_22_01" localSheetId="0">#REF!</definedName>
    <definedName name="SG_22_01" localSheetId="10">#REF!</definedName>
    <definedName name="SG_22_01">#REF!</definedName>
    <definedName name="SG_22_02" localSheetId="5">#REF!</definedName>
    <definedName name="SG_22_02" localSheetId="0">#REF!</definedName>
    <definedName name="SG_22_02" localSheetId="10">#REF!</definedName>
    <definedName name="SG_22_02">#REF!</definedName>
    <definedName name="SG_22_03" localSheetId="5">#REF!</definedName>
    <definedName name="SG_22_03" localSheetId="0">#REF!</definedName>
    <definedName name="SG_22_03" localSheetId="10">#REF!</definedName>
    <definedName name="SG_22_03">#REF!</definedName>
    <definedName name="SG_22_04" localSheetId="5">#REF!</definedName>
    <definedName name="SG_22_04" localSheetId="0">#REF!</definedName>
    <definedName name="SG_22_04" localSheetId="10">#REF!</definedName>
    <definedName name="SG_22_04">#REF!</definedName>
    <definedName name="SG_22_05" localSheetId="5">#REF!</definedName>
    <definedName name="SG_22_05" localSheetId="0">#REF!</definedName>
    <definedName name="SG_22_05" localSheetId="10">#REF!</definedName>
    <definedName name="SG_22_05">#REF!</definedName>
    <definedName name="SG_22_06" localSheetId="5">#REF!</definedName>
    <definedName name="SG_22_06" localSheetId="0">#REF!</definedName>
    <definedName name="SG_22_06" localSheetId="10">#REF!</definedName>
    <definedName name="SG_22_06">#REF!</definedName>
    <definedName name="SG_22_07" localSheetId="5">#REF!</definedName>
    <definedName name="SG_22_07" localSheetId="0">#REF!</definedName>
    <definedName name="SG_22_07" localSheetId="10">#REF!</definedName>
    <definedName name="SG_22_07">#REF!</definedName>
    <definedName name="SG_22_08" localSheetId="5">#REF!</definedName>
    <definedName name="SG_22_08" localSheetId="0">#REF!</definedName>
    <definedName name="SG_22_08" localSheetId="10">#REF!</definedName>
    <definedName name="SG_22_08">#REF!</definedName>
    <definedName name="SG_22_09" localSheetId="5">#REF!</definedName>
    <definedName name="SG_22_09" localSheetId="0">#REF!</definedName>
    <definedName name="SG_22_09" localSheetId="10">#REF!</definedName>
    <definedName name="SG_22_09">#REF!</definedName>
    <definedName name="SG_22_10" localSheetId="5">#REF!</definedName>
    <definedName name="SG_22_10" localSheetId="0">#REF!</definedName>
    <definedName name="SG_22_10" localSheetId="10">#REF!</definedName>
    <definedName name="SG_22_10">#REF!</definedName>
    <definedName name="SG_22_11" localSheetId="5">#REF!</definedName>
    <definedName name="SG_22_11" localSheetId="0">#REF!</definedName>
    <definedName name="SG_22_11" localSheetId="10">#REF!</definedName>
    <definedName name="SG_22_11">#REF!</definedName>
    <definedName name="SG_22_12" localSheetId="5">#REF!</definedName>
    <definedName name="SG_22_12" localSheetId="0">#REF!</definedName>
    <definedName name="SG_22_12" localSheetId="10">#REF!</definedName>
    <definedName name="SG_22_12">#REF!</definedName>
    <definedName name="SG_22_13" localSheetId="5">#REF!</definedName>
    <definedName name="SG_22_13" localSheetId="0">#REF!</definedName>
    <definedName name="SG_22_13" localSheetId="10">#REF!</definedName>
    <definedName name="SG_22_13">#REF!</definedName>
    <definedName name="SG_22_14" localSheetId="5">#REF!</definedName>
    <definedName name="SG_22_14" localSheetId="0">#REF!</definedName>
    <definedName name="SG_22_14" localSheetId="10">#REF!</definedName>
    <definedName name="SG_22_14">#REF!</definedName>
    <definedName name="SG_22_15" localSheetId="5">#REF!</definedName>
    <definedName name="SG_22_15" localSheetId="0">#REF!</definedName>
    <definedName name="SG_22_15" localSheetId="10">#REF!</definedName>
    <definedName name="SG_22_15">#REF!</definedName>
    <definedName name="SG_22_16" localSheetId="5">#REF!</definedName>
    <definedName name="SG_22_16" localSheetId="0">#REF!</definedName>
    <definedName name="SG_22_16" localSheetId="10">#REF!</definedName>
    <definedName name="SG_22_16">#REF!</definedName>
    <definedName name="SG_22_17" localSheetId="5">#REF!</definedName>
    <definedName name="SG_22_17" localSheetId="0">#REF!</definedName>
    <definedName name="SG_22_17" localSheetId="10">#REF!</definedName>
    <definedName name="SG_22_17">#REF!</definedName>
    <definedName name="SG_22_18" localSheetId="5">#REF!</definedName>
    <definedName name="SG_22_18" localSheetId="0">#REF!</definedName>
    <definedName name="SG_22_18" localSheetId="10">#REF!</definedName>
    <definedName name="SG_22_18">#REF!</definedName>
    <definedName name="SG_22_19" localSheetId="5">#REF!</definedName>
    <definedName name="SG_22_19" localSheetId="0">#REF!</definedName>
    <definedName name="SG_22_19" localSheetId="10">#REF!</definedName>
    <definedName name="SG_22_19">#REF!</definedName>
    <definedName name="SG_22_20" localSheetId="5">#REF!</definedName>
    <definedName name="SG_22_20" localSheetId="0">#REF!</definedName>
    <definedName name="SG_22_20" localSheetId="10">#REF!</definedName>
    <definedName name="SG_22_20">#REF!</definedName>
    <definedName name="SG_22_21" localSheetId="5">#REF!</definedName>
    <definedName name="SG_22_21" localSheetId="0">#REF!</definedName>
    <definedName name="SG_22_21" localSheetId="10">#REF!</definedName>
    <definedName name="SG_22_21">#REF!</definedName>
    <definedName name="SG_22_22" localSheetId="5">#REF!</definedName>
    <definedName name="SG_22_22" localSheetId="0">#REF!</definedName>
    <definedName name="SG_22_22" localSheetId="10">#REF!</definedName>
    <definedName name="SG_22_22">#REF!</definedName>
    <definedName name="SG_22_23" localSheetId="5">#REF!</definedName>
    <definedName name="SG_22_23" localSheetId="0">#REF!</definedName>
    <definedName name="SG_22_23" localSheetId="10">#REF!</definedName>
    <definedName name="SG_22_23">#REF!</definedName>
    <definedName name="SG_22_24" localSheetId="5">#REF!</definedName>
    <definedName name="SG_22_24" localSheetId="0">#REF!</definedName>
    <definedName name="SG_22_24" localSheetId="10">#REF!</definedName>
    <definedName name="SG_22_24">#REF!</definedName>
    <definedName name="SG_22_25" localSheetId="5">#REF!</definedName>
    <definedName name="SG_22_25" localSheetId="0">#REF!</definedName>
    <definedName name="SG_22_25" localSheetId="10">#REF!</definedName>
    <definedName name="SG_22_25">#REF!</definedName>
    <definedName name="SG_23_01" localSheetId="5">#REF!</definedName>
    <definedName name="SG_23_01" localSheetId="0">#REF!</definedName>
    <definedName name="SG_23_01" localSheetId="10">#REF!</definedName>
    <definedName name="SG_23_01">#REF!</definedName>
    <definedName name="SG_23_02" localSheetId="5">#REF!</definedName>
    <definedName name="SG_23_02" localSheetId="0">#REF!</definedName>
    <definedName name="SG_23_02" localSheetId="10">#REF!</definedName>
    <definedName name="SG_23_02">#REF!</definedName>
    <definedName name="SG_23_03" localSheetId="5">#REF!</definedName>
    <definedName name="SG_23_03" localSheetId="0">#REF!</definedName>
    <definedName name="SG_23_03" localSheetId="10">#REF!</definedName>
    <definedName name="SG_23_03">#REF!</definedName>
    <definedName name="SG_23_04" localSheetId="5">#REF!</definedName>
    <definedName name="SG_23_04" localSheetId="0">#REF!</definedName>
    <definedName name="SG_23_04" localSheetId="10">#REF!</definedName>
    <definedName name="SG_23_04">#REF!</definedName>
    <definedName name="SG_23_05" localSheetId="5">#REF!</definedName>
    <definedName name="SG_23_05" localSheetId="0">#REF!</definedName>
    <definedName name="SG_23_05" localSheetId="10">#REF!</definedName>
    <definedName name="SG_23_05">#REF!</definedName>
    <definedName name="SG_23_06" localSheetId="5">#REF!</definedName>
    <definedName name="SG_23_06" localSheetId="0">#REF!</definedName>
    <definedName name="SG_23_06" localSheetId="10">#REF!</definedName>
    <definedName name="SG_23_06">#REF!</definedName>
    <definedName name="SG_23_07" localSheetId="5">#REF!</definedName>
    <definedName name="SG_23_07" localSheetId="0">#REF!</definedName>
    <definedName name="SG_23_07" localSheetId="10">#REF!</definedName>
    <definedName name="SG_23_07">#REF!</definedName>
    <definedName name="SG_23_08" localSheetId="5">#REF!</definedName>
    <definedName name="SG_23_08" localSheetId="0">#REF!</definedName>
    <definedName name="SG_23_08" localSheetId="10">#REF!</definedName>
    <definedName name="SG_23_08">#REF!</definedName>
    <definedName name="SG_23_09" localSheetId="5">#REF!</definedName>
    <definedName name="SG_23_09" localSheetId="0">#REF!</definedName>
    <definedName name="SG_23_09" localSheetId="10">#REF!</definedName>
    <definedName name="SG_23_09">#REF!</definedName>
    <definedName name="SG_23_10" localSheetId="5">#REF!</definedName>
    <definedName name="SG_23_10" localSheetId="0">#REF!</definedName>
    <definedName name="SG_23_10" localSheetId="10">#REF!</definedName>
    <definedName name="SG_23_10">#REF!</definedName>
    <definedName name="SG_23_11" localSheetId="5">#REF!</definedName>
    <definedName name="SG_23_11" localSheetId="0">#REF!</definedName>
    <definedName name="SG_23_11" localSheetId="10">#REF!</definedName>
    <definedName name="SG_23_11">#REF!</definedName>
    <definedName name="SG_23_12" localSheetId="5">#REF!</definedName>
    <definedName name="SG_23_12" localSheetId="0">#REF!</definedName>
    <definedName name="SG_23_12" localSheetId="10">#REF!</definedName>
    <definedName name="SG_23_12">#REF!</definedName>
    <definedName name="SG_23_13" localSheetId="5">#REF!</definedName>
    <definedName name="SG_23_13" localSheetId="0">#REF!</definedName>
    <definedName name="SG_23_13" localSheetId="10">#REF!</definedName>
    <definedName name="SG_23_13">#REF!</definedName>
    <definedName name="SG_23_14" localSheetId="5">#REF!</definedName>
    <definedName name="SG_23_14" localSheetId="0">#REF!</definedName>
    <definedName name="SG_23_14" localSheetId="10">#REF!</definedName>
    <definedName name="SG_23_14">#REF!</definedName>
    <definedName name="SG_23_15" localSheetId="5">#REF!</definedName>
    <definedName name="SG_23_15" localSheetId="0">#REF!</definedName>
    <definedName name="SG_23_15" localSheetId="10">#REF!</definedName>
    <definedName name="SG_23_15">#REF!</definedName>
    <definedName name="SG_23_16" localSheetId="5">#REF!</definedName>
    <definedName name="SG_23_16" localSheetId="0">#REF!</definedName>
    <definedName name="SG_23_16" localSheetId="10">#REF!</definedName>
    <definedName name="SG_23_16">#REF!</definedName>
    <definedName name="SG_23_17" localSheetId="5">#REF!</definedName>
    <definedName name="SG_23_17" localSheetId="0">#REF!</definedName>
    <definedName name="SG_23_17" localSheetId="10">#REF!</definedName>
    <definedName name="SG_23_17">#REF!</definedName>
    <definedName name="SG_23_18" localSheetId="5">#REF!</definedName>
    <definedName name="SG_23_18" localSheetId="0">#REF!</definedName>
    <definedName name="SG_23_18" localSheetId="10">#REF!</definedName>
    <definedName name="SG_23_18">#REF!</definedName>
    <definedName name="SG_23_19" localSheetId="5">#REF!</definedName>
    <definedName name="SG_23_19" localSheetId="0">#REF!</definedName>
    <definedName name="SG_23_19" localSheetId="10">#REF!</definedName>
    <definedName name="SG_23_19">#REF!</definedName>
    <definedName name="SG_23_20" localSheetId="5">#REF!</definedName>
    <definedName name="SG_23_20" localSheetId="0">#REF!</definedName>
    <definedName name="SG_23_20" localSheetId="10">#REF!</definedName>
    <definedName name="SG_23_20">#REF!</definedName>
    <definedName name="SG_23_21" localSheetId="5">#REF!</definedName>
    <definedName name="SG_23_21" localSheetId="0">#REF!</definedName>
    <definedName name="SG_23_21" localSheetId="10">#REF!</definedName>
    <definedName name="SG_23_21">#REF!</definedName>
    <definedName name="SG_23_22" localSheetId="5">#REF!</definedName>
    <definedName name="SG_23_22" localSheetId="0">#REF!</definedName>
    <definedName name="SG_23_22" localSheetId="10">#REF!</definedName>
    <definedName name="SG_23_22">#REF!</definedName>
    <definedName name="SG_23_23" localSheetId="5">#REF!</definedName>
    <definedName name="SG_23_23" localSheetId="0">#REF!</definedName>
    <definedName name="SG_23_23" localSheetId="10">#REF!</definedName>
    <definedName name="SG_23_23">#REF!</definedName>
    <definedName name="SG_23_24" localSheetId="5">#REF!</definedName>
    <definedName name="SG_23_24" localSheetId="0">#REF!</definedName>
    <definedName name="SG_23_24" localSheetId="10">#REF!</definedName>
    <definedName name="SG_23_24">#REF!</definedName>
    <definedName name="SG_23_25" localSheetId="5">#REF!</definedName>
    <definedName name="SG_23_25" localSheetId="0">#REF!</definedName>
    <definedName name="SG_23_25" localSheetId="10">#REF!</definedName>
    <definedName name="SG_23_25">#REF!</definedName>
    <definedName name="SG_24_01" localSheetId="5">#REF!</definedName>
    <definedName name="SG_24_01" localSheetId="0">#REF!</definedName>
    <definedName name="SG_24_01" localSheetId="10">#REF!</definedName>
    <definedName name="SG_24_01">#REF!</definedName>
    <definedName name="SG_24_02" localSheetId="5">#REF!</definedName>
    <definedName name="SG_24_02" localSheetId="0">#REF!</definedName>
    <definedName name="SG_24_02" localSheetId="10">#REF!</definedName>
    <definedName name="SG_24_02">#REF!</definedName>
    <definedName name="SG_24_03" localSheetId="5">#REF!</definedName>
    <definedName name="SG_24_03" localSheetId="0">#REF!</definedName>
    <definedName name="SG_24_03" localSheetId="10">#REF!</definedName>
    <definedName name="SG_24_03">#REF!</definedName>
    <definedName name="SG_24_04" localSheetId="5">#REF!</definedName>
    <definedName name="SG_24_04" localSheetId="0">#REF!</definedName>
    <definedName name="SG_24_04" localSheetId="10">#REF!</definedName>
    <definedName name="SG_24_04">#REF!</definedName>
    <definedName name="SG_24_05" localSheetId="5">#REF!</definedName>
    <definedName name="SG_24_05" localSheetId="0">#REF!</definedName>
    <definedName name="SG_24_05" localSheetId="10">#REF!</definedName>
    <definedName name="SG_24_05">#REF!</definedName>
    <definedName name="SG_24_06" localSheetId="5">#REF!</definedName>
    <definedName name="SG_24_06" localSheetId="0">#REF!</definedName>
    <definedName name="SG_24_06" localSheetId="10">#REF!</definedName>
    <definedName name="SG_24_06">#REF!</definedName>
    <definedName name="SG_24_07" localSheetId="5">#REF!</definedName>
    <definedName name="SG_24_07" localSheetId="0">#REF!</definedName>
    <definedName name="SG_24_07" localSheetId="10">#REF!</definedName>
    <definedName name="SG_24_07">#REF!</definedName>
    <definedName name="SG_24_08" localSheetId="5">#REF!</definedName>
    <definedName name="SG_24_08" localSheetId="0">#REF!</definedName>
    <definedName name="SG_24_08" localSheetId="10">#REF!</definedName>
    <definedName name="SG_24_08">#REF!</definedName>
    <definedName name="SG_24_09" localSheetId="5">#REF!</definedName>
    <definedName name="SG_24_09" localSheetId="0">#REF!</definedName>
    <definedName name="SG_24_09" localSheetId="10">#REF!</definedName>
    <definedName name="SG_24_09">#REF!</definedName>
    <definedName name="SG_24_10" localSheetId="5">#REF!</definedName>
    <definedName name="SG_24_10" localSheetId="0">#REF!</definedName>
    <definedName name="SG_24_10" localSheetId="10">#REF!</definedName>
    <definedName name="SG_24_10">#REF!</definedName>
    <definedName name="SG_24_11" localSheetId="5">#REF!</definedName>
    <definedName name="SG_24_11" localSheetId="0">#REF!</definedName>
    <definedName name="SG_24_11" localSheetId="10">#REF!</definedName>
    <definedName name="SG_24_11">#REF!</definedName>
    <definedName name="SG_24_12" localSheetId="5">#REF!</definedName>
    <definedName name="SG_24_12" localSheetId="0">#REF!</definedName>
    <definedName name="SG_24_12" localSheetId="10">#REF!</definedName>
    <definedName name="SG_24_12">#REF!</definedName>
    <definedName name="SG_24_13" localSheetId="5">#REF!</definedName>
    <definedName name="SG_24_13" localSheetId="0">#REF!</definedName>
    <definedName name="SG_24_13" localSheetId="10">#REF!</definedName>
    <definedName name="SG_24_13">#REF!</definedName>
    <definedName name="SG_24_14" localSheetId="5">#REF!</definedName>
    <definedName name="SG_24_14" localSheetId="0">#REF!</definedName>
    <definedName name="SG_24_14" localSheetId="10">#REF!</definedName>
    <definedName name="SG_24_14">#REF!</definedName>
    <definedName name="SG_24_15" localSheetId="5">#REF!</definedName>
    <definedName name="SG_24_15" localSheetId="0">#REF!</definedName>
    <definedName name="SG_24_15" localSheetId="10">#REF!</definedName>
    <definedName name="SG_24_15">#REF!</definedName>
    <definedName name="SG_24_16" localSheetId="5">#REF!</definedName>
    <definedName name="SG_24_16" localSheetId="0">#REF!</definedName>
    <definedName name="SG_24_16" localSheetId="10">#REF!</definedName>
    <definedName name="SG_24_16">#REF!</definedName>
    <definedName name="SG_24_17" localSheetId="5">#REF!</definedName>
    <definedName name="SG_24_17" localSheetId="0">#REF!</definedName>
    <definedName name="SG_24_17" localSheetId="10">#REF!</definedName>
    <definedName name="SG_24_17">#REF!</definedName>
    <definedName name="SG_24_18" localSheetId="5">#REF!</definedName>
    <definedName name="SG_24_18" localSheetId="0">#REF!</definedName>
    <definedName name="SG_24_18" localSheetId="10">#REF!</definedName>
    <definedName name="SG_24_18">#REF!</definedName>
    <definedName name="SG_24_19" localSheetId="5">#REF!</definedName>
    <definedName name="SG_24_19" localSheetId="0">#REF!</definedName>
    <definedName name="SG_24_19" localSheetId="10">#REF!</definedName>
    <definedName name="SG_24_19">#REF!</definedName>
    <definedName name="SG_24_20" localSheetId="5">#REF!</definedName>
    <definedName name="SG_24_20" localSheetId="0">#REF!</definedName>
    <definedName name="SG_24_20" localSheetId="10">#REF!</definedName>
    <definedName name="SG_24_20">#REF!</definedName>
    <definedName name="SG_24_21" localSheetId="5">#REF!</definedName>
    <definedName name="SG_24_21" localSheetId="0">#REF!</definedName>
    <definedName name="SG_24_21" localSheetId="10">#REF!</definedName>
    <definedName name="SG_24_21">#REF!</definedName>
    <definedName name="SG_24_22" localSheetId="5">#REF!</definedName>
    <definedName name="SG_24_22" localSheetId="0">#REF!</definedName>
    <definedName name="SG_24_22" localSheetId="10">#REF!</definedName>
    <definedName name="SG_24_22">#REF!</definedName>
    <definedName name="SG_24_23" localSheetId="5">#REF!</definedName>
    <definedName name="SG_24_23" localSheetId="0">#REF!</definedName>
    <definedName name="SG_24_23" localSheetId="10">#REF!</definedName>
    <definedName name="SG_24_23">#REF!</definedName>
    <definedName name="SG_24_24" localSheetId="5">#REF!</definedName>
    <definedName name="SG_24_24" localSheetId="0">#REF!</definedName>
    <definedName name="SG_24_24" localSheetId="10">#REF!</definedName>
    <definedName name="SG_24_24">#REF!</definedName>
    <definedName name="SG_24_25" localSheetId="5">#REF!</definedName>
    <definedName name="SG_24_25" localSheetId="0">#REF!</definedName>
    <definedName name="SG_24_25" localSheetId="10">#REF!</definedName>
    <definedName name="SG_24_25">#REF!</definedName>
    <definedName name="SG_25_01" localSheetId="5">#REF!</definedName>
    <definedName name="SG_25_01" localSheetId="0">#REF!</definedName>
    <definedName name="SG_25_01" localSheetId="10">#REF!</definedName>
    <definedName name="SG_25_01">#REF!</definedName>
    <definedName name="SG_25_02" localSheetId="5">#REF!</definedName>
    <definedName name="SG_25_02" localSheetId="0">#REF!</definedName>
    <definedName name="SG_25_02" localSheetId="10">#REF!</definedName>
    <definedName name="SG_25_02">#REF!</definedName>
    <definedName name="SG_25_03" localSheetId="5">#REF!</definedName>
    <definedName name="SG_25_03" localSheetId="0">#REF!</definedName>
    <definedName name="SG_25_03" localSheetId="10">#REF!</definedName>
    <definedName name="SG_25_03">#REF!</definedName>
    <definedName name="SG_25_04" localSheetId="5">#REF!</definedName>
    <definedName name="SG_25_04" localSheetId="0">#REF!</definedName>
    <definedName name="SG_25_04" localSheetId="10">#REF!</definedName>
    <definedName name="SG_25_04">#REF!</definedName>
    <definedName name="SG_25_05" localSheetId="5">#REF!</definedName>
    <definedName name="SG_25_05" localSheetId="0">#REF!</definedName>
    <definedName name="SG_25_05" localSheetId="10">#REF!</definedName>
    <definedName name="SG_25_05">#REF!</definedName>
    <definedName name="SG_25_06" localSheetId="5">#REF!</definedName>
    <definedName name="SG_25_06" localSheetId="0">#REF!</definedName>
    <definedName name="SG_25_06" localSheetId="10">#REF!</definedName>
    <definedName name="SG_25_06">#REF!</definedName>
    <definedName name="SG_25_07" localSheetId="5">#REF!</definedName>
    <definedName name="SG_25_07" localSheetId="0">#REF!</definedName>
    <definedName name="SG_25_07" localSheetId="10">#REF!</definedName>
    <definedName name="SG_25_07">#REF!</definedName>
    <definedName name="SG_25_08" localSheetId="5">#REF!</definedName>
    <definedName name="SG_25_08" localSheetId="0">#REF!</definedName>
    <definedName name="SG_25_08" localSheetId="10">#REF!</definedName>
    <definedName name="SG_25_08">#REF!</definedName>
    <definedName name="SG_25_09" localSheetId="5">#REF!</definedName>
    <definedName name="SG_25_09" localSheetId="0">#REF!</definedName>
    <definedName name="SG_25_09" localSheetId="10">#REF!</definedName>
    <definedName name="SG_25_09">#REF!</definedName>
    <definedName name="SG_25_10" localSheetId="5">#REF!</definedName>
    <definedName name="SG_25_10" localSheetId="0">#REF!</definedName>
    <definedName name="SG_25_10" localSheetId="10">#REF!</definedName>
    <definedName name="SG_25_10">#REF!</definedName>
    <definedName name="SG_25_11" localSheetId="5">#REF!</definedName>
    <definedName name="SG_25_11" localSheetId="0">#REF!</definedName>
    <definedName name="SG_25_11" localSheetId="10">#REF!</definedName>
    <definedName name="SG_25_11">#REF!</definedName>
    <definedName name="SG_25_12" localSheetId="5">#REF!</definedName>
    <definedName name="SG_25_12" localSheetId="0">#REF!</definedName>
    <definedName name="SG_25_12" localSheetId="10">#REF!</definedName>
    <definedName name="SG_25_12">#REF!</definedName>
    <definedName name="SG_25_13" localSheetId="5">#REF!</definedName>
    <definedName name="SG_25_13" localSheetId="0">#REF!</definedName>
    <definedName name="SG_25_13" localSheetId="10">#REF!</definedName>
    <definedName name="SG_25_13">#REF!</definedName>
    <definedName name="SG_25_14" localSheetId="5">#REF!</definedName>
    <definedName name="SG_25_14" localSheetId="0">#REF!</definedName>
    <definedName name="SG_25_14" localSheetId="10">#REF!</definedName>
    <definedName name="SG_25_14">#REF!</definedName>
    <definedName name="SG_25_15" localSheetId="5">#REF!</definedName>
    <definedName name="SG_25_15" localSheetId="0">#REF!</definedName>
    <definedName name="SG_25_15" localSheetId="10">#REF!</definedName>
    <definedName name="SG_25_15">#REF!</definedName>
    <definedName name="SG_25_16" localSheetId="5">#REF!</definedName>
    <definedName name="SG_25_16" localSheetId="0">#REF!</definedName>
    <definedName name="SG_25_16" localSheetId="10">#REF!</definedName>
    <definedName name="SG_25_16">#REF!</definedName>
    <definedName name="SG_25_17" localSheetId="5">#REF!</definedName>
    <definedName name="SG_25_17" localSheetId="0">#REF!</definedName>
    <definedName name="SG_25_17" localSheetId="10">#REF!</definedName>
    <definedName name="SG_25_17">#REF!</definedName>
    <definedName name="SG_25_18" localSheetId="5">#REF!</definedName>
    <definedName name="SG_25_18" localSheetId="0">#REF!</definedName>
    <definedName name="SG_25_18" localSheetId="10">#REF!</definedName>
    <definedName name="SG_25_18">#REF!</definedName>
    <definedName name="SG_25_19" localSheetId="5">#REF!</definedName>
    <definedName name="SG_25_19" localSheetId="0">#REF!</definedName>
    <definedName name="SG_25_19" localSheetId="10">#REF!</definedName>
    <definedName name="SG_25_19">#REF!</definedName>
    <definedName name="SG_25_20" localSheetId="5">#REF!</definedName>
    <definedName name="SG_25_20" localSheetId="0">#REF!</definedName>
    <definedName name="SG_25_20" localSheetId="10">#REF!</definedName>
    <definedName name="SG_25_20">#REF!</definedName>
    <definedName name="SG_25_21" localSheetId="5">#REF!</definedName>
    <definedName name="SG_25_21" localSheetId="0">#REF!</definedName>
    <definedName name="SG_25_21" localSheetId="10">#REF!</definedName>
    <definedName name="SG_25_21">#REF!</definedName>
    <definedName name="SG_25_22" localSheetId="5">#REF!</definedName>
    <definedName name="SG_25_22" localSheetId="0">#REF!</definedName>
    <definedName name="SG_25_22" localSheetId="10">#REF!</definedName>
    <definedName name="SG_25_22">#REF!</definedName>
    <definedName name="SG_25_23" localSheetId="5">#REF!</definedName>
    <definedName name="SG_25_23" localSheetId="0">#REF!</definedName>
    <definedName name="SG_25_23" localSheetId="10">#REF!</definedName>
    <definedName name="SG_25_23">#REF!</definedName>
    <definedName name="SG_25_24" localSheetId="5">#REF!</definedName>
    <definedName name="SG_25_24" localSheetId="0">#REF!</definedName>
    <definedName name="SG_25_24" localSheetId="10">#REF!</definedName>
    <definedName name="SG_25_24">#REF!</definedName>
    <definedName name="SG_25_25" localSheetId="5">#REF!</definedName>
    <definedName name="SG_25_25" localSheetId="0">#REF!</definedName>
    <definedName name="SG_25_25" localSheetId="10">#REF!</definedName>
    <definedName name="SG_25_25">#REF!</definedName>
    <definedName name="sinal" localSheetId="5">#REF!</definedName>
    <definedName name="sinal" localSheetId="0">#REF!</definedName>
    <definedName name="sinal" localSheetId="10">#REF!</definedName>
    <definedName name="sinal">#REF!</definedName>
    <definedName name="SINALI" localSheetId="5">#REF!</definedName>
    <definedName name="SINALI" localSheetId="0">#REF!</definedName>
    <definedName name="SINALI" localSheetId="10">#REF!</definedName>
    <definedName name="SINALI">#REF!</definedName>
    <definedName name="sinaliz_vert" localSheetId="5">#REF!</definedName>
    <definedName name="sinaliz_vert" localSheetId="0">#REF!</definedName>
    <definedName name="sinaliz_vert" localSheetId="10">#REF!</definedName>
    <definedName name="sinaliz_vert">#REF!</definedName>
    <definedName name="SM" localSheetId="5">#REF!</definedName>
    <definedName name="SM" localSheetId="0">#REF!</definedName>
    <definedName name="SM" localSheetId="10">#REF!</definedName>
    <definedName name="SM">#REF!</definedName>
    <definedName name="Sorriso" localSheetId="5">#REF!</definedName>
    <definedName name="Sorriso" localSheetId="0">#REF!</definedName>
    <definedName name="Sorriso" localSheetId="10">#REF!</definedName>
    <definedName name="Sorriso">#REF!</definedName>
    <definedName name="SS" localSheetId="5" hidden="1">{#N/A,#N/A,FALSE,"MO (2)"}</definedName>
    <definedName name="SS" localSheetId="0" hidden="1">{#N/A,#N/A,FALSE,"MO (2)"}</definedName>
    <definedName name="SS" localSheetId="10" hidden="1">{#N/A,#N/A,FALSE,"MO (2)"}</definedName>
    <definedName name="SS" localSheetId="11" hidden="1">{#N/A,#N/A,FALSE,"MO (2)"}</definedName>
    <definedName name="SS" localSheetId="30" hidden="1">{#N/A,#N/A,FALSE,"MO (2)"}</definedName>
    <definedName name="SS" localSheetId="31" hidden="1">{#N/A,#N/A,FALSE,"MO (2)"}</definedName>
    <definedName name="SS" hidden="1">{#N/A,#N/A,FALSE,"MO (2)"}</definedName>
    <definedName name="SS_1" localSheetId="5" hidden="1">{#N/A,#N/A,FALSE,"MO (2)"}</definedName>
    <definedName name="SS_1" localSheetId="0" hidden="1">{#N/A,#N/A,FALSE,"MO (2)"}</definedName>
    <definedName name="SS_1" localSheetId="10" hidden="1">{#N/A,#N/A,FALSE,"MO (2)"}</definedName>
    <definedName name="SS_1" localSheetId="11" hidden="1">{#N/A,#N/A,FALSE,"MO (2)"}</definedName>
    <definedName name="SS_1" localSheetId="30" hidden="1">{#N/A,#N/A,FALSE,"MO (2)"}</definedName>
    <definedName name="SS_1" localSheetId="31" hidden="1">{#N/A,#N/A,FALSE,"MO (2)"}</definedName>
    <definedName name="SS_1" hidden="1">{#N/A,#N/A,FALSE,"MO (2)"}</definedName>
    <definedName name="SSS" localSheetId="5" hidden="1">{#N/A,#N/A,FALSE,"MO (2)"}</definedName>
    <definedName name="SSS" localSheetId="0" hidden="1">{#N/A,#N/A,FALSE,"MO (2)"}</definedName>
    <definedName name="SSS" localSheetId="10" hidden="1">{#N/A,#N/A,FALSE,"MO (2)"}</definedName>
    <definedName name="SSS" localSheetId="11" hidden="1">{#N/A,#N/A,FALSE,"MO (2)"}</definedName>
    <definedName name="SSS" localSheetId="30" hidden="1">{#N/A,#N/A,FALSE,"MO (2)"}</definedName>
    <definedName name="SSS" localSheetId="31" hidden="1">{#N/A,#N/A,FALSE,"MO (2)"}</definedName>
    <definedName name="SSS" hidden="1">{#N/A,#N/A,FALSE,"MO (2)"}</definedName>
    <definedName name="SSS_1" localSheetId="5" hidden="1">{#N/A,#N/A,FALSE,"MO (2)"}</definedName>
    <definedName name="SSS_1" localSheetId="0" hidden="1">{#N/A,#N/A,FALSE,"MO (2)"}</definedName>
    <definedName name="SSS_1" localSheetId="10" hidden="1">{#N/A,#N/A,FALSE,"MO (2)"}</definedName>
    <definedName name="SSS_1" localSheetId="11" hidden="1">{#N/A,#N/A,FALSE,"MO (2)"}</definedName>
    <definedName name="SSS_1" localSheetId="30" hidden="1">{#N/A,#N/A,FALSE,"MO (2)"}</definedName>
    <definedName name="SSS_1" localSheetId="31" hidden="1">{#N/A,#N/A,FALSE,"MO (2)"}</definedName>
    <definedName name="SSS_1" hidden="1">{#N/A,#N/A,FALSE,"MO (2)"}</definedName>
    <definedName name="subtrec" localSheetId="5">#REF!</definedName>
    <definedName name="subtrec" localSheetId="0">#REF!</definedName>
    <definedName name="subtrec" localSheetId="10">#REF!</definedName>
    <definedName name="subtrec">#REF!</definedName>
    <definedName name="subtrech" localSheetId="5">#REF!</definedName>
    <definedName name="subtrech" localSheetId="0">#REF!</definedName>
    <definedName name="subtrech" localSheetId="10">#REF!</definedName>
    <definedName name="subtrech">#REF!</definedName>
    <definedName name="T" localSheetId="5">#REF!</definedName>
    <definedName name="T" localSheetId="0">#REF!</definedName>
    <definedName name="T" localSheetId="10">#REF!</definedName>
    <definedName name="T">#REF!</definedName>
    <definedName name="tabela" localSheetId="5">#REF!</definedName>
    <definedName name="tabela" localSheetId="0">#REF!</definedName>
    <definedName name="tabela" localSheetId="10">#REF!</definedName>
    <definedName name="tabela">#REF!</definedName>
    <definedName name="tabela_de_mão_de_obra">[2]RELATÓRIO!$A$2:$C$16</definedName>
    <definedName name="tabela_de_materiais">[2]RELATÓRIO!$A$1:$D$188</definedName>
    <definedName name="TABELA1" localSheetId="5">#REF!</definedName>
    <definedName name="TABELA1" localSheetId="0">#REF!</definedName>
    <definedName name="TABELA1" localSheetId="10">#REF!</definedName>
    <definedName name="TABELA1">#REF!</definedName>
    <definedName name="Tachas" localSheetId="11" hidden="1">{#N/A,#N/A,TRUE,"Plan1"}</definedName>
    <definedName name="Tachas" localSheetId="30" hidden="1">{#N/A,#N/A,TRUE,"Plan1"}</definedName>
    <definedName name="Tachas" localSheetId="31" hidden="1">{#N/A,#N/A,TRUE,"Plan1"}</definedName>
    <definedName name="Tachas" hidden="1">{#N/A,#N/A,TRUE,"Plan1"}</definedName>
    <definedName name="tachinhas" localSheetId="5">#REF!</definedName>
    <definedName name="tachinhas" localSheetId="0">#REF!</definedName>
    <definedName name="tachinhas" localSheetId="10">#REF!</definedName>
    <definedName name="tachinhas">#REF!</definedName>
    <definedName name="tachões" localSheetId="5">#REF!</definedName>
    <definedName name="tachões" localSheetId="0">#REF!</definedName>
    <definedName name="tachões" localSheetId="10">#REF!</definedName>
    <definedName name="tachões">#REF!</definedName>
    <definedName name="Tanque_lavar_roupa" localSheetId="5">#REF!</definedName>
    <definedName name="Tanque_lavar_roupa" localSheetId="0">#REF!</definedName>
    <definedName name="Tanque_lavar_roupa" localSheetId="10">#REF!</definedName>
    <definedName name="Tanque_lavar_roupa">#REF!</definedName>
    <definedName name="Tanque_premoldado" localSheetId="5">#REF!</definedName>
    <definedName name="Tanque_premoldado" localSheetId="0">#REF!</definedName>
    <definedName name="Tanque_premoldado" localSheetId="10">#REF!</definedName>
    <definedName name="Tanque_premoldado">#REF!</definedName>
    <definedName name="taxa_cap" localSheetId="5">#REF!</definedName>
    <definedName name="taxa_cap" localSheetId="0">#REF!</definedName>
    <definedName name="taxa_cap" localSheetId="10">#REF!</definedName>
    <definedName name="taxa_cap">#REF!</definedName>
    <definedName name="TCC4T" localSheetId="5">#REF!</definedName>
    <definedName name="TCC4T" localSheetId="0">#REF!</definedName>
    <definedName name="TCC4T" localSheetId="10">#REF!</definedName>
    <definedName name="TCC4T">#REF!</definedName>
    <definedName name="TEA" localSheetId="5">#REF!</definedName>
    <definedName name="TEA" localSheetId="0">#REF!</definedName>
    <definedName name="TEA" localSheetId="10">#REF!</definedName>
    <definedName name="TEA">#REF!</definedName>
    <definedName name="ter" localSheetId="5">#REF!</definedName>
    <definedName name="ter" localSheetId="0">#REF!</definedName>
    <definedName name="ter" localSheetId="10">#REF!</definedName>
    <definedName name="ter">#REF!</definedName>
    <definedName name="terra" localSheetId="5">#REF!</definedName>
    <definedName name="terra" localSheetId="0">#REF!</definedName>
    <definedName name="terra" localSheetId="10">#REF!</definedName>
    <definedName name="terra">#REF!</definedName>
    <definedName name="Terra2" localSheetId="5">#REF!</definedName>
    <definedName name="Terra2" localSheetId="0">#REF!</definedName>
    <definedName name="Terra2" localSheetId="10">#REF!</definedName>
    <definedName name="Terra2">#REF!</definedName>
    <definedName name="teste" localSheetId="5">#REF!</definedName>
    <definedName name="teste" localSheetId="0">#REF!</definedName>
    <definedName name="teste" localSheetId="10">#REF!</definedName>
    <definedName name="teste">#REF!</definedName>
    <definedName name="teste1" localSheetId="5">#REF!</definedName>
    <definedName name="teste1" localSheetId="0">#REF!</definedName>
    <definedName name="teste1" localSheetId="10">#REF!</definedName>
    <definedName name="teste1">#REF!</definedName>
    <definedName name="teste2" localSheetId="5">#REF!</definedName>
    <definedName name="teste2" localSheetId="0">#REF!</definedName>
    <definedName name="teste2" localSheetId="10">#REF!</definedName>
    <definedName name="teste2">#REF!</definedName>
    <definedName name="teste3" localSheetId="5">#REF!</definedName>
    <definedName name="teste3" localSheetId="0">#REF!</definedName>
    <definedName name="teste3" localSheetId="10">#REF!</definedName>
    <definedName name="teste3">#REF!</definedName>
    <definedName name="_xlnm.Print_Titles" localSheetId="5">'COMP SAA'!$2:$12</definedName>
    <definedName name="_xlnm.Print_Titles" localSheetId="7">'COMP. ELETRICO '!$3:$11</definedName>
    <definedName name="_xlnm.Print_Titles" localSheetId="8">'COMP. SPDA '!$5:$14</definedName>
    <definedName name="_xlnm.Print_Titles" localSheetId="6">'COMPOSIÇÃO CIVIL'!$2:$11</definedName>
    <definedName name="_xlnm.Print_Titles" localSheetId="9">'COMPOSIÇÃO ESTRUTURAL'!$2:$11</definedName>
    <definedName name="_xlnm.Print_Titles" localSheetId="3">'MEM. DE CALCULO'!$2:$14</definedName>
    <definedName name="_xlnm.Print_Titles" localSheetId="2">'ORÇAMENTO '!$4:$14</definedName>
    <definedName name="_xlnm.Print_Titles" localSheetId="1">RESUMO!$2:$6</definedName>
    <definedName name="tmat" localSheetId="5">[2]RELATÓRIO!#REF!</definedName>
    <definedName name="tmat" localSheetId="0">[2]RELATÓRIO!#REF!</definedName>
    <definedName name="tmat" localSheetId="10">[2]RELATÓRIO!#REF!</definedName>
    <definedName name="tmat">[2]RELATÓRIO!#REF!</definedName>
    <definedName name="TOTAL" localSheetId="5">#REF!</definedName>
    <definedName name="TOTAL" localSheetId="0">#REF!</definedName>
    <definedName name="TOTAL" localSheetId="10">#REF!</definedName>
    <definedName name="TOTAL">#REF!</definedName>
    <definedName name="TOTAL_GERAL" localSheetId="5">#REF!</definedName>
    <definedName name="TOTAL_GERAL" localSheetId="0">#REF!</definedName>
    <definedName name="TOTAL_GERAL" localSheetId="10">#REF!</definedName>
    <definedName name="TOTAL_GERAL">#REF!</definedName>
    <definedName name="TOTAL_RESUMO" localSheetId="5">#REF!</definedName>
    <definedName name="TOTAL_RESUMO" localSheetId="0">#REF!</definedName>
    <definedName name="TOTAL_RESUMO" localSheetId="10">#REF!</definedName>
    <definedName name="TOTAL_RESUMO">#REF!</definedName>
    <definedName name="totee_3" localSheetId="5">#REF!</definedName>
    <definedName name="totee_3" localSheetId="0">#REF!</definedName>
    <definedName name="totee_3" localSheetId="10">#REF!</definedName>
    <definedName name="totee_3">#REF!</definedName>
    <definedName name="totee1" localSheetId="5">#REF!</definedName>
    <definedName name="totee1" localSheetId="0">#REF!</definedName>
    <definedName name="totee1" localSheetId="10">#REF!</definedName>
    <definedName name="totee1">#REF!</definedName>
    <definedName name="totee2" localSheetId="5">#REF!</definedName>
    <definedName name="totee2" localSheetId="0">#REF!</definedName>
    <definedName name="totee2" localSheetId="10">#REF!</definedName>
    <definedName name="totee2">#REF!</definedName>
    <definedName name="TOTMAT_EE1" localSheetId="5">#REF!</definedName>
    <definedName name="TOTMAT_EE1" localSheetId="0">#REF!</definedName>
    <definedName name="TOTMAT_EE1" localSheetId="10">#REF!</definedName>
    <definedName name="TOTMAT_EE1">#REF!</definedName>
    <definedName name="TOTMAT_EE2" localSheetId="5">#REF!</definedName>
    <definedName name="TOTMAT_EE2" localSheetId="0">#REF!</definedName>
    <definedName name="TOTMAT_EE2" localSheetId="10">#REF!</definedName>
    <definedName name="TOTMAT_EE2">#REF!</definedName>
    <definedName name="TOTMAT_EE3" localSheetId="5">#REF!</definedName>
    <definedName name="TOTMAT_EE3" localSheetId="0">#REF!</definedName>
    <definedName name="TOTMAT_EE3" localSheetId="10">#REF!</definedName>
    <definedName name="TOTMAT_EE3">#REF!</definedName>
    <definedName name="TOTSER_EE1" localSheetId="5">#REF!</definedName>
    <definedName name="TOTSER_EE1" localSheetId="0">#REF!</definedName>
    <definedName name="TOTSER_EE1" localSheetId="10">#REF!</definedName>
    <definedName name="TOTSER_EE1">#REF!</definedName>
    <definedName name="TOTSER_EE2" localSheetId="5">#REF!</definedName>
    <definedName name="TOTSER_EE2" localSheetId="0">#REF!</definedName>
    <definedName name="TOTSER_EE2" localSheetId="10">#REF!</definedName>
    <definedName name="TOTSER_EE2">#REF!</definedName>
    <definedName name="TOTSER_EE3" localSheetId="5">#REF!</definedName>
    <definedName name="TOTSER_EE3" localSheetId="0">#REF!</definedName>
    <definedName name="TOTSER_EE3" localSheetId="10">#REF!</definedName>
    <definedName name="TOTSER_EE3">#REF!</definedName>
    <definedName name="TRÂNS_SEG_EMISS2" localSheetId="5">#REF!</definedName>
    <definedName name="TRÂNS_SEG_EMISS2" localSheetId="0">#REF!</definedName>
    <definedName name="TRÂNS_SEG_EMISS2" localSheetId="10">#REF!</definedName>
    <definedName name="TRÂNS_SEG_EMISS2">#REF!</definedName>
    <definedName name="TRÂNS_SEG_EMISS3" localSheetId="5">#REF!</definedName>
    <definedName name="TRÂNS_SEG_EMISS3" localSheetId="0">#REF!</definedName>
    <definedName name="TRÂNS_SEG_EMISS3" localSheetId="10">#REF!</definedName>
    <definedName name="TRÂNS_SEG_EMISS3">#REF!</definedName>
    <definedName name="TRÂNS_SEGU" localSheetId="5">#REF!</definedName>
    <definedName name="TRÂNS_SEGU" localSheetId="0">#REF!</definedName>
    <definedName name="TRÂNS_SEGU" localSheetId="10">#REF!</definedName>
    <definedName name="TRÂNS_SEGU">#REF!</definedName>
    <definedName name="TRÂNS_SEGURANÇA" localSheetId="5">#REF!</definedName>
    <definedName name="TRÂNS_SEGURANÇA" localSheetId="0">#REF!</definedName>
    <definedName name="TRÂNS_SEGURANÇA" localSheetId="10">#REF!</definedName>
    <definedName name="TRÂNS_SEGURANÇA">#REF!</definedName>
    <definedName name="transp_massa" localSheetId="5">#REF!</definedName>
    <definedName name="transp_massa" localSheetId="0">#REF!</definedName>
    <definedName name="transp_massa" localSheetId="10">#REF!</definedName>
    <definedName name="transp_massa">#REF!</definedName>
    <definedName name="Transportes">[30]Serviços!$A$3:$F$1403</definedName>
    <definedName name="TRAV_EMISS3_S" localSheetId="5">#REF!</definedName>
    <definedName name="TRAV_EMISS3_S" localSheetId="0">#REF!</definedName>
    <definedName name="TRAV_EMISS3_S" localSheetId="10">#REF!</definedName>
    <definedName name="TRAV_EMISS3_S">#REF!</definedName>
    <definedName name="trec" localSheetId="5">#REF!</definedName>
    <definedName name="trec" localSheetId="0">#REF!</definedName>
    <definedName name="trec" localSheetId="10">#REF!</definedName>
    <definedName name="trec">#REF!</definedName>
    <definedName name="trech" localSheetId="5">#REF!</definedName>
    <definedName name="trech" localSheetId="0">#REF!</definedName>
    <definedName name="trech" localSheetId="10">#REF!</definedName>
    <definedName name="trech">#REF!</definedName>
    <definedName name="TRECHO">'[9]DADOS DE ENTRADA CONCORRÊNCIA'!$B$16</definedName>
    <definedName name="TRECHO1">'[9]DADOS DE ENTRADA CONCORRÊNCIA'!$B$23</definedName>
    <definedName name="TRECHOA" localSheetId="5">#REF!</definedName>
    <definedName name="TRECHOA" localSheetId="0">#REF!</definedName>
    <definedName name="TRECHOA" localSheetId="10">#REF!</definedName>
    <definedName name="TRECHOA">#REF!</definedName>
    <definedName name="ts" localSheetId="5">[2]RELATÓRIO!#REF!</definedName>
    <definedName name="ts" localSheetId="0">[2]RELATÓRIO!#REF!</definedName>
    <definedName name="ts" localSheetId="10">[2]RELATÓRIO!#REF!</definedName>
    <definedName name="ts">[2]RELATÓRIO!#REF!</definedName>
    <definedName name="TSD" localSheetId="5">#REF!</definedName>
    <definedName name="TSD" localSheetId="0">#REF!</definedName>
    <definedName name="TSD" localSheetId="10">#REF!</definedName>
    <definedName name="TSD">#REF!</definedName>
    <definedName name="tsd.a" localSheetId="5">[14]TSD!#REF!</definedName>
    <definedName name="tsd.a" localSheetId="0">[14]TSD!#REF!</definedName>
    <definedName name="tsd.a" localSheetId="10">[14]TSD!#REF!</definedName>
    <definedName name="tsd.a">[14]TSD!#REF!</definedName>
    <definedName name="TSs" localSheetId="5">#REF!</definedName>
    <definedName name="TSs" localSheetId="0">#REF!</definedName>
    <definedName name="TSs" localSheetId="10">#REF!</definedName>
    <definedName name="TSs">#REF!</definedName>
    <definedName name="tss.a" localSheetId="5">[14]TSD!#REF!</definedName>
    <definedName name="tss.a" localSheetId="0">[14]TSD!#REF!</definedName>
    <definedName name="tss.a" localSheetId="10">[14]TSD!#REF!</definedName>
    <definedName name="tss.a">[14]TSD!#REF!</definedName>
    <definedName name="ttra" localSheetId="5">[2]RELATÓRIO!#REF!</definedName>
    <definedName name="ttra" localSheetId="0">[2]RELATÓRIO!#REF!</definedName>
    <definedName name="ttra" localSheetId="10">[2]RELATÓRIO!#REF!</definedName>
    <definedName name="ttra">[2]RELATÓRIO!#REF!</definedName>
    <definedName name="TUBO" localSheetId="5">#REF!</definedName>
    <definedName name="TUBO" localSheetId="0">#REF!</definedName>
    <definedName name="TUBO" localSheetId="10">#REF!</definedName>
    <definedName name="TUBO">#REF!</definedName>
    <definedName name="TUBOA" localSheetId="5">#REF!</definedName>
    <definedName name="TUBOA" localSheetId="0">#REF!</definedName>
    <definedName name="TUBOA" localSheetId="10">#REF!</definedName>
    <definedName name="TUBOA">#REF!</definedName>
    <definedName name="TUNNELLINER">'[9]QUADRO 08 - COMPOSIÇÕES'!$H$569</definedName>
    <definedName name="vala.ca" localSheetId="5">#REF!</definedName>
    <definedName name="vala.ca" localSheetId="0">#REF!</definedName>
    <definedName name="vala.ca" localSheetId="10">#REF!</definedName>
    <definedName name="vala.ca">#REF!</definedName>
    <definedName name="VAVRC" localSheetId="5">#REF!</definedName>
    <definedName name="VAVRC" localSheetId="0">#REF!</definedName>
    <definedName name="VAVRC" localSheetId="10">#REF!</definedName>
    <definedName name="VAVRC">#REF!</definedName>
    <definedName name="Verga" localSheetId="5">#REF!</definedName>
    <definedName name="Verga" localSheetId="0">#REF!</definedName>
    <definedName name="Verga" localSheetId="10">#REF!</definedName>
    <definedName name="Verga">#REF!</definedName>
    <definedName name="Vilmar12" localSheetId="5">#REF!</definedName>
    <definedName name="Vilmar12" localSheetId="0">#REF!</definedName>
    <definedName name="Vilmar12" localSheetId="10">#REF!</definedName>
    <definedName name="Vilmar12">#REF!</definedName>
    <definedName name="VOL_MASSA" localSheetId="5">#REF!</definedName>
    <definedName name="VOL_MASSA" localSheetId="0">#REF!</definedName>
    <definedName name="VOL_MASSA" localSheetId="10">#REF!</definedName>
    <definedName name="VOL_MASSA">#REF!</definedName>
    <definedName name="volsubl" localSheetId="5">#REF!</definedName>
    <definedName name="volsubl" localSheetId="0">#REF!</definedName>
    <definedName name="volsubl" localSheetId="10">#REF!</definedName>
    <definedName name="volsubl">#REF!</definedName>
    <definedName name="vvv" localSheetId="5" hidden="1">{#N/A,#N/A,FALSE,"MO (2)"}</definedName>
    <definedName name="vvv" localSheetId="0" hidden="1">{#N/A,#N/A,FALSE,"MO (2)"}</definedName>
    <definedName name="vvv" localSheetId="10" hidden="1">{#N/A,#N/A,FALSE,"MO (2)"}</definedName>
    <definedName name="vvv" localSheetId="11" hidden="1">{#N/A,#N/A,FALSE,"MO (2)"}</definedName>
    <definedName name="vvv" localSheetId="30" hidden="1">{#N/A,#N/A,FALSE,"MO (2)"}</definedName>
    <definedName name="vvv" localSheetId="31" hidden="1">{#N/A,#N/A,FALSE,"MO (2)"}</definedName>
    <definedName name="vvv" hidden="1">{#N/A,#N/A,FALSE,"MO (2)"}</definedName>
    <definedName name="vvv_1" localSheetId="5" hidden="1">{#N/A,#N/A,FALSE,"MO (2)"}</definedName>
    <definedName name="vvv_1" localSheetId="0" hidden="1">{#N/A,#N/A,FALSE,"MO (2)"}</definedName>
    <definedName name="vvv_1" localSheetId="10" hidden="1">{#N/A,#N/A,FALSE,"MO (2)"}</definedName>
    <definedName name="vvv_1" localSheetId="11" hidden="1">{#N/A,#N/A,FALSE,"MO (2)"}</definedName>
    <definedName name="vvv_1" localSheetId="30" hidden="1">{#N/A,#N/A,FALSE,"MO (2)"}</definedName>
    <definedName name="vvv_1" localSheetId="31" hidden="1">{#N/A,#N/A,FALSE,"MO (2)"}</definedName>
    <definedName name="vvv_1" hidden="1">{#N/A,#N/A,FALSE,"MO (2)"}</definedName>
    <definedName name="WEN" localSheetId="5">#REF!</definedName>
    <definedName name="WEN" localSheetId="0">#REF!</definedName>
    <definedName name="WEN" localSheetId="10">#REF!</definedName>
    <definedName name="WEN">#REF!</definedName>
    <definedName name="wrn.mo2." localSheetId="5" hidden="1">{#N/A,#N/A,FALSE,"MO (2)"}</definedName>
    <definedName name="wrn.mo2." localSheetId="0" hidden="1">{#N/A,#N/A,FALSE,"MO (2)"}</definedName>
    <definedName name="wrn.mo2." localSheetId="10" hidden="1">{#N/A,#N/A,FALSE,"MO (2)"}</definedName>
    <definedName name="wrn.mo2." localSheetId="11" hidden="1">{#N/A,#N/A,FALSE,"MO (2)"}</definedName>
    <definedName name="wrn.mo2." localSheetId="30" hidden="1">{#N/A,#N/A,FALSE,"MO (2)"}</definedName>
    <definedName name="wrn.mo2." localSheetId="31" hidden="1">{#N/A,#N/A,FALSE,"MO (2)"}</definedName>
    <definedName name="wrn.mo2." hidden="1">{#N/A,#N/A,FALSE,"MO (2)"}</definedName>
    <definedName name="wrn.mo2._1" localSheetId="5" hidden="1">{#N/A,#N/A,FALSE,"MO (2)"}</definedName>
    <definedName name="wrn.mo2._1" localSheetId="0" hidden="1">{#N/A,#N/A,FALSE,"MO (2)"}</definedName>
    <definedName name="wrn.mo2._1" localSheetId="10" hidden="1">{#N/A,#N/A,FALSE,"MO (2)"}</definedName>
    <definedName name="wrn.mo2._1" localSheetId="11" hidden="1">{#N/A,#N/A,FALSE,"MO (2)"}</definedName>
    <definedName name="wrn.mo2._1" localSheetId="30" hidden="1">{#N/A,#N/A,FALSE,"MO (2)"}</definedName>
    <definedName name="wrn.mo2._1" localSheetId="31" hidden="1">{#N/A,#N/A,FALSE,"MO (2)"}</definedName>
    <definedName name="wrn.mo2._1" hidden="1">{#N/A,#N/A,FALSE,"MO (2)"}</definedName>
    <definedName name="wrn.Orçamento." localSheetId="5" hidden="1">{#N/A,#N/A,FALSE,"Planilha";#N/A,#N/A,FALSE,"Resumo";#N/A,#N/A,FALSE,"Fisico";#N/A,#N/A,FALSE,"Financeiro";#N/A,#N/A,FALSE,"Financeiro"}</definedName>
    <definedName name="wrn.Orçamento." localSheetId="0" hidden="1">{#N/A,#N/A,FALSE,"Planilha";#N/A,#N/A,FALSE,"Resumo";#N/A,#N/A,FALSE,"Fisico";#N/A,#N/A,FALSE,"Financeiro";#N/A,#N/A,FALSE,"Financeiro"}</definedName>
    <definedName name="wrn.Orçamento." localSheetId="10" hidden="1">{#N/A,#N/A,FALSE,"Planilha";#N/A,#N/A,FALSE,"Resumo";#N/A,#N/A,FALSE,"Fisico";#N/A,#N/A,FALSE,"Financeiro";#N/A,#N/A,FALSE,"Financeiro"}</definedName>
    <definedName name="wrn.Orçamento." localSheetId="11" hidden="1">{#N/A,#N/A,FALSE,"Planilha";#N/A,#N/A,FALSE,"Resumo";#N/A,#N/A,FALSE,"Fisico";#N/A,#N/A,FALSE,"Financeiro";#N/A,#N/A,FALSE,"Financeiro"}</definedName>
    <definedName name="wrn.Orçamento." localSheetId="30" hidden="1">{#N/A,#N/A,FALSE,"Planilha";#N/A,#N/A,FALSE,"Resumo";#N/A,#N/A,FALSE,"Fisico";#N/A,#N/A,FALSE,"Financeiro";#N/A,#N/A,FALSE,"Financeiro"}</definedName>
    <definedName name="wrn.Orçamento." localSheetId="31" hidden="1">{#N/A,#N/A,FALSE,"Planilha";#N/A,#N/A,FALSE,"Resumo";#N/A,#N/A,FALSE,"Fisico";#N/A,#N/A,FALSE,"Financeiro";#N/A,#N/A,FALSE,"Financeiro"}</definedName>
    <definedName name="wrn.Orçamento." hidden="1">{#N/A,#N/A,FALSE,"Planilha";#N/A,#N/A,FALSE,"Resumo";#N/A,#N/A,FALSE,"Fisico";#N/A,#N/A,FALSE,"Financeiro";#N/A,#N/A,FALSE,"Financeiro"}</definedName>
    <definedName name="wrn.relext." localSheetId="5" hidden="1">{#N/A,#N/A,TRUE,"Plan1"}</definedName>
    <definedName name="wrn.relext." localSheetId="0" hidden="1">{#N/A,#N/A,TRUE,"Plan1"}</definedName>
    <definedName name="wrn.relext." localSheetId="10" hidden="1">{#N/A,#N/A,TRUE,"Plan1"}</definedName>
    <definedName name="wrn.relext." localSheetId="11" hidden="1">{#N/A,#N/A,TRUE,"Plan1"}</definedName>
    <definedName name="wrn.relext." localSheetId="30" hidden="1">{#N/A,#N/A,TRUE,"Plan1"}</definedName>
    <definedName name="wrn.relext." localSheetId="31" hidden="1">{#N/A,#N/A,TRUE,"Plan1"}</definedName>
    <definedName name="wrn.relext." hidden="1">{#N/A,#N/A,TRUE,"Plan1"}</definedName>
    <definedName name="wrn.relext._1" localSheetId="5" hidden="1">{#N/A,#N/A,TRUE,"Plan1"}</definedName>
    <definedName name="wrn.relext._1" localSheetId="0" hidden="1">{#N/A,#N/A,TRUE,"Plan1"}</definedName>
    <definedName name="wrn.relext._1" localSheetId="10" hidden="1">{#N/A,#N/A,TRUE,"Plan1"}</definedName>
    <definedName name="wrn.relext._1" localSheetId="11" hidden="1">{#N/A,#N/A,TRUE,"Plan1"}</definedName>
    <definedName name="wrn.relext._1" localSheetId="30" hidden="1">{#N/A,#N/A,TRUE,"Plan1"}</definedName>
    <definedName name="wrn.relext._1" localSheetId="31" hidden="1">{#N/A,#N/A,TRUE,"Plan1"}</definedName>
    <definedName name="wrn.relext._1" hidden="1">{#N/A,#N/A,TRUE,"Plan1"}</definedName>
    <definedName name="Y" localSheetId="11" hidden="1">{#N/A,#N/A,FALSE,"MO (2)"}</definedName>
    <definedName name="Y" localSheetId="30" hidden="1">{#N/A,#N/A,FALSE,"MO (2)"}</definedName>
    <definedName name="Y" localSheetId="31" hidden="1">{#N/A,#N/A,FALSE,"MO (2)"}</definedName>
    <definedName name="Y" hidden="1">{#N/A,#N/A,FALSE,"MO (2)"}</definedName>
    <definedName name="z" localSheetId="5" hidden="1">{#N/A,#N/A,FALSE,"MO (2)"}</definedName>
    <definedName name="z" localSheetId="0" hidden="1">{#N/A,#N/A,FALSE,"MO (2)"}</definedName>
    <definedName name="z" localSheetId="10" hidden="1">{#N/A,#N/A,FALSE,"MO (2)"}</definedName>
    <definedName name="z" localSheetId="11" hidden="1">{#N/A,#N/A,FALSE,"MO (2)"}</definedName>
    <definedName name="z" localSheetId="30" hidden="1">{#N/A,#N/A,FALSE,"MO (2)"}</definedName>
    <definedName name="z" localSheetId="31" hidden="1">{#N/A,#N/A,FALSE,"MO (2)"}</definedName>
    <definedName name="z" hidden="1">{#N/A,#N/A,FALSE,"MO (2)"}</definedName>
    <definedName name="z_1" localSheetId="5" hidden="1">{#N/A,#N/A,FALSE,"MO (2)"}</definedName>
    <definedName name="z_1" localSheetId="0" hidden="1">{#N/A,#N/A,FALSE,"MO (2)"}</definedName>
    <definedName name="z_1" localSheetId="10" hidden="1">{#N/A,#N/A,FALSE,"MO (2)"}</definedName>
    <definedName name="z_1" localSheetId="11" hidden="1">{#N/A,#N/A,FALSE,"MO (2)"}</definedName>
    <definedName name="z_1" localSheetId="30" hidden="1">{#N/A,#N/A,FALSE,"MO (2)"}</definedName>
    <definedName name="z_1" localSheetId="31" hidden="1">{#N/A,#N/A,FALSE,"MO (2)"}</definedName>
    <definedName name="z_1" hidden="1">{#N/A,#N/A,FALSE,"MO (2)"}</definedName>
    <definedName name="zaza" localSheetId="5" hidden="1">{#N/A,#N/A,FALSE,"MO (2)"}</definedName>
    <definedName name="zaza" localSheetId="0" hidden="1">{#N/A,#N/A,FALSE,"MO (2)"}</definedName>
    <definedName name="zaza" localSheetId="10" hidden="1">{#N/A,#N/A,FALSE,"MO (2)"}</definedName>
    <definedName name="zaza" localSheetId="11" hidden="1">{#N/A,#N/A,FALSE,"MO (2)"}</definedName>
    <definedName name="zaza" localSheetId="30" hidden="1">{#N/A,#N/A,FALSE,"MO (2)"}</definedName>
    <definedName name="zaza" localSheetId="31" hidden="1">{#N/A,#N/A,FALSE,"MO (2)"}</definedName>
    <definedName name="zaza" hidden="1">{#N/A,#N/A,FALSE,"MO (2)"}</definedName>
    <definedName name="zaza_1" localSheetId="5" hidden="1">{#N/A,#N/A,FALSE,"MO (2)"}</definedName>
    <definedName name="zaza_1" localSheetId="0" hidden="1">{#N/A,#N/A,FALSE,"MO (2)"}</definedName>
    <definedName name="zaza_1" localSheetId="10" hidden="1">{#N/A,#N/A,FALSE,"MO (2)"}</definedName>
    <definedName name="zaza_1" localSheetId="11" hidden="1">{#N/A,#N/A,FALSE,"MO (2)"}</definedName>
    <definedName name="zaza_1" localSheetId="30" hidden="1">{#N/A,#N/A,FALSE,"MO (2)"}</definedName>
    <definedName name="zaza_1" localSheetId="31" hidden="1">{#N/A,#N/A,FALSE,"MO (2)"}</definedName>
    <definedName name="zaza_1" hidden="1">{#N/A,#N/A,FALSE,"MO (2)"}</definedName>
    <definedName name="zenil" localSheetId="5">#REF!</definedName>
    <definedName name="zenil" localSheetId="0">#REF!</definedName>
    <definedName name="zenil" localSheetId="10">#REF!</definedName>
    <definedName name="zenil">#REF!</definedName>
  </definedNames>
  <calcPr calcId="124519"/>
</workbook>
</file>

<file path=xl/calcChain.xml><?xml version="1.0" encoding="utf-8"?>
<calcChain xmlns="http://schemas.openxmlformats.org/spreadsheetml/2006/main">
  <c r="J131" i="7"/>
  <c r="J36"/>
  <c r="J24"/>
  <c r="B9" i="55" l="1"/>
  <c r="D488" i="46" l="1"/>
  <c r="E17" i="9"/>
  <c r="E16"/>
  <c r="D863" i="46" l="1"/>
  <c r="J140" i="7" l="1"/>
  <c r="J56"/>
  <c r="B8" i="67"/>
  <c r="B8" i="66"/>
  <c r="B8" i="65"/>
  <c r="B8" i="68"/>
  <c r="B8" i="69"/>
  <c r="B8" i="70"/>
  <c r="B8" i="71"/>
  <c r="B8" i="72"/>
  <c r="B8" i="73"/>
  <c r="B8" i="74"/>
  <c r="J33" i="7"/>
  <c r="J34" s="1"/>
  <c r="I33"/>
  <c r="H33"/>
  <c r="C33"/>
  <c r="E18" i="9"/>
  <c r="J35" i="7"/>
  <c r="J37" s="1"/>
  <c r="I141"/>
  <c r="H141"/>
  <c r="C141"/>
  <c r="I57" l="1"/>
  <c r="H57"/>
  <c r="C57"/>
  <c r="D8" i="64" l="1"/>
  <c r="I143" i="7" l="1"/>
  <c r="H143"/>
  <c r="G143"/>
  <c r="I142"/>
  <c r="H142"/>
  <c r="G142"/>
  <c r="C142" s="1"/>
  <c r="J121" i="74"/>
  <c r="J120"/>
  <c r="J119"/>
  <c r="J118"/>
  <c r="J117"/>
  <c r="J116"/>
  <c r="J115"/>
  <c r="J114"/>
  <c r="J113"/>
  <c r="J112"/>
  <c r="J111"/>
  <c r="J110"/>
  <c r="J109"/>
  <c r="J108"/>
  <c r="J107"/>
  <c r="J106"/>
  <c r="J105"/>
  <c r="J104"/>
  <c r="J103"/>
  <c r="J102"/>
  <c r="J101"/>
  <c r="J100"/>
  <c r="J99"/>
  <c r="J98"/>
  <c r="J97"/>
  <c r="J96"/>
  <c r="J95"/>
  <c r="J94"/>
  <c r="J93"/>
  <c r="J92"/>
  <c r="J91"/>
  <c r="J90"/>
  <c r="J89"/>
  <c r="J88"/>
  <c r="J87"/>
  <c r="J86"/>
  <c r="J85"/>
  <c r="J84"/>
  <c r="J83"/>
  <c r="J82"/>
  <c r="J81"/>
  <c r="J80"/>
  <c r="J79"/>
  <c r="J78"/>
  <c r="J77"/>
  <c r="J76"/>
  <c r="J75"/>
  <c r="J74"/>
  <c r="J73"/>
  <c r="A73"/>
  <c r="A74" s="1"/>
  <c r="J72"/>
  <c r="G64"/>
  <c r="M64" s="1"/>
  <c r="D106"/>
  <c r="G106" s="1"/>
  <c r="D105"/>
  <c r="D104"/>
  <c r="G104" s="1"/>
  <c r="K104" s="1"/>
  <c r="D103"/>
  <c r="D102"/>
  <c r="G102" s="1"/>
  <c r="D101"/>
  <c r="D100"/>
  <c r="G100" s="1"/>
  <c r="D99"/>
  <c r="D98"/>
  <c r="G98" s="1"/>
  <c r="D97"/>
  <c r="D96"/>
  <c r="G96" s="1"/>
  <c r="D95"/>
  <c r="D94"/>
  <c r="G94" s="1"/>
  <c r="G36"/>
  <c r="M36" s="1"/>
  <c r="D93"/>
  <c r="D92"/>
  <c r="G92" s="1"/>
  <c r="D91"/>
  <c r="D90"/>
  <c r="G90" s="1"/>
  <c r="I90" s="1"/>
  <c r="D89"/>
  <c r="G31"/>
  <c r="M31" s="1"/>
  <c r="D88"/>
  <c r="G88" s="1"/>
  <c r="D87"/>
  <c r="D86"/>
  <c r="G86" s="1"/>
  <c r="D85"/>
  <c r="G27"/>
  <c r="M27" s="1"/>
  <c r="D84"/>
  <c r="G84" s="1"/>
  <c r="D83"/>
  <c r="D82"/>
  <c r="G82" s="1"/>
  <c r="D81"/>
  <c r="D80"/>
  <c r="G80" s="1"/>
  <c r="D79"/>
  <c r="D78"/>
  <c r="G78" s="1"/>
  <c r="D77"/>
  <c r="D76"/>
  <c r="G76" s="1"/>
  <c r="I76" s="1"/>
  <c r="D75"/>
  <c r="D74"/>
  <c r="G74" s="1"/>
  <c r="D73"/>
  <c r="A16"/>
  <c r="A17" s="1"/>
  <c r="A17" i="73"/>
  <c r="A18" s="1"/>
  <c r="A15" i="72"/>
  <c r="E14"/>
  <c r="A15" i="71"/>
  <c r="A16" s="1"/>
  <c r="E14"/>
  <c r="A66" i="70"/>
  <c r="A65"/>
  <c r="M63"/>
  <c r="K63"/>
  <c r="E63"/>
  <c r="M62"/>
  <c r="K62"/>
  <c r="E62"/>
  <c r="M61"/>
  <c r="K61"/>
  <c r="E61"/>
  <c r="M60"/>
  <c r="K60"/>
  <c r="E60"/>
  <c r="M59"/>
  <c r="K59"/>
  <c r="E59"/>
  <c r="M58"/>
  <c r="K58"/>
  <c r="E58"/>
  <c r="M57"/>
  <c r="K57"/>
  <c r="E57"/>
  <c r="M56"/>
  <c r="K56"/>
  <c r="E56"/>
  <c r="M55"/>
  <c r="K55"/>
  <c r="E55"/>
  <c r="M54"/>
  <c r="K54"/>
  <c r="E54"/>
  <c r="M53"/>
  <c r="K53"/>
  <c r="E53"/>
  <c r="D53"/>
  <c r="M52"/>
  <c r="K52"/>
  <c r="E52"/>
  <c r="M51"/>
  <c r="K51"/>
  <c r="E51"/>
  <c r="M50"/>
  <c r="K50"/>
  <c r="E50"/>
  <c r="M49"/>
  <c r="K49"/>
  <c r="E49"/>
  <c r="M48"/>
  <c r="K48"/>
  <c r="E48"/>
  <c r="M47"/>
  <c r="K47"/>
  <c r="E47"/>
  <c r="M46"/>
  <c r="K46"/>
  <c r="E46"/>
  <c r="M45"/>
  <c r="K45"/>
  <c r="E45"/>
  <c r="M44"/>
  <c r="K44"/>
  <c r="E44"/>
  <c r="M43"/>
  <c r="K43"/>
  <c r="E43"/>
  <c r="F43" s="1"/>
  <c r="H43" s="1"/>
  <c r="M42"/>
  <c r="K42"/>
  <c r="E42"/>
  <c r="M41"/>
  <c r="K41"/>
  <c r="E41"/>
  <c r="M40"/>
  <c r="K40"/>
  <c r="E40"/>
  <c r="M39"/>
  <c r="K39"/>
  <c r="E39"/>
  <c r="M38"/>
  <c r="K38"/>
  <c r="E38"/>
  <c r="M37"/>
  <c r="K37"/>
  <c r="E37"/>
  <c r="M36"/>
  <c r="K36"/>
  <c r="E36"/>
  <c r="M35"/>
  <c r="K35"/>
  <c r="E35"/>
  <c r="M34"/>
  <c r="K34"/>
  <c r="E34"/>
  <c r="M33"/>
  <c r="K33"/>
  <c r="E33"/>
  <c r="M32"/>
  <c r="K32"/>
  <c r="E32"/>
  <c r="M31"/>
  <c r="K31"/>
  <c r="E31"/>
  <c r="M30"/>
  <c r="K30"/>
  <c r="E30"/>
  <c r="M29"/>
  <c r="K29"/>
  <c r="E29"/>
  <c r="M28"/>
  <c r="K28"/>
  <c r="E28"/>
  <c r="M27"/>
  <c r="K27"/>
  <c r="E27"/>
  <c r="M26"/>
  <c r="K26"/>
  <c r="E26"/>
  <c r="M25"/>
  <c r="K25"/>
  <c r="E25"/>
  <c r="D25"/>
  <c r="M24"/>
  <c r="K24"/>
  <c r="E24"/>
  <c r="F24" s="1"/>
  <c r="H24" s="1"/>
  <c r="M23"/>
  <c r="K23"/>
  <c r="E23"/>
  <c r="M22"/>
  <c r="K22"/>
  <c r="E22"/>
  <c r="M21"/>
  <c r="K21"/>
  <c r="E21"/>
  <c r="M20"/>
  <c r="K20"/>
  <c r="E20"/>
  <c r="M19"/>
  <c r="K19"/>
  <c r="E19"/>
  <c r="M18"/>
  <c r="K18"/>
  <c r="E18"/>
  <c r="M17"/>
  <c r="K17"/>
  <c r="E17"/>
  <c r="M16"/>
  <c r="K16"/>
  <c r="E16"/>
  <c r="M15"/>
  <c r="K15"/>
  <c r="E15"/>
  <c r="A15"/>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M14"/>
  <c r="K14"/>
  <c r="E14"/>
  <c r="D63" i="69"/>
  <c r="D63" i="70" s="1"/>
  <c r="B63" i="69"/>
  <c r="B63" i="70" s="1"/>
  <c r="D62" i="69"/>
  <c r="B62"/>
  <c r="B62" i="70" s="1"/>
  <c r="D61" i="69"/>
  <c r="D61" i="70" s="1"/>
  <c r="B61" i="69"/>
  <c r="B61" i="70" s="1"/>
  <c r="D60" i="69"/>
  <c r="D60" i="70" s="1"/>
  <c r="B60" i="69"/>
  <c r="B60" i="70" s="1"/>
  <c r="D59" i="69"/>
  <c r="D59" i="70" s="1"/>
  <c r="B59" i="69"/>
  <c r="B59" i="70" s="1"/>
  <c r="D58" i="69"/>
  <c r="B58"/>
  <c r="B58" i="70" s="1"/>
  <c r="D57" i="69"/>
  <c r="D57" i="70" s="1"/>
  <c r="B57" i="69"/>
  <c r="B57" i="70" s="1"/>
  <c r="F56" i="69"/>
  <c r="H56" s="1"/>
  <c r="D56"/>
  <c r="D56" i="70" s="1"/>
  <c r="B56" i="69"/>
  <c r="B56" i="70" s="1"/>
  <c r="D55" i="69"/>
  <c r="D55" i="70" s="1"/>
  <c r="B55" i="69"/>
  <c r="B55" i="70" s="1"/>
  <c r="D54" i="69"/>
  <c r="B54"/>
  <c r="B54" i="70" s="1"/>
  <c r="F53" i="69"/>
  <c r="H53" s="1"/>
  <c r="N53" s="1"/>
  <c r="D53"/>
  <c r="B53"/>
  <c r="B53" i="70" s="1"/>
  <c r="D52" i="69"/>
  <c r="D52" i="70" s="1"/>
  <c r="B52" i="69"/>
  <c r="B52" i="70" s="1"/>
  <c r="D51" i="69"/>
  <c r="D51" i="70" s="1"/>
  <c r="B51" i="69"/>
  <c r="B51" i="70" s="1"/>
  <c r="D50" i="69"/>
  <c r="B50"/>
  <c r="B50" i="70" s="1"/>
  <c r="D49" i="69"/>
  <c r="F49" s="1"/>
  <c r="H49" s="1"/>
  <c r="B49"/>
  <c r="B49" i="70" s="1"/>
  <c r="D48" i="69"/>
  <c r="D48" i="70" s="1"/>
  <c r="B48" i="69"/>
  <c r="B48" i="70" s="1"/>
  <c r="D47" i="69"/>
  <c r="D47" i="70" s="1"/>
  <c r="B47" i="69"/>
  <c r="B47" i="70" s="1"/>
  <c r="D46" i="69"/>
  <c r="B46"/>
  <c r="B46" i="70" s="1"/>
  <c r="D45" i="69"/>
  <c r="D45" i="70" s="1"/>
  <c r="B45" i="69"/>
  <c r="B45" i="70" s="1"/>
  <c r="D44" i="69"/>
  <c r="D44" i="70" s="1"/>
  <c r="B44" i="69"/>
  <c r="B44" i="70" s="1"/>
  <c r="D43" i="69"/>
  <c r="D43" i="70" s="1"/>
  <c r="B43" i="69"/>
  <c r="B43" i="70" s="1"/>
  <c r="D42" i="69"/>
  <c r="B42"/>
  <c r="B42" i="70" s="1"/>
  <c r="D41" i="69"/>
  <c r="F41" s="1"/>
  <c r="H41" s="1"/>
  <c r="B41"/>
  <c r="B41" i="70" s="1"/>
  <c r="F40" i="69"/>
  <c r="H40" s="1"/>
  <c r="D40"/>
  <c r="D40" i="70" s="1"/>
  <c r="B40" i="69"/>
  <c r="B40" i="70" s="1"/>
  <c r="D39" i="69"/>
  <c r="D39" i="70" s="1"/>
  <c r="B39" i="69"/>
  <c r="B39" i="70" s="1"/>
  <c r="D38" i="69"/>
  <c r="B38"/>
  <c r="B38" i="70" s="1"/>
  <c r="F37" i="69"/>
  <c r="H37" s="1"/>
  <c r="N37" s="1"/>
  <c r="D37"/>
  <c r="D37" i="70" s="1"/>
  <c r="B37" i="69"/>
  <c r="B37" i="70" s="1"/>
  <c r="D36" i="69"/>
  <c r="D36" i="70" s="1"/>
  <c r="B36" i="69"/>
  <c r="B36" i="70" s="1"/>
  <c r="D35" i="69"/>
  <c r="D35" i="70" s="1"/>
  <c r="B35" i="69"/>
  <c r="B35" i="70" s="1"/>
  <c r="D34" i="69"/>
  <c r="B34"/>
  <c r="B34" i="70" s="1"/>
  <c r="D33" i="69"/>
  <c r="F33" s="1"/>
  <c r="H33" s="1"/>
  <c r="B33"/>
  <c r="B33" i="70" s="1"/>
  <c r="D32" i="69"/>
  <c r="D32" i="70" s="1"/>
  <c r="F32" s="1"/>
  <c r="H32" s="1"/>
  <c r="B32" i="69"/>
  <c r="B32" i="70" s="1"/>
  <c r="D31" i="69"/>
  <c r="D31" i="70" s="1"/>
  <c r="B31" i="69"/>
  <c r="B31" i="70" s="1"/>
  <c r="D30" i="69"/>
  <c r="B30"/>
  <c r="B30" i="70" s="1"/>
  <c r="D29" i="69"/>
  <c r="D29" i="70" s="1"/>
  <c r="B29" i="69"/>
  <c r="B29" i="70" s="1"/>
  <c r="D28" i="69"/>
  <c r="D28" i="70" s="1"/>
  <c r="B28" i="69"/>
  <c r="B28" i="70" s="1"/>
  <c r="D27" i="69"/>
  <c r="F27" s="1"/>
  <c r="H27" s="1"/>
  <c r="B27"/>
  <c r="B27" i="70" s="1"/>
  <c r="D26" i="69"/>
  <c r="B26"/>
  <c r="B26" i="70" s="1"/>
  <c r="D25" i="69"/>
  <c r="F25" s="1"/>
  <c r="H25" s="1"/>
  <c r="B25"/>
  <c r="B25" i="70" s="1"/>
  <c r="F24" i="69"/>
  <c r="H24" s="1"/>
  <c r="D24"/>
  <c r="D24" i="70" s="1"/>
  <c r="B24" i="69"/>
  <c r="B24" i="70" s="1"/>
  <c r="D23" i="69"/>
  <c r="D23" i="70" s="1"/>
  <c r="B23" i="69"/>
  <c r="B23" i="70" s="1"/>
  <c r="D22" i="69"/>
  <c r="B22"/>
  <c r="B22" i="70" s="1"/>
  <c r="F21" i="69"/>
  <c r="H21" s="1"/>
  <c r="N21" s="1"/>
  <c r="D21"/>
  <c r="D21" i="70" s="1"/>
  <c r="B21" i="69"/>
  <c r="B21" i="70" s="1"/>
  <c r="D20" i="69"/>
  <c r="D20" i="70" s="1"/>
  <c r="B20" i="69"/>
  <c r="B20" i="70" s="1"/>
  <c r="D19" i="69"/>
  <c r="D19" i="70" s="1"/>
  <c r="B19" i="69"/>
  <c r="B19" i="70" s="1"/>
  <c r="D18" i="69"/>
  <c r="B18"/>
  <c r="B18" i="70" s="1"/>
  <c r="D17" i="69"/>
  <c r="F17" s="1"/>
  <c r="H17" s="1"/>
  <c r="B17"/>
  <c r="B17" i="70" s="1"/>
  <c r="D16" i="69"/>
  <c r="D16" i="70" s="1"/>
  <c r="F16" s="1"/>
  <c r="H16" s="1"/>
  <c r="B16" i="69"/>
  <c r="B16" i="70" s="1"/>
  <c r="D15" i="69"/>
  <c r="D15" i="70" s="1"/>
  <c r="B15" i="69"/>
  <c r="B15" i="70" s="1"/>
  <c r="A15" i="69"/>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D14"/>
  <c r="B14"/>
  <c r="B14" i="70" s="1"/>
  <c r="D64" i="68"/>
  <c r="F63"/>
  <c r="F62"/>
  <c r="F61"/>
  <c r="F60"/>
  <c r="F59"/>
  <c r="F58"/>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A15"/>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F14"/>
  <c r="C143" i="7"/>
  <c r="I140"/>
  <c r="H140"/>
  <c r="C140"/>
  <c r="I146"/>
  <c r="H146"/>
  <c r="C146"/>
  <c r="I145"/>
  <c r="H145"/>
  <c r="C145"/>
  <c r="I144"/>
  <c r="H144"/>
  <c r="C144"/>
  <c r="F29" i="69" l="1"/>
  <c r="H29" s="1"/>
  <c r="N29" s="1"/>
  <c r="F40" i="70"/>
  <c r="H40" s="1"/>
  <c r="L40" s="1"/>
  <c r="F45" i="69"/>
  <c r="H45" s="1"/>
  <c r="N45" s="1"/>
  <c r="F61"/>
  <c r="H61" s="1"/>
  <c r="N61" s="1"/>
  <c r="F32"/>
  <c r="H32" s="1"/>
  <c r="F48"/>
  <c r="H48" s="1"/>
  <c r="N48" s="1"/>
  <c r="D49" i="70"/>
  <c r="F56"/>
  <c r="H56" s="1"/>
  <c r="L56" s="1"/>
  <c r="F48"/>
  <c r="H48" s="1"/>
  <c r="D33"/>
  <c r="F33" s="1"/>
  <c r="H33" s="1"/>
  <c r="G22" i="74"/>
  <c r="M22" s="1"/>
  <c r="G39"/>
  <c r="M39" s="1"/>
  <c r="G43"/>
  <c r="M43" s="1"/>
  <c r="G49"/>
  <c r="M49" s="1"/>
  <c r="L20" i="73"/>
  <c r="G48" i="74"/>
  <c r="M48" s="1"/>
  <c r="G42"/>
  <c r="M42" s="1"/>
  <c r="G47"/>
  <c r="M47" s="1"/>
  <c r="L19" i="73"/>
  <c r="G28" i="74"/>
  <c r="M28" s="1"/>
  <c r="G46"/>
  <c r="M46" s="1"/>
  <c r="L23" i="73"/>
  <c r="G19" i="74"/>
  <c r="M19" s="1"/>
  <c r="G35"/>
  <c r="M35" s="1"/>
  <c r="L18" i="73"/>
  <c r="L22"/>
  <c r="G16" i="74"/>
  <c r="M16" s="1"/>
  <c r="G18"/>
  <c r="M18" s="1"/>
  <c r="G23"/>
  <c r="M23" s="1"/>
  <c r="G32"/>
  <c r="M32" s="1"/>
  <c r="L17" i="73"/>
  <c r="L21"/>
  <c r="H17"/>
  <c r="H19"/>
  <c r="H21"/>
  <c r="H23"/>
  <c r="J29"/>
  <c r="J33"/>
  <c r="J45"/>
  <c r="D65" i="74"/>
  <c r="G17"/>
  <c r="M17" s="1"/>
  <c r="H18" i="73"/>
  <c r="H20"/>
  <c r="H22"/>
  <c r="J25"/>
  <c r="J37"/>
  <c r="J41"/>
  <c r="J49"/>
  <c r="J53"/>
  <c r="J57"/>
  <c r="J61"/>
  <c r="J65"/>
  <c r="G21" i="74"/>
  <c r="M21" s="1"/>
  <c r="G25"/>
  <c r="M25" s="1"/>
  <c r="G29"/>
  <c r="M29" s="1"/>
  <c r="G33"/>
  <c r="M33" s="1"/>
  <c r="G37"/>
  <c r="M37" s="1"/>
  <c r="G41"/>
  <c r="M41" s="1"/>
  <c r="G45"/>
  <c r="M45" s="1"/>
  <c r="L16" i="73"/>
  <c r="G75" i="74"/>
  <c r="M75" s="1"/>
  <c r="G20"/>
  <c r="M20" s="1"/>
  <c r="G79"/>
  <c r="G24"/>
  <c r="M24" s="1"/>
  <c r="G83"/>
  <c r="M83" s="1"/>
  <c r="G87"/>
  <c r="I87" s="1"/>
  <c r="G91"/>
  <c r="I91" s="1"/>
  <c r="G95"/>
  <c r="K95" s="1"/>
  <c r="G40"/>
  <c r="M40" s="1"/>
  <c r="G99"/>
  <c r="M99" s="1"/>
  <c r="G44"/>
  <c r="M44" s="1"/>
  <c r="G103"/>
  <c r="I103" s="1"/>
  <c r="G52"/>
  <c r="G73"/>
  <c r="K73" s="1"/>
  <c r="G77"/>
  <c r="K77" s="1"/>
  <c r="G81"/>
  <c r="I81" s="1"/>
  <c r="G26"/>
  <c r="M26" s="1"/>
  <c r="G85"/>
  <c r="I85" s="1"/>
  <c r="G30"/>
  <c r="M30" s="1"/>
  <c r="G89"/>
  <c r="M89" s="1"/>
  <c r="G34"/>
  <c r="M34" s="1"/>
  <c r="G93"/>
  <c r="K93" s="1"/>
  <c r="G38"/>
  <c r="M38" s="1"/>
  <c r="G97"/>
  <c r="I97" s="1"/>
  <c r="G101"/>
  <c r="G105"/>
  <c r="F23" i="69"/>
  <c r="H23" s="1"/>
  <c r="N23" s="1"/>
  <c r="F31"/>
  <c r="H31" s="1"/>
  <c r="L31" s="1"/>
  <c r="F39"/>
  <c r="H39" s="1"/>
  <c r="N39" s="1"/>
  <c r="F47"/>
  <c r="H47" s="1"/>
  <c r="L47" s="1"/>
  <c r="F55"/>
  <c r="H55" s="1"/>
  <c r="N55" s="1"/>
  <c r="F63"/>
  <c r="H63" s="1"/>
  <c r="D17" i="70"/>
  <c r="F25"/>
  <c r="H25" s="1"/>
  <c r="N25" s="1"/>
  <c r="D41"/>
  <c r="F49"/>
  <c r="H49" s="1"/>
  <c r="N49" s="1"/>
  <c r="J17" i="73"/>
  <c r="J18"/>
  <c r="J19"/>
  <c r="J20"/>
  <c r="J21"/>
  <c r="J22"/>
  <c r="J23"/>
  <c r="H24"/>
  <c r="H28"/>
  <c r="H32"/>
  <c r="H36"/>
  <c r="H40"/>
  <c r="H44"/>
  <c r="H48"/>
  <c r="H52"/>
  <c r="H56"/>
  <c r="H60"/>
  <c r="H64"/>
  <c r="I16" i="74"/>
  <c r="I18"/>
  <c r="I21"/>
  <c r="I22"/>
  <c r="I25"/>
  <c r="I27"/>
  <c r="I28"/>
  <c r="I29"/>
  <c r="I30"/>
  <c r="I31"/>
  <c r="I34"/>
  <c r="I35"/>
  <c r="I36"/>
  <c r="I39"/>
  <c r="I40"/>
  <c r="I42"/>
  <c r="I43"/>
  <c r="I44"/>
  <c r="I46"/>
  <c r="I47"/>
  <c r="I48"/>
  <c r="I49"/>
  <c r="K52"/>
  <c r="F17" i="70"/>
  <c r="H17" s="1"/>
  <c r="L17" s="1"/>
  <c r="F41"/>
  <c r="H41" s="1"/>
  <c r="L41" s="1"/>
  <c r="H16" i="73"/>
  <c r="J27"/>
  <c r="J31"/>
  <c r="J35"/>
  <c r="J39"/>
  <c r="J43"/>
  <c r="J47"/>
  <c r="J51"/>
  <c r="J55"/>
  <c r="J59"/>
  <c r="J63"/>
  <c r="G15" i="74"/>
  <c r="K15" s="1"/>
  <c r="I64"/>
  <c r="F15" i="69"/>
  <c r="H15" s="1"/>
  <c r="L15" s="1"/>
  <c r="F16"/>
  <c r="H16" s="1"/>
  <c r="F57"/>
  <c r="H57" s="1"/>
  <c r="J16" i="73"/>
  <c r="H26"/>
  <c r="H30"/>
  <c r="H34"/>
  <c r="H38"/>
  <c r="H42"/>
  <c r="H46"/>
  <c r="H50"/>
  <c r="H54"/>
  <c r="H58"/>
  <c r="H62"/>
  <c r="K64" i="74"/>
  <c r="N15" i="69"/>
  <c r="F64" i="68"/>
  <c r="M73" i="74"/>
  <c r="I73"/>
  <c r="K75"/>
  <c r="I77"/>
  <c r="M77"/>
  <c r="K79"/>
  <c r="I79"/>
  <c r="M79"/>
  <c r="K80"/>
  <c r="I80"/>
  <c r="M80"/>
  <c r="M82"/>
  <c r="I82"/>
  <c r="K82"/>
  <c r="K83"/>
  <c r="I83"/>
  <c r="I84"/>
  <c r="M84"/>
  <c r="K84"/>
  <c r="M85"/>
  <c r="K85"/>
  <c r="K87"/>
  <c r="M87"/>
  <c r="I93"/>
  <c r="M93"/>
  <c r="I95"/>
  <c r="M98"/>
  <c r="I98"/>
  <c r="K98"/>
  <c r="I100"/>
  <c r="M100"/>
  <c r="K100"/>
  <c r="M103"/>
  <c r="M78"/>
  <c r="I78"/>
  <c r="K78"/>
  <c r="A75"/>
  <c r="A18"/>
  <c r="D108"/>
  <c r="G108" s="1"/>
  <c r="G51"/>
  <c r="D112"/>
  <c r="G112" s="1"/>
  <c r="G55"/>
  <c r="D116"/>
  <c r="G116" s="1"/>
  <c r="G59"/>
  <c r="D120"/>
  <c r="G120" s="1"/>
  <c r="G63"/>
  <c r="D72"/>
  <c r="I101"/>
  <c r="M101"/>
  <c r="K101"/>
  <c r="K16"/>
  <c r="M74"/>
  <c r="K74"/>
  <c r="K17"/>
  <c r="K18"/>
  <c r="M76"/>
  <c r="K76"/>
  <c r="K19"/>
  <c r="K20"/>
  <c r="K21"/>
  <c r="K22"/>
  <c r="K23"/>
  <c r="K25"/>
  <c r="K26"/>
  <c r="K27"/>
  <c r="K28"/>
  <c r="M86"/>
  <c r="I86"/>
  <c r="K86"/>
  <c r="K29"/>
  <c r="K30"/>
  <c r="I88"/>
  <c r="M88"/>
  <c r="K31"/>
  <c r="K89"/>
  <c r="K32"/>
  <c r="M90"/>
  <c r="K90"/>
  <c r="K33"/>
  <c r="K91"/>
  <c r="M91"/>
  <c r="K34"/>
  <c r="I92"/>
  <c r="M92"/>
  <c r="K92"/>
  <c r="K35"/>
  <c r="K36"/>
  <c r="M94"/>
  <c r="K94"/>
  <c r="I94"/>
  <c r="K37"/>
  <c r="K38"/>
  <c r="M96"/>
  <c r="K96"/>
  <c r="K39"/>
  <c r="K40"/>
  <c r="K41"/>
  <c r="K99"/>
  <c r="I99"/>
  <c r="K42"/>
  <c r="K43"/>
  <c r="K44"/>
  <c r="M102"/>
  <c r="K102"/>
  <c r="I102"/>
  <c r="K45"/>
  <c r="K46"/>
  <c r="I104"/>
  <c r="M104"/>
  <c r="K47"/>
  <c r="I105"/>
  <c r="M105"/>
  <c r="K105"/>
  <c r="K48"/>
  <c r="M106"/>
  <c r="K106"/>
  <c r="I106"/>
  <c r="K49"/>
  <c r="D113"/>
  <c r="G113" s="1"/>
  <c r="G56"/>
  <c r="G60"/>
  <c r="D117"/>
  <c r="G117" s="1"/>
  <c r="I74"/>
  <c r="I96"/>
  <c r="D121"/>
  <c r="G121" s="1"/>
  <c r="G53"/>
  <c r="D110"/>
  <c r="G110" s="1"/>
  <c r="D114"/>
  <c r="G114" s="1"/>
  <c r="G57"/>
  <c r="D118"/>
  <c r="G118" s="1"/>
  <c r="G61"/>
  <c r="D107"/>
  <c r="G107" s="1"/>
  <c r="G50"/>
  <c r="D111"/>
  <c r="G111" s="1"/>
  <c r="G54"/>
  <c r="D115"/>
  <c r="G115" s="1"/>
  <c r="G58"/>
  <c r="D119"/>
  <c r="G119" s="1"/>
  <c r="G62"/>
  <c r="K88"/>
  <c r="D109"/>
  <c r="G109" s="1"/>
  <c r="A19" i="73"/>
  <c r="L24"/>
  <c r="L26"/>
  <c r="L28"/>
  <c r="L30"/>
  <c r="L32"/>
  <c r="L34"/>
  <c r="L36"/>
  <c r="L38"/>
  <c r="L40"/>
  <c r="L42"/>
  <c r="L44"/>
  <c r="L46"/>
  <c r="L48"/>
  <c r="L50"/>
  <c r="L52"/>
  <c r="L54"/>
  <c r="L56"/>
  <c r="L58"/>
  <c r="L60"/>
  <c r="L62"/>
  <c r="L64"/>
  <c r="H25"/>
  <c r="L25"/>
  <c r="H27"/>
  <c r="L27"/>
  <c r="H29"/>
  <c r="L29"/>
  <c r="H31"/>
  <c r="L31"/>
  <c r="H33"/>
  <c r="L33"/>
  <c r="H35"/>
  <c r="L35"/>
  <c r="H37"/>
  <c r="L37"/>
  <c r="H39"/>
  <c r="L39"/>
  <c r="H41"/>
  <c r="L41"/>
  <c r="H43"/>
  <c r="L43"/>
  <c r="H45"/>
  <c r="L45"/>
  <c r="H47"/>
  <c r="L47"/>
  <c r="H49"/>
  <c r="L49"/>
  <c r="H51"/>
  <c r="L51"/>
  <c r="H53"/>
  <c r="L53"/>
  <c r="H55"/>
  <c r="L55"/>
  <c r="H57"/>
  <c r="L57"/>
  <c r="H59"/>
  <c r="L59"/>
  <c r="H61"/>
  <c r="L61"/>
  <c r="H63"/>
  <c r="L63"/>
  <c r="H65"/>
  <c r="L65"/>
  <c r="J24"/>
  <c r="J26"/>
  <c r="J28"/>
  <c r="J30"/>
  <c r="J32"/>
  <c r="J34"/>
  <c r="J36"/>
  <c r="J38"/>
  <c r="J40"/>
  <c r="J42"/>
  <c r="J44"/>
  <c r="J46"/>
  <c r="J48"/>
  <c r="J50"/>
  <c r="J52"/>
  <c r="J54"/>
  <c r="J56"/>
  <c r="J58"/>
  <c r="J60"/>
  <c r="J62"/>
  <c r="J64"/>
  <c r="D66"/>
  <c r="N17" i="69"/>
  <c r="L17"/>
  <c r="N25"/>
  <c r="L25"/>
  <c r="L27"/>
  <c r="N27"/>
  <c r="L40"/>
  <c r="N40"/>
  <c r="L24"/>
  <c r="N24"/>
  <c r="L48" i="70"/>
  <c r="N48"/>
  <c r="N49" i="69"/>
  <c r="L49"/>
  <c r="L32" i="70"/>
  <c r="N32"/>
  <c r="N33" i="69"/>
  <c r="L33"/>
  <c r="N57"/>
  <c r="L57"/>
  <c r="L24" i="70"/>
  <c r="N24"/>
  <c r="L16"/>
  <c r="N16"/>
  <c r="L16" i="69"/>
  <c r="N16"/>
  <c r="L32"/>
  <c r="N32"/>
  <c r="N41"/>
  <c r="L41"/>
  <c r="L56"/>
  <c r="N56"/>
  <c r="D46" i="70"/>
  <c r="F46" s="1"/>
  <c r="H46" s="1"/>
  <c r="F46" i="69"/>
  <c r="H46" s="1"/>
  <c r="D62" i="70"/>
  <c r="F62" i="69"/>
  <c r="H62" s="1"/>
  <c r="F19" i="70"/>
  <c r="H19" s="1"/>
  <c r="F28"/>
  <c r="H28" s="1"/>
  <c r="L43"/>
  <c r="N43"/>
  <c r="F44"/>
  <c r="H44" s="1"/>
  <c r="F60"/>
  <c r="H60" s="1"/>
  <c r="F19" i="69"/>
  <c r="H19" s="1"/>
  <c r="D26" i="70"/>
  <c r="F26" s="1"/>
  <c r="H26" s="1"/>
  <c r="F26" i="69"/>
  <c r="H26" s="1"/>
  <c r="F28"/>
  <c r="H28" s="1"/>
  <c r="F35"/>
  <c r="H35" s="1"/>
  <c r="L39"/>
  <c r="D42" i="70"/>
  <c r="F42" s="1"/>
  <c r="H42" s="1"/>
  <c r="F42" i="69"/>
  <c r="H42" s="1"/>
  <c r="F44"/>
  <c r="H44" s="1"/>
  <c r="L45"/>
  <c r="F51"/>
  <c r="H51" s="1"/>
  <c r="L55"/>
  <c r="D58" i="70"/>
  <c r="F58" i="69"/>
  <c r="H58" s="1"/>
  <c r="F60"/>
  <c r="H60" s="1"/>
  <c r="L61"/>
  <c r="N17" i="70"/>
  <c r="F20"/>
  <c r="H20" s="1"/>
  <c r="N40"/>
  <c r="F51"/>
  <c r="H51" s="1"/>
  <c r="F52"/>
  <c r="H52" s="1"/>
  <c r="N56"/>
  <c r="D30"/>
  <c r="F30" s="1"/>
  <c r="H30" s="1"/>
  <c r="F30" i="69"/>
  <c r="H30" s="1"/>
  <c r="B14" i="72"/>
  <c r="B14" i="71"/>
  <c r="D22" i="70"/>
  <c r="F22" s="1"/>
  <c r="H22" s="1"/>
  <c r="F22" i="69"/>
  <c r="H22" s="1"/>
  <c r="D38" i="70"/>
  <c r="F38" s="1"/>
  <c r="H38" s="1"/>
  <c r="F38" i="69"/>
  <c r="H38" s="1"/>
  <c r="D54" i="70"/>
  <c r="F54" s="1"/>
  <c r="H54" s="1"/>
  <c r="F54" i="69"/>
  <c r="H54" s="1"/>
  <c r="L63"/>
  <c r="N63"/>
  <c r="D27" i="70"/>
  <c r="F27" s="1"/>
  <c r="H27" s="1"/>
  <c r="D14" i="72"/>
  <c r="D14" i="71"/>
  <c r="D14" i="70"/>
  <c r="F14" s="1"/>
  <c r="F14" i="69"/>
  <c r="D18" i="70"/>
  <c r="F18" s="1"/>
  <c r="H18" s="1"/>
  <c r="F18" i="69"/>
  <c r="H18" s="1"/>
  <c r="F20"/>
  <c r="H20" s="1"/>
  <c r="L21"/>
  <c r="D34" i="70"/>
  <c r="F34" s="1"/>
  <c r="H34" s="1"/>
  <c r="F34" i="69"/>
  <c r="H34" s="1"/>
  <c r="F36"/>
  <c r="H36" s="1"/>
  <c r="L37"/>
  <c r="F43"/>
  <c r="H43" s="1"/>
  <c r="D50" i="70"/>
  <c r="F50" s="1"/>
  <c r="H50" s="1"/>
  <c r="F50" i="69"/>
  <c r="H50" s="1"/>
  <c r="F52"/>
  <c r="H52" s="1"/>
  <c r="L53"/>
  <c r="F59"/>
  <c r="H59" s="1"/>
  <c r="D64"/>
  <c r="F35" i="70"/>
  <c r="H35" s="1"/>
  <c r="F36"/>
  <c r="H36" s="1"/>
  <c r="N41"/>
  <c r="E16" i="71"/>
  <c r="E15"/>
  <c r="B15" i="72"/>
  <c r="B16" i="71"/>
  <c r="D15"/>
  <c r="B15"/>
  <c r="F21" i="70"/>
  <c r="H21" s="1"/>
  <c r="F29"/>
  <c r="H29" s="1"/>
  <c r="F37"/>
  <c r="H37" s="1"/>
  <c r="F45"/>
  <c r="H45" s="1"/>
  <c r="F53"/>
  <c r="H53" s="1"/>
  <c r="F57"/>
  <c r="H57" s="1"/>
  <c r="F61"/>
  <c r="H61" s="1"/>
  <c r="F15"/>
  <c r="H15" s="1"/>
  <c r="F23"/>
  <c r="H23" s="1"/>
  <c r="F31"/>
  <c r="H31" s="1"/>
  <c r="F39"/>
  <c r="H39" s="1"/>
  <c r="F47"/>
  <c r="H47" s="1"/>
  <c r="F58"/>
  <c r="H58" s="1"/>
  <c r="F62"/>
  <c r="H62" s="1"/>
  <c r="F55"/>
  <c r="H55" s="1"/>
  <c r="F59"/>
  <c r="H59" s="1"/>
  <c r="F63"/>
  <c r="H63" s="1"/>
  <c r="A17" i="71"/>
  <c r="D16"/>
  <c r="E15" i="72"/>
  <c r="D15"/>
  <c r="A16"/>
  <c r="L33" i="70" l="1"/>
  <c r="N33"/>
  <c r="L48" i="69"/>
  <c r="L49" i="70"/>
  <c r="N31" i="69"/>
  <c r="L23"/>
  <c r="N47"/>
  <c r="L25" i="70"/>
  <c r="L29" i="69"/>
  <c r="I17" i="74"/>
  <c r="I75"/>
  <c r="I26"/>
  <c r="I45"/>
  <c r="I41"/>
  <c r="I37"/>
  <c r="I32"/>
  <c r="I23"/>
  <c r="I19"/>
  <c r="I38"/>
  <c r="I20"/>
  <c r="K103"/>
  <c r="I89"/>
  <c r="M95"/>
  <c r="K81"/>
  <c r="M97"/>
  <c r="K24"/>
  <c r="M81"/>
  <c r="I33"/>
  <c r="K97"/>
  <c r="I24"/>
  <c r="M52"/>
  <c r="I52"/>
  <c r="L66" i="73"/>
  <c r="J66"/>
  <c r="J145" i="7" s="1"/>
  <c r="M15" i="74"/>
  <c r="I15"/>
  <c r="H66" i="73"/>
  <c r="J144" i="7" s="1"/>
  <c r="G65" i="74"/>
  <c r="F15" i="72"/>
  <c r="H15" s="1"/>
  <c r="F15" i="71"/>
  <c r="H15" s="1"/>
  <c r="M118" i="74"/>
  <c r="K118"/>
  <c r="I118"/>
  <c r="K115"/>
  <c r="I115"/>
  <c r="M115"/>
  <c r="K107"/>
  <c r="I107"/>
  <c r="M107"/>
  <c r="M57"/>
  <c r="K57"/>
  <c r="I57"/>
  <c r="I121"/>
  <c r="M121"/>
  <c r="K121"/>
  <c r="I113"/>
  <c r="M113"/>
  <c r="K113"/>
  <c r="I120"/>
  <c r="M120"/>
  <c r="K120"/>
  <c r="I112"/>
  <c r="M112"/>
  <c r="K112"/>
  <c r="A19"/>
  <c r="M50"/>
  <c r="K50"/>
  <c r="I50"/>
  <c r="M56"/>
  <c r="I56"/>
  <c r="K56"/>
  <c r="M62"/>
  <c r="K62"/>
  <c r="I62"/>
  <c r="M54"/>
  <c r="K54"/>
  <c r="I54"/>
  <c r="M114"/>
  <c r="K114"/>
  <c r="I114"/>
  <c r="I117"/>
  <c r="M117"/>
  <c r="K117"/>
  <c r="M59"/>
  <c r="K59"/>
  <c r="I59"/>
  <c r="M51"/>
  <c r="K51"/>
  <c r="I51"/>
  <c r="A76"/>
  <c r="M58"/>
  <c r="K58"/>
  <c r="I58"/>
  <c r="K119"/>
  <c r="I119"/>
  <c r="M119"/>
  <c r="K111"/>
  <c r="M111"/>
  <c r="I111"/>
  <c r="M61"/>
  <c r="K61"/>
  <c r="I61"/>
  <c r="M110"/>
  <c r="K110"/>
  <c r="I110"/>
  <c r="M60"/>
  <c r="I60"/>
  <c r="K60"/>
  <c r="D122"/>
  <c r="G72"/>
  <c r="I116"/>
  <c r="M116"/>
  <c r="K116"/>
  <c r="I108"/>
  <c r="M108"/>
  <c r="K108"/>
  <c r="I109"/>
  <c r="M109"/>
  <c r="K109"/>
  <c r="M53"/>
  <c r="K53"/>
  <c r="I53"/>
  <c r="M63"/>
  <c r="K63"/>
  <c r="I63"/>
  <c r="M55"/>
  <c r="K55"/>
  <c r="I55"/>
  <c r="A20" i="73"/>
  <c r="N18" i="70"/>
  <c r="L18"/>
  <c r="F64"/>
  <c r="H14"/>
  <c r="L15"/>
  <c r="N15"/>
  <c r="N55"/>
  <c r="L55"/>
  <c r="N61"/>
  <c r="L61"/>
  <c r="A17" i="72"/>
  <c r="D16"/>
  <c r="B16"/>
  <c r="E16"/>
  <c r="D17" i="71"/>
  <c r="A18"/>
  <c r="B17"/>
  <c r="E17"/>
  <c r="L62" i="70"/>
  <c r="N62"/>
  <c r="L31"/>
  <c r="N31"/>
  <c r="N57"/>
  <c r="L57"/>
  <c r="N29"/>
  <c r="L29"/>
  <c r="N63"/>
  <c r="L63"/>
  <c r="L58"/>
  <c r="N58"/>
  <c r="L23"/>
  <c r="N23"/>
  <c r="N53"/>
  <c r="L53"/>
  <c r="N21"/>
  <c r="L21"/>
  <c r="N36"/>
  <c r="L36"/>
  <c r="N59" i="69"/>
  <c r="L59"/>
  <c r="L50" i="70"/>
  <c r="N50"/>
  <c r="N34" i="69"/>
  <c r="L34"/>
  <c r="N18"/>
  <c r="L18"/>
  <c r="F14" i="71"/>
  <c r="L54" i="70"/>
  <c r="N54"/>
  <c r="L22"/>
  <c r="N22"/>
  <c r="L30"/>
  <c r="N30"/>
  <c r="L60" i="69"/>
  <c r="N60"/>
  <c r="N51"/>
  <c r="L51"/>
  <c r="L42" i="70"/>
  <c r="N42"/>
  <c r="L28" i="69"/>
  <c r="N28"/>
  <c r="N19"/>
  <c r="L19"/>
  <c r="N47" i="70"/>
  <c r="L47"/>
  <c r="L35"/>
  <c r="N35"/>
  <c r="L43" i="69"/>
  <c r="N43"/>
  <c r="L34" i="70"/>
  <c r="N34"/>
  <c r="L38" i="69"/>
  <c r="N38"/>
  <c r="N20" i="70"/>
  <c r="L20"/>
  <c r="L58" i="69"/>
  <c r="N58"/>
  <c r="L26"/>
  <c r="N26"/>
  <c r="L60" i="70"/>
  <c r="N60"/>
  <c r="N28"/>
  <c r="L28"/>
  <c r="N46" i="69"/>
  <c r="L46"/>
  <c r="N59" i="70"/>
  <c r="L59"/>
  <c r="N39"/>
  <c r="L39"/>
  <c r="N37"/>
  <c r="L37"/>
  <c r="F16" i="71"/>
  <c r="H16" s="1"/>
  <c r="N27" i="70"/>
  <c r="L27"/>
  <c r="L52" i="69"/>
  <c r="N52"/>
  <c r="F64"/>
  <c r="H14"/>
  <c r="F14" i="72"/>
  <c r="N38" i="70"/>
  <c r="L38"/>
  <c r="N52"/>
  <c r="L52"/>
  <c r="L44" i="69"/>
  <c r="N44"/>
  <c r="N35"/>
  <c r="L35"/>
  <c r="N26" i="70"/>
  <c r="L26"/>
  <c r="N44"/>
  <c r="L44"/>
  <c r="N19"/>
  <c r="L19"/>
  <c r="N46"/>
  <c r="L46"/>
  <c r="N45"/>
  <c r="L45"/>
  <c r="N50" i="69"/>
  <c r="L50"/>
  <c r="L36"/>
  <c r="N36"/>
  <c r="L20"/>
  <c r="N20"/>
  <c r="D64" i="70"/>
  <c r="N54" i="69"/>
  <c r="L54"/>
  <c r="L22"/>
  <c r="N22"/>
  <c r="N30"/>
  <c r="L30"/>
  <c r="L51" i="70"/>
  <c r="N51"/>
  <c r="L42" i="69"/>
  <c r="N42"/>
  <c r="N62"/>
  <c r="L62"/>
  <c r="K65" i="74" l="1"/>
  <c r="F17" i="71"/>
  <c r="H17" s="1"/>
  <c r="F16" i="72"/>
  <c r="H16" s="1"/>
  <c r="A77" i="74"/>
  <c r="M65"/>
  <c r="G122"/>
  <c r="M72"/>
  <c r="M122" s="1"/>
  <c r="K72"/>
  <c r="K122" s="1"/>
  <c r="I72"/>
  <c r="I122" s="1"/>
  <c r="I65"/>
  <c r="A20"/>
  <c r="A21" i="73"/>
  <c r="H64" i="69"/>
  <c r="J141" i="7" s="1"/>
  <c r="N14" i="69"/>
  <c r="N64" s="1"/>
  <c r="L14"/>
  <c r="L64" s="1"/>
  <c r="H14" i="71"/>
  <c r="A19"/>
  <c r="D18"/>
  <c r="B18"/>
  <c r="E18"/>
  <c r="H64" i="70"/>
  <c r="N14"/>
  <c r="N64" s="1"/>
  <c r="L14"/>
  <c r="L64" s="1"/>
  <c r="E17" i="72"/>
  <c r="A18"/>
  <c r="D17"/>
  <c r="B17"/>
  <c r="H14"/>
  <c r="J147" i="7" l="1"/>
  <c r="J146"/>
  <c r="A21" i="74"/>
  <c r="A78"/>
  <c r="A22" i="73"/>
  <c r="A19" i="72"/>
  <c r="D18"/>
  <c r="B18"/>
  <c r="E18"/>
  <c r="A20" i="71"/>
  <c r="B19"/>
  <c r="E19"/>
  <c r="D19"/>
  <c r="F17" i="72"/>
  <c r="F18" i="71"/>
  <c r="F18" i="72" l="1"/>
  <c r="H18" s="1"/>
  <c r="A79" i="74"/>
  <c r="A22"/>
  <c r="A23" i="73"/>
  <c r="F19" i="71"/>
  <c r="H19" s="1"/>
  <c r="H18"/>
  <c r="H17" i="72"/>
  <c r="A21" i="71"/>
  <c r="D20"/>
  <c r="E20"/>
  <c r="B20"/>
  <c r="E19" i="72"/>
  <c r="A20"/>
  <c r="D19"/>
  <c r="B19"/>
  <c r="F20" i="71" l="1"/>
  <c r="H20" s="1"/>
  <c r="A23" i="74"/>
  <c r="A80"/>
  <c r="A24" i="73"/>
  <c r="A21" i="72"/>
  <c r="D20"/>
  <c r="B20"/>
  <c r="E20"/>
  <c r="F19"/>
  <c r="E21" i="71"/>
  <c r="D21"/>
  <c r="A22"/>
  <c r="B21"/>
  <c r="F21" l="1"/>
  <c r="H21" s="1"/>
  <c r="A81" i="74"/>
  <c r="A24"/>
  <c r="A25" i="73"/>
  <c r="H19" i="72"/>
  <c r="A23" i="71"/>
  <c r="D22"/>
  <c r="E22"/>
  <c r="B22"/>
  <c r="F20" i="72"/>
  <c r="H20" s="1"/>
  <c r="E21"/>
  <c r="A22"/>
  <c r="D21"/>
  <c r="B21"/>
  <c r="F22" i="71" l="1"/>
  <c r="H22" s="1"/>
  <c r="F21" i="72"/>
  <c r="H21" s="1"/>
  <c r="A25" i="74"/>
  <c r="A82"/>
  <c r="A26" i="73"/>
  <c r="E23" i="71"/>
  <c r="D23"/>
  <c r="A24"/>
  <c r="B23"/>
  <c r="A23" i="72"/>
  <c r="D22"/>
  <c r="B22"/>
  <c r="E22"/>
  <c r="F23" i="71" l="1"/>
  <c r="H23" s="1"/>
  <c r="F22" i="72"/>
  <c r="H22" s="1"/>
  <c r="A83" i="74"/>
  <c r="A26"/>
  <c r="A27" i="73"/>
  <c r="E23" i="72"/>
  <c r="A24"/>
  <c r="D23"/>
  <c r="B23"/>
  <c r="A25" i="71"/>
  <c r="D24"/>
  <c r="E24"/>
  <c r="B24"/>
  <c r="F24" l="1"/>
  <c r="H24" s="1"/>
  <c r="A27" i="74"/>
  <c r="A84"/>
  <c r="A28" i="73"/>
  <c r="D25" i="71"/>
  <c r="A26"/>
  <c r="B25"/>
  <c r="E25"/>
  <c r="F23" i="72"/>
  <c r="A25"/>
  <c r="D24"/>
  <c r="B24"/>
  <c r="E24"/>
  <c r="A85" i="74" l="1"/>
  <c r="A28"/>
  <c r="A29" i="73"/>
  <c r="E25" i="72"/>
  <c r="A26"/>
  <c r="D25"/>
  <c r="B25"/>
  <c r="F24"/>
  <c r="H24" s="1"/>
  <c r="H23"/>
  <c r="F25" i="71"/>
  <c r="H25" s="1"/>
  <c r="A27"/>
  <c r="D26"/>
  <c r="B26"/>
  <c r="E26"/>
  <c r="A29" i="74" l="1"/>
  <c r="A86"/>
  <c r="A30" i="73"/>
  <c r="F26" i="71"/>
  <c r="H26" s="1"/>
  <c r="A27" i="72"/>
  <c r="D26"/>
  <c r="B26"/>
  <c r="E26"/>
  <c r="A28" i="71"/>
  <c r="B27"/>
  <c r="E27"/>
  <c r="D27"/>
  <c r="F25" i="72"/>
  <c r="H25" s="1"/>
  <c r="F26" l="1"/>
  <c r="H26" s="1"/>
  <c r="A87" i="74"/>
  <c r="A30"/>
  <c r="A31" i="73"/>
  <c r="F27" i="71"/>
  <c r="H27" s="1"/>
  <c r="A29"/>
  <c r="D28"/>
  <c r="E28"/>
  <c r="B28"/>
  <c r="E27" i="72"/>
  <c r="A28"/>
  <c r="D27"/>
  <c r="B27"/>
  <c r="F28" i="71" l="1"/>
  <c r="H28" s="1"/>
  <c r="A31" i="74"/>
  <c r="A88"/>
  <c r="A32" i="73"/>
  <c r="A29" i="72"/>
  <c r="D28"/>
  <c r="B28"/>
  <c r="E28"/>
  <c r="F27"/>
  <c r="H27" s="1"/>
  <c r="E29" i="71"/>
  <c r="D29"/>
  <c r="A30"/>
  <c r="B29"/>
  <c r="F28" i="72" l="1"/>
  <c r="H28" s="1"/>
  <c r="A89" i="74"/>
  <c r="A32"/>
  <c r="A33" i="73"/>
  <c r="A31" i="71"/>
  <c r="D30"/>
  <c r="E30"/>
  <c r="B30"/>
  <c r="F29"/>
  <c r="H29" s="1"/>
  <c r="E29" i="72"/>
  <c r="A30"/>
  <c r="D29"/>
  <c r="B29"/>
  <c r="F30" i="71" l="1"/>
  <c r="H30" s="1"/>
  <c r="A33" i="74"/>
  <c r="A90"/>
  <c r="A34" i="73"/>
  <c r="A31" i="72"/>
  <c r="D30"/>
  <c r="B30"/>
  <c r="E30"/>
  <c r="F29"/>
  <c r="H29" s="1"/>
  <c r="E31" i="71"/>
  <c r="D31"/>
  <c r="A32"/>
  <c r="B31"/>
  <c r="F30" i="72" l="1"/>
  <c r="H30" s="1"/>
  <c r="A91" i="74"/>
  <c r="A34"/>
  <c r="A35" i="73"/>
  <c r="A33" i="71"/>
  <c r="D32"/>
  <c r="E32"/>
  <c r="B32"/>
  <c r="F31"/>
  <c r="H31" s="1"/>
  <c r="E31" i="72"/>
  <c r="A32"/>
  <c r="D31"/>
  <c r="B31"/>
  <c r="A35" i="74" l="1"/>
  <c r="A92"/>
  <c r="A36" i="73"/>
  <c r="A33" i="72"/>
  <c r="D32"/>
  <c r="B32"/>
  <c r="E32"/>
  <c r="F32" i="71"/>
  <c r="H32" s="1"/>
  <c r="F31" i="72"/>
  <c r="H31" s="1"/>
  <c r="D33" i="71"/>
  <c r="A34"/>
  <c r="B33"/>
  <c r="E33"/>
  <c r="F32" i="72" l="1"/>
  <c r="H32" s="1"/>
  <c r="A93" i="74"/>
  <c r="A36"/>
  <c r="A37" i="73"/>
  <c r="A35" i="71"/>
  <c r="D34"/>
  <c r="B34"/>
  <c r="E34"/>
  <c r="F33"/>
  <c r="H33" s="1"/>
  <c r="E33" i="72"/>
  <c r="A34"/>
  <c r="D33"/>
  <c r="B33"/>
  <c r="F34" i="71" l="1"/>
  <c r="H34" s="1"/>
  <c r="A37" i="74"/>
  <c r="A94"/>
  <c r="A38" i="73"/>
  <c r="A35" i="72"/>
  <c r="D34"/>
  <c r="B34"/>
  <c r="E34"/>
  <c r="F33"/>
  <c r="H33" s="1"/>
  <c r="A36" i="71"/>
  <c r="B35"/>
  <c r="E35"/>
  <c r="D35"/>
  <c r="F35" l="1"/>
  <c r="H35" s="1"/>
  <c r="F34" i="72"/>
  <c r="H34" s="1"/>
  <c r="A95" i="74"/>
  <c r="A38"/>
  <c r="A39" i="73"/>
  <c r="A37" i="71"/>
  <c r="D36"/>
  <c r="E36"/>
  <c r="B36"/>
  <c r="E35" i="72"/>
  <c r="A36"/>
  <c r="D35"/>
  <c r="B35"/>
  <c r="F36" i="71" l="1"/>
  <c r="H36" s="1"/>
  <c r="A39" i="74"/>
  <c r="A96"/>
  <c r="A40" i="73"/>
  <c r="A37" i="72"/>
  <c r="D36"/>
  <c r="B36"/>
  <c r="E36"/>
  <c r="F35"/>
  <c r="H35" s="1"/>
  <c r="E37" i="71"/>
  <c r="D37"/>
  <c r="A38"/>
  <c r="B37"/>
  <c r="F36" i="72" l="1"/>
  <c r="H36" s="1"/>
  <c r="A97" i="74"/>
  <c r="A40"/>
  <c r="A41" i="73"/>
  <c r="A39" i="71"/>
  <c r="D38"/>
  <c r="E38"/>
  <c r="B38"/>
  <c r="F37"/>
  <c r="H37" s="1"/>
  <c r="E37" i="72"/>
  <c r="A38"/>
  <c r="D37"/>
  <c r="B37"/>
  <c r="F38" i="71" l="1"/>
  <c r="H38" s="1"/>
  <c r="A41" i="74"/>
  <c r="A98"/>
  <c r="A42" i="73"/>
  <c r="F37" i="72"/>
  <c r="H37" s="1"/>
  <c r="A39"/>
  <c r="D38"/>
  <c r="B38"/>
  <c r="E38"/>
  <c r="E39" i="71"/>
  <c r="D39"/>
  <c r="A40"/>
  <c r="B39"/>
  <c r="A99" i="74" l="1"/>
  <c r="A42"/>
  <c r="A43" i="73"/>
  <c r="A41" i="71"/>
  <c r="D40"/>
  <c r="E40"/>
  <c r="B40"/>
  <c r="F39"/>
  <c r="H39" s="1"/>
  <c r="E39" i="72"/>
  <c r="A40"/>
  <c r="D39"/>
  <c r="B39"/>
  <c r="F38"/>
  <c r="H38" s="1"/>
  <c r="F40" i="71" l="1"/>
  <c r="H40" s="1"/>
  <c r="A43" i="74"/>
  <c r="A100"/>
  <c r="A44" i="73"/>
  <c r="A41" i="72"/>
  <c r="D40"/>
  <c r="B40"/>
  <c r="E40"/>
  <c r="F39"/>
  <c r="H39" s="1"/>
  <c r="D41" i="71"/>
  <c r="A42"/>
  <c r="B41"/>
  <c r="E41"/>
  <c r="F40" i="72" l="1"/>
  <c r="H40" s="1"/>
  <c r="A101" i="74"/>
  <c r="A44"/>
  <c r="A45" i="73"/>
  <c r="A43" i="71"/>
  <c r="D42"/>
  <c r="B42"/>
  <c r="E42"/>
  <c r="F41"/>
  <c r="H41" s="1"/>
  <c r="E41" i="72"/>
  <c r="A42"/>
  <c r="D41"/>
  <c r="B41"/>
  <c r="F42" i="71" l="1"/>
  <c r="H42" s="1"/>
  <c r="A45" i="74"/>
  <c r="A102"/>
  <c r="A46" i="73"/>
  <c r="A43" i="72"/>
  <c r="D42"/>
  <c r="B42"/>
  <c r="E42"/>
  <c r="F41"/>
  <c r="H41" s="1"/>
  <c r="A44" i="71"/>
  <c r="B43"/>
  <c r="E43"/>
  <c r="D43"/>
  <c r="F42" i="72" l="1"/>
  <c r="H42" s="1"/>
  <c r="A103" i="74"/>
  <c r="A46"/>
  <c r="A47" i="73"/>
  <c r="F43" i="71"/>
  <c r="H43" s="1"/>
  <c r="A45"/>
  <c r="D44"/>
  <c r="E44"/>
  <c r="B44"/>
  <c r="E43" i="72"/>
  <c r="A44"/>
  <c r="D43"/>
  <c r="B43"/>
  <c r="F44" i="71" l="1"/>
  <c r="H44" s="1"/>
  <c r="A47" i="74"/>
  <c r="A104"/>
  <c r="A48" i="73"/>
  <c r="A45" i="72"/>
  <c r="D44"/>
  <c r="B44"/>
  <c r="E44"/>
  <c r="F43"/>
  <c r="H43" s="1"/>
  <c r="E45" i="71"/>
  <c r="D45"/>
  <c r="B45"/>
  <c r="A46"/>
  <c r="F45" l="1"/>
  <c r="H45" s="1"/>
  <c r="F44" i="72"/>
  <c r="H44" s="1"/>
  <c r="A105" i="74"/>
  <c r="A48"/>
  <c r="A49" i="73"/>
  <c r="A47" i="71"/>
  <c r="D46"/>
  <c r="E46"/>
  <c r="B46"/>
  <c r="E45" i="72"/>
  <c r="A46"/>
  <c r="D45"/>
  <c r="B45"/>
  <c r="A49" i="74" l="1"/>
  <c r="A106"/>
  <c r="A50" i="73"/>
  <c r="F46" i="71"/>
  <c r="H46" s="1"/>
  <c r="A47" i="72"/>
  <c r="D46"/>
  <c r="B46"/>
  <c r="E46"/>
  <c r="F45"/>
  <c r="H45" s="1"/>
  <c r="E47" i="71"/>
  <c r="D47"/>
  <c r="A48"/>
  <c r="B47"/>
  <c r="A107" i="74" l="1"/>
  <c r="A50"/>
  <c r="A51" i="73"/>
  <c r="F47" i="71"/>
  <c r="H47" s="1"/>
  <c r="E47" i="72"/>
  <c r="F47" s="1"/>
  <c r="H47" s="1"/>
  <c r="A48"/>
  <c r="D47"/>
  <c r="B47"/>
  <c r="A49" i="71"/>
  <c r="D48"/>
  <c r="E48"/>
  <c r="B48"/>
  <c r="F46" i="72"/>
  <c r="H46" s="1"/>
  <c r="F48" i="71" l="1"/>
  <c r="H48" s="1"/>
  <c r="A51" i="74"/>
  <c r="A108"/>
  <c r="A52" i="73"/>
  <c r="D49" i="71"/>
  <c r="A50"/>
  <c r="B49"/>
  <c r="E49"/>
  <c r="A49" i="72"/>
  <c r="D48"/>
  <c r="B48"/>
  <c r="E48"/>
  <c r="F48" l="1"/>
  <c r="H48" s="1"/>
  <c r="F49" i="71"/>
  <c r="H49" s="1"/>
  <c r="A109" i="74"/>
  <c r="A52"/>
  <c r="A53" i="73"/>
  <c r="A51" i="71"/>
  <c r="D50"/>
  <c r="B50"/>
  <c r="E50"/>
  <c r="E49" i="72"/>
  <c r="A50"/>
  <c r="D49"/>
  <c r="B49"/>
  <c r="F50" i="71" l="1"/>
  <c r="H50" s="1"/>
  <c r="A53" i="74"/>
  <c r="A110"/>
  <c r="A54" i="73"/>
  <c r="A51" i="72"/>
  <c r="D50"/>
  <c r="B50"/>
  <c r="E50"/>
  <c r="F49"/>
  <c r="H49" s="1"/>
  <c r="A52" i="71"/>
  <c r="B51"/>
  <c r="E51"/>
  <c r="D51"/>
  <c r="F51" l="1"/>
  <c r="H51" s="1"/>
  <c r="F50" i="72"/>
  <c r="H50" s="1"/>
  <c r="A111" i="74"/>
  <c r="A54"/>
  <c r="A55" i="73"/>
  <c r="A53" i="71"/>
  <c r="D52"/>
  <c r="E52"/>
  <c r="B52"/>
  <c r="E51" i="72"/>
  <c r="A52"/>
  <c r="D51"/>
  <c r="B51"/>
  <c r="F52" i="71" l="1"/>
  <c r="H52" s="1"/>
  <c r="A55" i="74"/>
  <c r="A112"/>
  <c r="A56" i="73"/>
  <c r="A53" i="72"/>
  <c r="D52"/>
  <c r="B52"/>
  <c r="E52"/>
  <c r="F51"/>
  <c r="H51" s="1"/>
  <c r="E53" i="71"/>
  <c r="D53"/>
  <c r="A54"/>
  <c r="B53"/>
  <c r="F53" l="1"/>
  <c r="H53" s="1"/>
  <c r="F52" i="72"/>
  <c r="H52" s="1"/>
  <c r="A113" i="74"/>
  <c r="A56"/>
  <c r="A57" i="73"/>
  <c r="A55" i="71"/>
  <c r="D54"/>
  <c r="E54"/>
  <c r="B54"/>
  <c r="E53" i="72"/>
  <c r="A54"/>
  <c r="D53"/>
  <c r="B53"/>
  <c r="F54" i="71" l="1"/>
  <c r="H54" s="1"/>
  <c r="A57" i="74"/>
  <c r="A114"/>
  <c r="A58" i="73"/>
  <c r="A55" i="72"/>
  <c r="D54"/>
  <c r="B54"/>
  <c r="E54"/>
  <c r="F53"/>
  <c r="H53" s="1"/>
  <c r="E55" i="71"/>
  <c r="D55"/>
  <c r="A56"/>
  <c r="B55"/>
  <c r="F54" i="72" l="1"/>
  <c r="H54" s="1"/>
  <c r="A115" i="74"/>
  <c r="A58"/>
  <c r="A59" i="73"/>
  <c r="F55" i="71"/>
  <c r="H55" s="1"/>
  <c r="A57"/>
  <c r="D56"/>
  <c r="E56"/>
  <c r="B56"/>
  <c r="E55" i="72"/>
  <c r="A56"/>
  <c r="D55"/>
  <c r="B55"/>
  <c r="F56" i="71" l="1"/>
  <c r="H56" s="1"/>
  <c r="A59" i="74"/>
  <c r="A116"/>
  <c r="A60" i="73"/>
  <c r="A57" i="72"/>
  <c r="D56"/>
  <c r="B56"/>
  <c r="E56"/>
  <c r="F55"/>
  <c r="H55" s="1"/>
  <c r="A58" i="71"/>
  <c r="D57"/>
  <c r="B57"/>
  <c r="E57"/>
  <c r="A117" i="74" l="1"/>
  <c r="A60"/>
  <c r="A61" i="73"/>
  <c r="F56" i="72"/>
  <c r="H56" s="1"/>
  <c r="E58" i="71"/>
  <c r="A59"/>
  <c r="D58"/>
  <c r="B58"/>
  <c r="F57"/>
  <c r="H57" s="1"/>
  <c r="E57" i="72"/>
  <c r="A58"/>
  <c r="D57"/>
  <c r="B57"/>
  <c r="F58" i="71" l="1"/>
  <c r="H58" s="1"/>
  <c r="A61" i="74"/>
  <c r="A118"/>
  <c r="A62" i="73"/>
  <c r="A59" i="72"/>
  <c r="D58"/>
  <c r="B58"/>
  <c r="E58"/>
  <c r="F57"/>
  <c r="H57" s="1"/>
  <c r="A60" i="71"/>
  <c r="D59"/>
  <c r="B59"/>
  <c r="E59"/>
  <c r="A119" i="74" l="1"/>
  <c r="A62"/>
  <c r="A63" i="73"/>
  <c r="F58" i="72"/>
  <c r="H58" s="1"/>
  <c r="E60" i="71"/>
  <c r="A61"/>
  <c r="D60"/>
  <c r="B60"/>
  <c r="F59"/>
  <c r="H59" s="1"/>
  <c r="E59" i="72"/>
  <c r="A60"/>
  <c r="D59"/>
  <c r="B59"/>
  <c r="A63" i="74" l="1"/>
  <c r="A120"/>
  <c r="A64" i="73"/>
  <c r="A61" i="72"/>
  <c r="D60"/>
  <c r="B60"/>
  <c r="E60"/>
  <c r="F59"/>
  <c r="H59" s="1"/>
  <c r="A62" i="71"/>
  <c r="D61"/>
  <c r="B61"/>
  <c r="E61"/>
  <c r="F60"/>
  <c r="H60" s="1"/>
  <c r="A121" i="74" l="1"/>
  <c r="A64"/>
  <c r="A65" i="73"/>
  <c r="F60" i="72"/>
  <c r="H60" s="1"/>
  <c r="E62" i="71"/>
  <c r="A63"/>
  <c r="D62"/>
  <c r="B62"/>
  <c r="F61"/>
  <c r="H61" s="1"/>
  <c r="E61" i="72"/>
  <c r="A62"/>
  <c r="D61"/>
  <c r="B61"/>
  <c r="A63" l="1"/>
  <c r="D62"/>
  <c r="B62"/>
  <c r="E62"/>
  <c r="F61"/>
  <c r="H61" s="1"/>
  <c r="D63" i="71"/>
  <c r="D64" s="1"/>
  <c r="B63"/>
  <c r="E63"/>
  <c r="F62"/>
  <c r="H62" s="1"/>
  <c r="F63" l="1"/>
  <c r="F62" i="72"/>
  <c r="H62" s="1"/>
  <c r="E63"/>
  <c r="D63"/>
  <c r="D64" s="1"/>
  <c r="B63"/>
  <c r="F63" l="1"/>
  <c r="H63" i="71"/>
  <c r="H64" s="1"/>
  <c r="F64"/>
  <c r="J142" i="7" s="1"/>
  <c r="H63" i="72" l="1"/>
  <c r="H64" s="1"/>
  <c r="F64"/>
  <c r="J143" i="7" s="1"/>
  <c r="I59" l="1"/>
  <c r="H59"/>
  <c r="G59"/>
  <c r="C59" s="1"/>
  <c r="I58"/>
  <c r="H58"/>
  <c r="D656" i="36"/>
  <c r="C656"/>
  <c r="B656"/>
  <c r="G58" i="7"/>
  <c r="D8" i="63"/>
  <c r="B8" i="62"/>
  <c r="B8" i="61"/>
  <c r="B8" i="60"/>
  <c r="B8" i="59"/>
  <c r="B8" i="58"/>
  <c r="B8" i="57"/>
  <c r="B8" i="56"/>
  <c r="B8" i="55"/>
  <c r="A15" i="67"/>
  <c r="A14"/>
  <c r="A13"/>
  <c r="A19" i="66"/>
  <c r="A18"/>
  <c r="I16"/>
  <c r="H16"/>
  <c r="G16"/>
  <c r="F16"/>
  <c r="E16"/>
  <c r="C16"/>
  <c r="G15" i="67" s="1"/>
  <c r="B16" i="66"/>
  <c r="I15"/>
  <c r="H15"/>
  <c r="G15"/>
  <c r="F15"/>
  <c r="E15"/>
  <c r="C15"/>
  <c r="G14" i="67" s="1"/>
  <c r="B15" i="66"/>
  <c r="I14"/>
  <c r="H14"/>
  <c r="G14"/>
  <c r="F14"/>
  <c r="E14"/>
  <c r="C14"/>
  <c r="G13" i="67" s="1"/>
  <c r="B14" i="66"/>
  <c r="C16" i="65"/>
  <c r="F15" i="67" s="1"/>
  <c r="C15" i="65"/>
  <c r="F14" i="67" s="1"/>
  <c r="C14" i="65"/>
  <c r="C17" s="1"/>
  <c r="J19" i="64" s="1"/>
  <c r="M19" s="1"/>
  <c r="M30"/>
  <c r="M29"/>
  <c r="M28"/>
  <c r="M27"/>
  <c r="M26"/>
  <c r="M25"/>
  <c r="J24"/>
  <c r="M24" s="1"/>
  <c r="B24"/>
  <c r="M23"/>
  <c r="M22"/>
  <c r="M21"/>
  <c r="E20"/>
  <c r="E19"/>
  <c r="I15"/>
  <c r="M26" i="63"/>
  <c r="M25"/>
  <c r="M24"/>
  <c r="M23"/>
  <c r="M22"/>
  <c r="J21"/>
  <c r="M21" s="1"/>
  <c r="M20"/>
  <c r="M19"/>
  <c r="C45" i="62"/>
  <c r="C48" s="1"/>
  <c r="D14"/>
  <c r="B14"/>
  <c r="C45" i="61"/>
  <c r="C48" s="1"/>
  <c r="D14"/>
  <c r="E28" i="63" s="1"/>
  <c r="E32" i="64" s="1"/>
  <c r="J47" i="60"/>
  <c r="E47"/>
  <c r="J46"/>
  <c r="E46"/>
  <c r="J45"/>
  <c r="E45"/>
  <c r="J44"/>
  <c r="E44"/>
  <c r="J43"/>
  <c r="E43"/>
  <c r="J42"/>
  <c r="E42"/>
  <c r="J41"/>
  <c r="E41"/>
  <c r="J40"/>
  <c r="E40"/>
  <c r="J39"/>
  <c r="E39"/>
  <c r="J38"/>
  <c r="E38"/>
  <c r="J37"/>
  <c r="E37"/>
  <c r="A37"/>
  <c r="A38" s="1"/>
  <c r="J36"/>
  <c r="E36"/>
  <c r="A36"/>
  <c r="J35"/>
  <c r="E35"/>
  <c r="B35"/>
  <c r="E27"/>
  <c r="E26"/>
  <c r="E25"/>
  <c r="E24"/>
  <c r="E23"/>
  <c r="E22"/>
  <c r="E21"/>
  <c r="E20"/>
  <c r="E19"/>
  <c r="E18"/>
  <c r="E17"/>
  <c r="E16"/>
  <c r="A16"/>
  <c r="E15"/>
  <c r="B15"/>
  <c r="F28" i="59"/>
  <c r="E28"/>
  <c r="F27"/>
  <c r="E27"/>
  <c r="F26"/>
  <c r="E26"/>
  <c r="F25"/>
  <c r="E25"/>
  <c r="F24"/>
  <c r="E24"/>
  <c r="F23"/>
  <c r="E23"/>
  <c r="F22"/>
  <c r="E22"/>
  <c r="F21"/>
  <c r="E21"/>
  <c r="F20"/>
  <c r="E20"/>
  <c r="F19"/>
  <c r="E19"/>
  <c r="F18"/>
  <c r="E18"/>
  <c r="F17"/>
  <c r="E17"/>
  <c r="A17"/>
  <c r="A18" s="1"/>
  <c r="A19" s="1"/>
  <c r="F16"/>
  <c r="E16"/>
  <c r="B16"/>
  <c r="A15" i="58"/>
  <c r="E14"/>
  <c r="D14"/>
  <c r="B14"/>
  <c r="A15" i="57"/>
  <c r="A16" s="1"/>
  <c r="E14"/>
  <c r="D14"/>
  <c r="B14"/>
  <c r="A29" i="56"/>
  <c r="A28"/>
  <c r="M26"/>
  <c r="K26"/>
  <c r="E26"/>
  <c r="F26" s="1"/>
  <c r="H26" s="1"/>
  <c r="L26" s="1"/>
  <c r="D26"/>
  <c r="B26"/>
  <c r="M25"/>
  <c r="K25"/>
  <c r="E25"/>
  <c r="D25"/>
  <c r="B25"/>
  <c r="M24"/>
  <c r="K24"/>
  <c r="E24"/>
  <c r="D24"/>
  <c r="B24"/>
  <c r="M23"/>
  <c r="K23"/>
  <c r="E23"/>
  <c r="F23" s="1"/>
  <c r="H23" s="1"/>
  <c r="D23"/>
  <c r="B23"/>
  <c r="M22"/>
  <c r="K22"/>
  <c r="E22"/>
  <c r="D22"/>
  <c r="B22"/>
  <c r="M21"/>
  <c r="K21"/>
  <c r="E21"/>
  <c r="F21" s="1"/>
  <c r="H21" s="1"/>
  <c r="D21"/>
  <c r="B21"/>
  <c r="M20"/>
  <c r="K20"/>
  <c r="E20"/>
  <c r="D20"/>
  <c r="B20"/>
  <c r="M19"/>
  <c r="K19"/>
  <c r="E19"/>
  <c r="D19"/>
  <c r="B19"/>
  <c r="M18"/>
  <c r="K18"/>
  <c r="E18"/>
  <c r="D18"/>
  <c r="B18"/>
  <c r="M17"/>
  <c r="K17"/>
  <c r="E17"/>
  <c r="D17"/>
  <c r="B17"/>
  <c r="M16"/>
  <c r="K16"/>
  <c r="E16"/>
  <c r="D16"/>
  <c r="B16"/>
  <c r="M15"/>
  <c r="K15"/>
  <c r="E15"/>
  <c r="F15" s="1"/>
  <c r="H15" s="1"/>
  <c r="D15"/>
  <c r="B15"/>
  <c r="A15"/>
  <c r="A16" s="1"/>
  <c r="A17" s="1"/>
  <c r="A18" s="1"/>
  <c r="A19" s="1"/>
  <c r="A20" s="1"/>
  <c r="A21" s="1"/>
  <c r="A22" s="1"/>
  <c r="A23" s="1"/>
  <c r="A24" s="1"/>
  <c r="A25" s="1"/>
  <c r="A26" s="1"/>
  <c r="M14"/>
  <c r="K14"/>
  <c r="E14"/>
  <c r="F14" s="1"/>
  <c r="D14"/>
  <c r="B14"/>
  <c r="D27" i="55"/>
  <c r="F26"/>
  <c r="H26" s="1"/>
  <c r="N26" s="1"/>
  <c r="F25"/>
  <c r="H25" s="1"/>
  <c r="F24"/>
  <c r="H24" s="1"/>
  <c r="F23"/>
  <c r="H23" s="1"/>
  <c r="F22"/>
  <c r="H22" s="1"/>
  <c r="N22" s="1"/>
  <c r="F21"/>
  <c r="H21" s="1"/>
  <c r="F20"/>
  <c r="H20" s="1"/>
  <c r="F19"/>
  <c r="H19" s="1"/>
  <c r="F18"/>
  <c r="H18" s="1"/>
  <c r="N18" s="1"/>
  <c r="F17"/>
  <c r="H17" s="1"/>
  <c r="F16"/>
  <c r="H16" s="1"/>
  <c r="F15"/>
  <c r="A15"/>
  <c r="B36" i="60" s="1"/>
  <c r="F14" i="55"/>
  <c r="H14" s="1"/>
  <c r="N14" s="1"/>
  <c r="B9" i="54"/>
  <c r="B9" i="67" s="1"/>
  <c r="B7" i="54"/>
  <c r="B6"/>
  <c r="D18"/>
  <c r="F17"/>
  <c r="F16"/>
  <c r="F15"/>
  <c r="A15"/>
  <c r="A16" s="1"/>
  <c r="A17" s="1"/>
  <c r="F14"/>
  <c r="I61" i="7"/>
  <c r="I60"/>
  <c r="H60"/>
  <c r="C60"/>
  <c r="I56"/>
  <c r="H56"/>
  <c r="C56"/>
  <c r="I62"/>
  <c r="H62"/>
  <c r="C62"/>
  <c r="F19" i="56" l="1"/>
  <c r="H19" s="1"/>
  <c r="L19" s="1"/>
  <c r="F24"/>
  <c r="H24" s="1"/>
  <c r="L24" s="1"/>
  <c r="F16"/>
  <c r="H16" s="1"/>
  <c r="L16" s="1"/>
  <c r="B7" i="67"/>
  <c r="B7" i="73"/>
  <c r="B7" i="72"/>
  <c r="B7" i="68"/>
  <c r="B7" i="71"/>
  <c r="B7" i="65"/>
  <c r="B7" i="70"/>
  <c r="B7" i="74"/>
  <c r="B7" i="66"/>
  <c r="B7" i="69"/>
  <c r="B6" i="67"/>
  <c r="B6" i="69"/>
  <c r="B6" i="73"/>
  <c r="B6" i="65"/>
  <c r="B6" i="71"/>
  <c r="B6" i="66"/>
  <c r="B6" i="70"/>
  <c r="B6" i="74"/>
  <c r="B6" i="68"/>
  <c r="B6" i="72"/>
  <c r="F17" i="56"/>
  <c r="H17" s="1"/>
  <c r="B9" i="66"/>
  <c r="B9" i="65"/>
  <c r="B9" i="68"/>
  <c r="B9" i="69"/>
  <c r="B9" i="70"/>
  <c r="B9" i="72"/>
  <c r="B9" i="71"/>
  <c r="B9" i="74"/>
  <c r="B9" i="73"/>
  <c r="D27" i="56"/>
  <c r="F18"/>
  <c r="H18" s="1"/>
  <c r="L18" s="1"/>
  <c r="F22"/>
  <c r="H22" s="1"/>
  <c r="L22" s="1"/>
  <c r="F25"/>
  <c r="H25" s="1"/>
  <c r="L25" s="1"/>
  <c r="M27" i="63"/>
  <c r="C17" i="66"/>
  <c r="J20" i="64" s="1"/>
  <c r="M20" s="1"/>
  <c r="M31" s="1"/>
  <c r="F13" i="67"/>
  <c r="F18" i="54"/>
  <c r="A16" i="55"/>
  <c r="B16" i="57" s="1"/>
  <c r="F20" i="56"/>
  <c r="H20" s="1"/>
  <c r="L20" s="1"/>
  <c r="E15" i="57"/>
  <c r="N17" i="55"/>
  <c r="L17"/>
  <c r="N20"/>
  <c r="L20"/>
  <c r="N21"/>
  <c r="L21"/>
  <c r="N24"/>
  <c r="L24"/>
  <c r="N25"/>
  <c r="L25"/>
  <c r="N16"/>
  <c r="L16"/>
  <c r="F27"/>
  <c r="H14" i="56"/>
  <c r="N14" s="1"/>
  <c r="F14" i="57"/>
  <c r="H14" s="1"/>
  <c r="D6" i="63"/>
  <c r="D6" i="64"/>
  <c r="B7" i="60"/>
  <c r="D7" i="64"/>
  <c r="B9" i="56"/>
  <c r="D9" i="64"/>
  <c r="B7" i="56"/>
  <c r="B7" i="59"/>
  <c r="B7" i="55"/>
  <c r="B7" i="57"/>
  <c r="D7" i="63"/>
  <c r="B6" i="57"/>
  <c r="B7" i="58"/>
  <c r="B6" i="61"/>
  <c r="B7" i="62"/>
  <c r="B6" i="58"/>
  <c r="B6" i="56"/>
  <c r="B6" i="60"/>
  <c r="B7" i="61"/>
  <c r="B6" i="62"/>
  <c r="B6" i="55"/>
  <c r="B6" i="59"/>
  <c r="D9" i="63"/>
  <c r="B9" i="62"/>
  <c r="B9" i="61"/>
  <c r="B9" i="60"/>
  <c r="B9" i="59"/>
  <c r="B9" i="58"/>
  <c r="B9" i="57"/>
  <c r="F14" i="58"/>
  <c r="H14" s="1"/>
  <c r="N19" i="55"/>
  <c r="L19"/>
  <c r="N17" i="56"/>
  <c r="L17"/>
  <c r="N21"/>
  <c r="L21"/>
  <c r="N23"/>
  <c r="L23"/>
  <c r="N23" i="55"/>
  <c r="L23"/>
  <c r="N15" i="56"/>
  <c r="L15"/>
  <c r="N18"/>
  <c r="N20"/>
  <c r="N22"/>
  <c r="N24"/>
  <c r="N26"/>
  <c r="B18" i="59"/>
  <c r="L14" i="55"/>
  <c r="H15"/>
  <c r="A17"/>
  <c r="A18" s="1"/>
  <c r="A19" s="1"/>
  <c r="A20" s="1"/>
  <c r="A21" s="1"/>
  <c r="A22" s="1"/>
  <c r="A23" s="1"/>
  <c r="A24" s="1"/>
  <c r="A25" s="1"/>
  <c r="A26" s="1"/>
  <c r="L18"/>
  <c r="L22"/>
  <c r="L26"/>
  <c r="D16" i="57"/>
  <c r="A17"/>
  <c r="A16" i="58"/>
  <c r="D15"/>
  <c r="A20" i="59"/>
  <c r="B37" i="60"/>
  <c r="A39"/>
  <c r="N16" i="56"/>
  <c r="L14"/>
  <c r="B15" i="57"/>
  <c r="B15" i="58"/>
  <c r="B17" i="59"/>
  <c r="B16" i="60"/>
  <c r="D15" i="57"/>
  <c r="E15" i="58"/>
  <c r="A17" i="60"/>
  <c r="C63" i="7"/>
  <c r="C61"/>
  <c r="H61"/>
  <c r="H63"/>
  <c r="C58"/>
  <c r="I63"/>
  <c r="K58" l="1"/>
  <c r="K142"/>
  <c r="K59"/>
  <c r="K143"/>
  <c r="N19" i="56"/>
  <c r="H27"/>
  <c r="J57" i="7" s="1"/>
  <c r="L27" i="56"/>
  <c r="F27"/>
  <c r="N25"/>
  <c r="F15" i="57"/>
  <c r="H15" s="1"/>
  <c r="E656" i="36"/>
  <c r="E16" i="57"/>
  <c r="F16" s="1"/>
  <c r="H16" s="1"/>
  <c r="D16" i="59"/>
  <c r="F15" i="58"/>
  <c r="D17" i="59" s="1"/>
  <c r="B20"/>
  <c r="A21"/>
  <c r="A18" i="57"/>
  <c r="D17"/>
  <c r="B17"/>
  <c r="E17"/>
  <c r="D16" i="58"/>
  <c r="A17"/>
  <c r="B16"/>
  <c r="E16"/>
  <c r="N15" i="55"/>
  <c r="N27" s="1"/>
  <c r="L15"/>
  <c r="L27" s="1"/>
  <c r="N27" i="56"/>
  <c r="B17" i="60"/>
  <c r="A18"/>
  <c r="B38"/>
  <c r="B19" i="59"/>
  <c r="A40" i="60"/>
  <c r="B39"/>
  <c r="H27" i="55"/>
  <c r="H15" i="58" l="1"/>
  <c r="L16" i="59"/>
  <c r="D35" i="60"/>
  <c r="G35" s="1"/>
  <c r="I35" s="1"/>
  <c r="J16" i="59"/>
  <c r="H16"/>
  <c r="D15" i="60"/>
  <c r="G15" s="1"/>
  <c r="K15" s="1"/>
  <c r="F17" i="57"/>
  <c r="H17" s="1"/>
  <c r="F16" i="58"/>
  <c r="D18" i="59" s="1"/>
  <c r="B21"/>
  <c r="A22"/>
  <c r="A18" i="58"/>
  <c r="D17"/>
  <c r="B17"/>
  <c r="E17"/>
  <c r="A41" i="60"/>
  <c r="B40"/>
  <c r="B18"/>
  <c r="A19"/>
  <c r="E18" i="57"/>
  <c r="A19"/>
  <c r="D18"/>
  <c r="B18"/>
  <c r="D16" i="60"/>
  <c r="L17" i="59"/>
  <c r="J17"/>
  <c r="H17"/>
  <c r="D36" i="60"/>
  <c r="K35" l="1"/>
  <c r="M15"/>
  <c r="I15"/>
  <c r="M35"/>
  <c r="H16" i="58"/>
  <c r="F17"/>
  <c r="H17" s="1"/>
  <c r="G36" i="60"/>
  <c r="G16"/>
  <c r="F18" i="57"/>
  <c r="A42" i="60"/>
  <c r="B41"/>
  <c r="B19"/>
  <c r="A20"/>
  <c r="A19" i="58"/>
  <c r="B18"/>
  <c r="D18"/>
  <c r="E18"/>
  <c r="D17" i="60"/>
  <c r="G17" s="1"/>
  <c r="D37"/>
  <c r="G37" s="1"/>
  <c r="L18" i="59"/>
  <c r="H18"/>
  <c r="J18"/>
  <c r="B22"/>
  <c r="A23"/>
  <c r="A20" i="57"/>
  <c r="D19"/>
  <c r="B19"/>
  <c r="E19"/>
  <c r="D19" i="59" l="1"/>
  <c r="J19" s="1"/>
  <c r="F18" i="58"/>
  <c r="D20" i="59" s="1"/>
  <c r="K17" i="60"/>
  <c r="I17"/>
  <c r="M17"/>
  <c r="K16"/>
  <c r="I16"/>
  <c r="M16"/>
  <c r="E20" i="57"/>
  <c r="B20"/>
  <c r="A21"/>
  <c r="D20"/>
  <c r="F19"/>
  <c r="H19" s="1"/>
  <c r="A20" i="58"/>
  <c r="D19"/>
  <c r="E19"/>
  <c r="B19"/>
  <c r="A43" i="60"/>
  <c r="B42"/>
  <c r="I36"/>
  <c r="M36"/>
  <c r="K36"/>
  <c r="B20"/>
  <c r="A21"/>
  <c r="H18" i="57"/>
  <c r="B23" i="59"/>
  <c r="A24"/>
  <c r="M37" i="60"/>
  <c r="K37"/>
  <c r="I37"/>
  <c r="L19" i="59" l="1"/>
  <c r="D18" i="60"/>
  <c r="G18" s="1"/>
  <c r="M18" s="1"/>
  <c r="H19" i="59"/>
  <c r="D38" i="60"/>
  <c r="G38" s="1"/>
  <c r="I38" s="1"/>
  <c r="H18" i="58"/>
  <c r="F20" i="57"/>
  <c r="H20" s="1"/>
  <c r="A22"/>
  <c r="D21"/>
  <c r="B21"/>
  <c r="E21"/>
  <c r="B24" i="59"/>
  <c r="A25"/>
  <c r="B21" i="60"/>
  <c r="A22"/>
  <c r="D39"/>
  <c r="G39" s="1"/>
  <c r="D19"/>
  <c r="G19" s="1"/>
  <c r="H20" i="59"/>
  <c r="L20"/>
  <c r="J20"/>
  <c r="A44" i="60"/>
  <c r="B43"/>
  <c r="E20" i="58"/>
  <c r="A21"/>
  <c r="B20"/>
  <c r="D20"/>
  <c r="F19"/>
  <c r="M38" i="60" l="1"/>
  <c r="K18"/>
  <c r="I18"/>
  <c r="K38"/>
  <c r="F21" i="57"/>
  <c r="F20" i="58"/>
  <c r="H20" s="1"/>
  <c r="A22"/>
  <c r="D21"/>
  <c r="B21"/>
  <c r="E21"/>
  <c r="B25" i="59"/>
  <c r="A26"/>
  <c r="H21" i="57"/>
  <c r="I39" i="60"/>
  <c r="M39"/>
  <c r="K39"/>
  <c r="K19"/>
  <c r="I19"/>
  <c r="M19"/>
  <c r="H19" i="58"/>
  <c r="D21" i="59"/>
  <c r="A45" i="60"/>
  <c r="B44"/>
  <c r="B22"/>
  <c r="A23"/>
  <c r="E22" i="57"/>
  <c r="A23"/>
  <c r="D22"/>
  <c r="B22"/>
  <c r="D22" i="59" l="1"/>
  <c r="L22" s="1"/>
  <c r="F22" i="57"/>
  <c r="H22" s="1"/>
  <c r="B23" i="60"/>
  <c r="A24"/>
  <c r="B26" i="59"/>
  <c r="A27"/>
  <c r="F21" i="58"/>
  <c r="A46" i="60"/>
  <c r="B45"/>
  <c r="E22" i="58"/>
  <c r="B22"/>
  <c r="A23"/>
  <c r="D22"/>
  <c r="A24" i="57"/>
  <c r="D23"/>
  <c r="B23"/>
  <c r="E23"/>
  <c r="D20" i="60"/>
  <c r="G20" s="1"/>
  <c r="H21" i="59"/>
  <c r="L21"/>
  <c r="D40" i="60"/>
  <c r="J21" i="59"/>
  <c r="D41" i="60" l="1"/>
  <c r="G41" s="1"/>
  <c r="K41" s="1"/>
  <c r="H22" i="59"/>
  <c r="D21" i="60"/>
  <c r="G21" s="1"/>
  <c r="I21" s="1"/>
  <c r="J22" i="59"/>
  <c r="F23" i="57"/>
  <c r="H23" s="1"/>
  <c r="G40" i="60"/>
  <c r="A24" i="58"/>
  <c r="D23"/>
  <c r="B23"/>
  <c r="E23"/>
  <c r="A47" i="60"/>
  <c r="B47" s="1"/>
  <c r="B46"/>
  <c r="H21" i="58"/>
  <c r="D23" i="59"/>
  <c r="B24" i="60"/>
  <c r="A25"/>
  <c r="K20"/>
  <c r="I20"/>
  <c r="M20"/>
  <c r="E24" i="57"/>
  <c r="B24"/>
  <c r="A25"/>
  <c r="D24"/>
  <c r="F22" i="58"/>
  <c r="B27" i="59"/>
  <c r="A28"/>
  <c r="B28" s="1"/>
  <c r="M41" i="60" l="1"/>
  <c r="I41"/>
  <c r="K21"/>
  <c r="M21"/>
  <c r="F24" i="57"/>
  <c r="H24" s="1"/>
  <c r="D24" i="59"/>
  <c r="H22" i="58"/>
  <c r="A26" i="57"/>
  <c r="D25"/>
  <c r="B25"/>
  <c r="E25"/>
  <c r="D22" i="60"/>
  <c r="G22" s="1"/>
  <c r="H23" i="59"/>
  <c r="D42" i="60"/>
  <c r="G42" s="1"/>
  <c r="L23" i="59"/>
  <c r="J23"/>
  <c r="F23" i="58"/>
  <c r="I40" i="60"/>
  <c r="M40"/>
  <c r="K40"/>
  <c r="B25"/>
  <c r="A26"/>
  <c r="E24" i="58"/>
  <c r="D24"/>
  <c r="A25"/>
  <c r="B24"/>
  <c r="F25" i="57" l="1"/>
  <c r="H25" s="1"/>
  <c r="H23" i="58"/>
  <c r="D25" i="59"/>
  <c r="F24" i="58"/>
  <c r="K22" i="60"/>
  <c r="I22"/>
  <c r="M22"/>
  <c r="E26" i="57"/>
  <c r="B26"/>
  <c r="D26"/>
  <c r="D27" s="1"/>
  <c r="B26" i="60"/>
  <c r="A27"/>
  <c r="B27" s="1"/>
  <c r="A26" i="58"/>
  <c r="D25"/>
  <c r="B25"/>
  <c r="E25"/>
  <c r="F25" s="1"/>
  <c r="K42" i="60"/>
  <c r="I42"/>
  <c r="M42"/>
  <c r="D43"/>
  <c r="G43" s="1"/>
  <c r="D23"/>
  <c r="G23" s="1"/>
  <c r="H24" i="59"/>
  <c r="L24"/>
  <c r="J24"/>
  <c r="K23" i="60" l="1"/>
  <c r="I23"/>
  <c r="M23"/>
  <c r="E26" i="58"/>
  <c r="B26"/>
  <c r="D26"/>
  <c r="D27" s="1"/>
  <c r="I43" i="60"/>
  <c r="M43"/>
  <c r="K43"/>
  <c r="H25" i="58"/>
  <c r="D27" i="59"/>
  <c r="F26" i="57"/>
  <c r="H24" i="58"/>
  <c r="D26" i="59"/>
  <c r="D24" i="60"/>
  <c r="G24" s="1"/>
  <c r="H25" i="59"/>
  <c r="L25"/>
  <c r="J25"/>
  <c r="D44" i="60"/>
  <c r="G44" s="1"/>
  <c r="F26" i="58" l="1"/>
  <c r="D28" i="59" s="1"/>
  <c r="I44" i="60"/>
  <c r="M44"/>
  <c r="K44"/>
  <c r="K24"/>
  <c r="I24"/>
  <c r="M24"/>
  <c r="D26"/>
  <c r="G26" s="1"/>
  <c r="H27" i="59"/>
  <c r="D46" i="60"/>
  <c r="G46" s="1"/>
  <c r="L27" i="59"/>
  <c r="J27"/>
  <c r="D25" i="60"/>
  <c r="G25" s="1"/>
  <c r="H26" i="59"/>
  <c r="D45" i="60"/>
  <c r="G45" s="1"/>
  <c r="L26" i="59"/>
  <c r="J26"/>
  <c r="H26" i="57"/>
  <c r="H27" s="1"/>
  <c r="F27"/>
  <c r="J58" i="7" s="1"/>
  <c r="F27" i="58" l="1"/>
  <c r="J59" i="7" s="1"/>
  <c r="H26" i="58"/>
  <c r="H27" s="1"/>
  <c r="K46" i="60"/>
  <c r="I46"/>
  <c r="M46"/>
  <c r="K25"/>
  <c r="I25"/>
  <c r="M25"/>
  <c r="K26"/>
  <c r="I26"/>
  <c r="M26"/>
  <c r="M45"/>
  <c r="K45"/>
  <c r="I45"/>
  <c r="D47"/>
  <c r="D27"/>
  <c r="H28" i="59"/>
  <c r="H29" s="1"/>
  <c r="J60" i="7" s="1"/>
  <c r="L28" i="59"/>
  <c r="L29" s="1"/>
  <c r="J28"/>
  <c r="J29" s="1"/>
  <c r="J61" i="7" s="1"/>
  <c r="D29" i="59"/>
  <c r="G27" i="60" l="1"/>
  <c r="D28"/>
  <c r="C13" i="67"/>
  <c r="D13"/>
  <c r="G47" i="60"/>
  <c r="D48"/>
  <c r="I47" l="1"/>
  <c r="I48" s="1"/>
  <c r="M47"/>
  <c r="M48" s="1"/>
  <c r="K47"/>
  <c r="K48" s="1"/>
  <c r="G48"/>
  <c r="K27"/>
  <c r="K28" s="1"/>
  <c r="I27"/>
  <c r="I28" s="1"/>
  <c r="M27"/>
  <c r="M28" s="1"/>
  <c r="G28"/>
  <c r="D14" i="67"/>
  <c r="I13"/>
  <c r="H13"/>
  <c r="C14"/>
  <c r="J13"/>
  <c r="L13" s="1"/>
  <c r="J62" i="7" l="1"/>
  <c r="J63"/>
  <c r="C15" i="67"/>
  <c r="J14"/>
  <c r="L14" s="1"/>
  <c r="H14"/>
  <c r="M13"/>
  <c r="I14"/>
  <c r="D15"/>
  <c r="I15" s="1"/>
  <c r="M14" l="1"/>
  <c r="J15"/>
  <c r="L15" s="1"/>
  <c r="H15"/>
  <c r="M15" l="1"/>
  <c r="D18" i="9" l="1"/>
  <c r="D26" s="1"/>
  <c r="C18"/>
  <c r="B26" s="1"/>
  <c r="C109" i="16" l="1"/>
  <c r="C106"/>
  <c r="C102"/>
  <c r="H45" i="22"/>
  <c r="G45"/>
  <c r="F45"/>
  <c r="E45"/>
  <c r="H41"/>
  <c r="G41"/>
  <c r="F41"/>
  <c r="E41"/>
  <c r="H34"/>
  <c r="G34"/>
  <c r="F34"/>
  <c r="E34"/>
  <c r="H22"/>
  <c r="H46" s="1"/>
  <c r="G22"/>
  <c r="G46" s="1"/>
  <c r="F22"/>
  <c r="F46" s="1"/>
  <c r="E22"/>
  <c r="E46" s="1"/>
  <c r="H5017" i="20"/>
  <c r="H5016"/>
  <c r="H5015"/>
  <c r="H5014"/>
  <c r="H5013"/>
  <c r="H5012"/>
  <c r="H5011"/>
  <c r="H5010"/>
  <c r="H5009"/>
  <c r="H5008"/>
  <c r="H5007"/>
  <c r="H5006"/>
  <c r="H5005"/>
  <c r="H5004"/>
  <c r="H5003"/>
  <c r="H5002"/>
  <c r="H5001"/>
  <c r="H5000"/>
  <c r="H4999"/>
  <c r="H4998"/>
  <c r="H4997"/>
  <c r="H4996"/>
  <c r="H4995"/>
  <c r="H4994"/>
  <c r="H4993"/>
  <c r="H4992"/>
  <c r="H4991"/>
  <c r="H4990"/>
  <c r="H4989"/>
  <c r="H4988"/>
  <c r="H4987"/>
  <c r="H4986"/>
  <c r="H4985"/>
  <c r="H4984"/>
  <c r="H4983"/>
  <c r="H4982"/>
  <c r="H4981"/>
  <c r="H4980"/>
  <c r="H4979"/>
  <c r="H4978"/>
  <c r="H4977"/>
  <c r="H4976"/>
  <c r="H4975"/>
  <c r="H4974"/>
  <c r="H4973"/>
  <c r="H4972"/>
  <c r="H4971"/>
  <c r="H4970"/>
  <c r="H4969"/>
  <c r="H4968"/>
  <c r="H4967"/>
  <c r="H4966"/>
  <c r="H4965"/>
  <c r="H4964"/>
  <c r="H4963"/>
  <c r="H4962"/>
  <c r="H4961"/>
  <c r="H4960"/>
  <c r="H4959"/>
  <c r="H4958"/>
  <c r="H4957"/>
  <c r="H4956"/>
  <c r="H4955"/>
  <c r="H4954"/>
  <c r="H4953"/>
  <c r="H4952"/>
  <c r="H4951"/>
  <c r="H4950"/>
  <c r="H4949"/>
  <c r="H4948"/>
  <c r="H4947"/>
  <c r="H4946"/>
  <c r="H4945"/>
  <c r="H4944"/>
  <c r="H4943"/>
  <c r="H4942"/>
  <c r="H4941"/>
  <c r="H4940"/>
  <c r="H4939"/>
  <c r="H4938"/>
  <c r="H4937"/>
  <c r="H4936"/>
  <c r="H4935"/>
  <c r="H4934"/>
  <c r="H4933"/>
  <c r="H4932"/>
  <c r="H4931"/>
  <c r="H4930"/>
  <c r="H4929"/>
  <c r="H4928"/>
  <c r="H4927"/>
  <c r="H4926"/>
  <c r="H4925"/>
  <c r="H4924"/>
  <c r="H4923"/>
  <c r="H4922"/>
  <c r="H4921"/>
  <c r="H4920"/>
  <c r="H4919"/>
  <c r="H4918"/>
  <c r="H4917"/>
  <c r="H4916"/>
  <c r="H4915"/>
  <c r="H4914"/>
  <c r="H4913"/>
  <c r="H4912"/>
  <c r="H4911"/>
  <c r="H4910"/>
  <c r="H4909"/>
  <c r="H4908"/>
  <c r="H4907"/>
  <c r="H4906"/>
  <c r="H4905"/>
  <c r="H4904"/>
  <c r="H4903"/>
  <c r="H4902"/>
  <c r="H4901"/>
  <c r="H4900"/>
  <c r="H4899"/>
  <c r="H4898"/>
  <c r="H4897"/>
  <c r="H4896"/>
  <c r="H4895"/>
  <c r="H4894"/>
  <c r="H4893"/>
  <c r="H4892"/>
  <c r="H4891"/>
  <c r="H4890"/>
  <c r="H4889"/>
  <c r="H4888"/>
  <c r="H4887"/>
  <c r="H4886"/>
  <c r="H4885"/>
  <c r="H4884"/>
  <c r="H4883"/>
  <c r="H4882"/>
  <c r="H4881"/>
  <c r="H4880"/>
  <c r="H4879"/>
  <c r="H4878"/>
  <c r="H4877"/>
  <c r="H4876"/>
  <c r="H4875"/>
  <c r="H4874"/>
  <c r="H4873"/>
  <c r="H4872"/>
  <c r="H4871"/>
  <c r="H4870"/>
  <c r="H4869"/>
  <c r="H4868"/>
  <c r="H4867"/>
  <c r="H4866"/>
  <c r="H4865"/>
  <c r="H4864"/>
  <c r="H4863"/>
  <c r="H4862"/>
  <c r="H4861"/>
  <c r="H4860"/>
  <c r="H4859"/>
  <c r="H4858"/>
  <c r="H4857"/>
  <c r="H4856"/>
  <c r="H4855"/>
  <c r="H4854"/>
  <c r="H4853"/>
  <c r="H4852"/>
  <c r="H4851"/>
  <c r="H4850"/>
  <c r="H4849"/>
  <c r="H4848"/>
  <c r="H4847"/>
  <c r="H4846"/>
  <c r="H4845"/>
  <c r="H4844"/>
  <c r="H4843"/>
  <c r="H4842"/>
  <c r="H4841"/>
  <c r="H4840"/>
  <c r="H4839"/>
  <c r="H4838"/>
  <c r="H4837"/>
  <c r="H4836"/>
  <c r="H4835"/>
  <c r="H4834"/>
  <c r="H4833"/>
  <c r="H4832"/>
  <c r="H4831"/>
  <c r="H4830"/>
  <c r="H4829"/>
  <c r="H4828"/>
  <c r="H4827"/>
  <c r="H4826"/>
  <c r="H4825"/>
  <c r="H4824"/>
  <c r="H4823"/>
  <c r="H4822"/>
  <c r="H4821"/>
  <c r="H4820"/>
  <c r="H4819"/>
  <c r="H4818"/>
  <c r="H4817"/>
  <c r="H4816"/>
  <c r="H4815"/>
  <c r="H4814"/>
  <c r="H4813"/>
  <c r="H4812"/>
  <c r="H4811"/>
  <c r="H4810"/>
  <c r="H4809"/>
  <c r="H4808"/>
  <c r="H4807"/>
  <c r="H4806"/>
  <c r="H4805"/>
  <c r="H4804"/>
  <c r="H4803"/>
  <c r="H4802"/>
  <c r="H4801"/>
  <c r="H4800"/>
  <c r="H4799"/>
  <c r="H4798"/>
  <c r="H4797"/>
  <c r="H4796"/>
  <c r="H4795"/>
  <c r="H4794"/>
  <c r="H4793"/>
  <c r="H4792"/>
  <c r="H4791"/>
  <c r="H4790"/>
  <c r="H4789"/>
  <c r="H4788"/>
  <c r="H4787"/>
  <c r="H4786"/>
  <c r="H4785"/>
  <c r="H4784"/>
  <c r="H4783"/>
  <c r="H4782"/>
  <c r="H4781"/>
  <c r="H4780"/>
  <c r="H4779"/>
  <c r="H4778"/>
  <c r="H4777"/>
  <c r="H4776"/>
  <c r="H4775"/>
  <c r="H4774"/>
  <c r="H4773"/>
  <c r="H4772"/>
  <c r="H4771"/>
  <c r="H4770"/>
  <c r="H4769"/>
  <c r="H4768"/>
  <c r="H4767"/>
  <c r="H4766"/>
  <c r="H4765"/>
  <c r="H4764"/>
  <c r="H4763"/>
  <c r="H4762"/>
  <c r="H4761"/>
  <c r="H4760"/>
  <c r="H4759"/>
  <c r="H4758"/>
  <c r="H4757"/>
  <c r="H4756"/>
  <c r="H4755"/>
  <c r="H4754"/>
  <c r="H4753"/>
  <c r="H4752"/>
  <c r="H4751"/>
  <c r="H4750"/>
  <c r="H4749"/>
  <c r="H4748"/>
  <c r="H4747"/>
  <c r="H4746"/>
  <c r="H4745"/>
  <c r="H4744"/>
  <c r="H4743"/>
  <c r="H4742"/>
  <c r="H4741"/>
  <c r="H4740"/>
  <c r="H4739"/>
  <c r="H4738"/>
  <c r="H4737"/>
  <c r="H4736"/>
  <c r="H4735"/>
  <c r="H4734"/>
  <c r="H4733"/>
  <c r="H4732"/>
  <c r="H4731"/>
  <c r="H4730"/>
  <c r="H4729"/>
  <c r="H4728"/>
  <c r="H4727"/>
  <c r="H4726"/>
  <c r="H4725"/>
  <c r="H4724"/>
  <c r="H4723"/>
  <c r="H4722"/>
  <c r="H4721"/>
  <c r="H4720"/>
  <c r="H4719"/>
  <c r="H4718"/>
  <c r="H4717"/>
  <c r="H4716"/>
  <c r="H4715"/>
  <c r="H4714"/>
  <c r="H4713"/>
  <c r="H4712"/>
  <c r="H4711"/>
  <c r="H4710"/>
  <c r="H4709"/>
  <c r="H4708"/>
  <c r="H4707"/>
  <c r="H4706"/>
  <c r="H4705"/>
  <c r="H4704"/>
  <c r="H4703"/>
  <c r="H4702"/>
  <c r="H4701"/>
  <c r="H4700"/>
  <c r="H4699"/>
  <c r="H4698"/>
  <c r="H4697"/>
  <c r="H4696"/>
  <c r="H4695"/>
  <c r="H4694"/>
  <c r="H4693"/>
  <c r="H4692"/>
  <c r="H4691"/>
  <c r="H4690"/>
  <c r="H4689"/>
  <c r="H4688"/>
  <c r="H4687"/>
  <c r="H4686"/>
  <c r="H4685"/>
  <c r="H4684"/>
  <c r="H4683"/>
  <c r="H4682"/>
  <c r="H4681"/>
  <c r="H4680"/>
  <c r="H4679"/>
  <c r="H4678"/>
  <c r="H4677"/>
  <c r="H4676"/>
  <c r="H4675"/>
  <c r="H4674"/>
  <c r="H4673"/>
  <c r="H4672"/>
  <c r="H4671"/>
  <c r="H4670"/>
  <c r="H4669"/>
  <c r="H4668"/>
  <c r="H4667"/>
  <c r="H4666"/>
  <c r="H4665"/>
  <c r="H4664"/>
  <c r="H4663"/>
  <c r="H4662"/>
  <c r="H4661"/>
  <c r="H4660"/>
  <c r="H4659"/>
  <c r="H4658"/>
  <c r="H4657"/>
  <c r="H4656"/>
  <c r="H4655"/>
  <c r="H4654"/>
  <c r="H4653"/>
  <c r="H4652"/>
  <c r="H4651"/>
  <c r="H4650"/>
  <c r="H4649"/>
  <c r="H4648"/>
  <c r="H4647"/>
  <c r="H4646"/>
  <c r="H4645"/>
  <c r="H4644"/>
  <c r="H4643"/>
  <c r="H4642"/>
  <c r="H4641"/>
  <c r="H4640"/>
  <c r="H4639"/>
  <c r="H4638"/>
  <c r="H4637"/>
  <c r="H4636"/>
  <c r="H4635"/>
  <c r="H4634"/>
  <c r="H4633"/>
  <c r="H4632"/>
  <c r="H4631"/>
  <c r="H4630"/>
  <c r="H4629"/>
  <c r="H4628"/>
  <c r="H4627"/>
  <c r="H4626"/>
  <c r="H4625"/>
  <c r="H4624"/>
  <c r="H4623"/>
  <c r="H4622"/>
  <c r="H4621"/>
  <c r="H4620"/>
  <c r="H4619"/>
  <c r="H4618"/>
  <c r="H4617"/>
  <c r="H4616"/>
  <c r="H4615"/>
  <c r="H4614"/>
  <c r="H4613"/>
  <c r="H4612"/>
  <c r="H4611"/>
  <c r="H4610"/>
  <c r="H4609"/>
  <c r="H4608"/>
  <c r="H4607"/>
  <c r="H4606"/>
  <c r="H4605"/>
  <c r="H4604"/>
  <c r="H4603"/>
  <c r="H4602"/>
  <c r="H4601"/>
  <c r="H4600"/>
  <c r="H4599"/>
  <c r="H4598"/>
  <c r="H4597"/>
  <c r="H4596"/>
  <c r="H4595"/>
  <c r="H4594"/>
  <c r="H4593"/>
  <c r="H4592"/>
  <c r="H4591"/>
  <c r="H4590"/>
  <c r="H4589"/>
  <c r="H4588"/>
  <c r="H4587"/>
  <c r="H4586"/>
  <c r="H4585"/>
  <c r="H4584"/>
  <c r="H4583"/>
  <c r="H4582"/>
  <c r="H4581"/>
  <c r="H4580"/>
  <c r="H4579"/>
  <c r="H4578"/>
  <c r="H4577"/>
  <c r="H4576"/>
  <c r="H4575"/>
  <c r="H4574"/>
  <c r="H4573"/>
  <c r="H4572"/>
  <c r="H4571"/>
  <c r="H4570"/>
  <c r="H4569"/>
  <c r="H4568"/>
  <c r="H4567"/>
  <c r="H4566"/>
  <c r="H4565"/>
  <c r="H4564"/>
  <c r="H4563"/>
  <c r="H4562"/>
  <c r="H4561"/>
  <c r="H4560"/>
  <c r="H4559"/>
  <c r="H4558"/>
  <c r="H4557"/>
  <c r="H4556"/>
  <c r="H4555"/>
  <c r="H4554"/>
  <c r="H4553"/>
  <c r="H4552"/>
  <c r="H4551"/>
  <c r="H4550"/>
  <c r="H4549"/>
  <c r="H4548"/>
  <c r="H4547"/>
  <c r="H4546"/>
  <c r="H4545"/>
  <c r="H4544"/>
  <c r="H4543"/>
  <c r="H4542"/>
  <c r="H4541"/>
  <c r="H4540"/>
  <c r="H4539"/>
  <c r="H4538"/>
  <c r="H4537"/>
  <c r="H4536"/>
  <c r="H4535"/>
  <c r="H4534"/>
  <c r="H4533"/>
  <c r="H4532"/>
  <c r="H4531"/>
  <c r="H4530"/>
  <c r="H4529"/>
  <c r="H4528"/>
  <c r="H4527"/>
  <c r="H4526"/>
  <c r="H4525"/>
  <c r="H4524"/>
  <c r="H4523"/>
  <c r="H4522"/>
  <c r="H4521"/>
  <c r="H4520"/>
  <c r="H4519"/>
  <c r="H4518"/>
  <c r="H4517"/>
  <c r="H4516"/>
  <c r="H4515"/>
  <c r="H4514"/>
  <c r="H4513"/>
  <c r="H4512"/>
  <c r="H4511"/>
  <c r="H4510"/>
  <c r="H4509"/>
  <c r="H4508"/>
  <c r="H4507"/>
  <c r="H4506"/>
  <c r="H4505"/>
  <c r="H4504"/>
  <c r="H4503"/>
  <c r="H4502"/>
  <c r="H4501"/>
  <c r="H4500"/>
  <c r="H4499"/>
  <c r="H4498"/>
  <c r="H4497"/>
  <c r="H4496"/>
  <c r="H4495"/>
  <c r="H4494"/>
  <c r="H4493"/>
  <c r="H4492"/>
  <c r="H4491"/>
  <c r="H4490"/>
  <c r="H4489"/>
  <c r="H4488"/>
  <c r="H4487"/>
  <c r="H4486"/>
  <c r="H4485"/>
  <c r="H4484"/>
  <c r="H4483"/>
  <c r="H4482"/>
  <c r="H4481"/>
  <c r="H4480"/>
  <c r="H4479"/>
  <c r="H4478"/>
  <c r="H4477"/>
  <c r="H4476"/>
  <c r="H4475"/>
  <c r="H4474"/>
  <c r="H4473"/>
  <c r="H4472"/>
  <c r="H4471"/>
  <c r="H4470"/>
  <c r="H4469"/>
  <c r="H4468"/>
  <c r="H4467"/>
  <c r="H4466"/>
  <c r="H4465"/>
  <c r="H4464"/>
  <c r="H4463"/>
  <c r="H4462"/>
  <c r="H4461"/>
  <c r="H4460"/>
  <c r="H4459"/>
  <c r="H4458"/>
  <c r="H4457"/>
  <c r="H4456"/>
  <c r="H4455"/>
  <c r="H4454"/>
  <c r="H4453"/>
  <c r="H4452"/>
  <c r="H4451"/>
  <c r="H4450"/>
  <c r="H4449"/>
  <c r="H4448"/>
  <c r="H4447"/>
  <c r="H4446"/>
  <c r="H4445"/>
  <c r="H4444"/>
  <c r="H4443"/>
  <c r="H4442"/>
  <c r="H4441"/>
  <c r="H4440"/>
  <c r="H4439"/>
  <c r="H4438"/>
  <c r="H4437"/>
  <c r="H4436"/>
  <c r="H4435"/>
  <c r="H4434"/>
  <c r="H4433"/>
  <c r="H4432"/>
  <c r="H4431"/>
  <c r="H4430"/>
  <c r="H4429"/>
  <c r="H4428"/>
  <c r="H4427"/>
  <c r="H4426"/>
  <c r="H4425"/>
  <c r="H4424"/>
  <c r="H4423"/>
  <c r="H4422"/>
  <c r="H4421"/>
  <c r="H4420"/>
  <c r="H4419"/>
  <c r="H4418"/>
  <c r="H4417"/>
  <c r="H4416"/>
  <c r="H4415"/>
  <c r="H4414"/>
  <c r="H4413"/>
  <c r="H4412"/>
  <c r="H4411"/>
  <c r="H4410"/>
  <c r="H4409"/>
  <c r="H4408"/>
  <c r="H4407"/>
  <c r="H4406"/>
  <c r="H4405"/>
  <c r="H4404"/>
  <c r="H4403"/>
  <c r="H4402"/>
  <c r="H4401"/>
  <c r="H4400"/>
  <c r="H4399"/>
  <c r="H4398"/>
  <c r="H4397"/>
  <c r="H4396"/>
  <c r="H4395"/>
  <c r="H4394"/>
  <c r="H4393"/>
  <c r="H4392"/>
  <c r="H4391"/>
  <c r="H4390"/>
  <c r="H4389"/>
  <c r="H4388"/>
  <c r="H4387"/>
  <c r="H4386"/>
  <c r="H4385"/>
  <c r="H4384"/>
  <c r="H4383"/>
  <c r="H4382"/>
  <c r="H4381"/>
  <c r="H4380"/>
  <c r="H4379"/>
  <c r="H4378"/>
  <c r="H4377"/>
  <c r="H4376"/>
  <c r="H4375"/>
  <c r="H4374"/>
  <c r="H4373"/>
  <c r="H4372"/>
  <c r="H4371"/>
  <c r="H4370"/>
  <c r="H4369"/>
  <c r="H4368"/>
  <c r="H4367"/>
  <c r="H4366"/>
  <c r="H4365"/>
  <c r="H4364"/>
  <c r="H4363"/>
  <c r="H4362"/>
  <c r="H4361"/>
  <c r="H4360"/>
  <c r="H4359"/>
  <c r="H4358"/>
  <c r="H4357"/>
  <c r="H4356"/>
  <c r="H4355"/>
  <c r="H4354"/>
  <c r="H4353"/>
  <c r="H4352"/>
  <c r="H4351"/>
  <c r="H4350"/>
  <c r="H4349"/>
  <c r="H4348"/>
  <c r="H4347"/>
  <c r="H4346"/>
  <c r="H4345"/>
  <c r="H4344"/>
  <c r="H4343"/>
  <c r="H4342"/>
  <c r="H4341"/>
  <c r="H4340"/>
  <c r="H4339"/>
  <c r="H4338"/>
  <c r="H4337"/>
  <c r="H4336"/>
  <c r="H4335"/>
  <c r="H4334"/>
  <c r="H4333"/>
  <c r="H4332"/>
  <c r="H4331"/>
  <c r="H4330"/>
  <c r="H4329"/>
  <c r="H4328"/>
  <c r="H4327"/>
  <c r="H4326"/>
  <c r="H4325"/>
  <c r="H4324"/>
  <c r="H4323"/>
  <c r="H4322"/>
  <c r="H4321"/>
  <c r="H4320"/>
  <c r="H4319"/>
  <c r="H4318"/>
  <c r="H4317"/>
  <c r="H4316"/>
  <c r="H4315"/>
  <c r="H4314"/>
  <c r="H4313"/>
  <c r="H4312"/>
  <c r="H4311"/>
  <c r="H4310"/>
  <c r="H4309"/>
  <c r="H4308"/>
  <c r="H4307"/>
  <c r="H4306"/>
  <c r="H4305"/>
  <c r="H4304"/>
  <c r="H4303"/>
  <c r="H4302"/>
  <c r="H4301"/>
  <c r="H4300"/>
  <c r="H4299"/>
  <c r="H4298"/>
  <c r="H4297"/>
  <c r="H4296"/>
  <c r="H4295"/>
  <c r="H4294"/>
  <c r="H4293"/>
  <c r="H4292"/>
  <c r="H4291"/>
  <c r="H4290"/>
  <c r="H4289"/>
  <c r="H4288"/>
  <c r="H4287"/>
  <c r="H4286"/>
  <c r="H4285"/>
  <c r="H4284"/>
  <c r="H4283"/>
  <c r="H4282"/>
  <c r="H4281"/>
  <c r="H4280"/>
  <c r="H4279"/>
  <c r="H4278"/>
  <c r="H4277"/>
  <c r="H4276"/>
  <c r="H4275"/>
  <c r="H4274"/>
  <c r="H4273"/>
  <c r="H4272"/>
  <c r="H4271"/>
  <c r="H4270"/>
  <c r="H4269"/>
  <c r="H4268"/>
  <c r="H4267"/>
  <c r="H4266"/>
  <c r="H4265"/>
  <c r="H4264"/>
  <c r="H4263"/>
  <c r="H4262"/>
  <c r="H4261"/>
  <c r="H4260"/>
  <c r="H4259"/>
  <c r="H4258"/>
  <c r="H4257"/>
  <c r="H4256"/>
  <c r="H4255"/>
  <c r="H4254"/>
  <c r="H4253"/>
  <c r="H4252"/>
  <c r="H4251"/>
  <c r="H4250"/>
  <c r="H4249"/>
  <c r="H4248"/>
  <c r="H4247"/>
  <c r="H4246"/>
  <c r="H4245"/>
  <c r="H4244"/>
  <c r="H4243"/>
  <c r="H4242"/>
  <c r="H4241"/>
  <c r="H4240"/>
  <c r="H4239"/>
  <c r="H4238"/>
  <c r="H4237"/>
  <c r="H4236"/>
  <c r="H4235"/>
  <c r="H4234"/>
  <c r="H4233"/>
  <c r="H4232"/>
  <c r="H4231"/>
  <c r="H4230"/>
  <c r="H4229"/>
  <c r="H4228"/>
  <c r="H4227"/>
  <c r="H4226"/>
  <c r="H4225"/>
  <c r="H4224"/>
  <c r="H4223"/>
  <c r="H4222"/>
  <c r="H4221"/>
  <c r="H4220"/>
  <c r="H4219"/>
  <c r="H4218"/>
  <c r="H4217"/>
  <c r="H4216"/>
  <c r="H4215"/>
  <c r="H4214"/>
  <c r="H4213"/>
  <c r="H4212"/>
  <c r="H4211"/>
  <c r="H4210"/>
  <c r="H4209"/>
  <c r="H4208"/>
  <c r="H4207"/>
  <c r="H4206"/>
  <c r="H4205"/>
  <c r="H4204"/>
  <c r="H4203"/>
  <c r="H4202"/>
  <c r="H4201"/>
  <c r="H4200"/>
  <c r="H4199"/>
  <c r="H4198"/>
  <c r="H4197"/>
  <c r="H4196"/>
  <c r="H4195"/>
  <c r="H4194"/>
  <c r="H4193"/>
  <c r="H4192"/>
  <c r="H4191"/>
  <c r="H4190"/>
  <c r="H4189"/>
  <c r="H4188"/>
  <c r="H4187"/>
  <c r="H4186"/>
  <c r="H4185"/>
  <c r="H4184"/>
  <c r="H4183"/>
  <c r="H4182"/>
  <c r="H4181"/>
  <c r="H4180"/>
  <c r="H4179"/>
  <c r="H4178"/>
  <c r="H4177"/>
  <c r="H4176"/>
  <c r="H4175"/>
  <c r="H4174"/>
  <c r="H4173"/>
  <c r="H4172"/>
  <c r="H4171"/>
  <c r="H4170"/>
  <c r="H4169"/>
  <c r="H4168"/>
  <c r="H4167"/>
  <c r="H4166"/>
  <c r="H4165"/>
  <c r="H4164"/>
  <c r="H4163"/>
  <c r="H4162"/>
  <c r="H4161"/>
  <c r="H4160"/>
  <c r="H4159"/>
  <c r="H4158"/>
  <c r="H4157"/>
  <c r="H4156"/>
  <c r="H4155"/>
  <c r="H4154"/>
  <c r="H4153"/>
  <c r="H4152"/>
  <c r="H4151"/>
  <c r="H4150"/>
  <c r="H4149"/>
  <c r="H4148"/>
  <c r="H4147"/>
  <c r="H4146"/>
  <c r="H4145"/>
  <c r="H4144"/>
  <c r="H4143"/>
  <c r="H4142"/>
  <c r="H4141"/>
  <c r="H4140"/>
  <c r="H4139"/>
  <c r="H4138"/>
  <c r="H4137"/>
  <c r="H4136"/>
  <c r="H4135"/>
  <c r="H4134"/>
  <c r="H4133"/>
  <c r="H4132"/>
  <c r="H4131"/>
  <c r="H4130"/>
  <c r="H4129"/>
  <c r="H4128"/>
  <c r="H4127"/>
  <c r="H4126"/>
  <c r="H4125"/>
  <c r="H4124"/>
  <c r="H4123"/>
  <c r="H4122"/>
  <c r="H4121"/>
  <c r="H4120"/>
  <c r="H4119"/>
  <c r="H4118"/>
  <c r="H4117"/>
  <c r="H4116"/>
  <c r="H4115"/>
  <c r="H4114"/>
  <c r="H4113"/>
  <c r="H4112"/>
  <c r="H4111"/>
  <c r="H4110"/>
  <c r="H4109"/>
  <c r="H4108"/>
  <c r="H4107"/>
  <c r="H4106"/>
  <c r="H4105"/>
  <c r="H4104"/>
  <c r="H4103"/>
  <c r="H4102"/>
  <c r="H4101"/>
  <c r="H4100"/>
  <c r="H4099"/>
  <c r="H4098"/>
  <c r="H4097"/>
  <c r="H4096"/>
  <c r="H4095"/>
  <c r="H4094"/>
  <c r="H4093"/>
  <c r="H4092"/>
  <c r="H4091"/>
  <c r="H4090"/>
  <c r="H4089"/>
  <c r="H4088"/>
  <c r="H4087"/>
  <c r="H4086"/>
  <c r="H4085"/>
  <c r="H4084"/>
  <c r="H4083"/>
  <c r="H4082"/>
  <c r="H4081"/>
  <c r="H4080"/>
  <c r="H4079"/>
  <c r="H4078"/>
  <c r="H4077"/>
  <c r="H4076"/>
  <c r="H4075"/>
  <c r="H4074"/>
  <c r="H4073"/>
  <c r="H4072"/>
  <c r="H4071"/>
  <c r="H4070"/>
  <c r="H4069"/>
  <c r="H4068"/>
  <c r="H4067"/>
  <c r="H4066"/>
  <c r="H4065"/>
  <c r="H4064"/>
  <c r="H4063"/>
  <c r="H4062"/>
  <c r="H4061"/>
  <c r="H4060"/>
  <c r="H4059"/>
  <c r="H4058"/>
  <c r="H4057"/>
  <c r="H4056"/>
  <c r="H4055"/>
  <c r="H4054"/>
  <c r="H4053"/>
  <c r="H4052"/>
  <c r="H4051"/>
  <c r="H4050"/>
  <c r="H4049"/>
  <c r="H4048"/>
  <c r="H4047"/>
  <c r="H4046"/>
  <c r="H4045"/>
  <c r="H4044"/>
  <c r="H4043"/>
  <c r="H4042"/>
  <c r="H4041"/>
  <c r="H4040"/>
  <c r="H4039"/>
  <c r="H4038"/>
  <c r="H4037"/>
  <c r="H4036"/>
  <c r="H4035"/>
  <c r="H4034"/>
  <c r="H4033"/>
  <c r="H4032"/>
  <c r="H4031"/>
  <c r="H4030"/>
  <c r="H4029"/>
  <c r="H4028"/>
  <c r="H4027"/>
  <c r="H4026"/>
  <c r="H4025"/>
  <c r="H4024"/>
  <c r="H4023"/>
  <c r="H4022"/>
  <c r="H4021"/>
  <c r="H4020"/>
  <c r="H4019"/>
  <c r="H4018"/>
  <c r="H4017"/>
  <c r="H4016"/>
  <c r="H4015"/>
  <c r="H4014"/>
  <c r="H4013"/>
  <c r="H4012"/>
  <c r="H4011"/>
  <c r="H4010"/>
  <c r="H4009"/>
  <c r="H4008"/>
  <c r="H4007"/>
  <c r="H4006"/>
  <c r="H4005"/>
  <c r="H4004"/>
  <c r="H4003"/>
  <c r="H4002"/>
  <c r="H4001"/>
  <c r="H4000"/>
  <c r="H3999"/>
  <c r="H3998"/>
  <c r="H3997"/>
  <c r="H3996"/>
  <c r="H3995"/>
  <c r="H3994"/>
  <c r="H3993"/>
  <c r="H3992"/>
  <c r="H3991"/>
  <c r="H3990"/>
  <c r="H3989"/>
  <c r="H3988"/>
  <c r="H3987"/>
  <c r="H3986"/>
  <c r="H3985"/>
  <c r="H3984"/>
  <c r="H3983"/>
  <c r="H3982"/>
  <c r="H3981"/>
  <c r="H3980"/>
  <c r="H3979"/>
  <c r="H3978"/>
  <c r="H3977"/>
  <c r="H3976"/>
  <c r="H3975"/>
  <c r="H3974"/>
  <c r="H3973"/>
  <c r="H3972"/>
  <c r="H3971"/>
  <c r="H3970"/>
  <c r="H3969"/>
  <c r="H3968"/>
  <c r="H3967"/>
  <c r="H3966"/>
  <c r="H3965"/>
  <c r="H3964"/>
  <c r="H3963"/>
  <c r="H3962"/>
  <c r="H3961"/>
  <c r="H3960"/>
  <c r="H3959"/>
  <c r="H3958"/>
  <c r="H3957"/>
  <c r="H3956"/>
  <c r="H3955"/>
  <c r="H3954"/>
  <c r="H3953"/>
  <c r="H3952"/>
  <c r="H3951"/>
  <c r="H3950"/>
  <c r="H3949"/>
  <c r="H3948"/>
  <c r="H3947"/>
  <c r="H3946"/>
  <c r="H3945"/>
  <c r="H3944"/>
  <c r="H3943"/>
  <c r="H3942"/>
  <c r="H3941"/>
  <c r="H3940"/>
  <c r="H3939"/>
  <c r="H3938"/>
  <c r="H3937"/>
  <c r="H3936"/>
  <c r="H3935"/>
  <c r="H3934"/>
  <c r="H3933"/>
  <c r="H3932"/>
  <c r="H3931"/>
  <c r="H3930"/>
  <c r="H3929"/>
  <c r="H3928"/>
  <c r="H3927"/>
  <c r="H3926"/>
  <c r="H3925"/>
  <c r="H3924"/>
  <c r="H3923"/>
  <c r="H3922"/>
  <c r="H3921"/>
  <c r="H3920"/>
  <c r="H3919"/>
  <c r="H3918"/>
  <c r="H3917"/>
  <c r="H3916"/>
  <c r="H3915"/>
  <c r="H3914"/>
  <c r="H3913"/>
  <c r="H3912"/>
  <c r="H3911"/>
  <c r="H3910"/>
  <c r="H3909"/>
  <c r="H3908"/>
  <c r="H3907"/>
  <c r="H3906"/>
  <c r="H3905"/>
  <c r="H3904"/>
  <c r="H3903"/>
  <c r="H3902"/>
  <c r="H3901"/>
  <c r="H3900"/>
  <c r="H3899"/>
  <c r="H3898"/>
  <c r="H3897"/>
  <c r="H3896"/>
  <c r="H3895"/>
  <c r="H3894"/>
  <c r="H3893"/>
  <c r="H3892"/>
  <c r="H3891"/>
  <c r="H3890"/>
  <c r="H3889"/>
  <c r="H3888"/>
  <c r="H3887"/>
  <c r="H3886"/>
  <c r="H3885"/>
  <c r="H3884"/>
  <c r="H3883"/>
  <c r="H3882"/>
  <c r="H3881"/>
  <c r="H3880"/>
  <c r="H3879"/>
  <c r="H3878"/>
  <c r="H3877"/>
  <c r="H3876"/>
  <c r="H3875"/>
  <c r="H3874"/>
  <c r="H3873"/>
  <c r="H3872"/>
  <c r="H3871"/>
  <c r="H3870"/>
  <c r="H3869"/>
  <c r="H3868"/>
  <c r="H3867"/>
  <c r="H3866"/>
  <c r="H3865"/>
  <c r="H3864"/>
  <c r="H3863"/>
  <c r="H3862"/>
  <c r="H3861"/>
  <c r="H3860"/>
  <c r="H3859"/>
  <c r="H3858"/>
  <c r="H3857"/>
  <c r="H3856"/>
  <c r="H3855"/>
  <c r="H3854"/>
  <c r="H3853"/>
  <c r="H3852"/>
  <c r="H3851"/>
  <c r="H3850"/>
  <c r="H3849"/>
  <c r="H3848"/>
  <c r="H3847"/>
  <c r="H3846"/>
  <c r="H3845"/>
  <c r="H3844"/>
  <c r="H3843"/>
  <c r="H3842"/>
  <c r="H3841"/>
  <c r="H3840"/>
  <c r="H3839"/>
  <c r="H3838"/>
  <c r="H3837"/>
  <c r="H3836"/>
  <c r="H3835"/>
  <c r="H3834"/>
  <c r="H3833"/>
  <c r="H3832"/>
  <c r="H3831"/>
  <c r="H3830"/>
  <c r="H3829"/>
  <c r="H3828"/>
  <c r="H3827"/>
  <c r="H3826"/>
  <c r="H3825"/>
  <c r="H3824"/>
  <c r="H3823"/>
  <c r="H3822"/>
  <c r="H3821"/>
  <c r="H3820"/>
  <c r="H3819"/>
  <c r="H3818"/>
  <c r="H3817"/>
  <c r="H3816"/>
  <c r="H3815"/>
  <c r="H3814"/>
  <c r="H3813"/>
  <c r="H3812"/>
  <c r="H3811"/>
  <c r="H3810"/>
  <c r="H3809"/>
  <c r="H3808"/>
  <c r="H3807"/>
  <c r="H3806"/>
  <c r="H3805"/>
  <c r="H3804"/>
  <c r="H3803"/>
  <c r="H3802"/>
  <c r="H3801"/>
  <c r="H3800"/>
  <c r="H3799"/>
  <c r="H3798"/>
  <c r="H3797"/>
  <c r="H3796"/>
  <c r="H3795"/>
  <c r="H3794"/>
  <c r="H3793"/>
  <c r="H3792"/>
  <c r="H3791"/>
  <c r="H3790"/>
  <c r="H3789"/>
  <c r="H3788"/>
  <c r="H3787"/>
  <c r="H3786"/>
  <c r="H3785"/>
  <c r="H3784"/>
  <c r="H3783"/>
  <c r="H3782"/>
  <c r="H3781"/>
  <c r="H3780"/>
  <c r="H3779"/>
  <c r="H3778"/>
  <c r="H3777"/>
  <c r="H3776"/>
  <c r="H3775"/>
  <c r="H3774"/>
  <c r="H3773"/>
  <c r="H3772"/>
  <c r="H3771"/>
  <c r="H3770"/>
  <c r="H3769"/>
  <c r="H3768"/>
  <c r="H3767"/>
  <c r="H3766"/>
  <c r="H3765"/>
  <c r="H3764"/>
  <c r="H3763"/>
  <c r="H3762"/>
  <c r="H3761"/>
  <c r="H3760"/>
  <c r="H3759"/>
  <c r="H3758"/>
  <c r="H3757"/>
  <c r="H3756"/>
  <c r="H3755"/>
  <c r="H3754"/>
  <c r="H3753"/>
  <c r="H3752"/>
  <c r="H3751"/>
  <c r="H3750"/>
  <c r="H3749"/>
  <c r="H3748"/>
  <c r="H3747"/>
  <c r="H3746"/>
  <c r="H3745"/>
  <c r="H3744"/>
  <c r="H3743"/>
  <c r="H3742"/>
  <c r="H3741"/>
  <c r="H3740"/>
  <c r="H3739"/>
  <c r="H3738"/>
  <c r="H3737"/>
  <c r="H3736"/>
  <c r="H3735"/>
  <c r="H3734"/>
  <c r="H3733"/>
  <c r="H3732"/>
  <c r="H3731"/>
  <c r="H3730"/>
  <c r="H3729"/>
  <c r="H3728"/>
  <c r="H3727"/>
  <c r="H3726"/>
  <c r="H3725"/>
  <c r="H3724"/>
  <c r="H3723"/>
  <c r="H3722"/>
  <c r="H3721"/>
  <c r="H3720"/>
  <c r="H3719"/>
  <c r="H3718"/>
  <c r="H3717"/>
  <c r="H3716"/>
  <c r="H3715"/>
  <c r="H3714"/>
  <c r="H3713"/>
  <c r="H3712"/>
  <c r="H3711"/>
  <c r="H3710"/>
  <c r="H3709"/>
  <c r="H3708"/>
  <c r="H3707"/>
  <c r="H3706"/>
  <c r="H3705"/>
  <c r="H3704"/>
  <c r="H3703"/>
  <c r="H3702"/>
  <c r="H3701"/>
  <c r="H3700"/>
  <c r="H3699"/>
  <c r="H3698"/>
  <c r="H3697"/>
  <c r="H3696"/>
  <c r="H3695"/>
  <c r="H3694"/>
  <c r="H3693"/>
  <c r="H3692"/>
  <c r="H3691"/>
  <c r="H3690"/>
  <c r="H3689"/>
  <c r="H3688"/>
  <c r="H3687"/>
  <c r="H3686"/>
  <c r="H3685"/>
  <c r="H3684"/>
  <c r="H3683"/>
  <c r="H3682"/>
  <c r="H3681"/>
  <c r="H3680"/>
  <c r="H3679"/>
  <c r="H3678"/>
  <c r="H3677"/>
  <c r="H3676"/>
  <c r="H3675"/>
  <c r="H3674"/>
  <c r="H3673"/>
  <c r="H3672"/>
  <c r="H3671"/>
  <c r="H3670"/>
  <c r="H3669"/>
  <c r="H3668"/>
  <c r="H3667"/>
  <c r="H3666"/>
  <c r="H3665"/>
  <c r="H3664"/>
  <c r="H3663"/>
  <c r="H3662"/>
  <c r="H3661"/>
  <c r="H3660"/>
  <c r="H3659"/>
  <c r="H3658"/>
  <c r="H3657"/>
  <c r="H3656"/>
  <c r="H3655"/>
  <c r="H3654"/>
  <c r="H3653"/>
  <c r="H3652"/>
  <c r="H3651"/>
  <c r="H3650"/>
  <c r="H3649"/>
  <c r="H3648"/>
  <c r="H3647"/>
  <c r="H3646"/>
  <c r="H3645"/>
  <c r="H3644"/>
  <c r="H3643"/>
  <c r="H3642"/>
  <c r="H3641"/>
  <c r="H3640"/>
  <c r="H3639"/>
  <c r="H3638"/>
  <c r="H3637"/>
  <c r="H3636"/>
  <c r="H3635"/>
  <c r="H3634"/>
  <c r="H3633"/>
  <c r="H3632"/>
  <c r="H3631"/>
  <c r="H3630"/>
  <c r="H3629"/>
  <c r="H3628"/>
  <c r="H3627"/>
  <c r="H3626"/>
  <c r="H3625"/>
  <c r="H3624"/>
  <c r="H3623"/>
  <c r="H3622"/>
  <c r="H3621"/>
  <c r="H3620"/>
  <c r="H3619"/>
  <c r="H3618"/>
  <c r="H3617"/>
  <c r="H3616"/>
  <c r="H3615"/>
  <c r="H3614"/>
  <c r="H3613"/>
  <c r="H3612"/>
  <c r="H3611"/>
  <c r="H3610"/>
  <c r="H3609"/>
  <c r="H3608"/>
  <c r="H3607"/>
  <c r="H3606"/>
  <c r="H3605"/>
  <c r="H3604"/>
  <c r="H3603"/>
  <c r="H3602"/>
  <c r="H3601"/>
  <c r="H3600"/>
  <c r="H3599"/>
  <c r="H3598"/>
  <c r="H3597"/>
  <c r="H3596"/>
  <c r="H3595"/>
  <c r="H3594"/>
  <c r="H3593"/>
  <c r="H3592"/>
  <c r="H3591"/>
  <c r="H3590"/>
  <c r="H3589"/>
  <c r="H3588"/>
  <c r="H3587"/>
  <c r="H3586"/>
  <c r="H3585"/>
  <c r="H3584"/>
  <c r="H3583"/>
  <c r="H3582"/>
  <c r="H3581"/>
  <c r="H3580"/>
  <c r="H3579"/>
  <c r="H3578"/>
  <c r="H3577"/>
  <c r="H3576"/>
  <c r="H3575"/>
  <c r="H3574"/>
  <c r="H3573"/>
  <c r="H3572"/>
  <c r="H3571"/>
  <c r="H3570"/>
  <c r="H3569"/>
  <c r="H3568"/>
  <c r="H3567"/>
  <c r="H3566"/>
  <c r="H3565"/>
  <c r="H3564"/>
  <c r="H3563"/>
  <c r="H3562"/>
  <c r="H3561"/>
  <c r="H3560"/>
  <c r="H3559"/>
  <c r="H3558"/>
  <c r="H3557"/>
  <c r="H3556"/>
  <c r="H3555"/>
  <c r="H3554"/>
  <c r="H3553"/>
  <c r="H3552"/>
  <c r="H3551"/>
  <c r="H3550"/>
  <c r="H3549"/>
  <c r="H3548"/>
  <c r="H3547"/>
  <c r="H3546"/>
  <c r="H3545"/>
  <c r="H3544"/>
  <c r="H3543"/>
  <c r="H3542"/>
  <c r="H3541"/>
  <c r="H3540"/>
  <c r="H3539"/>
  <c r="H3538"/>
  <c r="H3537"/>
  <c r="H3536"/>
  <c r="H3535"/>
  <c r="H3534"/>
  <c r="H3533"/>
  <c r="H3532"/>
  <c r="H3531"/>
  <c r="H3530"/>
  <c r="H3529"/>
  <c r="H3528"/>
  <c r="H3527"/>
  <c r="H3526"/>
  <c r="H3525"/>
  <c r="H3524"/>
  <c r="H3523"/>
  <c r="H3522"/>
  <c r="H3521"/>
  <c r="H3520"/>
  <c r="H3519"/>
  <c r="H3518"/>
  <c r="H3517"/>
  <c r="H3516"/>
  <c r="H3515"/>
  <c r="H3514"/>
  <c r="H3513"/>
  <c r="H3512"/>
  <c r="H3511"/>
  <c r="H3510"/>
  <c r="H3509"/>
  <c r="H3508"/>
  <c r="H3507"/>
  <c r="H3506"/>
  <c r="H3505"/>
  <c r="H3504"/>
  <c r="H3503"/>
  <c r="H3502"/>
  <c r="H3501"/>
  <c r="H3500"/>
  <c r="H3499"/>
  <c r="H3498"/>
  <c r="H3497"/>
  <c r="H3496"/>
  <c r="H3495"/>
  <c r="H3494"/>
  <c r="H3493"/>
  <c r="H3492"/>
  <c r="H3491"/>
  <c r="H3490"/>
  <c r="H3489"/>
  <c r="H3488"/>
  <c r="H3487"/>
  <c r="H3486"/>
  <c r="H3485"/>
  <c r="H3484"/>
  <c r="H3483"/>
  <c r="H3482"/>
  <c r="H3481"/>
  <c r="H3480"/>
  <c r="H3479"/>
  <c r="H3478"/>
  <c r="H3477"/>
  <c r="H3476"/>
  <c r="H3475"/>
  <c r="H3474"/>
  <c r="H3473"/>
  <c r="H3472"/>
  <c r="H3471"/>
  <c r="H3470"/>
  <c r="H3469"/>
  <c r="H3468"/>
  <c r="H3467"/>
  <c r="H3466"/>
  <c r="H3465"/>
  <c r="H3464"/>
  <c r="H3463"/>
  <c r="H3462"/>
  <c r="H3461"/>
  <c r="H3460"/>
  <c r="H3459"/>
  <c r="H3458"/>
  <c r="H3457"/>
  <c r="H3456"/>
  <c r="H3455"/>
  <c r="H3454"/>
  <c r="H3453"/>
  <c r="H3452"/>
  <c r="H3451"/>
  <c r="H3450"/>
  <c r="H3449"/>
  <c r="H3448"/>
  <c r="H3447"/>
  <c r="H3446"/>
  <c r="H3445"/>
  <c r="H3444"/>
  <c r="H3443"/>
  <c r="H3442"/>
  <c r="H3441"/>
  <c r="H3440"/>
  <c r="H3439"/>
  <c r="H3438"/>
  <c r="H3437"/>
  <c r="H3436"/>
  <c r="H3435"/>
  <c r="H3434"/>
  <c r="H3433"/>
  <c r="H3432"/>
  <c r="H3431"/>
  <c r="H3430"/>
  <c r="H3429"/>
  <c r="H3428"/>
  <c r="H3427"/>
  <c r="H3426"/>
  <c r="H3425"/>
  <c r="H3424"/>
  <c r="H3423"/>
  <c r="H3422"/>
  <c r="H3421"/>
  <c r="H3420"/>
  <c r="H3419"/>
  <c r="H3418"/>
  <c r="H3417"/>
  <c r="H3416"/>
  <c r="H3415"/>
  <c r="H3414"/>
  <c r="H3413"/>
  <c r="H3412"/>
  <c r="H3411"/>
  <c r="H3410"/>
  <c r="H3409"/>
  <c r="H3408"/>
  <c r="H3407"/>
  <c r="H3406"/>
  <c r="H3405"/>
  <c r="H3404"/>
  <c r="H3403"/>
  <c r="H3402"/>
  <c r="H3401"/>
  <c r="H3400"/>
  <c r="H3399"/>
  <c r="H3398"/>
  <c r="H3397"/>
  <c r="H3396"/>
  <c r="H3395"/>
  <c r="H3394"/>
  <c r="H3393"/>
  <c r="H3392"/>
  <c r="H3391"/>
  <c r="H3390"/>
  <c r="H3389"/>
  <c r="H3388"/>
  <c r="H3387"/>
  <c r="H3386"/>
  <c r="H3385"/>
  <c r="H3384"/>
  <c r="H3383"/>
  <c r="H3382"/>
  <c r="H3381"/>
  <c r="H3380"/>
  <c r="H3379"/>
  <c r="H3378"/>
  <c r="H3377"/>
  <c r="H3376"/>
  <c r="H3375"/>
  <c r="H3374"/>
  <c r="H3373"/>
  <c r="H3372"/>
  <c r="H3371"/>
  <c r="H3370"/>
  <c r="H3369"/>
  <c r="H3368"/>
  <c r="H3367"/>
  <c r="H3366"/>
  <c r="H3365"/>
  <c r="H3364"/>
  <c r="H3363"/>
  <c r="H3362"/>
  <c r="H3361"/>
  <c r="H3360"/>
  <c r="H3359"/>
  <c r="H3358"/>
  <c r="H3357"/>
  <c r="H3356"/>
  <c r="H3355"/>
  <c r="H3354"/>
  <c r="H3353"/>
  <c r="H3352"/>
  <c r="H3351"/>
  <c r="H3350"/>
  <c r="H3349"/>
  <c r="H3348"/>
  <c r="H3347"/>
  <c r="H3346"/>
  <c r="H3345"/>
  <c r="H3344"/>
  <c r="H3343"/>
  <c r="H3342"/>
  <c r="H3341"/>
  <c r="H3340"/>
  <c r="H3339"/>
  <c r="H3338"/>
  <c r="H3337"/>
  <c r="H3336"/>
  <c r="H3335"/>
  <c r="H3334"/>
  <c r="H3333"/>
  <c r="H3332"/>
  <c r="H3331"/>
  <c r="H3330"/>
  <c r="H3329"/>
  <c r="H3328"/>
  <c r="H3327"/>
  <c r="H3326"/>
  <c r="H3325"/>
  <c r="H3324"/>
  <c r="H3323"/>
  <c r="H3322"/>
  <c r="H3321"/>
  <c r="H3320"/>
  <c r="H3319"/>
  <c r="H3318"/>
  <c r="H3317"/>
  <c r="H3316"/>
  <c r="H3315"/>
  <c r="H3314"/>
  <c r="H3313"/>
  <c r="H3312"/>
  <c r="H3311"/>
  <c r="H3310"/>
  <c r="H3309"/>
  <c r="H3308"/>
  <c r="H3307"/>
  <c r="H3306"/>
  <c r="H3305"/>
  <c r="H3304"/>
  <c r="H3303"/>
  <c r="H3302"/>
  <c r="H3301"/>
  <c r="H3300"/>
  <c r="H3299"/>
  <c r="H3298"/>
  <c r="H3297"/>
  <c r="H3296"/>
  <c r="H3295"/>
  <c r="H3294"/>
  <c r="H3293"/>
  <c r="H3292"/>
  <c r="H3291"/>
  <c r="H3290"/>
  <c r="H3289"/>
  <c r="H3288"/>
  <c r="H3287"/>
  <c r="H3286"/>
  <c r="H3285"/>
  <c r="H3284"/>
  <c r="H3283"/>
  <c r="H3282"/>
  <c r="H3281"/>
  <c r="H3280"/>
  <c r="H3279"/>
  <c r="H3278"/>
  <c r="H3277"/>
  <c r="H3276"/>
  <c r="H3275"/>
  <c r="H3274"/>
  <c r="H3273"/>
  <c r="H3272"/>
  <c r="H3271"/>
  <c r="H3270"/>
  <c r="H3269"/>
  <c r="H3268"/>
  <c r="H3267"/>
  <c r="H3266"/>
  <c r="H3265"/>
  <c r="H3264"/>
  <c r="H3263"/>
  <c r="H3262"/>
  <c r="H3261"/>
  <c r="H3260"/>
  <c r="H3259"/>
  <c r="H3258"/>
  <c r="H3257"/>
  <c r="H3256"/>
  <c r="H3255"/>
  <c r="H3254"/>
  <c r="H3253"/>
  <c r="H3252"/>
  <c r="H3251"/>
  <c r="H3250"/>
  <c r="H3249"/>
  <c r="H3248"/>
  <c r="H3247"/>
  <c r="H3246"/>
  <c r="H3245"/>
  <c r="H3244"/>
  <c r="H3243"/>
  <c r="H3242"/>
  <c r="H3241"/>
  <c r="H3240"/>
  <c r="H3239"/>
  <c r="H3238"/>
  <c r="H3237"/>
  <c r="H3236"/>
  <c r="H3235"/>
  <c r="H3234"/>
  <c r="H3233"/>
  <c r="H3232"/>
  <c r="H3231"/>
  <c r="H3230"/>
  <c r="H3229"/>
  <c r="H3228"/>
  <c r="H3227"/>
  <c r="H3226"/>
  <c r="H3225"/>
  <c r="H3224"/>
  <c r="H3223"/>
  <c r="H3222"/>
  <c r="H3221"/>
  <c r="H3220"/>
  <c r="H3219"/>
  <c r="H3218"/>
  <c r="H3217"/>
  <c r="H3216"/>
  <c r="H3215"/>
  <c r="H3214"/>
  <c r="H3213"/>
  <c r="H3212"/>
  <c r="H3211"/>
  <c r="H3210"/>
  <c r="H3209"/>
  <c r="H3208"/>
  <c r="H3207"/>
  <c r="H3206"/>
  <c r="H3205"/>
  <c r="H3204"/>
  <c r="H3203"/>
  <c r="H3202"/>
  <c r="H3201"/>
  <c r="H3200"/>
  <c r="H3199"/>
  <c r="H3198"/>
  <c r="H3197"/>
  <c r="H3196"/>
  <c r="H3195"/>
  <c r="H3194"/>
  <c r="H3193"/>
  <c r="H3192"/>
  <c r="H3191"/>
  <c r="H3190"/>
  <c r="H3189"/>
  <c r="H3188"/>
  <c r="H3187"/>
  <c r="H3186"/>
  <c r="H3185"/>
  <c r="H3184"/>
  <c r="H3183"/>
  <c r="H3182"/>
  <c r="H3181"/>
  <c r="H3180"/>
  <c r="H3179"/>
  <c r="H3178"/>
  <c r="H3177"/>
  <c r="H3176"/>
  <c r="H3175"/>
  <c r="H3174"/>
  <c r="H3173"/>
  <c r="H3172"/>
  <c r="H3171"/>
  <c r="H3170"/>
  <c r="H3169"/>
  <c r="H3168"/>
  <c r="H3167"/>
  <c r="H3166"/>
  <c r="H3165"/>
  <c r="H3164"/>
  <c r="H3163"/>
  <c r="H3162"/>
  <c r="H3161"/>
  <c r="H3160"/>
  <c r="H3159"/>
  <c r="H3158"/>
  <c r="H3157"/>
  <c r="H3156"/>
  <c r="H3155"/>
  <c r="H3154"/>
  <c r="H3153"/>
  <c r="H3152"/>
  <c r="H3151"/>
  <c r="H3150"/>
  <c r="H3149"/>
  <c r="H3148"/>
  <c r="H3147"/>
  <c r="H3146"/>
  <c r="H3145"/>
  <c r="H3144"/>
  <c r="H3143"/>
  <c r="H3142"/>
  <c r="H3141"/>
  <c r="H3140"/>
  <c r="H3139"/>
  <c r="H3138"/>
  <c r="H3137"/>
  <c r="H3136"/>
  <c r="H3135"/>
  <c r="H3134"/>
  <c r="H3133"/>
  <c r="H3132"/>
  <c r="H3131"/>
  <c r="H3130"/>
  <c r="H3129"/>
  <c r="H3128"/>
  <c r="H3127"/>
  <c r="H3126"/>
  <c r="H3125"/>
  <c r="H3124"/>
  <c r="H3123"/>
  <c r="H3122"/>
  <c r="H3121"/>
  <c r="H3120"/>
  <c r="H3119"/>
  <c r="H3118"/>
  <c r="H3117"/>
  <c r="H3116"/>
  <c r="H3115"/>
  <c r="H3114"/>
  <c r="H3113"/>
  <c r="H3112"/>
  <c r="H3111"/>
  <c r="H3110"/>
  <c r="H3109"/>
  <c r="H3108"/>
  <c r="H3107"/>
  <c r="H3106"/>
  <c r="H3105"/>
  <c r="H3104"/>
  <c r="H3103"/>
  <c r="H3102"/>
  <c r="H3101"/>
  <c r="H3100"/>
  <c r="H3099"/>
  <c r="H3098"/>
  <c r="H3097"/>
  <c r="H3096"/>
  <c r="H3095"/>
  <c r="H3094"/>
  <c r="H3093"/>
  <c r="H3092"/>
  <c r="H3091"/>
  <c r="H3090"/>
  <c r="H3089"/>
  <c r="H3088"/>
  <c r="H3087"/>
  <c r="H3086"/>
  <c r="H3085"/>
  <c r="H3084"/>
  <c r="H3083"/>
  <c r="H3082"/>
  <c r="H3081"/>
  <c r="H3080"/>
  <c r="H3079"/>
  <c r="H3078"/>
  <c r="H3077"/>
  <c r="H3076"/>
  <c r="H3075"/>
  <c r="H3074"/>
  <c r="H3073"/>
  <c r="H3072"/>
  <c r="H3071"/>
  <c r="H3070"/>
  <c r="H3069"/>
  <c r="H3068"/>
  <c r="H3067"/>
  <c r="H3066"/>
  <c r="H3065"/>
  <c r="H3064"/>
  <c r="H3063"/>
  <c r="H3062"/>
  <c r="H3061"/>
  <c r="H3060"/>
  <c r="H3059"/>
  <c r="H3058"/>
  <c r="H3057"/>
  <c r="H3056"/>
  <c r="H3055"/>
  <c r="H3054"/>
  <c r="H3053"/>
  <c r="H3052"/>
  <c r="H3051"/>
  <c r="H3050"/>
  <c r="H3049"/>
  <c r="H3048"/>
  <c r="H3047"/>
  <c r="H3046"/>
  <c r="H3045"/>
  <c r="H3044"/>
  <c r="H3043"/>
  <c r="H3042"/>
  <c r="H3041"/>
  <c r="H3040"/>
  <c r="H3039"/>
  <c r="H3038"/>
  <c r="H3037"/>
  <c r="H3036"/>
  <c r="H3035"/>
  <c r="H3034"/>
  <c r="H3033"/>
  <c r="H3032"/>
  <c r="H3031"/>
  <c r="H3030"/>
  <c r="H3029"/>
  <c r="H3028"/>
  <c r="H3027"/>
  <c r="H3026"/>
  <c r="H3025"/>
  <c r="H3024"/>
  <c r="H3023"/>
  <c r="H3022"/>
  <c r="H3021"/>
  <c r="H3020"/>
  <c r="H3019"/>
  <c r="H3018"/>
  <c r="H3017"/>
  <c r="H3016"/>
  <c r="H3015"/>
  <c r="H3014"/>
  <c r="H3013"/>
  <c r="H3012"/>
  <c r="H3011"/>
  <c r="H3010"/>
  <c r="H3009"/>
  <c r="H3008"/>
  <c r="H3007"/>
  <c r="H3006"/>
  <c r="H3005"/>
  <c r="H3004"/>
  <c r="H3003"/>
  <c r="H3002"/>
  <c r="H3001"/>
  <c r="H3000"/>
  <c r="H2999"/>
  <c r="H2998"/>
  <c r="H2997"/>
  <c r="H2996"/>
  <c r="H2995"/>
  <c r="H2994"/>
  <c r="H2993"/>
  <c r="H2992"/>
  <c r="H2991"/>
  <c r="H2990"/>
  <c r="H2989"/>
  <c r="H2988"/>
  <c r="H2987"/>
  <c r="H2986"/>
  <c r="H2985"/>
  <c r="H2984"/>
  <c r="H2983"/>
  <c r="H2982"/>
  <c r="H2981"/>
  <c r="H2980"/>
  <c r="H2979"/>
  <c r="H2978"/>
  <c r="H2977"/>
  <c r="H2976"/>
  <c r="H2975"/>
  <c r="H2974"/>
  <c r="H2973"/>
  <c r="H2972"/>
  <c r="H2971"/>
  <c r="H2970"/>
  <c r="H2969"/>
  <c r="H2968"/>
  <c r="H2967"/>
  <c r="H2966"/>
  <c r="H2965"/>
  <c r="H2964"/>
  <c r="H2963"/>
  <c r="H2962"/>
  <c r="H2961"/>
  <c r="H2960"/>
  <c r="H2959"/>
  <c r="H2958"/>
  <c r="H2957"/>
  <c r="H2956"/>
  <c r="H2955"/>
  <c r="H2954"/>
  <c r="H2953"/>
  <c r="H2952"/>
  <c r="H2951"/>
  <c r="H2950"/>
  <c r="H2949"/>
  <c r="H2948"/>
  <c r="H2947"/>
  <c r="H2946"/>
  <c r="H2945"/>
  <c r="H2944"/>
  <c r="H2943"/>
  <c r="H2942"/>
  <c r="H2941"/>
  <c r="H2940"/>
  <c r="H2939"/>
  <c r="H2938"/>
  <c r="H2937"/>
  <c r="H2936"/>
  <c r="H2935"/>
  <c r="H2934"/>
  <c r="H2933"/>
  <c r="H2932"/>
  <c r="H2931"/>
  <c r="H2930"/>
  <c r="H2929"/>
  <c r="H2928"/>
  <c r="H2927"/>
  <c r="H2926"/>
  <c r="H2925"/>
  <c r="H2924"/>
  <c r="H2923"/>
  <c r="H2922"/>
  <c r="H2921"/>
  <c r="H2920"/>
  <c r="H2919"/>
  <c r="H2918"/>
  <c r="H2917"/>
  <c r="H2916"/>
  <c r="H2915"/>
  <c r="H2914"/>
  <c r="H2913"/>
  <c r="H2912"/>
  <c r="H2911"/>
  <c r="H2910"/>
  <c r="H2909"/>
  <c r="H2908"/>
  <c r="H2907"/>
  <c r="H2906"/>
  <c r="H2905"/>
  <c r="H2904"/>
  <c r="H2903"/>
  <c r="H2902"/>
  <c r="H2901"/>
  <c r="H2900"/>
  <c r="H2899"/>
  <c r="H2898"/>
  <c r="H2897"/>
  <c r="H2896"/>
  <c r="H2895"/>
  <c r="H2894"/>
  <c r="H2893"/>
  <c r="H2892"/>
  <c r="H2891"/>
  <c r="H2890"/>
  <c r="H2889"/>
  <c r="H2888"/>
  <c r="H2887"/>
  <c r="H2886"/>
  <c r="H2885"/>
  <c r="H2884"/>
  <c r="H2883"/>
  <c r="H2882"/>
  <c r="H2881"/>
  <c r="H2880"/>
  <c r="H2879"/>
  <c r="H2878"/>
  <c r="H2877"/>
  <c r="H2876"/>
  <c r="H2875"/>
  <c r="H2874"/>
  <c r="H2873"/>
  <c r="H2872"/>
  <c r="H2871"/>
  <c r="H2870"/>
  <c r="H2869"/>
  <c r="H2868"/>
  <c r="H2867"/>
  <c r="H2866"/>
  <c r="H2865"/>
  <c r="H2864"/>
  <c r="H2863"/>
  <c r="H2862"/>
  <c r="H2861"/>
  <c r="H2860"/>
  <c r="H2859"/>
  <c r="H2858"/>
  <c r="H2857"/>
  <c r="H2856"/>
  <c r="H2855"/>
  <c r="H2854"/>
  <c r="H2853"/>
  <c r="H2852"/>
  <c r="H2851"/>
  <c r="H2850"/>
  <c r="H2849"/>
  <c r="H2848"/>
  <c r="H2847"/>
  <c r="H2846"/>
  <c r="H2845"/>
  <c r="H2844"/>
  <c r="H2843"/>
  <c r="H2842"/>
  <c r="H2841"/>
  <c r="H2840"/>
  <c r="H2839"/>
  <c r="H2838"/>
  <c r="H2837"/>
  <c r="H2836"/>
  <c r="H2835"/>
  <c r="H2834"/>
  <c r="H2833"/>
  <c r="H2832"/>
  <c r="H2831"/>
  <c r="H2830"/>
  <c r="H2829"/>
  <c r="H2828"/>
  <c r="H2827"/>
  <c r="H2826"/>
  <c r="H2825"/>
  <c r="H2824"/>
  <c r="H2823"/>
  <c r="H2822"/>
  <c r="H2821"/>
  <c r="H2820"/>
  <c r="H2819"/>
  <c r="H2818"/>
  <c r="H2817"/>
  <c r="H2816"/>
  <c r="H2815"/>
  <c r="H2814"/>
  <c r="H2813"/>
  <c r="H2812"/>
  <c r="H2811"/>
  <c r="H2810"/>
  <c r="H2809"/>
  <c r="H2808"/>
  <c r="H2807"/>
  <c r="H2806"/>
  <c r="H2805"/>
  <c r="H2804"/>
  <c r="H2803"/>
  <c r="H2802"/>
  <c r="H2801"/>
  <c r="H2800"/>
  <c r="H2799"/>
  <c r="H2798"/>
  <c r="H2797"/>
  <c r="H2796"/>
  <c r="H2795"/>
  <c r="H2794"/>
  <c r="H2793"/>
  <c r="H2792"/>
  <c r="H2791"/>
  <c r="H2790"/>
  <c r="H2789"/>
  <c r="H2788"/>
  <c r="H2787"/>
  <c r="H2786"/>
  <c r="H2785"/>
  <c r="H2784"/>
  <c r="H2783"/>
  <c r="H2782"/>
  <c r="H2781"/>
  <c r="H2780"/>
  <c r="H2779"/>
  <c r="H2778"/>
  <c r="H2777"/>
  <c r="H2776"/>
  <c r="H2775"/>
  <c r="H2774"/>
  <c r="H2773"/>
  <c r="H2772"/>
  <c r="H2771"/>
  <c r="H2770"/>
  <c r="H2769"/>
  <c r="H2768"/>
  <c r="H2767"/>
  <c r="H2766"/>
  <c r="H2765"/>
  <c r="H2764"/>
  <c r="H2763"/>
  <c r="H2762"/>
  <c r="H2761"/>
  <c r="H2760"/>
  <c r="H2759"/>
  <c r="H2758"/>
  <c r="H2757"/>
  <c r="H2756"/>
  <c r="H2755"/>
  <c r="H2754"/>
  <c r="H2753"/>
  <c r="H2752"/>
  <c r="H2751"/>
  <c r="H2750"/>
  <c r="H2749"/>
  <c r="H2748"/>
  <c r="H2747"/>
  <c r="H2746"/>
  <c r="H2745"/>
  <c r="H2744"/>
  <c r="H2743"/>
  <c r="H2742"/>
  <c r="H2741"/>
  <c r="H2740"/>
  <c r="H2739"/>
  <c r="H2738"/>
  <c r="H2737"/>
  <c r="H2736"/>
  <c r="H2735"/>
  <c r="H2734"/>
  <c r="H2733"/>
  <c r="H2732"/>
  <c r="H2731"/>
  <c r="H2730"/>
  <c r="H2729"/>
  <c r="H2728"/>
  <c r="H2727"/>
  <c r="H2726"/>
  <c r="H2725"/>
  <c r="H2724"/>
  <c r="H2723"/>
  <c r="H2722"/>
  <c r="H2721"/>
  <c r="H2720"/>
  <c r="H2719"/>
  <c r="H2718"/>
  <c r="H2717"/>
  <c r="H2716"/>
  <c r="H2715"/>
  <c r="H2714"/>
  <c r="H2713"/>
  <c r="H2712"/>
  <c r="H2711"/>
  <c r="H2710"/>
  <c r="H2709"/>
  <c r="H2708"/>
  <c r="H2707"/>
  <c r="H2706"/>
  <c r="H2705"/>
  <c r="H2704"/>
  <c r="H2703"/>
  <c r="H2702"/>
  <c r="H2701"/>
  <c r="H2700"/>
  <c r="H2699"/>
  <c r="H2698"/>
  <c r="H2697"/>
  <c r="H2696"/>
  <c r="H2695"/>
  <c r="H2694"/>
  <c r="H2693"/>
  <c r="H2692"/>
  <c r="H2691"/>
  <c r="H2690"/>
  <c r="H2689"/>
  <c r="H2688"/>
  <c r="H2687"/>
  <c r="H2686"/>
  <c r="H2685"/>
  <c r="H2684"/>
  <c r="H2683"/>
  <c r="H2682"/>
  <c r="H2681"/>
  <c r="H2680"/>
  <c r="H2679"/>
  <c r="H2678"/>
  <c r="H2677"/>
  <c r="H2676"/>
  <c r="H2675"/>
  <c r="H2674"/>
  <c r="H2673"/>
  <c r="H2672"/>
  <c r="H2671"/>
  <c r="H2670"/>
  <c r="H2669"/>
  <c r="H2668"/>
  <c r="H2667"/>
  <c r="H2666"/>
  <c r="H2665"/>
  <c r="H2664"/>
  <c r="H2663"/>
  <c r="H2662"/>
  <c r="H2661"/>
  <c r="H2660"/>
  <c r="H2659"/>
  <c r="H2658"/>
  <c r="H2657"/>
  <c r="H2656"/>
  <c r="H2655"/>
  <c r="H2654"/>
  <c r="H2653"/>
  <c r="H2652"/>
  <c r="H2651"/>
  <c r="H2650"/>
  <c r="H2649"/>
  <c r="H2648"/>
  <c r="H2647"/>
  <c r="H2646"/>
  <c r="H2645"/>
  <c r="H2644"/>
  <c r="H2643"/>
  <c r="H2642"/>
  <c r="H2641"/>
  <c r="H2640"/>
  <c r="H2639"/>
  <c r="H2638"/>
  <c r="H2637"/>
  <c r="H2636"/>
  <c r="H2635"/>
  <c r="H2634"/>
  <c r="H2633"/>
  <c r="H2632"/>
  <c r="H2631"/>
  <c r="H2630"/>
  <c r="H2629"/>
  <c r="H2628"/>
  <c r="H2627"/>
  <c r="H2626"/>
  <c r="H2625"/>
  <c r="H2624"/>
  <c r="H2623"/>
  <c r="H2622"/>
  <c r="H2621"/>
  <c r="H2620"/>
  <c r="H2619"/>
  <c r="H2618"/>
  <c r="H2617"/>
  <c r="H2616"/>
  <c r="H2615"/>
  <c r="H2614"/>
  <c r="H2613"/>
  <c r="H2612"/>
  <c r="H2611"/>
  <c r="H2610"/>
  <c r="H2609"/>
  <c r="H2608"/>
  <c r="H2607"/>
  <c r="H2606"/>
  <c r="H2605"/>
  <c r="H2604"/>
  <c r="H2603"/>
  <c r="H2602"/>
  <c r="H2601"/>
  <c r="H2600"/>
  <c r="H2599"/>
  <c r="H2598"/>
  <c r="H2597"/>
  <c r="H2596"/>
  <c r="H2595"/>
  <c r="H2594"/>
  <c r="H2593"/>
  <c r="H2592"/>
  <c r="H2591"/>
  <c r="H2590"/>
  <c r="H2589"/>
  <c r="H2588"/>
  <c r="H2587"/>
  <c r="H2586"/>
  <c r="H2585"/>
  <c r="H2584"/>
  <c r="H2583"/>
  <c r="H2582"/>
  <c r="H2581"/>
  <c r="H2580"/>
  <c r="H2579"/>
  <c r="H2578"/>
  <c r="H2577"/>
  <c r="H2576"/>
  <c r="H2575"/>
  <c r="H2574"/>
  <c r="H2573"/>
  <c r="H2572"/>
  <c r="H2571"/>
  <c r="H2570"/>
  <c r="H2569"/>
  <c r="H2568"/>
  <c r="H2567"/>
  <c r="H2566"/>
  <c r="H2565"/>
  <c r="H2564"/>
  <c r="H2563"/>
  <c r="H2562"/>
  <c r="H2561"/>
  <c r="H2560"/>
  <c r="H2559"/>
  <c r="H2558"/>
  <c r="H2557"/>
  <c r="H2556"/>
  <c r="H2555"/>
  <c r="H2554"/>
  <c r="H2553"/>
  <c r="H2552"/>
  <c r="H2551"/>
  <c r="H2550"/>
  <c r="H2549"/>
  <c r="H2548"/>
  <c r="H2547"/>
  <c r="H2546"/>
  <c r="H2545"/>
  <c r="H2544"/>
  <c r="H2543"/>
  <c r="H2542"/>
  <c r="H2541"/>
  <c r="H2540"/>
  <c r="H2539"/>
  <c r="H2538"/>
  <c r="H2537"/>
  <c r="H2536"/>
  <c r="H2535"/>
  <c r="H2534"/>
  <c r="H2533"/>
  <c r="H2532"/>
  <c r="H2531"/>
  <c r="H2530"/>
  <c r="H2529"/>
  <c r="H2528"/>
  <c r="H2527"/>
  <c r="H2526"/>
  <c r="H2525"/>
  <c r="H2524"/>
  <c r="H2523"/>
  <c r="H2522"/>
  <c r="H2521"/>
  <c r="H2520"/>
  <c r="H2519"/>
  <c r="H2518"/>
  <c r="H2517"/>
  <c r="H2516"/>
  <c r="H2515"/>
  <c r="H2514"/>
  <c r="H2513"/>
  <c r="H2512"/>
  <c r="H2511"/>
  <c r="H2510"/>
  <c r="H2509"/>
  <c r="H2508"/>
  <c r="H2507"/>
  <c r="H2506"/>
  <c r="H2505"/>
  <c r="H2504"/>
  <c r="H2503"/>
  <c r="H2502"/>
  <c r="H2501"/>
  <c r="H2500"/>
  <c r="H2499"/>
  <c r="H2498"/>
  <c r="H2497"/>
  <c r="H2496"/>
  <c r="H2495"/>
  <c r="H2494"/>
  <c r="H2493"/>
  <c r="H2492"/>
  <c r="H2491"/>
  <c r="H2490"/>
  <c r="H2489"/>
  <c r="H2488"/>
  <c r="H2487"/>
  <c r="H2486"/>
  <c r="H2485"/>
  <c r="H2484"/>
  <c r="H2483"/>
  <c r="H2482"/>
  <c r="H2481"/>
  <c r="H2480"/>
  <c r="H2479"/>
  <c r="H2478"/>
  <c r="H2477"/>
  <c r="H2476"/>
  <c r="H2475"/>
  <c r="H2474"/>
  <c r="H2473"/>
  <c r="H2472"/>
  <c r="H2471"/>
  <c r="H2470"/>
  <c r="H2469"/>
  <c r="H2468"/>
  <c r="H2467"/>
  <c r="H2466"/>
  <c r="H2465"/>
  <c r="H2464"/>
  <c r="H2463"/>
  <c r="H2462"/>
  <c r="H2461"/>
  <c r="H2460"/>
  <c r="H2459"/>
  <c r="H2458"/>
  <c r="H2457"/>
  <c r="H2456"/>
  <c r="H2455"/>
  <c r="H2454"/>
  <c r="H2453"/>
  <c r="H2452"/>
  <c r="H2451"/>
  <c r="H2450"/>
  <c r="H2449"/>
  <c r="H2448"/>
  <c r="H2447"/>
  <c r="H2446"/>
  <c r="H2445"/>
  <c r="H2444"/>
  <c r="H2443"/>
  <c r="H2442"/>
  <c r="H2441"/>
  <c r="H2440"/>
  <c r="H2439"/>
  <c r="H2438"/>
  <c r="H2437"/>
  <c r="H2436"/>
  <c r="H2435"/>
  <c r="H2434"/>
  <c r="H2433"/>
  <c r="H2432"/>
  <c r="H2431"/>
  <c r="H2430"/>
  <c r="H2429"/>
  <c r="H2428"/>
  <c r="H2427"/>
  <c r="H2426"/>
  <c r="H2425"/>
  <c r="H2424"/>
  <c r="H2423"/>
  <c r="H2422"/>
  <c r="H2421"/>
  <c r="H2420"/>
  <c r="H2419"/>
  <c r="H2418"/>
  <c r="H2417"/>
  <c r="H2416"/>
  <c r="H2415"/>
  <c r="H2414"/>
  <c r="H2413"/>
  <c r="H2412"/>
  <c r="H2411"/>
  <c r="H2410"/>
  <c r="H2409"/>
  <c r="H2408"/>
  <c r="H2407"/>
  <c r="H2406"/>
  <c r="H2405"/>
  <c r="H2404"/>
  <c r="H2403"/>
  <c r="H2402"/>
  <c r="H2401"/>
  <c r="H2400"/>
  <c r="H2399"/>
  <c r="H2398"/>
  <c r="H2397"/>
  <c r="H2396"/>
  <c r="H2395"/>
  <c r="H2394"/>
  <c r="H2393"/>
  <c r="H2392"/>
  <c r="H2391"/>
  <c r="H2390"/>
  <c r="H2389"/>
  <c r="H2388"/>
  <c r="H2387"/>
  <c r="H2386"/>
  <c r="H2385"/>
  <c r="H2384"/>
  <c r="H2383"/>
  <c r="H2382"/>
  <c r="H2381"/>
  <c r="H2380"/>
  <c r="H2379"/>
  <c r="H2378"/>
  <c r="H2377"/>
  <c r="H2376"/>
  <c r="H2375"/>
  <c r="H2374"/>
  <c r="H2373"/>
  <c r="H2372"/>
  <c r="H2371"/>
  <c r="H2370"/>
  <c r="H2369"/>
  <c r="H2368"/>
  <c r="H2367"/>
  <c r="H2366"/>
  <c r="H2365"/>
  <c r="H2364"/>
  <c r="H2363"/>
  <c r="H2362"/>
  <c r="H2361"/>
  <c r="H2360"/>
  <c r="H2359"/>
  <c r="H2358"/>
  <c r="H2357"/>
  <c r="H2356"/>
  <c r="H2355"/>
  <c r="H2354"/>
  <c r="H2353"/>
  <c r="H2352"/>
  <c r="H2351"/>
  <c r="H2350"/>
  <c r="H2349"/>
  <c r="H2348"/>
  <c r="H2347"/>
  <c r="H2346"/>
  <c r="H2345"/>
  <c r="H2344"/>
  <c r="H2343"/>
  <c r="H2342"/>
  <c r="H2341"/>
  <c r="H2340"/>
  <c r="H2339"/>
  <c r="H2338"/>
  <c r="H2337"/>
  <c r="H2336"/>
  <c r="H2335"/>
  <c r="H2334"/>
  <c r="H2333"/>
  <c r="H2332"/>
  <c r="H2331"/>
  <c r="H2330"/>
  <c r="H2329"/>
  <c r="H2328"/>
  <c r="H2327"/>
  <c r="H2326"/>
  <c r="H2325"/>
  <c r="H2324"/>
  <c r="H2323"/>
  <c r="H2322"/>
  <c r="H2321"/>
  <c r="H2320"/>
  <c r="H2319"/>
  <c r="H2318"/>
  <c r="H2317"/>
  <c r="H2316"/>
  <c r="H2315"/>
  <c r="H2314"/>
  <c r="H2313"/>
  <c r="H2312"/>
  <c r="H2311"/>
  <c r="H2310"/>
  <c r="H2309"/>
  <c r="H2308"/>
  <c r="H2307"/>
  <c r="H2306"/>
  <c r="H2305"/>
  <c r="H2304"/>
  <c r="H2303"/>
  <c r="H2302"/>
  <c r="H2301"/>
  <c r="H2300"/>
  <c r="H2299"/>
  <c r="H2298"/>
  <c r="H2297"/>
  <c r="H2296"/>
  <c r="H2295"/>
  <c r="H2294"/>
  <c r="H2293"/>
  <c r="H2292"/>
  <c r="H2291"/>
  <c r="H2290"/>
  <c r="H2289"/>
  <c r="H2288"/>
  <c r="H2287"/>
  <c r="H2286"/>
  <c r="H2285"/>
  <c r="H2284"/>
  <c r="H2283"/>
  <c r="H2282"/>
  <c r="H2281"/>
  <c r="H2280"/>
  <c r="H2279"/>
  <c r="H2278"/>
  <c r="H2277"/>
  <c r="H2276"/>
  <c r="H2275"/>
  <c r="H2274"/>
  <c r="H2273"/>
  <c r="H2272"/>
  <c r="H2271"/>
  <c r="H2270"/>
  <c r="H2269"/>
  <c r="H2268"/>
  <c r="H2267"/>
  <c r="H2266"/>
  <c r="H2265"/>
  <c r="H2264"/>
  <c r="H2263"/>
  <c r="H2262"/>
  <c r="H2261"/>
  <c r="H2260"/>
  <c r="H2259"/>
  <c r="H2258"/>
  <c r="H2257"/>
  <c r="H2256"/>
  <c r="H2255"/>
  <c r="H2254"/>
  <c r="H2253"/>
  <c r="H2252"/>
  <c r="H2251"/>
  <c r="H2250"/>
  <c r="H2249"/>
  <c r="H2248"/>
  <c r="H2247"/>
  <c r="H2246"/>
  <c r="H2245"/>
  <c r="H2244"/>
  <c r="H2243"/>
  <c r="H2242"/>
  <c r="H2241"/>
  <c r="H2240"/>
  <c r="H2239"/>
  <c r="H2238"/>
  <c r="H2237"/>
  <c r="H2236"/>
  <c r="H2235"/>
  <c r="H2234"/>
  <c r="H2233"/>
  <c r="H2232"/>
  <c r="H2231"/>
  <c r="H2230"/>
  <c r="H2229"/>
  <c r="H2228"/>
  <c r="H2227"/>
  <c r="H2226"/>
  <c r="H2225"/>
  <c r="H2224"/>
  <c r="H2223"/>
  <c r="H2222"/>
  <c r="H2221"/>
  <c r="H2220"/>
  <c r="H2219"/>
  <c r="H2218"/>
  <c r="H2217"/>
  <c r="H2216"/>
  <c r="H2215"/>
  <c r="H2214"/>
  <c r="H2213"/>
  <c r="H2212"/>
  <c r="H2211"/>
  <c r="H2210"/>
  <c r="H2209"/>
  <c r="H2208"/>
  <c r="H2207"/>
  <c r="H2206"/>
  <c r="H2205"/>
  <c r="H2204"/>
  <c r="H2203"/>
  <c r="H2202"/>
  <c r="H2201"/>
  <c r="H2200"/>
  <c r="H2199"/>
  <c r="H2198"/>
  <c r="H2197"/>
  <c r="H2196"/>
  <c r="H2195"/>
  <c r="H2194"/>
  <c r="H2193"/>
  <c r="H2192"/>
  <c r="H2191"/>
  <c r="H2190"/>
  <c r="H2189"/>
  <c r="H2188"/>
  <c r="H2187"/>
  <c r="H2186"/>
  <c r="H2185"/>
  <c r="H2184"/>
  <c r="H2183"/>
  <c r="H2182"/>
  <c r="H2181"/>
  <c r="H2180"/>
  <c r="H2179"/>
  <c r="H2178"/>
  <c r="H2177"/>
  <c r="H2176"/>
  <c r="H2175"/>
  <c r="H2174"/>
  <c r="H2173"/>
  <c r="H2172"/>
  <c r="H2171"/>
  <c r="H2170"/>
  <c r="H2169"/>
  <c r="H2168"/>
  <c r="H2167"/>
  <c r="H2166"/>
  <c r="H2165"/>
  <c r="H2164"/>
  <c r="H2163"/>
  <c r="H2162"/>
  <c r="H2161"/>
  <c r="H2160"/>
  <c r="H2159"/>
  <c r="H2158"/>
  <c r="H2157"/>
  <c r="H2156"/>
  <c r="H2155"/>
  <c r="H2154"/>
  <c r="H2153"/>
  <c r="H2152"/>
  <c r="H2151"/>
  <c r="H2150"/>
  <c r="H2149"/>
  <c r="H2148"/>
  <c r="H2147"/>
  <c r="H2146"/>
  <c r="H2145"/>
  <c r="H2144"/>
  <c r="H2143"/>
  <c r="H2142"/>
  <c r="H2141"/>
  <c r="H2140"/>
  <c r="H2139"/>
  <c r="H2138"/>
  <c r="H2137"/>
  <c r="H2136"/>
  <c r="H2135"/>
  <c r="H2134"/>
  <c r="H2133"/>
  <c r="H2132"/>
  <c r="H2131"/>
  <c r="H2130"/>
  <c r="H2129"/>
  <c r="H2128"/>
  <c r="H2127"/>
  <c r="H2126"/>
  <c r="H2125"/>
  <c r="H2124"/>
  <c r="H2123"/>
  <c r="H2122"/>
  <c r="H2121"/>
  <c r="H2120"/>
  <c r="H2119"/>
  <c r="H2118"/>
  <c r="H2117"/>
  <c r="H2116"/>
  <c r="H2115"/>
  <c r="H2114"/>
  <c r="H2113"/>
  <c r="H2112"/>
  <c r="H2111"/>
  <c r="H2110"/>
  <c r="H2109"/>
  <c r="H2108"/>
  <c r="H2107"/>
  <c r="H2106"/>
  <c r="H2105"/>
  <c r="H2104"/>
  <c r="H2103"/>
  <c r="H2102"/>
  <c r="H2101"/>
  <c r="H2100"/>
  <c r="H2099"/>
  <c r="H2098"/>
  <c r="H2097"/>
  <c r="H2096"/>
  <c r="H2095"/>
  <c r="H2094"/>
  <c r="H2093"/>
  <c r="H2092"/>
  <c r="H2091"/>
  <c r="H2090"/>
  <c r="H2089"/>
  <c r="H2088"/>
  <c r="H2087"/>
  <c r="H2086"/>
  <c r="H2085"/>
  <c r="H2084"/>
  <c r="H2083"/>
  <c r="H2082"/>
  <c r="H2081"/>
  <c r="H2080"/>
  <c r="H2079"/>
  <c r="H2078"/>
  <c r="H2077"/>
  <c r="H2076"/>
  <c r="H2075"/>
  <c r="H2074"/>
  <c r="H2073"/>
  <c r="H2072"/>
  <c r="H2071"/>
  <c r="H2070"/>
  <c r="H2069"/>
  <c r="H2068"/>
  <c r="H2067"/>
  <c r="H2066"/>
  <c r="H2065"/>
  <c r="H2064"/>
  <c r="H2063"/>
  <c r="H2062"/>
  <c r="H2061"/>
  <c r="H2060"/>
  <c r="H2059"/>
  <c r="H2058"/>
  <c r="H2057"/>
  <c r="H2056"/>
  <c r="H2055"/>
  <c r="H2054"/>
  <c r="H2053"/>
  <c r="H2052"/>
  <c r="H2051"/>
  <c r="H2050"/>
  <c r="H2049"/>
  <c r="H2048"/>
  <c r="H2047"/>
  <c r="H2046"/>
  <c r="H2045"/>
  <c r="H2044"/>
  <c r="H2043"/>
  <c r="H2042"/>
  <c r="H2041"/>
  <c r="H2040"/>
  <c r="H2039"/>
  <c r="H2038"/>
  <c r="H2037"/>
  <c r="H2036"/>
  <c r="H2035"/>
  <c r="H2034"/>
  <c r="H2033"/>
  <c r="H2032"/>
  <c r="H2031"/>
  <c r="H2030"/>
  <c r="H2029"/>
  <c r="H2028"/>
  <c r="H2027"/>
  <c r="H2026"/>
  <c r="H2025"/>
  <c r="H2024"/>
  <c r="H2023"/>
  <c r="H2022"/>
  <c r="H2021"/>
  <c r="H2020"/>
  <c r="H2019"/>
  <c r="H2018"/>
  <c r="H2017"/>
  <c r="H2016"/>
  <c r="H2015"/>
  <c r="H2014"/>
  <c r="H2013"/>
  <c r="H2012"/>
  <c r="H2011"/>
  <c r="H2010"/>
  <c r="H2009"/>
  <c r="H2008"/>
  <c r="H2007"/>
  <c r="H2006"/>
  <c r="H2005"/>
  <c r="H2004"/>
  <c r="H2003"/>
  <c r="H2002"/>
  <c r="H2001"/>
  <c r="H2000"/>
  <c r="H1999"/>
  <c r="H1998"/>
  <c r="H1997"/>
  <c r="H1996"/>
  <c r="H1995"/>
  <c r="H1994"/>
  <c r="H1993"/>
  <c r="H1992"/>
  <c r="H1991"/>
  <c r="H1990"/>
  <c r="H1989"/>
  <c r="H1988"/>
  <c r="H1987"/>
  <c r="H1986"/>
  <c r="H1985"/>
  <c r="H1984"/>
  <c r="H1983"/>
  <c r="H1982"/>
  <c r="H1981"/>
  <c r="H1980"/>
  <c r="H1979"/>
  <c r="H1978"/>
  <c r="H1977"/>
  <c r="H1976"/>
  <c r="H1975"/>
  <c r="H1974"/>
  <c r="H1973"/>
  <c r="H1972"/>
  <c r="H1971"/>
  <c r="H1970"/>
  <c r="H1969"/>
  <c r="H1968"/>
  <c r="H1967"/>
  <c r="H1966"/>
  <c r="H1965"/>
  <c r="H1964"/>
  <c r="H1963"/>
  <c r="H1962"/>
  <c r="H1961"/>
  <c r="H1960"/>
  <c r="H1959"/>
  <c r="H1958"/>
  <c r="H1957"/>
  <c r="H1956"/>
  <c r="H1955"/>
  <c r="H1954"/>
  <c r="H1953"/>
  <c r="H1952"/>
  <c r="H1951"/>
  <c r="H1950"/>
  <c r="H1949"/>
  <c r="H1948"/>
  <c r="H1947"/>
  <c r="H1946"/>
  <c r="H1945"/>
  <c r="H1944"/>
  <c r="H1943"/>
  <c r="H1942"/>
  <c r="H1941"/>
  <c r="H1940"/>
  <c r="H1939"/>
  <c r="H1938"/>
  <c r="H1937"/>
  <c r="H1936"/>
  <c r="H1935"/>
  <c r="H1934"/>
  <c r="H1933"/>
  <c r="H1932"/>
  <c r="H1931"/>
  <c r="H1930"/>
  <c r="H1929"/>
  <c r="H1928"/>
  <c r="H1927"/>
  <c r="H1926"/>
  <c r="H1925"/>
  <c r="H1924"/>
  <c r="H1923"/>
  <c r="H1922"/>
  <c r="H1921"/>
  <c r="H1920"/>
  <c r="H1919"/>
  <c r="H1918"/>
  <c r="H1917"/>
  <c r="H1916"/>
  <c r="H1915"/>
  <c r="H1914"/>
  <c r="H1913"/>
  <c r="H1912"/>
  <c r="H1911"/>
  <c r="H1910"/>
  <c r="H1909"/>
  <c r="H1908"/>
  <c r="H1907"/>
  <c r="H1906"/>
  <c r="H1905"/>
  <c r="H1904"/>
  <c r="H1903"/>
  <c r="H1902"/>
  <c r="H1901"/>
  <c r="H1900"/>
  <c r="H1899"/>
  <c r="H1898"/>
  <c r="H1897"/>
  <c r="H1896"/>
  <c r="H1895"/>
  <c r="H1894"/>
  <c r="H1893"/>
  <c r="H1892"/>
  <c r="H1891"/>
  <c r="H1890"/>
  <c r="H1889"/>
  <c r="H1888"/>
  <c r="H1887"/>
  <c r="H1886"/>
  <c r="H1885"/>
  <c r="H1884"/>
  <c r="H1883"/>
  <c r="H1882"/>
  <c r="H1881"/>
  <c r="H1880"/>
  <c r="H1879"/>
  <c r="H1878"/>
  <c r="H1877"/>
  <c r="H1876"/>
  <c r="H1875"/>
  <c r="H1874"/>
  <c r="H1873"/>
  <c r="H1872"/>
  <c r="H1871"/>
  <c r="H1870"/>
  <c r="H1869"/>
  <c r="H1868"/>
  <c r="H1867"/>
  <c r="H1866"/>
  <c r="H1865"/>
  <c r="H1864"/>
  <c r="H1863"/>
  <c r="H1862"/>
  <c r="H1861"/>
  <c r="H1860"/>
  <c r="H1859"/>
  <c r="H1858"/>
  <c r="H1857"/>
  <c r="H1856"/>
  <c r="H1855"/>
  <c r="H1854"/>
  <c r="H1853"/>
  <c r="H1852"/>
  <c r="H1851"/>
  <c r="H1850"/>
  <c r="H1849"/>
  <c r="H1848"/>
  <c r="H1847"/>
  <c r="H1846"/>
  <c r="H1845"/>
  <c r="H1844"/>
  <c r="H1843"/>
  <c r="H1842"/>
  <c r="H1841"/>
  <c r="H1840"/>
  <c r="H1839"/>
  <c r="H1838"/>
  <c r="H1837"/>
  <c r="H1836"/>
  <c r="H1835"/>
  <c r="H1834"/>
  <c r="H1833"/>
  <c r="H1832"/>
  <c r="H1831"/>
  <c r="H1830"/>
  <c r="H1829"/>
  <c r="H1828"/>
  <c r="H1827"/>
  <c r="H1826"/>
  <c r="H1825"/>
  <c r="H1824"/>
  <c r="H1823"/>
  <c r="H1822"/>
  <c r="H1821"/>
  <c r="H1820"/>
  <c r="H1819"/>
  <c r="H1818"/>
  <c r="H1817"/>
  <c r="H1816"/>
  <c r="H1815"/>
  <c r="H1814"/>
  <c r="H1813"/>
  <c r="H1812"/>
  <c r="H1811"/>
  <c r="H1810"/>
  <c r="H1809"/>
  <c r="H1808"/>
  <c r="H1807"/>
  <c r="H1806"/>
  <c r="H1805"/>
  <c r="H1804"/>
  <c r="H1803"/>
  <c r="H1802"/>
  <c r="H1801"/>
  <c r="H1800"/>
  <c r="H1799"/>
  <c r="H1798"/>
  <c r="H1797"/>
  <c r="H1796"/>
  <c r="H1795"/>
  <c r="H1794"/>
  <c r="H1793"/>
  <c r="H1792"/>
  <c r="H1791"/>
  <c r="H1790"/>
  <c r="H1789"/>
  <c r="H1788"/>
  <c r="H1787"/>
  <c r="H1786"/>
  <c r="H1785"/>
  <c r="H1784"/>
  <c r="H1783"/>
  <c r="H1782"/>
  <c r="H1781"/>
  <c r="H1780"/>
  <c r="H1779"/>
  <c r="H1778"/>
  <c r="H1777"/>
  <c r="H1776"/>
  <c r="H1775"/>
  <c r="H1774"/>
  <c r="H1773"/>
  <c r="H1772"/>
  <c r="H1771"/>
  <c r="H1770"/>
  <c r="H1769"/>
  <c r="H1768"/>
  <c r="H1767"/>
  <c r="H1766"/>
  <c r="H1765"/>
  <c r="H1764"/>
  <c r="H1763"/>
  <c r="H1762"/>
  <c r="H1761"/>
  <c r="H1760"/>
  <c r="H1759"/>
  <c r="H1758"/>
  <c r="H1757"/>
  <c r="H1756"/>
  <c r="H1755"/>
  <c r="H1754"/>
  <c r="H1753"/>
  <c r="H1752"/>
  <c r="H1751"/>
  <c r="H1750"/>
  <c r="H1749"/>
  <c r="H1748"/>
  <c r="H1747"/>
  <c r="H1746"/>
  <c r="H1745"/>
  <c r="H1744"/>
  <c r="H1743"/>
  <c r="H1742"/>
  <c r="H1741"/>
  <c r="H1740"/>
  <c r="H1739"/>
  <c r="H1738"/>
  <c r="H1737"/>
  <c r="H1736"/>
  <c r="H1735"/>
  <c r="H1734"/>
  <c r="H1733"/>
  <c r="H1732"/>
  <c r="H1731"/>
  <c r="H1730"/>
  <c r="H1729"/>
  <c r="H1728"/>
  <c r="H1727"/>
  <c r="H1726"/>
  <c r="H1725"/>
  <c r="H1724"/>
  <c r="H1723"/>
  <c r="H1722"/>
  <c r="H1721"/>
  <c r="H1720"/>
  <c r="H1719"/>
  <c r="H1718"/>
  <c r="H1717"/>
  <c r="H1716"/>
  <c r="H1715"/>
  <c r="H1714"/>
  <c r="H1713"/>
  <c r="H1712"/>
  <c r="H1711"/>
  <c r="H1710"/>
  <c r="H1709"/>
  <c r="H1708"/>
  <c r="H1707"/>
  <c r="H1706"/>
  <c r="H1705"/>
  <c r="H1704"/>
  <c r="H1703"/>
  <c r="H1702"/>
  <c r="H1701"/>
  <c r="H1700"/>
  <c r="H1699"/>
  <c r="H1698"/>
  <c r="H1697"/>
  <c r="H1696"/>
  <c r="H1695"/>
  <c r="H1694"/>
  <c r="H1693"/>
  <c r="H1692"/>
  <c r="H1691"/>
  <c r="H1690"/>
  <c r="H1689"/>
  <c r="H1688"/>
  <c r="H1687"/>
  <c r="H1686"/>
  <c r="H1685"/>
  <c r="H1684"/>
  <c r="H1683"/>
  <c r="H1682"/>
  <c r="H1681"/>
  <c r="H1680"/>
  <c r="H1679"/>
  <c r="H1678"/>
  <c r="H1677"/>
  <c r="H1676"/>
  <c r="H1675"/>
  <c r="H1674"/>
  <c r="H1673"/>
  <c r="H1672"/>
  <c r="H1671"/>
  <c r="H1670"/>
  <c r="H1669"/>
  <c r="H1668"/>
  <c r="H1667"/>
  <c r="H1666"/>
  <c r="H1665"/>
  <c r="H1664"/>
  <c r="H1663"/>
  <c r="H1662"/>
  <c r="H1661"/>
  <c r="H1660"/>
  <c r="H1659"/>
  <c r="H1658"/>
  <c r="H1657"/>
  <c r="H1656"/>
  <c r="H1655"/>
  <c r="H1654"/>
  <c r="H1653"/>
  <c r="H1652"/>
  <c r="H1651"/>
  <c r="H1650"/>
  <c r="H1649"/>
  <c r="H1648"/>
  <c r="H1647"/>
  <c r="H1646"/>
  <c r="H1645"/>
  <c r="H1644"/>
  <c r="H1643"/>
  <c r="H1642"/>
  <c r="H1641"/>
  <c r="H1640"/>
  <c r="H1639"/>
  <c r="H1638"/>
  <c r="H1637"/>
  <c r="H1636"/>
  <c r="H1635"/>
  <c r="H1634"/>
  <c r="H1633"/>
  <c r="H1632"/>
  <c r="H1631"/>
  <c r="H1630"/>
  <c r="H1629"/>
  <c r="H1628"/>
  <c r="H1627"/>
  <c r="H1626"/>
  <c r="H1625"/>
  <c r="H1624"/>
  <c r="H1623"/>
  <c r="H1622"/>
  <c r="H1621"/>
  <c r="H1620"/>
  <c r="H1619"/>
  <c r="H1618"/>
  <c r="H1617"/>
  <c r="H1616"/>
  <c r="H1615"/>
  <c r="H1614"/>
  <c r="H1613"/>
  <c r="H1612"/>
  <c r="H1611"/>
  <c r="H1610"/>
  <c r="H1609"/>
  <c r="H1608"/>
  <c r="H1607"/>
  <c r="H1606"/>
  <c r="H1605"/>
  <c r="H1604"/>
  <c r="H1603"/>
  <c r="H1602"/>
  <c r="H1601"/>
  <c r="H1600"/>
  <c r="H1599"/>
  <c r="H1598"/>
  <c r="H1597"/>
  <c r="H1596"/>
  <c r="H1595"/>
  <c r="H1594"/>
  <c r="H1593"/>
  <c r="H1592"/>
  <c r="H1591"/>
  <c r="H1590"/>
  <c r="H1589"/>
  <c r="H1588"/>
  <c r="H1587"/>
  <c r="H1586"/>
  <c r="H1585"/>
  <c r="H1584"/>
  <c r="H1583"/>
  <c r="H1582"/>
  <c r="H1581"/>
  <c r="H1580"/>
  <c r="H1579"/>
  <c r="H1578"/>
  <c r="H1577"/>
  <c r="H1576"/>
  <c r="H1575"/>
  <c r="H1574"/>
  <c r="H1573"/>
  <c r="H1572"/>
  <c r="H1571"/>
  <c r="H1570"/>
  <c r="H1569"/>
  <c r="H1568"/>
  <c r="H1567"/>
  <c r="H1566"/>
  <c r="H1565"/>
  <c r="H1564"/>
  <c r="H1563"/>
  <c r="H1562"/>
  <c r="H1561"/>
  <c r="H1560"/>
  <c r="H1559"/>
  <c r="H1558"/>
  <c r="H1557"/>
  <c r="H1556"/>
  <c r="H1555"/>
  <c r="H1554"/>
  <c r="H1553"/>
  <c r="H1552"/>
  <c r="H1551"/>
  <c r="H1550"/>
  <c r="H1549"/>
  <c r="H1548"/>
  <c r="H1547"/>
  <c r="H1546"/>
  <c r="H1545"/>
  <c r="H1544"/>
  <c r="H1543"/>
  <c r="H1542"/>
  <c r="H1541"/>
  <c r="H1540"/>
  <c r="H1539"/>
  <c r="H1538"/>
  <c r="H1537"/>
  <c r="H1536"/>
  <c r="H1535"/>
  <c r="H1534"/>
  <c r="H1533"/>
  <c r="H1532"/>
  <c r="H1531"/>
  <c r="H1530"/>
  <c r="H1529"/>
  <c r="H1528"/>
  <c r="H1527"/>
  <c r="H1526"/>
  <c r="H1525"/>
  <c r="H1524"/>
  <c r="H1523"/>
  <c r="H1522"/>
  <c r="H1521"/>
  <c r="H1520"/>
  <c r="H1519"/>
  <c r="H1518"/>
  <c r="H1517"/>
  <c r="H1516"/>
  <c r="H1515"/>
  <c r="H1514"/>
  <c r="H1513"/>
  <c r="H1512"/>
  <c r="H1511"/>
  <c r="H1510"/>
  <c r="H1509"/>
  <c r="H1508"/>
  <c r="H1507"/>
  <c r="H1506"/>
  <c r="H1505"/>
  <c r="H1504"/>
  <c r="H1503"/>
  <c r="H1502"/>
  <c r="H1501"/>
  <c r="H1500"/>
  <c r="H1499"/>
  <c r="H1498"/>
  <c r="H1497"/>
  <c r="H1496"/>
  <c r="H1495"/>
  <c r="H1494"/>
  <c r="H1493"/>
  <c r="H1492"/>
  <c r="H1491"/>
  <c r="H1490"/>
  <c r="H1489"/>
  <c r="H1488"/>
  <c r="H1487"/>
  <c r="H1486"/>
  <c r="H1485"/>
  <c r="H1484"/>
  <c r="H1483"/>
  <c r="H1482"/>
  <c r="H1481"/>
  <c r="H1480"/>
  <c r="H1479"/>
  <c r="H1478"/>
  <c r="H1477"/>
  <c r="H1476"/>
  <c r="H1475"/>
  <c r="H1474"/>
  <c r="H1473"/>
  <c r="H1472"/>
  <c r="H1471"/>
  <c r="H1470"/>
  <c r="H1469"/>
  <c r="H1468"/>
  <c r="H1467"/>
  <c r="H1466"/>
  <c r="H1465"/>
  <c r="H1464"/>
  <c r="H1463"/>
  <c r="H1462"/>
  <c r="H1461"/>
  <c r="H1460"/>
  <c r="H1459"/>
  <c r="H1458"/>
  <c r="H1457"/>
  <c r="H1456"/>
  <c r="H1455"/>
  <c r="H1454"/>
  <c r="H1453"/>
  <c r="H1452"/>
  <c r="H1451"/>
  <c r="H1450"/>
  <c r="H1449"/>
  <c r="H1448"/>
  <c r="H1447"/>
  <c r="H1446"/>
  <c r="H1445"/>
  <c r="H1444"/>
  <c r="H1443"/>
  <c r="H1442"/>
  <c r="H1441"/>
  <c r="H1440"/>
  <c r="H1439"/>
  <c r="H1438"/>
  <c r="H1437"/>
  <c r="H1436"/>
  <c r="H1435"/>
  <c r="H1434"/>
  <c r="H1433"/>
  <c r="H1432"/>
  <c r="H1431"/>
  <c r="H1430"/>
  <c r="H1429"/>
  <c r="H1428"/>
  <c r="H1427"/>
  <c r="H1426"/>
  <c r="H1425"/>
  <c r="H1424"/>
  <c r="H1423"/>
  <c r="H1422"/>
  <c r="H1421"/>
  <c r="H1420"/>
  <c r="H1419"/>
  <c r="H1418"/>
  <c r="H1417"/>
  <c r="H1416"/>
  <c r="H1415"/>
  <c r="H1414"/>
  <c r="H1413"/>
  <c r="H1412"/>
  <c r="H1411"/>
  <c r="H1410"/>
  <c r="H1409"/>
  <c r="H1408"/>
  <c r="H1407"/>
  <c r="H1406"/>
  <c r="H1405"/>
  <c r="H1404"/>
  <c r="H1403"/>
  <c r="H1402"/>
  <c r="H1401"/>
  <c r="H1400"/>
  <c r="H1399"/>
  <c r="H1398"/>
  <c r="H1397"/>
  <c r="H1396"/>
  <c r="H1395"/>
  <c r="H1394"/>
  <c r="H1393"/>
  <c r="H1392"/>
  <c r="H1391"/>
  <c r="H1390"/>
  <c r="H1389"/>
  <c r="H1388"/>
  <c r="H1387"/>
  <c r="H1386"/>
  <c r="H1385"/>
  <c r="H1384"/>
  <c r="H1383"/>
  <c r="H1382"/>
  <c r="H1381"/>
  <c r="H1380"/>
  <c r="H1379"/>
  <c r="H1378"/>
  <c r="H1377"/>
  <c r="H1376"/>
  <c r="H1375"/>
  <c r="H1374"/>
  <c r="H1373"/>
  <c r="H1372"/>
  <c r="H1371"/>
  <c r="H1370"/>
  <c r="H1369"/>
  <c r="H1368"/>
  <c r="H1367"/>
  <c r="H1366"/>
  <c r="H1365"/>
  <c r="H1364"/>
  <c r="H1363"/>
  <c r="H1362"/>
  <c r="H1361"/>
  <c r="H1360"/>
  <c r="H1359"/>
  <c r="H1358"/>
  <c r="H1357"/>
  <c r="H1356"/>
  <c r="H1355"/>
  <c r="H1354"/>
  <c r="H1353"/>
  <c r="H1352"/>
  <c r="H1351"/>
  <c r="H1350"/>
  <c r="H1349"/>
  <c r="H1348"/>
  <c r="H1347"/>
  <c r="H1346"/>
  <c r="H1345"/>
  <c r="H1344"/>
  <c r="H1343"/>
  <c r="H1342"/>
  <c r="H1341"/>
  <c r="H1340"/>
  <c r="H1339"/>
  <c r="H1338"/>
  <c r="H1337"/>
  <c r="H1336"/>
  <c r="H1335"/>
  <c r="H1334"/>
  <c r="H1333"/>
  <c r="H1332"/>
  <c r="H1331"/>
  <c r="H1330"/>
  <c r="H1329"/>
  <c r="H1328"/>
  <c r="H1327"/>
  <c r="H1326"/>
  <c r="H1325"/>
  <c r="H1324"/>
  <c r="H1323"/>
  <c r="H1322"/>
  <c r="H1321"/>
  <c r="H1320"/>
  <c r="H1319"/>
  <c r="H1318"/>
  <c r="H1317"/>
  <c r="H1316"/>
  <c r="H1315"/>
  <c r="H1314"/>
  <c r="H1313"/>
  <c r="H1312"/>
  <c r="H1311"/>
  <c r="H1310"/>
  <c r="H1309"/>
  <c r="H1308"/>
  <c r="H1307"/>
  <c r="H1306"/>
  <c r="H1305"/>
  <c r="H1304"/>
  <c r="H1303"/>
  <c r="H1302"/>
  <c r="H1301"/>
  <c r="H1300"/>
  <c r="H1299"/>
  <c r="H1298"/>
  <c r="H1297"/>
  <c r="H1296"/>
  <c r="H1295"/>
  <c r="H1294"/>
  <c r="H1293"/>
  <c r="H1292"/>
  <c r="H1291"/>
  <c r="H1290"/>
  <c r="H1289"/>
  <c r="H1288"/>
  <c r="H1287"/>
  <c r="H1286"/>
  <c r="H1285"/>
  <c r="H1284"/>
  <c r="H1283"/>
  <c r="H1282"/>
  <c r="H1281"/>
  <c r="H1280"/>
  <c r="H1279"/>
  <c r="H1278"/>
  <c r="H1277"/>
  <c r="H1276"/>
  <c r="H1275"/>
  <c r="H1274"/>
  <c r="H1273"/>
  <c r="H1272"/>
  <c r="H1271"/>
  <c r="H1270"/>
  <c r="H1269"/>
  <c r="H1268"/>
  <c r="H1267"/>
  <c r="H1266"/>
  <c r="H1265"/>
  <c r="H1264"/>
  <c r="H1263"/>
  <c r="H1262"/>
  <c r="H1261"/>
  <c r="H1260"/>
  <c r="H1259"/>
  <c r="H1258"/>
  <c r="H1257"/>
  <c r="H1256"/>
  <c r="H1255"/>
  <c r="H1254"/>
  <c r="H1253"/>
  <c r="H1252"/>
  <c r="H1251"/>
  <c r="H1250"/>
  <c r="H1249"/>
  <c r="H1248"/>
  <c r="H1247"/>
  <c r="H1246"/>
  <c r="H1245"/>
  <c r="H1244"/>
  <c r="H1243"/>
  <c r="H1242"/>
  <c r="H1241"/>
  <c r="H1240"/>
  <c r="H1239"/>
  <c r="H1238"/>
  <c r="H1237"/>
  <c r="H1236"/>
  <c r="H1235"/>
  <c r="H1234"/>
  <c r="H1233"/>
  <c r="H1232"/>
  <c r="H1231"/>
  <c r="H1230"/>
  <c r="H1229"/>
  <c r="H1228"/>
  <c r="H1227"/>
  <c r="H1226"/>
  <c r="H1225"/>
  <c r="H1224"/>
  <c r="H1223"/>
  <c r="H1222"/>
  <c r="H1221"/>
  <c r="H1220"/>
  <c r="H1219"/>
  <c r="H1218"/>
  <c r="H1217"/>
  <c r="H1216"/>
  <c r="H1215"/>
  <c r="H1214"/>
  <c r="H1213"/>
  <c r="H1212"/>
  <c r="H1211"/>
  <c r="H1210"/>
  <c r="H1209"/>
  <c r="H1208"/>
  <c r="H1207"/>
  <c r="H1206"/>
  <c r="H1205"/>
  <c r="H1204"/>
  <c r="H1203"/>
  <c r="H1202"/>
  <c r="H1201"/>
  <c r="H1200"/>
  <c r="H1199"/>
  <c r="H1198"/>
  <c r="H1197"/>
  <c r="H1196"/>
  <c r="H1195"/>
  <c r="H1194"/>
  <c r="H1193"/>
  <c r="H1192"/>
  <c r="H1191"/>
  <c r="H1190"/>
  <c r="H1189"/>
  <c r="H1188"/>
  <c r="H1187"/>
  <c r="H1186"/>
  <c r="H1185"/>
  <c r="H1184"/>
  <c r="H1183"/>
  <c r="H1182"/>
  <c r="H1181"/>
  <c r="H1180"/>
  <c r="H1179"/>
  <c r="H1178"/>
  <c r="H1177"/>
  <c r="H1176"/>
  <c r="H1175"/>
  <c r="H1174"/>
  <c r="H1173"/>
  <c r="H1172"/>
  <c r="H1171"/>
  <c r="H1170"/>
  <c r="H1169"/>
  <c r="H1168"/>
  <c r="H1167"/>
  <c r="H1166"/>
  <c r="H1165"/>
  <c r="H1164"/>
  <c r="H1163"/>
  <c r="H1162"/>
  <c r="H1161"/>
  <c r="H1160"/>
  <c r="H1159"/>
  <c r="H1158"/>
  <c r="H1157"/>
  <c r="H1156"/>
  <c r="H1155"/>
  <c r="H1154"/>
  <c r="H1153"/>
  <c r="H1152"/>
  <c r="H1151"/>
  <c r="H1150"/>
  <c r="H1149"/>
  <c r="H1148"/>
  <c r="H1147"/>
  <c r="H1146"/>
  <c r="H1145"/>
  <c r="H1144"/>
  <c r="H1143"/>
  <c r="H1142"/>
  <c r="H1141"/>
  <c r="H1140"/>
  <c r="H1139"/>
  <c r="H1138"/>
  <c r="H1137"/>
  <c r="H1136"/>
  <c r="H1135"/>
  <c r="H1134"/>
  <c r="H1133"/>
  <c r="H1132"/>
  <c r="H1131"/>
  <c r="H1130"/>
  <c r="H1129"/>
  <c r="H1128"/>
  <c r="H1127"/>
  <c r="H1126"/>
  <c r="H1125"/>
  <c r="H1124"/>
  <c r="H1123"/>
  <c r="H1122"/>
  <c r="H1121"/>
  <c r="H1120"/>
  <c r="H1119"/>
  <c r="H1118"/>
  <c r="H1117"/>
  <c r="H1116"/>
  <c r="H1115"/>
  <c r="H1114"/>
  <c r="H1113"/>
  <c r="H1112"/>
  <c r="H1111"/>
  <c r="H1110"/>
  <c r="H1109"/>
  <c r="H1108"/>
  <c r="H1107"/>
  <c r="H1106"/>
  <c r="H1105"/>
  <c r="H1104"/>
  <c r="H1103"/>
  <c r="H1102"/>
  <c r="H1101"/>
  <c r="H1100"/>
  <c r="H1099"/>
  <c r="H1098"/>
  <c r="H1097"/>
  <c r="H1096"/>
  <c r="H1095"/>
  <c r="H1094"/>
  <c r="H1093"/>
  <c r="H1092"/>
  <c r="H1091"/>
  <c r="H1090"/>
  <c r="H1089"/>
  <c r="H1088"/>
  <c r="H1087"/>
  <c r="H1086"/>
  <c r="H1085"/>
  <c r="H1084"/>
  <c r="H1083"/>
  <c r="H1082"/>
  <c r="H1081"/>
  <c r="H1080"/>
  <c r="H1079"/>
  <c r="H1078"/>
  <c r="H1077"/>
  <c r="H1076"/>
  <c r="H1075"/>
  <c r="H1074"/>
  <c r="H1073"/>
  <c r="H1072"/>
  <c r="H1071"/>
  <c r="H1070"/>
  <c r="H1069"/>
  <c r="H1068"/>
  <c r="H1067"/>
  <c r="H1066"/>
  <c r="H1065"/>
  <c r="H1064"/>
  <c r="H1063"/>
  <c r="H1062"/>
  <c r="H1061"/>
  <c r="H1060"/>
  <c r="H1059"/>
  <c r="H1058"/>
  <c r="H1057"/>
  <c r="H1056"/>
  <c r="H1055"/>
  <c r="H1054"/>
  <c r="H1053"/>
  <c r="H1052"/>
  <c r="H1051"/>
  <c r="H1050"/>
  <c r="H1049"/>
  <c r="H1048"/>
  <c r="H1047"/>
  <c r="H1046"/>
  <c r="H1045"/>
  <c r="H1044"/>
  <c r="H1043"/>
  <c r="H1042"/>
  <c r="H1041"/>
  <c r="H1040"/>
  <c r="H1039"/>
  <c r="H1038"/>
  <c r="H1037"/>
  <c r="H1036"/>
  <c r="H1035"/>
  <c r="H1034"/>
  <c r="H1033"/>
  <c r="H1032"/>
  <c r="H1031"/>
  <c r="H1030"/>
  <c r="H1029"/>
  <c r="H1028"/>
  <c r="H1027"/>
  <c r="H1026"/>
  <c r="H1025"/>
  <c r="H1024"/>
  <c r="H1023"/>
  <c r="H1022"/>
  <c r="H1021"/>
  <c r="H1020"/>
  <c r="H1019"/>
  <c r="H1018"/>
  <c r="H1017"/>
  <c r="H1016"/>
  <c r="H1015"/>
  <c r="H1014"/>
  <c r="H1013"/>
  <c r="H1012"/>
  <c r="H1011"/>
  <c r="H1010"/>
  <c r="H1009"/>
  <c r="H1008"/>
  <c r="H1007"/>
  <c r="H1006"/>
  <c r="H1005"/>
  <c r="H1004"/>
  <c r="H1003"/>
  <c r="H1002"/>
  <c r="H1001"/>
  <c r="H1000"/>
  <c r="H999"/>
  <c r="H998"/>
  <c r="H997"/>
  <c r="H996"/>
  <c r="H995"/>
  <c r="H994"/>
  <c r="H993"/>
  <c r="H992"/>
  <c r="H991"/>
  <c r="H990"/>
  <c r="H989"/>
  <c r="H988"/>
  <c r="H987"/>
  <c r="H986"/>
  <c r="H985"/>
  <c r="H984"/>
  <c r="H983"/>
  <c r="H982"/>
  <c r="H981"/>
  <c r="H980"/>
  <c r="H979"/>
  <c r="H978"/>
  <c r="H977"/>
  <c r="H976"/>
  <c r="H975"/>
  <c r="H974"/>
  <c r="H973"/>
  <c r="H972"/>
  <c r="H971"/>
  <c r="H970"/>
  <c r="H969"/>
  <c r="H968"/>
  <c r="H967"/>
  <c r="H966"/>
  <c r="H965"/>
  <c r="H964"/>
  <c r="H963"/>
  <c r="H962"/>
  <c r="H961"/>
  <c r="H960"/>
  <c r="H959"/>
  <c r="H958"/>
  <c r="H957"/>
  <c r="H956"/>
  <c r="H955"/>
  <c r="H954"/>
  <c r="H953"/>
  <c r="H952"/>
  <c r="H951"/>
  <c r="H950"/>
  <c r="H949"/>
  <c r="H948"/>
  <c r="H947"/>
  <c r="H946"/>
  <c r="H945"/>
  <c r="H944"/>
  <c r="H943"/>
  <c r="H942"/>
  <c r="H941"/>
  <c r="H940"/>
  <c r="H939"/>
  <c r="H938"/>
  <c r="H937"/>
  <c r="H936"/>
  <c r="H935"/>
  <c r="H934"/>
  <c r="H933"/>
  <c r="H932"/>
  <c r="H931"/>
  <c r="H930"/>
  <c r="H929"/>
  <c r="H928"/>
  <c r="H927"/>
  <c r="H926"/>
  <c r="H925"/>
  <c r="H924"/>
  <c r="H923"/>
  <c r="H922"/>
  <c r="H921"/>
  <c r="H920"/>
  <c r="H919"/>
  <c r="H918"/>
  <c r="H917"/>
  <c r="H916"/>
  <c r="H915"/>
  <c r="H914"/>
  <c r="H913"/>
  <c r="H912"/>
  <c r="H911"/>
  <c r="H910"/>
  <c r="H909"/>
  <c r="H908"/>
  <c r="H907"/>
  <c r="H906"/>
  <c r="H905"/>
  <c r="H904"/>
  <c r="H903"/>
  <c r="H902"/>
  <c r="H901"/>
  <c r="H900"/>
  <c r="H899"/>
  <c r="H898"/>
  <c r="H897"/>
  <c r="H896"/>
  <c r="H895"/>
  <c r="H894"/>
  <c r="H893"/>
  <c r="H892"/>
  <c r="H891"/>
  <c r="H890"/>
  <c r="H889"/>
  <c r="H888"/>
  <c r="H887"/>
  <c r="H886"/>
  <c r="H885"/>
  <c r="H884"/>
  <c r="H883"/>
  <c r="H882"/>
  <c r="H881"/>
  <c r="H880"/>
  <c r="H879"/>
  <c r="H878"/>
  <c r="H877"/>
  <c r="H876"/>
  <c r="H875"/>
  <c r="H874"/>
  <c r="H873"/>
  <c r="H872"/>
  <c r="H871"/>
  <c r="H870"/>
  <c r="H869"/>
  <c r="H868"/>
  <c r="H867"/>
  <c r="H866"/>
  <c r="H865"/>
  <c r="H864"/>
  <c r="H863"/>
  <c r="H862"/>
  <c r="H861"/>
  <c r="H860"/>
  <c r="H859"/>
  <c r="H858"/>
  <c r="H857"/>
  <c r="H856"/>
  <c r="H855"/>
  <c r="H854"/>
  <c r="H853"/>
  <c r="H852"/>
  <c r="H851"/>
  <c r="H850"/>
  <c r="H849"/>
  <c r="H848"/>
  <c r="H847"/>
  <c r="H846"/>
  <c r="H845"/>
  <c r="H844"/>
  <c r="H843"/>
  <c r="H842"/>
  <c r="H841"/>
  <c r="H840"/>
  <c r="H839"/>
  <c r="H838"/>
  <c r="H837"/>
  <c r="H836"/>
  <c r="H835"/>
  <c r="H834"/>
  <c r="H833"/>
  <c r="H832"/>
  <c r="H831"/>
  <c r="H830"/>
  <c r="H829"/>
  <c r="H828"/>
  <c r="H827"/>
  <c r="H826"/>
  <c r="H825"/>
  <c r="H824"/>
  <c r="H823"/>
  <c r="H822"/>
  <c r="H821"/>
  <c r="H820"/>
  <c r="H819"/>
  <c r="H818"/>
  <c r="H817"/>
  <c r="H816"/>
  <c r="H815"/>
  <c r="H814"/>
  <c r="H813"/>
  <c r="H812"/>
  <c r="H811"/>
  <c r="H810"/>
  <c r="H809"/>
  <c r="H808"/>
  <c r="H807"/>
  <c r="H806"/>
  <c r="H805"/>
  <c r="H804"/>
  <c r="H803"/>
  <c r="H802"/>
  <c r="H801"/>
  <c r="H800"/>
  <c r="H799"/>
  <c r="H798"/>
  <c r="H797"/>
  <c r="H796"/>
  <c r="H795"/>
  <c r="H794"/>
  <c r="H793"/>
  <c r="H792"/>
  <c r="H791"/>
  <c r="H790"/>
  <c r="H789"/>
  <c r="H788"/>
  <c r="H787"/>
  <c r="H786"/>
  <c r="H785"/>
  <c r="H784"/>
  <c r="H783"/>
  <c r="H782"/>
  <c r="H781"/>
  <c r="H780"/>
  <c r="H779"/>
  <c r="H778"/>
  <c r="H777"/>
  <c r="H776"/>
  <c r="H775"/>
  <c r="H774"/>
  <c r="H773"/>
  <c r="H772"/>
  <c r="H771"/>
  <c r="H770"/>
  <c r="H769"/>
  <c r="H768"/>
  <c r="H767"/>
  <c r="H766"/>
  <c r="H765"/>
  <c r="H764"/>
  <c r="H763"/>
  <c r="H762"/>
  <c r="H761"/>
  <c r="H760"/>
  <c r="H759"/>
  <c r="H758"/>
  <c r="H757"/>
  <c r="H756"/>
  <c r="H755"/>
  <c r="H754"/>
  <c r="H753"/>
  <c r="H752"/>
  <c r="H751"/>
  <c r="H750"/>
  <c r="H749"/>
  <c r="H748"/>
  <c r="H747"/>
  <c r="H746"/>
  <c r="H745"/>
  <c r="H744"/>
  <c r="H743"/>
  <c r="H742"/>
  <c r="H741"/>
  <c r="H740"/>
  <c r="H739"/>
  <c r="H738"/>
  <c r="H737"/>
  <c r="H736"/>
  <c r="H735"/>
  <c r="H734"/>
  <c r="H733"/>
  <c r="H732"/>
  <c r="H731"/>
  <c r="H730"/>
  <c r="H729"/>
  <c r="H728"/>
  <c r="H727"/>
  <c r="H726"/>
  <c r="H725"/>
  <c r="H724"/>
  <c r="H723"/>
  <c r="H722"/>
  <c r="H721"/>
  <c r="H720"/>
  <c r="H719"/>
  <c r="H718"/>
  <c r="H717"/>
  <c r="H716"/>
  <c r="H715"/>
  <c r="H714"/>
  <c r="H713"/>
  <c r="H712"/>
  <c r="H711"/>
  <c r="H710"/>
  <c r="H709"/>
  <c r="H708"/>
  <c r="H707"/>
  <c r="H706"/>
  <c r="H705"/>
  <c r="H704"/>
  <c r="H703"/>
  <c r="H702"/>
  <c r="H701"/>
  <c r="H700"/>
  <c r="H699"/>
  <c r="H698"/>
  <c r="H697"/>
  <c r="H696"/>
  <c r="H695"/>
  <c r="H694"/>
  <c r="H693"/>
  <c r="H692"/>
  <c r="H691"/>
  <c r="H690"/>
  <c r="H689"/>
  <c r="H688"/>
  <c r="H687"/>
  <c r="H686"/>
  <c r="H685"/>
  <c r="H684"/>
  <c r="H683"/>
  <c r="H682"/>
  <c r="H681"/>
  <c r="H680"/>
  <c r="H679"/>
  <c r="H678"/>
  <c r="H677"/>
  <c r="H676"/>
  <c r="H675"/>
  <c r="H674"/>
  <c r="H673"/>
  <c r="H672"/>
  <c r="H671"/>
  <c r="H670"/>
  <c r="H669"/>
  <c r="H668"/>
  <c r="H667"/>
  <c r="H666"/>
  <c r="H665"/>
  <c r="H664"/>
  <c r="H663"/>
  <c r="H662"/>
  <c r="H661"/>
  <c r="H660"/>
  <c r="H659"/>
  <c r="H658"/>
  <c r="H657"/>
  <c r="H656"/>
  <c r="H655"/>
  <c r="H654"/>
  <c r="H653"/>
  <c r="H652"/>
  <c r="H651"/>
  <c r="H650"/>
  <c r="H649"/>
  <c r="H648"/>
  <c r="H647"/>
  <c r="H646"/>
  <c r="H645"/>
  <c r="H644"/>
  <c r="H643"/>
  <c r="H642"/>
  <c r="H641"/>
  <c r="H640"/>
  <c r="H639"/>
  <c r="H638"/>
  <c r="H637"/>
  <c r="H636"/>
  <c r="H635"/>
  <c r="H634"/>
  <c r="H633"/>
  <c r="H632"/>
  <c r="H631"/>
  <c r="H630"/>
  <c r="H629"/>
  <c r="H628"/>
  <c r="H627"/>
  <c r="H626"/>
  <c r="H625"/>
  <c r="H624"/>
  <c r="H623"/>
  <c r="H622"/>
  <c r="H621"/>
  <c r="H620"/>
  <c r="H619"/>
  <c r="H618"/>
  <c r="H617"/>
  <c r="H616"/>
  <c r="H615"/>
  <c r="H614"/>
  <c r="H613"/>
  <c r="H612"/>
  <c r="H611"/>
  <c r="H610"/>
  <c r="H609"/>
  <c r="H608"/>
  <c r="H607"/>
  <c r="H606"/>
  <c r="H605"/>
  <c r="H604"/>
  <c r="H603"/>
  <c r="H602"/>
  <c r="H601"/>
  <c r="H600"/>
  <c r="H599"/>
  <c r="H598"/>
  <c r="H597"/>
  <c r="H596"/>
  <c r="H595"/>
  <c r="H594"/>
  <c r="H593"/>
  <c r="H592"/>
  <c r="H591"/>
  <c r="H590"/>
  <c r="H589"/>
  <c r="H588"/>
  <c r="H587"/>
  <c r="H586"/>
  <c r="H585"/>
  <c r="H584"/>
  <c r="H583"/>
  <c r="H582"/>
  <c r="H581"/>
  <c r="H580"/>
  <c r="H579"/>
  <c r="H578"/>
  <c r="H577"/>
  <c r="H576"/>
  <c r="H575"/>
  <c r="H574"/>
  <c r="H573"/>
  <c r="H572"/>
  <c r="H571"/>
  <c r="H570"/>
  <c r="H569"/>
  <c r="H568"/>
  <c r="H567"/>
  <c r="H566"/>
  <c r="H565"/>
  <c r="H564"/>
  <c r="H563"/>
  <c r="H562"/>
  <c r="H561"/>
  <c r="H560"/>
  <c r="H559"/>
  <c r="H558"/>
  <c r="H557"/>
  <c r="H556"/>
  <c r="H555"/>
  <c r="H554"/>
  <c r="H553"/>
  <c r="H552"/>
  <c r="H551"/>
  <c r="H550"/>
  <c r="H549"/>
  <c r="H548"/>
  <c r="H547"/>
  <c r="H546"/>
  <c r="H545"/>
  <c r="H544"/>
  <c r="H543"/>
  <c r="H542"/>
  <c r="H541"/>
  <c r="H540"/>
  <c r="H539"/>
  <c r="H538"/>
  <c r="H537"/>
  <c r="H536"/>
  <c r="H535"/>
  <c r="H534"/>
  <c r="H533"/>
  <c r="H532"/>
  <c r="H531"/>
  <c r="H530"/>
  <c r="H529"/>
  <c r="H528"/>
  <c r="H527"/>
  <c r="H526"/>
  <c r="H525"/>
  <c r="H524"/>
  <c r="H523"/>
  <c r="H522"/>
  <c r="H521"/>
  <c r="H520"/>
  <c r="H519"/>
  <c r="H518"/>
  <c r="H517"/>
  <c r="H516"/>
  <c r="H515"/>
  <c r="H514"/>
  <c r="H513"/>
  <c r="H512"/>
  <c r="H511"/>
  <c r="H510"/>
  <c r="H509"/>
  <c r="H508"/>
  <c r="H507"/>
  <c r="H506"/>
  <c r="H505"/>
  <c r="H504"/>
  <c r="H503"/>
  <c r="H502"/>
  <c r="H501"/>
  <c r="H500"/>
  <c r="H499"/>
  <c r="H498"/>
  <c r="H497"/>
  <c r="H496"/>
  <c r="H495"/>
  <c r="H494"/>
  <c r="H493"/>
  <c r="H492"/>
  <c r="H491"/>
  <c r="H490"/>
  <c r="H489"/>
  <c r="H488"/>
  <c r="H487"/>
  <c r="H486"/>
  <c r="H485"/>
  <c r="H484"/>
  <c r="H483"/>
  <c r="H482"/>
  <c r="H481"/>
  <c r="H480"/>
  <c r="H479"/>
  <c r="H478"/>
  <c r="H477"/>
  <c r="H476"/>
  <c r="H475"/>
  <c r="H474"/>
  <c r="H473"/>
  <c r="H472"/>
  <c r="H471"/>
  <c r="H470"/>
  <c r="H469"/>
  <c r="H468"/>
  <c r="H467"/>
  <c r="H466"/>
  <c r="H465"/>
  <c r="H464"/>
  <c r="H463"/>
  <c r="H462"/>
  <c r="H461"/>
  <c r="H460"/>
  <c r="H459"/>
  <c r="H458"/>
  <c r="H457"/>
  <c r="H456"/>
  <c r="H455"/>
  <c r="H454"/>
  <c r="H453"/>
  <c r="H452"/>
  <c r="H451"/>
  <c r="H450"/>
  <c r="H449"/>
  <c r="H448"/>
  <c r="H447"/>
  <c r="H446"/>
  <c r="H445"/>
  <c r="H444"/>
  <c r="H443"/>
  <c r="H442"/>
  <c r="H441"/>
  <c r="H440"/>
  <c r="H439"/>
  <c r="H438"/>
  <c r="H437"/>
  <c r="H436"/>
  <c r="H435"/>
  <c r="H434"/>
  <c r="H433"/>
  <c r="H432"/>
  <c r="H431"/>
  <c r="H430"/>
  <c r="H429"/>
  <c r="H428"/>
  <c r="H427"/>
  <c r="H426"/>
  <c r="H425"/>
  <c r="H424"/>
  <c r="H423"/>
  <c r="H422"/>
  <c r="H421"/>
  <c r="H420"/>
  <c r="H419"/>
  <c r="H418"/>
  <c r="H417"/>
  <c r="H416"/>
  <c r="H415"/>
  <c r="H414"/>
  <c r="H413"/>
  <c r="H412"/>
  <c r="H411"/>
  <c r="H410"/>
  <c r="H409"/>
  <c r="H408"/>
  <c r="H407"/>
  <c r="H406"/>
  <c r="H405"/>
  <c r="H404"/>
  <c r="H403"/>
  <c r="H402"/>
  <c r="H401"/>
  <c r="H400"/>
  <c r="H399"/>
  <c r="H398"/>
  <c r="H397"/>
  <c r="H396"/>
  <c r="H395"/>
  <c r="H394"/>
  <c r="H393"/>
  <c r="H392"/>
  <c r="H391"/>
  <c r="H390"/>
  <c r="H389"/>
  <c r="H388"/>
  <c r="H387"/>
  <c r="H386"/>
  <c r="H385"/>
  <c r="H384"/>
  <c r="H383"/>
  <c r="H382"/>
  <c r="H381"/>
  <c r="H380"/>
  <c r="H379"/>
  <c r="H378"/>
  <c r="H377"/>
  <c r="H376"/>
  <c r="H375"/>
  <c r="H374"/>
  <c r="H373"/>
  <c r="H372"/>
  <c r="H371"/>
  <c r="H370"/>
  <c r="H369"/>
  <c r="H368"/>
  <c r="H367"/>
  <c r="H366"/>
  <c r="H365"/>
  <c r="H364"/>
  <c r="H363"/>
  <c r="H362"/>
  <c r="H361"/>
  <c r="H360"/>
  <c r="H359"/>
  <c r="H358"/>
  <c r="H357"/>
  <c r="H356"/>
  <c r="H355"/>
  <c r="H354"/>
  <c r="H353"/>
  <c r="H352"/>
  <c r="H351"/>
  <c r="H350"/>
  <c r="H349"/>
  <c r="H348"/>
  <c r="H347"/>
  <c r="H346"/>
  <c r="H345"/>
  <c r="H344"/>
  <c r="H343"/>
  <c r="H342"/>
  <c r="H341"/>
  <c r="H340"/>
  <c r="H339"/>
  <c r="H338"/>
  <c r="H337"/>
  <c r="H336"/>
  <c r="H335"/>
  <c r="H334"/>
  <c r="H333"/>
  <c r="H332"/>
  <c r="H331"/>
  <c r="H330"/>
  <c r="H329"/>
  <c r="H328"/>
  <c r="H327"/>
  <c r="H326"/>
  <c r="H325"/>
  <c r="H324"/>
  <c r="H323"/>
  <c r="H322"/>
  <c r="H321"/>
  <c r="H320"/>
  <c r="H319"/>
  <c r="H318"/>
  <c r="H317"/>
  <c r="H316"/>
  <c r="H315"/>
  <c r="H314"/>
  <c r="H313"/>
  <c r="H312"/>
  <c r="H311"/>
  <c r="H310"/>
  <c r="H309"/>
  <c r="H308"/>
  <c r="H307"/>
  <c r="H306"/>
  <c r="H305"/>
  <c r="H304"/>
  <c r="H303"/>
  <c r="H302"/>
  <c r="H301"/>
  <c r="H300"/>
  <c r="H299"/>
  <c r="H298"/>
  <c r="H297"/>
  <c r="H296"/>
  <c r="H295"/>
  <c r="H294"/>
  <c r="H293"/>
  <c r="H292"/>
  <c r="H291"/>
  <c r="H290"/>
  <c r="H289"/>
  <c r="H288"/>
  <c r="H287"/>
  <c r="H286"/>
  <c r="H285"/>
  <c r="H284"/>
  <c r="H283"/>
  <c r="H282"/>
  <c r="H281"/>
  <c r="H280"/>
  <c r="H279"/>
  <c r="H278"/>
  <c r="H277"/>
  <c r="H276"/>
  <c r="H275"/>
  <c r="H274"/>
  <c r="H273"/>
  <c r="H272"/>
  <c r="H271"/>
  <c r="H270"/>
  <c r="H269"/>
  <c r="H268"/>
  <c r="H267"/>
  <c r="H266"/>
  <c r="H265"/>
  <c r="H264"/>
  <c r="H263"/>
  <c r="H262"/>
  <c r="H261"/>
  <c r="H260"/>
  <c r="H259"/>
  <c r="H258"/>
  <c r="H257"/>
  <c r="H256"/>
  <c r="H255"/>
  <c r="H254"/>
  <c r="H253"/>
  <c r="H252"/>
  <c r="H251"/>
  <c r="H250"/>
  <c r="H249"/>
  <c r="H248"/>
  <c r="H247"/>
  <c r="H246"/>
  <c r="H245"/>
  <c r="H244"/>
  <c r="H243"/>
  <c r="H242"/>
  <c r="H241"/>
  <c r="H240"/>
  <c r="H239"/>
  <c r="H238"/>
  <c r="H237"/>
  <c r="H236"/>
  <c r="H235"/>
  <c r="H234"/>
  <c r="H233"/>
  <c r="H232"/>
  <c r="H231"/>
  <c r="H230"/>
  <c r="H229"/>
  <c r="H228"/>
  <c r="H227"/>
  <c r="H226"/>
  <c r="H225"/>
  <c r="H224"/>
  <c r="H223"/>
  <c r="H222"/>
  <c r="H221"/>
  <c r="H220"/>
  <c r="H219"/>
  <c r="H218"/>
  <c r="H217"/>
  <c r="H216"/>
  <c r="H215"/>
  <c r="H214"/>
  <c r="H213"/>
  <c r="H212"/>
  <c r="H211"/>
  <c r="H210"/>
  <c r="H209"/>
  <c r="H208"/>
  <c r="H207"/>
  <c r="H206"/>
  <c r="H205"/>
  <c r="H204"/>
  <c r="H203"/>
  <c r="H202"/>
  <c r="H201"/>
  <c r="H200"/>
  <c r="H199"/>
  <c r="H198"/>
  <c r="H197"/>
  <c r="H196"/>
  <c r="H195"/>
  <c r="H194"/>
  <c r="H193"/>
  <c r="H192"/>
  <c r="H191"/>
  <c r="H190"/>
  <c r="H189"/>
  <c r="H188"/>
  <c r="H187"/>
  <c r="H186"/>
  <c r="H185"/>
  <c r="H184"/>
  <c r="H183"/>
  <c r="H182"/>
  <c r="H181"/>
  <c r="H180"/>
  <c r="H179"/>
  <c r="H178"/>
  <c r="H177"/>
  <c r="H176"/>
  <c r="H175"/>
  <c r="H174"/>
  <c r="H173"/>
  <c r="H172"/>
  <c r="H171"/>
  <c r="H170"/>
  <c r="H169"/>
  <c r="H168"/>
  <c r="H167"/>
  <c r="H166"/>
  <c r="H165"/>
  <c r="H164"/>
  <c r="H163"/>
  <c r="H162"/>
  <c r="H161"/>
  <c r="H160"/>
  <c r="H159"/>
  <c r="H158"/>
  <c r="H157"/>
  <c r="H156"/>
  <c r="H155"/>
  <c r="H154"/>
  <c r="H153"/>
  <c r="H152"/>
  <c r="H151"/>
  <c r="H150"/>
  <c r="H149"/>
  <c r="H148"/>
  <c r="H147"/>
  <c r="H146"/>
  <c r="H145"/>
  <c r="H144"/>
  <c r="H143"/>
  <c r="H142"/>
  <c r="H141"/>
  <c r="H140"/>
  <c r="H139"/>
  <c r="H138"/>
  <c r="H137"/>
  <c r="H136"/>
  <c r="H135"/>
  <c r="H134"/>
  <c r="H133"/>
  <c r="H132"/>
  <c r="H131"/>
  <c r="H130"/>
  <c r="H129"/>
  <c r="H128"/>
  <c r="H127"/>
  <c r="H126"/>
  <c r="H125"/>
  <c r="H124"/>
  <c r="H123"/>
  <c r="H122"/>
  <c r="H121"/>
  <c r="H120"/>
  <c r="H119"/>
  <c r="H118"/>
  <c r="H117"/>
  <c r="H116"/>
  <c r="H115"/>
  <c r="H114"/>
  <c r="H113"/>
  <c r="H112"/>
  <c r="H111"/>
  <c r="H110"/>
  <c r="H109"/>
  <c r="H108"/>
  <c r="H107"/>
  <c r="H106"/>
  <c r="H105"/>
  <c r="H104"/>
  <c r="H103"/>
  <c r="H102"/>
  <c r="H101"/>
  <c r="H100"/>
  <c r="H99"/>
  <c r="H98"/>
  <c r="H97"/>
  <c r="H96"/>
  <c r="H95"/>
  <c r="H94"/>
  <c r="H93"/>
  <c r="H92"/>
  <c r="H91"/>
  <c r="H90"/>
  <c r="H89"/>
  <c r="H88"/>
  <c r="H87"/>
  <c r="H86"/>
  <c r="H85"/>
  <c r="H84"/>
  <c r="H83"/>
  <c r="H82"/>
  <c r="H81"/>
  <c r="H80"/>
  <c r="H79"/>
  <c r="H78"/>
  <c r="H77"/>
  <c r="H76"/>
  <c r="H75"/>
  <c r="H74"/>
  <c r="H73"/>
  <c r="H72"/>
  <c r="H71"/>
  <c r="H70"/>
  <c r="H69"/>
  <c r="H68"/>
  <c r="H67"/>
  <c r="H66"/>
  <c r="H65"/>
  <c r="H64"/>
  <c r="H63"/>
  <c r="H62"/>
  <c r="H61"/>
  <c r="H60"/>
  <c r="H59"/>
  <c r="H58"/>
  <c r="H57"/>
  <c r="H56"/>
  <c r="H55"/>
  <c r="H54"/>
  <c r="H53"/>
  <c r="H52"/>
  <c r="H51"/>
  <c r="H50"/>
  <c r="H49"/>
  <c r="H48"/>
  <c r="H47"/>
  <c r="H46"/>
  <c r="H45"/>
  <c r="H44"/>
  <c r="H43"/>
  <c r="H42"/>
  <c r="H41"/>
  <c r="H40"/>
  <c r="H39"/>
  <c r="H38"/>
  <c r="H37"/>
  <c r="H36"/>
  <c r="H35"/>
  <c r="H34"/>
  <c r="H33"/>
  <c r="H32"/>
  <c r="H31"/>
  <c r="H30"/>
  <c r="H29"/>
  <c r="H28"/>
  <c r="H27"/>
  <c r="H26"/>
  <c r="H25"/>
  <c r="H24"/>
  <c r="H23"/>
  <c r="H22"/>
  <c r="H21"/>
  <c r="H20"/>
  <c r="H19"/>
  <c r="H18"/>
  <c r="H17"/>
  <c r="H16"/>
  <c r="H15"/>
  <c r="H14"/>
  <c r="H13"/>
  <c r="H12"/>
  <c r="H11"/>
  <c r="H10"/>
  <c r="H9"/>
  <c r="H8"/>
  <c r="H7"/>
  <c r="H6"/>
  <c r="H5"/>
  <c r="H4"/>
  <c r="H3"/>
  <c r="H2"/>
  <c r="F7510" i="8"/>
  <c r="F7509"/>
  <c r="F7508"/>
  <c r="F7507"/>
  <c r="F7506"/>
  <c r="F7505"/>
  <c r="F7504"/>
  <c r="F7503"/>
  <c r="F7502"/>
  <c r="F7501"/>
  <c r="F7500"/>
  <c r="F7499"/>
  <c r="F7498"/>
  <c r="F7497"/>
  <c r="F7496"/>
  <c r="F7495"/>
  <c r="F7494"/>
  <c r="F7493"/>
  <c r="F7492"/>
  <c r="F7491"/>
  <c r="F7490"/>
  <c r="F7489"/>
  <c r="F7488"/>
  <c r="F7487"/>
  <c r="F7486"/>
  <c r="F7485"/>
  <c r="F7484"/>
  <c r="F7483"/>
  <c r="F7482"/>
  <c r="F7481"/>
  <c r="F7480"/>
  <c r="F7479"/>
  <c r="F7478"/>
  <c r="F7477"/>
  <c r="F7476"/>
  <c r="F7475"/>
  <c r="F7474"/>
  <c r="F7473"/>
  <c r="F7472"/>
  <c r="F7471"/>
  <c r="F7470"/>
  <c r="F7469"/>
  <c r="F7468"/>
  <c r="F7467"/>
  <c r="F7466"/>
  <c r="F7465"/>
  <c r="F7464"/>
  <c r="F7463"/>
  <c r="F7462"/>
  <c r="F7461"/>
  <c r="F7460"/>
  <c r="F7459"/>
  <c r="F7458"/>
  <c r="F7457"/>
  <c r="F7456"/>
  <c r="F7455"/>
  <c r="F7454"/>
  <c r="F7453"/>
  <c r="F7452"/>
  <c r="F7451"/>
  <c r="F7450"/>
  <c r="F7449"/>
  <c r="F7448"/>
  <c r="F7447"/>
  <c r="F7446"/>
  <c r="F7445"/>
  <c r="F7444"/>
  <c r="F7443"/>
  <c r="F7442"/>
  <c r="F7441"/>
  <c r="F7440"/>
  <c r="F7439"/>
  <c r="F7438"/>
  <c r="F7437"/>
  <c r="F7436"/>
  <c r="F7435"/>
  <c r="F7434"/>
  <c r="F7433"/>
  <c r="F7432"/>
  <c r="F7431"/>
  <c r="F7430"/>
  <c r="F7429"/>
  <c r="F7428"/>
  <c r="F7427"/>
  <c r="F7426"/>
  <c r="F7425"/>
  <c r="F7424"/>
  <c r="F7423"/>
  <c r="F7422"/>
  <c r="F7421"/>
  <c r="F7420"/>
  <c r="F7419"/>
  <c r="F7418"/>
  <c r="F7417"/>
  <c r="F7416"/>
  <c r="F7415"/>
  <c r="F7414"/>
  <c r="F7413"/>
  <c r="F7412"/>
  <c r="F7411"/>
  <c r="F7410"/>
  <c r="F7409"/>
  <c r="F7408"/>
  <c r="F7407"/>
  <c r="F7406"/>
  <c r="F7405"/>
  <c r="F7404"/>
  <c r="F7403"/>
  <c r="F7402"/>
  <c r="F7401"/>
  <c r="F7400"/>
  <c r="F7399"/>
  <c r="F7398"/>
  <c r="F7397"/>
  <c r="F7396"/>
  <c r="F7395"/>
  <c r="F7394"/>
  <c r="F7393"/>
  <c r="F7392"/>
  <c r="F7391"/>
  <c r="F7390"/>
  <c r="F7389"/>
  <c r="F7388"/>
  <c r="F7387"/>
  <c r="F7386"/>
  <c r="F7385"/>
  <c r="F7384"/>
  <c r="F7383"/>
  <c r="F7382"/>
  <c r="F7381"/>
  <c r="F7380"/>
  <c r="F7379"/>
  <c r="F7378"/>
  <c r="F7377"/>
  <c r="F7376"/>
  <c r="F7375"/>
  <c r="F7374"/>
  <c r="F7373"/>
  <c r="F7372"/>
  <c r="F7371"/>
  <c r="F7370"/>
  <c r="F7369"/>
  <c r="F7368"/>
  <c r="F7367"/>
  <c r="F7366"/>
  <c r="F7365"/>
  <c r="F7364"/>
  <c r="F7363"/>
  <c r="F7362"/>
  <c r="F7361"/>
  <c r="F7360"/>
  <c r="F7359"/>
  <c r="F7358"/>
  <c r="F7357"/>
  <c r="F7356"/>
  <c r="F7355"/>
  <c r="F7354"/>
  <c r="F7353"/>
  <c r="F7352"/>
  <c r="F7351"/>
  <c r="F7350"/>
  <c r="F7349"/>
  <c r="F7348"/>
  <c r="F7347"/>
  <c r="F7346"/>
  <c r="F7345"/>
  <c r="F7344"/>
  <c r="F7343"/>
  <c r="F7342"/>
  <c r="F7341"/>
  <c r="F7340"/>
  <c r="F7339"/>
  <c r="F7338"/>
  <c r="F7337"/>
  <c r="F7336"/>
  <c r="F7335"/>
  <c r="F7334"/>
  <c r="F7333"/>
  <c r="F7332"/>
  <c r="F7331"/>
  <c r="F7330"/>
  <c r="F7329"/>
  <c r="F7328"/>
  <c r="F7327"/>
  <c r="F7326"/>
  <c r="F7325"/>
  <c r="F7324"/>
  <c r="F7323"/>
  <c r="F7322"/>
  <c r="F7321"/>
  <c r="F7320"/>
  <c r="F7319"/>
  <c r="F7318"/>
  <c r="F7317"/>
  <c r="F7316"/>
  <c r="F7315"/>
  <c r="F7314"/>
  <c r="F7313"/>
  <c r="F7312"/>
  <c r="F7311"/>
  <c r="F7310"/>
  <c r="F7309"/>
  <c r="F7308"/>
  <c r="F7307"/>
  <c r="F7306"/>
  <c r="F7305"/>
  <c r="F7304"/>
  <c r="F7303"/>
  <c r="F7302"/>
  <c r="F7301"/>
  <c r="F7300"/>
  <c r="F7299"/>
  <c r="F7298"/>
  <c r="F7297"/>
  <c r="F7296"/>
  <c r="F7295"/>
  <c r="F7294"/>
  <c r="F7293"/>
  <c r="F7292"/>
  <c r="F7291"/>
  <c r="F7290"/>
  <c r="F7289"/>
  <c r="F7288"/>
  <c r="F7287"/>
  <c r="F7286"/>
  <c r="F7285"/>
  <c r="F7284"/>
  <c r="F7283"/>
  <c r="F7282"/>
  <c r="F7281"/>
  <c r="F7280"/>
  <c r="F7279"/>
  <c r="F7278"/>
  <c r="F7277"/>
  <c r="F7276"/>
  <c r="F7275"/>
  <c r="F7274"/>
  <c r="F7273"/>
  <c r="F7272"/>
  <c r="F7271"/>
  <c r="F7270"/>
  <c r="F7269"/>
  <c r="F7268"/>
  <c r="F7267"/>
  <c r="F7266"/>
  <c r="F7265"/>
  <c r="F7264"/>
  <c r="F7263"/>
  <c r="F7262"/>
  <c r="F7261"/>
  <c r="F7260"/>
  <c r="F7259"/>
  <c r="F7258"/>
  <c r="F7257"/>
  <c r="F7256"/>
  <c r="F7255"/>
  <c r="F7254"/>
  <c r="F7253"/>
  <c r="F7252"/>
  <c r="F7251"/>
  <c r="F7250"/>
  <c r="F7249"/>
  <c r="F7248"/>
  <c r="F7247"/>
  <c r="F7246"/>
  <c r="F7245"/>
  <c r="F7244"/>
  <c r="F7243"/>
  <c r="F7242"/>
  <c r="F7241"/>
  <c r="F7240"/>
  <c r="F7239"/>
  <c r="F7238"/>
  <c r="F7237"/>
  <c r="F7236"/>
  <c r="F7235"/>
  <c r="F7234"/>
  <c r="F7233"/>
  <c r="F7232"/>
  <c r="F7231"/>
  <c r="F7230"/>
  <c r="F7229"/>
  <c r="F7228"/>
  <c r="F7227"/>
  <c r="F7226"/>
  <c r="F7225"/>
  <c r="F7224"/>
  <c r="F7223"/>
  <c r="F7222"/>
  <c r="F7221"/>
  <c r="F7220"/>
  <c r="F7219"/>
  <c r="F7218"/>
  <c r="F7217"/>
  <c r="F7216"/>
  <c r="F7215"/>
  <c r="F7214"/>
  <c r="F7213"/>
  <c r="F7212"/>
  <c r="F7211"/>
  <c r="F7210"/>
  <c r="F7209"/>
  <c r="F7208"/>
  <c r="F7207"/>
  <c r="F7206"/>
  <c r="F7205"/>
  <c r="F7204"/>
  <c r="F7203"/>
  <c r="F7202"/>
  <c r="F7201"/>
  <c r="F7200"/>
  <c r="F7199"/>
  <c r="F7198"/>
  <c r="F7197"/>
  <c r="F7196"/>
  <c r="F7195"/>
  <c r="F7194"/>
  <c r="F7193"/>
  <c r="F7192"/>
  <c r="F7191"/>
  <c r="F7190"/>
  <c r="F7189"/>
  <c r="F7188"/>
  <c r="F7187"/>
  <c r="F7186"/>
  <c r="F7185"/>
  <c r="F7184"/>
  <c r="F7183"/>
  <c r="F7182"/>
  <c r="F7181"/>
  <c r="F7180"/>
  <c r="F7179"/>
  <c r="F7178"/>
  <c r="F7177"/>
  <c r="F7176"/>
  <c r="F7175"/>
  <c r="F7174"/>
  <c r="F7173"/>
  <c r="F7172"/>
  <c r="F7171"/>
  <c r="F7170"/>
  <c r="F7169"/>
  <c r="F7168"/>
  <c r="F7167"/>
  <c r="F7166"/>
  <c r="F7165"/>
  <c r="F7164"/>
  <c r="F7163"/>
  <c r="F7162"/>
  <c r="F7161"/>
  <c r="F7160"/>
  <c r="F7159"/>
  <c r="F7158"/>
  <c r="F7157"/>
  <c r="F7156"/>
  <c r="F7155"/>
  <c r="F7154"/>
  <c r="F7153"/>
  <c r="F7152"/>
  <c r="F7151"/>
  <c r="F7150"/>
  <c r="F7149"/>
  <c r="F7148"/>
  <c r="F7147"/>
  <c r="F7146"/>
  <c r="F7145"/>
  <c r="F7144"/>
  <c r="F7143"/>
  <c r="F7142"/>
  <c r="F7141"/>
  <c r="F7140"/>
  <c r="F7139"/>
  <c r="F7138"/>
  <c r="F7137"/>
  <c r="F7136"/>
  <c r="F7135"/>
  <c r="F7134"/>
  <c r="F7133"/>
  <c r="F7132"/>
  <c r="F7131"/>
  <c r="F7130"/>
  <c r="F7129"/>
  <c r="F7128"/>
  <c r="F7127"/>
  <c r="F7126"/>
  <c r="F7125"/>
  <c r="F7124"/>
  <c r="F7123"/>
  <c r="F7122"/>
  <c r="F7121"/>
  <c r="F7120"/>
  <c r="F7119"/>
  <c r="F7118"/>
  <c r="F7117"/>
  <c r="F7116"/>
  <c r="F7115"/>
  <c r="F7114"/>
  <c r="F7113"/>
  <c r="F7112"/>
  <c r="F7111"/>
  <c r="F7110"/>
  <c r="F7109"/>
  <c r="F7108"/>
  <c r="F7107"/>
  <c r="F7106"/>
  <c r="F7105"/>
  <c r="F7104"/>
  <c r="F7103"/>
  <c r="F7102"/>
  <c r="F7101"/>
  <c r="F7100"/>
  <c r="F7099"/>
  <c r="F7098"/>
  <c r="F7097"/>
  <c r="F7096"/>
  <c r="F7095"/>
  <c r="F7094"/>
  <c r="F7093"/>
  <c r="F7092"/>
  <c r="F7091"/>
  <c r="F7090"/>
  <c r="F7089"/>
  <c r="F7088"/>
  <c r="F7087"/>
  <c r="F7086"/>
  <c r="F7085"/>
  <c r="F7084"/>
  <c r="F7083"/>
  <c r="F7082"/>
  <c r="F7081"/>
  <c r="F7080"/>
  <c r="F7079"/>
  <c r="F7078"/>
  <c r="F7077"/>
  <c r="F7076"/>
  <c r="F7075"/>
  <c r="F7074"/>
  <c r="F7073"/>
  <c r="F7072"/>
  <c r="F7071"/>
  <c r="F7070"/>
  <c r="F7069"/>
  <c r="F7068"/>
  <c r="F7067"/>
  <c r="F7066"/>
  <c r="F7065"/>
  <c r="F7064"/>
  <c r="F7063"/>
  <c r="F7062"/>
  <c r="F7061"/>
  <c r="F7060"/>
  <c r="F7059"/>
  <c r="F7058"/>
  <c r="F7057"/>
  <c r="F7056"/>
  <c r="F7055"/>
  <c r="F7054"/>
  <c r="F7053"/>
  <c r="F7052"/>
  <c r="F7051"/>
  <c r="F7050"/>
  <c r="F7049"/>
  <c r="F7048"/>
  <c r="F7047"/>
  <c r="F7046"/>
  <c r="F7045"/>
  <c r="F7044"/>
  <c r="F7043"/>
  <c r="F7042"/>
  <c r="F7041"/>
  <c r="F7040"/>
  <c r="F7039"/>
  <c r="F7038"/>
  <c r="F7037"/>
  <c r="F7036"/>
  <c r="F7035"/>
  <c r="F7034"/>
  <c r="F7033"/>
  <c r="F7032"/>
  <c r="F7031"/>
  <c r="F7030"/>
  <c r="F7029"/>
  <c r="F7028"/>
  <c r="F7027"/>
  <c r="F7026"/>
  <c r="F7025"/>
  <c r="F7024"/>
  <c r="F7023"/>
  <c r="F7022"/>
  <c r="F7021"/>
  <c r="F7020"/>
  <c r="F7019"/>
  <c r="F7018"/>
  <c r="F7017"/>
  <c r="F7016"/>
  <c r="F7015"/>
  <c r="F7014"/>
  <c r="F7013"/>
  <c r="F7012"/>
  <c r="F7011"/>
  <c r="F7010"/>
  <c r="F7009"/>
  <c r="F7008"/>
  <c r="F7007"/>
  <c r="F7006"/>
  <c r="F7005"/>
  <c r="F7004"/>
  <c r="F7003"/>
  <c r="F7002"/>
  <c r="F7001"/>
  <c r="F7000"/>
  <c r="F6999"/>
  <c r="F6998"/>
  <c r="F6997"/>
  <c r="F6996"/>
  <c r="F6995"/>
  <c r="F6994"/>
  <c r="F6993"/>
  <c r="F6992"/>
  <c r="F6991"/>
  <c r="F6990"/>
  <c r="F6989"/>
  <c r="F6988"/>
  <c r="F6987"/>
  <c r="F6986"/>
  <c r="F6985"/>
  <c r="F6984"/>
  <c r="F6983"/>
  <c r="F6982"/>
  <c r="F6981"/>
  <c r="F6980"/>
  <c r="F6979"/>
  <c r="F6978"/>
  <c r="F6977"/>
  <c r="F6976"/>
  <c r="F6975"/>
  <c r="F6974"/>
  <c r="F6973"/>
  <c r="F6972"/>
  <c r="F6971"/>
  <c r="F6970"/>
  <c r="F6969"/>
  <c r="F6968"/>
  <c r="F6967"/>
  <c r="F6966"/>
  <c r="F6965"/>
  <c r="F6964"/>
  <c r="F6963"/>
  <c r="F6962"/>
  <c r="F6961"/>
  <c r="F6960"/>
  <c r="F6959"/>
  <c r="F6958"/>
  <c r="F6957"/>
  <c r="F6956"/>
  <c r="F6955"/>
  <c r="F6954"/>
  <c r="F6953"/>
  <c r="F6952"/>
  <c r="F6951"/>
  <c r="F6950"/>
  <c r="F6949"/>
  <c r="F6948"/>
  <c r="F6947"/>
  <c r="F6946"/>
  <c r="F6945"/>
  <c r="F6944"/>
  <c r="F6943"/>
  <c r="F6942"/>
  <c r="F6941"/>
  <c r="F6940"/>
  <c r="F6939"/>
  <c r="F6938"/>
  <c r="F6937"/>
  <c r="F6936"/>
  <c r="F6935"/>
  <c r="F6934"/>
  <c r="F6933"/>
  <c r="F6932"/>
  <c r="F6931"/>
  <c r="F6930"/>
  <c r="F6929"/>
  <c r="F6928"/>
  <c r="F6927"/>
  <c r="F6926"/>
  <c r="F6925"/>
  <c r="F6924"/>
  <c r="F6923"/>
  <c r="F6922"/>
  <c r="F6921"/>
  <c r="F6920"/>
  <c r="F6919"/>
  <c r="F6918"/>
  <c r="F6917"/>
  <c r="F6916"/>
  <c r="F6915"/>
  <c r="F6914"/>
  <c r="F6913"/>
  <c r="F6912"/>
  <c r="F6911"/>
  <c r="F6910"/>
  <c r="F6909"/>
  <c r="F6908"/>
  <c r="F6907"/>
  <c r="F6906"/>
  <c r="F6905"/>
  <c r="F6904"/>
  <c r="F6903"/>
  <c r="F6902"/>
  <c r="F6901"/>
  <c r="F6900"/>
  <c r="F6899"/>
  <c r="F6898"/>
  <c r="F6897"/>
  <c r="F6896"/>
  <c r="F6895"/>
  <c r="F6894"/>
  <c r="F6893"/>
  <c r="F6892"/>
  <c r="F6891"/>
  <c r="F6890"/>
  <c r="F6889"/>
  <c r="F6888"/>
  <c r="F6887"/>
  <c r="F6886"/>
  <c r="F6885"/>
  <c r="F6884"/>
  <c r="F6883"/>
  <c r="F6882"/>
  <c r="F6881"/>
  <c r="F6880"/>
  <c r="F6879"/>
  <c r="F6878"/>
  <c r="F6877"/>
  <c r="F6876"/>
  <c r="F6875"/>
  <c r="F6874"/>
  <c r="F6873"/>
  <c r="F6872"/>
  <c r="F6871"/>
  <c r="F6870"/>
  <c r="F6869"/>
  <c r="F6868"/>
  <c r="F6867"/>
  <c r="F6866"/>
  <c r="F6865"/>
  <c r="F6864"/>
  <c r="F6863"/>
  <c r="F6862"/>
  <c r="F6861"/>
  <c r="F6860"/>
  <c r="F6859"/>
  <c r="F6858"/>
  <c r="F6857"/>
  <c r="F6856"/>
  <c r="F6855"/>
  <c r="F6854"/>
  <c r="F6853"/>
  <c r="F6852"/>
  <c r="F6851"/>
  <c r="F6850"/>
  <c r="F6849"/>
  <c r="F6848"/>
  <c r="F6847"/>
  <c r="F6846"/>
  <c r="F6845"/>
  <c r="F6844"/>
  <c r="F6843"/>
  <c r="F6842"/>
  <c r="F6841"/>
  <c r="F6840"/>
  <c r="F6839"/>
  <c r="F6838"/>
  <c r="F6837"/>
  <c r="F6836"/>
  <c r="F6835"/>
  <c r="F6834"/>
  <c r="F6833"/>
  <c r="F6832"/>
  <c r="F6831"/>
  <c r="F6830"/>
  <c r="F6829"/>
  <c r="F6828"/>
  <c r="F6827"/>
  <c r="F6826"/>
  <c r="F6825"/>
  <c r="F6824"/>
  <c r="F6823"/>
  <c r="F6822"/>
  <c r="F6821"/>
  <c r="F6820"/>
  <c r="F6819"/>
  <c r="F6818"/>
  <c r="F6817"/>
  <c r="F6816"/>
  <c r="F6815"/>
  <c r="F6814"/>
  <c r="F6813"/>
  <c r="F6812"/>
  <c r="F6811"/>
  <c r="F6810"/>
  <c r="F6809"/>
  <c r="F6808"/>
  <c r="F6807"/>
  <c r="F6806"/>
  <c r="F6805"/>
  <c r="F6804"/>
  <c r="F6803"/>
  <c r="F6802"/>
  <c r="F6801"/>
  <c r="F6800"/>
  <c r="F6799"/>
  <c r="F6798"/>
  <c r="F6797"/>
  <c r="F6796"/>
  <c r="F6795"/>
  <c r="F6794"/>
  <c r="F6793"/>
  <c r="F6792"/>
  <c r="F6791"/>
  <c r="F6790"/>
  <c r="F6789"/>
  <c r="F6788"/>
  <c r="F6787"/>
  <c r="F6786"/>
  <c r="F6785"/>
  <c r="F6784"/>
  <c r="F6783"/>
  <c r="F6782"/>
  <c r="F6781"/>
  <c r="F6780"/>
  <c r="F6779"/>
  <c r="F6778"/>
  <c r="F6777"/>
  <c r="F6776"/>
  <c r="F6775"/>
  <c r="F6774"/>
  <c r="F6773"/>
  <c r="F6772"/>
  <c r="F6771"/>
  <c r="F6770"/>
  <c r="F6769"/>
  <c r="F6768"/>
  <c r="F6767"/>
  <c r="F6766"/>
  <c r="F6765"/>
  <c r="F6764"/>
  <c r="F6763"/>
  <c r="F6762"/>
  <c r="F6761"/>
  <c r="F6760"/>
  <c r="F6759"/>
  <c r="F6758"/>
  <c r="F6757"/>
  <c r="F6756"/>
  <c r="F6755"/>
  <c r="F6754"/>
  <c r="F6753"/>
  <c r="F6752"/>
  <c r="F6751"/>
  <c r="F6750"/>
  <c r="F6749"/>
  <c r="F6748"/>
  <c r="F6747"/>
  <c r="F6746"/>
  <c r="F6745"/>
  <c r="F6744"/>
  <c r="F6743"/>
  <c r="F6742"/>
  <c r="F6741"/>
  <c r="F6740"/>
  <c r="F6739"/>
  <c r="F6738"/>
  <c r="F6737"/>
  <c r="F6736"/>
  <c r="F6735"/>
  <c r="F6734"/>
  <c r="F6733"/>
  <c r="F6732"/>
  <c r="F6731"/>
  <c r="F6730"/>
  <c r="F6729"/>
  <c r="F6728"/>
  <c r="F6727"/>
  <c r="F6726"/>
  <c r="F6725"/>
  <c r="F6724"/>
  <c r="F6723"/>
  <c r="F6722"/>
  <c r="F6721"/>
  <c r="F6720"/>
  <c r="F6719"/>
  <c r="F6718"/>
  <c r="F6717"/>
  <c r="F6716"/>
  <c r="F6715"/>
  <c r="F6714"/>
  <c r="F6713"/>
  <c r="F6712"/>
  <c r="F6711"/>
  <c r="F6710"/>
  <c r="F6709"/>
  <c r="F6708"/>
  <c r="F6707"/>
  <c r="F6706"/>
  <c r="F6705"/>
  <c r="F6704"/>
  <c r="F6703"/>
  <c r="F6702"/>
  <c r="F6701"/>
  <c r="F6700"/>
  <c r="F6699"/>
  <c r="F6698"/>
  <c r="F6697"/>
  <c r="F6696"/>
  <c r="F6695"/>
  <c r="F6694"/>
  <c r="F6693"/>
  <c r="F6692"/>
  <c r="F6691"/>
  <c r="F6690"/>
  <c r="F6689"/>
  <c r="F6688"/>
  <c r="F6687"/>
  <c r="F6686"/>
  <c r="F6685"/>
  <c r="F6684"/>
  <c r="F6683"/>
  <c r="F6682"/>
  <c r="F6681"/>
  <c r="F6680"/>
  <c r="F6679"/>
  <c r="F6678"/>
  <c r="F6677"/>
  <c r="F6676"/>
  <c r="F6675"/>
  <c r="F6674"/>
  <c r="F6673"/>
  <c r="F6672"/>
  <c r="F6671"/>
  <c r="F6670"/>
  <c r="F6669"/>
  <c r="F6668"/>
  <c r="F6667"/>
  <c r="F6666"/>
  <c r="F6665"/>
  <c r="F6664"/>
  <c r="F6663"/>
  <c r="F6662"/>
  <c r="F6661"/>
  <c r="F6660"/>
  <c r="F6659"/>
  <c r="F6658"/>
  <c r="F6657"/>
  <c r="F6656"/>
  <c r="F6655"/>
  <c r="F6654"/>
  <c r="F6653"/>
  <c r="F6652"/>
  <c r="F6651"/>
  <c r="F6650"/>
  <c r="F6649"/>
  <c r="F6648"/>
  <c r="F6647"/>
  <c r="F6646"/>
  <c r="F6645"/>
  <c r="F6644"/>
  <c r="F6643"/>
  <c r="F6642"/>
  <c r="F6641"/>
  <c r="F6640"/>
  <c r="F6639"/>
  <c r="F6638"/>
  <c r="F6637"/>
  <c r="F6636"/>
  <c r="F6635"/>
  <c r="F6634"/>
  <c r="F6633"/>
  <c r="F6632"/>
  <c r="F6631"/>
  <c r="F6630"/>
  <c r="F6629"/>
  <c r="F6628"/>
  <c r="F6627"/>
  <c r="F6626"/>
  <c r="F6625"/>
  <c r="F6624"/>
  <c r="F6623"/>
  <c r="F6622"/>
  <c r="F6621"/>
  <c r="F6620"/>
  <c r="F6619"/>
  <c r="F6618"/>
  <c r="F6617"/>
  <c r="F6616"/>
  <c r="F6615"/>
  <c r="F6614"/>
  <c r="F6613"/>
  <c r="F6612"/>
  <c r="F6611"/>
  <c r="F6610"/>
  <c r="F6609"/>
  <c r="F6608"/>
  <c r="F6607"/>
  <c r="F6606"/>
  <c r="F6605"/>
  <c r="F6604"/>
  <c r="F6603"/>
  <c r="F6602"/>
  <c r="F6601"/>
  <c r="F6600"/>
  <c r="F6599"/>
  <c r="F6598"/>
  <c r="F6597"/>
  <c r="F6596"/>
  <c r="F6595"/>
  <c r="F6594"/>
  <c r="F6593"/>
  <c r="F6592"/>
  <c r="F6591"/>
  <c r="F6590"/>
  <c r="F6589"/>
  <c r="F6588"/>
  <c r="F6587"/>
  <c r="F6586"/>
  <c r="F6585"/>
  <c r="F6584"/>
  <c r="F6583"/>
  <c r="F6582"/>
  <c r="F6581"/>
  <c r="F6580"/>
  <c r="F6579"/>
  <c r="F6578"/>
  <c r="F6577"/>
  <c r="F6576"/>
  <c r="F6575"/>
  <c r="F6574"/>
  <c r="F6573"/>
  <c r="F6572"/>
  <c r="F6571"/>
  <c r="F6570"/>
  <c r="F6569"/>
  <c r="F6568"/>
  <c r="F6567"/>
  <c r="F6566"/>
  <c r="F6565"/>
  <c r="F6564"/>
  <c r="F6563"/>
  <c r="F6562"/>
  <c r="F6561"/>
  <c r="F6560"/>
  <c r="F6559"/>
  <c r="F6558"/>
  <c r="F6557"/>
  <c r="F6556"/>
  <c r="F6555"/>
  <c r="F6554"/>
  <c r="F6553"/>
  <c r="F6552"/>
  <c r="F6551"/>
  <c r="F6550"/>
  <c r="F6549"/>
  <c r="F6548"/>
  <c r="F6547"/>
  <c r="F6546"/>
  <c r="F6545"/>
  <c r="F6544"/>
  <c r="F6543"/>
  <c r="F6542"/>
  <c r="F6541"/>
  <c r="F6540"/>
  <c r="F6539"/>
  <c r="F6538"/>
  <c r="F6537"/>
  <c r="F6536"/>
  <c r="F6535"/>
  <c r="F6534"/>
  <c r="F6533"/>
  <c r="F6532"/>
  <c r="F6531"/>
  <c r="F6530"/>
  <c r="F6529"/>
  <c r="F6528"/>
  <c r="F6527"/>
  <c r="F6526"/>
  <c r="F6525"/>
  <c r="F6524"/>
  <c r="F6523"/>
  <c r="F6522"/>
  <c r="F6521"/>
  <c r="F6520"/>
  <c r="F6519"/>
  <c r="F6518"/>
  <c r="F6517"/>
  <c r="F6516"/>
  <c r="F6515"/>
  <c r="F6514"/>
  <c r="F6513"/>
  <c r="F6512"/>
  <c r="F6511"/>
  <c r="F6510"/>
  <c r="F6509"/>
  <c r="F6508"/>
  <c r="F6507"/>
  <c r="F6506"/>
  <c r="F6505"/>
  <c r="F6504"/>
  <c r="F6503"/>
  <c r="F6502"/>
  <c r="F6501"/>
  <c r="F6500"/>
  <c r="F6499"/>
  <c r="F6498"/>
  <c r="F6497"/>
  <c r="F6496"/>
  <c r="F6495"/>
  <c r="F6494"/>
  <c r="F6493"/>
  <c r="F6492"/>
  <c r="F6491"/>
  <c r="F6490"/>
  <c r="F6489"/>
  <c r="F6488"/>
  <c r="F6487"/>
  <c r="F6486"/>
  <c r="F6485"/>
  <c r="F6484"/>
  <c r="F6483"/>
  <c r="F6482"/>
  <c r="F6481"/>
  <c r="F6480"/>
  <c r="F6479"/>
  <c r="F6478"/>
  <c r="F6477"/>
  <c r="F6476"/>
  <c r="F6475"/>
  <c r="F6474"/>
  <c r="F6473"/>
  <c r="F6472"/>
  <c r="F6471"/>
  <c r="F6470"/>
  <c r="F6469"/>
  <c r="F6468"/>
  <c r="F6467"/>
  <c r="F6466"/>
  <c r="F6465"/>
  <c r="F6464"/>
  <c r="F6463"/>
  <c r="F6462"/>
  <c r="F6461"/>
  <c r="F6460"/>
  <c r="F6459"/>
  <c r="F6458"/>
  <c r="F6457"/>
  <c r="F6456"/>
  <c r="F6455"/>
  <c r="F6454"/>
  <c r="F6453"/>
  <c r="F6452"/>
  <c r="F6451"/>
  <c r="F6450"/>
  <c r="F6449"/>
  <c r="F6448"/>
  <c r="F6447"/>
  <c r="F6446"/>
  <c r="F6445"/>
  <c r="F6444"/>
  <c r="F6443"/>
  <c r="F6442"/>
  <c r="F6441"/>
  <c r="F6440"/>
  <c r="F6439"/>
  <c r="F6438"/>
  <c r="F6437"/>
  <c r="F6436"/>
  <c r="F6435"/>
  <c r="F6434"/>
  <c r="F6433"/>
  <c r="F6432"/>
  <c r="F6431"/>
  <c r="F6430"/>
  <c r="F6429"/>
  <c r="F6428"/>
  <c r="F6427"/>
  <c r="F6426"/>
  <c r="F6425"/>
  <c r="F6424"/>
  <c r="F6423"/>
  <c r="F6422"/>
  <c r="F6421"/>
  <c r="F6420"/>
  <c r="F6419"/>
  <c r="F6418"/>
  <c r="F6417"/>
  <c r="F6416"/>
  <c r="F6415"/>
  <c r="F6414"/>
  <c r="F6413"/>
  <c r="F6412"/>
  <c r="F6411"/>
  <c r="F6410"/>
  <c r="F6409"/>
  <c r="F6408"/>
  <c r="F6407"/>
  <c r="F6406"/>
  <c r="F6405"/>
  <c r="F6404"/>
  <c r="F6403"/>
  <c r="F6402"/>
  <c r="F6401"/>
  <c r="F6400"/>
  <c r="F6399"/>
  <c r="F6398"/>
  <c r="F6397"/>
  <c r="F6396"/>
  <c r="F6395"/>
  <c r="F6394"/>
  <c r="F6393"/>
  <c r="F6392"/>
  <c r="F6391"/>
  <c r="F6390"/>
  <c r="F6389"/>
  <c r="F6388"/>
  <c r="F6387"/>
  <c r="F6386"/>
  <c r="F6385"/>
  <c r="F6384"/>
  <c r="F6383"/>
  <c r="F6382"/>
  <c r="F6381"/>
  <c r="F6380"/>
  <c r="F6379"/>
  <c r="F6378"/>
  <c r="F6377"/>
  <c r="F6376"/>
  <c r="F6375"/>
  <c r="F6374"/>
  <c r="F6373"/>
  <c r="F6372"/>
  <c r="F6371"/>
  <c r="F6370"/>
  <c r="F6369"/>
  <c r="F6368"/>
  <c r="F6367"/>
  <c r="F6366"/>
  <c r="F6365"/>
  <c r="F6364"/>
  <c r="F6363"/>
  <c r="F6362"/>
  <c r="F6361"/>
  <c r="F6360"/>
  <c r="F6359"/>
  <c r="F6358"/>
  <c r="F6357"/>
  <c r="F6356"/>
  <c r="F6355"/>
  <c r="F6354"/>
  <c r="F6353"/>
  <c r="F6352"/>
  <c r="F6351"/>
  <c r="F6350"/>
  <c r="F6349"/>
  <c r="F6348"/>
  <c r="F6347"/>
  <c r="F6346"/>
  <c r="F6345"/>
  <c r="F6344"/>
  <c r="F6343"/>
  <c r="F6342"/>
  <c r="F6341"/>
  <c r="F6340"/>
  <c r="F6339"/>
  <c r="F6338"/>
  <c r="F6337"/>
  <c r="F6336"/>
  <c r="F6335"/>
  <c r="F6334"/>
  <c r="F6333"/>
  <c r="F6332"/>
  <c r="F6331"/>
  <c r="F6330"/>
  <c r="F6329"/>
  <c r="F6328"/>
  <c r="F6327"/>
  <c r="F6326"/>
  <c r="F6325"/>
  <c r="F6324"/>
  <c r="F6323"/>
  <c r="F6322"/>
  <c r="F6321"/>
  <c r="F6320"/>
  <c r="F6319"/>
  <c r="F6318"/>
  <c r="F6317"/>
  <c r="F6316"/>
  <c r="F6315"/>
  <c r="F6314"/>
  <c r="F6313"/>
  <c r="F6312"/>
  <c r="F6311"/>
  <c r="F6310"/>
  <c r="F6309"/>
  <c r="F6308"/>
  <c r="F6307"/>
  <c r="F6306"/>
  <c r="F6305"/>
  <c r="F6304"/>
  <c r="F6303"/>
  <c r="F6302"/>
  <c r="F6301"/>
  <c r="F6300"/>
  <c r="F6299"/>
  <c r="F6298"/>
  <c r="F6297"/>
  <c r="F6296"/>
  <c r="F6295"/>
  <c r="F6294"/>
  <c r="F6293"/>
  <c r="F6292"/>
  <c r="F6291"/>
  <c r="F6290"/>
  <c r="F6289"/>
  <c r="F6288"/>
  <c r="F6287"/>
  <c r="F6286"/>
  <c r="F6285"/>
  <c r="F6284"/>
  <c r="F6283"/>
  <c r="F6282"/>
  <c r="F6281"/>
  <c r="F6280"/>
  <c r="F6279"/>
  <c r="F6278"/>
  <c r="F6277"/>
  <c r="F6276"/>
  <c r="F6275"/>
  <c r="F6274"/>
  <c r="F6273"/>
  <c r="F6272"/>
  <c r="F6271"/>
  <c r="F6270"/>
  <c r="F6269"/>
  <c r="F6268"/>
  <c r="F6267"/>
  <c r="F6266"/>
  <c r="F6265"/>
  <c r="F6264"/>
  <c r="F6263"/>
  <c r="F6262"/>
  <c r="F6261"/>
  <c r="F6260"/>
  <c r="F6259"/>
  <c r="F6258"/>
  <c r="F6257"/>
  <c r="F6256"/>
  <c r="F6255"/>
  <c r="F6254"/>
  <c r="F6253"/>
  <c r="F6252"/>
  <c r="F6251"/>
  <c r="F6250"/>
  <c r="F6249"/>
  <c r="F6248"/>
  <c r="F6247"/>
  <c r="F6246"/>
  <c r="F6245"/>
  <c r="F6244"/>
  <c r="F6243"/>
  <c r="F6242"/>
  <c r="F6241"/>
  <c r="F6240"/>
  <c r="F6239"/>
  <c r="F6238"/>
  <c r="F6237"/>
  <c r="F6236"/>
  <c r="F6235"/>
  <c r="F6234"/>
  <c r="F6233"/>
  <c r="F6232"/>
  <c r="F6231"/>
  <c r="F6230"/>
  <c r="F6229"/>
  <c r="F6228"/>
  <c r="F6227"/>
  <c r="F6226"/>
  <c r="F6225"/>
  <c r="F6224"/>
  <c r="F6223"/>
  <c r="F6222"/>
  <c r="F6221"/>
  <c r="F6220"/>
  <c r="F6219"/>
  <c r="F6218"/>
  <c r="F6217"/>
  <c r="F6216"/>
  <c r="F6215"/>
  <c r="F6214"/>
  <c r="F6213"/>
  <c r="F6212"/>
  <c r="F6211"/>
  <c r="F6210"/>
  <c r="F6209"/>
  <c r="F6208"/>
  <c r="F6207"/>
  <c r="F6206"/>
  <c r="F6205"/>
  <c r="F6204"/>
  <c r="F6203"/>
  <c r="F6202"/>
  <c r="F6201"/>
  <c r="F6200"/>
  <c r="F6199"/>
  <c r="F6198"/>
  <c r="F6197"/>
  <c r="F6196"/>
  <c r="F6195"/>
  <c r="F6194"/>
  <c r="F6193"/>
  <c r="F6192"/>
  <c r="F6191"/>
  <c r="F6190"/>
  <c r="F6189"/>
  <c r="F6188"/>
  <c r="F6187"/>
  <c r="F6186"/>
  <c r="F6185"/>
  <c r="F6184"/>
  <c r="F6183"/>
  <c r="F6182"/>
  <c r="F6181"/>
  <c r="F6180"/>
  <c r="F6179"/>
  <c r="F6178"/>
  <c r="F6177"/>
  <c r="F6176"/>
  <c r="F6175"/>
  <c r="F6174"/>
  <c r="F6173"/>
  <c r="F6172"/>
  <c r="F6171"/>
  <c r="F6170"/>
  <c r="F6169"/>
  <c r="F6168"/>
  <c r="F6167"/>
  <c r="F6166"/>
  <c r="F6165"/>
  <c r="F6164"/>
  <c r="F6163"/>
  <c r="F6162"/>
  <c r="F6161"/>
  <c r="F6160"/>
  <c r="F6159"/>
  <c r="F6158"/>
  <c r="F6157"/>
  <c r="F6156"/>
  <c r="F6155"/>
  <c r="F6154"/>
  <c r="F6153"/>
  <c r="F6152"/>
  <c r="F6151"/>
  <c r="F6150"/>
  <c r="F6149"/>
  <c r="F6148"/>
  <c r="F6147"/>
  <c r="F6146"/>
  <c r="F6145"/>
  <c r="F6144"/>
  <c r="F6143"/>
  <c r="F6142"/>
  <c r="F6141"/>
  <c r="F6140"/>
  <c r="F6139"/>
  <c r="F6138"/>
  <c r="F6137"/>
  <c r="F6136"/>
  <c r="F6135"/>
  <c r="F6134"/>
  <c r="F6133"/>
  <c r="F6132"/>
  <c r="F6131"/>
  <c r="F6130"/>
  <c r="F6129"/>
  <c r="F6128"/>
  <c r="F6127"/>
  <c r="F6126"/>
  <c r="F6125"/>
  <c r="F6124"/>
  <c r="F6123"/>
  <c r="F6122"/>
  <c r="F6121"/>
  <c r="F6120"/>
  <c r="F6119"/>
  <c r="F6118"/>
  <c r="F6117"/>
  <c r="F6116"/>
  <c r="F6115"/>
  <c r="F6114"/>
  <c r="F6113"/>
  <c r="F6112"/>
  <c r="F6111"/>
  <c r="F6110"/>
  <c r="F6109"/>
  <c r="F6108"/>
  <c r="F6107"/>
  <c r="F6106"/>
  <c r="F6105"/>
  <c r="F6104"/>
  <c r="F6103"/>
  <c r="F6102"/>
  <c r="F6101"/>
  <c r="F6100"/>
  <c r="F6099"/>
  <c r="F6098"/>
  <c r="F6097"/>
  <c r="F6096"/>
  <c r="F6095"/>
  <c r="F6094"/>
  <c r="F6093"/>
  <c r="F6092"/>
  <c r="F6091"/>
  <c r="F6090"/>
  <c r="F6089"/>
  <c r="F6088"/>
  <c r="F6087"/>
  <c r="F6086"/>
  <c r="F6085"/>
  <c r="F6084"/>
  <c r="F6083"/>
  <c r="F6082"/>
  <c r="F6081"/>
  <c r="F6080"/>
  <c r="F6079"/>
  <c r="F6078"/>
  <c r="F6077"/>
  <c r="F6076"/>
  <c r="F6075"/>
  <c r="F6074"/>
  <c r="F6073"/>
  <c r="F6072"/>
  <c r="F6071"/>
  <c r="F6070"/>
  <c r="F6069"/>
  <c r="F6068"/>
  <c r="F6067"/>
  <c r="F6066"/>
  <c r="F6065"/>
  <c r="F6064"/>
  <c r="F6063"/>
  <c r="F6062"/>
  <c r="F6061"/>
  <c r="F6060"/>
  <c r="F6059"/>
  <c r="F6058"/>
  <c r="F6057"/>
  <c r="F6056"/>
  <c r="F6055"/>
  <c r="F6054"/>
  <c r="F6053"/>
  <c r="F6052"/>
  <c r="F6051"/>
  <c r="F6050"/>
  <c r="F6049"/>
  <c r="F6048"/>
  <c r="F6047"/>
  <c r="F6046"/>
  <c r="F6045"/>
  <c r="F6044"/>
  <c r="F6043"/>
  <c r="F6042"/>
  <c r="F6041"/>
  <c r="F6040"/>
  <c r="F6039"/>
  <c r="F6038"/>
  <c r="F6037"/>
  <c r="F6036"/>
  <c r="F6035"/>
  <c r="F6034"/>
  <c r="F6033"/>
  <c r="F6032"/>
  <c r="F6031"/>
  <c r="F6030"/>
  <c r="F6029"/>
  <c r="F6028"/>
  <c r="F6027"/>
  <c r="F6026"/>
  <c r="F6025"/>
  <c r="F6024"/>
  <c r="F6023"/>
  <c r="F6022"/>
  <c r="F6021"/>
  <c r="F6020"/>
  <c r="F6019"/>
  <c r="F6018"/>
  <c r="F6017"/>
  <c r="F6016"/>
  <c r="F6015"/>
  <c r="F6014"/>
  <c r="F6013"/>
  <c r="F6012"/>
  <c r="F6011"/>
  <c r="F6010"/>
  <c r="F6009"/>
  <c r="F6008"/>
  <c r="F6007"/>
  <c r="F6006"/>
  <c r="F6005"/>
  <c r="F6004"/>
  <c r="F6003"/>
  <c r="F6002"/>
  <c r="F6001"/>
  <c r="F6000"/>
  <c r="F5999"/>
  <c r="F5998"/>
  <c r="F5997"/>
  <c r="F5996"/>
  <c r="F5995"/>
  <c r="F5994"/>
  <c r="F5993"/>
  <c r="F5992"/>
  <c r="F5991"/>
  <c r="F5990"/>
  <c r="F5989"/>
  <c r="F5988"/>
  <c r="F5987"/>
  <c r="F5986"/>
  <c r="F5985"/>
  <c r="F5984"/>
  <c r="F5983"/>
  <c r="F5982"/>
  <c r="F5981"/>
  <c r="F5980"/>
  <c r="F5979"/>
  <c r="F5978"/>
  <c r="F5977"/>
  <c r="F5976"/>
  <c r="F5975"/>
  <c r="F5974"/>
  <c r="F5973"/>
  <c r="F5972"/>
  <c r="F5971"/>
  <c r="F5970"/>
  <c r="F5969"/>
  <c r="F5968"/>
  <c r="F5967"/>
  <c r="F5966"/>
  <c r="F5965"/>
  <c r="F5964"/>
  <c r="F5963"/>
  <c r="F5962"/>
  <c r="F5961"/>
  <c r="F5960"/>
  <c r="F5959"/>
  <c r="F5958"/>
  <c r="F5957"/>
  <c r="F5956"/>
  <c r="F5955"/>
  <c r="F5954"/>
  <c r="F5953"/>
  <c r="F5952"/>
  <c r="F5951"/>
  <c r="F5950"/>
  <c r="F5949"/>
  <c r="F5948"/>
  <c r="F5947"/>
  <c r="F5946"/>
  <c r="F5945"/>
  <c r="F5944"/>
  <c r="F5943"/>
  <c r="F5942"/>
  <c r="F5941"/>
  <c r="F5940"/>
  <c r="F5939"/>
  <c r="F5938"/>
  <c r="F5937"/>
  <c r="F5936"/>
  <c r="F5935"/>
  <c r="F5934"/>
  <c r="F5933"/>
  <c r="F5932"/>
  <c r="F5931"/>
  <c r="F5930"/>
  <c r="F5929"/>
  <c r="F5928"/>
  <c r="F5927"/>
  <c r="F5926"/>
  <c r="F5925"/>
  <c r="F5924"/>
  <c r="F5923"/>
  <c r="F5922"/>
  <c r="F5921"/>
  <c r="F5920"/>
  <c r="F5919"/>
  <c r="F5918"/>
  <c r="F5917"/>
  <c r="F5916"/>
  <c r="F5915"/>
  <c r="F5914"/>
  <c r="F5913"/>
  <c r="F5912"/>
  <c r="F5911"/>
  <c r="F5910"/>
  <c r="F5909"/>
  <c r="F5908"/>
  <c r="F5907"/>
  <c r="F5906"/>
  <c r="F5905"/>
  <c r="F5904"/>
  <c r="F5903"/>
  <c r="F5902"/>
  <c r="F5901"/>
  <c r="F5900"/>
  <c r="F5899"/>
  <c r="F5898"/>
  <c r="F5897"/>
  <c r="F5896"/>
  <c r="F5895"/>
  <c r="F5894"/>
  <c r="F5893"/>
  <c r="F5892"/>
  <c r="F5891"/>
  <c r="F5890"/>
  <c r="F5889"/>
  <c r="F5888"/>
  <c r="F5887"/>
  <c r="F5886"/>
  <c r="F5885"/>
  <c r="F5884"/>
  <c r="F5883"/>
  <c r="F5882"/>
  <c r="F5881"/>
  <c r="F5880"/>
  <c r="F5879"/>
  <c r="F5878"/>
  <c r="F5877"/>
  <c r="F5876"/>
  <c r="F5875"/>
  <c r="F5874"/>
  <c r="F5873"/>
  <c r="F5872"/>
  <c r="F5871"/>
  <c r="F5870"/>
  <c r="F5869"/>
  <c r="F5868"/>
  <c r="F5867"/>
  <c r="F5866"/>
  <c r="F5865"/>
  <c r="F5864"/>
  <c r="F5863"/>
  <c r="F5862"/>
  <c r="F5861"/>
  <c r="F5860"/>
  <c r="F5859"/>
  <c r="F5858"/>
  <c r="F5857"/>
  <c r="F5856"/>
  <c r="F5855"/>
  <c r="F5854"/>
  <c r="F5853"/>
  <c r="F5852"/>
  <c r="F5851"/>
  <c r="F5850"/>
  <c r="F5849"/>
  <c r="F5848"/>
  <c r="F5847"/>
  <c r="F5846"/>
  <c r="F5845"/>
  <c r="F5844"/>
  <c r="F5843"/>
  <c r="F5842"/>
  <c r="F5841"/>
  <c r="F5840"/>
  <c r="F5839"/>
  <c r="F5838"/>
  <c r="F5837"/>
  <c r="F5836"/>
  <c r="F5835"/>
  <c r="F5834"/>
  <c r="F5833"/>
  <c r="F5832"/>
  <c r="F5831"/>
  <c r="F5830"/>
  <c r="F5829"/>
  <c r="F5828"/>
  <c r="F5827"/>
  <c r="F5826"/>
  <c r="F5825"/>
  <c r="F5824"/>
  <c r="F5823"/>
  <c r="F5822"/>
  <c r="F5821"/>
  <c r="F5820"/>
  <c r="F5819"/>
  <c r="F5818"/>
  <c r="F5817"/>
  <c r="F5816"/>
  <c r="F5815"/>
  <c r="F5814"/>
  <c r="F5813"/>
  <c r="F5812"/>
  <c r="F5811"/>
  <c r="F5810"/>
  <c r="F5809"/>
  <c r="F5808"/>
  <c r="F5807"/>
  <c r="F5806"/>
  <c r="F5805"/>
  <c r="F5804"/>
  <c r="F5803"/>
  <c r="F5802"/>
  <c r="F5801"/>
  <c r="F5800"/>
  <c r="F5799"/>
  <c r="F5798"/>
  <c r="F5797"/>
  <c r="F5796"/>
  <c r="F5795"/>
  <c r="F5794"/>
  <c r="F5793"/>
  <c r="F5792"/>
  <c r="F5791"/>
  <c r="F5790"/>
  <c r="F5789"/>
  <c r="F5788"/>
  <c r="F5787"/>
  <c r="F5786"/>
  <c r="F5785"/>
  <c r="F5784"/>
  <c r="F5783"/>
  <c r="F5782"/>
  <c r="F5781"/>
  <c r="F5780"/>
  <c r="F5779"/>
  <c r="F5778"/>
  <c r="F5777"/>
  <c r="F5776"/>
  <c r="F5775"/>
  <c r="F5774"/>
  <c r="F5773"/>
  <c r="F5772"/>
  <c r="F5771"/>
  <c r="F5770"/>
  <c r="F5769"/>
  <c r="F5768"/>
  <c r="F5767"/>
  <c r="F5766"/>
  <c r="F5765"/>
  <c r="F5764"/>
  <c r="F5763"/>
  <c r="F5762"/>
  <c r="F5761"/>
  <c r="F5760"/>
  <c r="F5759"/>
  <c r="F5758"/>
  <c r="F5757"/>
  <c r="F5756"/>
  <c r="F5755"/>
  <c r="F5754"/>
  <c r="F5753"/>
  <c r="F5752"/>
  <c r="F5751"/>
  <c r="F5750"/>
  <c r="F5749"/>
  <c r="F5748"/>
  <c r="F5747"/>
  <c r="F5746"/>
  <c r="F5745"/>
  <c r="F5744"/>
  <c r="F5743"/>
  <c r="F5742"/>
  <c r="F5741"/>
  <c r="F5740"/>
  <c r="F5739"/>
  <c r="F5738"/>
  <c r="F5737"/>
  <c r="F5736"/>
  <c r="F5735"/>
  <c r="F5734"/>
  <c r="F5733"/>
  <c r="F5732"/>
  <c r="F5731"/>
  <c r="F5730"/>
  <c r="F5729"/>
  <c r="F5728"/>
  <c r="F5727"/>
  <c r="F5726"/>
  <c r="F5725"/>
  <c r="F5724"/>
  <c r="F5723"/>
  <c r="F5722"/>
  <c r="F5721"/>
  <c r="F5720"/>
  <c r="F5719"/>
  <c r="F5718"/>
  <c r="F5717"/>
  <c r="F5716"/>
  <c r="F5715"/>
  <c r="F5714"/>
  <c r="F5713"/>
  <c r="F5712"/>
  <c r="F5711"/>
  <c r="F5710"/>
  <c r="F5709"/>
  <c r="F5708"/>
  <c r="F5707"/>
  <c r="F5706"/>
  <c r="F5705"/>
  <c r="F5704"/>
  <c r="F5703"/>
  <c r="F5702"/>
  <c r="F5701"/>
  <c r="F5700"/>
  <c r="F5699"/>
  <c r="F5698"/>
  <c r="F5697"/>
  <c r="F5696"/>
  <c r="F5695"/>
  <c r="F5694"/>
  <c r="F5693"/>
  <c r="F5692"/>
  <c r="F5691"/>
  <c r="F5690"/>
  <c r="F5689"/>
  <c r="F5688"/>
  <c r="F5687"/>
  <c r="F5686"/>
  <c r="F5685"/>
  <c r="F5684"/>
  <c r="F5683"/>
  <c r="F5682"/>
  <c r="F5681"/>
  <c r="F5680"/>
  <c r="F5679"/>
  <c r="F5678"/>
  <c r="F5677"/>
  <c r="F5676"/>
  <c r="F5675"/>
  <c r="F5674"/>
  <c r="F5673"/>
  <c r="F5672"/>
  <c r="F5671"/>
  <c r="F5670"/>
  <c r="F5669"/>
  <c r="F5668"/>
  <c r="F5667"/>
  <c r="F5666"/>
  <c r="F5665"/>
  <c r="F5664"/>
  <c r="F5663"/>
  <c r="F5662"/>
  <c r="F5661"/>
  <c r="F5660"/>
  <c r="F5659"/>
  <c r="F5658"/>
  <c r="F5657"/>
  <c r="F5656"/>
  <c r="F5655"/>
  <c r="F5654"/>
  <c r="F5653"/>
  <c r="F5652"/>
  <c r="F5651"/>
  <c r="F5650"/>
  <c r="F5649"/>
  <c r="F5648"/>
  <c r="F5647"/>
  <c r="F5646"/>
  <c r="F5645"/>
  <c r="F5644"/>
  <c r="F5643"/>
  <c r="F5642"/>
  <c r="F5641"/>
  <c r="F5640"/>
  <c r="F5639"/>
  <c r="F5638"/>
  <c r="F5637"/>
  <c r="F5636"/>
  <c r="F5635"/>
  <c r="F5634"/>
  <c r="F5633"/>
  <c r="F5632"/>
  <c r="F5631"/>
  <c r="F5630"/>
  <c r="F5629"/>
  <c r="F5628"/>
  <c r="F5627"/>
  <c r="F5626"/>
  <c r="F5625"/>
  <c r="F5624"/>
  <c r="F5623"/>
  <c r="F5622"/>
  <c r="F5621"/>
  <c r="F5620"/>
  <c r="F5619"/>
  <c r="F5618"/>
  <c r="F5617"/>
  <c r="F5616"/>
  <c r="F5615"/>
  <c r="F5614"/>
  <c r="F5613"/>
  <c r="F5612"/>
  <c r="F5611"/>
  <c r="F5610"/>
  <c r="F5609"/>
  <c r="F5608"/>
  <c r="F5607"/>
  <c r="F5606"/>
  <c r="F5605"/>
  <c r="F5604"/>
  <c r="F5603"/>
  <c r="F5602"/>
  <c r="F5601"/>
  <c r="F5600"/>
  <c r="F5599"/>
  <c r="F5598"/>
  <c r="F5597"/>
  <c r="F5596"/>
  <c r="F5595"/>
  <c r="F5594"/>
  <c r="F5593"/>
  <c r="F5592"/>
  <c r="F5591"/>
  <c r="F5590"/>
  <c r="F5589"/>
  <c r="F5588"/>
  <c r="F5587"/>
  <c r="F5586"/>
  <c r="F5585"/>
  <c r="F5584"/>
  <c r="F5583"/>
  <c r="F5582"/>
  <c r="F5581"/>
  <c r="F5580"/>
  <c r="F5579"/>
  <c r="F5578"/>
  <c r="F5577"/>
  <c r="F5576"/>
  <c r="F5575"/>
  <c r="F5574"/>
  <c r="F5573"/>
  <c r="F5572"/>
  <c r="F5571"/>
  <c r="F5570"/>
  <c r="F5569"/>
  <c r="F5568"/>
  <c r="F5567"/>
  <c r="F5566"/>
  <c r="F5565"/>
  <c r="F5564"/>
  <c r="F5563"/>
  <c r="F5562"/>
  <c r="F5561"/>
  <c r="F5560"/>
  <c r="F5559"/>
  <c r="F5558"/>
  <c r="F5557"/>
  <c r="F5556"/>
  <c r="F5555"/>
  <c r="F5554"/>
  <c r="F5553"/>
  <c r="F5552"/>
  <c r="F5551"/>
  <c r="F5550"/>
  <c r="F5549"/>
  <c r="F5548"/>
  <c r="F5547"/>
  <c r="F5546"/>
  <c r="F5545"/>
  <c r="F5544"/>
  <c r="F5543"/>
  <c r="F5542"/>
  <c r="F5541"/>
  <c r="F5540"/>
  <c r="F5539"/>
  <c r="F5538"/>
  <c r="F5537"/>
  <c r="F5536"/>
  <c r="F5535"/>
  <c r="F5534"/>
  <c r="F5533"/>
  <c r="F5532"/>
  <c r="F5531"/>
  <c r="F5530"/>
  <c r="F5529"/>
  <c r="F5528"/>
  <c r="F5527"/>
  <c r="F5526"/>
  <c r="F5525"/>
  <c r="F5524"/>
  <c r="F5523"/>
  <c r="F5522"/>
  <c r="F5521"/>
  <c r="F5520"/>
  <c r="F5519"/>
  <c r="F5518"/>
  <c r="F5517"/>
  <c r="F5516"/>
  <c r="F5515"/>
  <c r="F5514"/>
  <c r="F5513"/>
  <c r="F5512"/>
  <c r="F5511"/>
  <c r="F5510"/>
  <c r="F5509"/>
  <c r="F5508"/>
  <c r="F5507"/>
  <c r="F5506"/>
  <c r="F5505"/>
  <c r="F5504"/>
  <c r="F5503"/>
  <c r="F5502"/>
  <c r="F5501"/>
  <c r="F5500"/>
  <c r="F5499"/>
  <c r="F5498"/>
  <c r="F5497"/>
  <c r="F5496"/>
  <c r="F5495"/>
  <c r="F5494"/>
  <c r="F5493"/>
  <c r="F5492"/>
  <c r="F5491"/>
  <c r="F5490"/>
  <c r="F5489"/>
  <c r="F5488"/>
  <c r="F5487"/>
  <c r="F5486"/>
  <c r="F5485"/>
  <c r="F5484"/>
  <c r="F5483"/>
  <c r="F5482"/>
  <c r="F5481"/>
  <c r="F5480"/>
  <c r="F5479"/>
  <c r="F5478"/>
  <c r="F5477"/>
  <c r="F5476"/>
  <c r="F5475"/>
  <c r="F5474"/>
  <c r="F5473"/>
  <c r="F5472"/>
  <c r="F5471"/>
  <c r="F5470"/>
  <c r="F5469"/>
  <c r="F5468"/>
  <c r="F5467"/>
  <c r="F5466"/>
  <c r="F5465"/>
  <c r="F5464"/>
  <c r="F5463"/>
  <c r="F5462"/>
  <c r="F5461"/>
  <c r="F5460"/>
  <c r="F5459"/>
  <c r="F5458"/>
  <c r="F5457"/>
  <c r="F5456"/>
  <c r="F5455"/>
  <c r="F5454"/>
  <c r="F5453"/>
  <c r="F5452"/>
  <c r="F5451"/>
  <c r="F5450"/>
  <c r="F5449"/>
  <c r="F5448"/>
  <c r="F5447"/>
  <c r="F5446"/>
  <c r="F5445"/>
  <c r="F5444"/>
  <c r="F5443"/>
  <c r="F5442"/>
  <c r="F5441"/>
  <c r="F5440"/>
  <c r="F5439"/>
  <c r="F5438"/>
  <c r="F5437"/>
  <c r="F5436"/>
  <c r="F5435"/>
  <c r="F5434"/>
  <c r="F5433"/>
  <c r="F5432"/>
  <c r="F5431"/>
  <c r="F5430"/>
  <c r="F5429"/>
  <c r="F5428"/>
  <c r="F5427"/>
  <c r="F5426"/>
  <c r="F5425"/>
  <c r="F5424"/>
  <c r="F5423"/>
  <c r="F5422"/>
  <c r="F5421"/>
  <c r="F5420"/>
  <c r="F5419"/>
  <c r="F5418"/>
  <c r="F5417"/>
  <c r="F5416"/>
  <c r="F5415"/>
  <c r="F5414"/>
  <c r="F5413"/>
  <c r="F5412"/>
  <c r="F5411"/>
  <c r="F5410"/>
  <c r="F5409"/>
  <c r="F5408"/>
  <c r="F5407"/>
  <c r="F5406"/>
  <c r="F5405"/>
  <c r="F5404"/>
  <c r="F5403"/>
  <c r="F5402"/>
  <c r="F5401"/>
  <c r="F5400"/>
  <c r="F5399"/>
  <c r="F5398"/>
  <c r="F5397"/>
  <c r="F5396"/>
  <c r="F5395"/>
  <c r="F5394"/>
  <c r="F5393"/>
  <c r="F5392"/>
  <c r="F5391"/>
  <c r="F5390"/>
  <c r="F5389"/>
  <c r="F5388"/>
  <c r="F5387"/>
  <c r="F5386"/>
  <c r="F5385"/>
  <c r="F5384"/>
  <c r="F5383"/>
  <c r="F5382"/>
  <c r="F5381"/>
  <c r="F5380"/>
  <c r="F5379"/>
  <c r="F5378"/>
  <c r="F5377"/>
  <c r="F5376"/>
  <c r="F5375"/>
  <c r="F5374"/>
  <c r="F5373"/>
  <c r="F5372"/>
  <c r="F5371"/>
  <c r="F5370"/>
  <c r="F5369"/>
  <c r="F5368"/>
  <c r="F5367"/>
  <c r="F5366"/>
  <c r="F5365"/>
  <c r="F5364"/>
  <c r="F5363"/>
  <c r="F5362"/>
  <c r="F5361"/>
  <c r="F5360"/>
  <c r="F5359"/>
  <c r="F5358"/>
  <c r="F5357"/>
  <c r="F5356"/>
  <c r="F5355"/>
  <c r="F5354"/>
  <c r="F5353"/>
  <c r="F5352"/>
  <c r="F5351"/>
  <c r="F5350"/>
  <c r="F5349"/>
  <c r="F5348"/>
  <c r="F5347"/>
  <c r="F5346"/>
  <c r="F5345"/>
  <c r="F5344"/>
  <c r="F5343"/>
  <c r="F5342"/>
  <c r="F5341"/>
  <c r="F5340"/>
  <c r="F5339"/>
  <c r="F5338"/>
  <c r="F5337"/>
  <c r="F5336"/>
  <c r="F5335"/>
  <c r="F5334"/>
  <c r="F5333"/>
  <c r="F5332"/>
  <c r="F5331"/>
  <c r="F5330"/>
  <c r="F5329"/>
  <c r="F5328"/>
  <c r="F5327"/>
  <c r="F5326"/>
  <c r="F5325"/>
  <c r="F5324"/>
  <c r="F5323"/>
  <c r="F5322"/>
  <c r="F5321"/>
  <c r="F5320"/>
  <c r="F5319"/>
  <c r="F5318"/>
  <c r="F5317"/>
  <c r="F5316"/>
  <c r="F5315"/>
  <c r="F5314"/>
  <c r="F5313"/>
  <c r="F5312"/>
  <c r="F5311"/>
  <c r="F5310"/>
  <c r="F5309"/>
  <c r="F5308"/>
  <c r="F5307"/>
  <c r="F5306"/>
  <c r="F5305"/>
  <c r="F5304"/>
  <c r="F5303"/>
  <c r="F5302"/>
  <c r="F5301"/>
  <c r="F5300"/>
  <c r="F5299"/>
  <c r="F5298"/>
  <c r="F5297"/>
  <c r="F5296"/>
  <c r="F5295"/>
  <c r="F5294"/>
  <c r="F5293"/>
  <c r="F5292"/>
  <c r="F5291"/>
  <c r="F5290"/>
  <c r="F5289"/>
  <c r="F5288"/>
  <c r="F5287"/>
  <c r="F5286"/>
  <c r="F5285"/>
  <c r="F5284"/>
  <c r="F5283"/>
  <c r="F5282"/>
  <c r="F5281"/>
  <c r="F5280"/>
  <c r="F5279"/>
  <c r="F5278"/>
  <c r="F5277"/>
  <c r="F5276"/>
  <c r="F5275"/>
  <c r="F5274"/>
  <c r="F5273"/>
  <c r="F5272"/>
  <c r="F5271"/>
  <c r="F5270"/>
  <c r="F5269"/>
  <c r="F5268"/>
  <c r="F5267"/>
  <c r="F5266"/>
  <c r="F5265"/>
  <c r="F5264"/>
  <c r="F5263"/>
  <c r="F5262"/>
  <c r="F5261"/>
  <c r="F5260"/>
  <c r="F5259"/>
  <c r="F5258"/>
  <c r="F5257"/>
  <c r="F5256"/>
  <c r="F5255"/>
  <c r="F5254"/>
  <c r="F5253"/>
  <c r="F5252"/>
  <c r="F5251"/>
  <c r="F5250"/>
  <c r="F5249"/>
  <c r="F5248"/>
  <c r="F5247"/>
  <c r="F5246"/>
  <c r="F5245"/>
  <c r="F5244"/>
  <c r="F5243"/>
  <c r="F5242"/>
  <c r="F5241"/>
  <c r="F5240"/>
  <c r="F5239"/>
  <c r="F5238"/>
  <c r="F5237"/>
  <c r="F5236"/>
  <c r="F5235"/>
  <c r="F5234"/>
  <c r="F5233"/>
  <c r="F5232"/>
  <c r="F5231"/>
  <c r="F5230"/>
  <c r="F5229"/>
  <c r="F5228"/>
  <c r="F5227"/>
  <c r="F5226"/>
  <c r="F5225"/>
  <c r="F5224"/>
  <c r="F5223"/>
  <c r="F5222"/>
  <c r="F5221"/>
  <c r="F5220"/>
  <c r="F5219"/>
  <c r="F5218"/>
  <c r="F5217"/>
  <c r="F5216"/>
  <c r="F5215"/>
  <c r="F5214"/>
  <c r="F5213"/>
  <c r="F5212"/>
  <c r="F5211"/>
  <c r="F5210"/>
  <c r="F5209"/>
  <c r="F5208"/>
  <c r="F5207"/>
  <c r="F5206"/>
  <c r="F5205"/>
  <c r="F5204"/>
  <c r="F5203"/>
  <c r="F5202"/>
  <c r="F5201"/>
  <c r="F5200"/>
  <c r="F5199"/>
  <c r="F5198"/>
  <c r="F5197"/>
  <c r="F5196"/>
  <c r="F5195"/>
  <c r="F5194"/>
  <c r="F5193"/>
  <c r="F5192"/>
  <c r="F5191"/>
  <c r="F5190"/>
  <c r="F5189"/>
  <c r="F5188"/>
  <c r="F5187"/>
  <c r="F5186"/>
  <c r="F5185"/>
  <c r="F5184"/>
  <c r="F5183"/>
  <c r="F5182"/>
  <c r="F5181"/>
  <c r="F5180"/>
  <c r="F5179"/>
  <c r="F5178"/>
  <c r="F5177"/>
  <c r="F5176"/>
  <c r="F5175"/>
  <c r="F5174"/>
  <c r="F5173"/>
  <c r="F5172"/>
  <c r="F5171"/>
  <c r="F5170"/>
  <c r="F5169"/>
  <c r="F5168"/>
  <c r="F5167"/>
  <c r="F5166"/>
  <c r="F5165"/>
  <c r="F5164"/>
  <c r="F5163"/>
  <c r="F5162"/>
  <c r="F5161"/>
  <c r="F5160"/>
  <c r="F5159"/>
  <c r="F5158"/>
  <c r="F5157"/>
  <c r="F5156"/>
  <c r="F5155"/>
  <c r="F5154"/>
  <c r="F5153"/>
  <c r="F5152"/>
  <c r="F5151"/>
  <c r="F5150"/>
  <c r="F5149"/>
  <c r="F5148"/>
  <c r="F5147"/>
  <c r="F5146"/>
  <c r="F5145"/>
  <c r="F5144"/>
  <c r="F5143"/>
  <c r="F5142"/>
  <c r="F5141"/>
  <c r="F5140"/>
  <c r="F5139"/>
  <c r="F5138"/>
  <c r="F5137"/>
  <c r="F5136"/>
  <c r="F5135"/>
  <c r="F5134"/>
  <c r="F5133"/>
  <c r="F5132"/>
  <c r="F5131"/>
  <c r="F5130"/>
  <c r="F5129"/>
  <c r="F5128"/>
  <c r="F5127"/>
  <c r="F5126"/>
  <c r="F5125"/>
  <c r="F5124"/>
  <c r="F5123"/>
  <c r="F5122"/>
  <c r="F5121"/>
  <c r="F5120"/>
  <c r="F5119"/>
  <c r="F5118"/>
  <c r="F5117"/>
  <c r="F5116"/>
  <c r="F5115"/>
  <c r="F5114"/>
  <c r="F5113"/>
  <c r="F5112"/>
  <c r="F5111"/>
  <c r="F5110"/>
  <c r="F5109"/>
  <c r="F5108"/>
  <c r="F5107"/>
  <c r="F5106"/>
  <c r="F5105"/>
  <c r="F5104"/>
  <c r="F5103"/>
  <c r="F5102"/>
  <c r="F5101"/>
  <c r="F5100"/>
  <c r="F5099"/>
  <c r="F5098"/>
  <c r="F5097"/>
  <c r="F5096"/>
  <c r="F5095"/>
  <c r="F5094"/>
  <c r="F5093"/>
  <c r="F5092"/>
  <c r="F5091"/>
  <c r="F5090"/>
  <c r="F5089"/>
  <c r="F5088"/>
  <c r="F5087"/>
  <c r="F5086"/>
  <c r="F5085"/>
  <c r="F5084"/>
  <c r="F5083"/>
  <c r="F5082"/>
  <c r="F5081"/>
  <c r="F5080"/>
  <c r="F5079"/>
  <c r="F5078"/>
  <c r="F5077"/>
  <c r="F5076"/>
  <c r="F5075"/>
  <c r="F5074"/>
  <c r="F5073"/>
  <c r="F5072"/>
  <c r="F5071"/>
  <c r="F5070"/>
  <c r="F5069"/>
  <c r="F5068"/>
  <c r="F5067"/>
  <c r="F5066"/>
  <c r="F5065"/>
  <c r="F5064"/>
  <c r="F5063"/>
  <c r="F5062"/>
  <c r="F5061"/>
  <c r="F5060"/>
  <c r="F5059"/>
  <c r="F5058"/>
  <c r="F5057"/>
  <c r="F5056"/>
  <c r="F5055"/>
  <c r="F5054"/>
  <c r="F5053"/>
  <c r="F5052"/>
  <c r="F5051"/>
  <c r="F5050"/>
  <c r="F5049"/>
  <c r="F5048"/>
  <c r="F5047"/>
  <c r="F5046"/>
  <c r="F5045"/>
  <c r="F5044"/>
  <c r="F5043"/>
  <c r="F5042"/>
  <c r="F5041"/>
  <c r="F5040"/>
  <c r="F5039"/>
  <c r="F5038"/>
  <c r="F5037"/>
  <c r="F5036"/>
  <c r="F5035"/>
  <c r="F5034"/>
  <c r="F5033"/>
  <c r="F5032"/>
  <c r="F5031"/>
  <c r="F5030"/>
  <c r="F5029"/>
  <c r="F5028"/>
  <c r="F5027"/>
  <c r="F5026"/>
  <c r="F5025"/>
  <c r="F5024"/>
  <c r="F5023"/>
  <c r="F5022"/>
  <c r="F5021"/>
  <c r="F5020"/>
  <c r="F5019"/>
  <c r="F5018"/>
  <c r="F5017"/>
  <c r="F5016"/>
  <c r="F5015"/>
  <c r="F5014"/>
  <c r="F5013"/>
  <c r="F5012"/>
  <c r="F5011"/>
  <c r="F5010"/>
  <c r="F5009"/>
  <c r="F5008"/>
  <c r="F5007"/>
  <c r="F5006"/>
  <c r="F5005"/>
  <c r="F5004"/>
  <c r="F5003"/>
  <c r="F5002"/>
  <c r="F5001"/>
  <c r="F5000"/>
  <c r="F4999"/>
  <c r="F4998"/>
  <c r="F4997"/>
  <c r="F4996"/>
  <c r="F4995"/>
  <c r="F4994"/>
  <c r="F4993"/>
  <c r="F4992"/>
  <c r="F4991"/>
  <c r="F4990"/>
  <c r="F4989"/>
  <c r="F4988"/>
  <c r="F4987"/>
  <c r="F4986"/>
  <c r="F4985"/>
  <c r="F4984"/>
  <c r="F4983"/>
  <c r="F4982"/>
  <c r="F4981"/>
  <c r="F4980"/>
  <c r="F4979"/>
  <c r="F4978"/>
  <c r="F4977"/>
  <c r="F4976"/>
  <c r="F4975"/>
  <c r="F4974"/>
  <c r="F4973"/>
  <c r="F4972"/>
  <c r="F4971"/>
  <c r="F4970"/>
  <c r="F4969"/>
  <c r="F4968"/>
  <c r="F4967"/>
  <c r="F4966"/>
  <c r="F4965"/>
  <c r="F4964"/>
  <c r="F4963"/>
  <c r="F4962"/>
  <c r="F4961"/>
  <c r="F4960"/>
  <c r="F4959"/>
  <c r="F4958"/>
  <c r="F4957"/>
  <c r="F4956"/>
  <c r="F4955"/>
  <c r="F4954"/>
  <c r="F4953"/>
  <c r="F4952"/>
  <c r="F4951"/>
  <c r="F4950"/>
  <c r="F4949"/>
  <c r="F4948"/>
  <c r="F4947"/>
  <c r="F4946"/>
  <c r="F4945"/>
  <c r="F4944"/>
  <c r="F4943"/>
  <c r="F4942"/>
  <c r="F4941"/>
  <c r="F4940"/>
  <c r="F4939"/>
  <c r="F4938"/>
  <c r="F4937"/>
  <c r="F4936"/>
  <c r="F4935"/>
  <c r="F4934"/>
  <c r="F4933"/>
  <c r="F4932"/>
  <c r="F4931"/>
  <c r="F4930"/>
  <c r="F4929"/>
  <c r="F4928"/>
  <c r="F4927"/>
  <c r="F4926"/>
  <c r="F4925"/>
  <c r="F4924"/>
  <c r="F4923"/>
  <c r="F4922"/>
  <c r="F4921"/>
  <c r="F4920"/>
  <c r="F4919"/>
  <c r="F4918"/>
  <c r="F4917"/>
  <c r="F4916"/>
  <c r="F4915"/>
  <c r="F4914"/>
  <c r="F4913"/>
  <c r="F4912"/>
  <c r="F4911"/>
  <c r="F4910"/>
  <c r="F4909"/>
  <c r="F4908"/>
  <c r="F4907"/>
  <c r="F4906"/>
  <c r="F4905"/>
  <c r="F4904"/>
  <c r="F4903"/>
  <c r="F4902"/>
  <c r="F4901"/>
  <c r="F4900"/>
  <c r="F4899"/>
  <c r="F4898"/>
  <c r="F4897"/>
  <c r="F4896"/>
  <c r="F4895"/>
  <c r="F4894"/>
  <c r="F4893"/>
  <c r="F4892"/>
  <c r="F4891"/>
  <c r="F4890"/>
  <c r="F4889"/>
  <c r="F4888"/>
  <c r="F4887"/>
  <c r="F4886"/>
  <c r="F4885"/>
  <c r="F4884"/>
  <c r="F4883"/>
  <c r="F4882"/>
  <c r="F4881"/>
  <c r="F4880"/>
  <c r="F4879"/>
  <c r="F4878"/>
  <c r="F4877"/>
  <c r="F4876"/>
  <c r="F4875"/>
  <c r="F4874"/>
  <c r="F4873"/>
  <c r="F4872"/>
  <c r="F4871"/>
  <c r="F4870"/>
  <c r="F4869"/>
  <c r="F4868"/>
  <c r="F4867"/>
  <c r="F4866"/>
  <c r="F4865"/>
  <c r="F4864"/>
  <c r="F4863"/>
  <c r="F4862"/>
  <c r="F4861"/>
  <c r="F4860"/>
  <c r="F4859"/>
  <c r="F4858"/>
  <c r="F4857"/>
  <c r="F4856"/>
  <c r="F4855"/>
  <c r="F4854"/>
  <c r="F4853"/>
  <c r="F4852"/>
  <c r="F4851"/>
  <c r="F4850"/>
  <c r="F4849"/>
  <c r="F4848"/>
  <c r="F4847"/>
  <c r="F4846"/>
  <c r="F4845"/>
  <c r="F4844"/>
  <c r="F4843"/>
  <c r="F4842"/>
  <c r="F4841"/>
  <c r="F4840"/>
  <c r="F4839"/>
  <c r="F4838"/>
  <c r="F4837"/>
  <c r="F4836"/>
  <c r="F4835"/>
  <c r="F4834"/>
  <c r="F4833"/>
  <c r="F4832"/>
  <c r="F4831"/>
  <c r="F4830"/>
  <c r="F4829"/>
  <c r="F4828"/>
  <c r="F4827"/>
  <c r="F4826"/>
  <c r="F4825"/>
  <c r="F4824"/>
  <c r="F4823"/>
  <c r="F4822"/>
  <c r="F4821"/>
  <c r="F4820"/>
  <c r="F4819"/>
  <c r="F4818"/>
  <c r="F4817"/>
  <c r="F4816"/>
  <c r="F4815"/>
  <c r="F4814"/>
  <c r="F4813"/>
  <c r="F4812"/>
  <c r="F4811"/>
  <c r="F4810"/>
  <c r="F4809"/>
  <c r="F4808"/>
  <c r="F4807"/>
  <c r="F4806"/>
  <c r="F4805"/>
  <c r="F4804"/>
  <c r="F4803"/>
  <c r="F4802"/>
  <c r="F4801"/>
  <c r="F4800"/>
  <c r="F4799"/>
  <c r="F4798"/>
  <c r="F4797"/>
  <c r="F4796"/>
  <c r="F4795"/>
  <c r="F4794"/>
  <c r="F4793"/>
  <c r="F4792"/>
  <c r="F4791"/>
  <c r="F4790"/>
  <c r="F4789"/>
  <c r="F4788"/>
  <c r="F4787"/>
  <c r="F4786"/>
  <c r="F4785"/>
  <c r="F4784"/>
  <c r="F4783"/>
  <c r="F4782"/>
  <c r="F4781"/>
  <c r="F4780"/>
  <c r="F4779"/>
  <c r="F4778"/>
  <c r="F4777"/>
  <c r="F4776"/>
  <c r="F4775"/>
  <c r="F4774"/>
  <c r="F4773"/>
  <c r="F4772"/>
  <c r="F4771"/>
  <c r="F4770"/>
  <c r="F4769"/>
  <c r="F4768"/>
  <c r="F4767"/>
  <c r="F4766"/>
  <c r="F4765"/>
  <c r="F4764"/>
  <c r="F4763"/>
  <c r="F4762"/>
  <c r="F4761"/>
  <c r="F4760"/>
  <c r="F4759"/>
  <c r="F4758"/>
  <c r="F4757"/>
  <c r="F4756"/>
  <c r="F4755"/>
  <c r="F4754"/>
  <c r="F4753"/>
  <c r="F4752"/>
  <c r="F4751"/>
  <c r="F4750"/>
  <c r="F4749"/>
  <c r="F4748"/>
  <c r="F4747"/>
  <c r="F4746"/>
  <c r="F4745"/>
  <c r="F4744"/>
  <c r="F4743"/>
  <c r="F4742"/>
  <c r="F4741"/>
  <c r="F4740"/>
  <c r="F4739"/>
  <c r="F4738"/>
  <c r="F4737"/>
  <c r="F4736"/>
  <c r="F4735"/>
  <c r="F4734"/>
  <c r="F4733"/>
  <c r="F4732"/>
  <c r="F4731"/>
  <c r="F4730"/>
  <c r="F4729"/>
  <c r="F4728"/>
  <c r="F4727"/>
  <c r="F4726"/>
  <c r="F4725"/>
  <c r="F4724"/>
  <c r="F4723"/>
  <c r="F4722"/>
  <c r="F4721"/>
  <c r="F4720"/>
  <c r="F4719"/>
  <c r="F4718"/>
  <c r="F4717"/>
  <c r="F4716"/>
  <c r="F4715"/>
  <c r="F4714"/>
  <c r="F4713"/>
  <c r="F4712"/>
  <c r="F4711"/>
  <c r="F4710"/>
  <c r="F4709"/>
  <c r="F4708"/>
  <c r="F4707"/>
  <c r="F4706"/>
  <c r="F4705"/>
  <c r="F4704"/>
  <c r="F4703"/>
  <c r="F4702"/>
  <c r="F4701"/>
  <c r="F4700"/>
  <c r="F4699"/>
  <c r="F4698"/>
  <c r="F4697"/>
  <c r="F4696"/>
  <c r="F4695"/>
  <c r="F4694"/>
  <c r="F4693"/>
  <c r="F4692"/>
  <c r="F4691"/>
  <c r="F4690"/>
  <c r="F4689"/>
  <c r="F4688"/>
  <c r="F4687"/>
  <c r="F4686"/>
  <c r="F4685"/>
  <c r="F4684"/>
  <c r="F4683"/>
  <c r="F4682"/>
  <c r="F4681"/>
  <c r="F4680"/>
  <c r="F4679"/>
  <c r="F4678"/>
  <c r="F4677"/>
  <c r="F4676"/>
  <c r="F4675"/>
  <c r="F4674"/>
  <c r="F4673"/>
  <c r="F4672"/>
  <c r="F4671"/>
  <c r="F4670"/>
  <c r="F4669"/>
  <c r="F4668"/>
  <c r="F4667"/>
  <c r="F4666"/>
  <c r="F4665"/>
  <c r="F4664"/>
  <c r="F4663"/>
  <c r="F4662"/>
  <c r="F4661"/>
  <c r="F4660"/>
  <c r="F4659"/>
  <c r="F4658"/>
  <c r="F4657"/>
  <c r="F4656"/>
  <c r="F4655"/>
  <c r="F4654"/>
  <c r="F4653"/>
  <c r="F4652"/>
  <c r="F4651"/>
  <c r="F4650"/>
  <c r="F4649"/>
  <c r="F4648"/>
  <c r="F4647"/>
  <c r="F4646"/>
  <c r="F4645"/>
  <c r="F4644"/>
  <c r="F4643"/>
  <c r="F4642"/>
  <c r="F4641"/>
  <c r="F4640"/>
  <c r="F4639"/>
  <c r="F4638"/>
  <c r="F4637"/>
  <c r="F4636"/>
  <c r="F4635"/>
  <c r="F4634"/>
  <c r="F4633"/>
  <c r="F4632"/>
  <c r="F4631"/>
  <c r="F4630"/>
  <c r="F4629"/>
  <c r="F4628"/>
  <c r="F4627"/>
  <c r="F4626"/>
  <c r="F4625"/>
  <c r="F4624"/>
  <c r="F4623"/>
  <c r="F4622"/>
  <c r="F4621"/>
  <c r="F4620"/>
  <c r="F4619"/>
  <c r="F4618"/>
  <c r="F4617"/>
  <c r="F4616"/>
  <c r="F4615"/>
  <c r="F4614"/>
  <c r="F4613"/>
  <c r="F4612"/>
  <c r="F4611"/>
  <c r="F4610"/>
  <c r="F4609"/>
  <c r="F4608"/>
  <c r="F4607"/>
  <c r="F4606"/>
  <c r="F4605"/>
  <c r="F4604"/>
  <c r="F4603"/>
  <c r="F4602"/>
  <c r="F4601"/>
  <c r="F4600"/>
  <c r="F4599"/>
  <c r="F4598"/>
  <c r="F4597"/>
  <c r="F4596"/>
  <c r="F4595"/>
  <c r="F4594"/>
  <c r="F4593"/>
  <c r="F4592"/>
  <c r="F4591"/>
  <c r="F4590"/>
  <c r="F4589"/>
  <c r="F4588"/>
  <c r="F4587"/>
  <c r="F4586"/>
  <c r="F4585"/>
  <c r="F4584"/>
  <c r="F4583"/>
  <c r="F4582"/>
  <c r="F4581"/>
  <c r="F4580"/>
  <c r="F4579"/>
  <c r="F4578"/>
  <c r="F4577"/>
  <c r="F4576"/>
  <c r="F4575"/>
  <c r="F4574"/>
  <c r="F4573"/>
  <c r="F4572"/>
  <c r="F4571"/>
  <c r="F4570"/>
  <c r="F4569"/>
  <c r="F4568"/>
  <c r="F4567"/>
  <c r="F4566"/>
  <c r="F4565"/>
  <c r="F4564"/>
  <c r="F4563"/>
  <c r="F4562"/>
  <c r="F4561"/>
  <c r="F4560"/>
  <c r="F4559"/>
  <c r="F4558"/>
  <c r="F4557"/>
  <c r="F4556"/>
  <c r="F4555"/>
  <c r="F4554"/>
  <c r="F4553"/>
  <c r="F4552"/>
  <c r="F4551"/>
  <c r="F4550"/>
  <c r="F4549"/>
  <c r="F4548"/>
  <c r="F4547"/>
  <c r="F4546"/>
  <c r="F4545"/>
  <c r="F4544"/>
  <c r="F4543"/>
  <c r="F4542"/>
  <c r="F4541"/>
  <c r="F4540"/>
  <c r="F4539"/>
  <c r="F4538"/>
  <c r="F4537"/>
  <c r="F4536"/>
  <c r="F4535"/>
  <c r="F4534"/>
  <c r="F4533"/>
  <c r="F4532"/>
  <c r="F4531"/>
  <c r="F4530"/>
  <c r="F4529"/>
  <c r="F4528"/>
  <c r="F4527"/>
  <c r="F4526"/>
  <c r="F4525"/>
  <c r="F4524"/>
  <c r="F4523"/>
  <c r="F4522"/>
  <c r="F4521"/>
  <c r="F4520"/>
  <c r="F4519"/>
  <c r="F4518"/>
  <c r="F4517"/>
  <c r="F4516"/>
  <c r="F4515"/>
  <c r="F4514"/>
  <c r="F4513"/>
  <c r="F4512"/>
  <c r="F4511"/>
  <c r="F4510"/>
  <c r="F4509"/>
  <c r="F4508"/>
  <c r="F4507"/>
  <c r="F4506"/>
  <c r="F4505"/>
  <c r="F4504"/>
  <c r="F4503"/>
  <c r="F4502"/>
  <c r="F4501"/>
  <c r="F4500"/>
  <c r="F4499"/>
  <c r="F4498"/>
  <c r="F4497"/>
  <c r="F4496"/>
  <c r="F4495"/>
  <c r="F4494"/>
  <c r="F4493"/>
  <c r="F4492"/>
  <c r="F4491"/>
  <c r="F4490"/>
  <c r="F4489"/>
  <c r="F4488"/>
  <c r="F4487"/>
  <c r="F4486"/>
  <c r="F4485"/>
  <c r="F4484"/>
  <c r="F4483"/>
  <c r="F4482"/>
  <c r="F4481"/>
  <c r="F4480"/>
  <c r="F4479"/>
  <c r="F4478"/>
  <c r="F4477"/>
  <c r="F4476"/>
  <c r="F4475"/>
  <c r="F4474"/>
  <c r="F4473"/>
  <c r="F4472"/>
  <c r="F4471"/>
  <c r="F4470"/>
  <c r="F4469"/>
  <c r="F4468"/>
  <c r="F4467"/>
  <c r="F4466"/>
  <c r="F4465"/>
  <c r="F4464"/>
  <c r="F4463"/>
  <c r="F4462"/>
  <c r="F4461"/>
  <c r="F4460"/>
  <c r="F4459"/>
  <c r="F4458"/>
  <c r="F4457"/>
  <c r="F4456"/>
  <c r="F4455"/>
  <c r="F4454"/>
  <c r="F4453"/>
  <c r="F4452"/>
  <c r="F4451"/>
  <c r="F4450"/>
  <c r="F4449"/>
  <c r="F4448"/>
  <c r="F4447"/>
  <c r="F4446"/>
  <c r="F4445"/>
  <c r="F4444"/>
  <c r="F4443"/>
  <c r="F4442"/>
  <c r="F4441"/>
  <c r="F4440"/>
  <c r="F4439"/>
  <c r="F4438"/>
  <c r="F4437"/>
  <c r="F4436"/>
  <c r="F4435"/>
  <c r="F4434"/>
  <c r="F4433"/>
  <c r="F4432"/>
  <c r="F4431"/>
  <c r="F4430"/>
  <c r="F4429"/>
  <c r="F4428"/>
  <c r="F4427"/>
  <c r="F4426"/>
  <c r="F4425"/>
  <c r="F4424"/>
  <c r="F4423"/>
  <c r="F4422"/>
  <c r="F4421"/>
  <c r="F4420"/>
  <c r="F4419"/>
  <c r="F4418"/>
  <c r="F4417"/>
  <c r="F4416"/>
  <c r="F4415"/>
  <c r="F4414"/>
  <c r="F4413"/>
  <c r="F4412"/>
  <c r="F4411"/>
  <c r="F4410"/>
  <c r="F4409"/>
  <c r="F4408"/>
  <c r="F4407"/>
  <c r="F4406"/>
  <c r="F4405"/>
  <c r="F4404"/>
  <c r="F4403"/>
  <c r="F4402"/>
  <c r="F4401"/>
  <c r="F4400"/>
  <c r="F4399"/>
  <c r="F4398"/>
  <c r="F4397"/>
  <c r="F4396"/>
  <c r="F4395"/>
  <c r="F4394"/>
  <c r="F4393"/>
  <c r="F4392"/>
  <c r="F4391"/>
  <c r="F4390"/>
  <c r="F4389"/>
  <c r="F4388"/>
  <c r="F4387"/>
  <c r="F4386"/>
  <c r="F4385"/>
  <c r="F4384"/>
  <c r="F4383"/>
  <c r="F4382"/>
  <c r="F4381"/>
  <c r="F4380"/>
  <c r="F4379"/>
  <c r="F4378"/>
  <c r="F4377"/>
  <c r="F4376"/>
  <c r="F4375"/>
  <c r="F4374"/>
  <c r="F4373"/>
  <c r="F4372"/>
  <c r="F4371"/>
  <c r="F4370"/>
  <c r="F4369"/>
  <c r="F4368"/>
  <c r="F4367"/>
  <c r="F4366"/>
  <c r="F4365"/>
  <c r="F4364"/>
  <c r="F4363"/>
  <c r="F4362"/>
  <c r="F4361"/>
  <c r="F4360"/>
  <c r="F4359"/>
  <c r="F4358"/>
  <c r="F4357"/>
  <c r="F4356"/>
  <c r="F4355"/>
  <c r="F4354"/>
  <c r="F4353"/>
  <c r="F4352"/>
  <c r="F4351"/>
  <c r="F4350"/>
  <c r="F4349"/>
  <c r="F4348"/>
  <c r="F4347"/>
  <c r="F4346"/>
  <c r="F4345"/>
  <c r="F4344"/>
  <c r="F4343"/>
  <c r="F4342"/>
  <c r="F4341"/>
  <c r="F4340"/>
  <c r="F4339"/>
  <c r="F4338"/>
  <c r="F4337"/>
  <c r="F4336"/>
  <c r="F4335"/>
  <c r="F4334"/>
  <c r="F4333"/>
  <c r="F4332"/>
  <c r="F4331"/>
  <c r="F4330"/>
  <c r="F4329"/>
  <c r="F4328"/>
  <c r="F4327"/>
  <c r="F4326"/>
  <c r="F4325"/>
  <c r="F4324"/>
  <c r="F4323"/>
  <c r="F4322"/>
  <c r="F4321"/>
  <c r="F4320"/>
  <c r="F4319"/>
  <c r="F4318"/>
  <c r="F4317"/>
  <c r="F4316"/>
  <c r="F4315"/>
  <c r="F4314"/>
  <c r="F4313"/>
  <c r="F4312"/>
  <c r="F4311"/>
  <c r="F4310"/>
  <c r="F4309"/>
  <c r="F4308"/>
  <c r="F4307"/>
  <c r="F4306"/>
  <c r="F4305"/>
  <c r="F4304"/>
  <c r="F4303"/>
  <c r="F4302"/>
  <c r="F4301"/>
  <c r="F4300"/>
  <c r="F4299"/>
  <c r="F4298"/>
  <c r="F4297"/>
  <c r="F4296"/>
  <c r="F4295"/>
  <c r="F4294"/>
  <c r="F4293"/>
  <c r="F4292"/>
  <c r="F4291"/>
  <c r="F4290"/>
  <c r="F4289"/>
  <c r="F4288"/>
  <c r="F4287"/>
  <c r="F4286"/>
  <c r="F4285"/>
  <c r="F4284"/>
  <c r="F4283"/>
  <c r="F4282"/>
  <c r="F4281"/>
  <c r="F4280"/>
  <c r="F4279"/>
  <c r="F4278"/>
  <c r="F4277"/>
  <c r="F4276"/>
  <c r="F4275"/>
  <c r="F4274"/>
  <c r="F4273"/>
  <c r="F4272"/>
  <c r="F4271"/>
  <c r="F4270"/>
  <c r="F4269"/>
  <c r="F4268"/>
  <c r="F4267"/>
  <c r="F4266"/>
  <c r="F4265"/>
  <c r="F4264"/>
  <c r="F4263"/>
  <c r="F4262"/>
  <c r="F4261"/>
  <c r="F4260"/>
  <c r="F4259"/>
  <c r="F4258"/>
  <c r="F4257"/>
  <c r="F4256"/>
  <c r="F4255"/>
  <c r="F4254"/>
  <c r="F4253"/>
  <c r="F4252"/>
  <c r="F4251"/>
  <c r="F4250"/>
  <c r="F4249"/>
  <c r="F4248"/>
  <c r="F4247"/>
  <c r="F4246"/>
  <c r="F4245"/>
  <c r="F4244"/>
  <c r="F4243"/>
  <c r="F4242"/>
  <c r="F4241"/>
  <c r="F4240"/>
  <c r="F4239"/>
  <c r="F4238"/>
  <c r="F4237"/>
  <c r="F4236"/>
  <c r="F4235"/>
  <c r="F4234"/>
  <c r="F4233"/>
  <c r="F4232"/>
  <c r="F4231"/>
  <c r="F4230"/>
  <c r="F4229"/>
  <c r="F4228"/>
  <c r="F4227"/>
  <c r="F4226"/>
  <c r="F4225"/>
  <c r="F4224"/>
  <c r="F4223"/>
  <c r="F4222"/>
  <c r="F4221"/>
  <c r="F4220"/>
  <c r="F4219"/>
  <c r="F4218"/>
  <c r="F4217"/>
  <c r="F4216"/>
  <c r="F4215"/>
  <c r="F4214"/>
  <c r="F4213"/>
  <c r="F4212"/>
  <c r="F4211"/>
  <c r="F4210"/>
  <c r="F4209"/>
  <c r="F4208"/>
  <c r="F4207"/>
  <c r="F4206"/>
  <c r="F4205"/>
  <c r="F4204"/>
  <c r="F4203"/>
  <c r="F4202"/>
  <c r="F4201"/>
  <c r="F4200"/>
  <c r="F4199"/>
  <c r="F4198"/>
  <c r="F4197"/>
  <c r="F4196"/>
  <c r="F4195"/>
  <c r="F4194"/>
  <c r="F4193"/>
  <c r="F4192"/>
  <c r="F4191"/>
  <c r="F4190"/>
  <c r="F4189"/>
  <c r="F4188"/>
  <c r="F4187"/>
  <c r="F4186"/>
  <c r="F4185"/>
  <c r="F4184"/>
  <c r="F4183"/>
  <c r="F4182"/>
  <c r="F4181"/>
  <c r="F4180"/>
  <c r="F4179"/>
  <c r="F4178"/>
  <c r="F4177"/>
  <c r="F4176"/>
  <c r="F4175"/>
  <c r="F4174"/>
  <c r="F4173"/>
  <c r="F4172"/>
  <c r="F4171"/>
  <c r="F4170"/>
  <c r="F4169"/>
  <c r="F4168"/>
  <c r="F4167"/>
  <c r="F4166"/>
  <c r="F4165"/>
  <c r="F4164"/>
  <c r="F4163"/>
  <c r="F4162"/>
  <c r="F4161"/>
  <c r="F4160"/>
  <c r="F4159"/>
  <c r="F4158"/>
  <c r="F4157"/>
  <c r="F4156"/>
  <c r="F4155"/>
  <c r="F4154"/>
  <c r="F4153"/>
  <c r="F4152"/>
  <c r="F4151"/>
  <c r="F4150"/>
  <c r="F4149"/>
  <c r="F4148"/>
  <c r="F4147"/>
  <c r="F4146"/>
  <c r="F4145"/>
  <c r="F4144"/>
  <c r="F4143"/>
  <c r="F4142"/>
  <c r="F4141"/>
  <c r="F4140"/>
  <c r="F4139"/>
  <c r="F4138"/>
  <c r="F4137"/>
  <c r="F4136"/>
  <c r="F4135"/>
  <c r="F4134"/>
  <c r="F4133"/>
  <c r="F4132"/>
  <c r="F4131"/>
  <c r="F4130"/>
  <c r="F4129"/>
  <c r="F4128"/>
  <c r="F4127"/>
  <c r="F4126"/>
  <c r="F4125"/>
  <c r="F4124"/>
  <c r="F4123"/>
  <c r="F4122"/>
  <c r="F4121"/>
  <c r="F4120"/>
  <c r="F4119"/>
  <c r="F4118"/>
  <c r="F4117"/>
  <c r="F4116"/>
  <c r="F4115"/>
  <c r="F4114"/>
  <c r="F4113"/>
  <c r="F4112"/>
  <c r="F4111"/>
  <c r="F4110"/>
  <c r="F4109"/>
  <c r="F4108"/>
  <c r="F4107"/>
  <c r="F4106"/>
  <c r="F4105"/>
  <c r="F4104"/>
  <c r="F4103"/>
  <c r="F4102"/>
  <c r="F4101"/>
  <c r="F4100"/>
  <c r="F4099"/>
  <c r="F4098"/>
  <c r="F4097"/>
  <c r="F4096"/>
  <c r="F4095"/>
  <c r="F4094"/>
  <c r="F4093"/>
  <c r="F4092"/>
  <c r="F4091"/>
  <c r="F4090"/>
  <c r="F4089"/>
  <c r="F4088"/>
  <c r="F4087"/>
  <c r="F4086"/>
  <c r="F4085"/>
  <c r="F4084"/>
  <c r="F4083"/>
  <c r="F4082"/>
  <c r="F4081"/>
  <c r="F4080"/>
  <c r="F4079"/>
  <c r="F4078"/>
  <c r="F4077"/>
  <c r="F4076"/>
  <c r="F4075"/>
  <c r="F4074"/>
  <c r="F4073"/>
  <c r="F4072"/>
  <c r="F4071"/>
  <c r="F4070"/>
  <c r="F4069"/>
  <c r="F4068"/>
  <c r="F4067"/>
  <c r="F4066"/>
  <c r="F4065"/>
  <c r="F4064"/>
  <c r="F4063"/>
  <c r="F4062"/>
  <c r="F4061"/>
  <c r="F4060"/>
  <c r="F4059"/>
  <c r="F4058"/>
  <c r="F4057"/>
  <c r="F4056"/>
  <c r="F4055"/>
  <c r="F4054"/>
  <c r="F4053"/>
  <c r="F4052"/>
  <c r="F4051"/>
  <c r="F4050"/>
  <c r="F4049"/>
  <c r="F4048"/>
  <c r="F4047"/>
  <c r="F4046"/>
  <c r="F4045"/>
  <c r="F4044"/>
  <c r="F4043"/>
  <c r="F4042"/>
  <c r="F4041"/>
  <c r="F4040"/>
  <c r="F4039"/>
  <c r="F4038"/>
  <c r="F4037"/>
  <c r="F4036"/>
  <c r="F4035"/>
  <c r="F4034"/>
  <c r="F4033"/>
  <c r="F4032"/>
  <c r="F4031"/>
  <c r="F4030"/>
  <c r="F4029"/>
  <c r="F4028"/>
  <c r="F4027"/>
  <c r="F4026"/>
  <c r="F4025"/>
  <c r="F4024"/>
  <c r="F4023"/>
  <c r="F4022"/>
  <c r="F4021"/>
  <c r="F4020"/>
  <c r="F4019"/>
  <c r="F4018"/>
  <c r="F4017"/>
  <c r="F4016"/>
  <c r="F4015"/>
  <c r="F4014"/>
  <c r="F4013"/>
  <c r="F4012"/>
  <c r="F4011"/>
  <c r="F4010"/>
  <c r="F4009"/>
  <c r="F4008"/>
  <c r="F4007"/>
  <c r="F4006"/>
  <c r="F4005"/>
  <c r="F4004"/>
  <c r="F4003"/>
  <c r="F4002"/>
  <c r="F4001"/>
  <c r="F4000"/>
  <c r="F3999"/>
  <c r="F3998"/>
  <c r="F3997"/>
  <c r="F3996"/>
  <c r="F3995"/>
  <c r="F3994"/>
  <c r="F3993"/>
  <c r="F3992"/>
  <c r="F3991"/>
  <c r="F3990"/>
  <c r="F3989"/>
  <c r="F3988"/>
  <c r="F3987"/>
  <c r="F3986"/>
  <c r="F3985"/>
  <c r="F3984"/>
  <c r="F3983"/>
  <c r="F3982"/>
  <c r="F3981"/>
  <c r="F3980"/>
  <c r="F3979"/>
  <c r="F3978"/>
  <c r="F3977"/>
  <c r="F3976"/>
  <c r="F3975"/>
  <c r="F3974"/>
  <c r="F3973"/>
  <c r="F3972"/>
  <c r="F3971"/>
  <c r="F3970"/>
  <c r="F3969"/>
  <c r="F3968"/>
  <c r="F3967"/>
  <c r="F3966"/>
  <c r="F3965"/>
  <c r="F3964"/>
  <c r="F3963"/>
  <c r="F3962"/>
  <c r="F3961"/>
  <c r="F3960"/>
  <c r="F3959"/>
  <c r="F3958"/>
  <c r="F3957"/>
  <c r="F3956"/>
  <c r="F3955"/>
  <c r="F3954"/>
  <c r="F3953"/>
  <c r="F3952"/>
  <c r="F3951"/>
  <c r="F3950"/>
  <c r="F3949"/>
  <c r="F3948"/>
  <c r="F3947"/>
  <c r="F3946"/>
  <c r="F3945"/>
  <c r="F3944"/>
  <c r="F3943"/>
  <c r="F3942"/>
  <c r="F3941"/>
  <c r="F3940"/>
  <c r="F3939"/>
  <c r="F3938"/>
  <c r="F3937"/>
  <c r="F3936"/>
  <c r="F3935"/>
  <c r="F3934"/>
  <c r="F3933"/>
  <c r="F3932"/>
  <c r="F3931"/>
  <c r="F3930"/>
  <c r="F3929"/>
  <c r="F3928"/>
  <c r="F3927"/>
  <c r="F3926"/>
  <c r="F3925"/>
  <c r="F3924"/>
  <c r="F3923"/>
  <c r="F3922"/>
  <c r="F3921"/>
  <c r="F3920"/>
  <c r="F3919"/>
  <c r="F3918"/>
  <c r="F3917"/>
  <c r="F3916"/>
  <c r="F3915"/>
  <c r="F3914"/>
  <c r="F3913"/>
  <c r="F3912"/>
  <c r="F3911"/>
  <c r="F3910"/>
  <c r="F3909"/>
  <c r="F3908"/>
  <c r="F3907"/>
  <c r="F3906"/>
  <c r="F3905"/>
  <c r="F3904"/>
  <c r="F3903"/>
  <c r="F3902"/>
  <c r="F3901"/>
  <c r="F3900"/>
  <c r="F3899"/>
  <c r="F3898"/>
  <c r="F3897"/>
  <c r="F3896"/>
  <c r="F3895"/>
  <c r="F3894"/>
  <c r="F3893"/>
  <c r="F3892"/>
  <c r="F3891"/>
  <c r="F3890"/>
  <c r="F3889"/>
  <c r="F3888"/>
  <c r="F3887"/>
  <c r="F3886"/>
  <c r="F3885"/>
  <c r="F3884"/>
  <c r="F3883"/>
  <c r="F3882"/>
  <c r="F3881"/>
  <c r="F3880"/>
  <c r="F3879"/>
  <c r="F3878"/>
  <c r="F3877"/>
  <c r="F3876"/>
  <c r="F3875"/>
  <c r="F3874"/>
  <c r="F3873"/>
  <c r="F3872"/>
  <c r="F3871"/>
  <c r="F3870"/>
  <c r="F3869"/>
  <c r="F3868"/>
  <c r="F3867"/>
  <c r="F3866"/>
  <c r="F3865"/>
  <c r="F3864"/>
  <c r="F3863"/>
  <c r="F3862"/>
  <c r="F3861"/>
  <c r="F3860"/>
  <c r="F3859"/>
  <c r="F3858"/>
  <c r="F3857"/>
  <c r="F3856"/>
  <c r="F3855"/>
  <c r="F3854"/>
  <c r="F3853"/>
  <c r="F3852"/>
  <c r="F3851"/>
  <c r="F3850"/>
  <c r="F3849"/>
  <c r="F3848"/>
  <c r="F3847"/>
  <c r="F3846"/>
  <c r="F3845"/>
  <c r="F3844"/>
  <c r="F3843"/>
  <c r="F3842"/>
  <c r="F3841"/>
  <c r="F3840"/>
  <c r="F3839"/>
  <c r="F3838"/>
  <c r="F3837"/>
  <c r="F3836"/>
  <c r="F3835"/>
  <c r="F3834"/>
  <c r="F3833"/>
  <c r="F3832"/>
  <c r="F3831"/>
  <c r="F3830"/>
  <c r="F3829"/>
  <c r="F3828"/>
  <c r="F3827"/>
  <c r="F3826"/>
  <c r="F3825"/>
  <c r="F3824"/>
  <c r="F3823"/>
  <c r="F3822"/>
  <c r="F3821"/>
  <c r="F3820"/>
  <c r="F3819"/>
  <c r="F3818"/>
  <c r="F3817"/>
  <c r="F3816"/>
  <c r="F3815"/>
  <c r="F3814"/>
  <c r="F3813"/>
  <c r="F3812"/>
  <c r="F3811"/>
  <c r="F3810"/>
  <c r="F3809"/>
  <c r="F3808"/>
  <c r="F3807"/>
  <c r="F3806"/>
  <c r="F3805"/>
  <c r="F3804"/>
  <c r="F3803"/>
  <c r="F3802"/>
  <c r="F3801"/>
  <c r="F3800"/>
  <c r="F3799"/>
  <c r="F3798"/>
  <c r="F3797"/>
  <c r="F3796"/>
  <c r="F3795"/>
  <c r="F3794"/>
  <c r="F3793"/>
  <c r="F3792"/>
  <c r="F3791"/>
  <c r="F3790"/>
  <c r="F3789"/>
  <c r="F3788"/>
  <c r="F3787"/>
  <c r="F3786"/>
  <c r="F3785"/>
  <c r="F3784"/>
  <c r="F3783"/>
  <c r="F3782"/>
  <c r="F3781"/>
  <c r="F3780"/>
  <c r="F3779"/>
  <c r="F3778"/>
  <c r="F3777"/>
  <c r="F3776"/>
  <c r="F3775"/>
  <c r="F3774"/>
  <c r="F3773"/>
  <c r="F3772"/>
  <c r="F3771"/>
  <c r="F3770"/>
  <c r="F3769"/>
  <c r="F3768"/>
  <c r="F3767"/>
  <c r="F3766"/>
  <c r="F3765"/>
  <c r="F3764"/>
  <c r="F3763"/>
  <c r="F3762"/>
  <c r="F3761"/>
  <c r="F3760"/>
  <c r="F3759"/>
  <c r="F3758"/>
  <c r="F3757"/>
  <c r="F3756"/>
  <c r="F3755"/>
  <c r="F3754"/>
  <c r="F3753"/>
  <c r="F3752"/>
  <c r="F3751"/>
  <c r="F3750"/>
  <c r="F3749"/>
  <c r="F3748"/>
  <c r="F3747"/>
  <c r="F3746"/>
  <c r="F3745"/>
  <c r="F3744"/>
  <c r="F3743"/>
  <c r="F3742"/>
  <c r="F3741"/>
  <c r="F3740"/>
  <c r="F3739"/>
  <c r="F3738"/>
  <c r="F3737"/>
  <c r="F3736"/>
  <c r="F3735"/>
  <c r="F3734"/>
  <c r="F3733"/>
  <c r="F3732"/>
  <c r="F3731"/>
  <c r="F3730"/>
  <c r="F3729"/>
  <c r="F3728"/>
  <c r="F3727"/>
  <c r="F3726"/>
  <c r="F3725"/>
  <c r="F3724"/>
  <c r="F3723"/>
  <c r="F3722"/>
  <c r="F3721"/>
  <c r="F3720"/>
  <c r="F3719"/>
  <c r="F3718"/>
  <c r="F3717"/>
  <c r="F3716"/>
  <c r="F3715"/>
  <c r="F3714"/>
  <c r="F3713"/>
  <c r="F3712"/>
  <c r="F3711"/>
  <c r="F3710"/>
  <c r="F3709"/>
  <c r="F3708"/>
  <c r="F3707"/>
  <c r="F3706"/>
  <c r="F3705"/>
  <c r="F3704"/>
  <c r="F3703"/>
  <c r="F3702"/>
  <c r="F3701"/>
  <c r="F3700"/>
  <c r="F3699"/>
  <c r="F3698"/>
  <c r="F3697"/>
  <c r="F3696"/>
  <c r="F3695"/>
  <c r="F3694"/>
  <c r="F3693"/>
  <c r="F3692"/>
  <c r="F3691"/>
  <c r="F3690"/>
  <c r="F3689"/>
  <c r="F3688"/>
  <c r="F3687"/>
  <c r="F3686"/>
  <c r="F3685"/>
  <c r="F3684"/>
  <c r="F3683"/>
  <c r="F3682"/>
  <c r="F3681"/>
  <c r="F3680"/>
  <c r="F3679"/>
  <c r="F3678"/>
  <c r="F3677"/>
  <c r="F3676"/>
  <c r="F3675"/>
  <c r="F3674"/>
  <c r="F3673"/>
  <c r="F3672"/>
  <c r="F3671"/>
  <c r="F3670"/>
  <c r="F3669"/>
  <c r="F3668"/>
  <c r="F3667"/>
  <c r="F3666"/>
  <c r="F3665"/>
  <c r="F3664"/>
  <c r="F3663"/>
  <c r="F3662"/>
  <c r="F3661"/>
  <c r="F3660"/>
  <c r="F3659"/>
  <c r="F3658"/>
  <c r="F3657"/>
  <c r="F3656"/>
  <c r="F3655"/>
  <c r="F3654"/>
  <c r="F3653"/>
  <c r="F3652"/>
  <c r="F3651"/>
  <c r="F3650"/>
  <c r="F3649"/>
  <c r="F3648"/>
  <c r="F3647"/>
  <c r="F3646"/>
  <c r="F3645"/>
  <c r="F3644"/>
  <c r="F3643"/>
  <c r="F3642"/>
  <c r="F3641"/>
  <c r="F3640"/>
  <c r="F3639"/>
  <c r="F3638"/>
  <c r="F3637"/>
  <c r="F3636"/>
  <c r="F3635"/>
  <c r="F3634"/>
  <c r="F3633"/>
  <c r="F3632"/>
  <c r="F3631"/>
  <c r="F3630"/>
  <c r="F3629"/>
  <c r="F3628"/>
  <c r="F3627"/>
  <c r="F3626"/>
  <c r="F3625"/>
  <c r="F3624"/>
  <c r="F3623"/>
  <c r="F3622"/>
  <c r="F3621"/>
  <c r="F3620"/>
  <c r="F3619"/>
  <c r="F3618"/>
  <c r="F3617"/>
  <c r="F3616"/>
  <c r="F3615"/>
  <c r="F3614"/>
  <c r="F3613"/>
  <c r="F3612"/>
  <c r="F3611"/>
  <c r="F3610"/>
  <c r="F3609"/>
  <c r="F3608"/>
  <c r="F3607"/>
  <c r="F3606"/>
  <c r="F3605"/>
  <c r="F3604"/>
  <c r="F3603"/>
  <c r="F3602"/>
  <c r="F3601"/>
  <c r="F3600"/>
  <c r="F3599"/>
  <c r="F3598"/>
  <c r="F3597"/>
  <c r="F3596"/>
  <c r="F3595"/>
  <c r="F3594"/>
  <c r="F3593"/>
  <c r="F3592"/>
  <c r="F3591"/>
  <c r="F3590"/>
  <c r="F3589"/>
  <c r="F3588"/>
  <c r="F3587"/>
  <c r="F3586"/>
  <c r="F3585"/>
  <c r="F3584"/>
  <c r="F3583"/>
  <c r="F3582"/>
  <c r="F3581"/>
  <c r="F3580"/>
  <c r="F3579"/>
  <c r="F3578"/>
  <c r="F3577"/>
  <c r="F3576"/>
  <c r="F3575"/>
  <c r="F3574"/>
  <c r="F3573"/>
  <c r="F3572"/>
  <c r="F3571"/>
  <c r="F3570"/>
  <c r="F3569"/>
  <c r="F3568"/>
  <c r="F3567"/>
  <c r="F3566"/>
  <c r="F3565"/>
  <c r="F3564"/>
  <c r="F3563"/>
  <c r="F3562"/>
  <c r="F3561"/>
  <c r="F3560"/>
  <c r="F3559"/>
  <c r="F3558"/>
  <c r="F3557"/>
  <c r="F3556"/>
  <c r="F3555"/>
  <c r="F3554"/>
  <c r="F3553"/>
  <c r="F3552"/>
  <c r="F3551"/>
  <c r="F3550"/>
  <c r="F3549"/>
  <c r="F3548"/>
  <c r="F3547"/>
  <c r="F3546"/>
  <c r="F3545"/>
  <c r="F3544"/>
  <c r="F3543"/>
  <c r="F3542"/>
  <c r="F3541"/>
  <c r="F3540"/>
  <c r="F3539"/>
  <c r="F3538"/>
  <c r="F3537"/>
  <c r="F3536"/>
  <c r="F3535"/>
  <c r="F3534"/>
  <c r="F3533"/>
  <c r="F3532"/>
  <c r="F3531"/>
  <c r="F3530"/>
  <c r="F3529"/>
  <c r="F3528"/>
  <c r="F3527"/>
  <c r="F3526"/>
  <c r="F3525"/>
  <c r="F3524"/>
  <c r="F3523"/>
  <c r="F3522"/>
  <c r="F3521"/>
  <c r="F3520"/>
  <c r="F3519"/>
  <c r="F3518"/>
  <c r="F3517"/>
  <c r="F3516"/>
  <c r="F3515"/>
  <c r="F3514"/>
  <c r="F3513"/>
  <c r="F3512"/>
  <c r="F3511"/>
  <c r="F3510"/>
  <c r="F3509"/>
  <c r="F3508"/>
  <c r="F3507"/>
  <c r="F3506"/>
  <c r="F3505"/>
  <c r="F3504"/>
  <c r="F3503"/>
  <c r="F3502"/>
  <c r="F3501"/>
  <c r="F3500"/>
  <c r="F3499"/>
  <c r="F3498"/>
  <c r="F3497"/>
  <c r="F3496"/>
  <c r="F3495"/>
  <c r="F3494"/>
  <c r="F3493"/>
  <c r="F3492"/>
  <c r="F3491"/>
  <c r="F3490"/>
  <c r="F3489"/>
  <c r="F3488"/>
  <c r="F3487"/>
  <c r="F3486"/>
  <c r="F3485"/>
  <c r="F3484"/>
  <c r="F3483"/>
  <c r="F3482"/>
  <c r="F3481"/>
  <c r="F3480"/>
  <c r="F3479"/>
  <c r="F3478"/>
  <c r="F3477"/>
  <c r="F3476"/>
  <c r="F3475"/>
  <c r="F3474"/>
  <c r="F3473"/>
  <c r="F3472"/>
  <c r="F3471"/>
  <c r="F3470"/>
  <c r="F3469"/>
  <c r="F3468"/>
  <c r="F3467"/>
  <c r="F3466"/>
  <c r="F3465"/>
  <c r="F3464"/>
  <c r="F3463"/>
  <c r="F3462"/>
  <c r="F3461"/>
  <c r="F3460"/>
  <c r="F3459"/>
  <c r="F3458"/>
  <c r="F3457"/>
  <c r="F3456"/>
  <c r="F3455"/>
  <c r="F3454"/>
  <c r="F3453"/>
  <c r="F3452"/>
  <c r="F3451"/>
  <c r="F3450"/>
  <c r="F3449"/>
  <c r="F3448"/>
  <c r="F3447"/>
  <c r="F3446"/>
  <c r="F3445"/>
  <c r="F3444"/>
  <c r="F3443"/>
  <c r="F3442"/>
  <c r="F3441"/>
  <c r="F3440"/>
  <c r="F3439"/>
  <c r="F3438"/>
  <c r="F3437"/>
  <c r="F3436"/>
  <c r="F3435"/>
  <c r="F3434"/>
  <c r="F3433"/>
  <c r="F3432"/>
  <c r="F3431"/>
  <c r="F3430"/>
  <c r="F3429"/>
  <c r="F3428"/>
  <c r="F3427"/>
  <c r="F3426"/>
  <c r="F3425"/>
  <c r="F3424"/>
  <c r="F3423"/>
  <c r="F3422"/>
  <c r="F3421"/>
  <c r="F3420"/>
  <c r="F3419"/>
  <c r="F3418"/>
  <c r="F3417"/>
  <c r="F3416"/>
  <c r="F3415"/>
  <c r="F3414"/>
  <c r="F3413"/>
  <c r="F3412"/>
  <c r="F3411"/>
  <c r="F3410"/>
  <c r="F3409"/>
  <c r="F3408"/>
  <c r="F3407"/>
  <c r="F3406"/>
  <c r="F3405"/>
  <c r="F3404"/>
  <c r="F3403"/>
  <c r="F3402"/>
  <c r="F3401"/>
  <c r="F3400"/>
  <c r="F3399"/>
  <c r="F3398"/>
  <c r="F3397"/>
  <c r="F3396"/>
  <c r="F3395"/>
  <c r="F3394"/>
  <c r="F3393"/>
  <c r="F3392"/>
  <c r="F3391"/>
  <c r="F3390"/>
  <c r="F3389"/>
  <c r="F3388"/>
  <c r="F3387"/>
  <c r="F3386"/>
  <c r="F3385"/>
  <c r="F3384"/>
  <c r="F3383"/>
  <c r="F3382"/>
  <c r="F3381"/>
  <c r="F3380"/>
  <c r="F3379"/>
  <c r="F3378"/>
  <c r="F3377"/>
  <c r="F3376"/>
  <c r="F3375"/>
  <c r="F3374"/>
  <c r="F3373"/>
  <c r="F3372"/>
  <c r="F3371"/>
  <c r="F3370"/>
  <c r="F3369"/>
  <c r="F3368"/>
  <c r="F3367"/>
  <c r="F3366"/>
  <c r="F3365"/>
  <c r="F3364"/>
  <c r="F3363"/>
  <c r="F3362"/>
  <c r="F3361"/>
  <c r="F3360"/>
  <c r="F3359"/>
  <c r="F3358"/>
  <c r="F3357"/>
  <c r="F3356"/>
  <c r="F3355"/>
  <c r="F3354"/>
  <c r="F3353"/>
  <c r="F3352"/>
  <c r="F3351"/>
  <c r="F3350"/>
  <c r="F3349"/>
  <c r="F3348"/>
  <c r="F3347"/>
  <c r="F3346"/>
  <c r="F3345"/>
  <c r="F3344"/>
  <c r="F3343"/>
  <c r="F3342"/>
  <c r="F3341"/>
  <c r="F3340"/>
  <c r="F3339"/>
  <c r="F3338"/>
  <c r="F3337"/>
  <c r="F3336"/>
  <c r="F3335"/>
  <c r="F3334"/>
  <c r="F3333"/>
  <c r="F3332"/>
  <c r="F3331"/>
  <c r="F3330"/>
  <c r="F3329"/>
  <c r="F3328"/>
  <c r="F3327"/>
  <c r="F3326"/>
  <c r="F3325"/>
  <c r="F3324"/>
  <c r="F3323"/>
  <c r="F3322"/>
  <c r="F3321"/>
  <c r="F3320"/>
  <c r="F3319"/>
  <c r="F3318"/>
  <c r="F3317"/>
  <c r="F3316"/>
  <c r="F3315"/>
  <c r="F3314"/>
  <c r="F3313"/>
  <c r="F3312"/>
  <c r="F3311"/>
  <c r="F3310"/>
  <c r="F3309"/>
  <c r="F3308"/>
  <c r="F3307"/>
  <c r="F3306"/>
  <c r="F3305"/>
  <c r="F3304"/>
  <c r="F3303"/>
  <c r="F3302"/>
  <c r="F3301"/>
  <c r="F3300"/>
  <c r="F3299"/>
  <c r="F3298"/>
  <c r="F3297"/>
  <c r="F3296"/>
  <c r="F3295"/>
  <c r="F3294"/>
  <c r="F3293"/>
  <c r="F3292"/>
  <c r="F3291"/>
  <c r="F3290"/>
  <c r="F3289"/>
  <c r="F3288"/>
  <c r="F3287"/>
  <c r="F3286"/>
  <c r="F3285"/>
  <c r="F3284"/>
  <c r="F3283"/>
  <c r="F3282"/>
  <c r="F3281"/>
  <c r="F3280"/>
  <c r="F3279"/>
  <c r="F3278"/>
  <c r="F3277"/>
  <c r="F3276"/>
  <c r="F3275"/>
  <c r="F3274"/>
  <c r="F3273"/>
  <c r="F3272"/>
  <c r="F3271"/>
  <c r="F3270"/>
  <c r="F3269"/>
  <c r="F3268"/>
  <c r="F3267"/>
  <c r="F3266"/>
  <c r="F3265"/>
  <c r="F3264"/>
  <c r="F3263"/>
  <c r="F3262"/>
  <c r="F3261"/>
  <c r="F3260"/>
  <c r="F3259"/>
  <c r="F3258"/>
  <c r="F3257"/>
  <c r="F3256"/>
  <c r="F3255"/>
  <c r="F3254"/>
  <c r="F3253"/>
  <c r="F3252"/>
  <c r="F3251"/>
  <c r="F3250"/>
  <c r="F3249"/>
  <c r="F3248"/>
  <c r="F3247"/>
  <c r="F3246"/>
  <c r="F3245"/>
  <c r="F3244"/>
  <c r="F3243"/>
  <c r="F3242"/>
  <c r="F3241"/>
  <c r="F3240"/>
  <c r="F3239"/>
  <c r="F3238"/>
  <c r="F3237"/>
  <c r="F3236"/>
  <c r="F3235"/>
  <c r="F3234"/>
  <c r="F3233"/>
  <c r="F3232"/>
  <c r="F3231"/>
  <c r="F3230"/>
  <c r="F3229"/>
  <c r="F3228"/>
  <c r="F3227"/>
  <c r="F3226"/>
  <c r="F3225"/>
  <c r="F3224"/>
  <c r="F3223"/>
  <c r="F3222"/>
  <c r="F3221"/>
  <c r="F3220"/>
  <c r="F3219"/>
  <c r="F3218"/>
  <c r="F3217"/>
  <c r="F3216"/>
  <c r="F3215"/>
  <c r="F3214"/>
  <c r="F3213"/>
  <c r="F3212"/>
  <c r="F3211"/>
  <c r="F3210"/>
  <c r="F3209"/>
  <c r="F3208"/>
  <c r="F3207"/>
  <c r="F3206"/>
  <c r="F3205"/>
  <c r="F3204"/>
  <c r="F3203"/>
  <c r="F3202"/>
  <c r="F3201"/>
  <c r="F3200"/>
  <c r="F3199"/>
  <c r="F3198"/>
  <c r="F3197"/>
  <c r="F3196"/>
  <c r="F3195"/>
  <c r="F3194"/>
  <c r="F3193"/>
  <c r="F3192"/>
  <c r="F3191"/>
  <c r="F3190"/>
  <c r="F3189"/>
  <c r="F3188"/>
  <c r="F3187"/>
  <c r="F3186"/>
  <c r="F3185"/>
  <c r="F3184"/>
  <c r="F3183"/>
  <c r="F3182"/>
  <c r="F3181"/>
  <c r="F3180"/>
  <c r="F3179"/>
  <c r="F3178"/>
  <c r="F3177"/>
  <c r="F3176"/>
  <c r="F3175"/>
  <c r="F3174"/>
  <c r="F3173"/>
  <c r="F3172"/>
  <c r="F3171"/>
  <c r="F3170"/>
  <c r="F3169"/>
  <c r="F3168"/>
  <c r="F3167"/>
  <c r="F3166"/>
  <c r="F3165"/>
  <c r="F3164"/>
  <c r="F3163"/>
  <c r="F3162"/>
  <c r="F3161"/>
  <c r="F3160"/>
  <c r="F3159"/>
  <c r="F3158"/>
  <c r="F3157"/>
  <c r="F3156"/>
  <c r="F3155"/>
  <c r="F3154"/>
  <c r="F3153"/>
  <c r="F3152"/>
  <c r="F3151"/>
  <c r="F3150"/>
  <c r="F3149"/>
  <c r="F3148"/>
  <c r="F3147"/>
  <c r="F3146"/>
  <c r="F3145"/>
  <c r="F3144"/>
  <c r="F3143"/>
  <c r="F3142"/>
  <c r="F3141"/>
  <c r="F3140"/>
  <c r="F3139"/>
  <c r="F3138"/>
  <c r="F3137"/>
  <c r="F3136"/>
  <c r="F3135"/>
  <c r="F3134"/>
  <c r="F3133"/>
  <c r="F3132"/>
  <c r="F3131"/>
  <c r="F3130"/>
  <c r="F3129"/>
  <c r="F3128"/>
  <c r="F3127"/>
  <c r="F3126"/>
  <c r="F3125"/>
  <c r="F3124"/>
  <c r="F3123"/>
  <c r="F3122"/>
  <c r="F3121"/>
  <c r="F3120"/>
  <c r="F3119"/>
  <c r="F3118"/>
  <c r="F3117"/>
  <c r="F3116"/>
  <c r="F3115"/>
  <c r="F3114"/>
  <c r="F3113"/>
  <c r="F3112"/>
  <c r="F3111"/>
  <c r="F3110"/>
  <c r="F3109"/>
  <c r="F3108"/>
  <c r="F3107"/>
  <c r="F3106"/>
  <c r="F3105"/>
  <c r="F3104"/>
  <c r="F3103"/>
  <c r="F3102"/>
  <c r="F3101"/>
  <c r="F3100"/>
  <c r="F3099"/>
  <c r="F3098"/>
  <c r="F3097"/>
  <c r="F3096"/>
  <c r="F3095"/>
  <c r="F3094"/>
  <c r="F3093"/>
  <c r="F3092"/>
  <c r="F3091"/>
  <c r="F3090"/>
  <c r="F3089"/>
  <c r="F3088"/>
  <c r="F3087"/>
  <c r="F3086"/>
  <c r="F3085"/>
  <c r="F3084"/>
  <c r="F3083"/>
  <c r="F3082"/>
  <c r="F3081"/>
  <c r="F3080"/>
  <c r="F3079"/>
  <c r="F3078"/>
  <c r="F3077"/>
  <c r="F3076"/>
  <c r="F3075"/>
  <c r="F3074"/>
  <c r="F3073"/>
  <c r="F3072"/>
  <c r="F3071"/>
  <c r="F3070"/>
  <c r="F3069"/>
  <c r="F3068"/>
  <c r="F3067"/>
  <c r="F3066"/>
  <c r="F3065"/>
  <c r="F3064"/>
  <c r="F3063"/>
  <c r="F3062"/>
  <c r="F3061"/>
  <c r="F3060"/>
  <c r="F3059"/>
  <c r="F3058"/>
  <c r="F3057"/>
  <c r="F3056"/>
  <c r="F3055"/>
  <c r="F3054"/>
  <c r="F3053"/>
  <c r="F3052"/>
  <c r="F3051"/>
  <c r="F3050"/>
  <c r="F3049"/>
  <c r="F3048"/>
  <c r="F3047"/>
  <c r="F3046"/>
  <c r="F3045"/>
  <c r="F3044"/>
  <c r="F3043"/>
  <c r="F3042"/>
  <c r="F3041"/>
  <c r="F3040"/>
  <c r="F3039"/>
  <c r="F3038"/>
  <c r="F3037"/>
  <c r="F3036"/>
  <c r="F3035"/>
  <c r="F3034"/>
  <c r="F3033"/>
  <c r="F3032"/>
  <c r="F3031"/>
  <c r="F3030"/>
  <c r="F3029"/>
  <c r="F3028"/>
  <c r="F3027"/>
  <c r="F3026"/>
  <c r="F3025"/>
  <c r="F3024"/>
  <c r="F3023"/>
  <c r="F3022"/>
  <c r="F3021"/>
  <c r="F3020"/>
  <c r="F3019"/>
  <c r="F3018"/>
  <c r="F3017"/>
  <c r="F3016"/>
  <c r="F3015"/>
  <c r="F3014"/>
  <c r="F3013"/>
  <c r="F3012"/>
  <c r="F3011"/>
  <c r="F3010"/>
  <c r="F3009"/>
  <c r="F3008"/>
  <c r="F3007"/>
  <c r="F3006"/>
  <c r="F3005"/>
  <c r="F3004"/>
  <c r="F3003"/>
  <c r="F3002"/>
  <c r="F3001"/>
  <c r="F3000"/>
  <c r="F2999"/>
  <c r="F2998"/>
  <c r="F2997"/>
  <c r="F2996"/>
  <c r="F2995"/>
  <c r="F2994"/>
  <c r="F2993"/>
  <c r="F2992"/>
  <c r="F2991"/>
  <c r="F2990"/>
  <c r="F2989"/>
  <c r="F2988"/>
  <c r="F2987"/>
  <c r="F2986"/>
  <c r="F2985"/>
  <c r="F2984"/>
  <c r="F2983"/>
  <c r="F2982"/>
  <c r="F2981"/>
  <c r="F2980"/>
  <c r="F2979"/>
  <c r="F2978"/>
  <c r="F2977"/>
  <c r="F2976"/>
  <c r="F2975"/>
  <c r="F2974"/>
  <c r="F2973"/>
  <c r="F2972"/>
  <c r="F2971"/>
  <c r="F2970"/>
  <c r="F2969"/>
  <c r="F2968"/>
  <c r="F2967"/>
  <c r="F2966"/>
  <c r="F2965"/>
  <c r="F2964"/>
  <c r="F2963"/>
  <c r="F2962"/>
  <c r="F2961"/>
  <c r="F2960"/>
  <c r="F2959"/>
  <c r="F2958"/>
  <c r="F2957"/>
  <c r="F2956"/>
  <c r="F2955"/>
  <c r="F2954"/>
  <c r="F2953"/>
  <c r="F2952"/>
  <c r="F2951"/>
  <c r="F2950"/>
  <c r="F2949"/>
  <c r="F2948"/>
  <c r="F2947"/>
  <c r="F2946"/>
  <c r="F2945"/>
  <c r="F2944"/>
  <c r="F2943"/>
  <c r="F2942"/>
  <c r="F2941"/>
  <c r="F2940"/>
  <c r="F2939"/>
  <c r="F2938"/>
  <c r="F2937"/>
  <c r="F2936"/>
  <c r="F2935"/>
  <c r="F2934"/>
  <c r="F2933"/>
  <c r="F2932"/>
  <c r="F2931"/>
  <c r="F2930"/>
  <c r="F2929"/>
  <c r="F2928"/>
  <c r="F2927"/>
  <c r="F2926"/>
  <c r="F2925"/>
  <c r="F2924"/>
  <c r="F2923"/>
  <c r="F2922"/>
  <c r="F2921"/>
  <c r="F2920"/>
  <c r="F2919"/>
  <c r="F2918"/>
  <c r="F2917"/>
  <c r="F2916"/>
  <c r="F2915"/>
  <c r="F2914"/>
  <c r="F2913"/>
  <c r="F2912"/>
  <c r="F2911"/>
  <c r="F2910"/>
  <c r="F2909"/>
  <c r="F2908"/>
  <c r="F2907"/>
  <c r="F2906"/>
  <c r="F2905"/>
  <c r="F2904"/>
  <c r="F2903"/>
  <c r="F2902"/>
  <c r="F2901"/>
  <c r="F2900"/>
  <c r="F2899"/>
  <c r="F2898"/>
  <c r="F2897"/>
  <c r="F2896"/>
  <c r="F2895"/>
  <c r="F2894"/>
  <c r="F2893"/>
  <c r="F2892"/>
  <c r="F2891"/>
  <c r="F2890"/>
  <c r="F2889"/>
  <c r="F2888"/>
  <c r="F2887"/>
  <c r="F2886"/>
  <c r="F2885"/>
  <c r="F2884"/>
  <c r="F2883"/>
  <c r="F2882"/>
  <c r="F2881"/>
  <c r="F2880"/>
  <c r="F2879"/>
  <c r="F2878"/>
  <c r="F2877"/>
  <c r="F2876"/>
  <c r="F2875"/>
  <c r="F2874"/>
  <c r="F2873"/>
  <c r="F2872"/>
  <c r="F2871"/>
  <c r="F2870"/>
  <c r="F2869"/>
  <c r="F2868"/>
  <c r="F2867"/>
  <c r="F2866"/>
  <c r="F2865"/>
  <c r="F2864"/>
  <c r="F2863"/>
  <c r="F2862"/>
  <c r="F2861"/>
  <c r="F2860"/>
  <c r="F2859"/>
  <c r="F2858"/>
  <c r="F2857"/>
  <c r="F2856"/>
  <c r="F2855"/>
  <c r="F2854"/>
  <c r="F2853"/>
  <c r="F2852"/>
  <c r="F2851"/>
  <c r="F2850"/>
  <c r="F2849"/>
  <c r="F2848"/>
  <c r="F2847"/>
  <c r="F2846"/>
  <c r="F2845"/>
  <c r="F2844"/>
  <c r="F2843"/>
  <c r="F2842"/>
  <c r="F2841"/>
  <c r="F2840"/>
  <c r="F2839"/>
  <c r="F2838"/>
  <c r="F2837"/>
  <c r="F2836"/>
  <c r="F2835"/>
  <c r="F2834"/>
  <c r="F2833"/>
  <c r="F2832"/>
  <c r="F2831"/>
  <c r="F2830"/>
  <c r="F2829"/>
  <c r="F2828"/>
  <c r="F2827"/>
  <c r="F2826"/>
  <c r="F2825"/>
  <c r="F2824"/>
  <c r="F2823"/>
  <c r="F2822"/>
  <c r="F2821"/>
  <c r="F2820"/>
  <c r="F2819"/>
  <c r="F2818"/>
  <c r="F2817"/>
  <c r="F2816"/>
  <c r="F2815"/>
  <c r="F2814"/>
  <c r="F2813"/>
  <c r="F2812"/>
  <c r="F2811"/>
  <c r="F2810"/>
  <c r="F2809"/>
  <c r="F2808"/>
  <c r="F2807"/>
  <c r="F2806"/>
  <c r="F2805"/>
  <c r="F2804"/>
  <c r="F2803"/>
  <c r="F2802"/>
  <c r="F2801"/>
  <c r="F2800"/>
  <c r="F2799"/>
  <c r="F2798"/>
  <c r="F2797"/>
  <c r="F2796"/>
  <c r="F2795"/>
  <c r="F2794"/>
  <c r="F2793"/>
  <c r="F2792"/>
  <c r="F2791"/>
  <c r="F2790"/>
  <c r="F2789"/>
  <c r="F2788"/>
  <c r="F2787"/>
  <c r="F2786"/>
  <c r="F2785"/>
  <c r="F2784"/>
  <c r="F2783"/>
  <c r="F2782"/>
  <c r="F2781"/>
  <c r="F2780"/>
  <c r="F2779"/>
  <c r="F2778"/>
  <c r="F2777"/>
  <c r="F2776"/>
  <c r="F2775"/>
  <c r="F2774"/>
  <c r="F2773"/>
  <c r="F2772"/>
  <c r="F2771"/>
  <c r="F2770"/>
  <c r="F2769"/>
  <c r="F2768"/>
  <c r="F2767"/>
  <c r="F2766"/>
  <c r="F2765"/>
  <c r="F2764"/>
  <c r="F2763"/>
  <c r="F2762"/>
  <c r="F2761"/>
  <c r="F2760"/>
  <c r="F2759"/>
  <c r="F2758"/>
  <c r="F2757"/>
  <c r="F2756"/>
  <c r="F2755"/>
  <c r="F2754"/>
  <c r="F2753"/>
  <c r="F2752"/>
  <c r="F2751"/>
  <c r="F2750"/>
  <c r="F2749"/>
  <c r="F2748"/>
  <c r="F2747"/>
  <c r="F2746"/>
  <c r="F2745"/>
  <c r="F2744"/>
  <c r="F2743"/>
  <c r="F2742"/>
  <c r="F2741"/>
  <c r="F2740"/>
  <c r="F2739"/>
  <c r="F2738"/>
  <c r="F2737"/>
  <c r="F2736"/>
  <c r="F2735"/>
  <c r="F2734"/>
  <c r="F2733"/>
  <c r="F2732"/>
  <c r="F2731"/>
  <c r="F2730"/>
  <c r="F2729"/>
  <c r="F2728"/>
  <c r="F2727"/>
  <c r="F2726"/>
  <c r="F2725"/>
  <c r="F2724"/>
  <c r="F2723"/>
  <c r="F2722"/>
  <c r="F2721"/>
  <c r="F2720"/>
  <c r="F2719"/>
  <c r="F2718"/>
  <c r="F2717"/>
  <c r="F2716"/>
  <c r="F2715"/>
  <c r="F2714"/>
  <c r="F2713"/>
  <c r="F2712"/>
  <c r="F2711"/>
  <c r="F2710"/>
  <c r="F2709"/>
  <c r="F2708"/>
  <c r="F2707"/>
  <c r="F2706"/>
  <c r="F2705"/>
  <c r="F2704"/>
  <c r="F2703"/>
  <c r="F2702"/>
  <c r="F2701"/>
  <c r="F2700"/>
  <c r="F2699"/>
  <c r="F2698"/>
  <c r="F2697"/>
  <c r="F2696"/>
  <c r="F2695"/>
  <c r="F2694"/>
  <c r="F2693"/>
  <c r="F2692"/>
  <c r="F2691"/>
  <c r="F2690"/>
  <c r="F2689"/>
  <c r="F2688"/>
  <c r="F2687"/>
  <c r="F2686"/>
  <c r="F2685"/>
  <c r="F2684"/>
  <c r="F2683"/>
  <c r="F2682"/>
  <c r="F2681"/>
  <c r="F2680"/>
  <c r="F2679"/>
  <c r="F2678"/>
  <c r="F2677"/>
  <c r="F2676"/>
  <c r="F2675"/>
  <c r="F2674"/>
  <c r="F2673"/>
  <c r="F2672"/>
  <c r="F2671"/>
  <c r="F2670"/>
  <c r="F2669"/>
  <c r="F2668"/>
  <c r="F2667"/>
  <c r="F2666"/>
  <c r="F2665"/>
  <c r="F2664"/>
  <c r="F2663"/>
  <c r="F2662"/>
  <c r="F2661"/>
  <c r="F2660"/>
  <c r="F2659"/>
  <c r="F2658"/>
  <c r="F2657"/>
  <c r="F2656"/>
  <c r="F2655"/>
  <c r="F2654"/>
  <c r="F2653"/>
  <c r="F2652"/>
  <c r="F2651"/>
  <c r="F2650"/>
  <c r="F2649"/>
  <c r="F2648"/>
  <c r="F2647"/>
  <c r="F2646"/>
  <c r="F2645"/>
  <c r="F2644"/>
  <c r="F2643"/>
  <c r="F2642"/>
  <c r="F2641"/>
  <c r="F2640"/>
  <c r="F2639"/>
  <c r="F2638"/>
  <c r="F2637"/>
  <c r="F2636"/>
  <c r="F2635"/>
  <c r="F2634"/>
  <c r="F2633"/>
  <c r="F2632"/>
  <c r="F2631"/>
  <c r="F2630"/>
  <c r="F2629"/>
  <c r="F2628"/>
  <c r="F2627"/>
  <c r="F2626"/>
  <c r="F2625"/>
  <c r="F2624"/>
  <c r="F2623"/>
  <c r="F2622"/>
  <c r="F2621"/>
  <c r="F2620"/>
  <c r="F2619"/>
  <c r="F2618"/>
  <c r="F2617"/>
  <c r="F2616"/>
  <c r="F2615"/>
  <c r="F2614"/>
  <c r="F2613"/>
  <c r="F2612"/>
  <c r="F2611"/>
  <c r="F2610"/>
  <c r="F2609"/>
  <c r="F2608"/>
  <c r="F2607"/>
  <c r="F2606"/>
  <c r="F2605"/>
  <c r="F2604"/>
  <c r="F2603"/>
  <c r="F2602"/>
  <c r="F2601"/>
  <c r="F2600"/>
  <c r="F2599"/>
  <c r="F2598"/>
  <c r="F2597"/>
  <c r="F2596"/>
  <c r="F2595"/>
  <c r="F2594"/>
  <c r="F2593"/>
  <c r="F2592"/>
  <c r="F2591"/>
  <c r="F2590"/>
  <c r="F2589"/>
  <c r="F2588"/>
  <c r="F2587"/>
  <c r="F2586"/>
  <c r="F2585"/>
  <c r="F2584"/>
  <c r="F2583"/>
  <c r="F2582"/>
  <c r="F2581"/>
  <c r="F2580"/>
  <c r="F2579"/>
  <c r="F2578"/>
  <c r="F2577"/>
  <c r="F2576"/>
  <c r="F2575"/>
  <c r="F2574"/>
  <c r="F2573"/>
  <c r="F2572"/>
  <c r="F2571"/>
  <c r="F2570"/>
  <c r="F2569"/>
  <c r="F2568"/>
  <c r="F2567"/>
  <c r="F2566"/>
  <c r="F2565"/>
  <c r="F2564"/>
  <c r="F2563"/>
  <c r="F2562"/>
  <c r="F2561"/>
  <c r="F2560"/>
  <c r="F2559"/>
  <c r="F2558"/>
  <c r="F2557"/>
  <c r="F2556"/>
  <c r="F2555"/>
  <c r="F2554"/>
  <c r="F2553"/>
  <c r="F2552"/>
  <c r="F2551"/>
  <c r="F2550"/>
  <c r="F2549"/>
  <c r="F2548"/>
  <c r="F2547"/>
  <c r="F2546"/>
  <c r="F2545"/>
  <c r="F2544"/>
  <c r="F2543"/>
  <c r="F2542"/>
  <c r="F2541"/>
  <c r="F2540"/>
  <c r="F2539"/>
  <c r="F2538"/>
  <c r="F2537"/>
  <c r="F2536"/>
  <c r="F2535"/>
  <c r="F2534"/>
  <c r="F2533"/>
  <c r="F2532"/>
  <c r="F2531"/>
  <c r="F2530"/>
  <c r="F2529"/>
  <c r="F2528"/>
  <c r="F2527"/>
  <c r="F2526"/>
  <c r="F2525"/>
  <c r="F2524"/>
  <c r="F2523"/>
  <c r="F2522"/>
  <c r="F2521"/>
  <c r="F2520"/>
  <c r="F2519"/>
  <c r="F2518"/>
  <c r="F2517"/>
  <c r="F2516"/>
  <c r="F2515"/>
  <c r="F2514"/>
  <c r="F2513"/>
  <c r="F2512"/>
  <c r="F2511"/>
  <c r="F2510"/>
  <c r="F2509"/>
  <c r="F2508"/>
  <c r="F2507"/>
  <c r="F2506"/>
  <c r="F2505"/>
  <c r="F2504"/>
  <c r="F2503"/>
  <c r="F2502"/>
  <c r="F2501"/>
  <c r="F2500"/>
  <c r="F2499"/>
  <c r="F2498"/>
  <c r="F2497"/>
  <c r="F2496"/>
  <c r="F2495"/>
  <c r="F2494"/>
  <c r="F2493"/>
  <c r="F2492"/>
  <c r="F2491"/>
  <c r="F2490"/>
  <c r="F2489"/>
  <c r="F2488"/>
  <c r="F2487"/>
  <c r="F2486"/>
  <c r="F2485"/>
  <c r="F2484"/>
  <c r="F2483"/>
  <c r="F2482"/>
  <c r="F2481"/>
  <c r="F2480"/>
  <c r="F2479"/>
  <c r="F2478"/>
  <c r="F2477"/>
  <c r="F2476"/>
  <c r="F2475"/>
  <c r="F2474"/>
  <c r="F2473"/>
  <c r="F2472"/>
  <c r="F2471"/>
  <c r="F2470"/>
  <c r="F2469"/>
  <c r="F2468"/>
  <c r="F2467"/>
  <c r="F2466"/>
  <c r="F2465"/>
  <c r="F2464"/>
  <c r="F2463"/>
  <c r="F2462"/>
  <c r="F2461"/>
  <c r="F2460"/>
  <c r="F2459"/>
  <c r="F2458"/>
  <c r="F2457"/>
  <c r="F2456"/>
  <c r="F2455"/>
  <c r="F2454"/>
  <c r="F2453"/>
  <c r="F2452"/>
  <c r="F2451"/>
  <c r="F2450"/>
  <c r="F2449"/>
  <c r="F2448"/>
  <c r="F2447"/>
  <c r="F2446"/>
  <c r="F2445"/>
  <c r="F2444"/>
  <c r="F2443"/>
  <c r="F2442"/>
  <c r="F2441"/>
  <c r="F2440"/>
  <c r="F2439"/>
  <c r="F2438"/>
  <c r="F2437"/>
  <c r="F2436"/>
  <c r="F2435"/>
  <c r="F2434"/>
  <c r="F2433"/>
  <c r="F2432"/>
  <c r="F2431"/>
  <c r="F2430"/>
  <c r="F2429"/>
  <c r="F2428"/>
  <c r="F2427"/>
  <c r="F2426"/>
  <c r="F2425"/>
  <c r="F2424"/>
  <c r="F2423"/>
  <c r="F2422"/>
  <c r="F2421"/>
  <c r="F2420"/>
  <c r="F2419"/>
  <c r="F2418"/>
  <c r="F2417"/>
  <c r="F2416"/>
  <c r="F2415"/>
  <c r="F2414"/>
  <c r="F2413"/>
  <c r="F2412"/>
  <c r="F2411"/>
  <c r="F2410"/>
  <c r="F2409"/>
  <c r="F2408"/>
  <c r="F2407"/>
  <c r="F2406"/>
  <c r="F2405"/>
  <c r="F2404"/>
  <c r="F2403"/>
  <c r="F2402"/>
  <c r="F2401"/>
  <c r="F2400"/>
  <c r="F2399"/>
  <c r="F2398"/>
  <c r="F2397"/>
  <c r="F2396"/>
  <c r="F2395"/>
  <c r="F2394"/>
  <c r="F2393"/>
  <c r="F2392"/>
  <c r="F2391"/>
  <c r="F2390"/>
  <c r="F2389"/>
  <c r="F2388"/>
  <c r="F2387"/>
  <c r="F2386"/>
  <c r="F2385"/>
  <c r="F2384"/>
  <c r="F2383"/>
  <c r="F2382"/>
  <c r="F2381"/>
  <c r="F2380"/>
  <c r="F2379"/>
  <c r="F2378"/>
  <c r="F2377"/>
  <c r="F2376"/>
  <c r="F2375"/>
  <c r="F2374"/>
  <c r="F2373"/>
  <c r="F2372"/>
  <c r="F2371"/>
  <c r="F2370"/>
  <c r="F2369"/>
  <c r="F2368"/>
  <c r="F2367"/>
  <c r="F2366"/>
  <c r="F2365"/>
  <c r="F2364"/>
  <c r="F2363"/>
  <c r="F2362"/>
  <c r="F2361"/>
  <c r="F2360"/>
  <c r="F2359"/>
  <c r="F2358"/>
  <c r="F2357"/>
  <c r="F2356"/>
  <c r="F2355"/>
  <c r="F2354"/>
  <c r="F2353"/>
  <c r="F2352"/>
  <c r="F2351"/>
  <c r="F2350"/>
  <c r="F2349"/>
  <c r="F2348"/>
  <c r="F2347"/>
  <c r="F2346"/>
  <c r="F2345"/>
  <c r="F2344"/>
  <c r="F2343"/>
  <c r="F2342"/>
  <c r="F2341"/>
  <c r="F2340"/>
  <c r="F2339"/>
  <c r="F2338"/>
  <c r="F2337"/>
  <c r="F2336"/>
  <c r="F2335"/>
  <c r="F2334"/>
  <c r="F2333"/>
  <c r="F2332"/>
  <c r="F2331"/>
  <c r="F2330"/>
  <c r="F2329"/>
  <c r="F2328"/>
  <c r="F2327"/>
  <c r="F2326"/>
  <c r="F2325"/>
  <c r="F2324"/>
  <c r="F2323"/>
  <c r="F2322"/>
  <c r="F2321"/>
  <c r="F2320"/>
  <c r="F2319"/>
  <c r="F2318"/>
  <c r="F2317"/>
  <c r="F2316"/>
  <c r="F2315"/>
  <c r="F2314"/>
  <c r="F2313"/>
  <c r="F2312"/>
  <c r="F2311"/>
  <c r="F2310"/>
  <c r="F2309"/>
  <c r="F2308"/>
  <c r="F2307"/>
  <c r="F2306"/>
  <c r="F2305"/>
  <c r="F2304"/>
  <c r="F2303"/>
  <c r="F2302"/>
  <c r="F2301"/>
  <c r="F2300"/>
  <c r="F2299"/>
  <c r="F2298"/>
  <c r="F2297"/>
  <c r="F2296"/>
  <c r="F2295"/>
  <c r="F2294"/>
  <c r="F2293"/>
  <c r="F2292"/>
  <c r="F2291"/>
  <c r="F2290"/>
  <c r="F2289"/>
  <c r="F2288"/>
  <c r="F2287"/>
  <c r="F2286"/>
  <c r="F2285"/>
  <c r="F2284"/>
  <c r="F2283"/>
  <c r="F2282"/>
  <c r="F2281"/>
  <c r="F2280"/>
  <c r="F2279"/>
  <c r="F2278"/>
  <c r="F2277"/>
  <c r="F2276"/>
  <c r="F2275"/>
  <c r="F2274"/>
  <c r="F2273"/>
  <c r="F2272"/>
  <c r="F2271"/>
  <c r="F2270"/>
  <c r="F2269"/>
  <c r="F2268"/>
  <c r="F2267"/>
  <c r="F2266"/>
  <c r="F2265"/>
  <c r="F2264"/>
  <c r="F2263"/>
  <c r="F2262"/>
  <c r="F2261"/>
  <c r="F2260"/>
  <c r="F2259"/>
  <c r="F2258"/>
  <c r="F2257"/>
  <c r="F2256"/>
  <c r="F2255"/>
  <c r="F2254"/>
  <c r="F2253"/>
  <c r="F2252"/>
  <c r="F2251"/>
  <c r="F2250"/>
  <c r="F2249"/>
  <c r="F2248"/>
  <c r="F2247"/>
  <c r="F2246"/>
  <c r="F2245"/>
  <c r="F2244"/>
  <c r="F2243"/>
  <c r="F2242"/>
  <c r="F2241"/>
  <c r="F2240"/>
  <c r="F2239"/>
  <c r="F2238"/>
  <c r="F2237"/>
  <c r="F2236"/>
  <c r="F2235"/>
  <c r="F2234"/>
  <c r="F2233"/>
  <c r="F2232"/>
  <c r="F2231"/>
  <c r="F2230"/>
  <c r="F2229"/>
  <c r="F2228"/>
  <c r="F2227"/>
  <c r="F2226"/>
  <c r="F2225"/>
  <c r="F2224"/>
  <c r="F2223"/>
  <c r="F2222"/>
  <c r="F2221"/>
  <c r="F2220"/>
  <c r="F2219"/>
  <c r="F2218"/>
  <c r="F2217"/>
  <c r="F2216"/>
  <c r="F2215"/>
  <c r="F2214"/>
  <c r="F2213"/>
  <c r="F2212"/>
  <c r="F2211"/>
  <c r="F2210"/>
  <c r="F2209"/>
  <c r="F2208"/>
  <c r="F2207"/>
  <c r="F2206"/>
  <c r="F2205"/>
  <c r="F2204"/>
  <c r="F2203"/>
  <c r="F2202"/>
  <c r="F2201"/>
  <c r="F2200"/>
  <c r="F2199"/>
  <c r="F2198"/>
  <c r="F2197"/>
  <c r="F2196"/>
  <c r="F2195"/>
  <c r="F2194"/>
  <c r="F2193"/>
  <c r="F2192"/>
  <c r="F2191"/>
  <c r="F2190"/>
  <c r="F2189"/>
  <c r="F2188"/>
  <c r="F2187"/>
  <c r="F2186"/>
  <c r="F2185"/>
  <c r="F2184"/>
  <c r="F2183"/>
  <c r="F2182"/>
  <c r="F2181"/>
  <c r="F2180"/>
  <c r="F2179"/>
  <c r="F2178"/>
  <c r="F2177"/>
  <c r="F2176"/>
  <c r="F2175"/>
  <c r="F2174"/>
  <c r="F2173"/>
  <c r="F2172"/>
  <c r="F2171"/>
  <c r="F2170"/>
  <c r="F2169"/>
  <c r="F2168"/>
  <c r="F2167"/>
  <c r="F2166"/>
  <c r="F2165"/>
  <c r="F2164"/>
  <c r="F2163"/>
  <c r="F2162"/>
  <c r="F2161"/>
  <c r="F2160"/>
  <c r="F2159"/>
  <c r="F2158"/>
  <c r="F2157"/>
  <c r="F2156"/>
  <c r="F2155"/>
  <c r="F2154"/>
  <c r="F2153"/>
  <c r="F2152"/>
  <c r="F2151"/>
  <c r="F2150"/>
  <c r="F2149"/>
  <c r="F2148"/>
  <c r="F2147"/>
  <c r="F2146"/>
  <c r="F2145"/>
  <c r="F2144"/>
  <c r="F2143"/>
  <c r="F2142"/>
  <c r="F2141"/>
  <c r="F2140"/>
  <c r="F2139"/>
  <c r="F2138"/>
  <c r="F2137"/>
  <c r="F2136"/>
  <c r="F2135"/>
  <c r="F2134"/>
  <c r="F2133"/>
  <c r="F2132"/>
  <c r="F2131"/>
  <c r="F2130"/>
  <c r="F2129"/>
  <c r="F2128"/>
  <c r="F2127"/>
  <c r="F2126"/>
  <c r="F2125"/>
  <c r="F2124"/>
  <c r="F2123"/>
  <c r="F2122"/>
  <c r="F2121"/>
  <c r="F2120"/>
  <c r="F2119"/>
  <c r="F2118"/>
  <c r="F2117"/>
  <c r="F2116"/>
  <c r="F2115"/>
  <c r="F2114"/>
  <c r="F2113"/>
  <c r="F2112"/>
  <c r="F2111"/>
  <c r="F2110"/>
  <c r="F2109"/>
  <c r="F2108"/>
  <c r="F2107"/>
  <c r="F2106"/>
  <c r="F2105"/>
  <c r="F2104"/>
  <c r="F2103"/>
  <c r="F2102"/>
  <c r="F2101"/>
  <c r="F2100"/>
  <c r="F2099"/>
  <c r="F2098"/>
  <c r="F2097"/>
  <c r="F2096"/>
  <c r="F2095"/>
  <c r="F2094"/>
  <c r="F2093"/>
  <c r="F2092"/>
  <c r="F2091"/>
  <c r="F2090"/>
  <c r="F2089"/>
  <c r="F2088"/>
  <c r="F2087"/>
  <c r="F2086"/>
  <c r="F2085"/>
  <c r="F2084"/>
  <c r="F2083"/>
  <c r="F2082"/>
  <c r="F2081"/>
  <c r="F2080"/>
  <c r="F2079"/>
  <c r="F2078"/>
  <c r="F2077"/>
  <c r="F2076"/>
  <c r="F2075"/>
  <c r="F2074"/>
  <c r="F2073"/>
  <c r="F2072"/>
  <c r="F2071"/>
  <c r="F2070"/>
  <c r="F2069"/>
  <c r="F2068"/>
  <c r="F2067"/>
  <c r="F2066"/>
  <c r="F2065"/>
  <c r="F2064"/>
  <c r="F2063"/>
  <c r="F2062"/>
  <c r="F2061"/>
  <c r="F2060"/>
  <c r="F2059"/>
  <c r="F2058"/>
  <c r="F2057"/>
  <c r="F2056"/>
  <c r="F2055"/>
  <c r="F2054"/>
  <c r="F2053"/>
  <c r="F2052"/>
  <c r="F2051"/>
  <c r="F2050"/>
  <c r="F2049"/>
  <c r="F2048"/>
  <c r="F2047"/>
  <c r="F2046"/>
  <c r="F2045"/>
  <c r="F2044"/>
  <c r="F2043"/>
  <c r="F2042"/>
  <c r="F2041"/>
  <c r="F2040"/>
  <c r="F2039"/>
  <c r="F2038"/>
  <c r="F2037"/>
  <c r="F2036"/>
  <c r="F2035"/>
  <c r="F2034"/>
  <c r="F2033"/>
  <c r="F2032"/>
  <c r="F2031"/>
  <c r="F2030"/>
  <c r="F2029"/>
  <c r="F2028"/>
  <c r="F2027"/>
  <c r="F2026"/>
  <c r="F2025"/>
  <c r="F2024"/>
  <c r="F2023"/>
  <c r="F2022"/>
  <c r="F2021"/>
  <c r="F2020"/>
  <c r="F2019"/>
  <c r="F2018"/>
  <c r="F2017"/>
  <c r="F2016"/>
  <c r="F2015"/>
  <c r="F2014"/>
  <c r="F2013"/>
  <c r="F2012"/>
  <c r="F2011"/>
  <c r="F2010"/>
  <c r="F2009"/>
  <c r="F2008"/>
  <c r="F2007"/>
  <c r="F2006"/>
  <c r="F2005"/>
  <c r="F2004"/>
  <c r="F2003"/>
  <c r="F2002"/>
  <c r="F2001"/>
  <c r="F2000"/>
  <c r="F1999"/>
  <c r="F1998"/>
  <c r="F1997"/>
  <c r="F1996"/>
  <c r="F1995"/>
  <c r="F1994"/>
  <c r="F1993"/>
  <c r="F1992"/>
  <c r="F1991"/>
  <c r="F1990"/>
  <c r="F1989"/>
  <c r="F1988"/>
  <c r="F1987"/>
  <c r="F1986"/>
  <c r="F1985"/>
  <c r="F1984"/>
  <c r="F1983"/>
  <c r="F1982"/>
  <c r="F1981"/>
  <c r="F1980"/>
  <c r="F1979"/>
  <c r="F1978"/>
  <c r="F1977"/>
  <c r="F1976"/>
  <c r="F1975"/>
  <c r="F1974"/>
  <c r="F1973"/>
  <c r="F1972"/>
  <c r="F1971"/>
  <c r="F1970"/>
  <c r="F1969"/>
  <c r="F1968"/>
  <c r="F1967"/>
  <c r="F1966"/>
  <c r="F1965"/>
  <c r="F1964"/>
  <c r="F1963"/>
  <c r="F1962"/>
  <c r="F1961"/>
  <c r="F1960"/>
  <c r="F1959"/>
  <c r="F1958"/>
  <c r="F1957"/>
  <c r="F1956"/>
  <c r="F1955"/>
  <c r="F1954"/>
  <c r="F1953"/>
  <c r="F1952"/>
  <c r="F1951"/>
  <c r="F1950"/>
  <c r="F1949"/>
  <c r="F1948"/>
  <c r="F1947"/>
  <c r="F1946"/>
  <c r="F1945"/>
  <c r="F1944"/>
  <c r="F1943"/>
  <c r="F1942"/>
  <c r="F1941"/>
  <c r="F1940"/>
  <c r="F1939"/>
  <c r="F1938"/>
  <c r="F1937"/>
  <c r="F1936"/>
  <c r="F1935"/>
  <c r="F1934"/>
  <c r="F1933"/>
  <c r="F1932"/>
  <c r="F1931"/>
  <c r="F1930"/>
  <c r="F1929"/>
  <c r="F1928"/>
  <c r="F1927"/>
  <c r="F1926"/>
  <c r="F1925"/>
  <c r="F1924"/>
  <c r="F1923"/>
  <c r="F1922"/>
  <c r="F1921"/>
  <c r="F1920"/>
  <c r="F1919"/>
  <c r="F1918"/>
  <c r="F1917"/>
  <c r="F1916"/>
  <c r="F1915"/>
  <c r="F1914"/>
  <c r="F1913"/>
  <c r="F1912"/>
  <c r="F1911"/>
  <c r="F1910"/>
  <c r="F1909"/>
  <c r="F1908"/>
  <c r="F1907"/>
  <c r="F1906"/>
  <c r="F1905"/>
  <c r="F1904"/>
  <c r="F1903"/>
  <c r="F1902"/>
  <c r="F1901"/>
  <c r="F1900"/>
  <c r="F1899"/>
  <c r="F1898"/>
  <c r="F1897"/>
  <c r="F1896"/>
  <c r="F1895"/>
  <c r="F1894"/>
  <c r="F1893"/>
  <c r="F1892"/>
  <c r="F1891"/>
  <c r="F1890"/>
  <c r="F1889"/>
  <c r="F1888"/>
  <c r="F1887"/>
  <c r="F1886"/>
  <c r="F1885"/>
  <c r="F1884"/>
  <c r="F1883"/>
  <c r="F1882"/>
  <c r="F1881"/>
  <c r="F1880"/>
  <c r="F1879"/>
  <c r="F1878"/>
  <c r="F1877"/>
  <c r="F1876"/>
  <c r="F1875"/>
  <c r="F1874"/>
  <c r="F1873"/>
  <c r="F1872"/>
  <c r="F1871"/>
  <c r="F1870"/>
  <c r="F1869"/>
  <c r="F1868"/>
  <c r="F1867"/>
  <c r="F1866"/>
  <c r="F1865"/>
  <c r="F1864"/>
  <c r="F1863"/>
  <c r="F1862"/>
  <c r="F1861"/>
  <c r="F1860"/>
  <c r="F1859"/>
  <c r="F1858"/>
  <c r="F1857"/>
  <c r="F1856"/>
  <c r="F1855"/>
  <c r="F1854"/>
  <c r="F1853"/>
  <c r="F1852"/>
  <c r="F1851"/>
  <c r="F1850"/>
  <c r="F1849"/>
  <c r="F1848"/>
  <c r="F1847"/>
  <c r="F1846"/>
  <c r="F1845"/>
  <c r="F1844"/>
  <c r="F1843"/>
  <c r="F1842"/>
  <c r="F1841"/>
  <c r="F1840"/>
  <c r="F1839"/>
  <c r="F1838"/>
  <c r="F1837"/>
  <c r="F1836"/>
  <c r="F1835"/>
  <c r="F1834"/>
  <c r="F1833"/>
  <c r="F1832"/>
  <c r="F1831"/>
  <c r="F1830"/>
  <c r="F1829"/>
  <c r="F1828"/>
  <c r="F1827"/>
  <c r="F1826"/>
  <c r="F1825"/>
  <c r="F1824"/>
  <c r="F1823"/>
  <c r="F1822"/>
  <c r="F1821"/>
  <c r="F1820"/>
  <c r="F1819"/>
  <c r="F1818"/>
  <c r="F1817"/>
  <c r="F1816"/>
  <c r="F1815"/>
  <c r="F1814"/>
  <c r="F1813"/>
  <c r="F1812"/>
  <c r="F1811"/>
  <c r="F1810"/>
  <c r="F1809"/>
  <c r="F1808"/>
  <c r="F1807"/>
  <c r="F1806"/>
  <c r="F1805"/>
  <c r="F1804"/>
  <c r="F1803"/>
  <c r="F1802"/>
  <c r="F1801"/>
  <c r="F1800"/>
  <c r="F1799"/>
  <c r="F1798"/>
  <c r="F1797"/>
  <c r="F1796"/>
  <c r="F1795"/>
  <c r="F1794"/>
  <c r="F1793"/>
  <c r="F1792"/>
  <c r="F1791"/>
  <c r="F1790"/>
  <c r="F1789"/>
  <c r="F1788"/>
  <c r="F1787"/>
  <c r="F1786"/>
  <c r="F1785"/>
  <c r="F1784"/>
  <c r="F1783"/>
  <c r="F1782"/>
  <c r="F1781"/>
  <c r="F1780"/>
  <c r="F1779"/>
  <c r="F1778"/>
  <c r="F1777"/>
  <c r="F1776"/>
  <c r="F1775"/>
  <c r="F1774"/>
  <c r="F1773"/>
  <c r="F1772"/>
  <c r="F1771"/>
  <c r="F1770"/>
  <c r="F1769"/>
  <c r="F1768"/>
  <c r="F1767"/>
  <c r="F1766"/>
  <c r="F1765"/>
  <c r="F1764"/>
  <c r="F1763"/>
  <c r="F1762"/>
  <c r="F1761"/>
  <c r="F1760"/>
  <c r="F1759"/>
  <c r="F1758"/>
  <c r="F1757"/>
  <c r="F1756"/>
  <c r="F1755"/>
  <c r="F1754"/>
  <c r="F1753"/>
  <c r="F1752"/>
  <c r="F1751"/>
  <c r="F1750"/>
  <c r="F1749"/>
  <c r="F1748"/>
  <c r="F1747"/>
  <c r="F1746"/>
  <c r="F1745"/>
  <c r="F1744"/>
  <c r="F1743"/>
  <c r="F1742"/>
  <c r="F1741"/>
  <c r="F1740"/>
  <c r="F1739"/>
  <c r="F1738"/>
  <c r="F1737"/>
  <c r="F1736"/>
  <c r="F1735"/>
  <c r="F1734"/>
  <c r="F1733"/>
  <c r="F1732"/>
  <c r="F1731"/>
  <c r="F1730"/>
  <c r="F1729"/>
  <c r="F1728"/>
  <c r="F1727"/>
  <c r="F1726"/>
  <c r="F1725"/>
  <c r="F1724"/>
  <c r="F1723"/>
  <c r="F1722"/>
  <c r="F1721"/>
  <c r="F1720"/>
  <c r="F1719"/>
  <c r="F1718"/>
  <c r="F1717"/>
  <c r="F1716"/>
  <c r="F1715"/>
  <c r="F1714"/>
  <c r="F1713"/>
  <c r="F1712"/>
  <c r="F1711"/>
  <c r="F1710"/>
  <c r="F1709"/>
  <c r="F1708"/>
  <c r="F1707"/>
  <c r="F1706"/>
  <c r="F1705"/>
  <c r="F1704"/>
  <c r="F1703"/>
  <c r="F1702"/>
  <c r="F1701"/>
  <c r="F1700"/>
  <c r="F1699"/>
  <c r="F1698"/>
  <c r="F1697"/>
  <c r="F1696"/>
  <c r="F1695"/>
  <c r="F1694"/>
  <c r="F1693"/>
  <c r="F1692"/>
  <c r="F1691"/>
  <c r="F1690"/>
  <c r="F1689"/>
  <c r="F1688"/>
  <c r="F1687"/>
  <c r="F1686"/>
  <c r="F1685"/>
  <c r="F1684"/>
  <c r="F1683"/>
  <c r="F1682"/>
  <c r="F1681"/>
  <c r="F1680"/>
  <c r="F1679"/>
  <c r="F1678"/>
  <c r="F1677"/>
  <c r="F1676"/>
  <c r="F1675"/>
  <c r="F1674"/>
  <c r="F1673"/>
  <c r="F1672"/>
  <c r="F1671"/>
  <c r="F1670"/>
  <c r="F1669"/>
  <c r="F1668"/>
  <c r="F1667"/>
  <c r="F1666"/>
  <c r="F1665"/>
  <c r="F1664"/>
  <c r="F1663"/>
  <c r="F1662"/>
  <c r="F1661"/>
  <c r="F1660"/>
  <c r="F1659"/>
  <c r="F1658"/>
  <c r="F1657"/>
  <c r="F1656"/>
  <c r="F1655"/>
  <c r="F1654"/>
  <c r="F1653"/>
  <c r="F1652"/>
  <c r="F1651"/>
  <c r="F1650"/>
  <c r="F1649"/>
  <c r="F1648"/>
  <c r="F1647"/>
  <c r="F1646"/>
  <c r="F1645"/>
  <c r="F1644"/>
  <c r="F1643"/>
  <c r="F1642"/>
  <c r="F1641"/>
  <c r="F1640"/>
  <c r="F1639"/>
  <c r="F1638"/>
  <c r="F1637"/>
  <c r="F1636"/>
  <c r="F1635"/>
  <c r="F1634"/>
  <c r="F1633"/>
  <c r="F1632"/>
  <c r="F1631"/>
  <c r="F1630"/>
  <c r="F1629"/>
  <c r="F1628"/>
  <c r="F1627"/>
  <c r="F1626"/>
  <c r="F1625"/>
  <c r="F1624"/>
  <c r="F1623"/>
  <c r="F1622"/>
  <c r="F1621"/>
  <c r="F1620"/>
  <c r="F1619"/>
  <c r="F1618"/>
  <c r="F1617"/>
  <c r="F1616"/>
  <c r="F1615"/>
  <c r="F1614"/>
  <c r="F1613"/>
  <c r="F1612"/>
  <c r="F1611"/>
  <c r="F1610"/>
  <c r="F1609"/>
  <c r="F1608"/>
  <c r="F1607"/>
  <c r="F1606"/>
  <c r="F1605"/>
  <c r="F1604"/>
  <c r="F1603"/>
  <c r="F1602"/>
  <c r="F1601"/>
  <c r="F1600"/>
  <c r="F1599"/>
  <c r="F1598"/>
  <c r="F1597"/>
  <c r="F1596"/>
  <c r="F1595"/>
  <c r="F1594"/>
  <c r="F1593"/>
  <c r="F1592"/>
  <c r="F1591"/>
  <c r="F1590"/>
  <c r="F1589"/>
  <c r="F1588"/>
  <c r="F1587"/>
  <c r="F1586"/>
  <c r="F1585"/>
  <c r="F1584"/>
  <c r="F1583"/>
  <c r="F1582"/>
  <c r="F1581"/>
  <c r="F1580"/>
  <c r="F1579"/>
  <c r="F1578"/>
  <c r="F1577"/>
  <c r="F1576"/>
  <c r="F1575"/>
  <c r="F1574"/>
  <c r="F1573"/>
  <c r="F1572"/>
  <c r="F1571"/>
  <c r="F1570"/>
  <c r="F1569"/>
  <c r="F1568"/>
  <c r="F1567"/>
  <c r="F1566"/>
  <c r="F1565"/>
  <c r="F1564"/>
  <c r="F1563"/>
  <c r="F1562"/>
  <c r="F1561"/>
  <c r="F1560"/>
  <c r="F1559"/>
  <c r="F1558"/>
  <c r="F1557"/>
  <c r="F1556"/>
  <c r="F1555"/>
  <c r="F1554"/>
  <c r="F1553"/>
  <c r="F1552"/>
  <c r="F1551"/>
  <c r="F1550"/>
  <c r="F1549"/>
  <c r="F1548"/>
  <c r="F1547"/>
  <c r="F1546"/>
  <c r="F1545"/>
  <c r="F1544"/>
  <c r="F1543"/>
  <c r="F1542"/>
  <c r="F1541"/>
  <c r="F1540"/>
  <c r="F1539"/>
  <c r="F1538"/>
  <c r="F1537"/>
  <c r="F1536"/>
  <c r="F1535"/>
  <c r="F1534"/>
  <c r="F1533"/>
  <c r="F1532"/>
  <c r="F1531"/>
  <c r="F1530"/>
  <c r="F1529"/>
  <c r="F1528"/>
  <c r="F1527"/>
  <c r="F1526"/>
  <c r="F1525"/>
  <c r="F1524"/>
  <c r="F1523"/>
  <c r="F1522"/>
  <c r="F1521"/>
  <c r="F1520"/>
  <c r="F1519"/>
  <c r="F1518"/>
  <c r="F1517"/>
  <c r="F1516"/>
  <c r="F1515"/>
  <c r="F1514"/>
  <c r="F1513"/>
  <c r="F1512"/>
  <c r="F1511"/>
  <c r="F1510"/>
  <c r="F1509"/>
  <c r="F1508"/>
  <c r="F1507"/>
  <c r="F1506"/>
  <c r="F1505"/>
  <c r="F1504"/>
  <c r="F1503"/>
  <c r="F1502"/>
  <c r="F1501"/>
  <c r="F1500"/>
  <c r="F1499"/>
  <c r="F1498"/>
  <c r="F1497"/>
  <c r="F1496"/>
  <c r="F1495"/>
  <c r="F1494"/>
  <c r="F1493"/>
  <c r="F1492"/>
  <c r="F1491"/>
  <c r="F1490"/>
  <c r="F1489"/>
  <c r="F1488"/>
  <c r="F1487"/>
  <c r="F1486"/>
  <c r="F1485"/>
  <c r="F1484"/>
  <c r="F1483"/>
  <c r="F1482"/>
  <c r="F1481"/>
  <c r="F1480"/>
  <c r="F1479"/>
  <c r="F1478"/>
  <c r="F1477"/>
  <c r="F1476"/>
  <c r="F1475"/>
  <c r="F1474"/>
  <c r="F1473"/>
  <c r="F1472"/>
  <c r="F1471"/>
  <c r="F1470"/>
  <c r="F1469"/>
  <c r="F1468"/>
  <c r="F1467"/>
  <c r="F1466"/>
  <c r="F1465"/>
  <c r="F1464"/>
  <c r="F1463"/>
  <c r="F1462"/>
  <c r="F1461"/>
  <c r="F1460"/>
  <c r="F1459"/>
  <c r="F1458"/>
  <c r="F1457"/>
  <c r="F1456"/>
  <c r="F1455"/>
  <c r="F1454"/>
  <c r="F1453"/>
  <c r="F1452"/>
  <c r="F1451"/>
  <c r="F1450"/>
  <c r="F1449"/>
  <c r="F1448"/>
  <c r="F1447"/>
  <c r="F1446"/>
  <c r="F1445"/>
  <c r="F1444"/>
  <c r="F1443"/>
  <c r="F1442"/>
  <c r="F1441"/>
  <c r="F1440"/>
  <c r="F1439"/>
  <c r="F1438"/>
  <c r="F1437"/>
  <c r="F1436"/>
  <c r="F1435"/>
  <c r="F1434"/>
  <c r="F1433"/>
  <c r="F1432"/>
  <c r="F1431"/>
  <c r="F1430"/>
  <c r="F1429"/>
  <c r="F1428"/>
  <c r="F1427"/>
  <c r="F1426"/>
  <c r="F1425"/>
  <c r="F1424"/>
  <c r="F1423"/>
  <c r="F1422"/>
  <c r="F1421"/>
  <c r="F1420"/>
  <c r="F1419"/>
  <c r="F1418"/>
  <c r="F1417"/>
  <c r="F1416"/>
  <c r="F1415"/>
  <c r="F1414"/>
  <c r="F1413"/>
  <c r="F1412"/>
  <c r="F1411"/>
  <c r="F1410"/>
  <c r="F1409"/>
  <c r="F1408"/>
  <c r="F1407"/>
  <c r="F1406"/>
  <c r="F1405"/>
  <c r="F1404"/>
  <c r="F1403"/>
  <c r="F1402"/>
  <c r="F1401"/>
  <c r="F1400"/>
  <c r="F1399"/>
  <c r="F1398"/>
  <c r="F1397"/>
  <c r="F1396"/>
  <c r="F1395"/>
  <c r="F1394"/>
  <c r="F1393"/>
  <c r="F1392"/>
  <c r="F1391"/>
  <c r="F1390"/>
  <c r="F1389"/>
  <c r="F1388"/>
  <c r="F1387"/>
  <c r="F1386"/>
  <c r="F1385"/>
  <c r="F1384"/>
  <c r="F1383"/>
  <c r="F1382"/>
  <c r="F1381"/>
  <c r="F1380"/>
  <c r="F1379"/>
  <c r="F1378"/>
  <c r="F1377"/>
  <c r="F1376"/>
  <c r="F1375"/>
  <c r="F1374"/>
  <c r="F1373"/>
  <c r="F1372"/>
  <c r="F1371"/>
  <c r="F1370"/>
  <c r="F1369"/>
  <c r="F1368"/>
  <c r="F1367"/>
  <c r="F1366"/>
  <c r="F1365"/>
  <c r="F1364"/>
  <c r="F1363"/>
  <c r="F1362"/>
  <c r="F1361"/>
  <c r="F1360"/>
  <c r="F1359"/>
  <c r="F1358"/>
  <c r="F1357"/>
  <c r="F1356"/>
  <c r="F1355"/>
  <c r="F1354"/>
  <c r="F1353"/>
  <c r="F1352"/>
  <c r="F1351"/>
  <c r="F1350"/>
  <c r="F1349"/>
  <c r="F1348"/>
  <c r="F1347"/>
  <c r="F1346"/>
  <c r="F1345"/>
  <c r="F1344"/>
  <c r="F1343"/>
  <c r="F1342"/>
  <c r="F1341"/>
  <c r="F1340"/>
  <c r="F1339"/>
  <c r="F1338"/>
  <c r="F1337"/>
  <c r="F1336"/>
  <c r="F1335"/>
  <c r="F1334"/>
  <c r="F1333"/>
  <c r="F1332"/>
  <c r="F1331"/>
  <c r="F1330"/>
  <c r="F1329"/>
  <c r="F1328"/>
  <c r="F1327"/>
  <c r="F1326"/>
  <c r="F1325"/>
  <c r="F1324"/>
  <c r="F1323"/>
  <c r="F1322"/>
  <c r="F1321"/>
  <c r="F1320"/>
  <c r="F1319"/>
  <c r="F1318"/>
  <c r="F1317"/>
  <c r="F1316"/>
  <c r="F1315"/>
  <c r="F1314"/>
  <c r="F1313"/>
  <c r="F1312"/>
  <c r="F1311"/>
  <c r="F1310"/>
  <c r="F1309"/>
  <c r="F1308"/>
  <c r="F1307"/>
  <c r="F1306"/>
  <c r="F1305"/>
  <c r="F1304"/>
  <c r="F1303"/>
  <c r="F1302"/>
  <c r="F1301"/>
  <c r="F1300"/>
  <c r="F1299"/>
  <c r="F1298"/>
  <c r="F1297"/>
  <c r="F1296"/>
  <c r="F1295"/>
  <c r="F1294"/>
  <c r="F1293"/>
  <c r="F1292"/>
  <c r="F1291"/>
  <c r="F1290"/>
  <c r="F1289"/>
  <c r="F1288"/>
  <c r="F1287"/>
  <c r="F1286"/>
  <c r="F1285"/>
  <c r="F1284"/>
  <c r="F1283"/>
  <c r="F1282"/>
  <c r="F1281"/>
  <c r="F1280"/>
  <c r="F1279"/>
  <c r="F1278"/>
  <c r="F1277"/>
  <c r="F1276"/>
  <c r="F1275"/>
  <c r="F1274"/>
  <c r="F1273"/>
  <c r="F1272"/>
  <c r="F1271"/>
  <c r="F1270"/>
  <c r="F1269"/>
  <c r="F1268"/>
  <c r="F1267"/>
  <c r="F1266"/>
  <c r="F1265"/>
  <c r="F1264"/>
  <c r="F1263"/>
  <c r="F1262"/>
  <c r="F1261"/>
  <c r="F1260"/>
  <c r="F1259"/>
  <c r="F1258"/>
  <c r="F1257"/>
  <c r="F1256"/>
  <c r="F1255"/>
  <c r="F1254"/>
  <c r="F1253"/>
  <c r="F1252"/>
  <c r="F1251"/>
  <c r="F1250"/>
  <c r="F1249"/>
  <c r="F1248"/>
  <c r="F1247"/>
  <c r="F1246"/>
  <c r="F1245"/>
  <c r="F1244"/>
  <c r="F1243"/>
  <c r="F1242"/>
  <c r="F1241"/>
  <c r="F1240"/>
  <c r="F1239"/>
  <c r="F1238"/>
  <c r="F1237"/>
  <c r="F1236"/>
  <c r="F1235"/>
  <c r="F1234"/>
  <c r="F1233"/>
  <c r="F1232"/>
  <c r="F1231"/>
  <c r="F1230"/>
  <c r="F1229"/>
  <c r="F1228"/>
  <c r="F1227"/>
  <c r="F1226"/>
  <c r="F1225"/>
  <c r="F1224"/>
  <c r="F1223"/>
  <c r="F1222"/>
  <c r="F1221"/>
  <c r="F1220"/>
  <c r="F1219"/>
  <c r="F1218"/>
  <c r="F1217"/>
  <c r="F1216"/>
  <c r="F1215"/>
  <c r="F1214"/>
  <c r="F1213"/>
  <c r="F1212"/>
  <c r="F1211"/>
  <c r="F1210"/>
  <c r="F1209"/>
  <c r="F1208"/>
  <c r="F1207"/>
  <c r="F1206"/>
  <c r="F1205"/>
  <c r="F1204"/>
  <c r="F1203"/>
  <c r="F1202"/>
  <c r="F1201"/>
  <c r="F1200"/>
  <c r="F1199"/>
  <c r="F1198"/>
  <c r="F1197"/>
  <c r="F1196"/>
  <c r="F1195"/>
  <c r="F1194"/>
  <c r="F1193"/>
  <c r="F1192"/>
  <c r="F1191"/>
  <c r="F1190"/>
  <c r="F1189"/>
  <c r="F1188"/>
  <c r="F1187"/>
  <c r="F1186"/>
  <c r="F1185"/>
  <c r="F1184"/>
  <c r="F1183"/>
  <c r="F1182"/>
  <c r="F1181"/>
  <c r="F1180"/>
  <c r="F1179"/>
  <c r="F1178"/>
  <c r="F1177"/>
  <c r="F1176"/>
  <c r="F1175"/>
  <c r="F1174"/>
  <c r="F1173"/>
  <c r="F1172"/>
  <c r="F1171"/>
  <c r="F1170"/>
  <c r="F1169"/>
  <c r="F1168"/>
  <c r="F1167"/>
  <c r="F1166"/>
  <c r="F1165"/>
  <c r="F1164"/>
  <c r="F1163"/>
  <c r="F1162"/>
  <c r="F1161"/>
  <c r="F1160"/>
  <c r="F1159"/>
  <c r="F1158"/>
  <c r="F1157"/>
  <c r="F1156"/>
  <c r="F1155"/>
  <c r="F1154"/>
  <c r="F1153"/>
  <c r="F1152"/>
  <c r="F1151"/>
  <c r="F1150"/>
  <c r="F1149"/>
  <c r="F1148"/>
  <c r="F1147"/>
  <c r="F1146"/>
  <c r="F1145"/>
  <c r="F1144"/>
  <c r="F1143"/>
  <c r="F1142"/>
  <c r="F1141"/>
  <c r="F1140"/>
  <c r="F1139"/>
  <c r="F1138"/>
  <c r="F1137"/>
  <c r="F1136"/>
  <c r="F1135"/>
  <c r="F1134"/>
  <c r="F1133"/>
  <c r="F1132"/>
  <c r="F1131"/>
  <c r="F1130"/>
  <c r="F1129"/>
  <c r="F1128"/>
  <c r="F1127"/>
  <c r="F1126"/>
  <c r="F1125"/>
  <c r="F1124"/>
  <c r="F1123"/>
  <c r="F1122"/>
  <c r="F1121"/>
  <c r="F1120"/>
  <c r="F1119"/>
  <c r="F1118"/>
  <c r="F1117"/>
  <c r="F1116"/>
  <c r="F1115"/>
  <c r="F1114"/>
  <c r="F1113"/>
  <c r="F1112"/>
  <c r="F1111"/>
  <c r="F1110"/>
  <c r="F1109"/>
  <c r="F1108"/>
  <c r="F1107"/>
  <c r="F1106"/>
  <c r="F1105"/>
  <c r="F1104"/>
  <c r="F1103"/>
  <c r="F1102"/>
  <c r="F1101"/>
  <c r="F1100"/>
  <c r="F1099"/>
  <c r="F1098"/>
  <c r="F1097"/>
  <c r="F1096"/>
  <c r="F1095"/>
  <c r="F1094"/>
  <c r="F1093"/>
  <c r="F1092"/>
  <c r="F1091"/>
  <c r="F1090"/>
  <c r="F1089"/>
  <c r="F1088"/>
  <c r="F1087"/>
  <c r="F1086"/>
  <c r="F1085"/>
  <c r="F1084"/>
  <c r="F1083"/>
  <c r="F1082"/>
  <c r="F1081"/>
  <c r="F1080"/>
  <c r="F1079"/>
  <c r="F1078"/>
  <c r="F1077"/>
  <c r="F1076"/>
  <c r="F1075"/>
  <c r="F1074"/>
  <c r="F1073"/>
  <c r="F1072"/>
  <c r="F1071"/>
  <c r="F1070"/>
  <c r="F1069"/>
  <c r="F1068"/>
  <c r="F1067"/>
  <c r="F1066"/>
  <c r="F1065"/>
  <c r="F1064"/>
  <c r="F1063"/>
  <c r="F1062"/>
  <c r="F1061"/>
  <c r="F1060"/>
  <c r="F1059"/>
  <c r="F1058"/>
  <c r="F1057"/>
  <c r="F1056"/>
  <c r="F1055"/>
  <c r="F1054"/>
  <c r="F1053"/>
  <c r="F1052"/>
  <c r="F1051"/>
  <c r="F1050"/>
  <c r="F1049"/>
  <c r="F1048"/>
  <c r="F1047"/>
  <c r="F1046"/>
  <c r="F1045"/>
  <c r="F1044"/>
  <c r="F1043"/>
  <c r="F1042"/>
  <c r="F1041"/>
  <c r="F1040"/>
  <c r="F1039"/>
  <c r="F1038"/>
  <c r="F1037"/>
  <c r="F1036"/>
  <c r="F1035"/>
  <c r="F1034"/>
  <c r="F1033"/>
  <c r="F1032"/>
  <c r="F1031"/>
  <c r="F1030"/>
  <c r="F1029"/>
  <c r="F1028"/>
  <c r="F1027"/>
  <c r="F1026"/>
  <c r="F1025"/>
  <c r="F1024"/>
  <c r="F1023"/>
  <c r="F1022"/>
  <c r="F1021"/>
  <c r="F1020"/>
  <c r="F1019"/>
  <c r="F1018"/>
  <c r="F1017"/>
  <c r="F1016"/>
  <c r="F1015"/>
  <c r="F1014"/>
  <c r="F1013"/>
  <c r="F1012"/>
  <c r="F1011"/>
  <c r="F1010"/>
  <c r="F1009"/>
  <c r="F1008"/>
  <c r="F1007"/>
  <c r="F1006"/>
  <c r="F1005"/>
  <c r="F1004"/>
  <c r="F1003"/>
  <c r="F1002"/>
  <c r="F1001"/>
  <c r="F1000"/>
  <c r="F999"/>
  <c r="F998"/>
  <c r="F997"/>
  <c r="F996"/>
  <c r="F995"/>
  <c r="F994"/>
  <c r="F993"/>
  <c r="F992"/>
  <c r="F991"/>
  <c r="F990"/>
  <c r="F989"/>
  <c r="F988"/>
  <c r="F987"/>
  <c r="F986"/>
  <c r="F985"/>
  <c r="F984"/>
  <c r="F983"/>
  <c r="F982"/>
  <c r="F981"/>
  <c r="F980"/>
  <c r="F979"/>
  <c r="F978"/>
  <c r="F977"/>
  <c r="F976"/>
  <c r="F975"/>
  <c r="F974"/>
  <c r="F973"/>
  <c r="F972"/>
  <c r="F971"/>
  <c r="F970"/>
  <c r="F969"/>
  <c r="F968"/>
  <c r="F967"/>
  <c r="F966"/>
  <c r="F965"/>
  <c r="F964"/>
  <c r="F963"/>
  <c r="F962"/>
  <c r="F961"/>
  <c r="F960"/>
  <c r="F959"/>
  <c r="F958"/>
  <c r="F957"/>
  <c r="F956"/>
  <c r="F955"/>
  <c r="F954"/>
  <c r="F953"/>
  <c r="F952"/>
  <c r="F951"/>
  <c r="F950"/>
  <c r="F949"/>
  <c r="F948"/>
  <c r="F947"/>
  <c r="F946"/>
  <c r="F945"/>
  <c r="F944"/>
  <c r="F943"/>
  <c r="F942"/>
  <c r="F941"/>
  <c r="F940"/>
  <c r="F939"/>
  <c r="F938"/>
  <c r="F937"/>
  <c r="F936"/>
  <c r="F935"/>
  <c r="F934"/>
  <c r="F933"/>
  <c r="F932"/>
  <c r="F931"/>
  <c r="F930"/>
  <c r="F929"/>
  <c r="F928"/>
  <c r="F927"/>
  <c r="F926"/>
  <c r="F925"/>
  <c r="F924"/>
  <c r="F923"/>
  <c r="F922"/>
  <c r="F921"/>
  <c r="F920"/>
  <c r="F919"/>
  <c r="F918"/>
  <c r="F917"/>
  <c r="F916"/>
  <c r="F915"/>
  <c r="F914"/>
  <c r="F913"/>
  <c r="F912"/>
  <c r="F911"/>
  <c r="F910"/>
  <c r="F909"/>
  <c r="F908"/>
  <c r="F907"/>
  <c r="F906"/>
  <c r="F905"/>
  <c r="F904"/>
  <c r="F903"/>
  <c r="F902"/>
  <c r="F901"/>
  <c r="F900"/>
  <c r="F899"/>
  <c r="F898"/>
  <c r="F897"/>
  <c r="F896"/>
  <c r="F895"/>
  <c r="F894"/>
  <c r="F893"/>
  <c r="F892"/>
  <c r="F891"/>
  <c r="F890"/>
  <c r="F889"/>
  <c r="F888"/>
  <c r="F887"/>
  <c r="F886"/>
  <c r="F885"/>
  <c r="F884"/>
  <c r="F883"/>
  <c r="F882"/>
  <c r="F881"/>
  <c r="F880"/>
  <c r="F879"/>
  <c r="F878"/>
  <c r="F877"/>
  <c r="F876"/>
  <c r="F875"/>
  <c r="F874"/>
  <c r="F873"/>
  <c r="F872"/>
  <c r="F871"/>
  <c r="F870"/>
  <c r="F869"/>
  <c r="F868"/>
  <c r="F867"/>
  <c r="F866"/>
  <c r="F865"/>
  <c r="F864"/>
  <c r="F863"/>
  <c r="F862"/>
  <c r="F861"/>
  <c r="F860"/>
  <c r="F859"/>
  <c r="F858"/>
  <c r="F857"/>
  <c r="F856"/>
  <c r="F855"/>
  <c r="F854"/>
  <c r="F853"/>
  <c r="F852"/>
  <c r="F851"/>
  <c r="F850"/>
  <c r="F849"/>
  <c r="F848"/>
  <c r="F847"/>
  <c r="F846"/>
  <c r="F845"/>
  <c r="F844"/>
  <c r="F843"/>
  <c r="F842"/>
  <c r="F841"/>
  <c r="F840"/>
  <c r="F839"/>
  <c r="F838"/>
  <c r="F837"/>
  <c r="F836"/>
  <c r="F835"/>
  <c r="F834"/>
  <c r="F833"/>
  <c r="F832"/>
  <c r="F831"/>
  <c r="F830"/>
  <c r="F829"/>
  <c r="F828"/>
  <c r="F827"/>
  <c r="F826"/>
  <c r="F825"/>
  <c r="F824"/>
  <c r="F823"/>
  <c r="F822"/>
  <c r="F821"/>
  <c r="F820"/>
  <c r="F819"/>
  <c r="F818"/>
  <c r="F817"/>
  <c r="F816"/>
  <c r="F815"/>
  <c r="F814"/>
  <c r="F813"/>
  <c r="F812"/>
  <c r="F811"/>
  <c r="F810"/>
  <c r="F809"/>
  <c r="F808"/>
  <c r="F807"/>
  <c r="F806"/>
  <c r="F805"/>
  <c r="F804"/>
  <c r="F803"/>
  <c r="F802"/>
  <c r="F801"/>
  <c r="F800"/>
  <c r="F799"/>
  <c r="F798"/>
  <c r="F797"/>
  <c r="F796"/>
  <c r="F795"/>
  <c r="F794"/>
  <c r="F793"/>
  <c r="F792"/>
  <c r="F791"/>
  <c r="F790"/>
  <c r="F789"/>
  <c r="F788"/>
  <c r="F787"/>
  <c r="F786"/>
  <c r="F785"/>
  <c r="F784"/>
  <c r="F783"/>
  <c r="F782"/>
  <c r="F781"/>
  <c r="F780"/>
  <c r="F779"/>
  <c r="F778"/>
  <c r="F777"/>
  <c r="F776"/>
  <c r="F775"/>
  <c r="F774"/>
  <c r="F773"/>
  <c r="F772"/>
  <c r="F771"/>
  <c r="F770"/>
  <c r="F769"/>
  <c r="F768"/>
  <c r="F767"/>
  <c r="F766"/>
  <c r="F765"/>
  <c r="F764"/>
  <c r="F763"/>
  <c r="F762"/>
  <c r="F761"/>
  <c r="F760"/>
  <c r="F759"/>
  <c r="F758"/>
  <c r="F757"/>
  <c r="F756"/>
  <c r="F755"/>
  <c r="F754"/>
  <c r="F753"/>
  <c r="F752"/>
  <c r="F751"/>
  <c r="F750"/>
  <c r="F749"/>
  <c r="F748"/>
  <c r="F747"/>
  <c r="F746"/>
  <c r="F745"/>
  <c r="F744"/>
  <c r="F743"/>
  <c r="F742"/>
  <c r="F741"/>
  <c r="F740"/>
  <c r="F739"/>
  <c r="F738"/>
  <c r="F737"/>
  <c r="F736"/>
  <c r="F735"/>
  <c r="F734"/>
  <c r="F733"/>
  <c r="F732"/>
  <c r="F731"/>
  <c r="F730"/>
  <c r="F729"/>
  <c r="F728"/>
  <c r="F727"/>
  <c r="F726"/>
  <c r="F725"/>
  <c r="F724"/>
  <c r="F723"/>
  <c r="F722"/>
  <c r="F721"/>
  <c r="F720"/>
  <c r="F719"/>
  <c r="F718"/>
  <c r="F717"/>
  <c r="F716"/>
  <c r="F715"/>
  <c r="F714"/>
  <c r="F713"/>
  <c r="F712"/>
  <c r="F711"/>
  <c r="F710"/>
  <c r="F709"/>
  <c r="F708"/>
  <c r="F707"/>
  <c r="F706"/>
  <c r="F705"/>
  <c r="F704"/>
  <c r="F703"/>
  <c r="F702"/>
  <c r="F701"/>
  <c r="F700"/>
  <c r="F699"/>
  <c r="F698"/>
  <c r="F697"/>
  <c r="F696"/>
  <c r="F695"/>
  <c r="F694"/>
  <c r="F693"/>
  <c r="F692"/>
  <c r="F691"/>
  <c r="F690"/>
  <c r="F689"/>
  <c r="F688"/>
  <c r="F687"/>
  <c r="F686"/>
  <c r="F685"/>
  <c r="F684"/>
  <c r="F683"/>
  <c r="F682"/>
  <c r="F681"/>
  <c r="F680"/>
  <c r="F679"/>
  <c r="F678"/>
  <c r="F677"/>
  <c r="F676"/>
  <c r="F675"/>
  <c r="F674"/>
  <c r="F673"/>
  <c r="F672"/>
  <c r="F671"/>
  <c r="F670"/>
  <c r="F669"/>
  <c r="F668"/>
  <c r="F667"/>
  <c r="F666"/>
  <c r="F665"/>
  <c r="F664"/>
  <c r="F663"/>
  <c r="F662"/>
  <c r="F661"/>
  <c r="F660"/>
  <c r="F659"/>
  <c r="F658"/>
  <c r="F657"/>
  <c r="F656"/>
  <c r="F655"/>
  <c r="F654"/>
  <c r="F653"/>
  <c r="F652"/>
  <c r="F651"/>
  <c r="F650"/>
  <c r="F649"/>
  <c r="F648"/>
  <c r="F647"/>
  <c r="F646"/>
  <c r="F645"/>
  <c r="F644"/>
  <c r="F643"/>
  <c r="F642"/>
  <c r="F641"/>
  <c r="F640"/>
  <c r="F639"/>
  <c r="F638"/>
  <c r="F637"/>
  <c r="F636"/>
  <c r="F635"/>
  <c r="F634"/>
  <c r="F633"/>
  <c r="F632"/>
  <c r="F631"/>
  <c r="F630"/>
  <c r="F629"/>
  <c r="F628"/>
  <c r="F627"/>
  <c r="F626"/>
  <c r="F625"/>
  <c r="F624"/>
  <c r="F623"/>
  <c r="F622"/>
  <c r="F621"/>
  <c r="F620"/>
  <c r="F619"/>
  <c r="F618"/>
  <c r="F617"/>
  <c r="F616"/>
  <c r="F615"/>
  <c r="F614"/>
  <c r="F613"/>
  <c r="F612"/>
  <c r="F611"/>
  <c r="F610"/>
  <c r="F609"/>
  <c r="F608"/>
  <c r="F607"/>
  <c r="F606"/>
  <c r="F605"/>
  <c r="F604"/>
  <c r="F603"/>
  <c r="F602"/>
  <c r="F601"/>
  <c r="F600"/>
  <c r="F599"/>
  <c r="F598"/>
  <c r="F597"/>
  <c r="F596"/>
  <c r="F595"/>
  <c r="F594"/>
  <c r="F593"/>
  <c r="F592"/>
  <c r="F591"/>
  <c r="F590"/>
  <c r="F589"/>
  <c r="F588"/>
  <c r="F587"/>
  <c r="F586"/>
  <c r="F585"/>
  <c r="F584"/>
  <c r="F583"/>
  <c r="F582"/>
  <c r="F581"/>
  <c r="F580"/>
  <c r="F579"/>
  <c r="F578"/>
  <c r="F577"/>
  <c r="F576"/>
  <c r="F575"/>
  <c r="F574"/>
  <c r="F573"/>
  <c r="F572"/>
  <c r="F571"/>
  <c r="F570"/>
  <c r="F569"/>
  <c r="F568"/>
  <c r="F567"/>
  <c r="F566"/>
  <c r="F565"/>
  <c r="F564"/>
  <c r="F563"/>
  <c r="F562"/>
  <c r="F561"/>
  <c r="F560"/>
  <c r="F559"/>
  <c r="F558"/>
  <c r="F557"/>
  <c r="F556"/>
  <c r="F555"/>
  <c r="F554"/>
  <c r="F553"/>
  <c r="F552"/>
  <c r="F551"/>
  <c r="F550"/>
  <c r="F549"/>
  <c r="F548"/>
  <c r="F547"/>
  <c r="F546"/>
  <c r="F545"/>
  <c r="F544"/>
  <c r="F543"/>
  <c r="F542"/>
  <c r="F541"/>
  <c r="F540"/>
  <c r="F539"/>
  <c r="F538"/>
  <c r="F537"/>
  <c r="F536"/>
  <c r="F535"/>
  <c r="F534"/>
  <c r="F533"/>
  <c r="F532"/>
  <c r="F531"/>
  <c r="F530"/>
  <c r="F529"/>
  <c r="F528"/>
  <c r="F527"/>
  <c r="F526"/>
  <c r="F525"/>
  <c r="F524"/>
  <c r="F523"/>
  <c r="F522"/>
  <c r="F521"/>
  <c r="F520"/>
  <c r="F519"/>
  <c r="F518"/>
  <c r="F517"/>
  <c r="F516"/>
  <c r="F515"/>
  <c r="F514"/>
  <c r="F513"/>
  <c r="F512"/>
  <c r="F511"/>
  <c r="F510"/>
  <c r="F509"/>
  <c r="F508"/>
  <c r="F507"/>
  <c r="F506"/>
  <c r="F505"/>
  <c r="F504"/>
  <c r="F503"/>
  <c r="F502"/>
  <c r="F501"/>
  <c r="F500"/>
  <c r="F499"/>
  <c r="F498"/>
  <c r="F497"/>
  <c r="F496"/>
  <c r="F495"/>
  <c r="F494"/>
  <c r="F493"/>
  <c r="F492"/>
  <c r="F491"/>
  <c r="F490"/>
  <c r="F489"/>
  <c r="F488"/>
  <c r="F487"/>
  <c r="F486"/>
  <c r="F485"/>
  <c r="F484"/>
  <c r="F483"/>
  <c r="F482"/>
  <c r="F481"/>
  <c r="F480"/>
  <c r="F479"/>
  <c r="F478"/>
  <c r="F477"/>
  <c r="F476"/>
  <c r="F475"/>
  <c r="F474"/>
  <c r="F473"/>
  <c r="F472"/>
  <c r="F471"/>
  <c r="F470"/>
  <c r="F469"/>
  <c r="F468"/>
  <c r="F467"/>
  <c r="F466"/>
  <c r="F465"/>
  <c r="F464"/>
  <c r="F463"/>
  <c r="F462"/>
  <c r="F461"/>
  <c r="F460"/>
  <c r="F459"/>
  <c r="F458"/>
  <c r="F457"/>
  <c r="F456"/>
  <c r="F455"/>
  <c r="F454"/>
  <c r="F453"/>
  <c r="F452"/>
  <c r="F451"/>
  <c r="F450"/>
  <c r="F449"/>
  <c r="F448"/>
  <c r="F447"/>
  <c r="F446"/>
  <c r="F445"/>
  <c r="F444"/>
  <c r="F443"/>
  <c r="F442"/>
  <c r="F441"/>
  <c r="F440"/>
  <c r="F439"/>
  <c r="F438"/>
  <c r="F437"/>
  <c r="F436"/>
  <c r="F435"/>
  <c r="F434"/>
  <c r="F433"/>
  <c r="F432"/>
  <c r="F431"/>
  <c r="F430"/>
  <c r="F429"/>
  <c r="F428"/>
  <c r="F427"/>
  <c r="F426"/>
  <c r="F425"/>
  <c r="F424"/>
  <c r="F423"/>
  <c r="F422"/>
  <c r="F421"/>
  <c r="F420"/>
  <c r="F419"/>
  <c r="F418"/>
  <c r="F417"/>
  <c r="F416"/>
  <c r="F415"/>
  <c r="F414"/>
  <c r="F413"/>
  <c r="F412"/>
  <c r="F411"/>
  <c r="F410"/>
  <c r="F409"/>
  <c r="F408"/>
  <c r="F407"/>
  <c r="F406"/>
  <c r="F405"/>
  <c r="F404"/>
  <c r="F403"/>
  <c r="F402"/>
  <c r="F401"/>
  <c r="F400"/>
  <c r="F399"/>
  <c r="F398"/>
  <c r="F397"/>
  <c r="F396"/>
  <c r="F395"/>
  <c r="F394"/>
  <c r="F393"/>
  <c r="F392"/>
  <c r="F391"/>
  <c r="F390"/>
  <c r="F389"/>
  <c r="F388"/>
  <c r="F387"/>
  <c r="F386"/>
  <c r="F385"/>
  <c r="F384"/>
  <c r="F383"/>
  <c r="F382"/>
  <c r="F381"/>
  <c r="F380"/>
  <c r="F379"/>
  <c r="F378"/>
  <c r="F377"/>
  <c r="F376"/>
  <c r="F375"/>
  <c r="F374"/>
  <c r="F373"/>
  <c r="F372"/>
  <c r="F371"/>
  <c r="F370"/>
  <c r="F369"/>
  <c r="F368"/>
  <c r="F367"/>
  <c r="F366"/>
  <c r="F365"/>
  <c r="F364"/>
  <c r="F363"/>
  <c r="F362"/>
  <c r="F361"/>
  <c r="F360"/>
  <c r="F359"/>
  <c r="F358"/>
  <c r="F357"/>
  <c r="F356"/>
  <c r="F355"/>
  <c r="F354"/>
  <c r="F353"/>
  <c r="F352"/>
  <c r="F351"/>
  <c r="F350"/>
  <c r="F349"/>
  <c r="F348"/>
  <c r="F347"/>
  <c r="F346"/>
  <c r="F345"/>
  <c r="F344"/>
  <c r="F343"/>
  <c r="F342"/>
  <c r="F341"/>
  <c r="F340"/>
  <c r="F339"/>
  <c r="F338"/>
  <c r="F337"/>
  <c r="F336"/>
  <c r="F335"/>
  <c r="F334"/>
  <c r="F333"/>
  <c r="F332"/>
  <c r="F331"/>
  <c r="F330"/>
  <c r="F329"/>
  <c r="F328"/>
  <c r="F327"/>
  <c r="F326"/>
  <c r="F325"/>
  <c r="F324"/>
  <c r="F323"/>
  <c r="F322"/>
  <c r="F321"/>
  <c r="F320"/>
  <c r="F319"/>
  <c r="F318"/>
  <c r="F317"/>
  <c r="F316"/>
  <c r="F315"/>
  <c r="F314"/>
  <c r="F313"/>
  <c r="F312"/>
  <c r="F311"/>
  <c r="F310"/>
  <c r="F309"/>
  <c r="F308"/>
  <c r="F307"/>
  <c r="F306"/>
  <c r="F305"/>
  <c r="F304"/>
  <c r="F303"/>
  <c r="F302"/>
  <c r="F301"/>
  <c r="F300"/>
  <c r="F299"/>
  <c r="F298"/>
  <c r="F297"/>
  <c r="F296"/>
  <c r="F295"/>
  <c r="F294"/>
  <c r="F293"/>
  <c r="F292"/>
  <c r="F291"/>
  <c r="F290"/>
  <c r="F289"/>
  <c r="F288"/>
  <c r="F287"/>
  <c r="F286"/>
  <c r="F285"/>
  <c r="F284"/>
  <c r="F283"/>
  <c r="F282"/>
  <c r="F281"/>
  <c r="F280"/>
  <c r="F279"/>
  <c r="F278"/>
  <c r="F277"/>
  <c r="F276"/>
  <c r="F275"/>
  <c r="F274"/>
  <c r="F273"/>
  <c r="F272"/>
  <c r="F271"/>
  <c r="F270"/>
  <c r="F269"/>
  <c r="F268"/>
  <c r="F267"/>
  <c r="F266"/>
  <c r="F265"/>
  <c r="F264"/>
  <c r="F263"/>
  <c r="F262"/>
  <c r="F261"/>
  <c r="F260"/>
  <c r="F259"/>
  <c r="F258"/>
  <c r="F257"/>
  <c r="F256"/>
  <c r="F255"/>
  <c r="F254"/>
  <c r="F253"/>
  <c r="F252"/>
  <c r="F251"/>
  <c r="F250"/>
  <c r="F249"/>
  <c r="F248"/>
  <c r="F247"/>
  <c r="F246"/>
  <c r="F245"/>
  <c r="F244"/>
  <c r="F243"/>
  <c r="F242"/>
  <c r="F241"/>
  <c r="F240"/>
  <c r="F239"/>
  <c r="F238"/>
  <c r="F237"/>
  <c r="F236"/>
  <c r="F235"/>
  <c r="F234"/>
  <c r="F233"/>
  <c r="F232"/>
  <c r="F231"/>
  <c r="F230"/>
  <c r="F229"/>
  <c r="F228"/>
  <c r="F227"/>
  <c r="F226"/>
  <c r="F225"/>
  <c r="F224"/>
  <c r="F223"/>
  <c r="F222"/>
  <c r="F221"/>
  <c r="F220"/>
  <c r="F219"/>
  <c r="F218"/>
  <c r="F217"/>
  <c r="F216"/>
  <c r="F215"/>
  <c r="F214"/>
  <c r="F213"/>
  <c r="F212"/>
  <c r="F211"/>
  <c r="F210"/>
  <c r="F209"/>
  <c r="F208"/>
  <c r="F207"/>
  <c r="F206"/>
  <c r="F205"/>
  <c r="F204"/>
  <c r="F203"/>
  <c r="F202"/>
  <c r="F201"/>
  <c r="F200"/>
  <c r="F199"/>
  <c r="F198"/>
  <c r="F197"/>
  <c r="F196"/>
  <c r="F195"/>
  <c r="F194"/>
  <c r="F193"/>
  <c r="F192"/>
  <c r="F191"/>
  <c r="F190"/>
  <c r="F189"/>
  <c r="F188"/>
  <c r="F187"/>
  <c r="F186"/>
  <c r="F185"/>
  <c r="F184"/>
  <c r="F183"/>
  <c r="F182"/>
  <c r="F181"/>
  <c r="F180"/>
  <c r="F179"/>
  <c r="F178"/>
  <c r="F177"/>
  <c r="F176"/>
  <c r="F175"/>
  <c r="F174"/>
  <c r="F173"/>
  <c r="F172"/>
  <c r="F171"/>
  <c r="F170"/>
  <c r="F169"/>
  <c r="F168"/>
  <c r="F167"/>
  <c r="F166"/>
  <c r="F165"/>
  <c r="F164"/>
  <c r="F163"/>
  <c r="F162"/>
  <c r="F161"/>
  <c r="F160"/>
  <c r="F159"/>
  <c r="F158"/>
  <c r="F157"/>
  <c r="F156"/>
  <c r="F155"/>
  <c r="F154"/>
  <c r="F153"/>
  <c r="F152"/>
  <c r="F151"/>
  <c r="F150"/>
  <c r="F149"/>
  <c r="F148"/>
  <c r="F147"/>
  <c r="F146"/>
  <c r="F145"/>
  <c r="F144"/>
  <c r="F143"/>
  <c r="F142"/>
  <c r="F141"/>
  <c r="F140"/>
  <c r="F139"/>
  <c r="F138"/>
  <c r="F137"/>
  <c r="F136"/>
  <c r="F135"/>
  <c r="F134"/>
  <c r="F133"/>
  <c r="F132"/>
  <c r="F131"/>
  <c r="F130"/>
  <c r="F129"/>
  <c r="F128"/>
  <c r="F127"/>
  <c r="F126"/>
  <c r="F125"/>
  <c r="F124"/>
  <c r="F123"/>
  <c r="F122"/>
  <c r="F121"/>
  <c r="F120"/>
  <c r="F119"/>
  <c r="F118"/>
  <c r="F117"/>
  <c r="F116"/>
  <c r="F115"/>
  <c r="F114"/>
  <c r="F113"/>
  <c r="F112"/>
  <c r="F111"/>
  <c r="F110"/>
  <c r="F109"/>
  <c r="F108"/>
  <c r="F107"/>
  <c r="F106"/>
  <c r="F105"/>
  <c r="F104"/>
  <c r="F103"/>
  <c r="F102"/>
  <c r="F101"/>
  <c r="F100"/>
  <c r="F99"/>
  <c r="F98"/>
  <c r="F97"/>
  <c r="F96"/>
  <c r="F95"/>
  <c r="F94"/>
  <c r="F93"/>
  <c r="F92"/>
  <c r="F91"/>
  <c r="F90"/>
  <c r="F89"/>
  <c r="F88"/>
  <c r="F87"/>
  <c r="F86"/>
  <c r="F85"/>
  <c r="F84"/>
  <c r="F83"/>
  <c r="F82"/>
  <c r="F81"/>
  <c r="F80"/>
  <c r="F79"/>
  <c r="F78"/>
  <c r="F77"/>
  <c r="F76"/>
  <c r="F75"/>
  <c r="F74"/>
  <c r="F73"/>
  <c r="F72"/>
  <c r="F71"/>
  <c r="F70"/>
  <c r="F69"/>
  <c r="F68"/>
  <c r="F67"/>
  <c r="F66"/>
  <c r="F65"/>
  <c r="F64"/>
  <c r="F63"/>
  <c r="F62"/>
  <c r="F61"/>
  <c r="F60"/>
  <c r="F59"/>
  <c r="F58"/>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
  <c r="F5"/>
  <c r="F4"/>
  <c r="F3"/>
  <c r="F2"/>
  <c r="L36" i="15" l="1"/>
  <c r="D114" i="7"/>
  <c r="C114"/>
  <c r="D111"/>
  <c r="B111" s="1"/>
  <c r="F111" s="1"/>
  <c r="B106" i="16" s="1"/>
  <c r="C111" i="7"/>
  <c r="B114" l="1"/>
  <c r="F114" s="1"/>
  <c r="B109" i="16" s="1"/>
  <c r="J109" i="7" l="1"/>
  <c r="I109"/>
  <c r="H109"/>
  <c r="C109"/>
  <c r="I108"/>
  <c r="H108"/>
  <c r="C108"/>
  <c r="D107"/>
  <c r="C107"/>
  <c r="B107" l="1"/>
  <c r="F107" s="1"/>
  <c r="B102" i="16" s="1"/>
  <c r="J29" i="7"/>
  <c r="I29" l="1"/>
  <c r="H29"/>
  <c r="C29"/>
  <c r="D79" i="46" l="1"/>
  <c r="D25"/>
  <c r="D927"/>
  <c r="C927"/>
  <c r="B927"/>
  <c r="D938"/>
  <c r="F927" s="1"/>
  <c r="I937"/>
  <c r="I936"/>
  <c r="I935"/>
  <c r="D930"/>
  <c r="C930"/>
  <c r="D929"/>
  <c r="C929"/>
  <c r="D926"/>
  <c r="C926"/>
  <c r="G927" l="1"/>
  <c r="D172" i="23" l="1"/>
  <c r="C172"/>
  <c r="D184"/>
  <c r="C184"/>
  <c r="D183"/>
  <c r="C183"/>
  <c r="D181"/>
  <c r="C181"/>
  <c r="C171" l="1"/>
  <c r="D175"/>
  <c r="C175"/>
  <c r="D174"/>
  <c r="C174"/>
  <c r="D171"/>
  <c r="D170"/>
  <c r="C170"/>
  <c r="B519" i="46" l="1"/>
  <c r="C178" i="16" l="1"/>
  <c r="C165"/>
  <c r="C134"/>
  <c r="C76"/>
  <c r="C50"/>
  <c r="C46"/>
  <c r="C42"/>
  <c r="C39"/>
  <c r="C36"/>
  <c r="C33"/>
  <c r="C27"/>
  <c r="D243" i="46"/>
  <c r="C243"/>
  <c r="B243"/>
  <c r="D242"/>
  <c r="C242"/>
  <c r="B242"/>
  <c r="D274"/>
  <c r="F243" s="1"/>
  <c r="G243" s="1"/>
  <c r="I273"/>
  <c r="I272"/>
  <c r="I271"/>
  <c r="D267"/>
  <c r="F242" s="1"/>
  <c r="G242" s="1"/>
  <c r="I266"/>
  <c r="I265"/>
  <c r="I264"/>
  <c r="D287"/>
  <c r="C287"/>
  <c r="B287"/>
  <c r="D286"/>
  <c r="C286"/>
  <c r="B286"/>
  <c r="D355"/>
  <c r="F287" s="1"/>
  <c r="G287" s="1"/>
  <c r="I354"/>
  <c r="I353"/>
  <c r="I352"/>
  <c r="D348"/>
  <c r="F286" s="1"/>
  <c r="G286" s="1"/>
  <c r="I347"/>
  <c r="I346"/>
  <c r="I345"/>
  <c r="D115"/>
  <c r="C115"/>
  <c r="B115"/>
  <c r="D114"/>
  <c r="C114"/>
  <c r="B114"/>
  <c r="D225"/>
  <c r="F115" s="1"/>
  <c r="G115" s="1"/>
  <c r="I224"/>
  <c r="I223"/>
  <c r="I222"/>
  <c r="D218"/>
  <c r="F114" s="1"/>
  <c r="G114" s="1"/>
  <c r="I217"/>
  <c r="I216"/>
  <c r="I215"/>
  <c r="I437" l="1"/>
  <c r="I436"/>
  <c r="I435"/>
  <c r="I898"/>
  <c r="I897"/>
  <c r="I896"/>
  <c r="I891"/>
  <c r="I890"/>
  <c r="I889"/>
  <c r="I884"/>
  <c r="I883"/>
  <c r="I882"/>
  <c r="I877"/>
  <c r="I876"/>
  <c r="I875"/>
  <c r="I870"/>
  <c r="I869"/>
  <c r="I868"/>
  <c r="I863"/>
  <c r="I862"/>
  <c r="I861"/>
  <c r="I856"/>
  <c r="I855"/>
  <c r="I854"/>
  <c r="I849"/>
  <c r="I848"/>
  <c r="I847"/>
  <c r="I842"/>
  <c r="I841"/>
  <c r="I840"/>
  <c r="I784"/>
  <c r="I783"/>
  <c r="I782"/>
  <c r="I777"/>
  <c r="I776"/>
  <c r="I775"/>
  <c r="I770"/>
  <c r="I769"/>
  <c r="I768"/>
  <c r="I763"/>
  <c r="I762"/>
  <c r="I761"/>
  <c r="I756"/>
  <c r="I755"/>
  <c r="I754"/>
  <c r="I749"/>
  <c r="I748"/>
  <c r="I747"/>
  <c r="I742"/>
  <c r="I741"/>
  <c r="I740"/>
  <c r="I735"/>
  <c r="I734"/>
  <c r="I733"/>
  <c r="I728"/>
  <c r="I727"/>
  <c r="I726"/>
  <c r="I721"/>
  <c r="I720"/>
  <c r="I719"/>
  <c r="I694"/>
  <c r="I693"/>
  <c r="I692"/>
  <c r="I687"/>
  <c r="I686"/>
  <c r="I685"/>
  <c r="I680"/>
  <c r="I679"/>
  <c r="I678"/>
  <c r="I673"/>
  <c r="I672"/>
  <c r="I671"/>
  <c r="I666"/>
  <c r="I665"/>
  <c r="I664"/>
  <c r="I659"/>
  <c r="I658"/>
  <c r="I657"/>
  <c r="I652"/>
  <c r="I651"/>
  <c r="I650"/>
  <c r="I645"/>
  <c r="I644"/>
  <c r="I643"/>
  <c r="I638"/>
  <c r="I637"/>
  <c r="I636"/>
  <c r="I631"/>
  <c r="I630"/>
  <c r="I629"/>
  <c r="I624"/>
  <c r="I623"/>
  <c r="I622"/>
  <c r="I617"/>
  <c r="I616"/>
  <c r="I615"/>
  <c r="I610"/>
  <c r="I609"/>
  <c r="I608"/>
  <c r="I603"/>
  <c r="I602"/>
  <c r="I601"/>
  <c r="I596"/>
  <c r="I595"/>
  <c r="I594"/>
  <c r="I589"/>
  <c r="I588"/>
  <c r="I587"/>
  <c r="I582"/>
  <c r="I581"/>
  <c r="I580"/>
  <c r="I575"/>
  <c r="I574"/>
  <c r="I573"/>
  <c r="I568"/>
  <c r="I567"/>
  <c r="I566"/>
  <c r="I561"/>
  <c r="I560"/>
  <c r="I559"/>
  <c r="I554"/>
  <c r="I553"/>
  <c r="I552"/>
  <c r="I547"/>
  <c r="I546"/>
  <c r="I545"/>
  <c r="I540"/>
  <c r="I539"/>
  <c r="I538"/>
  <c r="I533"/>
  <c r="I532"/>
  <c r="I531"/>
  <c r="I490"/>
  <c r="I489"/>
  <c r="I488"/>
  <c r="I473"/>
  <c r="I472"/>
  <c r="I471"/>
  <c r="I455"/>
  <c r="I454"/>
  <c r="I453"/>
  <c r="I398"/>
  <c r="I397"/>
  <c r="I396"/>
  <c r="I24"/>
  <c r="I23"/>
  <c r="I22"/>
  <c r="D604"/>
  <c r="T35" i="38"/>
  <c r="C35"/>
  <c r="D37" i="24"/>
  <c r="C37"/>
  <c r="D36"/>
  <c r="C36"/>
  <c r="D34"/>
  <c r="C34"/>
  <c r="I184" i="7"/>
  <c r="H184"/>
  <c r="C184"/>
  <c r="I182"/>
  <c r="H182"/>
  <c r="C182"/>
  <c r="D157" i="23"/>
  <c r="C157"/>
  <c r="D156"/>
  <c r="C156"/>
  <c r="D165"/>
  <c r="F154" s="1"/>
  <c r="G154" s="1"/>
  <c r="I164"/>
  <c r="I163"/>
  <c r="I162"/>
  <c r="D154"/>
  <c r="C154"/>
  <c r="C151" s="1"/>
  <c r="G151"/>
  <c r="D147"/>
  <c r="C147"/>
  <c r="D146"/>
  <c r="C146"/>
  <c r="D144"/>
  <c r="C144"/>
  <c r="D142"/>
  <c r="C142"/>
  <c r="D141"/>
  <c r="G137" s="1"/>
  <c r="C141"/>
  <c r="D140"/>
  <c r="C140"/>
  <c r="B34" i="15" l="1"/>
  <c r="D134" i="23"/>
  <c r="C134"/>
  <c r="D133"/>
  <c r="C133"/>
  <c r="D131"/>
  <c r="G127" s="1"/>
  <c r="C131"/>
  <c r="D130"/>
  <c r="C130"/>
  <c r="C127" s="1"/>
  <c r="D124"/>
  <c r="C124"/>
  <c r="D123"/>
  <c r="C123"/>
  <c r="D121"/>
  <c r="C121"/>
  <c r="D115"/>
  <c r="C115"/>
  <c r="D114"/>
  <c r="C114"/>
  <c r="D112"/>
  <c r="C112"/>
  <c r="D106"/>
  <c r="C106"/>
  <c r="D105"/>
  <c r="C105"/>
  <c r="D103"/>
  <c r="C103"/>
  <c r="D97"/>
  <c r="C97"/>
  <c r="D96"/>
  <c r="C96"/>
  <c r="D94"/>
  <c r="C94"/>
  <c r="D88"/>
  <c r="C88"/>
  <c r="D87"/>
  <c r="C87"/>
  <c r="D86"/>
  <c r="C86"/>
  <c r="D85"/>
  <c r="C85"/>
  <c r="D84"/>
  <c r="C84"/>
  <c r="D83"/>
  <c r="C83"/>
  <c r="D82"/>
  <c r="C82"/>
  <c r="D80"/>
  <c r="C80"/>
  <c r="D79"/>
  <c r="C79"/>
  <c r="D78"/>
  <c r="C78"/>
  <c r="D77"/>
  <c r="C77"/>
  <c r="D76"/>
  <c r="C76"/>
  <c r="D75"/>
  <c r="C75"/>
  <c r="D74"/>
  <c r="C74"/>
  <c r="D73"/>
  <c r="C73"/>
  <c r="D72"/>
  <c r="C72"/>
  <c r="D71"/>
  <c r="C71"/>
  <c r="D70"/>
  <c r="C70"/>
  <c r="D69"/>
  <c r="C69"/>
  <c r="D68"/>
  <c r="C68"/>
  <c r="D67"/>
  <c r="C67"/>
  <c r="D66"/>
  <c r="C66"/>
  <c r="D65"/>
  <c r="C65"/>
  <c r="D64"/>
  <c r="C64"/>
  <c r="D63"/>
  <c r="C63"/>
  <c r="D62"/>
  <c r="C62"/>
  <c r="D61"/>
  <c r="C61"/>
  <c r="D48"/>
  <c r="C48"/>
  <c r="D47"/>
  <c r="C47"/>
  <c r="D56"/>
  <c r="I55"/>
  <c r="I54"/>
  <c r="I53"/>
  <c r="F45"/>
  <c r="G45" s="1"/>
  <c r="D45"/>
  <c r="C45"/>
  <c r="C42" s="1"/>
  <c r="G42"/>
  <c r="D39"/>
  <c r="C39"/>
  <c r="D38"/>
  <c r="C38"/>
  <c r="D36"/>
  <c r="C36"/>
  <c r="D30"/>
  <c r="C30"/>
  <c r="D29"/>
  <c r="C29"/>
  <c r="D27"/>
  <c r="C27"/>
  <c r="D26"/>
  <c r="C26"/>
  <c r="D20"/>
  <c r="C20"/>
  <c r="D19"/>
  <c r="C19"/>
  <c r="D17"/>
  <c r="C17"/>
  <c r="C14" s="1"/>
  <c r="D21" i="24"/>
  <c r="C21"/>
  <c r="D29"/>
  <c r="I28"/>
  <c r="I27"/>
  <c r="I26"/>
  <c r="F19"/>
  <c r="G19" s="1"/>
  <c r="C19"/>
  <c r="C16" s="1"/>
  <c r="J77" i="7"/>
  <c r="J76"/>
  <c r="D81"/>
  <c r="C81"/>
  <c r="I79"/>
  <c r="H79"/>
  <c r="C79"/>
  <c r="I78"/>
  <c r="H78"/>
  <c r="C78"/>
  <c r="I77"/>
  <c r="H77"/>
  <c r="C72" i="16" s="1"/>
  <c r="C77" i="7"/>
  <c r="I76"/>
  <c r="H76"/>
  <c r="C76"/>
  <c r="I75"/>
  <c r="H75"/>
  <c r="C75"/>
  <c r="I74"/>
  <c r="H74"/>
  <c r="C74"/>
  <c r="I73"/>
  <c r="H73"/>
  <c r="C68" i="16" s="1"/>
  <c r="C73" i="7"/>
  <c r="I72"/>
  <c r="H72"/>
  <c r="C72"/>
  <c r="I71"/>
  <c r="H71"/>
  <c r="C71"/>
  <c r="I70"/>
  <c r="H70"/>
  <c r="C70"/>
  <c r="I69"/>
  <c r="H69"/>
  <c r="C65" i="16" s="1"/>
  <c r="C69" i="7"/>
  <c r="I68"/>
  <c r="H68"/>
  <c r="C68"/>
  <c r="I67"/>
  <c r="H67"/>
  <c r="C67"/>
  <c r="I66"/>
  <c r="H66"/>
  <c r="C61" i="16" s="1"/>
  <c r="C66" i="7"/>
  <c r="Q65"/>
  <c r="C65"/>
  <c r="D64"/>
  <c r="C64"/>
  <c r="B64" l="1"/>
  <c r="F64" s="1"/>
  <c r="B59" i="16" s="1"/>
  <c r="B81" i="7"/>
  <c r="F81" s="1"/>
  <c r="B76" i="16" s="1"/>
  <c r="C745" i="46" l="1"/>
  <c r="C461"/>
  <c r="D282"/>
  <c r="D910"/>
  <c r="C910"/>
  <c r="D909"/>
  <c r="C909"/>
  <c r="D908"/>
  <c r="C908"/>
  <c r="D907"/>
  <c r="C907"/>
  <c r="D906"/>
  <c r="C906"/>
  <c r="D905"/>
  <c r="C905"/>
  <c r="D904"/>
  <c r="C904"/>
  <c r="D835"/>
  <c r="C835"/>
  <c r="D834"/>
  <c r="C834"/>
  <c r="D833"/>
  <c r="C833"/>
  <c r="D817"/>
  <c r="C817"/>
  <c r="D816"/>
  <c r="C816"/>
  <c r="D814"/>
  <c r="C814"/>
  <c r="D813"/>
  <c r="C813"/>
  <c r="D812"/>
  <c r="C812"/>
  <c r="D796"/>
  <c r="C796"/>
  <c r="D795"/>
  <c r="C795"/>
  <c r="D794"/>
  <c r="C794"/>
  <c r="D793"/>
  <c r="C793"/>
  <c r="D792"/>
  <c r="C792"/>
  <c r="D791"/>
  <c r="C791"/>
  <c r="D790"/>
  <c r="C790"/>
  <c r="D714"/>
  <c r="C714"/>
  <c r="D713"/>
  <c r="C713"/>
  <c r="D712"/>
  <c r="C712"/>
  <c r="D710"/>
  <c r="C710"/>
  <c r="D526"/>
  <c r="C526"/>
  <c r="D525"/>
  <c r="C525"/>
  <c r="D524"/>
  <c r="C524"/>
  <c r="D523"/>
  <c r="C523"/>
  <c r="D522"/>
  <c r="C522"/>
  <c r="D521"/>
  <c r="C521"/>
  <c r="D483"/>
  <c r="C483"/>
  <c r="D482"/>
  <c r="C482"/>
  <c r="D481"/>
  <c r="C481"/>
  <c r="D466"/>
  <c r="D465"/>
  <c r="D464"/>
  <c r="C466"/>
  <c r="C465"/>
  <c r="C464"/>
  <c r="D462"/>
  <c r="C462"/>
  <c r="D448"/>
  <c r="C448"/>
  <c r="D447"/>
  <c r="C447"/>
  <c r="D446"/>
  <c r="C446"/>
  <c r="D444"/>
  <c r="C444"/>
  <c r="D55" i="7"/>
  <c r="C55"/>
  <c r="G921" i="46"/>
  <c r="E910" s="1"/>
  <c r="G919"/>
  <c r="E908" s="1"/>
  <c r="G918"/>
  <c r="E907" s="1"/>
  <c r="G917"/>
  <c r="E906" s="1"/>
  <c r="G916"/>
  <c r="E905" s="1"/>
  <c r="G915"/>
  <c r="E904" s="1"/>
  <c r="E909"/>
  <c r="D899"/>
  <c r="F831" s="1"/>
  <c r="G831" s="1"/>
  <c r="D892"/>
  <c r="F828" s="1"/>
  <c r="G828" s="1"/>
  <c r="D885"/>
  <c r="D878"/>
  <c r="F827" s="1"/>
  <c r="G827" s="1"/>
  <c r="D871"/>
  <c r="F826" s="1"/>
  <c r="G826" s="1"/>
  <c r="D864"/>
  <c r="F825" s="1"/>
  <c r="G825" s="1"/>
  <c r="D857"/>
  <c r="D850"/>
  <c r="F824" s="1"/>
  <c r="G824" s="1"/>
  <c r="D843"/>
  <c r="F823" s="1"/>
  <c r="G823" s="1"/>
  <c r="E833"/>
  <c r="D831"/>
  <c r="C831"/>
  <c r="B831"/>
  <c r="E830"/>
  <c r="D830"/>
  <c r="C830"/>
  <c r="B830"/>
  <c r="D829"/>
  <c r="C829"/>
  <c r="B829"/>
  <c r="D828"/>
  <c r="C828"/>
  <c r="B828"/>
  <c r="D827"/>
  <c r="C827"/>
  <c r="B827"/>
  <c r="D826"/>
  <c r="C826"/>
  <c r="B826"/>
  <c r="D825"/>
  <c r="C825"/>
  <c r="B825"/>
  <c r="D824"/>
  <c r="C824"/>
  <c r="B824"/>
  <c r="D823"/>
  <c r="C823"/>
  <c r="B823"/>
  <c r="D51" i="7"/>
  <c r="C51"/>
  <c r="G807" i="46"/>
  <c r="E796" s="1"/>
  <c r="G805"/>
  <c r="G804"/>
  <c r="E793" s="1"/>
  <c r="G803"/>
  <c r="E792" s="1"/>
  <c r="G802"/>
  <c r="E791" s="1"/>
  <c r="G801"/>
  <c r="E790" s="1"/>
  <c r="E795"/>
  <c r="D785"/>
  <c r="F709" s="1"/>
  <c r="G709" s="1"/>
  <c r="C780"/>
  <c r="D778"/>
  <c r="F708" s="1"/>
  <c r="G708" s="1"/>
  <c r="C773"/>
  <c r="D771"/>
  <c r="F707" s="1"/>
  <c r="G707" s="1"/>
  <c r="C766"/>
  <c r="D764"/>
  <c r="F706" s="1"/>
  <c r="G706" s="1"/>
  <c r="C759"/>
  <c r="D757"/>
  <c r="F705" s="1"/>
  <c r="G705" s="1"/>
  <c r="C752"/>
  <c r="D750"/>
  <c r="F704" s="1"/>
  <c r="G704" s="1"/>
  <c r="D743"/>
  <c r="F703" s="1"/>
  <c r="G703" s="1"/>
  <c r="C738"/>
  <c r="D736"/>
  <c r="F702" s="1"/>
  <c r="G702" s="1"/>
  <c r="C731"/>
  <c r="D729"/>
  <c r="F701" s="1"/>
  <c r="G701" s="1"/>
  <c r="C724"/>
  <c r="D722"/>
  <c r="F700" s="1"/>
  <c r="G700" s="1"/>
  <c r="C717"/>
  <c r="B709"/>
  <c r="B708"/>
  <c r="D707"/>
  <c r="B707"/>
  <c r="D706"/>
  <c r="B706"/>
  <c r="D705"/>
  <c r="B705"/>
  <c r="D704"/>
  <c r="B704"/>
  <c r="D703"/>
  <c r="B703"/>
  <c r="D702"/>
  <c r="B702"/>
  <c r="D701"/>
  <c r="B701"/>
  <c r="D700"/>
  <c r="B700"/>
  <c r="D47" i="7"/>
  <c r="C47"/>
  <c r="D695" i="46"/>
  <c r="F519" s="1"/>
  <c r="G519" s="1"/>
  <c r="C690"/>
  <c r="D688"/>
  <c r="F518" s="1"/>
  <c r="G518" s="1"/>
  <c r="C683"/>
  <c r="D681"/>
  <c r="F517" s="1"/>
  <c r="G517" s="1"/>
  <c r="C676"/>
  <c r="D674"/>
  <c r="F516" s="1"/>
  <c r="G516" s="1"/>
  <c r="C669"/>
  <c r="D667"/>
  <c r="F515" s="1"/>
  <c r="C662"/>
  <c r="D660"/>
  <c r="F514" s="1"/>
  <c r="G514" s="1"/>
  <c r="C655"/>
  <c r="D653"/>
  <c r="F513" s="1"/>
  <c r="G513" s="1"/>
  <c r="C648"/>
  <c r="D646"/>
  <c r="F512" s="1"/>
  <c r="G512" s="1"/>
  <c r="C641"/>
  <c r="D639"/>
  <c r="F511" s="1"/>
  <c r="G511" s="1"/>
  <c r="C634"/>
  <c r="D632"/>
  <c r="F510" s="1"/>
  <c r="G510" s="1"/>
  <c r="C627"/>
  <c r="D625"/>
  <c r="F509" s="1"/>
  <c r="G509" s="1"/>
  <c r="C620"/>
  <c r="D618"/>
  <c r="F508" s="1"/>
  <c r="G508" s="1"/>
  <c r="C613"/>
  <c r="D611"/>
  <c r="F507" s="1"/>
  <c r="G507" s="1"/>
  <c r="C606"/>
  <c r="F506"/>
  <c r="G506" s="1"/>
  <c r="C599"/>
  <c r="D597"/>
  <c r="F505" s="1"/>
  <c r="G505" s="1"/>
  <c r="C592"/>
  <c r="D590"/>
  <c r="F504" s="1"/>
  <c r="G504" s="1"/>
  <c r="C585"/>
  <c r="D583"/>
  <c r="F503" s="1"/>
  <c r="G503" s="1"/>
  <c r="C578"/>
  <c r="D576"/>
  <c r="F502" s="1"/>
  <c r="G502" s="1"/>
  <c r="C571"/>
  <c r="D569"/>
  <c r="F501" s="1"/>
  <c r="G501" s="1"/>
  <c r="C564"/>
  <c r="D562"/>
  <c r="F500" s="1"/>
  <c r="G500" s="1"/>
  <c r="C557"/>
  <c r="D555"/>
  <c r="F499" s="1"/>
  <c r="G499" s="1"/>
  <c r="C550"/>
  <c r="D548"/>
  <c r="F498" s="1"/>
  <c r="G498" s="1"/>
  <c r="C543"/>
  <c r="D541"/>
  <c r="F497" s="1"/>
  <c r="G497" s="1"/>
  <c r="C536"/>
  <c r="D534"/>
  <c r="F496" s="1"/>
  <c r="G496" s="1"/>
  <c r="C529"/>
  <c r="E526"/>
  <c r="E525"/>
  <c r="E524"/>
  <c r="E523"/>
  <c r="E522"/>
  <c r="E521"/>
  <c r="B518"/>
  <c r="B517"/>
  <c r="B516"/>
  <c r="E515"/>
  <c r="B515"/>
  <c r="B514"/>
  <c r="B513"/>
  <c r="B512"/>
  <c r="B511"/>
  <c r="B510"/>
  <c r="B509"/>
  <c r="B508"/>
  <c r="B507"/>
  <c r="B506"/>
  <c r="B505"/>
  <c r="B504"/>
  <c r="B503"/>
  <c r="B502"/>
  <c r="B501"/>
  <c r="B500"/>
  <c r="B499"/>
  <c r="B498"/>
  <c r="B497"/>
  <c r="B496"/>
  <c r="D491"/>
  <c r="F479" s="1"/>
  <c r="G479" s="1"/>
  <c r="C479"/>
  <c r="B479"/>
  <c r="D44" i="7"/>
  <c r="C44"/>
  <c r="D474" i="46"/>
  <c r="F461" s="1"/>
  <c r="G461" s="1"/>
  <c r="D461"/>
  <c r="B461"/>
  <c r="D456"/>
  <c r="F443" s="1"/>
  <c r="G443" s="1"/>
  <c r="D443"/>
  <c r="C443"/>
  <c r="B443"/>
  <c r="D430"/>
  <c r="D429"/>
  <c r="C430"/>
  <c r="C429"/>
  <c r="D438"/>
  <c r="F427" s="1"/>
  <c r="G427" s="1"/>
  <c r="D427"/>
  <c r="C427"/>
  <c r="B427"/>
  <c r="D421"/>
  <c r="D420"/>
  <c r="C421"/>
  <c r="C420"/>
  <c r="I37" i="7"/>
  <c r="H37"/>
  <c r="C37"/>
  <c r="I36"/>
  <c r="H36"/>
  <c r="C36"/>
  <c r="I35"/>
  <c r="H35"/>
  <c r="C35"/>
  <c r="B47" l="1"/>
  <c r="F47" s="1"/>
  <c r="B42" i="16" s="1"/>
  <c r="B44" i="7"/>
  <c r="F44" s="1"/>
  <c r="B39" i="16" s="1"/>
  <c r="B51" i="7"/>
  <c r="F51" s="1"/>
  <c r="B46" i="16" s="1"/>
  <c r="B55" i="7"/>
  <c r="F55" s="1"/>
  <c r="B50" i="16" s="1"/>
  <c r="F830" i="46"/>
  <c r="G830" s="1"/>
  <c r="F829"/>
  <c r="G829" s="1"/>
  <c r="G515"/>
  <c r="E118" l="1"/>
  <c r="E119"/>
  <c r="D119"/>
  <c r="C119"/>
  <c r="D232"/>
  <c r="C232"/>
  <c r="D234"/>
  <c r="C234"/>
  <c r="D233"/>
  <c r="C233"/>
  <c r="D230"/>
  <c r="C230"/>
  <c r="D104"/>
  <c r="E117"/>
  <c r="D113"/>
  <c r="C113"/>
  <c r="B113"/>
  <c r="D112"/>
  <c r="C112"/>
  <c r="B112"/>
  <c r="D111"/>
  <c r="C111"/>
  <c r="B111"/>
  <c r="D110"/>
  <c r="C110"/>
  <c r="B110"/>
  <c r="D109"/>
  <c r="C109"/>
  <c r="B109"/>
  <c r="D108"/>
  <c r="C108"/>
  <c r="B108"/>
  <c r="D211"/>
  <c r="F113" s="1"/>
  <c r="G113" s="1"/>
  <c r="I210"/>
  <c r="I209"/>
  <c r="I208"/>
  <c r="D204"/>
  <c r="F112" s="1"/>
  <c r="G112" s="1"/>
  <c r="I203"/>
  <c r="I202"/>
  <c r="I201"/>
  <c r="D197"/>
  <c r="F111" s="1"/>
  <c r="G111" s="1"/>
  <c r="I196"/>
  <c r="I195"/>
  <c r="I194"/>
  <c r="D190"/>
  <c r="F110" s="1"/>
  <c r="G110" s="1"/>
  <c r="I189"/>
  <c r="I188"/>
  <c r="I187"/>
  <c r="D183"/>
  <c r="F109" s="1"/>
  <c r="G109" s="1"/>
  <c r="I182"/>
  <c r="I181"/>
  <c r="I180"/>
  <c r="D176"/>
  <c r="F108" s="1"/>
  <c r="G108" s="1"/>
  <c r="I175"/>
  <c r="I174"/>
  <c r="I173"/>
  <c r="D169"/>
  <c r="F107" s="1"/>
  <c r="G107" s="1"/>
  <c r="I168"/>
  <c r="I167"/>
  <c r="I166"/>
  <c r="D162"/>
  <c r="F106" s="1"/>
  <c r="G106" s="1"/>
  <c r="I161"/>
  <c r="I160"/>
  <c r="I159"/>
  <c r="D155"/>
  <c r="F105" s="1"/>
  <c r="G105" s="1"/>
  <c r="I154"/>
  <c r="I153"/>
  <c r="I152"/>
  <c r="D148"/>
  <c r="F104" s="1"/>
  <c r="G104" s="1"/>
  <c r="I147"/>
  <c r="I146"/>
  <c r="I145"/>
  <c r="D141"/>
  <c r="F103" s="1"/>
  <c r="G103" s="1"/>
  <c r="I140"/>
  <c r="I139"/>
  <c r="I138"/>
  <c r="D134"/>
  <c r="F102" s="1"/>
  <c r="G102" s="1"/>
  <c r="I133"/>
  <c r="I132"/>
  <c r="I131"/>
  <c r="D127"/>
  <c r="F101" s="1"/>
  <c r="G101" s="1"/>
  <c r="I126"/>
  <c r="I125"/>
  <c r="I124"/>
  <c r="D118"/>
  <c r="C118"/>
  <c r="D117"/>
  <c r="C117"/>
  <c r="D107"/>
  <c r="C107"/>
  <c r="B107"/>
  <c r="D106"/>
  <c r="C106"/>
  <c r="B106"/>
  <c r="D105"/>
  <c r="C105"/>
  <c r="B105"/>
  <c r="C104"/>
  <c r="B104"/>
  <c r="D103"/>
  <c r="C103"/>
  <c r="B103"/>
  <c r="D102"/>
  <c r="C102"/>
  <c r="B102"/>
  <c r="D101"/>
  <c r="C101"/>
  <c r="B101"/>
  <c r="E291"/>
  <c r="D291"/>
  <c r="C291"/>
  <c r="E290"/>
  <c r="E289"/>
  <c r="D290"/>
  <c r="C290"/>
  <c r="D289"/>
  <c r="C289"/>
  <c r="D285"/>
  <c r="C285"/>
  <c r="B285"/>
  <c r="D284"/>
  <c r="C284"/>
  <c r="B284"/>
  <c r="D283"/>
  <c r="C283"/>
  <c r="B283"/>
  <c r="C282"/>
  <c r="B282"/>
  <c r="D281"/>
  <c r="C281"/>
  <c r="B281"/>
  <c r="D341"/>
  <c r="F285" s="1"/>
  <c r="G285" s="1"/>
  <c r="I340"/>
  <c r="I339"/>
  <c r="I338"/>
  <c r="D334"/>
  <c r="F284" s="1"/>
  <c r="G284" s="1"/>
  <c r="I333"/>
  <c r="I332"/>
  <c r="I331"/>
  <c r="D327"/>
  <c r="F283" s="1"/>
  <c r="I326"/>
  <c r="I325"/>
  <c r="I324"/>
  <c r="D320"/>
  <c r="F282" s="1"/>
  <c r="I319"/>
  <c r="I318"/>
  <c r="I317"/>
  <c r="D313"/>
  <c r="F281" s="1"/>
  <c r="I312"/>
  <c r="I311"/>
  <c r="I310"/>
  <c r="D280"/>
  <c r="C280"/>
  <c r="B280"/>
  <c r="D279"/>
  <c r="C279"/>
  <c r="B279"/>
  <c r="D306"/>
  <c r="F280" s="1"/>
  <c r="I305"/>
  <c r="I304"/>
  <c r="I303"/>
  <c r="D299"/>
  <c r="F279" s="1"/>
  <c r="I298"/>
  <c r="I297"/>
  <c r="I296"/>
  <c r="E245"/>
  <c r="D245"/>
  <c r="C245"/>
  <c r="D241"/>
  <c r="C241"/>
  <c r="B241"/>
  <c r="I259"/>
  <c r="I258"/>
  <c r="I257"/>
  <c r="D260"/>
  <c r="F241" s="1"/>
  <c r="G241" s="1"/>
  <c r="D240"/>
  <c r="C240"/>
  <c r="B240"/>
  <c r="I252"/>
  <c r="I251"/>
  <c r="I250"/>
  <c r="D253"/>
  <c r="F240" s="1"/>
  <c r="G240" s="1"/>
  <c r="J103" i="7" l="1"/>
  <c r="D7" i="51"/>
  <c r="D6"/>
  <c r="N4"/>
  <c r="N3"/>
  <c r="O17"/>
  <c r="M16"/>
  <c r="M17" s="1"/>
  <c r="L16"/>
  <c r="L17" s="1"/>
  <c r="H16"/>
  <c r="G16"/>
  <c r="K16" s="1"/>
  <c r="J101" i="7" l="1"/>
  <c r="J98"/>
  <c r="K17" i="51"/>
  <c r="J96" i="7" s="1"/>
  <c r="N16" i="51"/>
  <c r="N17" s="1"/>
  <c r="Q134" i="7"/>
  <c r="R124"/>
  <c r="R122"/>
  <c r="C130" i="16"/>
  <c r="C123"/>
  <c r="C117"/>
  <c r="C105"/>
  <c r="C95"/>
  <c r="C94"/>
  <c r="C90"/>
  <c r="C89"/>
  <c r="S124" i="7" l="1"/>
  <c r="D45" i="9" l="1"/>
  <c r="C45"/>
  <c r="D43"/>
  <c r="C43"/>
  <c r="I147" i="7"/>
  <c r="H147"/>
  <c r="C147"/>
  <c r="D139" l="1"/>
  <c r="B139" s="1"/>
  <c r="F139" s="1"/>
  <c r="B134" i="16" s="1"/>
  <c r="C139" i="7"/>
  <c r="J28"/>
  <c r="J27"/>
  <c r="J25"/>
  <c r="J189" l="1"/>
  <c r="J188"/>
  <c r="J192" s="1"/>
  <c r="E391" i="46"/>
  <c r="E390"/>
  <c r="D391"/>
  <c r="C391"/>
  <c r="D390"/>
  <c r="C390"/>
  <c r="D387"/>
  <c r="C387"/>
  <c r="D386"/>
  <c r="C386"/>
  <c r="D383"/>
  <c r="C383"/>
  <c r="D382"/>
  <c r="C382"/>
  <c r="B382"/>
  <c r="D399"/>
  <c r="F382" s="1"/>
  <c r="G382" s="1"/>
  <c r="D381"/>
  <c r="C381"/>
  <c r="D414"/>
  <c r="C414"/>
  <c r="D413"/>
  <c r="C413"/>
  <c r="D412"/>
  <c r="C412"/>
  <c r="I134" i="7"/>
  <c r="H134"/>
  <c r="C134"/>
  <c r="J129"/>
  <c r="J133" s="1"/>
  <c r="J132" s="1"/>
  <c r="D374" i="46" l="1"/>
  <c r="C374"/>
  <c r="D373"/>
  <c r="C373"/>
  <c r="D371"/>
  <c r="C371"/>
  <c r="D370"/>
  <c r="C370"/>
  <c r="D10" i="50"/>
  <c r="D9"/>
  <c r="I118"/>
  <c r="I116"/>
  <c r="G99"/>
  <c r="G98"/>
  <c r="G97"/>
  <c r="G96"/>
  <c r="G95"/>
  <c r="G94"/>
  <c r="G93"/>
  <c r="G92"/>
  <c r="G91"/>
  <c r="G90"/>
  <c r="G89"/>
  <c r="G88"/>
  <c r="G87"/>
  <c r="G86"/>
  <c r="G85"/>
  <c r="K63" s="1"/>
  <c r="G84"/>
  <c r="G83"/>
  <c r="G82"/>
  <c r="G81"/>
  <c r="G80"/>
  <c r="G79"/>
  <c r="G78"/>
  <c r="G77"/>
  <c r="G76"/>
  <c r="G75"/>
  <c r="K62" s="1"/>
  <c r="J63"/>
  <c r="H63"/>
  <c r="G63"/>
  <c r="E63"/>
  <c r="D63"/>
  <c r="J62"/>
  <c r="H62"/>
  <c r="G62"/>
  <c r="E62"/>
  <c r="D62"/>
  <c r="L46"/>
  <c r="L45"/>
  <c r="E43"/>
  <c r="E42"/>
  <c r="D11"/>
  <c r="L48" l="1"/>
  <c r="E64"/>
  <c r="H66" s="1"/>
  <c r="H64"/>
  <c r="K64"/>
  <c r="I115"/>
  <c r="E121" s="1"/>
  <c r="K121" l="1"/>
  <c r="G121"/>
  <c r="H121" s="1"/>
  <c r="E122"/>
  <c r="F121"/>
  <c r="I121" s="1"/>
  <c r="J121" s="1"/>
  <c r="E123" l="1"/>
  <c r="F122"/>
  <c r="I122" s="1"/>
  <c r="J122" s="1"/>
  <c r="K122"/>
  <c r="G122"/>
  <c r="H122" s="1"/>
  <c r="K123" l="1"/>
  <c r="G123"/>
  <c r="H123" s="1"/>
  <c r="E124"/>
  <c r="F123"/>
  <c r="I123" s="1"/>
  <c r="J123" s="1"/>
  <c r="F124" l="1"/>
  <c r="I124" s="1"/>
  <c r="J124" s="1"/>
  <c r="E125"/>
  <c r="K124"/>
  <c r="G124"/>
  <c r="H124" s="1"/>
  <c r="K125" l="1"/>
  <c r="G125"/>
  <c r="H125" s="1"/>
  <c r="F125"/>
  <c r="I125" s="1"/>
  <c r="J125" s="1"/>
  <c r="E126"/>
  <c r="E127" l="1"/>
  <c r="F126"/>
  <c r="I126" s="1"/>
  <c r="J126" s="1"/>
  <c r="G126"/>
  <c r="H126" s="1"/>
  <c r="K126"/>
  <c r="K127" l="1"/>
  <c r="G127"/>
  <c r="H127" s="1"/>
  <c r="F127"/>
  <c r="I127" s="1"/>
  <c r="J127" s="1"/>
  <c r="E128"/>
  <c r="F128" l="1"/>
  <c r="I128" s="1"/>
  <c r="J128" s="1"/>
  <c r="E129"/>
  <c r="G128"/>
  <c r="H128" s="1"/>
  <c r="K128"/>
  <c r="K129" l="1"/>
  <c r="G129"/>
  <c r="H129" s="1"/>
  <c r="F129"/>
  <c r="I129" s="1"/>
  <c r="J129" s="1"/>
  <c r="E130"/>
  <c r="E131" l="1"/>
  <c r="K130"/>
  <c r="F130"/>
  <c r="I130" s="1"/>
  <c r="J130" s="1"/>
  <c r="G130"/>
  <c r="H130" s="1"/>
  <c r="E132" l="1"/>
  <c r="K131"/>
  <c r="G131"/>
  <c r="H131" s="1"/>
  <c r="F131"/>
  <c r="I131" s="1"/>
  <c r="J131" s="1"/>
  <c r="F132" l="1"/>
  <c r="I132" s="1"/>
  <c r="J132" s="1"/>
  <c r="E133"/>
  <c r="K132"/>
  <c r="G132"/>
  <c r="H132" s="1"/>
  <c r="K133" l="1"/>
  <c r="G133"/>
  <c r="H133" s="1"/>
  <c r="F133"/>
  <c r="I133" s="1"/>
  <c r="J133" s="1"/>
  <c r="E134"/>
  <c r="E135" l="1"/>
  <c r="K134"/>
  <c r="G134"/>
  <c r="H134" s="1"/>
  <c r="F134"/>
  <c r="I134" s="1"/>
  <c r="J134" s="1"/>
  <c r="E136" l="1"/>
  <c r="K135"/>
  <c r="G135"/>
  <c r="H135" s="1"/>
  <c r="F135"/>
  <c r="I135" s="1"/>
  <c r="J135" s="1"/>
  <c r="F136" l="1"/>
  <c r="I136" s="1"/>
  <c r="J136" s="1"/>
  <c r="E137"/>
  <c r="K136"/>
  <c r="G136"/>
  <c r="H136" s="1"/>
  <c r="K137" l="1"/>
  <c r="G137"/>
  <c r="H137" s="1"/>
  <c r="F137"/>
  <c r="I137" s="1"/>
  <c r="J137" s="1"/>
  <c r="E138"/>
  <c r="E139" l="1"/>
  <c r="K138"/>
  <c r="G138"/>
  <c r="H138" s="1"/>
  <c r="F138"/>
  <c r="I138" s="1"/>
  <c r="J138" s="1"/>
  <c r="E140" l="1"/>
  <c r="K139"/>
  <c r="G139"/>
  <c r="H139" s="1"/>
  <c r="F139"/>
  <c r="I139" s="1"/>
  <c r="J139" s="1"/>
  <c r="F140" l="1"/>
  <c r="I140" s="1"/>
  <c r="J140" s="1"/>
  <c r="E141"/>
  <c r="G141" s="1"/>
  <c r="G140"/>
  <c r="H140" s="1"/>
  <c r="K140"/>
  <c r="K141" l="1"/>
  <c r="F141"/>
  <c r="I141" s="1"/>
  <c r="J141" s="1"/>
  <c r="H141" l="1"/>
  <c r="D76" i="9" l="1"/>
  <c r="D75"/>
  <c r="D74"/>
  <c r="D73"/>
  <c r="D71"/>
  <c r="D70"/>
  <c r="D69"/>
  <c r="D68"/>
  <c r="C76"/>
  <c r="C75"/>
  <c r="C74"/>
  <c r="C73"/>
  <c r="C71"/>
  <c r="C70"/>
  <c r="C69"/>
  <c r="C68"/>
  <c r="B25" i="16"/>
  <c r="B188"/>
  <c r="B189"/>
  <c r="B190"/>
  <c r="B191"/>
  <c r="B192"/>
  <c r="B193"/>
  <c r="B194"/>
  <c r="B195"/>
  <c r="B196"/>
  <c r="B197"/>
  <c r="B198"/>
  <c r="D56" i="9" l="1"/>
  <c r="D55"/>
  <c r="D53"/>
  <c r="D52"/>
  <c r="D51"/>
  <c r="C56"/>
  <c r="C55"/>
  <c r="C53"/>
  <c r="C52"/>
  <c r="C51"/>
  <c r="D37" l="1"/>
  <c r="D36"/>
  <c r="D34"/>
  <c r="D33"/>
  <c r="D32"/>
  <c r="D31"/>
  <c r="C37"/>
  <c r="C36"/>
  <c r="C34"/>
  <c r="C33"/>
  <c r="C32"/>
  <c r="C31"/>
  <c r="J180" i="7" l="1"/>
  <c r="J181" s="1"/>
  <c r="J182" s="1"/>
  <c r="I181"/>
  <c r="H181"/>
  <c r="C181"/>
  <c r="I180"/>
  <c r="H180"/>
  <c r="C180"/>
  <c r="I179"/>
  <c r="H179"/>
  <c r="C179"/>
  <c r="I178"/>
  <c r="H178"/>
  <c r="C178"/>
  <c r="I177"/>
  <c r="H177"/>
  <c r="C177"/>
  <c r="D183"/>
  <c r="C183"/>
  <c r="C176"/>
  <c r="I168"/>
  <c r="H168"/>
  <c r="C168"/>
  <c r="I167"/>
  <c r="H167"/>
  <c r="C167"/>
  <c r="I166"/>
  <c r="H166"/>
  <c r="C166"/>
  <c r="I165"/>
  <c r="H165"/>
  <c r="C165"/>
  <c r="I164"/>
  <c r="H164"/>
  <c r="C164"/>
  <c r="I163"/>
  <c r="H163"/>
  <c r="C163"/>
  <c r="I162"/>
  <c r="H162"/>
  <c r="C162"/>
  <c r="I161"/>
  <c r="H161"/>
  <c r="C161"/>
  <c r="I160"/>
  <c r="H160"/>
  <c r="C160"/>
  <c r="B183" l="1"/>
  <c r="F183" s="1"/>
  <c r="B178" i="16" s="1"/>
  <c r="T33" i="38" l="1"/>
  <c r="T31"/>
  <c r="T29"/>
  <c r="T27"/>
  <c r="T25"/>
  <c r="T23"/>
  <c r="T21"/>
  <c r="T19"/>
  <c r="T17"/>
  <c r="Q155" i="7"/>
  <c r="I113" l="1"/>
  <c r="H113"/>
  <c r="C113"/>
  <c r="I112"/>
  <c r="H112"/>
  <c r="C112"/>
  <c r="D110"/>
  <c r="C110"/>
  <c r="I102"/>
  <c r="H102"/>
  <c r="C102"/>
  <c r="I101"/>
  <c r="H101"/>
  <c r="C101"/>
  <c r="I105"/>
  <c r="H105"/>
  <c r="C105"/>
  <c r="I104"/>
  <c r="H104"/>
  <c r="C104"/>
  <c r="I103"/>
  <c r="H103"/>
  <c r="C103"/>
  <c r="D99"/>
  <c r="C99"/>
  <c r="D94"/>
  <c r="C94"/>
  <c r="J97" l="1"/>
  <c r="B110"/>
  <c r="F110" s="1"/>
  <c r="B105" i="16" s="1"/>
  <c r="B99" i="7"/>
  <c r="F99" s="1"/>
  <c r="B94" i="16" s="1"/>
  <c r="B94" i="7"/>
  <c r="F94" s="1"/>
  <c r="B89" i="16" s="1"/>
  <c r="D388" i="46" l="1"/>
  <c r="C388"/>
  <c r="D406"/>
  <c r="D405"/>
  <c r="D404"/>
  <c r="C406"/>
  <c r="C405"/>
  <c r="C404"/>
  <c r="D385"/>
  <c r="C385"/>
  <c r="D384"/>
  <c r="C384"/>
  <c r="D380"/>
  <c r="C380"/>
  <c r="D361"/>
  <c r="C361"/>
  <c r="D364" l="1"/>
  <c r="C364"/>
  <c r="D363"/>
  <c r="C363"/>
  <c r="D360"/>
  <c r="C360"/>
  <c r="J151" i="7" l="1"/>
  <c r="J152"/>
  <c r="C64" i="46"/>
  <c r="D68"/>
  <c r="C68"/>
  <c r="D67"/>
  <c r="C67"/>
  <c r="D65"/>
  <c r="C65"/>
  <c r="D64"/>
  <c r="D63"/>
  <c r="C63"/>
  <c r="D62"/>
  <c r="C62"/>
  <c r="D61"/>
  <c r="C61"/>
  <c r="J153" i="7"/>
  <c r="D55" i="46"/>
  <c r="D54"/>
  <c r="D52"/>
  <c r="D51"/>
  <c r="D50"/>
  <c r="D49"/>
  <c r="D48"/>
  <c r="C55"/>
  <c r="C54"/>
  <c r="C49"/>
  <c r="C52"/>
  <c r="C51"/>
  <c r="C50"/>
  <c r="C48"/>
  <c r="D42"/>
  <c r="D41"/>
  <c r="D39"/>
  <c r="D33"/>
  <c r="D32"/>
  <c r="D30"/>
  <c r="C42"/>
  <c r="C41"/>
  <c r="C39"/>
  <c r="C33"/>
  <c r="C32"/>
  <c r="C30"/>
  <c r="D87"/>
  <c r="C87"/>
  <c r="C9"/>
  <c r="C8"/>
  <c r="C5"/>
  <c r="F5"/>
  <c r="F4"/>
  <c r="C149" i="7" l="1"/>
  <c r="D148"/>
  <c r="C148"/>
  <c r="I191"/>
  <c r="H191"/>
  <c r="C191"/>
  <c r="I189"/>
  <c r="H189"/>
  <c r="C189"/>
  <c r="I188"/>
  <c r="H188"/>
  <c r="C188"/>
  <c r="C187"/>
  <c r="D186"/>
  <c r="C186"/>
  <c r="B148" l="1"/>
  <c r="F148" s="1"/>
  <c r="B143" i="16" s="1"/>
  <c r="B186" i="7"/>
  <c r="F186" s="1"/>
  <c r="B181" i="16" s="1"/>
  <c r="J130" i="7" l="1"/>
  <c r="I133" l="1"/>
  <c r="H133"/>
  <c r="C133"/>
  <c r="I132"/>
  <c r="H132"/>
  <c r="C132"/>
  <c r="I131"/>
  <c r="H131"/>
  <c r="C131"/>
  <c r="F17" i="46"/>
  <c r="G17" s="1"/>
  <c r="G18" s="1"/>
  <c r="H14" s="1"/>
  <c r="C17"/>
  <c r="C14" s="1"/>
  <c r="B17"/>
  <c r="F95"/>
  <c r="G92"/>
  <c r="G95" s="1"/>
  <c r="G96" s="1"/>
  <c r="E87" s="1"/>
  <c r="F96"/>
  <c r="D82"/>
  <c r="F74" s="1"/>
  <c r="G74" s="1"/>
  <c r="G75" s="1"/>
  <c r="H71" s="1"/>
  <c r="I81"/>
  <c r="I80"/>
  <c r="I79"/>
  <c r="C74"/>
  <c r="C71" s="1"/>
  <c r="B74"/>
  <c r="G8"/>
  <c r="D175" i="7"/>
  <c r="C175"/>
  <c r="D193"/>
  <c r="C193"/>
  <c r="D170"/>
  <c r="C170"/>
  <c r="I157"/>
  <c r="H157"/>
  <c r="C157"/>
  <c r="I156"/>
  <c r="C155"/>
  <c r="D154"/>
  <c r="C154"/>
  <c r="B170" l="1"/>
  <c r="F170" s="1"/>
  <c r="B165" i="16" s="1"/>
  <c r="B175" i="7"/>
  <c r="F175" s="1"/>
  <c r="B170" i="16" s="1"/>
  <c r="B154" i="7"/>
  <c r="F154" s="1"/>
  <c r="B149" i="16" s="1"/>
  <c r="B193" i="7"/>
  <c r="C156"/>
  <c r="H156"/>
  <c r="D128" l="1"/>
  <c r="C128"/>
  <c r="D41"/>
  <c r="C41"/>
  <c r="D38"/>
  <c r="C38"/>
  <c r="D32"/>
  <c r="C32"/>
  <c r="D30"/>
  <c r="C30"/>
  <c r="B38" l="1"/>
  <c r="F38" s="1"/>
  <c r="B33" i="16" s="1"/>
  <c r="B128" i="7"/>
  <c r="F128" s="1"/>
  <c r="B123" i="16" s="1"/>
  <c r="B41" i="7"/>
  <c r="F41" s="1"/>
  <c r="B36" i="16" s="1"/>
  <c r="B32" i="7"/>
  <c r="F32" s="1"/>
  <c r="B27" i="16" s="1"/>
  <c r="B30" i="7"/>
  <c r="C31" l="1"/>
  <c r="K5" i="18" l="1"/>
  <c r="C20" i="7" l="1"/>
  <c r="G21"/>
  <c r="C21" s="1"/>
  <c r="C22"/>
  <c r="D22"/>
  <c r="C23"/>
  <c r="C27"/>
  <c r="H27"/>
  <c r="I27"/>
  <c r="C28"/>
  <c r="H28"/>
  <c r="I28"/>
  <c r="C92"/>
  <c r="D92"/>
  <c r="C93"/>
  <c r="C95"/>
  <c r="D95"/>
  <c r="C96"/>
  <c r="H96"/>
  <c r="I96"/>
  <c r="C97"/>
  <c r="H97"/>
  <c r="I97"/>
  <c r="C98"/>
  <c r="H98"/>
  <c r="I98"/>
  <c r="C100"/>
  <c r="D100"/>
  <c r="C106"/>
  <c r="H106"/>
  <c r="I106"/>
  <c r="C117"/>
  <c r="D117"/>
  <c r="C118"/>
  <c r="C122"/>
  <c r="D122"/>
  <c r="C126"/>
  <c r="D126"/>
  <c r="C127"/>
  <c r="C135"/>
  <c r="D135"/>
  <c r="B100" l="1"/>
  <c r="F100" s="1"/>
  <c r="B95" i="16" s="1"/>
  <c r="B117" i="7"/>
  <c r="F117" s="1"/>
  <c r="B112" i="16" s="1"/>
  <c r="B95" i="7"/>
  <c r="F95" s="1"/>
  <c r="B90" i="16" s="1"/>
  <c r="B126" i="7"/>
  <c r="F126" s="1"/>
  <c r="B121" i="16" s="1"/>
  <c r="B92" i="7"/>
  <c r="F92" s="1"/>
  <c r="B87" i="16" s="1"/>
  <c r="B22" i="7"/>
  <c r="F22" s="1"/>
  <c r="B17" i="16" s="1"/>
  <c r="B135" i="7"/>
  <c r="F135" s="1"/>
  <c r="B130" i="16" s="1"/>
  <c r="B122" i="7"/>
  <c r="F122" s="1"/>
  <c r="B117" i="16" s="1"/>
  <c r="I11" i="37" l="1"/>
  <c r="G10" i="18"/>
  <c r="E6" i="38"/>
  <c r="E3"/>
  <c r="D6" i="36" l="1"/>
  <c r="C6"/>
  <c r="D87" i="29" l="1"/>
  <c r="C87"/>
  <c r="D75"/>
  <c r="C72"/>
  <c r="C75" s="1"/>
  <c r="D28"/>
  <c r="C28"/>
  <c r="D16"/>
  <c r="C13"/>
  <c r="C16" s="1"/>
  <c r="C5" i="22" l="1"/>
  <c r="D566" i="36" l="1"/>
  <c r="C566"/>
  <c r="D17" i="37" l="1"/>
  <c r="D15"/>
  <c r="I15"/>
  <c r="B16" i="18"/>
  <c r="C33" i="38" l="1"/>
  <c r="C31"/>
  <c r="C29"/>
  <c r="C27"/>
  <c r="C25"/>
  <c r="C23"/>
  <c r="C21"/>
  <c r="C19"/>
  <c r="C17"/>
  <c r="C15"/>
  <c r="B32" i="15"/>
  <c r="B30"/>
  <c r="B28"/>
  <c r="B26"/>
  <c r="B24"/>
  <c r="B22"/>
  <c r="B20"/>
  <c r="B18"/>
  <c r="B16"/>
  <c r="B14"/>
  <c r="D9" i="38" l="1"/>
  <c r="D8"/>
  <c r="I24" i="37" l="1"/>
  <c r="D18" s="1"/>
  <c r="I21"/>
  <c r="D16" s="1"/>
  <c r="B3"/>
  <c r="B2"/>
  <c r="D19" l="1"/>
  <c r="D20" s="1"/>
  <c r="I31" s="1"/>
  <c r="I7" l="1"/>
  <c r="M8" i="7"/>
  <c r="G5" i="46" s="1"/>
  <c r="D494" i="36" l="1"/>
  <c r="D458"/>
  <c r="D139"/>
  <c r="C139"/>
  <c r="D62" i="9" l="1"/>
  <c r="C62"/>
  <c r="H4" i="15" l="1"/>
  <c r="B14" i="18" l="1"/>
  <c r="G14"/>
  <c r="K2" i="8"/>
  <c r="J2" i="20"/>
  <c r="D5017" l="1"/>
  <c r="D5015"/>
  <c r="D5013"/>
  <c r="D5011"/>
  <c r="D5009"/>
  <c r="D5007"/>
  <c r="D5005"/>
  <c r="D5003"/>
  <c r="D5001"/>
  <c r="D4999"/>
  <c r="D4997"/>
  <c r="D4995"/>
  <c r="D4993"/>
  <c r="D4991"/>
  <c r="D4989"/>
  <c r="D4987"/>
  <c r="D4985"/>
  <c r="D4983"/>
  <c r="D4981"/>
  <c r="D4979"/>
  <c r="D4977"/>
  <c r="D4975"/>
  <c r="D4973"/>
  <c r="D4971"/>
  <c r="D4969"/>
  <c r="D4967"/>
  <c r="D4965"/>
  <c r="D4963"/>
  <c r="D4961"/>
  <c r="D4959"/>
  <c r="D4957"/>
  <c r="D4955"/>
  <c r="D4953"/>
  <c r="D4951"/>
  <c r="D4949"/>
  <c r="D4947"/>
  <c r="D4945"/>
  <c r="D4943"/>
  <c r="D4941"/>
  <c r="D4939"/>
  <c r="D4937"/>
  <c r="D4935"/>
  <c r="D4933"/>
  <c r="D4931"/>
  <c r="D4929"/>
  <c r="D4927"/>
  <c r="D4925"/>
  <c r="D4923"/>
  <c r="D4921"/>
  <c r="D4919"/>
  <c r="D4917"/>
  <c r="D4915"/>
  <c r="D4913"/>
  <c r="D4911"/>
  <c r="D4909"/>
  <c r="D4907"/>
  <c r="D4905"/>
  <c r="D4903"/>
  <c r="D4901"/>
  <c r="D4899"/>
  <c r="D4897"/>
  <c r="D4895"/>
  <c r="D4893"/>
  <c r="D4891"/>
  <c r="D4889"/>
  <c r="D4887"/>
  <c r="D4885"/>
  <c r="D4883"/>
  <c r="D4881"/>
  <c r="D4879"/>
  <c r="D4877"/>
  <c r="D4875"/>
  <c r="D4873"/>
  <c r="D4871"/>
  <c r="D4869"/>
  <c r="D4867"/>
  <c r="D4865"/>
  <c r="D4863"/>
  <c r="D4861"/>
  <c r="D4859"/>
  <c r="D4857"/>
  <c r="D4855"/>
  <c r="D4853"/>
  <c r="D4851"/>
  <c r="D4849"/>
  <c r="D5016"/>
  <c r="D5014"/>
  <c r="D5012"/>
  <c r="D5010"/>
  <c r="D5008"/>
  <c r="D5006"/>
  <c r="D5004"/>
  <c r="D5002"/>
  <c r="D5000"/>
  <c r="D4998"/>
  <c r="D4996"/>
  <c r="D4994"/>
  <c r="D4992"/>
  <c r="D4990"/>
  <c r="D4988"/>
  <c r="D4986"/>
  <c r="D4984"/>
  <c r="D4982"/>
  <c r="D4980"/>
  <c r="D4978"/>
  <c r="D4976"/>
  <c r="D4974"/>
  <c r="D4972"/>
  <c r="D4970"/>
  <c r="D4968"/>
  <c r="D4966"/>
  <c r="D4964"/>
  <c r="D4962"/>
  <c r="D4960"/>
  <c r="D4958"/>
  <c r="D4956"/>
  <c r="D4954"/>
  <c r="D4952"/>
  <c r="D4950"/>
  <c r="D4948"/>
  <c r="D4946"/>
  <c r="D4944"/>
  <c r="D4942"/>
  <c r="D4940"/>
  <c r="D4938"/>
  <c r="D4936"/>
  <c r="D4934"/>
  <c r="D4932"/>
  <c r="D4930"/>
  <c r="D4928"/>
  <c r="D4926"/>
  <c r="D4924"/>
  <c r="D4922"/>
  <c r="D4920"/>
  <c r="D4918"/>
  <c r="D4916"/>
  <c r="D4914"/>
  <c r="D4912"/>
  <c r="D4910"/>
  <c r="D4908"/>
  <c r="D4906"/>
  <c r="D4904"/>
  <c r="D4902"/>
  <c r="D4900"/>
  <c r="D4898"/>
  <c r="D4896"/>
  <c r="D4894"/>
  <c r="D4892"/>
  <c r="D4890"/>
  <c r="D4888"/>
  <c r="D4886"/>
  <c r="D4884"/>
  <c r="D4882"/>
  <c r="D4880"/>
  <c r="D4878"/>
  <c r="D4876"/>
  <c r="D4874"/>
  <c r="D4872"/>
  <c r="D4870"/>
  <c r="D4868"/>
  <c r="D4866"/>
  <c r="D4864"/>
  <c r="D4862"/>
  <c r="D4860"/>
  <c r="D4858"/>
  <c r="D4856"/>
  <c r="D4854"/>
  <c r="D4852"/>
  <c r="D4850"/>
  <c r="D4848"/>
  <c r="D4846"/>
  <c r="D4844"/>
  <c r="D4842"/>
  <c r="D4840"/>
  <c r="D4838"/>
  <c r="D4836"/>
  <c r="D4834"/>
  <c r="D4832"/>
  <c r="D4830"/>
  <c r="D4828"/>
  <c r="D4826"/>
  <c r="D4824"/>
  <c r="D4822"/>
  <c r="D4820"/>
  <c r="D4818"/>
  <c r="D4816"/>
  <c r="D4814"/>
  <c r="D4812"/>
  <c r="D4810"/>
  <c r="D4808"/>
  <c r="D4806"/>
  <c r="D4804"/>
  <c r="D4802"/>
  <c r="D4800"/>
  <c r="D4798"/>
  <c r="D4796"/>
  <c r="D4794"/>
  <c r="D4792"/>
  <c r="D4790"/>
  <c r="D4788"/>
  <c r="D4786"/>
  <c r="D4784"/>
  <c r="D4782"/>
  <c r="D4780"/>
  <c r="D4778"/>
  <c r="D4776"/>
  <c r="D4774"/>
  <c r="D4772"/>
  <c r="D4770"/>
  <c r="D4768"/>
  <c r="D4766"/>
  <c r="D4764"/>
  <c r="D4762"/>
  <c r="D4760"/>
  <c r="D4758"/>
  <c r="D4756"/>
  <c r="D4754"/>
  <c r="D4752"/>
  <c r="D4750"/>
  <c r="D4748"/>
  <c r="D4746"/>
  <c r="D4744"/>
  <c r="D4742"/>
  <c r="D4740"/>
  <c r="D4738"/>
  <c r="D4736"/>
  <c r="D4734"/>
  <c r="D4732"/>
  <c r="D4730"/>
  <c r="D4728"/>
  <c r="D4726"/>
  <c r="D4724"/>
  <c r="D4722"/>
  <c r="D4720"/>
  <c r="D4718"/>
  <c r="D4716"/>
  <c r="D4714"/>
  <c r="D4712"/>
  <c r="D4710"/>
  <c r="D4708"/>
  <c r="D4706"/>
  <c r="D4704"/>
  <c r="D4702"/>
  <c r="D4700"/>
  <c r="D4698"/>
  <c r="D4696"/>
  <c r="D4694"/>
  <c r="D4692"/>
  <c r="D4690"/>
  <c r="D4688"/>
  <c r="D4686"/>
  <c r="D4684"/>
  <c r="D4682"/>
  <c r="D4680"/>
  <c r="D4678"/>
  <c r="D4847"/>
  <c r="D4845"/>
  <c r="D4843"/>
  <c r="D4841"/>
  <c r="D4839"/>
  <c r="D4837"/>
  <c r="D4835"/>
  <c r="D4833"/>
  <c r="D4831"/>
  <c r="D4829"/>
  <c r="D4827"/>
  <c r="D4825"/>
  <c r="D4823"/>
  <c r="D4821"/>
  <c r="D4819"/>
  <c r="D4817"/>
  <c r="D4815"/>
  <c r="D4813"/>
  <c r="D4811"/>
  <c r="D4809"/>
  <c r="D4807"/>
  <c r="D4805"/>
  <c r="D4803"/>
  <c r="D4801"/>
  <c r="D4799"/>
  <c r="D4797"/>
  <c r="D4795"/>
  <c r="D4793"/>
  <c r="D4791"/>
  <c r="D4789"/>
  <c r="D4787"/>
  <c r="D4785"/>
  <c r="D4783"/>
  <c r="D4781"/>
  <c r="D4779"/>
  <c r="D4777"/>
  <c r="D4775"/>
  <c r="D4773"/>
  <c r="D4771"/>
  <c r="D4769"/>
  <c r="D4767"/>
  <c r="D4765"/>
  <c r="D4763"/>
  <c r="D4761"/>
  <c r="D4759"/>
  <c r="D4757"/>
  <c r="D4755"/>
  <c r="D4753"/>
  <c r="D4751"/>
  <c r="D4749"/>
  <c r="D4747"/>
  <c r="D4745"/>
  <c r="D4743"/>
  <c r="D4741"/>
  <c r="D4739"/>
  <c r="D4737"/>
  <c r="D4735"/>
  <c r="D4733"/>
  <c r="D4731"/>
  <c r="D4729"/>
  <c r="D4727"/>
  <c r="D4725"/>
  <c r="D4723"/>
  <c r="D4721"/>
  <c r="D4719"/>
  <c r="D4717"/>
  <c r="D4715"/>
  <c r="D4713"/>
  <c r="D4711"/>
  <c r="D4709"/>
  <c r="D4707"/>
  <c r="D4705"/>
  <c r="D4703"/>
  <c r="D4701"/>
  <c r="D4699"/>
  <c r="D4697"/>
  <c r="D4689"/>
  <c r="D4681"/>
  <c r="D4676"/>
  <c r="D4674"/>
  <c r="D4672"/>
  <c r="D4670"/>
  <c r="D4668"/>
  <c r="D4666"/>
  <c r="D4664"/>
  <c r="D4662"/>
  <c r="D4660"/>
  <c r="D4658"/>
  <c r="D4656"/>
  <c r="D4654"/>
  <c r="D4652"/>
  <c r="D4650"/>
  <c r="D4648"/>
  <c r="D4646"/>
  <c r="D4644"/>
  <c r="D4642"/>
  <c r="D4640"/>
  <c r="D4638"/>
  <c r="D4636"/>
  <c r="D4634"/>
  <c r="D4632"/>
  <c r="D4630"/>
  <c r="D4628"/>
  <c r="D4626"/>
  <c r="D4624"/>
  <c r="D4622"/>
  <c r="D4620"/>
  <c r="D4618"/>
  <c r="D4616"/>
  <c r="D4614"/>
  <c r="D4612"/>
  <c r="D4610"/>
  <c r="D4608"/>
  <c r="D4606"/>
  <c r="D4604"/>
  <c r="D4602"/>
  <c r="D4600"/>
  <c r="D4598"/>
  <c r="D4596"/>
  <c r="D4594"/>
  <c r="D4592"/>
  <c r="D4590"/>
  <c r="D4588"/>
  <c r="D4586"/>
  <c r="D4584"/>
  <c r="D4582"/>
  <c r="D4580"/>
  <c r="D4578"/>
  <c r="D4576"/>
  <c r="D4574"/>
  <c r="D4572"/>
  <c r="D4570"/>
  <c r="D4568"/>
  <c r="D4566"/>
  <c r="D4564"/>
  <c r="D4562"/>
  <c r="D4560"/>
  <c r="D4558"/>
  <c r="D4556"/>
  <c r="D4554"/>
  <c r="D4552"/>
  <c r="D4550"/>
  <c r="D4548"/>
  <c r="D4546"/>
  <c r="D4544"/>
  <c r="D4542"/>
  <c r="D4540"/>
  <c r="D4538"/>
  <c r="D4536"/>
  <c r="D4534"/>
  <c r="D4532"/>
  <c r="D4530"/>
  <c r="D4528"/>
  <c r="D4526"/>
  <c r="D4524"/>
  <c r="D4522"/>
  <c r="D4520"/>
  <c r="D4518"/>
  <c r="D4516"/>
  <c r="D4514"/>
  <c r="D4512"/>
  <c r="D4510"/>
  <c r="D4508"/>
  <c r="D4506"/>
  <c r="D4504"/>
  <c r="D4502"/>
  <c r="D4500"/>
  <c r="D4498"/>
  <c r="D4496"/>
  <c r="D4494"/>
  <c r="D4492"/>
  <c r="D4490"/>
  <c r="D4488"/>
  <c r="D4486"/>
  <c r="D4484"/>
  <c r="D4691"/>
  <c r="D4683"/>
  <c r="D4693"/>
  <c r="D4685"/>
  <c r="D4677"/>
  <c r="D4675"/>
  <c r="D4673"/>
  <c r="D4671"/>
  <c r="D4669"/>
  <c r="D4667"/>
  <c r="D4665"/>
  <c r="D4663"/>
  <c r="D4661"/>
  <c r="D4659"/>
  <c r="D4657"/>
  <c r="D4655"/>
  <c r="D4653"/>
  <c r="D4651"/>
  <c r="D4649"/>
  <c r="D4647"/>
  <c r="D4645"/>
  <c r="D4643"/>
  <c r="D4641"/>
  <c r="D4639"/>
  <c r="D4637"/>
  <c r="D4635"/>
  <c r="D4633"/>
  <c r="D4631"/>
  <c r="D4629"/>
  <c r="D4627"/>
  <c r="D4625"/>
  <c r="D4623"/>
  <c r="D4621"/>
  <c r="D4619"/>
  <c r="D4617"/>
  <c r="D4615"/>
  <c r="D4613"/>
  <c r="D4611"/>
  <c r="D4609"/>
  <c r="D4607"/>
  <c r="D4605"/>
  <c r="D4603"/>
  <c r="D4601"/>
  <c r="D4599"/>
  <c r="D4597"/>
  <c r="D4595"/>
  <c r="D4593"/>
  <c r="D4591"/>
  <c r="D4589"/>
  <c r="D4587"/>
  <c r="D4585"/>
  <c r="D4583"/>
  <c r="D4581"/>
  <c r="D4579"/>
  <c r="D4577"/>
  <c r="D4575"/>
  <c r="D4573"/>
  <c r="D4571"/>
  <c r="D4569"/>
  <c r="D4567"/>
  <c r="D4565"/>
  <c r="D4563"/>
  <c r="D4561"/>
  <c r="D4559"/>
  <c r="D4557"/>
  <c r="D4555"/>
  <c r="D4553"/>
  <c r="D4551"/>
  <c r="D4549"/>
  <c r="D4547"/>
  <c r="D4545"/>
  <c r="D4543"/>
  <c r="D4541"/>
  <c r="D4539"/>
  <c r="D4537"/>
  <c r="D4535"/>
  <c r="D4533"/>
  <c r="D4531"/>
  <c r="D4529"/>
  <c r="D4527"/>
  <c r="D4525"/>
  <c r="D4523"/>
  <c r="D4521"/>
  <c r="D4519"/>
  <c r="D4517"/>
  <c r="D4515"/>
  <c r="D4513"/>
  <c r="D4695"/>
  <c r="D4687"/>
  <c r="D4679"/>
  <c r="D4507"/>
  <c r="D4499"/>
  <c r="D4491"/>
  <c r="D4483"/>
  <c r="D4481"/>
  <c r="D4479"/>
  <c r="D4477"/>
  <c r="D4475"/>
  <c r="D4473"/>
  <c r="D4471"/>
  <c r="D4469"/>
  <c r="D4467"/>
  <c r="D4465"/>
  <c r="D4463"/>
  <c r="D4461"/>
  <c r="D4459"/>
  <c r="D4457"/>
  <c r="D4455"/>
  <c r="D4453"/>
  <c r="D4451"/>
  <c r="D4449"/>
  <c r="D4447"/>
  <c r="D4445"/>
  <c r="D4443"/>
  <c r="D4441"/>
  <c r="D4439"/>
  <c r="D4437"/>
  <c r="D4435"/>
  <c r="D4433"/>
  <c r="D4431"/>
  <c r="D4429"/>
  <c r="D4427"/>
  <c r="D4425"/>
  <c r="D4423"/>
  <c r="D4421"/>
  <c r="D4419"/>
  <c r="D4417"/>
  <c r="D4415"/>
  <c r="D4413"/>
  <c r="D4411"/>
  <c r="D4409"/>
  <c r="D4407"/>
  <c r="D4405"/>
  <c r="D4403"/>
  <c r="D4401"/>
  <c r="D4399"/>
  <c r="D4397"/>
  <c r="D4395"/>
  <c r="D4393"/>
  <c r="D4391"/>
  <c r="D4389"/>
  <c r="D4387"/>
  <c r="D4385"/>
  <c r="D4383"/>
  <c r="D4381"/>
  <c r="D4379"/>
  <c r="D4377"/>
  <c r="D4375"/>
  <c r="D4373"/>
  <c r="D4371"/>
  <c r="D4369"/>
  <c r="D4367"/>
  <c r="D4365"/>
  <c r="D4363"/>
  <c r="D4361"/>
  <c r="D4359"/>
  <c r="D4357"/>
  <c r="D4355"/>
  <c r="D4353"/>
  <c r="D4351"/>
  <c r="D4349"/>
  <c r="D4347"/>
  <c r="D4345"/>
  <c r="D4343"/>
  <c r="D4341"/>
  <c r="D4339"/>
  <c r="D4337"/>
  <c r="D4335"/>
  <c r="D4333"/>
  <c r="D4331"/>
  <c r="D4329"/>
  <c r="D4327"/>
  <c r="D4325"/>
  <c r="D4323"/>
  <c r="D4321"/>
  <c r="D4319"/>
  <c r="D4317"/>
  <c r="D4315"/>
  <c r="D4313"/>
  <c r="D4311"/>
  <c r="D4309"/>
  <c r="D4307"/>
  <c r="D4305"/>
  <c r="D4303"/>
  <c r="D4301"/>
  <c r="D4299"/>
  <c r="D4297"/>
  <c r="D4295"/>
  <c r="D4293"/>
  <c r="D4291"/>
  <c r="D4289"/>
  <c r="D4287"/>
  <c r="D4285"/>
  <c r="D4283"/>
  <c r="D4281"/>
  <c r="D4279"/>
  <c r="D4277"/>
  <c r="D4275"/>
  <c r="D4273"/>
  <c r="D4271"/>
  <c r="D4269"/>
  <c r="D4267"/>
  <c r="D4265"/>
  <c r="D4263"/>
  <c r="D4261"/>
  <c r="D4259"/>
  <c r="D4257"/>
  <c r="D4255"/>
  <c r="D4253"/>
  <c r="D4251"/>
  <c r="D4249"/>
  <c r="D4247"/>
  <c r="D4245"/>
  <c r="D4243"/>
  <c r="D4241"/>
  <c r="D4239"/>
  <c r="D4237"/>
  <c r="D4235"/>
  <c r="D4233"/>
  <c r="D4231"/>
  <c r="D4229"/>
  <c r="D4227"/>
  <c r="D4225"/>
  <c r="D4223"/>
  <c r="D4221"/>
  <c r="D4219"/>
  <c r="D4217"/>
  <c r="D4215"/>
  <c r="D4213"/>
  <c r="D4211"/>
  <c r="D4209"/>
  <c r="D4207"/>
  <c r="D4205"/>
  <c r="D4203"/>
  <c r="D4201"/>
  <c r="D4199"/>
  <c r="D4197"/>
  <c r="D4195"/>
  <c r="D4193"/>
  <c r="D4191"/>
  <c r="D4189"/>
  <c r="D4187"/>
  <c r="D4185"/>
  <c r="F387" i="46" s="1"/>
  <c r="G387" s="1"/>
  <c r="D4183" i="20"/>
  <c r="D4181"/>
  <c r="D4179"/>
  <c r="D4177"/>
  <c r="D4175"/>
  <c r="D4173"/>
  <c r="D4171"/>
  <c r="D4169"/>
  <c r="D4167"/>
  <c r="D4165"/>
  <c r="D4163"/>
  <c r="D4161"/>
  <c r="D4159"/>
  <c r="D4157"/>
  <c r="D4155"/>
  <c r="D4153"/>
  <c r="D4151"/>
  <c r="D4509"/>
  <c r="D4501"/>
  <c r="D4493"/>
  <c r="D4485"/>
  <c r="D4511"/>
  <c r="D4503"/>
  <c r="D4495"/>
  <c r="D4487"/>
  <c r="D4482"/>
  <c r="D4480"/>
  <c r="D4478"/>
  <c r="D4476"/>
  <c r="D4474"/>
  <c r="D4472"/>
  <c r="D4470"/>
  <c r="D4468"/>
  <c r="D4466"/>
  <c r="D4464"/>
  <c r="D4462"/>
  <c r="D4460"/>
  <c r="D4458"/>
  <c r="D4456"/>
  <c r="D4454"/>
  <c r="D4452"/>
  <c r="D4450"/>
  <c r="D4448"/>
  <c r="D4446"/>
  <c r="D4444"/>
  <c r="D4442"/>
  <c r="D4440"/>
  <c r="D4438"/>
  <c r="D4436"/>
  <c r="D4434"/>
  <c r="D4432"/>
  <c r="D4430"/>
  <c r="D4428"/>
  <c r="D4426"/>
  <c r="D4424"/>
  <c r="D4422"/>
  <c r="D4420"/>
  <c r="D4418"/>
  <c r="D4416"/>
  <c r="D4414"/>
  <c r="D4412"/>
  <c r="D4410"/>
  <c r="D4408"/>
  <c r="D4406"/>
  <c r="D4404"/>
  <c r="D4402"/>
  <c r="D4400"/>
  <c r="D4398"/>
  <c r="D4396"/>
  <c r="D4394"/>
  <c r="D4392"/>
  <c r="D4390"/>
  <c r="D4388"/>
  <c r="D4386"/>
  <c r="D4384"/>
  <c r="D4382"/>
  <c r="D4380"/>
  <c r="D4378"/>
  <c r="D4376"/>
  <c r="D4374"/>
  <c r="D4372"/>
  <c r="D4370"/>
  <c r="D4368"/>
  <c r="D4366"/>
  <c r="D4364"/>
  <c r="D4362"/>
  <c r="D4360"/>
  <c r="D4358"/>
  <c r="D4356"/>
  <c r="D4354"/>
  <c r="D4352"/>
  <c r="D4350"/>
  <c r="D4348"/>
  <c r="D4346"/>
  <c r="D4344"/>
  <c r="D4342"/>
  <c r="D4340"/>
  <c r="D4338"/>
  <c r="D4336"/>
  <c r="D4334"/>
  <c r="D4332"/>
  <c r="D4330"/>
  <c r="D4328"/>
  <c r="D4326"/>
  <c r="D4324"/>
  <c r="D4322"/>
  <c r="D4320"/>
  <c r="D4318"/>
  <c r="D4316"/>
  <c r="D4314"/>
  <c r="D4312"/>
  <c r="D4310"/>
  <c r="D4308"/>
  <c r="D4306"/>
  <c r="D4304"/>
  <c r="D4302"/>
  <c r="D4300"/>
  <c r="D4298"/>
  <c r="D4296"/>
  <c r="D4294"/>
  <c r="D4292"/>
  <c r="D4290"/>
  <c r="D4288"/>
  <c r="D4286"/>
  <c r="D4284"/>
  <c r="D4282"/>
  <c r="D4280"/>
  <c r="D4278"/>
  <c r="D4276"/>
  <c r="D4274"/>
  <c r="D4272"/>
  <c r="D4270"/>
  <c r="D4268"/>
  <c r="D4266"/>
  <c r="D4264"/>
  <c r="D4262"/>
  <c r="D4260"/>
  <c r="D4258"/>
  <c r="D4256"/>
  <c r="D4254"/>
  <c r="D4252"/>
  <c r="D4250"/>
  <c r="D4248"/>
  <c r="D4246"/>
  <c r="D4244"/>
  <c r="D4242"/>
  <c r="D4240"/>
  <c r="D4238"/>
  <c r="D4236"/>
  <c r="D4234"/>
  <c r="D4232"/>
  <c r="D4230"/>
  <c r="D4228"/>
  <c r="D4226"/>
  <c r="D4224"/>
  <c r="D4222"/>
  <c r="D4220"/>
  <c r="D4218"/>
  <c r="D4216"/>
  <c r="D4214"/>
  <c r="D4212"/>
  <c r="D4210"/>
  <c r="D4208"/>
  <c r="D4206"/>
  <c r="D4204"/>
  <c r="D4202"/>
  <c r="D4200"/>
  <c r="D4198"/>
  <c r="D4196"/>
  <c r="D4194"/>
  <c r="D4192"/>
  <c r="D4190"/>
  <c r="D4188"/>
  <c r="D4186"/>
  <c r="D4184"/>
  <c r="D4182"/>
  <c r="D4180"/>
  <c r="D4505"/>
  <c r="D4497"/>
  <c r="D4489"/>
  <c r="D4172"/>
  <c r="D4164"/>
  <c r="D4156"/>
  <c r="D4174"/>
  <c r="D4166"/>
  <c r="D4158"/>
  <c r="D4150"/>
  <c r="D4148"/>
  <c r="D4146"/>
  <c r="D4144"/>
  <c r="D4142"/>
  <c r="D4140"/>
  <c r="D4138"/>
  <c r="D4136"/>
  <c r="D4134"/>
  <c r="D4132"/>
  <c r="D4130"/>
  <c r="D4128"/>
  <c r="D4126"/>
  <c r="D4124"/>
  <c r="D4122"/>
  <c r="D4120"/>
  <c r="D4118"/>
  <c r="D4116"/>
  <c r="D4114"/>
  <c r="D4112"/>
  <c r="D4110"/>
  <c r="D4108"/>
  <c r="D4106"/>
  <c r="D4104"/>
  <c r="D4102"/>
  <c r="D4100"/>
  <c r="D4098"/>
  <c r="D4096"/>
  <c r="D4094"/>
  <c r="D4092"/>
  <c r="D4090"/>
  <c r="D4088"/>
  <c r="D4086"/>
  <c r="D4084"/>
  <c r="D4082"/>
  <c r="D4080"/>
  <c r="D4078"/>
  <c r="D4076"/>
  <c r="D4074"/>
  <c r="D4072"/>
  <c r="D4070"/>
  <c r="D4068"/>
  <c r="D4066"/>
  <c r="D4064"/>
  <c r="D4062"/>
  <c r="D4060"/>
  <c r="D4058"/>
  <c r="D4056"/>
  <c r="D4054"/>
  <c r="D4052"/>
  <c r="D4050"/>
  <c r="D4048"/>
  <c r="D4046"/>
  <c r="D4044"/>
  <c r="D4042"/>
  <c r="D4040"/>
  <c r="D4038"/>
  <c r="D4036"/>
  <c r="D4034"/>
  <c r="D4032"/>
  <c r="D4030"/>
  <c r="D4028"/>
  <c r="D4026"/>
  <c r="D4024"/>
  <c r="D4022"/>
  <c r="D4020"/>
  <c r="D4018"/>
  <c r="D4016"/>
  <c r="D4014"/>
  <c r="D4012"/>
  <c r="D4010"/>
  <c r="D4008"/>
  <c r="D4006"/>
  <c r="D4004"/>
  <c r="D4002"/>
  <c r="D4000"/>
  <c r="D3998"/>
  <c r="D3996"/>
  <c r="D3994"/>
  <c r="D3992"/>
  <c r="D3990"/>
  <c r="D3988"/>
  <c r="D3986"/>
  <c r="D3984"/>
  <c r="D4176"/>
  <c r="D4168"/>
  <c r="D4160"/>
  <c r="D4152"/>
  <c r="D4178"/>
  <c r="D4170"/>
  <c r="D4162"/>
  <c r="D4154"/>
  <c r="D4149"/>
  <c r="D4147"/>
  <c r="D4145"/>
  <c r="D4143"/>
  <c r="D4141"/>
  <c r="D4139"/>
  <c r="D4137"/>
  <c r="D4135"/>
  <c r="D4133"/>
  <c r="D4131"/>
  <c r="D4129"/>
  <c r="D4127"/>
  <c r="D4125"/>
  <c r="D4123"/>
  <c r="D4121"/>
  <c r="D4119"/>
  <c r="D4117"/>
  <c r="D4115"/>
  <c r="D4113"/>
  <c r="D4111"/>
  <c r="D4109"/>
  <c r="D4107"/>
  <c r="D4105"/>
  <c r="D4103"/>
  <c r="D4101"/>
  <c r="D4099"/>
  <c r="D4097"/>
  <c r="D4095"/>
  <c r="D4093"/>
  <c r="D4091"/>
  <c r="D4089"/>
  <c r="D4087"/>
  <c r="D4085"/>
  <c r="D4083"/>
  <c r="D4081"/>
  <c r="D4079"/>
  <c r="D4077"/>
  <c r="D4075"/>
  <c r="D4073"/>
  <c r="D4071"/>
  <c r="D4069"/>
  <c r="D4067"/>
  <c r="D4065"/>
  <c r="D4063"/>
  <c r="D4061"/>
  <c r="D4059"/>
  <c r="D4057"/>
  <c r="D4055"/>
  <c r="D4053"/>
  <c r="D4051"/>
  <c r="D4049"/>
  <c r="D4047"/>
  <c r="D4045"/>
  <c r="D4043"/>
  <c r="D4041"/>
  <c r="D4039"/>
  <c r="D4037"/>
  <c r="D4035"/>
  <c r="D4033"/>
  <c r="D4031"/>
  <c r="D4029"/>
  <c r="D4027"/>
  <c r="D4025"/>
  <c r="D4023"/>
  <c r="D4021"/>
  <c r="D4019"/>
  <c r="D4017"/>
  <c r="D4015"/>
  <c r="D4013"/>
  <c r="D4011"/>
  <c r="D4009"/>
  <c r="D4007"/>
  <c r="D4005"/>
  <c r="D4003"/>
  <c r="D4001"/>
  <c r="D3999"/>
  <c r="D3997"/>
  <c r="D3995"/>
  <c r="D3993"/>
  <c r="D3991"/>
  <c r="D3989"/>
  <c r="D3983"/>
  <c r="D3981"/>
  <c r="D3979"/>
  <c r="D3977"/>
  <c r="D3975"/>
  <c r="D3973"/>
  <c r="D3971"/>
  <c r="D3969"/>
  <c r="D3967"/>
  <c r="D3965"/>
  <c r="D3963"/>
  <c r="D3961"/>
  <c r="D3959"/>
  <c r="D3957"/>
  <c r="D3955"/>
  <c r="D3953"/>
  <c r="D3951"/>
  <c r="D3949"/>
  <c r="D3947"/>
  <c r="D3945"/>
  <c r="D3943"/>
  <c r="D3941"/>
  <c r="D3939"/>
  <c r="D3937"/>
  <c r="D3935"/>
  <c r="D3933"/>
  <c r="D3931"/>
  <c r="D3929"/>
  <c r="D3927"/>
  <c r="D3925"/>
  <c r="D3923"/>
  <c r="D3921"/>
  <c r="D3919"/>
  <c r="D3917"/>
  <c r="D3915"/>
  <c r="D3913"/>
  <c r="D3911"/>
  <c r="D3909"/>
  <c r="D3907"/>
  <c r="D3905"/>
  <c r="D3903"/>
  <c r="D3901"/>
  <c r="D3899"/>
  <c r="D3897"/>
  <c r="D3895"/>
  <c r="D3893"/>
  <c r="D3891"/>
  <c r="D3889"/>
  <c r="D3887"/>
  <c r="D3885"/>
  <c r="D3883"/>
  <c r="D3881"/>
  <c r="D3879"/>
  <c r="D3877"/>
  <c r="D3875"/>
  <c r="D3873"/>
  <c r="D3871"/>
  <c r="D3869"/>
  <c r="D3867"/>
  <c r="D3865"/>
  <c r="D3863"/>
  <c r="D3861"/>
  <c r="D3859"/>
  <c r="D3857"/>
  <c r="D3855"/>
  <c r="D3853"/>
  <c r="D3851"/>
  <c r="D3849"/>
  <c r="D3847"/>
  <c r="D3845"/>
  <c r="D3843"/>
  <c r="D3841"/>
  <c r="D3839"/>
  <c r="D3837"/>
  <c r="D3835"/>
  <c r="D3833"/>
  <c r="D3831"/>
  <c r="D3829"/>
  <c r="D3827"/>
  <c r="D3825"/>
  <c r="D3823"/>
  <c r="D3821"/>
  <c r="D3819"/>
  <c r="D3817"/>
  <c r="D3815"/>
  <c r="D3813"/>
  <c r="D3811"/>
  <c r="D3809"/>
  <c r="D3807"/>
  <c r="D3805"/>
  <c r="D3803"/>
  <c r="D3801"/>
  <c r="D3799"/>
  <c r="D3797"/>
  <c r="D3795"/>
  <c r="D3793"/>
  <c r="D3791"/>
  <c r="D3789"/>
  <c r="D3787"/>
  <c r="D3785"/>
  <c r="D3783"/>
  <c r="D3781"/>
  <c r="D3779"/>
  <c r="D3777"/>
  <c r="D3775"/>
  <c r="D3773"/>
  <c r="D3771"/>
  <c r="D3769"/>
  <c r="D3767"/>
  <c r="D3765"/>
  <c r="D3763"/>
  <c r="D3761"/>
  <c r="D3759"/>
  <c r="D3757"/>
  <c r="D3755"/>
  <c r="D3753"/>
  <c r="D3751"/>
  <c r="D3749"/>
  <c r="D3747"/>
  <c r="D3745"/>
  <c r="D3743"/>
  <c r="D3741"/>
  <c r="D3739"/>
  <c r="D3737"/>
  <c r="D3735"/>
  <c r="D3733"/>
  <c r="D3731"/>
  <c r="D3729"/>
  <c r="D3727"/>
  <c r="D3725"/>
  <c r="D3723"/>
  <c r="D3721"/>
  <c r="D3719"/>
  <c r="D3717"/>
  <c r="D3715"/>
  <c r="D3713"/>
  <c r="D3711"/>
  <c r="D3709"/>
  <c r="D3707"/>
  <c r="D3705"/>
  <c r="D3703"/>
  <c r="D3701"/>
  <c r="D3699"/>
  <c r="D3697"/>
  <c r="D3695"/>
  <c r="D3693"/>
  <c r="D3691"/>
  <c r="D3689"/>
  <c r="D3687"/>
  <c r="D3685"/>
  <c r="D3683"/>
  <c r="D3681"/>
  <c r="D3679"/>
  <c r="D3677"/>
  <c r="D3675"/>
  <c r="D3673"/>
  <c r="D3671"/>
  <c r="D3669"/>
  <c r="D3667"/>
  <c r="D3665"/>
  <c r="D3663"/>
  <c r="D3661"/>
  <c r="D3659"/>
  <c r="D3657"/>
  <c r="D3655"/>
  <c r="D3653"/>
  <c r="D3651"/>
  <c r="D3649"/>
  <c r="D3647"/>
  <c r="D3645"/>
  <c r="D3643"/>
  <c r="D3641"/>
  <c r="D3639"/>
  <c r="D3637"/>
  <c r="D3635"/>
  <c r="D3633"/>
  <c r="D3631"/>
  <c r="D3629"/>
  <c r="D3627"/>
  <c r="D3625"/>
  <c r="D3623"/>
  <c r="D3621"/>
  <c r="D3619"/>
  <c r="D3617"/>
  <c r="D3615"/>
  <c r="D3985"/>
  <c r="D3987"/>
  <c r="D3982"/>
  <c r="D3980"/>
  <c r="D3978"/>
  <c r="D3976"/>
  <c r="D3974"/>
  <c r="D3972"/>
  <c r="D3970"/>
  <c r="D3968"/>
  <c r="D3966"/>
  <c r="D3964"/>
  <c r="D3962"/>
  <c r="D3960"/>
  <c r="D3958"/>
  <c r="D3956"/>
  <c r="D3954"/>
  <c r="D3952"/>
  <c r="D3950"/>
  <c r="D3948"/>
  <c r="D3946"/>
  <c r="D3944"/>
  <c r="D3942"/>
  <c r="D3940"/>
  <c r="D3938"/>
  <c r="D3936"/>
  <c r="D3934"/>
  <c r="D3932"/>
  <c r="D3930"/>
  <c r="D3928"/>
  <c r="D3926"/>
  <c r="D3924"/>
  <c r="D3922"/>
  <c r="D3920"/>
  <c r="D3918"/>
  <c r="D3916"/>
  <c r="D3914"/>
  <c r="D3912"/>
  <c r="D3910"/>
  <c r="D3908"/>
  <c r="D3906"/>
  <c r="D3904"/>
  <c r="D3902"/>
  <c r="D3900"/>
  <c r="D3898"/>
  <c r="D3896"/>
  <c r="D3894"/>
  <c r="D3892"/>
  <c r="D3890"/>
  <c r="D3888"/>
  <c r="D3886"/>
  <c r="D3884"/>
  <c r="D3882"/>
  <c r="D3880"/>
  <c r="D3878"/>
  <c r="D3876"/>
  <c r="D3874"/>
  <c r="D3872"/>
  <c r="D3870"/>
  <c r="D3868"/>
  <c r="D3866"/>
  <c r="D3864"/>
  <c r="D3862"/>
  <c r="D3860"/>
  <c r="D3858"/>
  <c r="D3856"/>
  <c r="D3854"/>
  <c r="D3852"/>
  <c r="D3850"/>
  <c r="D3848"/>
  <c r="D3846"/>
  <c r="D3844"/>
  <c r="D3842"/>
  <c r="D3840"/>
  <c r="D3838"/>
  <c r="D3836"/>
  <c r="D3834"/>
  <c r="D3832"/>
  <c r="D3830"/>
  <c r="D3828"/>
  <c r="D3826"/>
  <c r="D3824"/>
  <c r="D3822"/>
  <c r="D3820"/>
  <c r="D3818"/>
  <c r="D3816"/>
  <c r="D3814"/>
  <c r="D3812"/>
  <c r="D3810"/>
  <c r="D3808"/>
  <c r="D3806"/>
  <c r="D3804"/>
  <c r="D3802"/>
  <c r="D3800"/>
  <c r="D3798"/>
  <c r="D3796"/>
  <c r="D3794"/>
  <c r="D3792"/>
  <c r="D3790"/>
  <c r="D3788"/>
  <c r="D3786"/>
  <c r="D3784"/>
  <c r="D3782"/>
  <c r="D3780"/>
  <c r="D3778"/>
  <c r="D3776"/>
  <c r="D3774"/>
  <c r="D3772"/>
  <c r="D3770"/>
  <c r="D3768"/>
  <c r="D3766"/>
  <c r="D3764"/>
  <c r="D3762"/>
  <c r="D3760"/>
  <c r="D3758"/>
  <c r="D3756"/>
  <c r="D3754"/>
  <c r="D3752"/>
  <c r="D3750"/>
  <c r="D3748"/>
  <c r="D3746"/>
  <c r="D3744"/>
  <c r="D3742"/>
  <c r="D3740"/>
  <c r="D3738"/>
  <c r="D3736"/>
  <c r="D3734"/>
  <c r="D3732"/>
  <c r="D3730"/>
  <c r="D3728"/>
  <c r="D3726"/>
  <c r="D3724"/>
  <c r="D3722"/>
  <c r="D3720"/>
  <c r="D3718"/>
  <c r="D3716"/>
  <c r="D3714"/>
  <c r="D3712"/>
  <c r="D3710"/>
  <c r="D3708"/>
  <c r="D3706"/>
  <c r="D3704"/>
  <c r="D3702"/>
  <c r="D3700"/>
  <c r="D3698"/>
  <c r="D3696"/>
  <c r="D3694"/>
  <c r="D3692"/>
  <c r="D3690"/>
  <c r="D3688"/>
  <c r="D3686"/>
  <c r="D3684"/>
  <c r="D3682"/>
  <c r="D3680"/>
  <c r="D3678"/>
  <c r="D3676"/>
  <c r="D3674"/>
  <c r="D3672"/>
  <c r="D3670"/>
  <c r="D3668"/>
  <c r="D3666"/>
  <c r="D3664"/>
  <c r="D3662"/>
  <c r="D3660"/>
  <c r="D3658"/>
  <c r="D3656"/>
  <c r="D3654"/>
  <c r="D3652"/>
  <c r="D3650"/>
  <c r="D3648"/>
  <c r="D3646"/>
  <c r="D3642"/>
  <c r="D3634"/>
  <c r="D3626"/>
  <c r="D3618"/>
  <c r="D3613"/>
  <c r="D3611"/>
  <c r="D3609"/>
  <c r="D3607"/>
  <c r="D3605"/>
  <c r="D3603"/>
  <c r="D3601"/>
  <c r="D3599"/>
  <c r="D3597"/>
  <c r="D3595"/>
  <c r="D3593"/>
  <c r="D3591"/>
  <c r="D3589"/>
  <c r="D3587"/>
  <c r="D3585"/>
  <c r="D3583"/>
  <c r="D3581"/>
  <c r="D3579"/>
  <c r="D3577"/>
  <c r="D3575"/>
  <c r="D3573"/>
  <c r="D3571"/>
  <c r="D3569"/>
  <c r="D3567"/>
  <c r="D3565"/>
  <c r="D3563"/>
  <c r="D3561"/>
  <c r="D3559"/>
  <c r="D3557"/>
  <c r="D3555"/>
  <c r="D3553"/>
  <c r="D3551"/>
  <c r="D3549"/>
  <c r="D3547"/>
  <c r="D3545"/>
  <c r="D3543"/>
  <c r="D3541"/>
  <c r="D3539"/>
  <c r="D3537"/>
  <c r="D3535"/>
  <c r="D3533"/>
  <c r="D3531"/>
  <c r="D3529"/>
  <c r="D3527"/>
  <c r="D3525"/>
  <c r="D3523"/>
  <c r="D3521"/>
  <c r="D3519"/>
  <c r="D3517"/>
  <c r="D3515"/>
  <c r="D3513"/>
  <c r="D3511"/>
  <c r="D3509"/>
  <c r="D3507"/>
  <c r="D3505"/>
  <c r="D3503"/>
  <c r="D3501"/>
  <c r="D3499"/>
  <c r="D3497"/>
  <c r="D3495"/>
  <c r="D3493"/>
  <c r="D3491"/>
  <c r="D3489"/>
  <c r="D3487"/>
  <c r="D3485"/>
  <c r="D3483"/>
  <c r="D3481"/>
  <c r="D3479"/>
  <c r="D3477"/>
  <c r="D3475"/>
  <c r="D3473"/>
  <c r="D3471"/>
  <c r="D3469"/>
  <c r="D3467"/>
  <c r="D3465"/>
  <c r="D3463"/>
  <c r="D3461"/>
  <c r="D3459"/>
  <c r="D3457"/>
  <c r="D3455"/>
  <c r="D3453"/>
  <c r="D3451"/>
  <c r="D3449"/>
  <c r="D3447"/>
  <c r="D3445"/>
  <c r="D3443"/>
  <c r="D3441"/>
  <c r="D3439"/>
  <c r="D3437"/>
  <c r="D3435"/>
  <c r="D3433"/>
  <c r="D3431"/>
  <c r="D3429"/>
  <c r="D3427"/>
  <c r="D3425"/>
  <c r="D3423"/>
  <c r="D3421"/>
  <c r="D3419"/>
  <c r="D3417"/>
  <c r="D3415"/>
  <c r="D3413"/>
  <c r="D3411"/>
  <c r="D3409"/>
  <c r="D3407"/>
  <c r="D3405"/>
  <c r="D3403"/>
  <c r="D3401"/>
  <c r="D3399"/>
  <c r="D3397"/>
  <c r="D3395"/>
  <c r="D3393"/>
  <c r="D3391"/>
  <c r="D3389"/>
  <c r="D3387"/>
  <c r="D3385"/>
  <c r="D3383"/>
  <c r="D3381"/>
  <c r="D3379"/>
  <c r="D3377"/>
  <c r="D3375"/>
  <c r="D3373"/>
  <c r="D3371"/>
  <c r="D3369"/>
  <c r="D3367"/>
  <c r="D3365"/>
  <c r="D3363"/>
  <c r="D3361"/>
  <c r="D3359"/>
  <c r="D3357"/>
  <c r="D3355"/>
  <c r="D3353"/>
  <c r="D3351"/>
  <c r="D3349"/>
  <c r="D3347"/>
  <c r="D3345"/>
  <c r="D3343"/>
  <c r="D3341"/>
  <c r="D3339"/>
  <c r="D3337"/>
  <c r="D3335"/>
  <c r="D3333"/>
  <c r="D3331"/>
  <c r="D3329"/>
  <c r="D3327"/>
  <c r="D3325"/>
  <c r="D3323"/>
  <c r="D3321"/>
  <c r="D3319"/>
  <c r="D3317"/>
  <c r="D3315"/>
  <c r="D3313"/>
  <c r="D3311"/>
  <c r="D3309"/>
  <c r="D3307"/>
  <c r="D3305"/>
  <c r="D3303"/>
  <c r="D3301"/>
  <c r="D3299"/>
  <c r="D3297"/>
  <c r="D3295"/>
  <c r="D3293"/>
  <c r="D3291"/>
  <c r="D3289"/>
  <c r="D3287"/>
  <c r="D3285"/>
  <c r="D3283"/>
  <c r="D3281"/>
  <c r="D3279"/>
  <c r="D3277"/>
  <c r="D3275"/>
  <c r="D3273"/>
  <c r="D3271"/>
  <c r="D3269"/>
  <c r="D3267"/>
  <c r="D3265"/>
  <c r="D3263"/>
  <c r="D3261"/>
  <c r="D3259"/>
  <c r="D3257"/>
  <c r="D3255"/>
  <c r="D3253"/>
  <c r="D3251"/>
  <c r="D3249"/>
  <c r="D3247"/>
  <c r="D3245"/>
  <c r="D3243"/>
  <c r="D3241"/>
  <c r="D3239"/>
  <c r="D3237"/>
  <c r="D3235"/>
  <c r="D3233"/>
  <c r="D3231"/>
  <c r="D3229"/>
  <c r="D3227"/>
  <c r="D3225"/>
  <c r="D3223"/>
  <c r="D3221"/>
  <c r="D3219"/>
  <c r="D3217"/>
  <c r="D3215"/>
  <c r="D3213"/>
  <c r="D3211"/>
  <c r="D3209"/>
  <c r="D3207"/>
  <c r="D3205"/>
  <c r="D3203"/>
  <c r="D3201"/>
  <c r="D3199"/>
  <c r="D3197"/>
  <c r="D3195"/>
  <c r="D3193"/>
  <c r="D3191"/>
  <c r="D3189"/>
  <c r="D3187"/>
  <c r="D3185"/>
  <c r="D3183"/>
  <c r="D3181"/>
  <c r="D3179"/>
  <c r="D3177"/>
  <c r="D3175"/>
  <c r="D3173"/>
  <c r="D3171"/>
  <c r="D3169"/>
  <c r="D3167"/>
  <c r="D3165"/>
  <c r="D3163"/>
  <c r="D3161"/>
  <c r="D3159"/>
  <c r="D3157"/>
  <c r="D3155"/>
  <c r="D3153"/>
  <c r="D3151"/>
  <c r="D3149"/>
  <c r="D3147"/>
  <c r="D3145"/>
  <c r="D3143"/>
  <c r="D3141"/>
  <c r="D3139"/>
  <c r="D3137"/>
  <c r="D3135"/>
  <c r="D3133"/>
  <c r="D3131"/>
  <c r="D3129"/>
  <c r="D3127"/>
  <c r="D3125"/>
  <c r="D3123"/>
  <c r="D3121"/>
  <c r="D3119"/>
  <c r="D3117"/>
  <c r="D3115"/>
  <c r="D3113"/>
  <c r="D3111"/>
  <c r="D3109"/>
  <c r="D3107"/>
  <c r="D3105"/>
  <c r="D3103"/>
  <c r="D3101"/>
  <c r="D3099"/>
  <c r="D3097"/>
  <c r="D3095"/>
  <c r="D3093"/>
  <c r="D3091"/>
  <c r="D3089"/>
  <c r="D3087"/>
  <c r="D3085"/>
  <c r="D3083"/>
  <c r="D3081"/>
  <c r="D3079"/>
  <c r="D3077"/>
  <c r="D3075"/>
  <c r="D3073"/>
  <c r="D3071"/>
  <c r="D3069"/>
  <c r="D3067"/>
  <c r="D3065"/>
  <c r="D3063"/>
  <c r="D3061"/>
  <c r="D3059"/>
  <c r="D3057"/>
  <c r="D3055"/>
  <c r="D3053"/>
  <c r="D3051"/>
  <c r="D3049"/>
  <c r="D3047"/>
  <c r="D3045"/>
  <c r="D3043"/>
  <c r="D3041"/>
  <c r="D3039"/>
  <c r="D3037"/>
  <c r="D3035"/>
  <c r="D3033"/>
  <c r="D3031"/>
  <c r="D3029"/>
  <c r="D3027"/>
  <c r="D3025"/>
  <c r="D3023"/>
  <c r="D3021"/>
  <c r="D3019"/>
  <c r="D3017"/>
  <c r="D3015"/>
  <c r="D3013"/>
  <c r="D3011"/>
  <c r="D3009"/>
  <c r="D3007"/>
  <c r="D3005"/>
  <c r="D3003"/>
  <c r="D3001"/>
  <c r="D2999"/>
  <c r="D2997"/>
  <c r="D2995"/>
  <c r="D2993"/>
  <c r="D2991"/>
  <c r="D2989"/>
  <c r="D2987"/>
  <c r="D2985"/>
  <c r="D2983"/>
  <c r="D2981"/>
  <c r="D2979"/>
  <c r="D2977"/>
  <c r="D2975"/>
  <c r="D2973"/>
  <c r="D2971"/>
  <c r="D2969"/>
  <c r="D2967"/>
  <c r="D2965"/>
  <c r="D2963"/>
  <c r="D2961"/>
  <c r="D2959"/>
  <c r="D2957"/>
  <c r="D2955"/>
  <c r="D2953"/>
  <c r="D2951"/>
  <c r="D2949"/>
  <c r="D2947"/>
  <c r="D2945"/>
  <c r="D2943"/>
  <c r="D2941"/>
  <c r="D3644"/>
  <c r="D3636"/>
  <c r="D3628"/>
  <c r="D3620"/>
  <c r="D3638"/>
  <c r="D3630"/>
  <c r="D3622"/>
  <c r="D3614"/>
  <c r="D3612"/>
  <c r="D3610"/>
  <c r="D3608"/>
  <c r="D3606"/>
  <c r="D3604"/>
  <c r="D3602"/>
  <c r="D3600"/>
  <c r="D3598"/>
  <c r="D3596"/>
  <c r="D3594"/>
  <c r="D3592"/>
  <c r="D3590"/>
  <c r="D3588"/>
  <c r="D3586"/>
  <c r="D3584"/>
  <c r="D3582"/>
  <c r="D3580"/>
  <c r="D3578"/>
  <c r="D3576"/>
  <c r="D3574"/>
  <c r="D3572"/>
  <c r="D3570"/>
  <c r="D3568"/>
  <c r="D3566"/>
  <c r="D3564"/>
  <c r="D3562"/>
  <c r="D3560"/>
  <c r="D3558"/>
  <c r="D3556"/>
  <c r="D3554"/>
  <c r="D3552"/>
  <c r="D3550"/>
  <c r="D3548"/>
  <c r="D3546"/>
  <c r="D3544"/>
  <c r="D3542"/>
  <c r="D3540"/>
  <c r="D3538"/>
  <c r="D3536"/>
  <c r="D3534"/>
  <c r="D3532"/>
  <c r="D3530"/>
  <c r="D3528"/>
  <c r="D3526"/>
  <c r="D3524"/>
  <c r="D3522"/>
  <c r="D3520"/>
  <c r="D3518"/>
  <c r="D3516"/>
  <c r="D3514"/>
  <c r="D3512"/>
  <c r="D3510"/>
  <c r="D3508"/>
  <c r="D3506"/>
  <c r="D3504"/>
  <c r="D3502"/>
  <c r="D3500"/>
  <c r="D3498"/>
  <c r="D3496"/>
  <c r="D3494"/>
  <c r="D3492"/>
  <c r="D3490"/>
  <c r="D3488"/>
  <c r="D3486"/>
  <c r="D3484"/>
  <c r="D3482"/>
  <c r="D3480"/>
  <c r="D3478"/>
  <c r="D3476"/>
  <c r="D3474"/>
  <c r="D3472"/>
  <c r="D3470"/>
  <c r="D3468"/>
  <c r="D3466"/>
  <c r="D3464"/>
  <c r="D3462"/>
  <c r="D3460"/>
  <c r="D3458"/>
  <c r="D3456"/>
  <c r="D3454"/>
  <c r="D3452"/>
  <c r="D3450"/>
  <c r="D3448"/>
  <c r="D3446"/>
  <c r="D3444"/>
  <c r="D3442"/>
  <c r="D3440"/>
  <c r="D3438"/>
  <c r="D3436"/>
  <c r="D3434"/>
  <c r="D3432"/>
  <c r="D3430"/>
  <c r="D3428"/>
  <c r="D3426"/>
  <c r="D3424"/>
  <c r="D3422"/>
  <c r="D3420"/>
  <c r="D3418"/>
  <c r="D3416"/>
  <c r="D3414"/>
  <c r="D3412"/>
  <c r="D3410"/>
  <c r="D3408"/>
  <c r="D3406"/>
  <c r="D3404"/>
  <c r="D3402"/>
  <c r="D3400"/>
  <c r="D3398"/>
  <c r="D3396"/>
  <c r="D3394"/>
  <c r="D3392"/>
  <c r="D3390"/>
  <c r="D3388"/>
  <c r="D3386"/>
  <c r="D3384"/>
  <c r="D3382"/>
  <c r="D3380"/>
  <c r="D3378"/>
  <c r="D3376"/>
  <c r="D3374"/>
  <c r="D3372"/>
  <c r="D3370"/>
  <c r="D3368"/>
  <c r="D3366"/>
  <c r="D3364"/>
  <c r="D3362"/>
  <c r="D3360"/>
  <c r="D3358"/>
  <c r="D3356"/>
  <c r="D3354"/>
  <c r="D3352"/>
  <c r="D3350"/>
  <c r="D3348"/>
  <c r="D3346"/>
  <c r="D3344"/>
  <c r="D3342"/>
  <c r="D3340"/>
  <c r="D3338"/>
  <c r="D3336"/>
  <c r="D3334"/>
  <c r="D3332"/>
  <c r="D3330"/>
  <c r="D3328"/>
  <c r="D3326"/>
  <c r="D3324"/>
  <c r="D3322"/>
  <c r="D3320"/>
  <c r="D3318"/>
  <c r="D3316"/>
  <c r="D3314"/>
  <c r="D3312"/>
  <c r="D3310"/>
  <c r="D3308"/>
  <c r="D3306"/>
  <c r="D3304"/>
  <c r="D3302"/>
  <c r="D3300"/>
  <c r="D3298"/>
  <c r="D3296"/>
  <c r="D3294"/>
  <c r="D3292"/>
  <c r="D3290"/>
  <c r="D3288"/>
  <c r="D3286"/>
  <c r="D3284"/>
  <c r="D3282"/>
  <c r="D3280"/>
  <c r="D3278"/>
  <c r="D3276"/>
  <c r="D3274"/>
  <c r="D3272"/>
  <c r="D3270"/>
  <c r="D3268"/>
  <c r="D3266"/>
  <c r="D3264"/>
  <c r="D3262"/>
  <c r="D3260"/>
  <c r="D3258"/>
  <c r="D3256"/>
  <c r="D3254"/>
  <c r="D3252"/>
  <c r="D3250"/>
  <c r="D3248"/>
  <c r="D3246"/>
  <c r="D3244"/>
  <c r="D3242"/>
  <c r="D3240"/>
  <c r="D3238"/>
  <c r="D3236"/>
  <c r="D3234"/>
  <c r="D3232"/>
  <c r="D3230"/>
  <c r="D3228"/>
  <c r="D3226"/>
  <c r="D3224"/>
  <c r="D3222"/>
  <c r="D3220"/>
  <c r="D3218"/>
  <c r="D3216"/>
  <c r="D3214"/>
  <c r="D3212"/>
  <c r="D3210"/>
  <c r="D3208"/>
  <c r="D3206"/>
  <c r="D3204"/>
  <c r="D3202"/>
  <c r="D3200"/>
  <c r="D3198"/>
  <c r="D3196"/>
  <c r="D3194"/>
  <c r="D3192"/>
  <c r="D3190"/>
  <c r="D3188"/>
  <c r="D3186"/>
  <c r="D3184"/>
  <c r="D3182"/>
  <c r="D3180"/>
  <c r="D3178"/>
  <c r="D3176"/>
  <c r="D3174"/>
  <c r="D3172"/>
  <c r="D3170"/>
  <c r="D3168"/>
  <c r="D3166"/>
  <c r="D3164"/>
  <c r="D3162"/>
  <c r="D3160"/>
  <c r="D3158"/>
  <c r="D3156"/>
  <c r="D3154"/>
  <c r="D3152"/>
  <c r="D3150"/>
  <c r="D3148"/>
  <c r="D3146"/>
  <c r="D3144"/>
  <c r="D3142"/>
  <c r="D3140"/>
  <c r="D3138"/>
  <c r="D3136"/>
  <c r="D3134"/>
  <c r="D3132"/>
  <c r="D3130"/>
  <c r="D3128"/>
  <c r="D3126"/>
  <c r="D3124"/>
  <c r="D3122"/>
  <c r="D3120"/>
  <c r="D3118"/>
  <c r="D3116"/>
  <c r="D3114"/>
  <c r="D3112"/>
  <c r="D3110"/>
  <c r="D3108"/>
  <c r="D3106"/>
  <c r="D3104"/>
  <c r="D3102"/>
  <c r="D3100"/>
  <c r="D3098"/>
  <c r="D3096"/>
  <c r="D3094"/>
  <c r="D3092"/>
  <c r="D3090"/>
  <c r="D3088"/>
  <c r="D3086"/>
  <c r="D3084"/>
  <c r="D3082"/>
  <c r="D3080"/>
  <c r="D3078"/>
  <c r="D3076"/>
  <c r="D3074"/>
  <c r="D3072"/>
  <c r="D3070"/>
  <c r="D3068"/>
  <c r="D3066"/>
  <c r="D3064"/>
  <c r="D3062"/>
  <c r="D3060"/>
  <c r="D3058"/>
  <c r="D3056"/>
  <c r="D3054"/>
  <c r="D3052"/>
  <c r="D3050"/>
  <c r="D3048"/>
  <c r="D3046"/>
  <c r="D3044"/>
  <c r="D3042"/>
  <c r="D3040"/>
  <c r="D3038"/>
  <c r="D3036"/>
  <c r="D3034"/>
  <c r="D3032"/>
  <c r="D3030"/>
  <c r="D3028"/>
  <c r="D3026"/>
  <c r="D3024"/>
  <c r="D3022"/>
  <c r="D3020"/>
  <c r="D3018"/>
  <c r="D3016"/>
  <c r="D3014"/>
  <c r="D3012"/>
  <c r="D3010"/>
  <c r="D3008"/>
  <c r="D3006"/>
  <c r="D3004"/>
  <c r="D3002"/>
  <c r="D3000"/>
  <c r="D2998"/>
  <c r="D2996"/>
  <c r="D2994"/>
  <c r="D2992"/>
  <c r="D2990"/>
  <c r="D2988"/>
  <c r="D2986"/>
  <c r="D2984"/>
  <c r="D2982"/>
  <c r="D2980"/>
  <c r="D2978"/>
  <c r="D2976"/>
  <c r="D2974"/>
  <c r="D2972"/>
  <c r="D2970"/>
  <c r="D2968"/>
  <c r="D2966"/>
  <c r="D2964"/>
  <c r="D2962"/>
  <c r="D2960"/>
  <c r="D2958"/>
  <c r="D2956"/>
  <c r="D2954"/>
  <c r="D2952"/>
  <c r="D2950"/>
  <c r="D3640"/>
  <c r="D3632"/>
  <c r="D3624"/>
  <c r="D3616"/>
  <c r="D2946"/>
  <c r="D2948"/>
  <c r="D2940"/>
  <c r="D2938"/>
  <c r="D2936"/>
  <c r="D2934"/>
  <c r="D2932"/>
  <c r="D2930"/>
  <c r="D2928"/>
  <c r="D2926"/>
  <c r="D2924"/>
  <c r="D2922"/>
  <c r="D2920"/>
  <c r="D2918"/>
  <c r="D2916"/>
  <c r="D2914"/>
  <c r="D2912"/>
  <c r="D2910"/>
  <c r="D2908"/>
  <c r="D2906"/>
  <c r="D2904"/>
  <c r="D2902"/>
  <c r="D2900"/>
  <c r="D2898"/>
  <c r="D2896"/>
  <c r="D2894"/>
  <c r="D2892"/>
  <c r="D2890"/>
  <c r="D2888"/>
  <c r="D2886"/>
  <c r="D2884"/>
  <c r="D2882"/>
  <c r="D2880"/>
  <c r="D2878"/>
  <c r="D2876"/>
  <c r="D2874"/>
  <c r="D2872"/>
  <c r="D2870"/>
  <c r="D2868"/>
  <c r="D2866"/>
  <c r="D2864"/>
  <c r="D2862"/>
  <c r="D2860"/>
  <c r="D2858"/>
  <c r="D2856"/>
  <c r="D2854"/>
  <c r="D2852"/>
  <c r="D2850"/>
  <c r="D2848"/>
  <c r="D2846"/>
  <c r="D2844"/>
  <c r="D2842"/>
  <c r="D2840"/>
  <c r="D2838"/>
  <c r="D2836"/>
  <c r="D2834"/>
  <c r="D2832"/>
  <c r="D2830"/>
  <c r="D2828"/>
  <c r="D2826"/>
  <c r="D2824"/>
  <c r="D2822"/>
  <c r="D2820"/>
  <c r="D2818"/>
  <c r="D2816"/>
  <c r="D2814"/>
  <c r="D2812"/>
  <c r="D2810"/>
  <c r="D2808"/>
  <c r="D2806"/>
  <c r="D2804"/>
  <c r="D2802"/>
  <c r="D2800"/>
  <c r="D2798"/>
  <c r="D2796"/>
  <c r="D2794"/>
  <c r="D2792"/>
  <c r="D2790"/>
  <c r="D2788"/>
  <c r="D2786"/>
  <c r="D2784"/>
  <c r="D2782"/>
  <c r="D2780"/>
  <c r="D2778"/>
  <c r="D2776"/>
  <c r="D2774"/>
  <c r="D2772"/>
  <c r="D2770"/>
  <c r="D2768"/>
  <c r="D2766"/>
  <c r="D2764"/>
  <c r="D2762"/>
  <c r="D2760"/>
  <c r="D2758"/>
  <c r="D2756"/>
  <c r="D2754"/>
  <c r="D2752"/>
  <c r="D2750"/>
  <c r="D2748"/>
  <c r="D2746"/>
  <c r="D2744"/>
  <c r="D2742"/>
  <c r="D2740"/>
  <c r="D2738"/>
  <c r="D2736"/>
  <c r="D2734"/>
  <c r="D2732"/>
  <c r="D2730"/>
  <c r="D2728"/>
  <c r="D2726"/>
  <c r="D2724"/>
  <c r="D2722"/>
  <c r="D2720"/>
  <c r="D2718"/>
  <c r="D2716"/>
  <c r="D2714"/>
  <c r="D2712"/>
  <c r="D2710"/>
  <c r="D2708"/>
  <c r="D2706"/>
  <c r="D2704"/>
  <c r="D2702"/>
  <c r="D2700"/>
  <c r="D2698"/>
  <c r="D2696"/>
  <c r="D2694"/>
  <c r="D2692"/>
  <c r="D2690"/>
  <c r="D2688"/>
  <c r="D2686"/>
  <c r="D2684"/>
  <c r="D2682"/>
  <c r="D2680"/>
  <c r="D2678"/>
  <c r="D2676"/>
  <c r="D2674"/>
  <c r="D2672"/>
  <c r="D2670"/>
  <c r="D2668"/>
  <c r="D2666"/>
  <c r="D2664"/>
  <c r="D2662"/>
  <c r="D2660"/>
  <c r="D2658"/>
  <c r="D2656"/>
  <c r="D2654"/>
  <c r="D2652"/>
  <c r="D2650"/>
  <c r="D2648"/>
  <c r="D2646"/>
  <c r="D2644"/>
  <c r="D2642"/>
  <c r="D2640"/>
  <c r="D2638"/>
  <c r="D2636"/>
  <c r="D2634"/>
  <c r="D2632"/>
  <c r="D2630"/>
  <c r="D2628"/>
  <c r="D2626"/>
  <c r="D2624"/>
  <c r="D2622"/>
  <c r="D2620"/>
  <c r="D2618"/>
  <c r="D2616"/>
  <c r="D2614"/>
  <c r="D2612"/>
  <c r="D2610"/>
  <c r="D2608"/>
  <c r="D2606"/>
  <c r="D2604"/>
  <c r="D2942"/>
  <c r="D2944"/>
  <c r="D2939"/>
  <c r="D2937"/>
  <c r="D2935"/>
  <c r="D2933"/>
  <c r="D2931"/>
  <c r="D2929"/>
  <c r="D2927"/>
  <c r="D2925"/>
  <c r="D2923"/>
  <c r="D2921"/>
  <c r="D2919"/>
  <c r="D2917"/>
  <c r="D2915"/>
  <c r="D2913"/>
  <c r="D2911"/>
  <c r="D2909"/>
  <c r="D2907"/>
  <c r="D2905"/>
  <c r="D2903"/>
  <c r="D2901"/>
  <c r="D2899"/>
  <c r="D2897"/>
  <c r="D2895"/>
  <c r="D2893"/>
  <c r="D2891"/>
  <c r="D2889"/>
  <c r="D2887"/>
  <c r="D2885"/>
  <c r="D2883"/>
  <c r="D2881"/>
  <c r="D2879"/>
  <c r="D2877"/>
  <c r="D2875"/>
  <c r="D2873"/>
  <c r="D2871"/>
  <c r="D2869"/>
  <c r="D2867"/>
  <c r="D2865"/>
  <c r="D2863"/>
  <c r="D2861"/>
  <c r="D2859"/>
  <c r="D2857"/>
  <c r="D2855"/>
  <c r="D2853"/>
  <c r="D2851"/>
  <c r="D2849"/>
  <c r="D2847"/>
  <c r="D2845"/>
  <c r="D2843"/>
  <c r="D2841"/>
  <c r="D2839"/>
  <c r="D2837"/>
  <c r="D2835"/>
  <c r="D2833"/>
  <c r="D2831"/>
  <c r="D2829"/>
  <c r="D2827"/>
  <c r="D2825"/>
  <c r="D2823"/>
  <c r="D2821"/>
  <c r="D2819"/>
  <c r="D2817"/>
  <c r="D2815"/>
  <c r="D2813"/>
  <c r="D2811"/>
  <c r="D2809"/>
  <c r="D2807"/>
  <c r="D2805"/>
  <c r="D2803"/>
  <c r="D2801"/>
  <c r="D2799"/>
  <c r="D2797"/>
  <c r="D2795"/>
  <c r="D2793"/>
  <c r="D2791"/>
  <c r="D2789"/>
  <c r="D2787"/>
  <c r="D2785"/>
  <c r="D2783"/>
  <c r="D2781"/>
  <c r="D2779"/>
  <c r="D2777"/>
  <c r="D2775"/>
  <c r="D2773"/>
  <c r="D2771"/>
  <c r="D2769"/>
  <c r="D2767"/>
  <c r="D2765"/>
  <c r="D2763"/>
  <c r="D2761"/>
  <c r="D2759"/>
  <c r="D2757"/>
  <c r="D2755"/>
  <c r="D2753"/>
  <c r="D2751"/>
  <c r="D2749"/>
  <c r="D2747"/>
  <c r="D2745"/>
  <c r="D2743"/>
  <c r="D2741"/>
  <c r="D2739"/>
  <c r="D2737"/>
  <c r="D2735"/>
  <c r="D2733"/>
  <c r="D2731"/>
  <c r="D2729"/>
  <c r="D2727"/>
  <c r="D2725"/>
  <c r="D2723"/>
  <c r="D2721"/>
  <c r="D2719"/>
  <c r="D2717"/>
  <c r="D2715"/>
  <c r="D2713"/>
  <c r="D2711"/>
  <c r="D2709"/>
  <c r="D2707"/>
  <c r="D2705"/>
  <c r="D2703"/>
  <c r="D2701"/>
  <c r="D2699"/>
  <c r="D2697"/>
  <c r="D2695"/>
  <c r="D2693"/>
  <c r="D2691"/>
  <c r="D2689"/>
  <c r="D2687"/>
  <c r="D2685"/>
  <c r="D2683"/>
  <c r="D2681"/>
  <c r="D2679"/>
  <c r="D2677"/>
  <c r="D2675"/>
  <c r="D2673"/>
  <c r="D2671"/>
  <c r="D2669"/>
  <c r="D2667"/>
  <c r="D2665"/>
  <c r="D2663"/>
  <c r="D2661"/>
  <c r="D2659"/>
  <c r="D2657"/>
  <c r="D2655"/>
  <c r="D2653"/>
  <c r="D2651"/>
  <c r="D2649"/>
  <c r="D2647"/>
  <c r="D2645"/>
  <c r="D2643"/>
  <c r="D2641"/>
  <c r="D2639"/>
  <c r="D2637"/>
  <c r="D2635"/>
  <c r="D2633"/>
  <c r="D2631"/>
  <c r="D2629"/>
  <c r="D2627"/>
  <c r="D2625"/>
  <c r="D2623"/>
  <c r="D2621"/>
  <c r="D2619"/>
  <c r="D2617"/>
  <c r="D2611"/>
  <c r="D2603"/>
  <c r="D2601"/>
  <c r="D2599"/>
  <c r="D2597"/>
  <c r="D2595"/>
  <c r="D2593"/>
  <c r="D2591"/>
  <c r="D2589"/>
  <c r="D2587"/>
  <c r="D2585"/>
  <c r="D2583"/>
  <c r="D2581"/>
  <c r="D2579"/>
  <c r="D2577"/>
  <c r="D2575"/>
  <c r="D2573"/>
  <c r="D2571"/>
  <c r="D2569"/>
  <c r="D2567"/>
  <c r="D2565"/>
  <c r="D2563"/>
  <c r="D2561"/>
  <c r="D2559"/>
  <c r="D2557"/>
  <c r="D2555"/>
  <c r="D2553"/>
  <c r="D2551"/>
  <c r="D2549"/>
  <c r="D2547"/>
  <c r="D2545"/>
  <c r="D2543"/>
  <c r="D2541"/>
  <c r="D2539"/>
  <c r="D2537"/>
  <c r="D2535"/>
  <c r="D2533"/>
  <c r="D2531"/>
  <c r="D2529"/>
  <c r="D2527"/>
  <c r="D2525"/>
  <c r="D2523"/>
  <c r="D2521"/>
  <c r="D2519"/>
  <c r="D2517"/>
  <c r="D2515"/>
  <c r="D2513"/>
  <c r="D2511"/>
  <c r="D2509"/>
  <c r="D2507"/>
  <c r="D2505"/>
  <c r="D2503"/>
  <c r="D2501"/>
  <c r="D2499"/>
  <c r="D2497"/>
  <c r="D2495"/>
  <c r="D2493"/>
  <c r="D2491"/>
  <c r="D2489"/>
  <c r="D2487"/>
  <c r="D2485"/>
  <c r="D2483"/>
  <c r="D2481"/>
  <c r="D2479"/>
  <c r="D2477"/>
  <c r="D2475"/>
  <c r="D2473"/>
  <c r="D2471"/>
  <c r="D2469"/>
  <c r="D2467"/>
  <c r="D2465"/>
  <c r="D2463"/>
  <c r="D2461"/>
  <c r="D2459"/>
  <c r="D2457"/>
  <c r="D2455"/>
  <c r="D2453"/>
  <c r="D2451"/>
  <c r="D2449"/>
  <c r="D2447"/>
  <c r="D2445"/>
  <c r="D2443"/>
  <c r="D2441"/>
  <c r="D2439"/>
  <c r="D2437"/>
  <c r="D2435"/>
  <c r="D2433"/>
  <c r="D2431"/>
  <c r="D2429"/>
  <c r="D2427"/>
  <c r="D2425"/>
  <c r="D2423"/>
  <c r="D2421"/>
  <c r="D2419"/>
  <c r="D2417"/>
  <c r="D2415"/>
  <c r="D2413"/>
  <c r="D2411"/>
  <c r="D2409"/>
  <c r="D2407"/>
  <c r="D2405"/>
  <c r="D2403"/>
  <c r="D2401"/>
  <c r="D2399"/>
  <c r="D2397"/>
  <c r="D2395"/>
  <c r="D2393"/>
  <c r="D2391"/>
  <c r="D2389"/>
  <c r="D2387"/>
  <c r="D2385"/>
  <c r="D2383"/>
  <c r="D2381"/>
  <c r="D2379"/>
  <c r="D2377"/>
  <c r="D2375"/>
  <c r="D2373"/>
  <c r="D2371"/>
  <c r="D2369"/>
  <c r="D2367"/>
  <c r="D2365"/>
  <c r="D2363"/>
  <c r="D2361"/>
  <c r="D2359"/>
  <c r="D2357"/>
  <c r="D2355"/>
  <c r="D2353"/>
  <c r="D2351"/>
  <c r="D2349"/>
  <c r="D2347"/>
  <c r="D2345"/>
  <c r="D2343"/>
  <c r="D2341"/>
  <c r="D2339"/>
  <c r="D2337"/>
  <c r="D2335"/>
  <c r="D2333"/>
  <c r="D2331"/>
  <c r="D2329"/>
  <c r="D2327"/>
  <c r="D2325"/>
  <c r="D2323"/>
  <c r="D2321"/>
  <c r="D2319"/>
  <c r="D2317"/>
  <c r="D2315"/>
  <c r="D2313"/>
  <c r="D2311"/>
  <c r="D2309"/>
  <c r="D2307"/>
  <c r="D2305"/>
  <c r="D2303"/>
  <c r="D2301"/>
  <c r="D2299"/>
  <c r="D2297"/>
  <c r="D2295"/>
  <c r="D2293"/>
  <c r="D2291"/>
  <c r="D2289"/>
  <c r="D2287"/>
  <c r="D2285"/>
  <c r="D2283"/>
  <c r="D2281"/>
  <c r="D2279"/>
  <c r="D2277"/>
  <c r="D2275"/>
  <c r="D2273"/>
  <c r="D2271"/>
  <c r="D2269"/>
  <c r="D2267"/>
  <c r="D2265"/>
  <c r="D2263"/>
  <c r="D2261"/>
  <c r="D2259"/>
  <c r="D2257"/>
  <c r="D2255"/>
  <c r="D2253"/>
  <c r="D2251"/>
  <c r="D2249"/>
  <c r="D2247"/>
  <c r="D2245"/>
  <c r="D2243"/>
  <c r="D2241"/>
  <c r="D2239"/>
  <c r="D2237"/>
  <c r="D2235"/>
  <c r="D2233"/>
  <c r="D2231"/>
  <c r="D2229"/>
  <c r="D2227"/>
  <c r="D2225"/>
  <c r="D2223"/>
  <c r="D2221"/>
  <c r="D2219"/>
  <c r="D2217"/>
  <c r="D2215"/>
  <c r="D2213"/>
  <c r="D2211"/>
  <c r="D2209"/>
  <c r="D2207"/>
  <c r="D2205"/>
  <c r="D2203"/>
  <c r="D2201"/>
  <c r="D2199"/>
  <c r="D2197"/>
  <c r="D2195"/>
  <c r="D2193"/>
  <c r="D2191"/>
  <c r="D2189"/>
  <c r="D2187"/>
  <c r="D2185"/>
  <c r="D2183"/>
  <c r="D2181"/>
  <c r="D2179"/>
  <c r="D2177"/>
  <c r="D2175"/>
  <c r="D2173"/>
  <c r="D2171"/>
  <c r="D2169"/>
  <c r="D2167"/>
  <c r="D2165"/>
  <c r="D2163"/>
  <c r="D2161"/>
  <c r="D2159"/>
  <c r="D2157"/>
  <c r="D2155"/>
  <c r="D2153"/>
  <c r="D2151"/>
  <c r="D2149"/>
  <c r="D2147"/>
  <c r="D2145"/>
  <c r="D2143"/>
  <c r="D2141"/>
  <c r="D2139"/>
  <c r="D2137"/>
  <c r="D2135"/>
  <c r="D2133"/>
  <c r="D2131"/>
  <c r="D2129"/>
  <c r="D2127"/>
  <c r="D2125"/>
  <c r="D2123"/>
  <c r="D2121"/>
  <c r="D2119"/>
  <c r="D2117"/>
  <c r="D2115"/>
  <c r="D2113"/>
  <c r="D2111"/>
  <c r="D2109"/>
  <c r="D2107"/>
  <c r="D2105"/>
  <c r="D2103"/>
  <c r="D2101"/>
  <c r="D2099"/>
  <c r="D2097"/>
  <c r="D2095"/>
  <c r="D2093"/>
  <c r="D2091"/>
  <c r="D2089"/>
  <c r="D2087"/>
  <c r="D2085"/>
  <c r="D2083"/>
  <c r="D2081"/>
  <c r="D2079"/>
  <c r="D2077"/>
  <c r="D2075"/>
  <c r="D2073"/>
  <c r="D2071"/>
  <c r="D2069"/>
  <c r="D2067"/>
  <c r="D2065"/>
  <c r="D2063"/>
  <c r="D2061"/>
  <c r="D2059"/>
  <c r="D2057"/>
  <c r="D2055"/>
  <c r="D2053"/>
  <c r="D2051"/>
  <c r="D2049"/>
  <c r="D2047"/>
  <c r="D2045"/>
  <c r="D2043"/>
  <c r="D2041"/>
  <c r="D2039"/>
  <c r="D2037"/>
  <c r="D2035"/>
  <c r="D2033"/>
  <c r="D2031"/>
  <c r="D2029"/>
  <c r="D2027"/>
  <c r="D2025"/>
  <c r="D2023"/>
  <c r="D2021"/>
  <c r="D2019"/>
  <c r="D2017"/>
  <c r="D2015"/>
  <c r="D2013"/>
  <c r="D2011"/>
  <c r="D2009"/>
  <c r="D2007"/>
  <c r="D2005"/>
  <c r="D2003"/>
  <c r="D2001"/>
  <c r="D1999"/>
  <c r="D1997"/>
  <c r="F52" i="46" s="1"/>
  <c r="G52" s="1"/>
  <c r="D1995" i="20"/>
  <c r="D1993"/>
  <c r="D1991"/>
  <c r="D1989"/>
  <c r="D1987"/>
  <c r="D1985"/>
  <c r="D1983"/>
  <c r="D1981"/>
  <c r="D1979"/>
  <c r="D1977"/>
  <c r="D1975"/>
  <c r="D1973"/>
  <c r="D1971"/>
  <c r="D1969"/>
  <c r="D1967"/>
  <c r="D1965"/>
  <c r="D1963"/>
  <c r="D1961"/>
  <c r="D1959"/>
  <c r="D1957"/>
  <c r="D1955"/>
  <c r="D1953"/>
  <c r="D1951"/>
  <c r="D1949"/>
  <c r="D1947"/>
  <c r="D1945"/>
  <c r="D1943"/>
  <c r="D1941"/>
  <c r="D1939"/>
  <c r="D1937"/>
  <c r="D1935"/>
  <c r="D1933"/>
  <c r="D1931"/>
  <c r="D1929"/>
  <c r="D1927"/>
  <c r="D1925"/>
  <c r="D1923"/>
  <c r="D1921"/>
  <c r="D1919"/>
  <c r="D1917"/>
  <c r="D1915"/>
  <c r="D1913"/>
  <c r="D1911"/>
  <c r="D1909"/>
  <c r="D1907"/>
  <c r="D1905"/>
  <c r="D1903"/>
  <c r="D1901"/>
  <c r="D1899"/>
  <c r="D1897"/>
  <c r="D1895"/>
  <c r="D1893"/>
  <c r="D1891"/>
  <c r="D1889"/>
  <c r="D1887"/>
  <c r="D1885"/>
  <c r="D1883"/>
  <c r="D1881"/>
  <c r="D1879"/>
  <c r="D1877"/>
  <c r="D2613"/>
  <c r="D2605"/>
  <c r="D2615"/>
  <c r="D2607"/>
  <c r="D2602"/>
  <c r="D2600"/>
  <c r="D2598"/>
  <c r="D2596"/>
  <c r="D2594"/>
  <c r="D2592"/>
  <c r="D2590"/>
  <c r="D2588"/>
  <c r="D2586"/>
  <c r="D2584"/>
  <c r="D2582"/>
  <c r="D2580"/>
  <c r="D2578"/>
  <c r="D2576"/>
  <c r="D2574"/>
  <c r="D2572"/>
  <c r="D2570"/>
  <c r="D2568"/>
  <c r="D2566"/>
  <c r="D2564"/>
  <c r="D2562"/>
  <c r="D2560"/>
  <c r="D2558"/>
  <c r="D2556"/>
  <c r="D2554"/>
  <c r="D2552"/>
  <c r="D2550"/>
  <c r="D2548"/>
  <c r="D2546"/>
  <c r="D2544"/>
  <c r="D2542"/>
  <c r="D2540"/>
  <c r="D2538"/>
  <c r="D2536"/>
  <c r="D2534"/>
  <c r="D2532"/>
  <c r="D2530"/>
  <c r="D2528"/>
  <c r="D2526"/>
  <c r="D2524"/>
  <c r="D2522"/>
  <c r="D2520"/>
  <c r="D2518"/>
  <c r="D2516"/>
  <c r="D2514"/>
  <c r="D2512"/>
  <c r="D2510"/>
  <c r="D2508"/>
  <c r="D2506"/>
  <c r="D2504"/>
  <c r="D2502"/>
  <c r="D2500"/>
  <c r="D2498"/>
  <c r="D2496"/>
  <c r="D2494"/>
  <c r="D2492"/>
  <c r="D2490"/>
  <c r="D2488"/>
  <c r="D2486"/>
  <c r="D2484"/>
  <c r="D2482"/>
  <c r="D2480"/>
  <c r="D2478"/>
  <c r="D2476"/>
  <c r="D2474"/>
  <c r="D2472"/>
  <c r="D2470"/>
  <c r="D2468"/>
  <c r="D2466"/>
  <c r="D2464"/>
  <c r="D2462"/>
  <c r="D2460"/>
  <c r="D2458"/>
  <c r="D2456"/>
  <c r="D2454"/>
  <c r="D2452"/>
  <c r="D2450"/>
  <c r="D2448"/>
  <c r="D2446"/>
  <c r="D2444"/>
  <c r="D2442"/>
  <c r="D2440"/>
  <c r="D2438"/>
  <c r="D2436"/>
  <c r="D2434"/>
  <c r="D2432"/>
  <c r="D2430"/>
  <c r="D2428"/>
  <c r="D2426"/>
  <c r="D2424"/>
  <c r="D2422"/>
  <c r="D2420"/>
  <c r="D2418"/>
  <c r="D2416"/>
  <c r="D2414"/>
  <c r="D2412"/>
  <c r="D2410"/>
  <c r="D2408"/>
  <c r="D2406"/>
  <c r="D2404"/>
  <c r="D2402"/>
  <c r="D2400"/>
  <c r="D2398"/>
  <c r="D2396"/>
  <c r="D2394"/>
  <c r="D2392"/>
  <c r="D2390"/>
  <c r="D2388"/>
  <c r="D2386"/>
  <c r="D2384"/>
  <c r="D2382"/>
  <c r="D2380"/>
  <c r="D2378"/>
  <c r="D2376"/>
  <c r="D2374"/>
  <c r="D2372"/>
  <c r="D2370"/>
  <c r="D2368"/>
  <c r="D2366"/>
  <c r="D2364"/>
  <c r="D2362"/>
  <c r="D2360"/>
  <c r="D2358"/>
  <c r="D2356"/>
  <c r="D2354"/>
  <c r="D2352"/>
  <c r="D2350"/>
  <c r="D2348"/>
  <c r="D2346"/>
  <c r="D2344"/>
  <c r="D2342"/>
  <c r="D2340"/>
  <c r="D2338"/>
  <c r="D2336"/>
  <c r="D2334"/>
  <c r="D2332"/>
  <c r="D2330"/>
  <c r="D2328"/>
  <c r="D2326"/>
  <c r="D2324"/>
  <c r="D2322"/>
  <c r="D2320"/>
  <c r="D2318"/>
  <c r="D2316"/>
  <c r="D2314"/>
  <c r="D2312"/>
  <c r="D2310"/>
  <c r="D2308"/>
  <c r="D2306"/>
  <c r="D2304"/>
  <c r="D2302"/>
  <c r="D2300"/>
  <c r="D2298"/>
  <c r="D2296"/>
  <c r="D2294"/>
  <c r="D2292"/>
  <c r="D2290"/>
  <c r="D2288"/>
  <c r="D2286"/>
  <c r="D2284"/>
  <c r="D2282"/>
  <c r="D2280"/>
  <c r="D2278"/>
  <c r="D2276"/>
  <c r="D2274"/>
  <c r="D2272"/>
  <c r="D2270"/>
  <c r="D2268"/>
  <c r="D2266"/>
  <c r="D2264"/>
  <c r="D2262"/>
  <c r="D2260"/>
  <c r="D2258"/>
  <c r="D2256"/>
  <c r="D2254"/>
  <c r="D2252"/>
  <c r="D2250"/>
  <c r="D2248"/>
  <c r="D2246"/>
  <c r="D2244"/>
  <c r="D2242"/>
  <c r="D2240"/>
  <c r="D2238"/>
  <c r="D2236"/>
  <c r="D2234"/>
  <c r="D2232"/>
  <c r="D2230"/>
  <c r="D2228"/>
  <c r="D2226"/>
  <c r="D2224"/>
  <c r="D2222"/>
  <c r="D2220"/>
  <c r="D2218"/>
  <c r="D2216"/>
  <c r="D2214"/>
  <c r="D2212"/>
  <c r="D2210"/>
  <c r="D2208"/>
  <c r="D2206"/>
  <c r="D2204"/>
  <c r="D2202"/>
  <c r="D2200"/>
  <c r="D2198"/>
  <c r="D2196"/>
  <c r="D2194"/>
  <c r="D2192"/>
  <c r="D2190"/>
  <c r="D2188"/>
  <c r="D2186"/>
  <c r="D2184"/>
  <c r="D2182"/>
  <c r="D2180"/>
  <c r="D2178"/>
  <c r="D2176"/>
  <c r="D2174"/>
  <c r="D2172"/>
  <c r="D2170"/>
  <c r="D2168"/>
  <c r="D2166"/>
  <c r="D2164"/>
  <c r="D2162"/>
  <c r="D2160"/>
  <c r="D2158"/>
  <c r="D2156"/>
  <c r="D2154"/>
  <c r="D2152"/>
  <c r="D2150"/>
  <c r="D2148"/>
  <c r="D2146"/>
  <c r="D2144"/>
  <c r="D2142"/>
  <c r="D2140"/>
  <c r="D2138"/>
  <c r="D2136"/>
  <c r="D2134"/>
  <c r="D2132"/>
  <c r="D2130"/>
  <c r="D2128"/>
  <c r="D2126"/>
  <c r="D2124"/>
  <c r="D2122"/>
  <c r="D2120"/>
  <c r="D2118"/>
  <c r="D2116"/>
  <c r="D2114"/>
  <c r="D2112"/>
  <c r="D2110"/>
  <c r="D2108"/>
  <c r="D2106"/>
  <c r="D2104"/>
  <c r="D2102"/>
  <c r="D2100"/>
  <c r="D2098"/>
  <c r="D2096"/>
  <c r="D2094"/>
  <c r="D2092"/>
  <c r="D2090"/>
  <c r="D2088"/>
  <c r="D2086"/>
  <c r="D2084"/>
  <c r="D2082"/>
  <c r="D2080"/>
  <c r="D2078"/>
  <c r="D2076"/>
  <c r="D2074"/>
  <c r="D2072"/>
  <c r="D2070"/>
  <c r="D2068"/>
  <c r="D2066"/>
  <c r="D2064"/>
  <c r="D2062"/>
  <c r="D2060"/>
  <c r="D2058"/>
  <c r="D2056"/>
  <c r="D2054"/>
  <c r="D2052"/>
  <c r="D2050"/>
  <c r="D2048"/>
  <c r="D2046"/>
  <c r="D2044"/>
  <c r="D2042"/>
  <c r="D2040"/>
  <c r="D2038"/>
  <c r="D2036"/>
  <c r="D2034"/>
  <c r="D2032"/>
  <c r="D2030"/>
  <c r="D2028"/>
  <c r="D2026"/>
  <c r="D2024"/>
  <c r="D2022"/>
  <c r="D2020"/>
  <c r="D2018"/>
  <c r="D2016"/>
  <c r="D2014"/>
  <c r="D2012"/>
  <c r="D2010"/>
  <c r="D2008"/>
  <c r="D2006"/>
  <c r="D2004"/>
  <c r="D2002"/>
  <c r="D2000"/>
  <c r="D1998"/>
  <c r="D1996"/>
  <c r="D1994"/>
  <c r="D1992"/>
  <c r="D1990"/>
  <c r="D1988"/>
  <c r="D1986"/>
  <c r="D1984"/>
  <c r="D1982"/>
  <c r="D1980"/>
  <c r="D1978"/>
  <c r="D1976"/>
  <c r="D1974"/>
  <c r="D1972"/>
  <c r="D1970"/>
  <c r="D1968"/>
  <c r="D1966"/>
  <c r="D1964"/>
  <c r="D1962"/>
  <c r="D1960"/>
  <c r="D1958"/>
  <c r="D1956"/>
  <c r="D1954"/>
  <c r="D1952"/>
  <c r="D1950"/>
  <c r="D1948"/>
  <c r="D1946"/>
  <c r="D1944"/>
  <c r="D1942"/>
  <c r="D1940"/>
  <c r="D1938"/>
  <c r="D1936"/>
  <c r="D1934"/>
  <c r="D1932"/>
  <c r="D1930"/>
  <c r="D1928"/>
  <c r="D1926"/>
  <c r="D2609"/>
  <c r="D1922"/>
  <c r="D1914"/>
  <c r="D1906"/>
  <c r="D1898"/>
  <c r="D1890"/>
  <c r="D1882"/>
  <c r="D1924"/>
  <c r="D1916"/>
  <c r="D1908"/>
  <c r="D1900"/>
  <c r="D1892"/>
  <c r="D1884"/>
  <c r="D1876"/>
  <c r="D1874"/>
  <c r="D1872"/>
  <c r="D1870"/>
  <c r="D1868"/>
  <c r="D1866"/>
  <c r="D1864"/>
  <c r="D1862"/>
  <c r="D1860"/>
  <c r="D1858"/>
  <c r="D1856"/>
  <c r="D1854"/>
  <c r="D1852"/>
  <c r="D1850"/>
  <c r="D1848"/>
  <c r="D1846"/>
  <c r="D1844"/>
  <c r="D1842"/>
  <c r="D1840"/>
  <c r="D1838"/>
  <c r="D1836"/>
  <c r="D1834"/>
  <c r="D1832"/>
  <c r="D1830"/>
  <c r="D1828"/>
  <c r="D1826"/>
  <c r="D1824"/>
  <c r="D1822"/>
  <c r="D1820"/>
  <c r="D1818"/>
  <c r="D1816"/>
  <c r="D1814"/>
  <c r="D1812"/>
  <c r="D1810"/>
  <c r="D1808"/>
  <c r="D1806"/>
  <c r="D1804"/>
  <c r="D1802"/>
  <c r="D1800"/>
  <c r="D1798"/>
  <c r="D1796"/>
  <c r="D1794"/>
  <c r="D1792"/>
  <c r="D1790"/>
  <c r="D1788"/>
  <c r="D1786"/>
  <c r="D1784"/>
  <c r="D1782"/>
  <c r="D1780"/>
  <c r="D1778"/>
  <c r="D1776"/>
  <c r="D1774"/>
  <c r="D1772"/>
  <c r="D1770"/>
  <c r="D1768"/>
  <c r="D1766"/>
  <c r="D1764"/>
  <c r="D1762"/>
  <c r="D1760"/>
  <c r="D1758"/>
  <c r="D1756"/>
  <c r="D1754"/>
  <c r="D1752"/>
  <c r="D1750"/>
  <c r="D1748"/>
  <c r="D1746"/>
  <c r="D1744"/>
  <c r="D1742"/>
  <c r="D1740"/>
  <c r="D1738"/>
  <c r="D1736"/>
  <c r="D1734"/>
  <c r="D1732"/>
  <c r="D1730"/>
  <c r="D1728"/>
  <c r="D1726"/>
  <c r="D1724"/>
  <c r="D1722"/>
  <c r="D1720"/>
  <c r="D1718"/>
  <c r="D1716"/>
  <c r="D1714"/>
  <c r="D1712"/>
  <c r="D1710"/>
  <c r="D1708"/>
  <c r="D1706"/>
  <c r="D1704"/>
  <c r="D1702"/>
  <c r="D1700"/>
  <c r="D1698"/>
  <c r="D1696"/>
  <c r="D1694"/>
  <c r="D1692"/>
  <c r="D1690"/>
  <c r="D1688"/>
  <c r="D1686"/>
  <c r="D1684"/>
  <c r="D1682"/>
  <c r="D1680"/>
  <c r="D1678"/>
  <c r="D1676"/>
  <c r="D1674"/>
  <c r="D1672"/>
  <c r="D1670"/>
  <c r="D1668"/>
  <c r="D1666"/>
  <c r="D1664"/>
  <c r="D1662"/>
  <c r="D1660"/>
  <c r="D1658"/>
  <c r="D1656"/>
  <c r="D1654"/>
  <c r="D1652"/>
  <c r="D1650"/>
  <c r="D1648"/>
  <c r="D1646"/>
  <c r="D1644"/>
  <c r="D1642"/>
  <c r="D1640"/>
  <c r="D1638"/>
  <c r="D1636"/>
  <c r="D1634"/>
  <c r="D1632"/>
  <c r="D1630"/>
  <c r="D1628"/>
  <c r="D1626"/>
  <c r="D1624"/>
  <c r="D1622"/>
  <c r="D1620"/>
  <c r="D1618"/>
  <c r="D1616"/>
  <c r="D1614"/>
  <c r="D1612"/>
  <c r="D1610"/>
  <c r="D1608"/>
  <c r="D1606"/>
  <c r="D1604"/>
  <c r="D1602"/>
  <c r="D1600"/>
  <c r="D1598"/>
  <c r="D1596"/>
  <c r="D1594"/>
  <c r="D1592"/>
  <c r="D1590"/>
  <c r="D1588"/>
  <c r="D1586"/>
  <c r="D1584"/>
  <c r="D1582"/>
  <c r="D1580"/>
  <c r="D1578"/>
  <c r="D1576"/>
  <c r="D1574"/>
  <c r="D1572"/>
  <c r="D1570"/>
  <c r="D1568"/>
  <c r="D1566"/>
  <c r="D1564"/>
  <c r="D1562"/>
  <c r="D1560"/>
  <c r="D1558"/>
  <c r="D1556"/>
  <c r="D1554"/>
  <c r="D1552"/>
  <c r="D1550"/>
  <c r="D1548"/>
  <c r="D1546"/>
  <c r="D1544"/>
  <c r="D1542"/>
  <c r="D1918"/>
  <c r="D1910"/>
  <c r="D1902"/>
  <c r="D1894"/>
  <c r="D1886"/>
  <c r="D1878"/>
  <c r="D1920"/>
  <c r="D1912"/>
  <c r="D1904"/>
  <c r="D1896"/>
  <c r="D1888"/>
  <c r="D1880"/>
  <c r="D1875"/>
  <c r="D1873"/>
  <c r="D1871"/>
  <c r="D1869"/>
  <c r="D1867"/>
  <c r="D1865"/>
  <c r="D1863"/>
  <c r="D1861"/>
  <c r="D1859"/>
  <c r="D1857"/>
  <c r="D1855"/>
  <c r="D1853"/>
  <c r="D1851"/>
  <c r="D1849"/>
  <c r="D1847"/>
  <c r="D1845"/>
  <c r="D1843"/>
  <c r="D1841"/>
  <c r="D1839"/>
  <c r="D1837"/>
  <c r="D1835"/>
  <c r="D1833"/>
  <c r="D1831"/>
  <c r="D1829"/>
  <c r="D1827"/>
  <c r="D1825"/>
  <c r="D1823"/>
  <c r="D1821"/>
  <c r="D1819"/>
  <c r="D1817"/>
  <c r="D1815"/>
  <c r="D1813"/>
  <c r="D1811"/>
  <c r="D1809"/>
  <c r="D1807"/>
  <c r="D1805"/>
  <c r="D1803"/>
  <c r="D1801"/>
  <c r="D1799"/>
  <c r="D1797"/>
  <c r="D1795"/>
  <c r="D1793"/>
  <c r="D1791"/>
  <c r="D1789"/>
  <c r="D1787"/>
  <c r="D1785"/>
  <c r="D1783"/>
  <c r="D1781"/>
  <c r="D1779"/>
  <c r="D1777"/>
  <c r="D1775"/>
  <c r="D1773"/>
  <c r="D1771"/>
  <c r="D1769"/>
  <c r="D1767"/>
  <c r="D1765"/>
  <c r="D1763"/>
  <c r="D1761"/>
  <c r="D1759"/>
  <c r="D1757"/>
  <c r="D1755"/>
  <c r="D1753"/>
  <c r="D1751"/>
  <c r="D1749"/>
  <c r="D1747"/>
  <c r="D1745"/>
  <c r="D1743"/>
  <c r="D1741"/>
  <c r="D1739"/>
  <c r="D1737"/>
  <c r="D1735"/>
  <c r="D1733"/>
  <c r="D1731"/>
  <c r="D1729"/>
  <c r="D1727"/>
  <c r="D1725"/>
  <c r="D1723"/>
  <c r="D1721"/>
  <c r="D1719"/>
  <c r="D1717"/>
  <c r="D1715"/>
  <c r="D1713"/>
  <c r="D1711"/>
  <c r="D1709"/>
  <c r="D1707"/>
  <c r="D1705"/>
  <c r="D1703"/>
  <c r="D1701"/>
  <c r="D1699"/>
  <c r="D1697"/>
  <c r="D1695"/>
  <c r="D1693"/>
  <c r="D1691"/>
  <c r="D1689"/>
  <c r="D1687"/>
  <c r="D1685"/>
  <c r="D1683"/>
  <c r="D1681"/>
  <c r="D1679"/>
  <c r="D1677"/>
  <c r="D1675"/>
  <c r="D1673"/>
  <c r="D1671"/>
  <c r="D1669"/>
  <c r="D1667"/>
  <c r="D1665"/>
  <c r="D1663"/>
  <c r="D1661"/>
  <c r="D1659"/>
  <c r="D1657"/>
  <c r="D1655"/>
  <c r="D1653"/>
  <c r="D1651"/>
  <c r="D1649"/>
  <c r="D1647"/>
  <c r="D1645"/>
  <c r="D1643"/>
  <c r="D1641"/>
  <c r="D1639"/>
  <c r="D1637"/>
  <c r="D1635"/>
  <c r="D1633"/>
  <c r="D1631"/>
  <c r="D1629"/>
  <c r="D1627"/>
  <c r="D1625"/>
  <c r="D1623"/>
  <c r="D1621"/>
  <c r="D1619"/>
  <c r="D1617"/>
  <c r="D1615"/>
  <c r="D1613"/>
  <c r="D1611"/>
  <c r="D1609"/>
  <c r="D1607"/>
  <c r="D1605"/>
  <c r="D1603"/>
  <c r="D1601"/>
  <c r="D1599"/>
  <c r="D1597"/>
  <c r="D1595"/>
  <c r="D1593"/>
  <c r="D1591"/>
  <c r="D1589"/>
  <c r="D1587"/>
  <c r="D1585"/>
  <c r="D1583"/>
  <c r="D1581"/>
  <c r="D1579"/>
  <c r="D1577"/>
  <c r="D1575"/>
  <c r="D1573"/>
  <c r="D1571"/>
  <c r="D1569"/>
  <c r="D1567"/>
  <c r="D1565"/>
  <c r="D1563"/>
  <c r="D1561"/>
  <c r="D1559"/>
  <c r="D1557"/>
  <c r="D1555"/>
  <c r="D1553"/>
  <c r="D1551"/>
  <c r="D1549"/>
  <c r="D1543"/>
  <c r="D1545"/>
  <c r="D1540"/>
  <c r="D1538"/>
  <c r="D1536"/>
  <c r="D1534"/>
  <c r="D1532"/>
  <c r="D1530"/>
  <c r="D1528"/>
  <c r="D1526"/>
  <c r="D1524"/>
  <c r="D1522"/>
  <c r="D1520"/>
  <c r="D1518"/>
  <c r="D1516"/>
  <c r="D1514"/>
  <c r="D1512"/>
  <c r="D1510"/>
  <c r="D1508"/>
  <c r="D1506"/>
  <c r="D1504"/>
  <c r="D1502"/>
  <c r="D1500"/>
  <c r="D1498"/>
  <c r="D1496"/>
  <c r="D1494"/>
  <c r="D1492"/>
  <c r="D1490"/>
  <c r="D1488"/>
  <c r="D1486"/>
  <c r="D1484"/>
  <c r="D1482"/>
  <c r="D1480"/>
  <c r="D1478"/>
  <c r="D1476"/>
  <c r="D1474"/>
  <c r="D1472"/>
  <c r="D1470"/>
  <c r="D1468"/>
  <c r="D1466"/>
  <c r="D1464"/>
  <c r="D1462"/>
  <c r="D1460"/>
  <c r="D1458"/>
  <c r="D1456"/>
  <c r="D1454"/>
  <c r="D1452"/>
  <c r="D1450"/>
  <c r="D1448"/>
  <c r="D1446"/>
  <c r="D1444"/>
  <c r="D1442"/>
  <c r="D1440"/>
  <c r="D1438"/>
  <c r="D1436"/>
  <c r="D1434"/>
  <c r="D1432"/>
  <c r="D1430"/>
  <c r="D1428"/>
  <c r="D1426"/>
  <c r="D1424"/>
  <c r="D1422"/>
  <c r="D1420"/>
  <c r="D1418"/>
  <c r="D1416"/>
  <c r="D1414"/>
  <c r="D1412"/>
  <c r="D1410"/>
  <c r="D1408"/>
  <c r="D1406"/>
  <c r="D1404"/>
  <c r="D1402"/>
  <c r="D1400"/>
  <c r="D1398"/>
  <c r="D1396"/>
  <c r="D1394"/>
  <c r="D1392"/>
  <c r="D1390"/>
  <c r="D1388"/>
  <c r="D1386"/>
  <c r="D1384"/>
  <c r="D1382"/>
  <c r="D1380"/>
  <c r="D1378"/>
  <c r="D1376"/>
  <c r="D1374"/>
  <c r="D1372"/>
  <c r="D1370"/>
  <c r="D1368"/>
  <c r="D1366"/>
  <c r="D1364"/>
  <c r="D1362"/>
  <c r="D1360"/>
  <c r="D1358"/>
  <c r="D1356"/>
  <c r="D1354"/>
  <c r="D1352"/>
  <c r="D1350"/>
  <c r="D1348"/>
  <c r="D1346"/>
  <c r="D1344"/>
  <c r="D1342"/>
  <c r="D1340"/>
  <c r="D1338"/>
  <c r="D1336"/>
  <c r="D1334"/>
  <c r="D1332"/>
  <c r="D1330"/>
  <c r="D1328"/>
  <c r="D1326"/>
  <c r="D1324"/>
  <c r="D1322"/>
  <c r="D1320"/>
  <c r="D1318"/>
  <c r="D1316"/>
  <c r="D1314"/>
  <c r="D1312"/>
  <c r="D1310"/>
  <c r="D1308"/>
  <c r="D1306"/>
  <c r="D1304"/>
  <c r="D1302"/>
  <c r="D1300"/>
  <c r="D1298"/>
  <c r="D1296"/>
  <c r="D1294"/>
  <c r="D1292"/>
  <c r="D1290"/>
  <c r="D1288"/>
  <c r="D1286"/>
  <c r="D1284"/>
  <c r="D1282"/>
  <c r="D1280"/>
  <c r="D1278"/>
  <c r="D1276"/>
  <c r="D1274"/>
  <c r="D1272"/>
  <c r="D1270"/>
  <c r="D1268"/>
  <c r="D1266"/>
  <c r="D1264"/>
  <c r="D1262"/>
  <c r="D1260"/>
  <c r="D1258"/>
  <c r="D1256"/>
  <c r="D1254"/>
  <c r="D1252"/>
  <c r="D1250"/>
  <c r="D1248"/>
  <c r="D1246"/>
  <c r="D1244"/>
  <c r="D1242"/>
  <c r="D1240"/>
  <c r="D1238"/>
  <c r="D1236"/>
  <c r="D1234"/>
  <c r="D1232"/>
  <c r="D1230"/>
  <c r="D1228"/>
  <c r="D1226"/>
  <c r="D1224"/>
  <c r="D1222"/>
  <c r="D1220"/>
  <c r="D1218"/>
  <c r="D1216"/>
  <c r="D1214"/>
  <c r="D1212"/>
  <c r="D1210"/>
  <c r="D1208"/>
  <c r="D1206"/>
  <c r="D1204"/>
  <c r="D1202"/>
  <c r="D1200"/>
  <c r="D1198"/>
  <c r="D1196"/>
  <c r="D1194"/>
  <c r="D1192"/>
  <c r="D1190"/>
  <c r="D1188"/>
  <c r="D1186"/>
  <c r="D1184"/>
  <c r="D1182"/>
  <c r="D1180"/>
  <c r="D1178"/>
  <c r="D1176"/>
  <c r="D1174"/>
  <c r="D1172"/>
  <c r="D1170"/>
  <c r="D1168"/>
  <c r="D1166"/>
  <c r="D1164"/>
  <c r="D1162"/>
  <c r="D1160"/>
  <c r="D1158"/>
  <c r="D1156"/>
  <c r="D1154"/>
  <c r="D1152"/>
  <c r="D1150"/>
  <c r="D1148"/>
  <c r="D1146"/>
  <c r="D1144"/>
  <c r="D1142"/>
  <c r="D1140"/>
  <c r="D1138"/>
  <c r="D1136"/>
  <c r="D1134"/>
  <c r="D1132"/>
  <c r="D1130"/>
  <c r="D1128"/>
  <c r="D1126"/>
  <c r="D1124"/>
  <c r="D1122"/>
  <c r="D1120"/>
  <c r="D1118"/>
  <c r="D1116"/>
  <c r="D1114"/>
  <c r="D1112"/>
  <c r="D1110"/>
  <c r="D1108"/>
  <c r="D1106"/>
  <c r="D1104"/>
  <c r="D1102"/>
  <c r="D1100"/>
  <c r="D1098"/>
  <c r="D1096"/>
  <c r="D1094"/>
  <c r="D1092"/>
  <c r="D1090"/>
  <c r="D1088"/>
  <c r="D1086"/>
  <c r="D1084"/>
  <c r="D1082"/>
  <c r="D1080"/>
  <c r="D1078"/>
  <c r="D1076"/>
  <c r="D1074"/>
  <c r="D1072"/>
  <c r="D1070"/>
  <c r="D1068"/>
  <c r="D1066"/>
  <c r="D1064"/>
  <c r="D1062"/>
  <c r="D1060"/>
  <c r="D1058"/>
  <c r="D1056"/>
  <c r="D1054"/>
  <c r="D1052"/>
  <c r="D1050"/>
  <c r="D1048"/>
  <c r="D1046"/>
  <c r="D1044"/>
  <c r="D1042"/>
  <c r="D1040"/>
  <c r="D1038"/>
  <c r="D1036"/>
  <c r="D1034"/>
  <c r="D1032"/>
  <c r="D1030"/>
  <c r="D1028"/>
  <c r="D1026"/>
  <c r="D1024"/>
  <c r="D1022"/>
  <c r="D1020"/>
  <c r="D1018"/>
  <c r="D1016"/>
  <c r="D1014"/>
  <c r="D1012"/>
  <c r="D1010"/>
  <c r="D1008"/>
  <c r="D1006"/>
  <c r="D1004"/>
  <c r="D1002"/>
  <c r="D1000"/>
  <c r="D998"/>
  <c r="D996"/>
  <c r="D994"/>
  <c r="D992"/>
  <c r="D990"/>
  <c r="D988"/>
  <c r="D986"/>
  <c r="D984"/>
  <c r="D982"/>
  <c r="D980"/>
  <c r="D978"/>
  <c r="D976"/>
  <c r="D974"/>
  <c r="D972"/>
  <c r="D970"/>
  <c r="D968"/>
  <c r="D966"/>
  <c r="D964"/>
  <c r="D962"/>
  <c r="D960"/>
  <c r="D958"/>
  <c r="D956"/>
  <c r="D954"/>
  <c r="D952"/>
  <c r="D950"/>
  <c r="D948"/>
  <c r="D946"/>
  <c r="D944"/>
  <c r="D942"/>
  <c r="D940"/>
  <c r="D938"/>
  <c r="D936"/>
  <c r="D934"/>
  <c r="D932"/>
  <c r="D930"/>
  <c r="D928"/>
  <c r="D926"/>
  <c r="D924"/>
  <c r="D922"/>
  <c r="D920"/>
  <c r="D918"/>
  <c r="D916"/>
  <c r="D914"/>
  <c r="D912"/>
  <c r="D910"/>
  <c r="D908"/>
  <c r="D906"/>
  <c r="D904"/>
  <c r="D902"/>
  <c r="D900"/>
  <c r="D898"/>
  <c r="D896"/>
  <c r="D894"/>
  <c r="D892"/>
  <c r="D890"/>
  <c r="D888"/>
  <c r="D886"/>
  <c r="D884"/>
  <c r="D882"/>
  <c r="D880"/>
  <c r="D878"/>
  <c r="D876"/>
  <c r="D874"/>
  <c r="D872"/>
  <c r="D870"/>
  <c r="D868"/>
  <c r="D866"/>
  <c r="D864"/>
  <c r="D862"/>
  <c r="D1547"/>
  <c r="D1541"/>
  <c r="D1539"/>
  <c r="D1537"/>
  <c r="D1535"/>
  <c r="D1533"/>
  <c r="D1531"/>
  <c r="D1529"/>
  <c r="D1527"/>
  <c r="D1525"/>
  <c r="D1523"/>
  <c r="D1521"/>
  <c r="D1519"/>
  <c r="D1517"/>
  <c r="D1515"/>
  <c r="D1513"/>
  <c r="D1511"/>
  <c r="D1509"/>
  <c r="D1507"/>
  <c r="D1505"/>
  <c r="D1503"/>
  <c r="D1501"/>
  <c r="D1499"/>
  <c r="D1497"/>
  <c r="D1495"/>
  <c r="D1493"/>
  <c r="D1491"/>
  <c r="D1489"/>
  <c r="D1487"/>
  <c r="D1485"/>
  <c r="D1483"/>
  <c r="D1481"/>
  <c r="D1479"/>
  <c r="D1477"/>
  <c r="D1475"/>
  <c r="D1473"/>
  <c r="D1471"/>
  <c r="D1469"/>
  <c r="D1467"/>
  <c r="D1465"/>
  <c r="D1463"/>
  <c r="D1461"/>
  <c r="D1459"/>
  <c r="D1457"/>
  <c r="D1455"/>
  <c r="D1453"/>
  <c r="D1451"/>
  <c r="D1449"/>
  <c r="D1447"/>
  <c r="D1445"/>
  <c r="D1443"/>
  <c r="D1441"/>
  <c r="D1439"/>
  <c r="D1437"/>
  <c r="D1435"/>
  <c r="D1433"/>
  <c r="D1431"/>
  <c r="D1429"/>
  <c r="D1427"/>
  <c r="D1425"/>
  <c r="D1423"/>
  <c r="D1421"/>
  <c r="D1419"/>
  <c r="D1417"/>
  <c r="D1415"/>
  <c r="D1413"/>
  <c r="D1411"/>
  <c r="D1409"/>
  <c r="D1407"/>
  <c r="D1405"/>
  <c r="D1403"/>
  <c r="D1401"/>
  <c r="D1399"/>
  <c r="D1397"/>
  <c r="D1395"/>
  <c r="D1393"/>
  <c r="D1391"/>
  <c r="D1389"/>
  <c r="D1387"/>
  <c r="D1385"/>
  <c r="D1383"/>
  <c r="D1381"/>
  <c r="D1379"/>
  <c r="D1377"/>
  <c r="D1375"/>
  <c r="D1373"/>
  <c r="D1371"/>
  <c r="D1369"/>
  <c r="D1367"/>
  <c r="D1365"/>
  <c r="D1363"/>
  <c r="D1361"/>
  <c r="D1359"/>
  <c r="D1357"/>
  <c r="D1355"/>
  <c r="D1353"/>
  <c r="D1351"/>
  <c r="D1349"/>
  <c r="D1347"/>
  <c r="D1345"/>
  <c r="D1343"/>
  <c r="D1341"/>
  <c r="D1339"/>
  <c r="D1337"/>
  <c r="D1335"/>
  <c r="D1333"/>
  <c r="D1331"/>
  <c r="D1329"/>
  <c r="D1327"/>
  <c r="D1325"/>
  <c r="D1323"/>
  <c r="D1321"/>
  <c r="D1319"/>
  <c r="D1317"/>
  <c r="D1315"/>
  <c r="D1313"/>
  <c r="D1311"/>
  <c r="D1309"/>
  <c r="D1307"/>
  <c r="D1305"/>
  <c r="D1303"/>
  <c r="D1301"/>
  <c r="D1299"/>
  <c r="D1297"/>
  <c r="D1295"/>
  <c r="D1293"/>
  <c r="D1291"/>
  <c r="D1289"/>
  <c r="D1287"/>
  <c r="D1285"/>
  <c r="D1283"/>
  <c r="D1281"/>
  <c r="D1279"/>
  <c r="D1277"/>
  <c r="D1275"/>
  <c r="D1273"/>
  <c r="D1271"/>
  <c r="D1269"/>
  <c r="D1267"/>
  <c r="D1265"/>
  <c r="D1263"/>
  <c r="D1261"/>
  <c r="D1259"/>
  <c r="D1257"/>
  <c r="D1255"/>
  <c r="D1253"/>
  <c r="D1251"/>
  <c r="D1249"/>
  <c r="D1247"/>
  <c r="D1245"/>
  <c r="D1243"/>
  <c r="D1241"/>
  <c r="D1239"/>
  <c r="D1237"/>
  <c r="D1235"/>
  <c r="D1233"/>
  <c r="D1231"/>
  <c r="D1229"/>
  <c r="D1227"/>
  <c r="D1225"/>
  <c r="D1223"/>
  <c r="D1221"/>
  <c r="D1219"/>
  <c r="D1217"/>
  <c r="D1215"/>
  <c r="D1213"/>
  <c r="D1211"/>
  <c r="D1209"/>
  <c r="D1207"/>
  <c r="D1205"/>
  <c r="D1203"/>
  <c r="D1201"/>
  <c r="D1199"/>
  <c r="D1197"/>
  <c r="D1195"/>
  <c r="D1193"/>
  <c r="D1191"/>
  <c r="D1189"/>
  <c r="D1187"/>
  <c r="D1185"/>
  <c r="D1183"/>
  <c r="D1181"/>
  <c r="D1179"/>
  <c r="D1177"/>
  <c r="D1175"/>
  <c r="D1173"/>
  <c r="D1171"/>
  <c r="D1169"/>
  <c r="D1167"/>
  <c r="D1165"/>
  <c r="D1163"/>
  <c r="D1161"/>
  <c r="D1159"/>
  <c r="D1157"/>
  <c r="D1155"/>
  <c r="D1153"/>
  <c r="D1151"/>
  <c r="D1149"/>
  <c r="D1147"/>
  <c r="D1145"/>
  <c r="D1143"/>
  <c r="D1141"/>
  <c r="D1139"/>
  <c r="D1137"/>
  <c r="D1135"/>
  <c r="D1133"/>
  <c r="D1131"/>
  <c r="D1129"/>
  <c r="D1127"/>
  <c r="D1125"/>
  <c r="D1123"/>
  <c r="D1121"/>
  <c r="D1119"/>
  <c r="D1117"/>
  <c r="D1115"/>
  <c r="D1113"/>
  <c r="D1111"/>
  <c r="D1109"/>
  <c r="D1107"/>
  <c r="D1105"/>
  <c r="D1103"/>
  <c r="D1101"/>
  <c r="D1099"/>
  <c r="D1097"/>
  <c r="D1095"/>
  <c r="D1093"/>
  <c r="D1091"/>
  <c r="D1089"/>
  <c r="D1087"/>
  <c r="D1085"/>
  <c r="D1083"/>
  <c r="D1081"/>
  <c r="D1079"/>
  <c r="D1077"/>
  <c r="D1075"/>
  <c r="D1073"/>
  <c r="D1071"/>
  <c r="D1069"/>
  <c r="D1067"/>
  <c r="D1065"/>
  <c r="D1063"/>
  <c r="D1061"/>
  <c r="D1059"/>
  <c r="D1057"/>
  <c r="D1055"/>
  <c r="D1053"/>
  <c r="D1051"/>
  <c r="D1049"/>
  <c r="D1047"/>
  <c r="D1045"/>
  <c r="D1043"/>
  <c r="D1041"/>
  <c r="D1039"/>
  <c r="D1037"/>
  <c r="D1035"/>
  <c r="D1033"/>
  <c r="D1031"/>
  <c r="D1029"/>
  <c r="D1027"/>
  <c r="D1025"/>
  <c r="D1023"/>
  <c r="D1021"/>
  <c r="D1019"/>
  <c r="D1017"/>
  <c r="D1015"/>
  <c r="D1013"/>
  <c r="F381" i="46" s="1"/>
  <c r="G381" s="1"/>
  <c r="D1011" i="20"/>
  <c r="D1009"/>
  <c r="D1007"/>
  <c r="D1005"/>
  <c r="D1003"/>
  <c r="D1001"/>
  <c r="D999"/>
  <c r="D997"/>
  <c r="D995"/>
  <c r="D993"/>
  <c r="D991"/>
  <c r="D989"/>
  <c r="D987"/>
  <c r="D985"/>
  <c r="D983"/>
  <c r="D981"/>
  <c r="D979"/>
  <c r="D977"/>
  <c r="D975"/>
  <c r="D973"/>
  <c r="D971"/>
  <c r="D969"/>
  <c r="D967"/>
  <c r="D965"/>
  <c r="D963"/>
  <c r="D961"/>
  <c r="D959"/>
  <c r="D957"/>
  <c r="D955"/>
  <c r="D953"/>
  <c r="D951"/>
  <c r="D949"/>
  <c r="D947"/>
  <c r="D945"/>
  <c r="D943"/>
  <c r="D941"/>
  <c r="D939"/>
  <c r="D937"/>
  <c r="D935"/>
  <c r="D933"/>
  <c r="D931"/>
  <c r="D929"/>
  <c r="D927"/>
  <c r="D925"/>
  <c r="D923"/>
  <c r="D921"/>
  <c r="D919"/>
  <c r="D917"/>
  <c r="D915"/>
  <c r="D913"/>
  <c r="D911"/>
  <c r="D909"/>
  <c r="D907"/>
  <c r="D905"/>
  <c r="D903"/>
  <c r="D901"/>
  <c r="D899"/>
  <c r="D897"/>
  <c r="D895"/>
  <c r="D893"/>
  <c r="D891"/>
  <c r="D889"/>
  <c r="D887"/>
  <c r="D885"/>
  <c r="D883"/>
  <c r="D881"/>
  <c r="D879"/>
  <c r="D877"/>
  <c r="D875"/>
  <c r="D873"/>
  <c r="D871"/>
  <c r="D869"/>
  <c r="D867"/>
  <c r="D865"/>
  <c r="D861"/>
  <c r="D859"/>
  <c r="D857"/>
  <c r="D855"/>
  <c r="D853"/>
  <c r="D851"/>
  <c r="D849"/>
  <c r="D847"/>
  <c r="D845"/>
  <c r="D843"/>
  <c r="D841"/>
  <c r="D839"/>
  <c r="D837"/>
  <c r="D835"/>
  <c r="D833"/>
  <c r="D831"/>
  <c r="D829"/>
  <c r="D827"/>
  <c r="D825"/>
  <c r="D823"/>
  <c r="D821"/>
  <c r="D819"/>
  <c r="D817"/>
  <c r="D815"/>
  <c r="D813"/>
  <c r="D811"/>
  <c r="D809"/>
  <c r="D807"/>
  <c r="D805"/>
  <c r="D803"/>
  <c r="D801"/>
  <c r="D799"/>
  <c r="D797"/>
  <c r="D795"/>
  <c r="D793"/>
  <c r="D791"/>
  <c r="D789"/>
  <c r="D787"/>
  <c r="D785"/>
  <c r="D783"/>
  <c r="D781"/>
  <c r="D779"/>
  <c r="D777"/>
  <c r="D775"/>
  <c r="D773"/>
  <c r="D771"/>
  <c r="D769"/>
  <c r="D767"/>
  <c r="D765"/>
  <c r="D763"/>
  <c r="D761"/>
  <c r="D759"/>
  <c r="D757"/>
  <c r="D755"/>
  <c r="D753"/>
  <c r="D751"/>
  <c r="D749"/>
  <c r="D747"/>
  <c r="D745"/>
  <c r="D743"/>
  <c r="D741"/>
  <c r="D739"/>
  <c r="D737"/>
  <c r="D735"/>
  <c r="D733"/>
  <c r="D731"/>
  <c r="D729"/>
  <c r="D727"/>
  <c r="D725"/>
  <c r="D723"/>
  <c r="D721"/>
  <c r="D719"/>
  <c r="D717"/>
  <c r="D715"/>
  <c r="D713"/>
  <c r="D711"/>
  <c r="D709"/>
  <c r="D707"/>
  <c r="D705"/>
  <c r="D703"/>
  <c r="D701"/>
  <c r="D699"/>
  <c r="D697"/>
  <c r="D695"/>
  <c r="D693"/>
  <c r="D691"/>
  <c r="D689"/>
  <c r="D687"/>
  <c r="D685"/>
  <c r="D683"/>
  <c r="D681"/>
  <c r="D679"/>
  <c r="D677"/>
  <c r="D675"/>
  <c r="D673"/>
  <c r="D671"/>
  <c r="D669"/>
  <c r="D667"/>
  <c r="D665"/>
  <c r="D663"/>
  <c r="D661"/>
  <c r="D659"/>
  <c r="D657"/>
  <c r="D655"/>
  <c r="D653"/>
  <c r="D651"/>
  <c r="D649"/>
  <c r="D647"/>
  <c r="D645"/>
  <c r="D643"/>
  <c r="D641"/>
  <c r="D639"/>
  <c r="D637"/>
  <c r="D635"/>
  <c r="D633"/>
  <c r="D631"/>
  <c r="D629"/>
  <c r="D627"/>
  <c r="D625"/>
  <c r="D623"/>
  <c r="D621"/>
  <c r="D619"/>
  <c r="D617"/>
  <c r="D615"/>
  <c r="D613"/>
  <c r="D611"/>
  <c r="D609"/>
  <c r="D607"/>
  <c r="D605"/>
  <c r="D603"/>
  <c r="D601"/>
  <c r="D599"/>
  <c r="D597"/>
  <c r="D863"/>
  <c r="D860"/>
  <c r="D858"/>
  <c r="D856"/>
  <c r="D854"/>
  <c r="D852"/>
  <c r="D850"/>
  <c r="D848"/>
  <c r="D846"/>
  <c r="D844"/>
  <c r="D842"/>
  <c r="D840"/>
  <c r="D838"/>
  <c r="D836"/>
  <c r="D834"/>
  <c r="D832"/>
  <c r="D830"/>
  <c r="D828"/>
  <c r="D826"/>
  <c r="D824"/>
  <c r="D822"/>
  <c r="D820"/>
  <c r="D818"/>
  <c r="D816"/>
  <c r="D814"/>
  <c r="D812"/>
  <c r="D810"/>
  <c r="D808"/>
  <c r="D806"/>
  <c r="D804"/>
  <c r="D802"/>
  <c r="D800"/>
  <c r="D798"/>
  <c r="D796"/>
  <c r="D794"/>
  <c r="D792"/>
  <c r="D790"/>
  <c r="D788"/>
  <c r="D786"/>
  <c r="D784"/>
  <c r="D782"/>
  <c r="D780"/>
  <c r="D778"/>
  <c r="D776"/>
  <c r="D774"/>
  <c r="D772"/>
  <c r="D770"/>
  <c r="D768"/>
  <c r="D766"/>
  <c r="D764"/>
  <c r="D762"/>
  <c r="D760"/>
  <c r="D758"/>
  <c r="D756"/>
  <c r="D754"/>
  <c r="D752"/>
  <c r="D750"/>
  <c r="D748"/>
  <c r="D746"/>
  <c r="D744"/>
  <c r="D742"/>
  <c r="D740"/>
  <c r="D738"/>
  <c r="D736"/>
  <c r="D734"/>
  <c r="D732"/>
  <c r="D730"/>
  <c r="D728"/>
  <c r="D726"/>
  <c r="D724"/>
  <c r="D722"/>
  <c r="D720"/>
  <c r="D718"/>
  <c r="D716"/>
  <c r="D714"/>
  <c r="D712"/>
  <c r="D710"/>
  <c r="D708"/>
  <c r="D706"/>
  <c r="D704"/>
  <c r="D702"/>
  <c r="D700"/>
  <c r="D698"/>
  <c r="D696"/>
  <c r="D694"/>
  <c r="D692"/>
  <c r="D690"/>
  <c r="D688"/>
  <c r="D686"/>
  <c r="D684"/>
  <c r="D682"/>
  <c r="D680"/>
  <c r="D678"/>
  <c r="D676"/>
  <c r="D674"/>
  <c r="D672"/>
  <c r="D670"/>
  <c r="D668"/>
  <c r="D666"/>
  <c r="D664"/>
  <c r="D662"/>
  <c r="D660"/>
  <c r="D658"/>
  <c r="D656"/>
  <c r="D654"/>
  <c r="D652"/>
  <c r="D650"/>
  <c r="D648"/>
  <c r="D646"/>
  <c r="D644"/>
  <c r="D642"/>
  <c r="D640"/>
  <c r="D638"/>
  <c r="D636"/>
  <c r="D634"/>
  <c r="D632"/>
  <c r="D630"/>
  <c r="D628"/>
  <c r="D626"/>
  <c r="D624"/>
  <c r="D622"/>
  <c r="D620"/>
  <c r="D618"/>
  <c r="D616"/>
  <c r="D614"/>
  <c r="D612"/>
  <c r="D610"/>
  <c r="D608"/>
  <c r="D606"/>
  <c r="D604"/>
  <c r="D602"/>
  <c r="D600"/>
  <c r="D598"/>
  <c r="D596"/>
  <c r="D594"/>
  <c r="D592"/>
  <c r="D590"/>
  <c r="D588"/>
  <c r="D586"/>
  <c r="D584"/>
  <c r="D582"/>
  <c r="D580"/>
  <c r="D578"/>
  <c r="D576"/>
  <c r="D574"/>
  <c r="D572"/>
  <c r="D570"/>
  <c r="D568"/>
  <c r="D566"/>
  <c r="D564"/>
  <c r="D562"/>
  <c r="D560"/>
  <c r="D558"/>
  <c r="D556"/>
  <c r="D554"/>
  <c r="D552"/>
  <c r="D550"/>
  <c r="D548"/>
  <c r="D546"/>
  <c r="D544"/>
  <c r="D542"/>
  <c r="D540"/>
  <c r="D538"/>
  <c r="D536"/>
  <c r="D534"/>
  <c r="D532"/>
  <c r="D530"/>
  <c r="D528"/>
  <c r="D526"/>
  <c r="D524"/>
  <c r="D522"/>
  <c r="D520"/>
  <c r="D518"/>
  <c r="D516"/>
  <c r="D514"/>
  <c r="D512"/>
  <c r="D510"/>
  <c r="D508"/>
  <c r="D506"/>
  <c r="D504"/>
  <c r="D502"/>
  <c r="D500"/>
  <c r="D498"/>
  <c r="D496"/>
  <c r="D494"/>
  <c r="D492"/>
  <c r="D490"/>
  <c r="D488"/>
  <c r="D486"/>
  <c r="D484"/>
  <c r="D482"/>
  <c r="D480"/>
  <c r="D478"/>
  <c r="D476"/>
  <c r="D474"/>
  <c r="D472"/>
  <c r="D470"/>
  <c r="D468"/>
  <c r="D466"/>
  <c r="D464"/>
  <c r="D462"/>
  <c r="D460"/>
  <c r="D458"/>
  <c r="D456"/>
  <c r="D454"/>
  <c r="D452"/>
  <c r="D450"/>
  <c r="D448"/>
  <c r="D446"/>
  <c r="D444"/>
  <c r="D442"/>
  <c r="D440"/>
  <c r="D438"/>
  <c r="D436"/>
  <c r="D434"/>
  <c r="D432"/>
  <c r="D430"/>
  <c r="D428"/>
  <c r="D426"/>
  <c r="D424"/>
  <c r="D422"/>
  <c r="D420"/>
  <c r="D418"/>
  <c r="D416"/>
  <c r="D414"/>
  <c r="D412"/>
  <c r="D410"/>
  <c r="D408"/>
  <c r="D406"/>
  <c r="D404"/>
  <c r="D402"/>
  <c r="D400"/>
  <c r="D398"/>
  <c r="D396"/>
  <c r="D394"/>
  <c r="D392"/>
  <c r="D390"/>
  <c r="D388"/>
  <c r="D386"/>
  <c r="D384"/>
  <c r="D382"/>
  <c r="D380"/>
  <c r="D378"/>
  <c r="D376"/>
  <c r="D374"/>
  <c r="D372"/>
  <c r="D370"/>
  <c r="D368"/>
  <c r="D366"/>
  <c r="D364"/>
  <c r="D362"/>
  <c r="D360"/>
  <c r="D358"/>
  <c r="D356"/>
  <c r="D354"/>
  <c r="D352"/>
  <c r="D350"/>
  <c r="D348"/>
  <c r="D346"/>
  <c r="D344"/>
  <c r="D342"/>
  <c r="D340"/>
  <c r="D338"/>
  <c r="D336"/>
  <c r="D334"/>
  <c r="D332"/>
  <c r="D330"/>
  <c r="D328"/>
  <c r="D326"/>
  <c r="D324"/>
  <c r="D322"/>
  <c r="D320"/>
  <c r="D318"/>
  <c r="D316"/>
  <c r="D314"/>
  <c r="D312"/>
  <c r="D310"/>
  <c r="D308"/>
  <c r="D306"/>
  <c r="D304"/>
  <c r="D302"/>
  <c r="D300"/>
  <c r="D298"/>
  <c r="D296"/>
  <c r="D294"/>
  <c r="D292"/>
  <c r="D290"/>
  <c r="D288"/>
  <c r="D286"/>
  <c r="D284"/>
  <c r="D282"/>
  <c r="D280"/>
  <c r="D278"/>
  <c r="D276"/>
  <c r="D274"/>
  <c r="D272"/>
  <c r="D270"/>
  <c r="D268"/>
  <c r="D266"/>
  <c r="D264"/>
  <c r="D262"/>
  <c r="D260"/>
  <c r="D258"/>
  <c r="D256"/>
  <c r="D254"/>
  <c r="D252"/>
  <c r="D250"/>
  <c r="D248"/>
  <c r="D246"/>
  <c r="D244"/>
  <c r="D242"/>
  <c r="D240"/>
  <c r="D238"/>
  <c r="D236"/>
  <c r="D234"/>
  <c r="D232"/>
  <c r="D230"/>
  <c r="D228"/>
  <c r="D226"/>
  <c r="D224"/>
  <c r="D222"/>
  <c r="D220"/>
  <c r="D218"/>
  <c r="D216"/>
  <c r="D214"/>
  <c r="D212"/>
  <c r="D210"/>
  <c r="D208"/>
  <c r="D206"/>
  <c r="D204"/>
  <c r="D202"/>
  <c r="D200"/>
  <c r="D198"/>
  <c r="D196"/>
  <c r="D194"/>
  <c r="D192"/>
  <c r="D190"/>
  <c r="D188"/>
  <c r="D186"/>
  <c r="D184"/>
  <c r="D182"/>
  <c r="D180"/>
  <c r="D591"/>
  <c r="D583"/>
  <c r="D575"/>
  <c r="D567"/>
  <c r="D559"/>
  <c r="D551"/>
  <c r="D543"/>
  <c r="D535"/>
  <c r="D527"/>
  <c r="D519"/>
  <c r="D511"/>
  <c r="D503"/>
  <c r="D495"/>
  <c r="D487"/>
  <c r="D479"/>
  <c r="D471"/>
  <c r="D463"/>
  <c r="D455"/>
  <c r="D447"/>
  <c r="D439"/>
  <c r="D431"/>
  <c r="D423"/>
  <c r="D415"/>
  <c r="D407"/>
  <c r="D399"/>
  <c r="D391"/>
  <c r="D383"/>
  <c r="D375"/>
  <c r="D367"/>
  <c r="D359"/>
  <c r="D351"/>
  <c r="D343"/>
  <c r="D335"/>
  <c r="D327"/>
  <c r="D319"/>
  <c r="D311"/>
  <c r="D303"/>
  <c r="D295"/>
  <c r="D287"/>
  <c r="D279"/>
  <c r="D271"/>
  <c r="D263"/>
  <c r="D255"/>
  <c r="D247"/>
  <c r="D239"/>
  <c r="D231"/>
  <c r="D223"/>
  <c r="D215"/>
  <c r="D207"/>
  <c r="D199"/>
  <c r="D191"/>
  <c r="D183"/>
  <c r="D178"/>
  <c r="D176"/>
  <c r="D174"/>
  <c r="D172"/>
  <c r="D170"/>
  <c r="D168"/>
  <c r="D166"/>
  <c r="D164"/>
  <c r="D162"/>
  <c r="D160"/>
  <c r="D158"/>
  <c r="D156"/>
  <c r="D154"/>
  <c r="D152"/>
  <c r="D150"/>
  <c r="D148"/>
  <c r="D146"/>
  <c r="D144"/>
  <c r="D142"/>
  <c r="D140"/>
  <c r="D138"/>
  <c r="D136"/>
  <c r="D134"/>
  <c r="D132"/>
  <c r="D130"/>
  <c r="D128"/>
  <c r="D126"/>
  <c r="D124"/>
  <c r="D122"/>
  <c r="D120"/>
  <c r="D118"/>
  <c r="D116"/>
  <c r="D114"/>
  <c r="D112"/>
  <c r="D110"/>
  <c r="D108"/>
  <c r="D106"/>
  <c r="D104"/>
  <c r="D102"/>
  <c r="D100"/>
  <c r="D98"/>
  <c r="D96"/>
  <c r="D94"/>
  <c r="D92"/>
  <c r="D90"/>
  <c r="D88"/>
  <c r="D86"/>
  <c r="D84"/>
  <c r="D82"/>
  <c r="D80"/>
  <c r="D78"/>
  <c r="D76"/>
  <c r="D74"/>
  <c r="D72"/>
  <c r="D70"/>
  <c r="D68"/>
  <c r="D66"/>
  <c r="D64"/>
  <c r="D62"/>
  <c r="D60"/>
  <c r="D58"/>
  <c r="D56"/>
  <c r="D54"/>
  <c r="D52"/>
  <c r="D50"/>
  <c r="D48"/>
  <c r="D46"/>
  <c r="D44"/>
  <c r="D42"/>
  <c r="D40"/>
  <c r="D38"/>
  <c r="D36"/>
  <c r="D34"/>
  <c r="D32"/>
  <c r="D30"/>
  <c r="D28"/>
  <c r="D26"/>
  <c r="D24"/>
  <c r="D22"/>
  <c r="D20"/>
  <c r="D18"/>
  <c r="D16"/>
  <c r="D14"/>
  <c r="D12"/>
  <c r="D10"/>
  <c r="D8"/>
  <c r="D6"/>
  <c r="D4"/>
  <c r="D2"/>
  <c r="D593"/>
  <c r="D585"/>
  <c r="D577"/>
  <c r="D569"/>
  <c r="D561"/>
  <c r="D553"/>
  <c r="D545"/>
  <c r="D537"/>
  <c r="D529"/>
  <c r="D521"/>
  <c r="D513"/>
  <c r="D505"/>
  <c r="D497"/>
  <c r="D489"/>
  <c r="D481"/>
  <c r="D473"/>
  <c r="D465"/>
  <c r="D457"/>
  <c r="D449"/>
  <c r="D441"/>
  <c r="D433"/>
  <c r="D425"/>
  <c r="D417"/>
  <c r="D409"/>
  <c r="D401"/>
  <c r="D393"/>
  <c r="D385"/>
  <c r="D377"/>
  <c r="D369"/>
  <c r="D361"/>
  <c r="D353"/>
  <c r="D345"/>
  <c r="D337"/>
  <c r="D329"/>
  <c r="D321"/>
  <c r="D313"/>
  <c r="D305"/>
  <c r="D297"/>
  <c r="D289"/>
  <c r="D281"/>
  <c r="D273"/>
  <c r="D265"/>
  <c r="D257"/>
  <c r="D249"/>
  <c r="D241"/>
  <c r="D233"/>
  <c r="D225"/>
  <c r="D217"/>
  <c r="D209"/>
  <c r="D201"/>
  <c r="D193"/>
  <c r="D185"/>
  <c r="D595"/>
  <c r="D587"/>
  <c r="D579"/>
  <c r="D571"/>
  <c r="D563"/>
  <c r="D555"/>
  <c r="D547"/>
  <c r="D539"/>
  <c r="D531"/>
  <c r="D523"/>
  <c r="D515"/>
  <c r="D507"/>
  <c r="D499"/>
  <c r="D491"/>
  <c r="D483"/>
  <c r="D475"/>
  <c r="D467"/>
  <c r="D459"/>
  <c r="D451"/>
  <c r="D443"/>
  <c r="D435"/>
  <c r="D427"/>
  <c r="D419"/>
  <c r="D411"/>
  <c r="D403"/>
  <c r="D395"/>
  <c r="D387"/>
  <c r="D379"/>
  <c r="D371"/>
  <c r="D363"/>
  <c r="D355"/>
  <c r="D347"/>
  <c r="D339"/>
  <c r="D331"/>
  <c r="D323"/>
  <c r="D315"/>
  <c r="D307"/>
  <c r="D299"/>
  <c r="D291"/>
  <c r="D283"/>
  <c r="D275"/>
  <c r="D267"/>
  <c r="D259"/>
  <c r="D251"/>
  <c r="D243"/>
  <c r="D235"/>
  <c r="D227"/>
  <c r="D219"/>
  <c r="D211"/>
  <c r="D203"/>
  <c r="D195"/>
  <c r="D187"/>
  <c r="D179"/>
  <c r="D177"/>
  <c r="D175"/>
  <c r="D173"/>
  <c r="D171"/>
  <c r="D169"/>
  <c r="D167"/>
  <c r="D165"/>
  <c r="D163"/>
  <c r="D161"/>
  <c r="D159"/>
  <c r="D157"/>
  <c r="D155"/>
  <c r="D153"/>
  <c r="D151"/>
  <c r="D149"/>
  <c r="D147"/>
  <c r="D145"/>
  <c r="D143"/>
  <c r="D141"/>
  <c r="D139"/>
  <c r="D137"/>
  <c r="F66" i="23" s="1"/>
  <c r="G66" s="1"/>
  <c r="D135" i="20"/>
  <c r="D133"/>
  <c r="D131"/>
  <c r="D129"/>
  <c r="D127"/>
  <c r="D125"/>
  <c r="D123"/>
  <c r="D121"/>
  <c r="D119"/>
  <c r="D117"/>
  <c r="D115"/>
  <c r="D113"/>
  <c r="D111"/>
  <c r="D109"/>
  <c r="D107"/>
  <c r="D105"/>
  <c r="D103"/>
  <c r="D101"/>
  <c r="D99"/>
  <c r="D97"/>
  <c r="D95"/>
  <c r="D93"/>
  <c r="D91"/>
  <c r="D89"/>
  <c r="D87"/>
  <c r="D85"/>
  <c r="D83"/>
  <c r="D81"/>
  <c r="D79"/>
  <c r="D77"/>
  <c r="D75"/>
  <c r="D73"/>
  <c r="D71"/>
  <c r="D69"/>
  <c r="D67"/>
  <c r="D65"/>
  <c r="D63"/>
  <c r="D61"/>
  <c r="D59"/>
  <c r="D57"/>
  <c r="D55"/>
  <c r="D53"/>
  <c r="D51"/>
  <c r="D49"/>
  <c r="D47"/>
  <c r="D45"/>
  <c r="D43"/>
  <c r="D41"/>
  <c r="D39"/>
  <c r="D37"/>
  <c r="D35"/>
  <c r="D33"/>
  <c r="D31"/>
  <c r="D29"/>
  <c r="D27"/>
  <c r="D25"/>
  <c r="D23"/>
  <c r="D21"/>
  <c r="D19"/>
  <c r="D17"/>
  <c r="D15"/>
  <c r="D13"/>
  <c r="D11"/>
  <c r="D9"/>
  <c r="D7"/>
  <c r="D5"/>
  <c r="D3"/>
  <c r="D589"/>
  <c r="D581"/>
  <c r="D573"/>
  <c r="D565"/>
  <c r="D557"/>
  <c r="D549"/>
  <c r="D541"/>
  <c r="D533"/>
  <c r="D525"/>
  <c r="D517"/>
  <c r="D509"/>
  <c r="D501"/>
  <c r="D493"/>
  <c r="D485"/>
  <c r="D477"/>
  <c r="D469"/>
  <c r="D461"/>
  <c r="D453"/>
  <c r="D445"/>
  <c r="D437"/>
  <c r="D429"/>
  <c r="D421"/>
  <c r="D413"/>
  <c r="D405"/>
  <c r="D397"/>
  <c r="D389"/>
  <c r="D381"/>
  <c r="D373"/>
  <c r="D365"/>
  <c r="D357"/>
  <c r="D349"/>
  <c r="D341"/>
  <c r="D333"/>
  <c r="D325"/>
  <c r="D317"/>
  <c r="D309"/>
  <c r="D301"/>
  <c r="D293"/>
  <c r="D285"/>
  <c r="D277"/>
  <c r="D269"/>
  <c r="D261"/>
  <c r="D253"/>
  <c r="D245"/>
  <c r="D237"/>
  <c r="D229"/>
  <c r="D221"/>
  <c r="D213"/>
  <c r="D205"/>
  <c r="D197"/>
  <c r="D189"/>
  <c r="D181"/>
  <c r="E7509" i="8"/>
  <c r="E7507"/>
  <c r="E7505"/>
  <c r="E7503"/>
  <c r="E7501"/>
  <c r="E7499"/>
  <c r="E7497"/>
  <c r="E7495"/>
  <c r="E7493"/>
  <c r="E7491"/>
  <c r="E7489"/>
  <c r="E7487"/>
  <c r="E7485"/>
  <c r="E7483"/>
  <c r="E7481"/>
  <c r="E7479"/>
  <c r="E7477"/>
  <c r="E7475"/>
  <c r="E7473"/>
  <c r="E7471"/>
  <c r="E7469"/>
  <c r="E7467"/>
  <c r="E7465"/>
  <c r="E7463"/>
  <c r="E7461"/>
  <c r="E7459"/>
  <c r="E7457"/>
  <c r="E7455"/>
  <c r="E7453"/>
  <c r="E7451"/>
  <c r="E7449"/>
  <c r="E7447"/>
  <c r="E7445"/>
  <c r="E7443"/>
  <c r="E7441"/>
  <c r="E7439"/>
  <c r="E7437"/>
  <c r="E7435"/>
  <c r="E7433"/>
  <c r="E7431"/>
  <c r="E7429"/>
  <c r="E7427"/>
  <c r="E7425"/>
  <c r="E7423"/>
  <c r="E7421"/>
  <c r="E7419"/>
  <c r="E7417"/>
  <c r="E7415"/>
  <c r="E7413"/>
  <c r="E7411"/>
  <c r="E7409"/>
  <c r="E7407"/>
  <c r="E7405"/>
  <c r="E7403"/>
  <c r="E7401"/>
  <c r="E7399"/>
  <c r="E7397"/>
  <c r="E7395"/>
  <c r="E7393"/>
  <c r="E7391"/>
  <c r="E7389"/>
  <c r="E7387"/>
  <c r="E7385"/>
  <c r="E7383"/>
  <c r="E7381"/>
  <c r="E7379"/>
  <c r="E7377"/>
  <c r="E7375"/>
  <c r="E7373"/>
  <c r="E7371"/>
  <c r="E7369"/>
  <c r="E7367"/>
  <c r="E7365"/>
  <c r="E7363"/>
  <c r="E7361"/>
  <c r="E7359"/>
  <c r="E7357"/>
  <c r="E7355"/>
  <c r="E7353"/>
  <c r="E7351"/>
  <c r="E7349"/>
  <c r="E7347"/>
  <c r="E7345"/>
  <c r="E7343"/>
  <c r="E7341"/>
  <c r="E7339"/>
  <c r="E7337"/>
  <c r="E7335"/>
  <c r="E7333"/>
  <c r="E7331"/>
  <c r="E7329"/>
  <c r="E7327"/>
  <c r="E7325"/>
  <c r="E7323"/>
  <c r="E7321"/>
  <c r="E7319"/>
  <c r="E7317"/>
  <c r="E7315"/>
  <c r="E7313"/>
  <c r="E7311"/>
  <c r="E7309"/>
  <c r="E7307"/>
  <c r="E7305"/>
  <c r="E7303"/>
  <c r="E7301"/>
  <c r="E7299"/>
  <c r="E7297"/>
  <c r="E7295"/>
  <c r="E7293"/>
  <c r="E7291"/>
  <c r="E7289"/>
  <c r="E7287"/>
  <c r="E7285"/>
  <c r="E7283"/>
  <c r="E7281"/>
  <c r="E7279"/>
  <c r="E7277"/>
  <c r="E7275"/>
  <c r="E7273"/>
  <c r="E7271"/>
  <c r="E7269"/>
  <c r="E7267"/>
  <c r="E7265"/>
  <c r="E7263"/>
  <c r="E7261"/>
  <c r="E7259"/>
  <c r="E7257"/>
  <c r="E7255"/>
  <c r="E7253"/>
  <c r="E7251"/>
  <c r="E7249"/>
  <c r="E7247"/>
  <c r="E7245"/>
  <c r="E7243"/>
  <c r="E7241"/>
  <c r="E7239"/>
  <c r="E7237"/>
  <c r="E7235"/>
  <c r="E7233"/>
  <c r="E7231"/>
  <c r="E7229"/>
  <c r="E7227"/>
  <c r="E7225"/>
  <c r="E7223"/>
  <c r="E7221"/>
  <c r="E7219"/>
  <c r="E7217"/>
  <c r="E7215"/>
  <c r="E7213"/>
  <c r="E7211"/>
  <c r="E7209"/>
  <c r="E7207"/>
  <c r="E7205"/>
  <c r="E7203"/>
  <c r="E7201"/>
  <c r="E7199"/>
  <c r="E7197"/>
  <c r="E7195"/>
  <c r="E7193"/>
  <c r="E7191"/>
  <c r="E7189"/>
  <c r="E7187"/>
  <c r="E7185"/>
  <c r="E7183"/>
  <c r="E7181"/>
  <c r="E7179"/>
  <c r="E7177"/>
  <c r="E7175"/>
  <c r="E7173"/>
  <c r="E7171"/>
  <c r="E7169"/>
  <c r="E7167"/>
  <c r="E7165"/>
  <c r="E7163"/>
  <c r="E7161"/>
  <c r="E7159"/>
  <c r="E7157"/>
  <c r="E7155"/>
  <c r="E7153"/>
  <c r="E7151"/>
  <c r="E7149"/>
  <c r="E7147"/>
  <c r="E7145"/>
  <c r="F18" i="9" s="1"/>
  <c r="G18" s="1"/>
  <c r="E7143" i="8"/>
  <c r="E7141"/>
  <c r="E7139"/>
  <c r="E7137"/>
  <c r="E7135"/>
  <c r="E7133"/>
  <c r="E7131"/>
  <c r="E7129"/>
  <c r="E7127"/>
  <c r="E7125"/>
  <c r="E7123"/>
  <c r="E7121"/>
  <c r="E7119"/>
  <c r="E7117"/>
  <c r="E7115"/>
  <c r="E7113"/>
  <c r="E7111"/>
  <c r="E7109"/>
  <c r="E7107"/>
  <c r="E7105"/>
  <c r="E7103"/>
  <c r="E7101"/>
  <c r="E7099"/>
  <c r="E7097"/>
  <c r="E7095"/>
  <c r="E7093"/>
  <c r="E7091"/>
  <c r="E7089"/>
  <c r="E7087"/>
  <c r="E7085"/>
  <c r="E7083"/>
  <c r="E7081"/>
  <c r="E7079"/>
  <c r="E7077"/>
  <c r="F36" i="24" s="1"/>
  <c r="G36" s="1"/>
  <c r="E7075" i="8"/>
  <c r="E7073"/>
  <c r="E7071"/>
  <c r="E7069"/>
  <c r="E7067"/>
  <c r="E7065"/>
  <c r="E7063"/>
  <c r="E7061"/>
  <c r="E7059"/>
  <c r="E7057"/>
  <c r="E7055"/>
  <c r="E7053"/>
  <c r="E7051"/>
  <c r="E7049"/>
  <c r="E7047"/>
  <c r="E7045"/>
  <c r="E7043"/>
  <c r="E7041"/>
  <c r="E7039"/>
  <c r="E7037"/>
  <c r="E7035"/>
  <c r="E7033"/>
  <c r="E7031"/>
  <c r="E7029"/>
  <c r="E7027"/>
  <c r="E7025"/>
  <c r="E7023"/>
  <c r="E7021"/>
  <c r="E7019"/>
  <c r="E7017"/>
  <c r="E7015"/>
  <c r="E7013"/>
  <c r="E7011"/>
  <c r="E7009"/>
  <c r="E7007"/>
  <c r="E7005"/>
  <c r="E7003"/>
  <c r="E7001"/>
  <c r="E6999"/>
  <c r="E6997"/>
  <c r="E6995"/>
  <c r="E6993"/>
  <c r="E6991"/>
  <c r="E6989"/>
  <c r="E6987"/>
  <c r="E6985"/>
  <c r="E6983"/>
  <c r="E6981"/>
  <c r="E6979"/>
  <c r="E6977"/>
  <c r="E6975"/>
  <c r="E6973"/>
  <c r="E6971"/>
  <c r="E6969"/>
  <c r="E6967"/>
  <c r="E6965"/>
  <c r="E6963"/>
  <c r="E6961"/>
  <c r="E6959"/>
  <c r="E6957"/>
  <c r="E6955"/>
  <c r="E6953"/>
  <c r="E6951"/>
  <c r="E6949"/>
  <c r="E6947"/>
  <c r="E6945"/>
  <c r="E6943"/>
  <c r="E6941"/>
  <c r="E6939"/>
  <c r="E6937"/>
  <c r="E6935"/>
  <c r="E6933"/>
  <c r="E6931"/>
  <c r="K63" i="7" s="1"/>
  <c r="E6929" i="8"/>
  <c r="E6927"/>
  <c r="E6925"/>
  <c r="E6923"/>
  <c r="E6921"/>
  <c r="E6919"/>
  <c r="E6917"/>
  <c r="E6915"/>
  <c r="E6913"/>
  <c r="E6911"/>
  <c r="E6909"/>
  <c r="E6907"/>
  <c r="E6905"/>
  <c r="E6903"/>
  <c r="E6901"/>
  <c r="E6899"/>
  <c r="E6897"/>
  <c r="E6895"/>
  <c r="E6893"/>
  <c r="E6891"/>
  <c r="E6889"/>
  <c r="E6887"/>
  <c r="E6885"/>
  <c r="E6883"/>
  <c r="E6881"/>
  <c r="E6879"/>
  <c r="E6877"/>
  <c r="E6875"/>
  <c r="E6873"/>
  <c r="E6871"/>
  <c r="E6869"/>
  <c r="E6867"/>
  <c r="E6865"/>
  <c r="K33" i="7" s="1"/>
  <c r="E6863" i="8"/>
  <c r="E6861"/>
  <c r="E6859"/>
  <c r="E6857"/>
  <c r="E6855"/>
  <c r="E6853"/>
  <c r="E6851"/>
  <c r="E6849"/>
  <c r="E6847"/>
  <c r="E6845"/>
  <c r="E6843"/>
  <c r="E6841"/>
  <c r="E6839"/>
  <c r="E6837"/>
  <c r="E6835"/>
  <c r="E6833"/>
  <c r="E6831"/>
  <c r="E6829"/>
  <c r="E6827"/>
  <c r="E6825"/>
  <c r="E6823"/>
  <c r="E6821"/>
  <c r="E6819"/>
  <c r="E6817"/>
  <c r="E6815"/>
  <c r="E6813"/>
  <c r="E6811"/>
  <c r="E6809"/>
  <c r="E6807"/>
  <c r="E6805"/>
  <c r="E6803"/>
  <c r="E6801"/>
  <c r="E6799"/>
  <c r="E6797"/>
  <c r="E6795"/>
  <c r="E6793"/>
  <c r="E6791"/>
  <c r="E6789"/>
  <c r="E6787"/>
  <c r="E6785"/>
  <c r="E6783"/>
  <c r="E6781"/>
  <c r="E6779"/>
  <c r="E6777"/>
  <c r="E6775"/>
  <c r="E6773"/>
  <c r="E6771"/>
  <c r="E6769"/>
  <c r="E6767"/>
  <c r="E6765"/>
  <c r="E6763"/>
  <c r="E6761"/>
  <c r="E6759"/>
  <c r="E6757"/>
  <c r="E6755"/>
  <c r="E6753"/>
  <c r="E6751"/>
  <c r="E6749"/>
  <c r="E6747"/>
  <c r="E6745"/>
  <c r="E6743"/>
  <c r="E6741"/>
  <c r="E6739"/>
  <c r="E6737"/>
  <c r="E6735"/>
  <c r="E6733"/>
  <c r="E6731"/>
  <c r="E6729"/>
  <c r="E6727"/>
  <c r="E6725"/>
  <c r="E6723"/>
  <c r="E6721"/>
  <c r="E6719"/>
  <c r="E6717"/>
  <c r="E6715"/>
  <c r="E6713"/>
  <c r="E6711"/>
  <c r="E6709"/>
  <c r="E6707"/>
  <c r="E6705"/>
  <c r="E6703"/>
  <c r="E6701"/>
  <c r="E6699"/>
  <c r="E6697"/>
  <c r="E6695"/>
  <c r="E6693"/>
  <c r="E6691"/>
  <c r="E6689"/>
  <c r="E6687"/>
  <c r="E6685"/>
  <c r="E6683"/>
  <c r="E6681"/>
  <c r="E6679"/>
  <c r="E6677"/>
  <c r="E6675"/>
  <c r="E6673"/>
  <c r="E6671"/>
  <c r="E6669"/>
  <c r="E6667"/>
  <c r="E6665"/>
  <c r="E6663"/>
  <c r="E6661"/>
  <c r="E6659"/>
  <c r="E6657"/>
  <c r="E6655"/>
  <c r="E6653"/>
  <c r="E6651"/>
  <c r="E6649"/>
  <c r="E6647"/>
  <c r="E6645"/>
  <c r="E6643"/>
  <c r="E6641"/>
  <c r="E6639"/>
  <c r="E6637"/>
  <c r="E6635"/>
  <c r="E6633"/>
  <c r="E6631"/>
  <c r="E6629"/>
  <c r="E6627"/>
  <c r="E6625"/>
  <c r="E6623"/>
  <c r="E6621"/>
  <c r="E6619"/>
  <c r="E6617"/>
  <c r="E6615"/>
  <c r="E6613"/>
  <c r="E6611"/>
  <c r="E6609"/>
  <c r="E6607"/>
  <c r="E6605"/>
  <c r="E6603"/>
  <c r="E6601"/>
  <c r="E6599"/>
  <c r="E6597"/>
  <c r="E6595"/>
  <c r="E6593"/>
  <c r="E6591"/>
  <c r="E6589"/>
  <c r="E6587"/>
  <c r="E6585"/>
  <c r="E6583"/>
  <c r="E6581"/>
  <c r="E6579"/>
  <c r="E6577"/>
  <c r="E6575"/>
  <c r="E6573"/>
  <c r="E6571"/>
  <c r="E6569"/>
  <c r="E6567"/>
  <c r="E6565"/>
  <c r="E6563"/>
  <c r="E6561"/>
  <c r="E6559"/>
  <c r="E6557"/>
  <c r="E6555"/>
  <c r="E6553"/>
  <c r="E6551"/>
  <c r="E6549"/>
  <c r="E6547"/>
  <c r="E6545"/>
  <c r="E6543"/>
  <c r="E6541"/>
  <c r="E6539"/>
  <c r="E6537"/>
  <c r="E6535"/>
  <c r="E6533"/>
  <c r="E6531"/>
  <c r="E6529"/>
  <c r="E6527"/>
  <c r="E6525"/>
  <c r="E6523"/>
  <c r="E6521"/>
  <c r="E6519"/>
  <c r="E6517"/>
  <c r="E6515"/>
  <c r="E6513"/>
  <c r="E6511"/>
  <c r="E6509"/>
  <c r="E6507"/>
  <c r="E6505"/>
  <c r="E6503"/>
  <c r="E6501"/>
  <c r="E6499"/>
  <c r="E6497"/>
  <c r="E6495"/>
  <c r="E6493"/>
  <c r="E6491"/>
  <c r="E6489"/>
  <c r="E6487"/>
  <c r="E6485"/>
  <c r="E6483"/>
  <c r="E6481"/>
  <c r="E6479"/>
  <c r="E6477"/>
  <c r="E6475"/>
  <c r="E6473"/>
  <c r="E6471"/>
  <c r="E6469"/>
  <c r="E6467"/>
  <c r="E6465"/>
  <c r="E6463"/>
  <c r="E6461"/>
  <c r="E6459"/>
  <c r="E6457"/>
  <c r="E6455"/>
  <c r="E6453"/>
  <c r="E6451"/>
  <c r="E6449"/>
  <c r="E6447"/>
  <c r="E6445"/>
  <c r="E6443"/>
  <c r="E6441"/>
  <c r="E6439"/>
  <c r="E6437"/>
  <c r="E6435"/>
  <c r="E6433"/>
  <c r="E6431"/>
  <c r="E6429"/>
  <c r="E7510"/>
  <c r="E7508"/>
  <c r="E7506"/>
  <c r="E7504"/>
  <c r="E7502"/>
  <c r="E7500"/>
  <c r="E7498"/>
  <c r="E7496"/>
  <c r="E7494"/>
  <c r="E7492"/>
  <c r="E7490"/>
  <c r="E7488"/>
  <c r="E7486"/>
  <c r="E7484"/>
  <c r="E7482"/>
  <c r="E7480"/>
  <c r="E7478"/>
  <c r="E7476"/>
  <c r="E7474"/>
  <c r="E7472"/>
  <c r="E7470"/>
  <c r="E7468"/>
  <c r="E7466"/>
  <c r="E7464"/>
  <c r="E7462"/>
  <c r="E7460"/>
  <c r="E7458"/>
  <c r="E7456"/>
  <c r="E7454"/>
  <c r="E7452"/>
  <c r="E7450"/>
  <c r="E7448"/>
  <c r="E7446"/>
  <c r="E7444"/>
  <c r="E7442"/>
  <c r="E7440"/>
  <c r="E7438"/>
  <c r="E7436"/>
  <c r="E7434"/>
  <c r="E7432"/>
  <c r="E7430"/>
  <c r="E7428"/>
  <c r="E7426"/>
  <c r="E7424"/>
  <c r="E7422"/>
  <c r="E7420"/>
  <c r="E7418"/>
  <c r="E7416"/>
  <c r="E7414"/>
  <c r="E7412"/>
  <c r="E7410"/>
  <c r="E7408"/>
  <c r="E7406"/>
  <c r="E7404"/>
  <c r="E7402"/>
  <c r="E7400"/>
  <c r="E7398"/>
  <c r="E7396"/>
  <c r="E7394"/>
  <c r="E7392"/>
  <c r="E7390"/>
  <c r="E7388"/>
  <c r="E7386"/>
  <c r="E7384"/>
  <c r="E7382"/>
  <c r="E7380"/>
  <c r="E7378"/>
  <c r="E7376"/>
  <c r="E7374"/>
  <c r="E7372"/>
  <c r="E7370"/>
  <c r="E7368"/>
  <c r="E7366"/>
  <c r="E7364"/>
  <c r="E7362"/>
  <c r="E7360"/>
  <c r="E7358"/>
  <c r="E7356"/>
  <c r="E7354"/>
  <c r="E7352"/>
  <c r="E7350"/>
  <c r="E7348"/>
  <c r="E7346"/>
  <c r="E7344"/>
  <c r="E7342"/>
  <c r="E7340"/>
  <c r="E7338"/>
  <c r="E7336"/>
  <c r="E7334"/>
  <c r="E7332"/>
  <c r="E7330"/>
  <c r="E7328"/>
  <c r="E7326"/>
  <c r="E7324"/>
  <c r="E7322"/>
  <c r="E7320"/>
  <c r="E7318"/>
  <c r="E7316"/>
  <c r="E7314"/>
  <c r="E7312"/>
  <c r="E7310"/>
  <c r="E7308"/>
  <c r="E7306"/>
  <c r="E7304"/>
  <c r="E7302"/>
  <c r="E7300"/>
  <c r="E7298"/>
  <c r="E7296"/>
  <c r="E7294"/>
  <c r="E7292"/>
  <c r="E7290"/>
  <c r="E7288"/>
  <c r="E7286"/>
  <c r="E7284"/>
  <c r="E7282"/>
  <c r="E7280"/>
  <c r="E7278"/>
  <c r="E7276"/>
  <c r="E7274"/>
  <c r="E7272"/>
  <c r="E7270"/>
  <c r="E7268"/>
  <c r="E7266"/>
  <c r="E7264"/>
  <c r="E7262"/>
  <c r="E7260"/>
  <c r="E7258"/>
  <c r="E7256"/>
  <c r="E7254"/>
  <c r="E7252"/>
  <c r="E7250"/>
  <c r="E7248"/>
  <c r="E7246"/>
  <c r="E7244"/>
  <c r="E7242"/>
  <c r="E7240"/>
  <c r="E7238"/>
  <c r="E7236"/>
  <c r="E7234"/>
  <c r="E7232"/>
  <c r="E7230"/>
  <c r="E7228"/>
  <c r="E7226"/>
  <c r="E7224"/>
  <c r="E7222"/>
  <c r="E7220"/>
  <c r="E7218"/>
  <c r="E7216"/>
  <c r="E7214"/>
  <c r="E7212"/>
  <c r="E7210"/>
  <c r="E7208"/>
  <c r="E7206"/>
  <c r="E7204"/>
  <c r="E7202"/>
  <c r="E7200"/>
  <c r="E7198"/>
  <c r="E7196"/>
  <c r="E7194"/>
  <c r="E7192"/>
  <c r="E7190"/>
  <c r="E7188"/>
  <c r="E7186"/>
  <c r="E7184"/>
  <c r="E7182"/>
  <c r="E7180"/>
  <c r="E7178"/>
  <c r="E7176"/>
  <c r="E7174"/>
  <c r="E7172"/>
  <c r="E7170"/>
  <c r="E7168"/>
  <c r="E7166"/>
  <c r="E7164"/>
  <c r="E7162"/>
  <c r="E7160"/>
  <c r="E7158"/>
  <c r="E7156"/>
  <c r="E7154"/>
  <c r="E7152"/>
  <c r="E7150"/>
  <c r="E7148"/>
  <c r="E7146"/>
  <c r="E7144"/>
  <c r="E7142"/>
  <c r="E7140"/>
  <c r="E7138"/>
  <c r="E7136"/>
  <c r="E7134"/>
  <c r="E7132"/>
  <c r="E7130"/>
  <c r="E7128"/>
  <c r="E7126"/>
  <c r="E7124"/>
  <c r="E7122"/>
  <c r="E7120"/>
  <c r="E7118"/>
  <c r="E7116"/>
  <c r="E7114"/>
  <c r="E7112"/>
  <c r="E7110"/>
  <c r="E7108"/>
  <c r="E7106"/>
  <c r="E7104"/>
  <c r="E7102"/>
  <c r="E7100"/>
  <c r="E7098"/>
  <c r="E7096"/>
  <c r="E7094"/>
  <c r="E7092"/>
  <c r="E7090"/>
  <c r="E7088"/>
  <c r="E7086"/>
  <c r="E7084"/>
  <c r="E7082"/>
  <c r="E7080"/>
  <c r="E7078"/>
  <c r="E7076"/>
  <c r="E7074"/>
  <c r="E7072"/>
  <c r="E7070"/>
  <c r="E7068"/>
  <c r="E7066"/>
  <c r="E7064"/>
  <c r="E7062"/>
  <c r="E7060"/>
  <c r="E7058"/>
  <c r="E7056"/>
  <c r="E7054"/>
  <c r="E7052"/>
  <c r="E7050"/>
  <c r="E7048"/>
  <c r="E7046"/>
  <c r="E7044"/>
  <c r="E7042"/>
  <c r="E7040"/>
  <c r="E7038"/>
  <c r="E7036"/>
  <c r="E7034"/>
  <c r="E7032"/>
  <c r="E7030"/>
  <c r="E7028"/>
  <c r="E7026"/>
  <c r="E7024"/>
  <c r="E7022"/>
  <c r="E7020"/>
  <c r="E7018"/>
  <c r="E7016"/>
  <c r="E7014"/>
  <c r="E7012"/>
  <c r="E7010"/>
  <c r="E7008"/>
  <c r="E7006"/>
  <c r="E7004"/>
  <c r="E7002"/>
  <c r="E7000"/>
  <c r="E6998"/>
  <c r="E6996"/>
  <c r="E6994"/>
  <c r="E6992"/>
  <c r="E6990"/>
  <c r="E6988"/>
  <c r="E6986"/>
  <c r="E6984"/>
  <c r="E6982"/>
  <c r="E6980"/>
  <c r="E6978"/>
  <c r="E6976"/>
  <c r="E6974"/>
  <c r="E6972"/>
  <c r="E6970"/>
  <c r="E6968"/>
  <c r="E6966"/>
  <c r="E6964"/>
  <c r="E6962"/>
  <c r="E6960"/>
  <c r="E6958"/>
  <c r="E6956"/>
  <c r="E6954"/>
  <c r="E6952"/>
  <c r="E6950"/>
  <c r="E6948"/>
  <c r="E6946"/>
  <c r="E6944"/>
  <c r="E6942"/>
  <c r="E6940"/>
  <c r="E6938"/>
  <c r="E6936"/>
  <c r="E6934"/>
  <c r="E6932"/>
  <c r="E6930"/>
  <c r="E6928"/>
  <c r="E6926"/>
  <c r="E6924"/>
  <c r="E6922"/>
  <c r="E6920"/>
  <c r="E6918"/>
  <c r="E6916"/>
  <c r="E6914"/>
  <c r="E6912"/>
  <c r="E6910"/>
  <c r="E6908"/>
  <c r="E6906"/>
  <c r="E6904"/>
  <c r="E6902"/>
  <c r="E6900"/>
  <c r="E6898"/>
  <c r="E6896"/>
  <c r="E6894"/>
  <c r="E6892"/>
  <c r="E6890"/>
  <c r="E6888"/>
  <c r="E6886"/>
  <c r="E6884"/>
  <c r="E6882"/>
  <c r="E6880"/>
  <c r="E6878"/>
  <c r="E6876"/>
  <c r="E6874"/>
  <c r="E6872"/>
  <c r="K61" i="7" s="1"/>
  <c r="E6870" i="8"/>
  <c r="E6868"/>
  <c r="E6866"/>
  <c r="E6864"/>
  <c r="E6862"/>
  <c r="E6860"/>
  <c r="E6858"/>
  <c r="E6856"/>
  <c r="E6854"/>
  <c r="E6852"/>
  <c r="E6850"/>
  <c r="E6848"/>
  <c r="E6846"/>
  <c r="E6844"/>
  <c r="E6842"/>
  <c r="E6840"/>
  <c r="E6838"/>
  <c r="E6836"/>
  <c r="E6834"/>
  <c r="E6832"/>
  <c r="E6830"/>
  <c r="E6828"/>
  <c r="E6826"/>
  <c r="E6824"/>
  <c r="E6822"/>
  <c r="E6820"/>
  <c r="E6818"/>
  <c r="E6816"/>
  <c r="E6814"/>
  <c r="E6812"/>
  <c r="E6810"/>
  <c r="E6808"/>
  <c r="E6806"/>
  <c r="E6804"/>
  <c r="E6802"/>
  <c r="E6800"/>
  <c r="E6798"/>
  <c r="E6796"/>
  <c r="E6794"/>
  <c r="E6792"/>
  <c r="E6790"/>
  <c r="E6788"/>
  <c r="E6786"/>
  <c r="E6784"/>
  <c r="E6782"/>
  <c r="E6780"/>
  <c r="E6778"/>
  <c r="E6776"/>
  <c r="E6774"/>
  <c r="E6772"/>
  <c r="E6770"/>
  <c r="E6768"/>
  <c r="E6766"/>
  <c r="E6764"/>
  <c r="E6762"/>
  <c r="E6760"/>
  <c r="E6758"/>
  <c r="E6756"/>
  <c r="E6754"/>
  <c r="E6752"/>
  <c r="E6750"/>
  <c r="E6748"/>
  <c r="E6746"/>
  <c r="E6744"/>
  <c r="E6742"/>
  <c r="E6740"/>
  <c r="E6738"/>
  <c r="E6736"/>
  <c r="E6734"/>
  <c r="E6732"/>
  <c r="E6730"/>
  <c r="E6728"/>
  <c r="E6726"/>
  <c r="E6724"/>
  <c r="E6722"/>
  <c r="E6720"/>
  <c r="E6718"/>
  <c r="E6716"/>
  <c r="E6714"/>
  <c r="E6712"/>
  <c r="E6710"/>
  <c r="E6708"/>
  <c r="E6706"/>
  <c r="E6704"/>
  <c r="E6702"/>
  <c r="E6700"/>
  <c r="E6698"/>
  <c r="E6696"/>
  <c r="E6694"/>
  <c r="E6692"/>
  <c r="E6690"/>
  <c r="E6688"/>
  <c r="E6686"/>
  <c r="E6684"/>
  <c r="E6682"/>
  <c r="E6680"/>
  <c r="E6678"/>
  <c r="E6676"/>
  <c r="E6674"/>
  <c r="E6672"/>
  <c r="E6670"/>
  <c r="E6668"/>
  <c r="E6666"/>
  <c r="E6664"/>
  <c r="E6662"/>
  <c r="E6660"/>
  <c r="E6658"/>
  <c r="E6656"/>
  <c r="E6654"/>
  <c r="E6652"/>
  <c r="E6650"/>
  <c r="E6648"/>
  <c r="E6646"/>
  <c r="E6644"/>
  <c r="E6642"/>
  <c r="E6640"/>
  <c r="E6638"/>
  <c r="E6636"/>
  <c r="E6634"/>
  <c r="E6632"/>
  <c r="E6630"/>
  <c r="E6628"/>
  <c r="E6626"/>
  <c r="E6624"/>
  <c r="E6622"/>
  <c r="E6620"/>
  <c r="E6618"/>
  <c r="E6616"/>
  <c r="E6614"/>
  <c r="E6612"/>
  <c r="E6610"/>
  <c r="E6608"/>
  <c r="E6606"/>
  <c r="E6604"/>
  <c r="E6602"/>
  <c r="E6600"/>
  <c r="E6598"/>
  <c r="E6596"/>
  <c r="E6594"/>
  <c r="E6592"/>
  <c r="E6590"/>
  <c r="E6588"/>
  <c r="E6586"/>
  <c r="E6584"/>
  <c r="E6582"/>
  <c r="E6580"/>
  <c r="E6578"/>
  <c r="E6576"/>
  <c r="E6574"/>
  <c r="E6572"/>
  <c r="E6570"/>
  <c r="E6568"/>
  <c r="E6566"/>
  <c r="E6564"/>
  <c r="E6562"/>
  <c r="E6560"/>
  <c r="E6558"/>
  <c r="E6556"/>
  <c r="E6554"/>
  <c r="E6552"/>
  <c r="E6550"/>
  <c r="E6548"/>
  <c r="E6546"/>
  <c r="E6544"/>
  <c r="E6542"/>
  <c r="E6540"/>
  <c r="E6538"/>
  <c r="E6536"/>
  <c r="E6534"/>
  <c r="E6532"/>
  <c r="E6530"/>
  <c r="E6528"/>
  <c r="E6526"/>
  <c r="E6524"/>
  <c r="E6522"/>
  <c r="E6520"/>
  <c r="E6518"/>
  <c r="E6516"/>
  <c r="E6514"/>
  <c r="E6512"/>
  <c r="E6510"/>
  <c r="E6508"/>
  <c r="E6506"/>
  <c r="E6504"/>
  <c r="E6502"/>
  <c r="E6500"/>
  <c r="E6498"/>
  <c r="E6496"/>
  <c r="E6494"/>
  <c r="E6492"/>
  <c r="E6490"/>
  <c r="E6488"/>
  <c r="E6486"/>
  <c r="E6484"/>
  <c r="E6482"/>
  <c r="E6476"/>
  <c r="E6468"/>
  <c r="E6460"/>
  <c r="E6452"/>
  <c r="E6444"/>
  <c r="E6436"/>
  <c r="E6428"/>
  <c r="E6426"/>
  <c r="E6424"/>
  <c r="E6422"/>
  <c r="E6420"/>
  <c r="E6418"/>
  <c r="E6416"/>
  <c r="E6414"/>
  <c r="E6412"/>
  <c r="E6410"/>
  <c r="E6408"/>
  <c r="E6406"/>
  <c r="E6404"/>
  <c r="E6402"/>
  <c r="E6400"/>
  <c r="E6398"/>
  <c r="E6396"/>
  <c r="E6394"/>
  <c r="E6392"/>
  <c r="E6390"/>
  <c r="E6388"/>
  <c r="E6386"/>
  <c r="E6384"/>
  <c r="E6382"/>
  <c r="E6380"/>
  <c r="E6378"/>
  <c r="E6376"/>
  <c r="E6374"/>
  <c r="E6372"/>
  <c r="E6370"/>
  <c r="E6368"/>
  <c r="E6366"/>
  <c r="E6364"/>
  <c r="E6362"/>
  <c r="E6360"/>
  <c r="E6358"/>
  <c r="E6356"/>
  <c r="E6354"/>
  <c r="E6352"/>
  <c r="E6350"/>
  <c r="E6348"/>
  <c r="E6346"/>
  <c r="E6344"/>
  <c r="E6342"/>
  <c r="E6340"/>
  <c r="E6338"/>
  <c r="E6336"/>
  <c r="E6334"/>
  <c r="E6332"/>
  <c r="E6330"/>
  <c r="E6328"/>
  <c r="E6326"/>
  <c r="E6324"/>
  <c r="E6322"/>
  <c r="E6320"/>
  <c r="E6318"/>
  <c r="E6316"/>
  <c r="E6314"/>
  <c r="E6312"/>
  <c r="E6310"/>
  <c r="E6308"/>
  <c r="E6306"/>
  <c r="E6304"/>
  <c r="E6302"/>
  <c r="E6300"/>
  <c r="E6298"/>
  <c r="E6296"/>
  <c r="E6294"/>
  <c r="E6292"/>
  <c r="E6290"/>
  <c r="E6288"/>
  <c r="E6286"/>
  <c r="E6284"/>
  <c r="E6282"/>
  <c r="E6280"/>
  <c r="E6278"/>
  <c r="E6276"/>
  <c r="E6274"/>
  <c r="E6272"/>
  <c r="E6270"/>
  <c r="E6268"/>
  <c r="E6266"/>
  <c r="E6264"/>
  <c r="E6262"/>
  <c r="E6260"/>
  <c r="E6258"/>
  <c r="E6256"/>
  <c r="E6254"/>
  <c r="E6252"/>
  <c r="E6250"/>
  <c r="E6248"/>
  <c r="E6246"/>
  <c r="E6244"/>
  <c r="E6242"/>
  <c r="E6240"/>
  <c r="E6238"/>
  <c r="E6236"/>
  <c r="E6234"/>
  <c r="E6232"/>
  <c r="E6230"/>
  <c r="E6228"/>
  <c r="E6226"/>
  <c r="E6224"/>
  <c r="E6222"/>
  <c r="E6220"/>
  <c r="E6218"/>
  <c r="E6216"/>
  <c r="E6214"/>
  <c r="E6212"/>
  <c r="E6210"/>
  <c r="E6208"/>
  <c r="E6206"/>
  <c r="E6204"/>
  <c r="E6202"/>
  <c r="E6200"/>
  <c r="E6198"/>
  <c r="E6196"/>
  <c r="E6194"/>
  <c r="E6192"/>
  <c r="E6190"/>
  <c r="E6188"/>
  <c r="E6186"/>
  <c r="E6184"/>
  <c r="E6182"/>
  <c r="E6180"/>
  <c r="E6178"/>
  <c r="E6176"/>
  <c r="E6174"/>
  <c r="E6172"/>
  <c r="E6170"/>
  <c r="E6168"/>
  <c r="E6166"/>
  <c r="E6164"/>
  <c r="E6162"/>
  <c r="E6160"/>
  <c r="E6158"/>
  <c r="E6156"/>
  <c r="E6154"/>
  <c r="E6152"/>
  <c r="E6150"/>
  <c r="E6148"/>
  <c r="E6146"/>
  <c r="E6144"/>
  <c r="E6142"/>
  <c r="E6140"/>
  <c r="E6138"/>
  <c r="E6136"/>
  <c r="E6134"/>
  <c r="E6132"/>
  <c r="E6130"/>
  <c r="E6128"/>
  <c r="E6126"/>
  <c r="E6124"/>
  <c r="E6122"/>
  <c r="E6120"/>
  <c r="E6118"/>
  <c r="E6116"/>
  <c r="E6114"/>
  <c r="E6112"/>
  <c r="E6110"/>
  <c r="E6108"/>
  <c r="E6106"/>
  <c r="E6104"/>
  <c r="E6102"/>
  <c r="E6100"/>
  <c r="E6098"/>
  <c r="E6096"/>
  <c r="E6094"/>
  <c r="E6092"/>
  <c r="E6090"/>
  <c r="E6088"/>
  <c r="E6086"/>
  <c r="E6084"/>
  <c r="E6082"/>
  <c r="E6080"/>
  <c r="E6078"/>
  <c r="E6076"/>
  <c r="E6074"/>
  <c r="E6072"/>
  <c r="E6070"/>
  <c r="E6068"/>
  <c r="E6066"/>
  <c r="E6064"/>
  <c r="E6062"/>
  <c r="E6060"/>
  <c r="E6058"/>
  <c r="E6056"/>
  <c r="E6054"/>
  <c r="E6052"/>
  <c r="E6050"/>
  <c r="E6048"/>
  <c r="E6046"/>
  <c r="E6044"/>
  <c r="E6042"/>
  <c r="E6040"/>
  <c r="E6038"/>
  <c r="E6036"/>
  <c r="E6034"/>
  <c r="E6032"/>
  <c r="E6030"/>
  <c r="E6028"/>
  <c r="E6026"/>
  <c r="E6024"/>
  <c r="E6022"/>
  <c r="E6020"/>
  <c r="E6018"/>
  <c r="E6016"/>
  <c r="E6014"/>
  <c r="E6012"/>
  <c r="E6010"/>
  <c r="E6008"/>
  <c r="E6006"/>
  <c r="E6004"/>
  <c r="E6002"/>
  <c r="E6000"/>
  <c r="E5998"/>
  <c r="E5996"/>
  <c r="E5994"/>
  <c r="E5992"/>
  <c r="E5990"/>
  <c r="E5988"/>
  <c r="E5986"/>
  <c r="E5984"/>
  <c r="E5982"/>
  <c r="E5980"/>
  <c r="E5978"/>
  <c r="E5976"/>
  <c r="E5974"/>
  <c r="E5972"/>
  <c r="E5970"/>
  <c r="E5968"/>
  <c r="E5966"/>
  <c r="E5964"/>
  <c r="E5962"/>
  <c r="E5960"/>
  <c r="E5958"/>
  <c r="E5956"/>
  <c r="E5954"/>
  <c r="E5952"/>
  <c r="E5950"/>
  <c r="E5948"/>
  <c r="E5946"/>
  <c r="E5944"/>
  <c r="E5942"/>
  <c r="E5940"/>
  <c r="E5938"/>
  <c r="E5936"/>
  <c r="E5934"/>
  <c r="E5932"/>
  <c r="E5930"/>
  <c r="E5928"/>
  <c r="E5926"/>
  <c r="E5924"/>
  <c r="E5922"/>
  <c r="E5920"/>
  <c r="E5918"/>
  <c r="E5916"/>
  <c r="E5914"/>
  <c r="E5912"/>
  <c r="E5910"/>
  <c r="E5908"/>
  <c r="E5906"/>
  <c r="E5904"/>
  <c r="E5902"/>
  <c r="E5900"/>
  <c r="E5898"/>
  <c r="E5896"/>
  <c r="E5894"/>
  <c r="E5892"/>
  <c r="E5890"/>
  <c r="E5888"/>
  <c r="E5886"/>
  <c r="E5884"/>
  <c r="E5882"/>
  <c r="E5880"/>
  <c r="E5878"/>
  <c r="E5876"/>
  <c r="E5874"/>
  <c r="E5872"/>
  <c r="E5870"/>
  <c r="E5868"/>
  <c r="E5866"/>
  <c r="E5864"/>
  <c r="E5862"/>
  <c r="E5860"/>
  <c r="E5858"/>
  <c r="E5856"/>
  <c r="E5854"/>
  <c r="E5852"/>
  <c r="E5850"/>
  <c r="E5848"/>
  <c r="E5846"/>
  <c r="E5844"/>
  <c r="E5842"/>
  <c r="E5840"/>
  <c r="E5838"/>
  <c r="E5836"/>
  <c r="E5834"/>
  <c r="E5832"/>
  <c r="E5830"/>
  <c r="E5828"/>
  <c r="E5826"/>
  <c r="E5824"/>
  <c r="E5822"/>
  <c r="E5820"/>
  <c r="E5818"/>
  <c r="E5816"/>
  <c r="E5814"/>
  <c r="E5812"/>
  <c r="E5810"/>
  <c r="E5808"/>
  <c r="E5806"/>
  <c r="E5804"/>
  <c r="E5802"/>
  <c r="E5800"/>
  <c r="E5798"/>
  <c r="E5796"/>
  <c r="E5794"/>
  <c r="E5792"/>
  <c r="E5790"/>
  <c r="E5788"/>
  <c r="E5786"/>
  <c r="E5784"/>
  <c r="E5782"/>
  <c r="E5780"/>
  <c r="E5778"/>
  <c r="E5776"/>
  <c r="E5774"/>
  <c r="E5772"/>
  <c r="E5770"/>
  <c r="E5768"/>
  <c r="E5766"/>
  <c r="E5764"/>
  <c r="E5762"/>
  <c r="E5760"/>
  <c r="E5758"/>
  <c r="E5756"/>
  <c r="E5754"/>
  <c r="E5752"/>
  <c r="E5750"/>
  <c r="E5748"/>
  <c r="E5746"/>
  <c r="E5744"/>
  <c r="E5742"/>
  <c r="E5740"/>
  <c r="E5738"/>
  <c r="E5736"/>
  <c r="E5734"/>
  <c r="E5732"/>
  <c r="E5730"/>
  <c r="E5728"/>
  <c r="E5726"/>
  <c r="E5724"/>
  <c r="E5722"/>
  <c r="E5720"/>
  <c r="E5718"/>
  <c r="E5716"/>
  <c r="E5714"/>
  <c r="E5712"/>
  <c r="E5710"/>
  <c r="E5708"/>
  <c r="E5706"/>
  <c r="E5704"/>
  <c r="E5702"/>
  <c r="E5700"/>
  <c r="E5698"/>
  <c r="E5696"/>
  <c r="E5694"/>
  <c r="E5692"/>
  <c r="E5690"/>
  <c r="E5688"/>
  <c r="E5686"/>
  <c r="E5684"/>
  <c r="E5682"/>
  <c r="E5680"/>
  <c r="E5678"/>
  <c r="E5676"/>
  <c r="E5674"/>
  <c r="E5672"/>
  <c r="E5670"/>
  <c r="E5668"/>
  <c r="E5666"/>
  <c r="E5664"/>
  <c r="E5662"/>
  <c r="E5660"/>
  <c r="E5658"/>
  <c r="E5656"/>
  <c r="E5654"/>
  <c r="E5652"/>
  <c r="E5650"/>
  <c r="E5648"/>
  <c r="E5646"/>
  <c r="E5644"/>
  <c r="E5642"/>
  <c r="E5640"/>
  <c r="E5638"/>
  <c r="E5636"/>
  <c r="E5634"/>
  <c r="E5632"/>
  <c r="E5630"/>
  <c r="E5628"/>
  <c r="E5626"/>
  <c r="E5624"/>
  <c r="E5622"/>
  <c r="E5620"/>
  <c r="E5618"/>
  <c r="E5616"/>
  <c r="E5614"/>
  <c r="E5612"/>
  <c r="E5610"/>
  <c r="E5608"/>
  <c r="E5606"/>
  <c r="E5604"/>
  <c r="E5602"/>
  <c r="E5600"/>
  <c r="E5598"/>
  <c r="E5596"/>
  <c r="E5594"/>
  <c r="E5592"/>
  <c r="E5590"/>
  <c r="E5588"/>
  <c r="E5586"/>
  <c r="E5584"/>
  <c r="E5582"/>
  <c r="E5580"/>
  <c r="E5578"/>
  <c r="E5576"/>
  <c r="E5574"/>
  <c r="E5572"/>
  <c r="E5570"/>
  <c r="E5568"/>
  <c r="E5566"/>
  <c r="E5564"/>
  <c r="E5562"/>
  <c r="E5560"/>
  <c r="E5558"/>
  <c r="E5556"/>
  <c r="E5554"/>
  <c r="E5552"/>
  <c r="E5550"/>
  <c r="E5548"/>
  <c r="E5546"/>
  <c r="E5544"/>
  <c r="E5542"/>
  <c r="E5540"/>
  <c r="E5538"/>
  <c r="E5536"/>
  <c r="E5534"/>
  <c r="E5532"/>
  <c r="E5530"/>
  <c r="E5528"/>
  <c r="E5526"/>
  <c r="E5524"/>
  <c r="E5522"/>
  <c r="E5520"/>
  <c r="E5518"/>
  <c r="E5516"/>
  <c r="E5514"/>
  <c r="E5512"/>
  <c r="E5510"/>
  <c r="E5508"/>
  <c r="E5506"/>
  <c r="E5504"/>
  <c r="E5502"/>
  <c r="E5500"/>
  <c r="E5498"/>
  <c r="E5496"/>
  <c r="E5494"/>
  <c r="E5492"/>
  <c r="E5490"/>
  <c r="E5488"/>
  <c r="E5486"/>
  <c r="E5484"/>
  <c r="E5482"/>
  <c r="E5480"/>
  <c r="E5478"/>
  <c r="E5476"/>
  <c r="E5474"/>
  <c r="E5472"/>
  <c r="E5470"/>
  <c r="E5468"/>
  <c r="E5466"/>
  <c r="E5464"/>
  <c r="E5462"/>
  <c r="E5460"/>
  <c r="E5458"/>
  <c r="E5456"/>
  <c r="E5454"/>
  <c r="E5452"/>
  <c r="E5450"/>
  <c r="E5448"/>
  <c r="E5446"/>
  <c r="E5444"/>
  <c r="E5442"/>
  <c r="E5440"/>
  <c r="E5438"/>
  <c r="E5436"/>
  <c r="E5434"/>
  <c r="E5432"/>
  <c r="E5430"/>
  <c r="E5428"/>
  <c r="E5426"/>
  <c r="E5424"/>
  <c r="E5422"/>
  <c r="E5420"/>
  <c r="E5418"/>
  <c r="E5416"/>
  <c r="E5414"/>
  <c r="E5412"/>
  <c r="E5410"/>
  <c r="E5408"/>
  <c r="E5406"/>
  <c r="E5404"/>
  <c r="E5402"/>
  <c r="E5400"/>
  <c r="E5398"/>
  <c r="E5396"/>
  <c r="E5394"/>
  <c r="E5392"/>
  <c r="E5390"/>
  <c r="E5388"/>
  <c r="E5386"/>
  <c r="E5384"/>
  <c r="E5382"/>
  <c r="E5380"/>
  <c r="E5378"/>
  <c r="E5376"/>
  <c r="E5374"/>
  <c r="E5372"/>
  <c r="E5370"/>
  <c r="E5368"/>
  <c r="E5366"/>
  <c r="E5364"/>
  <c r="E5362"/>
  <c r="E5360"/>
  <c r="E5358"/>
  <c r="E5356"/>
  <c r="E5354"/>
  <c r="E5352"/>
  <c r="E5350"/>
  <c r="E5348"/>
  <c r="E5346"/>
  <c r="E5344"/>
  <c r="E5342"/>
  <c r="E5340"/>
  <c r="E5338"/>
  <c r="E5336"/>
  <c r="E5334"/>
  <c r="E5332"/>
  <c r="E5330"/>
  <c r="E5328"/>
  <c r="E5326"/>
  <c r="E5324"/>
  <c r="E5322"/>
  <c r="E5320"/>
  <c r="E5318"/>
  <c r="E5316"/>
  <c r="E5314"/>
  <c r="E5312"/>
  <c r="E5310"/>
  <c r="E5308"/>
  <c r="E5306"/>
  <c r="E5304"/>
  <c r="E5302"/>
  <c r="E5300"/>
  <c r="E5298"/>
  <c r="E5296"/>
  <c r="E5294"/>
  <c r="E5292"/>
  <c r="E5290"/>
  <c r="E5288"/>
  <c r="E5286"/>
  <c r="E5284"/>
  <c r="E5282"/>
  <c r="E5280"/>
  <c r="E5278"/>
  <c r="E5276"/>
  <c r="E5274"/>
  <c r="E5272"/>
  <c r="E5270"/>
  <c r="E5268"/>
  <c r="E5266"/>
  <c r="E5264"/>
  <c r="E5262"/>
  <c r="E5260"/>
  <c r="E5258"/>
  <c r="E5256"/>
  <c r="E5254"/>
  <c r="E5252"/>
  <c r="E5250"/>
  <c r="E5248"/>
  <c r="E5246"/>
  <c r="E5244"/>
  <c r="E5242"/>
  <c r="E5240"/>
  <c r="E5238"/>
  <c r="E5236"/>
  <c r="E5234"/>
  <c r="E5232"/>
  <c r="E5230"/>
  <c r="E5228"/>
  <c r="E5226"/>
  <c r="E5224"/>
  <c r="E5222"/>
  <c r="E5220"/>
  <c r="E5218"/>
  <c r="E5216"/>
  <c r="E5214"/>
  <c r="E5212"/>
  <c r="E5210"/>
  <c r="E5208"/>
  <c r="E5206"/>
  <c r="E5204"/>
  <c r="E5202"/>
  <c r="E5200"/>
  <c r="E5198"/>
  <c r="E5196"/>
  <c r="E5194"/>
  <c r="E5192"/>
  <c r="E5190"/>
  <c r="E5188"/>
  <c r="E5186"/>
  <c r="E5184"/>
  <c r="E5182"/>
  <c r="E5180"/>
  <c r="E5178"/>
  <c r="E5176"/>
  <c r="E5174"/>
  <c r="E5172"/>
  <c r="E5170"/>
  <c r="E5168"/>
  <c r="E5166"/>
  <c r="E5164"/>
  <c r="E5162"/>
  <c r="E5160"/>
  <c r="E5158"/>
  <c r="E5156"/>
  <c r="E5154"/>
  <c r="E5152"/>
  <c r="E5150"/>
  <c r="E5148"/>
  <c r="E5146"/>
  <c r="E5144"/>
  <c r="E5142"/>
  <c r="E5140"/>
  <c r="E5138"/>
  <c r="E5136"/>
  <c r="E5134"/>
  <c r="E5132"/>
  <c r="E5130"/>
  <c r="E5128"/>
  <c r="E5126"/>
  <c r="E5124"/>
  <c r="E5122"/>
  <c r="E5120"/>
  <c r="E5118"/>
  <c r="E5116"/>
  <c r="E5114"/>
  <c r="E5112"/>
  <c r="E5110"/>
  <c r="E5108"/>
  <c r="E5106"/>
  <c r="E5104"/>
  <c r="E5102"/>
  <c r="E5100"/>
  <c r="E5098"/>
  <c r="E5096"/>
  <c r="E5094"/>
  <c r="E5092"/>
  <c r="E5090"/>
  <c r="E5088"/>
  <c r="E5086"/>
  <c r="E5084"/>
  <c r="E5082"/>
  <c r="E5080"/>
  <c r="E5078"/>
  <c r="E5076"/>
  <c r="E5074"/>
  <c r="E5072"/>
  <c r="E5070"/>
  <c r="E5068"/>
  <c r="E5066"/>
  <c r="E5064"/>
  <c r="E5062"/>
  <c r="E5060"/>
  <c r="E5058"/>
  <c r="E5056"/>
  <c r="E5054"/>
  <c r="E5052"/>
  <c r="E5050"/>
  <c r="E5048"/>
  <c r="E5046"/>
  <c r="E5044"/>
  <c r="E5042"/>
  <c r="E6478"/>
  <c r="E6470"/>
  <c r="E6462"/>
  <c r="E6454"/>
  <c r="E6446"/>
  <c r="E6438"/>
  <c r="E6430"/>
  <c r="E6480"/>
  <c r="E6472"/>
  <c r="E6464"/>
  <c r="E6456"/>
  <c r="E6448"/>
  <c r="E6440"/>
  <c r="E6432"/>
  <c r="E6427"/>
  <c r="E6425"/>
  <c r="E6423"/>
  <c r="E6421"/>
  <c r="E6419"/>
  <c r="E6417"/>
  <c r="E6415"/>
  <c r="E6413"/>
  <c r="E6411"/>
  <c r="E6409"/>
  <c r="E6407"/>
  <c r="E6405"/>
  <c r="E6403"/>
  <c r="E6401"/>
  <c r="E6399"/>
  <c r="E6397"/>
  <c r="E6395"/>
  <c r="E6393"/>
  <c r="E6391"/>
  <c r="E6389"/>
  <c r="E6387"/>
  <c r="E6385"/>
  <c r="E6383"/>
  <c r="E6381"/>
  <c r="E6379"/>
  <c r="E6377"/>
  <c r="E6375"/>
  <c r="E6373"/>
  <c r="E6371"/>
  <c r="E6369"/>
  <c r="E6367"/>
  <c r="E6365"/>
  <c r="E6363"/>
  <c r="E6361"/>
  <c r="E6359"/>
  <c r="E6357"/>
  <c r="E6355"/>
  <c r="E6353"/>
  <c r="E6351"/>
  <c r="E6349"/>
  <c r="E6347"/>
  <c r="E6345"/>
  <c r="E6343"/>
  <c r="E6341"/>
  <c r="E6339"/>
  <c r="E6337"/>
  <c r="E6335"/>
  <c r="E6333"/>
  <c r="E6331"/>
  <c r="E6329"/>
  <c r="E6327"/>
  <c r="E6325"/>
  <c r="E6323"/>
  <c r="E6321"/>
  <c r="E6319"/>
  <c r="E6317"/>
  <c r="E6315"/>
  <c r="E6313"/>
  <c r="E6311"/>
  <c r="E6309"/>
  <c r="E6307"/>
  <c r="E6305"/>
  <c r="E6303"/>
  <c r="E6301"/>
  <c r="E6299"/>
  <c r="E6297"/>
  <c r="E6295"/>
  <c r="E6293"/>
  <c r="E6291"/>
  <c r="E6289"/>
  <c r="E6287"/>
  <c r="E6285"/>
  <c r="E6283"/>
  <c r="E6281"/>
  <c r="E6279"/>
  <c r="E6277"/>
  <c r="E6275"/>
  <c r="E6273"/>
  <c r="E6271"/>
  <c r="E6269"/>
  <c r="E6267"/>
  <c r="E6265"/>
  <c r="E6263"/>
  <c r="E6261"/>
  <c r="E6259"/>
  <c r="E6257"/>
  <c r="E6255"/>
  <c r="E6253"/>
  <c r="E6251"/>
  <c r="E6249"/>
  <c r="E6247"/>
  <c r="E6245"/>
  <c r="E6243"/>
  <c r="E6241"/>
  <c r="E6239"/>
  <c r="E6237"/>
  <c r="E6235"/>
  <c r="E6233"/>
  <c r="E6231"/>
  <c r="E6229"/>
  <c r="E6227"/>
  <c r="E6225"/>
  <c r="E6223"/>
  <c r="E6221"/>
  <c r="E6219"/>
  <c r="E6217"/>
  <c r="E6215"/>
  <c r="E6213"/>
  <c r="E6211"/>
  <c r="E6209"/>
  <c r="E6207"/>
  <c r="E6205"/>
  <c r="E6203"/>
  <c r="E6201"/>
  <c r="E6199"/>
  <c r="E6197"/>
  <c r="E6195"/>
  <c r="E6193"/>
  <c r="E6191"/>
  <c r="E6189"/>
  <c r="E6187"/>
  <c r="E6185"/>
  <c r="E6183"/>
  <c r="E6181"/>
  <c r="E6179"/>
  <c r="E6177"/>
  <c r="E6175"/>
  <c r="E6173"/>
  <c r="E6171"/>
  <c r="E6169"/>
  <c r="E6167"/>
  <c r="E6165"/>
  <c r="E6163"/>
  <c r="E6161"/>
  <c r="E6159"/>
  <c r="E6157"/>
  <c r="E6155"/>
  <c r="E6153"/>
  <c r="E6151"/>
  <c r="E6149"/>
  <c r="E6147"/>
  <c r="E6145"/>
  <c r="E6143"/>
  <c r="E6141"/>
  <c r="E6139"/>
  <c r="E6137"/>
  <c r="E6135"/>
  <c r="E6133"/>
  <c r="E6131"/>
  <c r="E6129"/>
  <c r="E6127"/>
  <c r="E6125"/>
  <c r="E6123"/>
  <c r="E6121"/>
  <c r="E6119"/>
  <c r="E6117"/>
  <c r="E6115"/>
  <c r="E6113"/>
  <c r="E6111"/>
  <c r="E6109"/>
  <c r="E6107"/>
  <c r="E6105"/>
  <c r="E6103"/>
  <c r="E6101"/>
  <c r="E6099"/>
  <c r="E6097"/>
  <c r="E6095"/>
  <c r="E6093"/>
  <c r="E6091"/>
  <c r="E6089"/>
  <c r="E6087"/>
  <c r="E6085"/>
  <c r="E6083"/>
  <c r="E6081"/>
  <c r="E6079"/>
  <c r="E6077"/>
  <c r="E6075"/>
  <c r="E6073"/>
  <c r="E6071"/>
  <c r="E6069"/>
  <c r="E6067"/>
  <c r="E6065"/>
  <c r="E6063"/>
  <c r="E6061"/>
  <c r="E6059"/>
  <c r="E6057"/>
  <c r="E6055"/>
  <c r="E6053"/>
  <c r="E6051"/>
  <c r="E6049"/>
  <c r="E6047"/>
  <c r="E6045"/>
  <c r="E6043"/>
  <c r="E6041"/>
  <c r="E6039"/>
  <c r="E6037"/>
  <c r="E6035"/>
  <c r="E6033"/>
  <c r="E6031"/>
  <c r="E6029"/>
  <c r="E6027"/>
  <c r="E6025"/>
  <c r="E6023"/>
  <c r="E6021"/>
  <c r="E6019"/>
  <c r="E6017"/>
  <c r="E6015"/>
  <c r="E6013"/>
  <c r="E6011"/>
  <c r="E6009"/>
  <c r="E6007"/>
  <c r="E6005"/>
  <c r="E6003"/>
  <c r="E6001"/>
  <c r="E5999"/>
  <c r="E5997"/>
  <c r="E5995"/>
  <c r="E5993"/>
  <c r="E5991"/>
  <c r="E5989"/>
  <c r="E5987"/>
  <c r="E5985"/>
  <c r="E5983"/>
  <c r="E5981"/>
  <c r="E5979"/>
  <c r="E5977"/>
  <c r="E5975"/>
  <c r="E5973"/>
  <c r="E5971"/>
  <c r="E5969"/>
  <c r="E5967"/>
  <c r="E5965"/>
  <c r="E5963"/>
  <c r="E5961"/>
  <c r="E5959"/>
  <c r="E5957"/>
  <c r="E5955"/>
  <c r="E5953"/>
  <c r="E5951"/>
  <c r="E5949"/>
  <c r="E5947"/>
  <c r="E5945"/>
  <c r="E5943"/>
  <c r="E5941"/>
  <c r="E5939"/>
  <c r="E5937"/>
  <c r="E5935"/>
  <c r="E5933"/>
  <c r="E5931"/>
  <c r="E5929"/>
  <c r="E5927"/>
  <c r="E5925"/>
  <c r="E5923"/>
  <c r="E5921"/>
  <c r="E5919"/>
  <c r="E5917"/>
  <c r="E5915"/>
  <c r="E5913"/>
  <c r="E5911"/>
  <c r="E5909"/>
  <c r="E5907"/>
  <c r="E5905"/>
  <c r="E5903"/>
  <c r="E5901"/>
  <c r="E5899"/>
  <c r="E5897"/>
  <c r="E5895"/>
  <c r="E5893"/>
  <c r="E5891"/>
  <c r="E5889"/>
  <c r="E5887"/>
  <c r="E5885"/>
  <c r="E5883"/>
  <c r="E5881"/>
  <c r="E5879"/>
  <c r="E5877"/>
  <c r="E5875"/>
  <c r="E5873"/>
  <c r="E5871"/>
  <c r="E5869"/>
  <c r="E5867"/>
  <c r="E5865"/>
  <c r="E5863"/>
  <c r="E5861"/>
  <c r="E5859"/>
  <c r="E5857"/>
  <c r="E5855"/>
  <c r="E5853"/>
  <c r="E5851"/>
  <c r="E5849"/>
  <c r="E5847"/>
  <c r="E5845"/>
  <c r="E5843"/>
  <c r="E5841"/>
  <c r="E5839"/>
  <c r="E5837"/>
  <c r="E5835"/>
  <c r="E5833"/>
  <c r="E5831"/>
  <c r="E5829"/>
  <c r="E5827"/>
  <c r="E5825"/>
  <c r="E5823"/>
  <c r="E5821"/>
  <c r="E5819"/>
  <c r="E5817"/>
  <c r="E5815"/>
  <c r="E5813"/>
  <c r="E5811"/>
  <c r="E5809"/>
  <c r="E5807"/>
  <c r="E5805"/>
  <c r="E5803"/>
  <c r="E5801"/>
  <c r="E5799"/>
  <c r="E5797"/>
  <c r="E5795"/>
  <c r="E5793"/>
  <c r="E5791"/>
  <c r="E5789"/>
  <c r="E5787"/>
  <c r="E5785"/>
  <c r="E5783"/>
  <c r="E5781"/>
  <c r="E5779"/>
  <c r="E5777"/>
  <c r="E5775"/>
  <c r="E5773"/>
  <c r="E5771"/>
  <c r="E5769"/>
  <c r="E5767"/>
  <c r="E5765"/>
  <c r="E5763"/>
  <c r="E5761"/>
  <c r="E5759"/>
  <c r="E5757"/>
  <c r="E5755"/>
  <c r="E5753"/>
  <c r="E5751"/>
  <c r="E5749"/>
  <c r="E5747"/>
  <c r="E5745"/>
  <c r="E5743"/>
  <c r="E5741"/>
  <c r="E5739"/>
  <c r="E5737"/>
  <c r="E5735"/>
  <c r="E5733"/>
  <c r="E5731"/>
  <c r="E5729"/>
  <c r="E5727"/>
  <c r="E5725"/>
  <c r="E5723"/>
  <c r="E5721"/>
  <c r="E5719"/>
  <c r="E5717"/>
  <c r="E5715"/>
  <c r="E5713"/>
  <c r="E5711"/>
  <c r="E5709"/>
  <c r="E5707"/>
  <c r="E5705"/>
  <c r="E5703"/>
  <c r="E5701"/>
  <c r="E5699"/>
  <c r="E5697"/>
  <c r="E5695"/>
  <c r="E5693"/>
  <c r="E5691"/>
  <c r="E5689"/>
  <c r="E5687"/>
  <c r="E5685"/>
  <c r="E5683"/>
  <c r="E5681"/>
  <c r="E5679"/>
  <c r="E5677"/>
  <c r="E5675"/>
  <c r="E5673"/>
  <c r="E5671"/>
  <c r="E5669"/>
  <c r="E5667"/>
  <c r="E5665"/>
  <c r="E5663"/>
  <c r="E5661"/>
  <c r="E5659"/>
  <c r="E5657"/>
  <c r="E5655"/>
  <c r="E5653"/>
  <c r="E5651"/>
  <c r="E5649"/>
  <c r="E5647"/>
  <c r="E5645"/>
  <c r="E5643"/>
  <c r="E5641"/>
  <c r="E5639"/>
  <c r="E5637"/>
  <c r="E5635"/>
  <c r="E5633"/>
  <c r="E5631"/>
  <c r="E5629"/>
  <c r="E5627"/>
  <c r="E5625"/>
  <c r="E5623"/>
  <c r="E5621"/>
  <c r="E5619"/>
  <c r="E5617"/>
  <c r="E5615"/>
  <c r="E5613"/>
  <c r="E5611"/>
  <c r="E5609"/>
  <c r="E5607"/>
  <c r="E5605"/>
  <c r="E5603"/>
  <c r="E5601"/>
  <c r="E5599"/>
  <c r="E5597"/>
  <c r="E5595"/>
  <c r="E5593"/>
  <c r="E5591"/>
  <c r="E5589"/>
  <c r="E5587"/>
  <c r="E5585"/>
  <c r="E5583"/>
  <c r="E5581"/>
  <c r="E5579"/>
  <c r="E5577"/>
  <c r="E5575"/>
  <c r="E5573"/>
  <c r="E5571"/>
  <c r="E5569"/>
  <c r="E5567"/>
  <c r="E5565"/>
  <c r="E5563"/>
  <c r="E5561"/>
  <c r="E5559"/>
  <c r="E5557"/>
  <c r="E5555"/>
  <c r="E5553"/>
  <c r="E5551"/>
  <c r="E5549"/>
  <c r="E5547"/>
  <c r="E5545"/>
  <c r="E5543"/>
  <c r="E5541"/>
  <c r="E5539"/>
  <c r="E5537"/>
  <c r="E5535"/>
  <c r="E5533"/>
  <c r="E5531"/>
  <c r="E5529"/>
  <c r="E5527"/>
  <c r="E5525"/>
  <c r="E5523"/>
  <c r="E5521"/>
  <c r="E5519"/>
  <c r="E5517"/>
  <c r="E5515"/>
  <c r="E5513"/>
  <c r="E5511"/>
  <c r="E5509"/>
  <c r="E5507"/>
  <c r="E5505"/>
  <c r="E5503"/>
  <c r="E5501"/>
  <c r="E5499"/>
  <c r="E5497"/>
  <c r="E5495"/>
  <c r="E5493"/>
  <c r="E5491"/>
  <c r="E5489"/>
  <c r="E5487"/>
  <c r="E5485"/>
  <c r="E5483"/>
  <c r="E5481"/>
  <c r="E5479"/>
  <c r="E5477"/>
  <c r="E5475"/>
  <c r="E5473"/>
  <c r="E5471"/>
  <c r="E5469"/>
  <c r="E5467"/>
  <c r="E5465"/>
  <c r="E5463"/>
  <c r="E5461"/>
  <c r="E5459"/>
  <c r="E5457"/>
  <c r="E5455"/>
  <c r="E5453"/>
  <c r="E5451"/>
  <c r="E5449"/>
  <c r="E5447"/>
  <c r="E5445"/>
  <c r="E5443"/>
  <c r="E5441"/>
  <c r="E5439"/>
  <c r="E5437"/>
  <c r="E5435"/>
  <c r="E5433"/>
  <c r="E5431"/>
  <c r="E5429"/>
  <c r="E5427"/>
  <c r="E5425"/>
  <c r="E5423"/>
  <c r="E5421"/>
  <c r="E5419"/>
  <c r="E5417"/>
  <c r="E5415"/>
  <c r="E5413"/>
  <c r="E5411"/>
  <c r="E5409"/>
  <c r="E5407"/>
  <c r="E5405"/>
  <c r="E5403"/>
  <c r="E5401"/>
  <c r="E5399"/>
  <c r="E5397"/>
  <c r="E5395"/>
  <c r="E5393"/>
  <c r="E5391"/>
  <c r="E5389"/>
  <c r="E5387"/>
  <c r="E5385"/>
  <c r="E5383"/>
  <c r="E5381"/>
  <c r="E5379"/>
  <c r="E5377"/>
  <c r="E5375"/>
  <c r="E5373"/>
  <c r="E5371"/>
  <c r="E5369"/>
  <c r="E5367"/>
  <c r="E5365"/>
  <c r="E5363"/>
  <c r="E5361"/>
  <c r="E5359"/>
  <c r="E5357"/>
  <c r="E5355"/>
  <c r="E5353"/>
  <c r="E5351"/>
  <c r="E5349"/>
  <c r="E5347"/>
  <c r="E5345"/>
  <c r="E5343"/>
  <c r="E5341"/>
  <c r="E5339"/>
  <c r="E5337"/>
  <c r="E5335"/>
  <c r="E5333"/>
  <c r="E5331"/>
  <c r="E5329"/>
  <c r="E5327"/>
  <c r="E5325"/>
  <c r="E5323"/>
  <c r="E5321"/>
  <c r="E5319"/>
  <c r="E5317"/>
  <c r="E5315"/>
  <c r="E5313"/>
  <c r="E5311"/>
  <c r="E5309"/>
  <c r="E5307"/>
  <c r="E5305"/>
  <c r="E5303"/>
  <c r="E5301"/>
  <c r="E5299"/>
  <c r="E5297"/>
  <c r="E5295"/>
  <c r="E5293"/>
  <c r="E5291"/>
  <c r="E5289"/>
  <c r="E5287"/>
  <c r="E5285"/>
  <c r="E5283"/>
  <c r="E5281"/>
  <c r="E5279"/>
  <c r="E5277"/>
  <c r="E5275"/>
  <c r="E5273"/>
  <c r="E5271"/>
  <c r="E5269"/>
  <c r="E5267"/>
  <c r="E5265"/>
  <c r="E5263"/>
  <c r="E5261"/>
  <c r="E5259"/>
  <c r="E5257"/>
  <c r="E5255"/>
  <c r="E5253"/>
  <c r="E5251"/>
  <c r="E5249"/>
  <c r="E5247"/>
  <c r="E5245"/>
  <c r="E5243"/>
  <c r="E5241"/>
  <c r="E5239"/>
  <c r="E5237"/>
  <c r="E5235"/>
  <c r="E5233"/>
  <c r="E5231"/>
  <c r="E5229"/>
  <c r="E5227"/>
  <c r="E5225"/>
  <c r="E5223"/>
  <c r="E5221"/>
  <c r="E5219"/>
  <c r="E5217"/>
  <c r="E5215"/>
  <c r="E5213"/>
  <c r="E5211"/>
  <c r="E5209"/>
  <c r="E5207"/>
  <c r="E5205"/>
  <c r="E5203"/>
  <c r="E5201"/>
  <c r="E5199"/>
  <c r="E5197"/>
  <c r="E5195"/>
  <c r="E5193"/>
  <c r="E5191"/>
  <c r="E5189"/>
  <c r="E5187"/>
  <c r="E5185"/>
  <c r="E5183"/>
  <c r="E5181"/>
  <c r="E5179"/>
  <c r="E5177"/>
  <c r="E5175"/>
  <c r="E5173"/>
  <c r="E5171"/>
  <c r="E5169"/>
  <c r="E5167"/>
  <c r="E5165"/>
  <c r="E5163"/>
  <c r="E5161"/>
  <c r="E5159"/>
  <c r="E5157"/>
  <c r="E5155"/>
  <c r="E5153"/>
  <c r="E5151"/>
  <c r="E5149"/>
  <c r="E5147"/>
  <c r="E5145"/>
  <c r="E5143"/>
  <c r="E5141"/>
  <c r="E5139"/>
  <c r="E5137"/>
  <c r="E5135"/>
  <c r="E5133"/>
  <c r="E5131"/>
  <c r="E5129"/>
  <c r="E5127"/>
  <c r="E5125"/>
  <c r="E5123"/>
  <c r="E5121"/>
  <c r="E5119"/>
  <c r="E5117"/>
  <c r="E5115"/>
  <c r="E5113"/>
  <c r="E5111"/>
  <c r="E5109"/>
  <c r="E5107"/>
  <c r="E5105"/>
  <c r="E5103"/>
  <c r="E5101"/>
  <c r="E5099"/>
  <c r="E5097"/>
  <c r="E5095"/>
  <c r="E5093"/>
  <c r="E5091"/>
  <c r="E5089"/>
  <c r="E5087"/>
  <c r="E5085"/>
  <c r="E5083"/>
  <c r="E5081"/>
  <c r="E5079"/>
  <c r="E6474"/>
  <c r="E6466"/>
  <c r="E6458"/>
  <c r="E6450"/>
  <c r="E6442"/>
  <c r="E6434"/>
  <c r="E5075"/>
  <c r="E5067"/>
  <c r="E5059"/>
  <c r="E5051"/>
  <c r="E5043"/>
  <c r="E5077"/>
  <c r="E5069"/>
  <c r="E5061"/>
  <c r="E5053"/>
  <c r="E5045"/>
  <c r="E5040"/>
  <c r="E5038"/>
  <c r="E5036"/>
  <c r="E5034"/>
  <c r="E5032"/>
  <c r="E5030"/>
  <c r="E5028"/>
  <c r="E5026"/>
  <c r="E5024"/>
  <c r="E5022"/>
  <c r="E5020"/>
  <c r="E5018"/>
  <c r="E5016"/>
  <c r="E5014"/>
  <c r="E5012"/>
  <c r="E5010"/>
  <c r="E5008"/>
  <c r="E5006"/>
  <c r="E5004"/>
  <c r="E5002"/>
  <c r="E5000"/>
  <c r="E4998"/>
  <c r="E4996"/>
  <c r="E4994"/>
  <c r="E4992"/>
  <c r="E4990"/>
  <c r="E4988"/>
  <c r="E4986"/>
  <c r="E4984"/>
  <c r="E4982"/>
  <c r="E4980"/>
  <c r="E4978"/>
  <c r="E4976"/>
  <c r="E4974"/>
  <c r="E4972"/>
  <c r="E4970"/>
  <c r="E4968"/>
  <c r="E4966"/>
  <c r="E4964"/>
  <c r="E4962"/>
  <c r="E4960"/>
  <c r="E4958"/>
  <c r="E4956"/>
  <c r="E4954"/>
  <c r="E4952"/>
  <c r="E4950"/>
  <c r="E4948"/>
  <c r="E4946"/>
  <c r="E4944"/>
  <c r="E4942"/>
  <c r="E4940"/>
  <c r="E4938"/>
  <c r="E4936"/>
  <c r="E4934"/>
  <c r="E4932"/>
  <c r="E4930"/>
  <c r="E4928"/>
  <c r="E4926"/>
  <c r="E4924"/>
  <c r="E4922"/>
  <c r="E4920"/>
  <c r="E4918"/>
  <c r="E4916"/>
  <c r="E4914"/>
  <c r="E4912"/>
  <c r="E4910"/>
  <c r="E4908"/>
  <c r="E4906"/>
  <c r="E4904"/>
  <c r="E4902"/>
  <c r="E4900"/>
  <c r="E4898"/>
  <c r="E4896"/>
  <c r="E4894"/>
  <c r="E4892"/>
  <c r="E4890"/>
  <c r="E4888"/>
  <c r="E4886"/>
  <c r="E4884"/>
  <c r="E4882"/>
  <c r="E4880"/>
  <c r="E4878"/>
  <c r="E4876"/>
  <c r="E4874"/>
  <c r="E4872"/>
  <c r="E4870"/>
  <c r="E4868"/>
  <c r="E4866"/>
  <c r="E4864"/>
  <c r="E4862"/>
  <c r="E4860"/>
  <c r="E4858"/>
  <c r="E4856"/>
  <c r="E4854"/>
  <c r="E4852"/>
  <c r="E4850"/>
  <c r="E4848"/>
  <c r="E4846"/>
  <c r="E4844"/>
  <c r="E4842"/>
  <c r="E4840"/>
  <c r="E4838"/>
  <c r="E4836"/>
  <c r="E4834"/>
  <c r="E4832"/>
  <c r="E4830"/>
  <c r="E4828"/>
  <c r="E4826"/>
  <c r="E4824"/>
  <c r="E4822"/>
  <c r="E4820"/>
  <c r="E4818"/>
  <c r="E4816"/>
  <c r="E4814"/>
  <c r="E4812"/>
  <c r="E4810"/>
  <c r="E4808"/>
  <c r="E4806"/>
  <c r="E4804"/>
  <c r="E4802"/>
  <c r="E4800"/>
  <c r="E4798"/>
  <c r="E4796"/>
  <c r="E4794"/>
  <c r="E4792"/>
  <c r="E4790"/>
  <c r="E4788"/>
  <c r="E4786"/>
  <c r="E4784"/>
  <c r="E4782"/>
  <c r="E4780"/>
  <c r="E4778"/>
  <c r="E4776"/>
  <c r="E4774"/>
  <c r="E4772"/>
  <c r="E4770"/>
  <c r="E4768"/>
  <c r="E4766"/>
  <c r="E4764"/>
  <c r="E4762"/>
  <c r="E4760"/>
  <c r="E4758"/>
  <c r="E4756"/>
  <c r="E4754"/>
  <c r="E4752"/>
  <c r="E4750"/>
  <c r="E4748"/>
  <c r="E4746"/>
  <c r="E4744"/>
  <c r="E4742"/>
  <c r="E4740"/>
  <c r="E4738"/>
  <c r="E4736"/>
  <c r="E4734"/>
  <c r="E4732"/>
  <c r="E4730"/>
  <c r="E4728"/>
  <c r="E4726"/>
  <c r="E4724"/>
  <c r="E4722"/>
  <c r="E4720"/>
  <c r="E4718"/>
  <c r="E4716"/>
  <c r="E4714"/>
  <c r="E4712"/>
  <c r="E4710"/>
  <c r="E4708"/>
  <c r="E4706"/>
  <c r="E4704"/>
  <c r="E4702"/>
  <c r="E4700"/>
  <c r="E4698"/>
  <c r="E4696"/>
  <c r="E4694"/>
  <c r="E4692"/>
  <c r="E4690"/>
  <c r="E4688"/>
  <c r="E4686"/>
  <c r="E4684"/>
  <c r="E4682"/>
  <c r="E4680"/>
  <c r="E4678"/>
  <c r="E4676"/>
  <c r="E4674"/>
  <c r="E4672"/>
  <c r="E4670"/>
  <c r="E4668"/>
  <c r="E4666"/>
  <c r="E4664"/>
  <c r="E4662"/>
  <c r="E4660"/>
  <c r="E4658"/>
  <c r="E4656"/>
  <c r="E4654"/>
  <c r="E4652"/>
  <c r="E4650"/>
  <c r="E4648"/>
  <c r="E4646"/>
  <c r="E4644"/>
  <c r="E4642"/>
  <c r="E4640"/>
  <c r="E4638"/>
  <c r="E4636"/>
  <c r="E4634"/>
  <c r="E4632"/>
  <c r="E4630"/>
  <c r="E4628"/>
  <c r="E4626"/>
  <c r="E4624"/>
  <c r="E4622"/>
  <c r="E4620"/>
  <c r="E4618"/>
  <c r="E4616"/>
  <c r="E4614"/>
  <c r="E4612"/>
  <c r="E4610"/>
  <c r="E4608"/>
  <c r="E4606"/>
  <c r="E4604"/>
  <c r="E4602"/>
  <c r="E4600"/>
  <c r="E4598"/>
  <c r="E4596"/>
  <c r="E4594"/>
  <c r="E4592"/>
  <c r="E4590"/>
  <c r="E4588"/>
  <c r="E4586"/>
  <c r="E4584"/>
  <c r="E4582"/>
  <c r="E4580"/>
  <c r="E4578"/>
  <c r="E4576"/>
  <c r="E4574"/>
  <c r="E4572"/>
  <c r="E4570"/>
  <c r="E4568"/>
  <c r="E4566"/>
  <c r="E4564"/>
  <c r="E4562"/>
  <c r="E4560"/>
  <c r="E4558"/>
  <c r="E4556"/>
  <c r="E4554"/>
  <c r="E4552"/>
  <c r="E4550"/>
  <c r="E4548"/>
  <c r="E4546"/>
  <c r="E4544"/>
  <c r="E4542"/>
  <c r="E4540"/>
  <c r="E4538"/>
  <c r="E4536"/>
  <c r="E4534"/>
  <c r="E4532"/>
  <c r="E4530"/>
  <c r="E4528"/>
  <c r="E4526"/>
  <c r="E4524"/>
  <c r="E4522"/>
  <c r="E4520"/>
  <c r="E4518"/>
  <c r="E4516"/>
  <c r="E4514"/>
  <c r="E4512"/>
  <c r="E4510"/>
  <c r="E4508"/>
  <c r="E4506"/>
  <c r="E4504"/>
  <c r="E4502"/>
  <c r="E4500"/>
  <c r="E4498"/>
  <c r="E4496"/>
  <c r="E4494"/>
  <c r="E4492"/>
  <c r="E4490"/>
  <c r="E4488"/>
  <c r="E4486"/>
  <c r="E4484"/>
  <c r="E4482"/>
  <c r="E4480"/>
  <c r="E4478"/>
  <c r="E4476"/>
  <c r="E4474"/>
  <c r="E4472"/>
  <c r="E4470"/>
  <c r="E4468"/>
  <c r="E4466"/>
  <c r="E4464"/>
  <c r="E4462"/>
  <c r="E4460"/>
  <c r="E4458"/>
  <c r="E4456"/>
  <c r="E4454"/>
  <c r="E4452"/>
  <c r="E4450"/>
  <c r="E4448"/>
  <c r="E4446"/>
  <c r="E4444"/>
  <c r="E4442"/>
  <c r="E4440"/>
  <c r="E4438"/>
  <c r="E4436"/>
  <c r="E4434"/>
  <c r="E4432"/>
  <c r="E4430"/>
  <c r="E4428"/>
  <c r="E4426"/>
  <c r="E4424"/>
  <c r="E4422"/>
  <c r="E4420"/>
  <c r="E4418"/>
  <c r="E4416"/>
  <c r="E4414"/>
  <c r="E4412"/>
  <c r="E4410"/>
  <c r="E4408"/>
  <c r="E4406"/>
  <c r="E4404"/>
  <c r="E4402"/>
  <c r="E4400"/>
  <c r="E4398"/>
  <c r="E4396"/>
  <c r="E4394"/>
  <c r="E4392"/>
  <c r="E4390"/>
  <c r="E4388"/>
  <c r="E4386"/>
  <c r="E4384"/>
  <c r="E4382"/>
  <c r="E4380"/>
  <c r="E4378"/>
  <c r="E4376"/>
  <c r="E4374"/>
  <c r="E4372"/>
  <c r="E4370"/>
  <c r="E4368"/>
  <c r="E4366"/>
  <c r="E4364"/>
  <c r="E4362"/>
  <c r="E4360"/>
  <c r="E4358"/>
  <c r="E4356"/>
  <c r="E4354"/>
  <c r="E4352"/>
  <c r="E4350"/>
  <c r="E4348"/>
  <c r="E4346"/>
  <c r="E4344"/>
  <c r="E4342"/>
  <c r="E4340"/>
  <c r="E4338"/>
  <c r="E4336"/>
  <c r="E4334"/>
  <c r="E4332"/>
  <c r="E4330"/>
  <c r="E4328"/>
  <c r="E4326"/>
  <c r="E4324"/>
  <c r="E4322"/>
  <c r="E4320"/>
  <c r="E4318"/>
  <c r="E4316"/>
  <c r="E4314"/>
  <c r="E4312"/>
  <c r="E4310"/>
  <c r="E4308"/>
  <c r="E4306"/>
  <c r="E4304"/>
  <c r="E4302"/>
  <c r="E4300"/>
  <c r="E4298"/>
  <c r="E4296"/>
  <c r="E4294"/>
  <c r="E4292"/>
  <c r="E4290"/>
  <c r="E4288"/>
  <c r="E4286"/>
  <c r="E4284"/>
  <c r="E4282"/>
  <c r="E4280"/>
  <c r="E4278"/>
  <c r="E4276"/>
  <c r="E4274"/>
  <c r="E4272"/>
  <c r="E4270"/>
  <c r="E4268"/>
  <c r="E4266"/>
  <c r="E4264"/>
  <c r="E4262"/>
  <c r="E4260"/>
  <c r="E4258"/>
  <c r="E4256"/>
  <c r="E4254"/>
  <c r="E4252"/>
  <c r="E4250"/>
  <c r="E4248"/>
  <c r="E4246"/>
  <c r="E4244"/>
  <c r="E4242"/>
  <c r="E4240"/>
  <c r="E4238"/>
  <c r="E4236"/>
  <c r="E4234"/>
  <c r="E4232"/>
  <c r="E4230"/>
  <c r="E4228"/>
  <c r="E4226"/>
  <c r="E4224"/>
  <c r="E4222"/>
  <c r="E4220"/>
  <c r="E4218"/>
  <c r="E4216"/>
  <c r="E4214"/>
  <c r="E4212"/>
  <c r="E4210"/>
  <c r="E4208"/>
  <c r="E4206"/>
  <c r="E4204"/>
  <c r="E4202"/>
  <c r="E4200"/>
  <c r="E4198"/>
  <c r="E4196"/>
  <c r="E4194"/>
  <c r="E4192"/>
  <c r="E4190"/>
  <c r="E4188"/>
  <c r="E4186"/>
  <c r="E4184"/>
  <c r="E4182"/>
  <c r="E4180"/>
  <c r="E4178"/>
  <c r="E4176"/>
  <c r="E4174"/>
  <c r="E4172"/>
  <c r="E4170"/>
  <c r="E4168"/>
  <c r="E4166"/>
  <c r="E4164"/>
  <c r="E4162"/>
  <c r="E4160"/>
  <c r="E4156"/>
  <c r="E4154"/>
  <c r="E4152"/>
  <c r="E4150"/>
  <c r="E4148"/>
  <c r="E4146"/>
  <c r="E4144"/>
  <c r="E4142"/>
  <c r="E4140"/>
  <c r="E4138"/>
  <c r="E4136"/>
  <c r="E4134"/>
  <c r="E4132"/>
  <c r="E4130"/>
  <c r="E4128"/>
  <c r="E4126"/>
  <c r="E4124"/>
  <c r="E4122"/>
  <c r="E4120"/>
  <c r="E4118"/>
  <c r="E4116"/>
  <c r="E4114"/>
  <c r="E4112"/>
  <c r="E4110"/>
  <c r="E4108"/>
  <c r="E4106"/>
  <c r="E4104"/>
  <c r="E4102"/>
  <c r="E4100"/>
  <c r="E4098"/>
  <c r="E4096"/>
  <c r="E4094"/>
  <c r="E4092"/>
  <c r="E4090"/>
  <c r="E4088"/>
  <c r="E4086"/>
  <c r="E4084"/>
  <c r="E4082"/>
  <c r="E4080"/>
  <c r="E4078"/>
  <c r="E4076"/>
  <c r="E4074"/>
  <c r="E4072"/>
  <c r="E4070"/>
  <c r="E4068"/>
  <c r="E4066"/>
  <c r="E4064"/>
  <c r="E4062"/>
  <c r="E4060"/>
  <c r="E4058"/>
  <c r="E4056"/>
  <c r="E4054"/>
  <c r="E4052"/>
  <c r="E4050"/>
  <c r="E4048"/>
  <c r="E4046"/>
  <c r="E4044"/>
  <c r="E4042"/>
  <c r="E4040"/>
  <c r="E4038"/>
  <c r="E4036"/>
  <c r="E4034"/>
  <c r="E4032"/>
  <c r="E4030"/>
  <c r="E4028"/>
  <c r="E4026"/>
  <c r="E4024"/>
  <c r="E4022"/>
  <c r="E4020"/>
  <c r="E4018"/>
  <c r="E4016"/>
  <c r="E4014"/>
  <c r="E4012"/>
  <c r="E4010"/>
  <c r="E4008"/>
  <c r="E4006"/>
  <c r="E4004"/>
  <c r="E4002"/>
  <c r="E4000"/>
  <c r="E3998"/>
  <c r="E3996"/>
  <c r="E3994"/>
  <c r="E3992"/>
  <c r="E3990"/>
  <c r="E3988"/>
  <c r="E3986"/>
  <c r="E3984"/>
  <c r="E3982"/>
  <c r="E3980"/>
  <c r="E3978"/>
  <c r="E3976"/>
  <c r="E3974"/>
  <c r="E3972"/>
  <c r="E3970"/>
  <c r="E3968"/>
  <c r="E3966"/>
  <c r="E3964"/>
  <c r="E3962"/>
  <c r="E3960"/>
  <c r="E3958"/>
  <c r="E3956"/>
  <c r="E3954"/>
  <c r="E3952"/>
  <c r="E3950"/>
  <c r="E3948"/>
  <c r="E3946"/>
  <c r="E3944"/>
  <c r="E3942"/>
  <c r="E3940"/>
  <c r="E3938"/>
  <c r="E3936"/>
  <c r="E3934"/>
  <c r="E3932"/>
  <c r="E3930"/>
  <c r="E3928"/>
  <c r="E3926"/>
  <c r="E3924"/>
  <c r="E3922"/>
  <c r="E3920"/>
  <c r="E3918"/>
  <c r="E3916"/>
  <c r="E3914"/>
  <c r="E3912"/>
  <c r="E3910"/>
  <c r="E3908"/>
  <c r="E3906"/>
  <c r="E3904"/>
  <c r="E3902"/>
  <c r="E3900"/>
  <c r="E3898"/>
  <c r="E3896"/>
  <c r="E3894"/>
  <c r="E3892"/>
  <c r="E3890"/>
  <c r="E3888"/>
  <c r="E3886"/>
  <c r="E3884"/>
  <c r="E3882"/>
  <c r="E3880"/>
  <c r="E3878"/>
  <c r="E3876"/>
  <c r="E3874"/>
  <c r="E3872"/>
  <c r="E3870"/>
  <c r="E3868"/>
  <c r="E3866"/>
  <c r="E3864"/>
  <c r="E3862"/>
  <c r="E3860"/>
  <c r="E3858"/>
  <c r="E3856"/>
  <c r="E3854"/>
  <c r="E3852"/>
  <c r="E3850"/>
  <c r="E3848"/>
  <c r="E3846"/>
  <c r="E3844"/>
  <c r="E3842"/>
  <c r="E3840"/>
  <c r="E3838"/>
  <c r="E3836"/>
  <c r="E3834"/>
  <c r="E3832"/>
  <c r="E3830"/>
  <c r="E3828"/>
  <c r="E3826"/>
  <c r="E3824"/>
  <c r="E3822"/>
  <c r="E3820"/>
  <c r="E3818"/>
  <c r="E3816"/>
  <c r="E3814"/>
  <c r="E3812"/>
  <c r="E3810"/>
  <c r="E3808"/>
  <c r="E3806"/>
  <c r="E3804"/>
  <c r="E3802"/>
  <c r="E3800"/>
  <c r="E3798"/>
  <c r="E3796"/>
  <c r="E3794"/>
  <c r="E3792"/>
  <c r="E5071"/>
  <c r="E5063"/>
  <c r="E5055"/>
  <c r="E5047"/>
  <c r="E5073"/>
  <c r="E5065"/>
  <c r="E5057"/>
  <c r="E5049"/>
  <c r="E5041"/>
  <c r="E5039"/>
  <c r="E5037"/>
  <c r="E5035"/>
  <c r="E5033"/>
  <c r="E5031"/>
  <c r="E5029"/>
  <c r="E5027"/>
  <c r="E5025"/>
  <c r="E5023"/>
  <c r="E5021"/>
  <c r="E5019"/>
  <c r="E5017"/>
  <c r="E5015"/>
  <c r="E5013"/>
  <c r="E5011"/>
  <c r="E5009"/>
  <c r="E5007"/>
  <c r="E5005"/>
  <c r="E5003"/>
  <c r="E5001"/>
  <c r="E4999"/>
  <c r="E4997"/>
  <c r="E4995"/>
  <c r="E4993"/>
  <c r="E4991"/>
  <c r="E4989"/>
  <c r="E4987"/>
  <c r="E4985"/>
  <c r="E4983"/>
  <c r="E4981"/>
  <c r="E4979"/>
  <c r="E4977"/>
  <c r="E4975"/>
  <c r="E4973"/>
  <c r="E4971"/>
  <c r="E4969"/>
  <c r="E4967"/>
  <c r="E4965"/>
  <c r="E4963"/>
  <c r="E4961"/>
  <c r="E4959"/>
  <c r="E4957"/>
  <c r="E4955"/>
  <c r="E4953"/>
  <c r="E4951"/>
  <c r="E4949"/>
  <c r="E4947"/>
  <c r="E4945"/>
  <c r="E4943"/>
  <c r="E4941"/>
  <c r="E4939"/>
  <c r="E4937"/>
  <c r="E4935"/>
  <c r="E4933"/>
  <c r="E4931"/>
  <c r="E4929"/>
  <c r="E4927"/>
  <c r="E4925"/>
  <c r="E4923"/>
  <c r="E4921"/>
  <c r="E4919"/>
  <c r="E4917"/>
  <c r="E4915"/>
  <c r="E4913"/>
  <c r="E4911"/>
  <c r="E4909"/>
  <c r="E4907"/>
  <c r="E4905"/>
  <c r="E4903"/>
  <c r="E4901"/>
  <c r="E4899"/>
  <c r="E4897"/>
  <c r="E4895"/>
  <c r="E4893"/>
  <c r="E4891"/>
  <c r="E4889"/>
  <c r="E4887"/>
  <c r="E4885"/>
  <c r="E4883"/>
  <c r="E4881"/>
  <c r="E4879"/>
  <c r="E4877"/>
  <c r="E4875"/>
  <c r="E4873"/>
  <c r="E4871"/>
  <c r="E4869"/>
  <c r="E4867"/>
  <c r="E4865"/>
  <c r="E4863"/>
  <c r="E4861"/>
  <c r="E4859"/>
  <c r="E4857"/>
  <c r="E4855"/>
  <c r="E4853"/>
  <c r="E4851"/>
  <c r="E4849"/>
  <c r="E4847"/>
  <c r="E4845"/>
  <c r="E4843"/>
  <c r="E4841"/>
  <c r="E4839"/>
  <c r="E4837"/>
  <c r="E4835"/>
  <c r="E4833"/>
  <c r="E4831"/>
  <c r="E4829"/>
  <c r="E4827"/>
  <c r="E4825"/>
  <c r="E4823"/>
  <c r="E4821"/>
  <c r="E4819"/>
  <c r="E4817"/>
  <c r="E4815"/>
  <c r="E4813"/>
  <c r="E4811"/>
  <c r="E4809"/>
  <c r="E4807"/>
  <c r="E4805"/>
  <c r="E4803"/>
  <c r="E4801"/>
  <c r="E4799"/>
  <c r="E4797"/>
  <c r="E4795"/>
  <c r="E4793"/>
  <c r="E4791"/>
  <c r="E4789"/>
  <c r="E4787"/>
  <c r="E4785"/>
  <c r="E4783"/>
  <c r="E4781"/>
  <c r="E4779"/>
  <c r="E4777"/>
  <c r="E4775"/>
  <c r="E4773"/>
  <c r="E4771"/>
  <c r="E4769"/>
  <c r="E4767"/>
  <c r="E4765"/>
  <c r="E4763"/>
  <c r="E4761"/>
  <c r="E4759"/>
  <c r="E4757"/>
  <c r="E4755"/>
  <c r="E4753"/>
  <c r="E4751"/>
  <c r="E4749"/>
  <c r="E4747"/>
  <c r="E4745"/>
  <c r="E4743"/>
  <c r="E4741"/>
  <c r="E4739"/>
  <c r="E4737"/>
  <c r="E4735"/>
  <c r="E4733"/>
  <c r="E4731"/>
  <c r="E4729"/>
  <c r="E4727"/>
  <c r="E4725"/>
  <c r="E4723"/>
  <c r="E4721"/>
  <c r="E4719"/>
  <c r="E4717"/>
  <c r="E4715"/>
  <c r="E4713"/>
  <c r="E4711"/>
  <c r="E4709"/>
  <c r="E4707"/>
  <c r="E4705"/>
  <c r="E4703"/>
  <c r="E4701"/>
  <c r="E4699"/>
  <c r="E4697"/>
  <c r="E4695"/>
  <c r="E4693"/>
  <c r="E4691"/>
  <c r="E4689"/>
  <c r="E4687"/>
  <c r="E4685"/>
  <c r="E4683"/>
  <c r="E4681"/>
  <c r="E4679"/>
  <c r="E4677"/>
  <c r="E4675"/>
  <c r="E4673"/>
  <c r="E4671"/>
  <c r="E4669"/>
  <c r="E4667"/>
  <c r="E4665"/>
  <c r="E4663"/>
  <c r="E4661"/>
  <c r="E4659"/>
  <c r="E4657"/>
  <c r="E4655"/>
  <c r="E4653"/>
  <c r="E4651"/>
  <c r="E4649"/>
  <c r="E4647"/>
  <c r="E4645"/>
  <c r="E4643"/>
  <c r="E4641"/>
  <c r="E4639"/>
  <c r="E4637"/>
  <c r="E4635"/>
  <c r="E4633"/>
  <c r="E4631"/>
  <c r="E4629"/>
  <c r="E4627"/>
  <c r="E4625"/>
  <c r="E4623"/>
  <c r="E4621"/>
  <c r="E4619"/>
  <c r="E4617"/>
  <c r="E4615"/>
  <c r="E4613"/>
  <c r="E4611"/>
  <c r="E4609"/>
  <c r="E4607"/>
  <c r="E4605"/>
  <c r="E4603"/>
  <c r="E4601"/>
  <c r="E4599"/>
  <c r="E4597"/>
  <c r="E4595"/>
  <c r="E4593"/>
  <c r="E4591"/>
  <c r="E4589"/>
  <c r="E4587"/>
  <c r="E4585"/>
  <c r="E4583"/>
  <c r="E4581"/>
  <c r="E4579"/>
  <c r="E4577"/>
  <c r="E4575"/>
  <c r="E4573"/>
  <c r="E4571"/>
  <c r="E4569"/>
  <c r="E4567"/>
  <c r="E4565"/>
  <c r="E4563"/>
  <c r="E4561"/>
  <c r="E4559"/>
  <c r="E4557"/>
  <c r="E4555"/>
  <c r="E4553"/>
  <c r="E4551"/>
  <c r="E4549"/>
  <c r="E4547"/>
  <c r="E4545"/>
  <c r="E4543"/>
  <c r="E4541"/>
  <c r="E4539"/>
  <c r="E4537"/>
  <c r="E4535"/>
  <c r="E4533"/>
  <c r="E4531"/>
  <c r="E4529"/>
  <c r="E4527"/>
  <c r="E4525"/>
  <c r="E4523"/>
  <c r="E4521"/>
  <c r="E4519"/>
  <c r="E4517"/>
  <c r="E4515"/>
  <c r="E4513"/>
  <c r="E4511"/>
  <c r="E4509"/>
  <c r="E4507"/>
  <c r="E4505"/>
  <c r="E4503"/>
  <c r="E4501"/>
  <c r="E4499"/>
  <c r="E4497"/>
  <c r="E4495"/>
  <c r="E4493"/>
  <c r="E4491"/>
  <c r="E4489"/>
  <c r="E4487"/>
  <c r="E4485"/>
  <c r="E4483"/>
  <c r="E4481"/>
  <c r="E4479"/>
  <c r="E4477"/>
  <c r="E4475"/>
  <c r="E4473"/>
  <c r="E4471"/>
  <c r="E4469"/>
  <c r="E4467"/>
  <c r="E4465"/>
  <c r="E4463"/>
  <c r="E4461"/>
  <c r="E4459"/>
  <c r="E4457"/>
  <c r="E4455"/>
  <c r="E4453"/>
  <c r="E4451"/>
  <c r="E4449"/>
  <c r="E4447"/>
  <c r="E4445"/>
  <c r="E4443"/>
  <c r="E4441"/>
  <c r="E4439"/>
  <c r="E4437"/>
  <c r="E4435"/>
  <c r="E4433"/>
  <c r="E4431"/>
  <c r="E4429"/>
  <c r="E4427"/>
  <c r="E4425"/>
  <c r="E4423"/>
  <c r="E4421"/>
  <c r="E4419"/>
  <c r="E4417"/>
  <c r="E4415"/>
  <c r="E4413"/>
  <c r="E4411"/>
  <c r="E4409"/>
  <c r="E4407"/>
  <c r="E4405"/>
  <c r="E4403"/>
  <c r="E4401"/>
  <c r="E4399"/>
  <c r="E4397"/>
  <c r="E4395"/>
  <c r="E4393"/>
  <c r="E4391"/>
  <c r="E4389"/>
  <c r="E4387"/>
  <c r="E4385"/>
  <c r="E4383"/>
  <c r="E4381"/>
  <c r="E4379"/>
  <c r="E4377"/>
  <c r="E4375"/>
  <c r="E4373"/>
  <c r="E4371"/>
  <c r="E4369"/>
  <c r="E4367"/>
  <c r="E4365"/>
  <c r="E4363"/>
  <c r="E4361"/>
  <c r="E4359"/>
  <c r="E4357"/>
  <c r="E4355"/>
  <c r="E4353"/>
  <c r="E4351"/>
  <c r="E4349"/>
  <c r="E4347"/>
  <c r="E4345"/>
  <c r="E4343"/>
  <c r="E4341"/>
  <c r="E4339"/>
  <c r="E4337"/>
  <c r="E4335"/>
  <c r="E4333"/>
  <c r="E4331"/>
  <c r="E4329"/>
  <c r="E4327"/>
  <c r="E4325"/>
  <c r="E4323"/>
  <c r="E4321"/>
  <c r="E4319"/>
  <c r="E4317"/>
  <c r="E4315"/>
  <c r="E4313"/>
  <c r="E4311"/>
  <c r="E4309"/>
  <c r="E4307"/>
  <c r="E4305"/>
  <c r="E4303"/>
  <c r="E4301"/>
  <c r="E4299"/>
  <c r="E4297"/>
  <c r="E4295"/>
  <c r="E4293"/>
  <c r="E4291"/>
  <c r="E4289"/>
  <c r="E4287"/>
  <c r="E4285"/>
  <c r="E4283"/>
  <c r="E4281"/>
  <c r="E4279"/>
  <c r="E4277"/>
  <c r="E4275"/>
  <c r="E4273"/>
  <c r="E4271"/>
  <c r="E4269"/>
  <c r="E4267"/>
  <c r="E4265"/>
  <c r="E4263"/>
  <c r="E4261"/>
  <c r="E4259"/>
  <c r="E4257"/>
  <c r="E4255"/>
  <c r="E4253"/>
  <c r="E4251"/>
  <c r="E4249"/>
  <c r="E4247"/>
  <c r="E4245"/>
  <c r="E4243"/>
  <c r="E4241"/>
  <c r="E4239"/>
  <c r="E4237"/>
  <c r="E4235"/>
  <c r="E4233"/>
  <c r="E4231"/>
  <c r="E4229"/>
  <c r="E4227"/>
  <c r="E4225"/>
  <c r="E4223"/>
  <c r="E4221"/>
  <c r="E4219"/>
  <c r="E4217"/>
  <c r="E4215"/>
  <c r="E4213"/>
  <c r="E4211"/>
  <c r="E4209"/>
  <c r="E4207"/>
  <c r="E4205"/>
  <c r="E4203"/>
  <c r="E4201"/>
  <c r="E4199"/>
  <c r="E4197"/>
  <c r="E4195"/>
  <c r="E4193"/>
  <c r="E4191"/>
  <c r="E4189"/>
  <c r="E4187"/>
  <c r="E4185"/>
  <c r="E4183"/>
  <c r="E4181"/>
  <c r="E4179"/>
  <c r="E4177"/>
  <c r="E4175"/>
  <c r="E4173"/>
  <c r="E4171"/>
  <c r="E4169"/>
  <c r="E4167"/>
  <c r="E4165"/>
  <c r="E4163"/>
  <c r="E4161"/>
  <c r="E4159"/>
  <c r="E4157"/>
  <c r="E4155"/>
  <c r="E4153"/>
  <c r="E4151"/>
  <c r="E4149"/>
  <c r="E4147"/>
  <c r="E4145"/>
  <c r="E4143"/>
  <c r="E4141"/>
  <c r="E4139"/>
  <c r="E4137"/>
  <c r="E4135"/>
  <c r="E4133"/>
  <c r="E4131"/>
  <c r="E4129"/>
  <c r="E4127"/>
  <c r="E4125"/>
  <c r="E4123"/>
  <c r="E4121"/>
  <c r="E4119"/>
  <c r="E4117"/>
  <c r="E4115"/>
  <c r="E4113"/>
  <c r="E4111"/>
  <c r="E4109"/>
  <c r="E4107"/>
  <c r="E4105"/>
  <c r="E4103"/>
  <c r="E4101"/>
  <c r="E4099"/>
  <c r="E4097"/>
  <c r="E4095"/>
  <c r="E4093"/>
  <c r="E4091"/>
  <c r="E4089"/>
  <c r="E4087"/>
  <c r="E4085"/>
  <c r="E4083"/>
  <c r="E4081"/>
  <c r="E4079"/>
  <c r="E4077"/>
  <c r="E4075"/>
  <c r="E4073"/>
  <c r="E4071"/>
  <c r="E4069"/>
  <c r="E4067"/>
  <c r="E4065"/>
  <c r="E4063"/>
  <c r="E4061"/>
  <c r="E4059"/>
  <c r="E4057"/>
  <c r="E4055"/>
  <c r="E4053"/>
  <c r="E4051"/>
  <c r="E4049"/>
  <c r="E4047"/>
  <c r="E4045"/>
  <c r="E4043"/>
  <c r="E4041"/>
  <c r="E4039"/>
  <c r="E4037"/>
  <c r="E4035"/>
  <c r="E4033"/>
  <c r="E4031"/>
  <c r="E4029"/>
  <c r="E4027"/>
  <c r="E4025"/>
  <c r="E4023"/>
  <c r="E4021"/>
  <c r="E4019"/>
  <c r="E4017"/>
  <c r="E4015"/>
  <c r="E4013"/>
  <c r="E4011"/>
  <c r="E4009"/>
  <c r="E4005"/>
  <c r="E4003"/>
  <c r="E4001"/>
  <c r="E3999"/>
  <c r="E3997"/>
  <c r="E3995"/>
  <c r="E3993"/>
  <c r="E3991"/>
  <c r="E3989"/>
  <c r="E3987"/>
  <c r="E3985"/>
  <c r="E3983"/>
  <c r="E3981"/>
  <c r="E3979"/>
  <c r="E3977"/>
  <c r="E3975"/>
  <c r="E3973"/>
  <c r="E3971"/>
  <c r="E3969"/>
  <c r="E3967"/>
  <c r="E3965"/>
  <c r="E3963"/>
  <c r="E3961"/>
  <c r="E3959"/>
  <c r="E3957"/>
  <c r="E3955"/>
  <c r="E3953"/>
  <c r="E3951"/>
  <c r="E3949"/>
  <c r="E3947"/>
  <c r="E3945"/>
  <c r="E3943"/>
  <c r="E3941"/>
  <c r="E3939"/>
  <c r="E3937"/>
  <c r="E3935"/>
  <c r="E3933"/>
  <c r="E3931"/>
  <c r="E3929"/>
  <c r="E3927"/>
  <c r="E3925"/>
  <c r="E3923"/>
  <c r="E3921"/>
  <c r="E3919"/>
  <c r="E3917"/>
  <c r="E3915"/>
  <c r="E3913"/>
  <c r="E3911"/>
  <c r="E3909"/>
  <c r="E3907"/>
  <c r="E3905"/>
  <c r="E3903"/>
  <c r="E3901"/>
  <c r="E3899"/>
  <c r="E3897"/>
  <c r="E3895"/>
  <c r="E3893"/>
  <c r="E3891"/>
  <c r="E3889"/>
  <c r="E3887"/>
  <c r="E3885"/>
  <c r="E3883"/>
  <c r="E3881"/>
  <c r="E3879"/>
  <c r="E3877"/>
  <c r="E3875"/>
  <c r="E3873"/>
  <c r="E3871"/>
  <c r="E3869"/>
  <c r="E3867"/>
  <c r="E3865"/>
  <c r="E3863"/>
  <c r="E3861"/>
  <c r="E3859"/>
  <c r="E3857"/>
  <c r="E3855"/>
  <c r="E3853"/>
  <c r="E3851"/>
  <c r="E3849"/>
  <c r="E3847"/>
  <c r="E3845"/>
  <c r="E3843"/>
  <c r="E3841"/>
  <c r="E3839"/>
  <c r="E3837"/>
  <c r="E3835"/>
  <c r="E3833"/>
  <c r="E3831"/>
  <c r="E3829"/>
  <c r="E3827"/>
  <c r="E3825"/>
  <c r="E3823"/>
  <c r="E3821"/>
  <c r="E3819"/>
  <c r="E3817"/>
  <c r="E3815"/>
  <c r="E3813"/>
  <c r="E3811"/>
  <c r="E3809"/>
  <c r="E3807"/>
  <c r="E3805"/>
  <c r="E3803"/>
  <c r="E3801"/>
  <c r="E3799"/>
  <c r="E3797"/>
  <c r="E3795"/>
  <c r="E3793"/>
  <c r="E3791"/>
  <c r="E3789"/>
  <c r="E3787"/>
  <c r="E3785"/>
  <c r="E3783"/>
  <c r="E3781"/>
  <c r="E3779"/>
  <c r="E3777"/>
  <c r="E3775"/>
  <c r="E3773"/>
  <c r="E3771"/>
  <c r="E3769"/>
  <c r="E3767"/>
  <c r="E3765"/>
  <c r="E3763"/>
  <c r="E3761"/>
  <c r="E3759"/>
  <c r="E3757"/>
  <c r="E3755"/>
  <c r="E3753"/>
  <c r="E3751"/>
  <c r="E3749"/>
  <c r="E3747"/>
  <c r="E3745"/>
  <c r="E3743"/>
  <c r="E3741"/>
  <c r="E3739"/>
  <c r="E3737"/>
  <c r="E3735"/>
  <c r="E3733"/>
  <c r="E3731"/>
  <c r="E3729"/>
  <c r="E3727"/>
  <c r="E3725"/>
  <c r="E3723"/>
  <c r="E3721"/>
  <c r="E3719"/>
  <c r="E3717"/>
  <c r="E3715"/>
  <c r="E3713"/>
  <c r="E3711"/>
  <c r="E3709"/>
  <c r="E3707"/>
  <c r="E3705"/>
  <c r="E3703"/>
  <c r="E3701"/>
  <c r="E3699"/>
  <c r="E3697"/>
  <c r="E3695"/>
  <c r="E3693"/>
  <c r="E3691"/>
  <c r="E3689"/>
  <c r="E3687"/>
  <c r="E3685"/>
  <c r="E4158"/>
  <c r="E4007"/>
  <c r="E3786"/>
  <c r="E3778"/>
  <c r="E3770"/>
  <c r="E3762"/>
  <c r="E3754"/>
  <c r="E3746"/>
  <c r="E3738"/>
  <c r="E3730"/>
  <c r="E3722"/>
  <c r="E3714"/>
  <c r="E3706"/>
  <c r="E3698"/>
  <c r="E3690"/>
  <c r="E3034"/>
  <c r="E2588"/>
  <c r="E2542"/>
  <c r="E2532"/>
  <c r="E2528"/>
  <c r="E2524"/>
  <c r="E2520"/>
  <c r="E2516"/>
  <c r="E2514"/>
  <c r="E2510"/>
  <c r="E2506"/>
  <c r="E2502"/>
  <c r="E2498"/>
  <c r="E2494"/>
  <c r="E2490"/>
  <c r="E2488"/>
  <c r="E2484"/>
  <c r="E2480"/>
  <c r="E2476"/>
  <c r="E2472"/>
  <c r="E2470"/>
  <c r="E2466"/>
  <c r="E2462"/>
  <c r="E2458"/>
  <c r="E2456"/>
  <c r="E2452"/>
  <c r="E2448"/>
  <c r="E2444"/>
  <c r="E2440"/>
  <c r="E2436"/>
  <c r="E2434"/>
  <c r="E2430"/>
  <c r="E2426"/>
  <c r="E2422"/>
  <c r="E2418"/>
  <c r="E2416"/>
  <c r="E2412"/>
  <c r="E2408"/>
  <c r="E2404"/>
  <c r="E2400"/>
  <c r="E2396"/>
  <c r="E2392"/>
  <c r="E2390"/>
  <c r="E2386"/>
  <c r="E2382"/>
  <c r="E2378"/>
  <c r="E2374"/>
  <c r="E2370"/>
  <c r="E2366"/>
  <c r="E2362"/>
  <c r="E2360"/>
  <c r="E2356"/>
  <c r="E2352"/>
  <c r="E2350"/>
  <c r="E2346"/>
  <c r="E2342"/>
  <c r="E2338"/>
  <c r="E2334"/>
  <c r="E2332"/>
  <c r="E2328"/>
  <c r="E2324"/>
  <c r="E2320"/>
  <c r="E2316"/>
  <c r="E2312"/>
  <c r="E2310"/>
  <c r="E2306"/>
  <c r="E2302"/>
  <c r="E2298"/>
  <c r="E2294"/>
  <c r="E2290"/>
  <c r="E2286"/>
  <c r="E2284"/>
  <c r="E2280"/>
  <c r="E2276"/>
  <c r="E2272"/>
  <c r="E2270"/>
  <c r="E2266"/>
  <c r="E2262"/>
  <c r="E2258"/>
  <c r="E2254"/>
  <c r="E2252"/>
  <c r="E2248"/>
  <c r="E2244"/>
  <c r="E2240"/>
  <c r="E2238"/>
  <c r="E2234"/>
  <c r="E2230"/>
  <c r="E2226"/>
  <c r="E2222"/>
  <c r="E2220"/>
  <c r="E2216"/>
  <c r="E2212"/>
  <c r="E2208"/>
  <c r="E2204"/>
  <c r="E2202"/>
  <c r="E2198"/>
  <c r="E2194"/>
  <c r="E2192"/>
  <c r="E2188"/>
  <c r="E2184"/>
  <c r="E2180"/>
  <c r="E2176"/>
  <c r="E2172"/>
  <c r="E2170"/>
  <c r="E2166"/>
  <c r="E2162"/>
  <c r="E2160"/>
  <c r="E2156"/>
  <c r="E2152"/>
  <c r="E2148"/>
  <c r="E2144"/>
  <c r="E2140"/>
  <c r="E2138"/>
  <c r="E2134"/>
  <c r="E2130"/>
  <c r="E2126"/>
  <c r="E2124"/>
  <c r="E2120"/>
  <c r="E2116"/>
  <c r="E2112"/>
  <c r="E2108"/>
  <c r="E2106"/>
  <c r="E2102"/>
  <c r="E3788"/>
  <c r="E3780"/>
  <c r="E3772"/>
  <c r="E3764"/>
  <c r="E3756"/>
  <c r="E3748"/>
  <c r="E3740"/>
  <c r="E3732"/>
  <c r="E3724"/>
  <c r="E3716"/>
  <c r="E3708"/>
  <c r="E3700"/>
  <c r="E3692"/>
  <c r="E3684"/>
  <c r="E3682"/>
  <c r="E3680"/>
  <c r="E3678"/>
  <c r="E3676"/>
  <c r="E3674"/>
  <c r="E3672"/>
  <c r="E3670"/>
  <c r="E3668"/>
  <c r="E3666"/>
  <c r="E3664"/>
  <c r="E3662"/>
  <c r="E3660"/>
  <c r="E3658"/>
  <c r="E3656"/>
  <c r="E3654"/>
  <c r="E3652"/>
  <c r="E3650"/>
  <c r="E3648"/>
  <c r="E3646"/>
  <c r="E3644"/>
  <c r="E3642"/>
  <c r="E3640"/>
  <c r="E3638"/>
  <c r="E3636"/>
  <c r="E3634"/>
  <c r="E3632"/>
  <c r="E3630"/>
  <c r="E3628"/>
  <c r="E3626"/>
  <c r="E3624"/>
  <c r="E3622"/>
  <c r="E3620"/>
  <c r="E3618"/>
  <c r="E3616"/>
  <c r="E3614"/>
  <c r="E3612"/>
  <c r="E3610"/>
  <c r="E3608"/>
  <c r="E3606"/>
  <c r="E3604"/>
  <c r="E3602"/>
  <c r="E3600"/>
  <c r="E3598"/>
  <c r="E3596"/>
  <c r="E3594"/>
  <c r="E3592"/>
  <c r="E3590"/>
  <c r="E3588"/>
  <c r="E3586"/>
  <c r="E3584"/>
  <c r="E3582"/>
  <c r="E3580"/>
  <c r="E3578"/>
  <c r="E3576"/>
  <c r="E3574"/>
  <c r="E3572"/>
  <c r="E3570"/>
  <c r="E3568"/>
  <c r="E3566"/>
  <c r="E3564"/>
  <c r="E3562"/>
  <c r="E3560"/>
  <c r="E3558"/>
  <c r="E3556"/>
  <c r="E3554"/>
  <c r="E3552"/>
  <c r="E3550"/>
  <c r="E3548"/>
  <c r="E3546"/>
  <c r="E3544"/>
  <c r="E3542"/>
  <c r="E3540"/>
  <c r="E3538"/>
  <c r="E3536"/>
  <c r="E3534"/>
  <c r="E3532"/>
  <c r="E3530"/>
  <c r="E3528"/>
  <c r="E3526"/>
  <c r="E3524"/>
  <c r="E3522"/>
  <c r="E3520"/>
  <c r="E3518"/>
  <c r="E3516"/>
  <c r="E3514"/>
  <c r="E3512"/>
  <c r="E3510"/>
  <c r="E3508"/>
  <c r="E3506"/>
  <c r="E3504"/>
  <c r="E3502"/>
  <c r="E3500"/>
  <c r="E3498"/>
  <c r="E3496"/>
  <c r="E3494"/>
  <c r="E3492"/>
  <c r="E3490"/>
  <c r="E3488"/>
  <c r="E3486"/>
  <c r="E3484"/>
  <c r="E3482"/>
  <c r="E3480"/>
  <c r="E3478"/>
  <c r="E3476"/>
  <c r="E3474"/>
  <c r="E3472"/>
  <c r="E3470"/>
  <c r="E3468"/>
  <c r="E3466"/>
  <c r="E3464"/>
  <c r="E3462"/>
  <c r="E3460"/>
  <c r="E3458"/>
  <c r="E3456"/>
  <c r="E3454"/>
  <c r="E3452"/>
  <c r="E3450"/>
  <c r="E3448"/>
  <c r="E3446"/>
  <c r="E3444"/>
  <c r="E3442"/>
  <c r="E3440"/>
  <c r="E3438"/>
  <c r="E3436"/>
  <c r="E3434"/>
  <c r="E3432"/>
  <c r="E3430"/>
  <c r="E3428"/>
  <c r="E3426"/>
  <c r="E3424"/>
  <c r="E3422"/>
  <c r="E3420"/>
  <c r="E3418"/>
  <c r="E3416"/>
  <c r="E3414"/>
  <c r="E3412"/>
  <c r="E3410"/>
  <c r="E3408"/>
  <c r="E3406"/>
  <c r="E3404"/>
  <c r="E3402"/>
  <c r="E3400"/>
  <c r="E3398"/>
  <c r="E3396"/>
  <c r="E3394"/>
  <c r="E3392"/>
  <c r="E3390"/>
  <c r="E3388"/>
  <c r="E3386"/>
  <c r="E3384"/>
  <c r="E3382"/>
  <c r="E3380"/>
  <c r="E3378"/>
  <c r="E3376"/>
  <c r="E3374"/>
  <c r="E3372"/>
  <c r="E3370"/>
  <c r="E3368"/>
  <c r="E3366"/>
  <c r="E3364"/>
  <c r="E3362"/>
  <c r="E3360"/>
  <c r="E3358"/>
  <c r="E3356"/>
  <c r="E3354"/>
  <c r="E3352"/>
  <c r="E3350"/>
  <c r="E3348"/>
  <c r="E3346"/>
  <c r="E3344"/>
  <c r="E3342"/>
  <c r="E3340"/>
  <c r="E3338"/>
  <c r="E3336"/>
  <c r="E3334"/>
  <c r="E3332"/>
  <c r="E3330"/>
  <c r="E3328"/>
  <c r="E3326"/>
  <c r="E3324"/>
  <c r="E3322"/>
  <c r="E3320"/>
  <c r="E3318"/>
  <c r="E3316"/>
  <c r="E3314"/>
  <c r="E3312"/>
  <c r="E3310"/>
  <c r="E3308"/>
  <c r="E3306"/>
  <c r="E3304"/>
  <c r="E3302"/>
  <c r="E3300"/>
  <c r="E3298"/>
  <c r="E3296"/>
  <c r="E3294"/>
  <c r="E3292"/>
  <c r="E3290"/>
  <c r="E3288"/>
  <c r="E3286"/>
  <c r="E3284"/>
  <c r="E3282"/>
  <c r="E3280"/>
  <c r="E3278"/>
  <c r="E3276"/>
  <c r="E3274"/>
  <c r="E3272"/>
  <c r="E3270"/>
  <c r="E3268"/>
  <c r="E3266"/>
  <c r="E3264"/>
  <c r="E3262"/>
  <c r="E3260"/>
  <c r="E3258"/>
  <c r="E3256"/>
  <c r="E3254"/>
  <c r="E3252"/>
  <c r="E3250"/>
  <c r="E3248"/>
  <c r="E3246"/>
  <c r="E3244"/>
  <c r="E3242"/>
  <c r="E3240"/>
  <c r="E3238"/>
  <c r="E3236"/>
  <c r="E3234"/>
  <c r="E3232"/>
  <c r="E3230"/>
  <c r="E3228"/>
  <c r="E3226"/>
  <c r="E3224"/>
  <c r="E3222"/>
  <c r="E3220"/>
  <c r="E3218"/>
  <c r="E3216"/>
  <c r="E3214"/>
  <c r="E3212"/>
  <c r="E3210"/>
  <c r="E3208"/>
  <c r="E3206"/>
  <c r="E3204"/>
  <c r="E3202"/>
  <c r="E3200"/>
  <c r="E3198"/>
  <c r="E3196"/>
  <c r="E3194"/>
  <c r="E3192"/>
  <c r="E3190"/>
  <c r="E3188"/>
  <c r="E3186"/>
  <c r="E3184"/>
  <c r="E3182"/>
  <c r="E3180"/>
  <c r="E3178"/>
  <c r="E3176"/>
  <c r="E3174"/>
  <c r="E3172"/>
  <c r="E3170"/>
  <c r="E3168"/>
  <c r="E3166"/>
  <c r="E3164"/>
  <c r="E3162"/>
  <c r="E3160"/>
  <c r="E3158"/>
  <c r="E3156"/>
  <c r="E3154"/>
  <c r="E3152"/>
  <c r="E3150"/>
  <c r="E3148"/>
  <c r="E3146"/>
  <c r="E3144"/>
  <c r="E3142"/>
  <c r="E3140"/>
  <c r="E3138"/>
  <c r="E3136"/>
  <c r="E3134"/>
  <c r="E3132"/>
  <c r="E3130"/>
  <c r="E3128"/>
  <c r="E3126"/>
  <c r="E3124"/>
  <c r="E3122"/>
  <c r="E3120"/>
  <c r="E3118"/>
  <c r="E3116"/>
  <c r="E3114"/>
  <c r="E3112"/>
  <c r="E3110"/>
  <c r="E3108"/>
  <c r="E3106"/>
  <c r="E3104"/>
  <c r="E3102"/>
  <c r="E3100"/>
  <c r="E3098"/>
  <c r="E3096"/>
  <c r="E3094"/>
  <c r="E3092"/>
  <c r="E3090"/>
  <c r="E3088"/>
  <c r="E3086"/>
  <c r="E3084"/>
  <c r="E3082"/>
  <c r="E3080"/>
  <c r="E3078"/>
  <c r="E3076"/>
  <c r="E3074"/>
  <c r="E3072"/>
  <c r="E3070"/>
  <c r="E3068"/>
  <c r="E3066"/>
  <c r="E3064"/>
  <c r="E3062"/>
  <c r="E3060"/>
  <c r="E3058"/>
  <c r="E3056"/>
  <c r="E3054"/>
  <c r="E3052"/>
  <c r="E3050"/>
  <c r="E3048"/>
  <c r="E3046"/>
  <c r="E3044"/>
  <c r="E3042"/>
  <c r="E3040"/>
  <c r="E3038"/>
  <c r="E3036"/>
  <c r="E3032"/>
  <c r="E3030"/>
  <c r="E3028"/>
  <c r="E3026"/>
  <c r="E3024"/>
  <c r="E3022"/>
  <c r="E3020"/>
  <c r="E3018"/>
  <c r="E3016"/>
  <c r="E3014"/>
  <c r="E3012"/>
  <c r="E3010"/>
  <c r="E3008"/>
  <c r="E3006"/>
  <c r="E3004"/>
  <c r="E3002"/>
  <c r="E3000"/>
  <c r="E2998"/>
  <c r="E2996"/>
  <c r="E2994"/>
  <c r="E2992"/>
  <c r="E2990"/>
  <c r="E2988"/>
  <c r="E2986"/>
  <c r="E2984"/>
  <c r="E2982"/>
  <c r="E2980"/>
  <c r="E2978"/>
  <c r="E2976"/>
  <c r="E2974"/>
  <c r="E2972"/>
  <c r="E2970"/>
  <c r="E2968"/>
  <c r="E2966"/>
  <c r="E2964"/>
  <c r="E2962"/>
  <c r="E2960"/>
  <c r="E2958"/>
  <c r="E2956"/>
  <c r="E2954"/>
  <c r="E2952"/>
  <c r="E2950"/>
  <c r="E2948"/>
  <c r="E2946"/>
  <c r="E2944"/>
  <c r="E2942"/>
  <c r="E2940"/>
  <c r="E2938"/>
  <c r="E2936"/>
  <c r="E2934"/>
  <c r="E2932"/>
  <c r="E2930"/>
  <c r="E2928"/>
  <c r="E2926"/>
  <c r="E2924"/>
  <c r="E2922"/>
  <c r="E2920"/>
  <c r="E2918"/>
  <c r="E2916"/>
  <c r="E2914"/>
  <c r="E2912"/>
  <c r="E2910"/>
  <c r="E2908"/>
  <c r="E2906"/>
  <c r="E2904"/>
  <c r="E2902"/>
  <c r="E2900"/>
  <c r="E2898"/>
  <c r="E2896"/>
  <c r="E2894"/>
  <c r="E2892"/>
  <c r="E2890"/>
  <c r="E2888"/>
  <c r="E2886"/>
  <c r="E2884"/>
  <c r="E2882"/>
  <c r="E2880"/>
  <c r="E2878"/>
  <c r="E2876"/>
  <c r="E2874"/>
  <c r="E2872"/>
  <c r="E2870"/>
  <c r="E2868"/>
  <c r="E2866"/>
  <c r="E2864"/>
  <c r="E2862"/>
  <c r="E2860"/>
  <c r="E2858"/>
  <c r="E2856"/>
  <c r="E2854"/>
  <c r="E2852"/>
  <c r="E2850"/>
  <c r="E2848"/>
  <c r="E2846"/>
  <c r="E2844"/>
  <c r="E2842"/>
  <c r="E2840"/>
  <c r="E2838"/>
  <c r="E2836"/>
  <c r="E2834"/>
  <c r="E2832"/>
  <c r="E2830"/>
  <c r="E2828"/>
  <c r="E2826"/>
  <c r="E2824"/>
  <c r="E2822"/>
  <c r="E2820"/>
  <c r="E2818"/>
  <c r="E2816"/>
  <c r="E2814"/>
  <c r="E2812"/>
  <c r="E2810"/>
  <c r="E2808"/>
  <c r="E2806"/>
  <c r="E2804"/>
  <c r="E2802"/>
  <c r="E2800"/>
  <c r="E2798"/>
  <c r="E2796"/>
  <c r="E2794"/>
  <c r="E2792"/>
  <c r="E2790"/>
  <c r="E2788"/>
  <c r="E2786"/>
  <c r="E2784"/>
  <c r="E2782"/>
  <c r="E2780"/>
  <c r="E2778"/>
  <c r="E2776"/>
  <c r="E2774"/>
  <c r="E2772"/>
  <c r="E2770"/>
  <c r="E2768"/>
  <c r="E2766"/>
  <c r="E2764"/>
  <c r="E2762"/>
  <c r="E2760"/>
  <c r="E2758"/>
  <c r="E2756"/>
  <c r="E2754"/>
  <c r="E2752"/>
  <c r="E2750"/>
  <c r="E2748"/>
  <c r="E2746"/>
  <c r="E2744"/>
  <c r="E2742"/>
  <c r="E2740"/>
  <c r="E2738"/>
  <c r="E2736"/>
  <c r="E2734"/>
  <c r="E2732"/>
  <c r="E2730"/>
  <c r="E2728"/>
  <c r="E2726"/>
  <c r="E2724"/>
  <c r="E2722"/>
  <c r="E2720"/>
  <c r="E2718"/>
  <c r="E2716"/>
  <c r="E2714"/>
  <c r="E2712"/>
  <c r="E2710"/>
  <c r="E2708"/>
  <c r="E2706"/>
  <c r="E2704"/>
  <c r="E2702"/>
  <c r="E2700"/>
  <c r="E2698"/>
  <c r="E2696"/>
  <c r="E2694"/>
  <c r="E2692"/>
  <c r="E2690"/>
  <c r="E2688"/>
  <c r="E2686"/>
  <c r="E2684"/>
  <c r="E2682"/>
  <c r="E2680"/>
  <c r="E2678"/>
  <c r="E2676"/>
  <c r="E2674"/>
  <c r="E2672"/>
  <c r="E2670"/>
  <c r="E2668"/>
  <c r="E2666"/>
  <c r="E2664"/>
  <c r="E2662"/>
  <c r="E2660"/>
  <c r="E2658"/>
  <c r="E2656"/>
  <c r="E2654"/>
  <c r="E2652"/>
  <c r="E2650"/>
  <c r="E2648"/>
  <c r="E2646"/>
  <c r="E2644"/>
  <c r="E2642"/>
  <c r="E2640"/>
  <c r="E2638"/>
  <c r="E2636"/>
  <c r="E2634"/>
  <c r="E2632"/>
  <c r="E2630"/>
  <c r="E2628"/>
  <c r="E2626"/>
  <c r="E2624"/>
  <c r="E2622"/>
  <c r="E2620"/>
  <c r="E2618"/>
  <c r="E2616"/>
  <c r="E2614"/>
  <c r="E2612"/>
  <c r="E2610"/>
  <c r="E2608"/>
  <c r="E2606"/>
  <c r="E2604"/>
  <c r="E2602"/>
  <c r="E2600"/>
  <c r="E2598"/>
  <c r="E2596"/>
  <c r="E2594"/>
  <c r="E2592"/>
  <c r="E2590"/>
  <c r="E2586"/>
  <c r="E2584"/>
  <c r="E2582"/>
  <c r="E2580"/>
  <c r="E2578"/>
  <c r="E2576"/>
  <c r="E2574"/>
  <c r="E2572"/>
  <c r="E2570"/>
  <c r="E2568"/>
  <c r="E2566"/>
  <c r="E2564"/>
  <c r="E2562"/>
  <c r="E2560"/>
  <c r="E2558"/>
  <c r="E2556"/>
  <c r="E2554"/>
  <c r="E2552"/>
  <c r="E2550"/>
  <c r="E2548"/>
  <c r="E2546"/>
  <c r="E2544"/>
  <c r="E2540"/>
  <c r="E2538"/>
  <c r="E2536"/>
  <c r="E2534"/>
  <c r="E2530"/>
  <c r="E2526"/>
  <c r="E2522"/>
  <c r="E2518"/>
  <c r="E2512"/>
  <c r="E2508"/>
  <c r="E2504"/>
  <c r="E2500"/>
  <c r="E2496"/>
  <c r="E2492"/>
  <c r="E2486"/>
  <c r="E2482"/>
  <c r="E2478"/>
  <c r="E2474"/>
  <c r="E2468"/>
  <c r="E2464"/>
  <c r="E2460"/>
  <c r="E2454"/>
  <c r="E2450"/>
  <c r="E2446"/>
  <c r="E2442"/>
  <c r="E2438"/>
  <c r="E2432"/>
  <c r="E2428"/>
  <c r="E2424"/>
  <c r="E2420"/>
  <c r="E2414"/>
  <c r="E2410"/>
  <c r="E2406"/>
  <c r="E2402"/>
  <c r="E2398"/>
  <c r="E2394"/>
  <c r="E2388"/>
  <c r="E2384"/>
  <c r="E2380"/>
  <c r="E2376"/>
  <c r="E2372"/>
  <c r="E2368"/>
  <c r="E2364"/>
  <c r="E2358"/>
  <c r="E2354"/>
  <c r="E2348"/>
  <c r="E2344"/>
  <c r="E2340"/>
  <c r="E2336"/>
  <c r="E2330"/>
  <c r="E2326"/>
  <c r="E2322"/>
  <c r="E2318"/>
  <c r="E2314"/>
  <c r="E2308"/>
  <c r="E2304"/>
  <c r="E2300"/>
  <c r="E2296"/>
  <c r="E2292"/>
  <c r="E2288"/>
  <c r="E2282"/>
  <c r="E2278"/>
  <c r="E2274"/>
  <c r="E2268"/>
  <c r="E2264"/>
  <c r="E2260"/>
  <c r="E2256"/>
  <c r="E2250"/>
  <c r="E2246"/>
  <c r="E2242"/>
  <c r="E2236"/>
  <c r="E2232"/>
  <c r="E2228"/>
  <c r="E2224"/>
  <c r="E2218"/>
  <c r="E2214"/>
  <c r="E2210"/>
  <c r="E2206"/>
  <c r="E2200"/>
  <c r="E2196"/>
  <c r="E2190"/>
  <c r="E2186"/>
  <c r="E2182"/>
  <c r="E2178"/>
  <c r="E2174"/>
  <c r="E2168"/>
  <c r="E2164"/>
  <c r="E2158"/>
  <c r="E2154"/>
  <c r="E2150"/>
  <c r="E2146"/>
  <c r="E2142"/>
  <c r="E2136"/>
  <c r="E2132"/>
  <c r="E2128"/>
  <c r="E2122"/>
  <c r="E2118"/>
  <c r="E2114"/>
  <c r="E2110"/>
  <c r="E2104"/>
  <c r="E3790"/>
  <c r="E3782"/>
  <c r="E3774"/>
  <c r="E3766"/>
  <c r="E3758"/>
  <c r="E3750"/>
  <c r="E3742"/>
  <c r="E3734"/>
  <c r="E3726"/>
  <c r="E3718"/>
  <c r="E3710"/>
  <c r="E3702"/>
  <c r="E3694"/>
  <c r="E3686"/>
  <c r="E2943"/>
  <c r="E2513"/>
  <c r="E2467"/>
  <c r="E2459"/>
  <c r="E2455"/>
  <c r="E2451"/>
  <c r="E2447"/>
  <c r="E2445"/>
  <c r="E2441"/>
  <c r="E2437"/>
  <c r="E2433"/>
  <c r="E2431"/>
  <c r="E2427"/>
  <c r="E2423"/>
  <c r="E2419"/>
  <c r="E2415"/>
  <c r="E2413"/>
  <c r="E2409"/>
  <c r="E2405"/>
  <c r="E2403"/>
  <c r="E2399"/>
  <c r="E2395"/>
  <c r="E2391"/>
  <c r="E2389"/>
  <c r="E2385"/>
  <c r="E2381"/>
  <c r="E2377"/>
  <c r="E2375"/>
  <c r="E2371"/>
  <c r="E2367"/>
  <c r="E2363"/>
  <c r="E2359"/>
  <c r="E2357"/>
  <c r="E2353"/>
  <c r="E2349"/>
  <c r="E2347"/>
  <c r="E2343"/>
  <c r="E2339"/>
  <c r="E2335"/>
  <c r="E2333"/>
  <c r="E2329"/>
  <c r="E2325"/>
  <c r="E2321"/>
  <c r="E2319"/>
  <c r="E2315"/>
  <c r="E2311"/>
  <c r="E2307"/>
  <c r="E2303"/>
  <c r="E2299"/>
  <c r="E2295"/>
  <c r="E2293"/>
  <c r="E2289"/>
  <c r="E2285"/>
  <c r="E2281"/>
  <c r="E2277"/>
  <c r="E2273"/>
  <c r="E2269"/>
  <c r="E2267"/>
  <c r="E2263"/>
  <c r="E2259"/>
  <c r="E2255"/>
  <c r="E2253"/>
  <c r="E2249"/>
  <c r="E2245"/>
  <c r="E2241"/>
  <c r="E2237"/>
  <c r="E2235"/>
  <c r="E2231"/>
  <c r="E2227"/>
  <c r="E2223"/>
  <c r="E2221"/>
  <c r="E2217"/>
  <c r="E2213"/>
  <c r="E2209"/>
  <c r="E2205"/>
  <c r="E2201"/>
  <c r="E2197"/>
  <c r="E2193"/>
  <c r="E2189"/>
  <c r="E2187"/>
  <c r="E2185"/>
  <c r="E2183"/>
  <c r="E2179"/>
  <c r="E2175"/>
  <c r="E2173"/>
  <c r="E2169"/>
  <c r="E2167"/>
  <c r="E3784"/>
  <c r="E3776"/>
  <c r="E3768"/>
  <c r="E3760"/>
  <c r="E3752"/>
  <c r="E3744"/>
  <c r="E3736"/>
  <c r="E3728"/>
  <c r="E3720"/>
  <c r="E3712"/>
  <c r="E3704"/>
  <c r="E3696"/>
  <c r="E3688"/>
  <c r="E3683"/>
  <c r="E3681"/>
  <c r="E3679"/>
  <c r="E3677"/>
  <c r="E3675"/>
  <c r="E3673"/>
  <c r="E3671"/>
  <c r="E3669"/>
  <c r="E3667"/>
  <c r="E3665"/>
  <c r="E3663"/>
  <c r="E3661"/>
  <c r="E3659"/>
  <c r="E3657"/>
  <c r="E3655"/>
  <c r="E3653"/>
  <c r="E3651"/>
  <c r="E3649"/>
  <c r="E3647"/>
  <c r="E3645"/>
  <c r="E3643"/>
  <c r="E3641"/>
  <c r="E3639"/>
  <c r="E3637"/>
  <c r="E3635"/>
  <c r="E3633"/>
  <c r="E3631"/>
  <c r="E3629"/>
  <c r="E3627"/>
  <c r="E3625"/>
  <c r="E3623"/>
  <c r="E3621"/>
  <c r="E3619"/>
  <c r="E3617"/>
  <c r="E3615"/>
  <c r="E3613"/>
  <c r="E3611"/>
  <c r="E3609"/>
  <c r="E3607"/>
  <c r="E3605"/>
  <c r="E3603"/>
  <c r="E3601"/>
  <c r="E3599"/>
  <c r="E3597"/>
  <c r="E3595"/>
  <c r="E3593"/>
  <c r="E3591"/>
  <c r="E3589"/>
  <c r="E3587"/>
  <c r="E3585"/>
  <c r="E3583"/>
  <c r="E3581"/>
  <c r="E3579"/>
  <c r="E3577"/>
  <c r="E3575"/>
  <c r="E3573"/>
  <c r="E3571"/>
  <c r="E3569"/>
  <c r="E3567"/>
  <c r="E3565"/>
  <c r="E3563"/>
  <c r="E3561"/>
  <c r="E3559"/>
  <c r="E3557"/>
  <c r="E3555"/>
  <c r="E3553"/>
  <c r="E3551"/>
  <c r="E3549"/>
  <c r="E3547"/>
  <c r="E3545"/>
  <c r="E3543"/>
  <c r="E3541"/>
  <c r="E3539"/>
  <c r="E3537"/>
  <c r="E3535"/>
  <c r="E3533"/>
  <c r="E3531"/>
  <c r="E3529"/>
  <c r="E3527"/>
  <c r="E3525"/>
  <c r="E3523"/>
  <c r="E3521"/>
  <c r="E3519"/>
  <c r="E3517"/>
  <c r="E3515"/>
  <c r="E3513"/>
  <c r="E3511"/>
  <c r="E3509"/>
  <c r="E3507"/>
  <c r="E3505"/>
  <c r="E3503"/>
  <c r="E3501"/>
  <c r="E3499"/>
  <c r="E3497"/>
  <c r="E3495"/>
  <c r="E3493"/>
  <c r="E3491"/>
  <c r="E3489"/>
  <c r="E3487"/>
  <c r="E3485"/>
  <c r="E3483"/>
  <c r="E3481"/>
  <c r="E3479"/>
  <c r="E3477"/>
  <c r="E3475"/>
  <c r="E3473"/>
  <c r="E3471"/>
  <c r="E3469"/>
  <c r="E3467"/>
  <c r="E3465"/>
  <c r="E3463"/>
  <c r="E3461"/>
  <c r="E3459"/>
  <c r="E3457"/>
  <c r="E3455"/>
  <c r="E3453"/>
  <c r="E3451"/>
  <c r="E3449"/>
  <c r="E3447"/>
  <c r="E3445"/>
  <c r="E3443"/>
  <c r="E3441"/>
  <c r="E3439"/>
  <c r="E3437"/>
  <c r="E3435"/>
  <c r="E3433"/>
  <c r="E3431"/>
  <c r="E3429"/>
  <c r="E3427"/>
  <c r="E3425"/>
  <c r="E3423"/>
  <c r="E3421"/>
  <c r="E3419"/>
  <c r="E3417"/>
  <c r="E3415"/>
  <c r="E3413"/>
  <c r="E3411"/>
  <c r="E3409"/>
  <c r="E3407"/>
  <c r="E3405"/>
  <c r="E3403"/>
  <c r="E3401"/>
  <c r="E3399"/>
  <c r="E3397"/>
  <c r="E3395"/>
  <c r="E3393"/>
  <c r="E3391"/>
  <c r="E3389"/>
  <c r="E3387"/>
  <c r="E3385"/>
  <c r="E3383"/>
  <c r="E3381"/>
  <c r="E3379"/>
  <c r="E3377"/>
  <c r="E3375"/>
  <c r="E3373"/>
  <c r="E3371"/>
  <c r="E3369"/>
  <c r="E3367"/>
  <c r="E3365"/>
  <c r="E3363"/>
  <c r="E3361"/>
  <c r="E3359"/>
  <c r="E3357"/>
  <c r="E3355"/>
  <c r="E3353"/>
  <c r="E3351"/>
  <c r="E3349"/>
  <c r="E3347"/>
  <c r="E3345"/>
  <c r="E3343"/>
  <c r="E3341"/>
  <c r="E3339"/>
  <c r="E3337"/>
  <c r="E3335"/>
  <c r="E3333"/>
  <c r="E3331"/>
  <c r="E3329"/>
  <c r="E3327"/>
  <c r="E3325"/>
  <c r="E3323"/>
  <c r="E3321"/>
  <c r="E3319"/>
  <c r="E3317"/>
  <c r="E3315"/>
  <c r="E3313"/>
  <c r="E3311"/>
  <c r="E3309"/>
  <c r="E3307"/>
  <c r="E3305"/>
  <c r="E3303"/>
  <c r="E3301"/>
  <c r="E3299"/>
  <c r="E3297"/>
  <c r="E3295"/>
  <c r="E3293"/>
  <c r="E3291"/>
  <c r="E3289"/>
  <c r="E3287"/>
  <c r="E3285"/>
  <c r="E3283"/>
  <c r="E3281"/>
  <c r="E3279"/>
  <c r="E3277"/>
  <c r="E3275"/>
  <c r="E3273"/>
  <c r="E3271"/>
  <c r="E3269"/>
  <c r="E3267"/>
  <c r="E3265"/>
  <c r="E3263"/>
  <c r="E3261"/>
  <c r="E3259"/>
  <c r="E3257"/>
  <c r="E3255"/>
  <c r="E3253"/>
  <c r="E3251"/>
  <c r="E3249"/>
  <c r="E3247"/>
  <c r="E3245"/>
  <c r="E3243"/>
  <c r="E3241"/>
  <c r="E3239"/>
  <c r="E3237"/>
  <c r="E3235"/>
  <c r="E3233"/>
  <c r="E3231"/>
  <c r="E3229"/>
  <c r="E3227"/>
  <c r="E3225"/>
  <c r="E3223"/>
  <c r="E3221"/>
  <c r="E3219"/>
  <c r="E3217"/>
  <c r="E3215"/>
  <c r="E3213"/>
  <c r="E3211"/>
  <c r="E3209"/>
  <c r="E3207"/>
  <c r="E3205"/>
  <c r="E3203"/>
  <c r="E3201"/>
  <c r="E3199"/>
  <c r="E3197"/>
  <c r="E3195"/>
  <c r="E3193"/>
  <c r="E3191"/>
  <c r="E3189"/>
  <c r="E3187"/>
  <c r="E3185"/>
  <c r="E3183"/>
  <c r="E3181"/>
  <c r="E3179"/>
  <c r="E3177"/>
  <c r="E3175"/>
  <c r="E3173"/>
  <c r="E3171"/>
  <c r="E3169"/>
  <c r="E3167"/>
  <c r="E3165"/>
  <c r="E3163"/>
  <c r="E3161"/>
  <c r="E3159"/>
  <c r="E3157"/>
  <c r="E3155"/>
  <c r="E3153"/>
  <c r="E3151"/>
  <c r="E3149"/>
  <c r="E3147"/>
  <c r="E3145"/>
  <c r="E3143"/>
  <c r="E3141"/>
  <c r="E3139"/>
  <c r="E3137"/>
  <c r="E3135"/>
  <c r="E3133"/>
  <c r="E3131"/>
  <c r="E3129"/>
  <c r="E3127"/>
  <c r="E3125"/>
  <c r="E3123"/>
  <c r="E3121"/>
  <c r="E3119"/>
  <c r="E3117"/>
  <c r="E3115"/>
  <c r="E3113"/>
  <c r="E3111"/>
  <c r="E3109"/>
  <c r="E3107"/>
  <c r="E3105"/>
  <c r="E3103"/>
  <c r="E3101"/>
  <c r="E3099"/>
  <c r="E3097"/>
  <c r="E3095"/>
  <c r="E3093"/>
  <c r="E3091"/>
  <c r="E3089"/>
  <c r="E3087"/>
  <c r="E3085"/>
  <c r="E3083"/>
  <c r="E3081"/>
  <c r="E3079"/>
  <c r="E3077"/>
  <c r="E3075"/>
  <c r="E3073"/>
  <c r="E3071"/>
  <c r="E3069"/>
  <c r="E3067"/>
  <c r="E3065"/>
  <c r="E3063"/>
  <c r="E3061"/>
  <c r="E3059"/>
  <c r="E3057"/>
  <c r="E3055"/>
  <c r="E3053"/>
  <c r="E3051"/>
  <c r="E3049"/>
  <c r="E3047"/>
  <c r="E3045"/>
  <c r="E3043"/>
  <c r="E3041"/>
  <c r="E3039"/>
  <c r="E3037"/>
  <c r="E3035"/>
  <c r="E3033"/>
  <c r="E3031"/>
  <c r="E3029"/>
  <c r="E3027"/>
  <c r="E3025"/>
  <c r="E3023"/>
  <c r="E3021"/>
  <c r="E3019"/>
  <c r="E3017"/>
  <c r="E3015"/>
  <c r="E3013"/>
  <c r="E3011"/>
  <c r="E3009"/>
  <c r="E3007"/>
  <c r="E3005"/>
  <c r="E3003"/>
  <c r="E3001"/>
  <c r="E2999"/>
  <c r="E2997"/>
  <c r="E2995"/>
  <c r="E2993"/>
  <c r="E2991"/>
  <c r="E2989"/>
  <c r="E2987"/>
  <c r="E2985"/>
  <c r="E2983"/>
  <c r="E2981"/>
  <c r="E2979"/>
  <c r="E2977"/>
  <c r="E2975"/>
  <c r="E2973"/>
  <c r="E2971"/>
  <c r="E2969"/>
  <c r="E2967"/>
  <c r="E2965"/>
  <c r="E2963"/>
  <c r="E2961"/>
  <c r="E2959"/>
  <c r="E2957"/>
  <c r="E2955"/>
  <c r="E2953"/>
  <c r="E2951"/>
  <c r="E2949"/>
  <c r="E2947"/>
  <c r="E2945"/>
  <c r="E2941"/>
  <c r="E2939"/>
  <c r="E2937"/>
  <c r="E2935"/>
  <c r="E2933"/>
  <c r="E2931"/>
  <c r="E2929"/>
  <c r="E2927"/>
  <c r="E2925"/>
  <c r="E2923"/>
  <c r="E2921"/>
  <c r="E2919"/>
  <c r="E2917"/>
  <c r="E2915"/>
  <c r="E2913"/>
  <c r="E2911"/>
  <c r="E2909"/>
  <c r="E2907"/>
  <c r="E2905"/>
  <c r="E2903"/>
  <c r="E2901"/>
  <c r="E2899"/>
  <c r="E2897"/>
  <c r="E2895"/>
  <c r="E2893"/>
  <c r="E2891"/>
  <c r="E2889"/>
  <c r="E2887"/>
  <c r="E2885"/>
  <c r="E2883"/>
  <c r="E2881"/>
  <c r="E2879"/>
  <c r="E2877"/>
  <c r="E2875"/>
  <c r="E2873"/>
  <c r="E2871"/>
  <c r="E2869"/>
  <c r="E2867"/>
  <c r="E2865"/>
  <c r="E2863"/>
  <c r="E2861"/>
  <c r="E2859"/>
  <c r="E2857"/>
  <c r="E2855"/>
  <c r="E2853"/>
  <c r="E2851"/>
  <c r="E2849"/>
  <c r="E2847"/>
  <c r="E2845"/>
  <c r="E2843"/>
  <c r="E2841"/>
  <c r="E2839"/>
  <c r="E2837"/>
  <c r="E2835"/>
  <c r="E2833"/>
  <c r="E2831"/>
  <c r="E2829"/>
  <c r="E2827"/>
  <c r="E2825"/>
  <c r="E2823"/>
  <c r="E2821"/>
  <c r="E2819"/>
  <c r="E2817"/>
  <c r="E2815"/>
  <c r="E2813"/>
  <c r="E2811"/>
  <c r="E2809"/>
  <c r="E2807"/>
  <c r="E2805"/>
  <c r="E2803"/>
  <c r="E2801"/>
  <c r="E2799"/>
  <c r="E2797"/>
  <c r="E2795"/>
  <c r="E2793"/>
  <c r="E2791"/>
  <c r="E2789"/>
  <c r="E2787"/>
  <c r="E2785"/>
  <c r="E2783"/>
  <c r="E2781"/>
  <c r="E2779"/>
  <c r="E2777"/>
  <c r="E2775"/>
  <c r="E2773"/>
  <c r="E2771"/>
  <c r="E2769"/>
  <c r="E2767"/>
  <c r="E2765"/>
  <c r="E2763"/>
  <c r="E2761"/>
  <c r="E2759"/>
  <c r="E2757"/>
  <c r="E2755"/>
  <c r="E2753"/>
  <c r="E2751"/>
  <c r="E2749"/>
  <c r="E2747"/>
  <c r="E2745"/>
  <c r="E2743"/>
  <c r="E2741"/>
  <c r="E2739"/>
  <c r="E2737"/>
  <c r="E2735"/>
  <c r="E2733"/>
  <c r="E2731"/>
  <c r="E2729"/>
  <c r="E2727"/>
  <c r="E2725"/>
  <c r="E2723"/>
  <c r="E2721"/>
  <c r="E2719"/>
  <c r="E2717"/>
  <c r="E2715"/>
  <c r="E2713"/>
  <c r="E2711"/>
  <c r="E2709"/>
  <c r="E2707"/>
  <c r="E2705"/>
  <c r="E2703"/>
  <c r="E2701"/>
  <c r="E2699"/>
  <c r="E2697"/>
  <c r="E2695"/>
  <c r="E2693"/>
  <c r="E2691"/>
  <c r="E2689"/>
  <c r="E2687"/>
  <c r="E2685"/>
  <c r="E2683"/>
  <c r="E2681"/>
  <c r="E2679"/>
  <c r="E2677"/>
  <c r="E2675"/>
  <c r="E2673"/>
  <c r="E2671"/>
  <c r="E2669"/>
  <c r="E2667"/>
  <c r="E2665"/>
  <c r="E2663"/>
  <c r="E2661"/>
  <c r="E2659"/>
  <c r="E2657"/>
  <c r="E2655"/>
  <c r="E2653"/>
  <c r="E2651"/>
  <c r="E2649"/>
  <c r="E2647"/>
  <c r="E2645"/>
  <c r="E2643"/>
  <c r="E2641"/>
  <c r="E2639"/>
  <c r="E2637"/>
  <c r="E2635"/>
  <c r="E2633"/>
  <c r="E2631"/>
  <c r="E2629"/>
  <c r="E2627"/>
  <c r="E2625"/>
  <c r="E2623"/>
  <c r="E2621"/>
  <c r="E2619"/>
  <c r="E2617"/>
  <c r="E2615"/>
  <c r="E2613"/>
  <c r="E2611"/>
  <c r="E2609"/>
  <c r="E2607"/>
  <c r="E2605"/>
  <c r="E2603"/>
  <c r="E2601"/>
  <c r="E2599"/>
  <c r="E2597"/>
  <c r="E2595"/>
  <c r="E2593"/>
  <c r="E2591"/>
  <c r="E2589"/>
  <c r="E2587"/>
  <c r="E2585"/>
  <c r="E2583"/>
  <c r="E2581"/>
  <c r="E2579"/>
  <c r="E2577"/>
  <c r="E2575"/>
  <c r="E2573"/>
  <c r="E2571"/>
  <c r="E2569"/>
  <c r="E2567"/>
  <c r="E2565"/>
  <c r="E2563"/>
  <c r="E2561"/>
  <c r="E2559"/>
  <c r="E2557"/>
  <c r="E2555"/>
  <c r="E2553"/>
  <c r="E2551"/>
  <c r="E2549"/>
  <c r="E2547"/>
  <c r="E2545"/>
  <c r="E2543"/>
  <c r="E2541"/>
  <c r="E2539"/>
  <c r="E2537"/>
  <c r="E2535"/>
  <c r="E2533"/>
  <c r="E2531"/>
  <c r="E2529"/>
  <c r="E2527"/>
  <c r="E2525"/>
  <c r="E2523"/>
  <c r="E2521"/>
  <c r="E2519"/>
  <c r="E2517"/>
  <c r="E2515"/>
  <c r="E2511"/>
  <c r="E2509"/>
  <c r="E2507"/>
  <c r="E2505"/>
  <c r="E2503"/>
  <c r="E2501"/>
  <c r="E2499"/>
  <c r="E2497"/>
  <c r="E2495"/>
  <c r="E2493"/>
  <c r="E2491"/>
  <c r="E2489"/>
  <c r="E2487"/>
  <c r="E2485"/>
  <c r="E2483"/>
  <c r="E2481"/>
  <c r="E2479"/>
  <c r="E2477"/>
  <c r="E2475"/>
  <c r="E2473"/>
  <c r="E2471"/>
  <c r="E2469"/>
  <c r="E2465"/>
  <c r="E2463"/>
  <c r="E2461"/>
  <c r="E2457"/>
  <c r="E2453"/>
  <c r="E2449"/>
  <c r="E2443"/>
  <c r="E2439"/>
  <c r="E2435"/>
  <c r="E2429"/>
  <c r="E2425"/>
  <c r="E2421"/>
  <c r="E2417"/>
  <c r="E2411"/>
  <c r="E2407"/>
  <c r="E2401"/>
  <c r="E2397"/>
  <c r="E2393"/>
  <c r="E2387"/>
  <c r="E2383"/>
  <c r="E2379"/>
  <c r="E2373"/>
  <c r="E2369"/>
  <c r="E2365"/>
  <c r="E2361"/>
  <c r="E2355"/>
  <c r="E2351"/>
  <c r="E2345"/>
  <c r="E2341"/>
  <c r="E2337"/>
  <c r="E2331"/>
  <c r="E2327"/>
  <c r="E2323"/>
  <c r="E2317"/>
  <c r="E2313"/>
  <c r="E2309"/>
  <c r="E2305"/>
  <c r="E2301"/>
  <c r="E2297"/>
  <c r="E2291"/>
  <c r="E2287"/>
  <c r="E2283"/>
  <c r="E2279"/>
  <c r="E2275"/>
  <c r="E2271"/>
  <c r="E2265"/>
  <c r="E2261"/>
  <c r="E2257"/>
  <c r="E2251"/>
  <c r="E2247"/>
  <c r="E2243"/>
  <c r="E2239"/>
  <c r="E2233"/>
  <c r="E2229"/>
  <c r="E2225"/>
  <c r="E2219"/>
  <c r="E2215"/>
  <c r="E2211"/>
  <c r="E2207"/>
  <c r="E2203"/>
  <c r="E2199"/>
  <c r="E2195"/>
  <c r="E2191"/>
  <c r="E2181"/>
  <c r="E2177"/>
  <c r="E2171"/>
  <c r="E2163"/>
  <c r="E2155"/>
  <c r="E2147"/>
  <c r="E2139"/>
  <c r="E2131"/>
  <c r="E2123"/>
  <c r="E2115"/>
  <c r="E2107"/>
  <c r="E1745"/>
  <c r="E1503"/>
  <c r="E1485"/>
  <c r="E1479"/>
  <c r="E1475"/>
  <c r="E1471"/>
  <c r="E1469"/>
  <c r="E1465"/>
  <c r="E1461"/>
  <c r="E1457"/>
  <c r="E1453"/>
  <c r="E1451"/>
  <c r="E1447"/>
  <c r="E1443"/>
  <c r="E1441"/>
  <c r="E1437"/>
  <c r="E1433"/>
  <c r="E1429"/>
  <c r="E1425"/>
  <c r="E1423"/>
  <c r="E1419"/>
  <c r="E1415"/>
  <c r="E1411"/>
  <c r="E1407"/>
  <c r="E1403"/>
  <c r="E1401"/>
  <c r="E1397"/>
  <c r="E1393"/>
  <c r="E1389"/>
  <c r="E1385"/>
  <c r="E1383"/>
  <c r="E1379"/>
  <c r="E1375"/>
  <c r="E1371"/>
  <c r="E1367"/>
  <c r="E1365"/>
  <c r="E1363"/>
  <c r="E1359"/>
  <c r="E1357"/>
  <c r="E1353"/>
  <c r="E1349"/>
  <c r="E1345"/>
  <c r="E1341"/>
  <c r="E1339"/>
  <c r="E1335"/>
  <c r="E1331"/>
  <c r="E1327"/>
  <c r="E1323"/>
  <c r="E1319"/>
  <c r="E1317"/>
  <c r="E1313"/>
  <c r="E1309"/>
  <c r="E1305"/>
  <c r="E1301"/>
  <c r="E1299"/>
  <c r="E1295"/>
  <c r="E1291"/>
  <c r="E1287"/>
  <c r="E1283"/>
  <c r="E1279"/>
  <c r="E1277"/>
  <c r="E1273"/>
  <c r="E1269"/>
  <c r="E1265"/>
  <c r="E1261"/>
  <c r="E1259"/>
  <c r="E1255"/>
  <c r="E1251"/>
  <c r="E1247"/>
  <c r="E1243"/>
  <c r="E1241"/>
  <c r="E1237"/>
  <c r="E1233"/>
  <c r="E1229"/>
  <c r="E1225"/>
  <c r="E1223"/>
  <c r="E1219"/>
  <c r="E1215"/>
  <c r="E1211"/>
  <c r="E1207"/>
  <c r="E1205"/>
  <c r="E1201"/>
  <c r="E1197"/>
  <c r="E1193"/>
  <c r="E1189"/>
  <c r="E1187"/>
  <c r="E1183"/>
  <c r="E1179"/>
  <c r="E1175"/>
  <c r="E1173"/>
  <c r="E1169"/>
  <c r="E1165"/>
  <c r="E1161"/>
  <c r="E1157"/>
  <c r="E1153"/>
  <c r="E1149"/>
  <c r="E1145"/>
  <c r="E1141"/>
  <c r="E1139"/>
  <c r="E1135"/>
  <c r="E1131"/>
  <c r="E1127"/>
  <c r="E1123"/>
  <c r="E1119"/>
  <c r="E1115"/>
  <c r="E1113"/>
  <c r="E1109"/>
  <c r="E1107"/>
  <c r="E1103"/>
  <c r="E1099"/>
  <c r="E1095"/>
  <c r="E1091"/>
  <c r="E1087"/>
  <c r="E1085"/>
  <c r="E1081"/>
  <c r="E1077"/>
  <c r="E1073"/>
  <c r="E1071"/>
  <c r="E1067"/>
  <c r="E1063"/>
  <c r="E1059"/>
  <c r="E1055"/>
  <c r="E1053"/>
  <c r="E1049"/>
  <c r="E1045"/>
  <c r="E1041"/>
  <c r="E1037"/>
  <c r="E1033"/>
  <c r="E1029"/>
  <c r="E1027"/>
  <c r="E1023"/>
  <c r="E1021"/>
  <c r="E1017"/>
  <c r="E1013"/>
  <c r="E1009"/>
  <c r="E1005"/>
  <c r="E1003"/>
  <c r="E999"/>
  <c r="E995"/>
  <c r="E991"/>
  <c r="E989"/>
  <c r="E985"/>
  <c r="E981"/>
  <c r="E977"/>
  <c r="E973"/>
  <c r="E971"/>
  <c r="E967"/>
  <c r="E963"/>
  <c r="E959"/>
  <c r="E957"/>
  <c r="E953"/>
  <c r="E949"/>
  <c r="E945"/>
  <c r="E941"/>
  <c r="E939"/>
  <c r="E935"/>
  <c r="E931"/>
  <c r="E927"/>
  <c r="E923"/>
  <c r="E919"/>
  <c r="E917"/>
  <c r="E913"/>
  <c r="E909"/>
  <c r="E905"/>
  <c r="E901"/>
  <c r="E899"/>
  <c r="E895"/>
  <c r="E893"/>
  <c r="E889"/>
  <c r="E885"/>
  <c r="E881"/>
  <c r="E877"/>
  <c r="E875"/>
  <c r="E871"/>
  <c r="E867"/>
  <c r="E863"/>
  <c r="E859"/>
  <c r="E857"/>
  <c r="E853"/>
  <c r="E849"/>
  <c r="E845"/>
  <c r="E841"/>
  <c r="E837"/>
  <c r="E835"/>
  <c r="E831"/>
  <c r="E827"/>
  <c r="E823"/>
  <c r="E821"/>
  <c r="E817"/>
  <c r="E813"/>
  <c r="E809"/>
  <c r="E805"/>
  <c r="E801"/>
  <c r="E797"/>
  <c r="E795"/>
  <c r="E791"/>
  <c r="E787"/>
  <c r="E785"/>
  <c r="E781"/>
  <c r="E777"/>
  <c r="E773"/>
  <c r="E769"/>
  <c r="E765"/>
  <c r="E761"/>
  <c r="E757"/>
  <c r="E755"/>
  <c r="E751"/>
  <c r="E747"/>
  <c r="E743"/>
  <c r="E739"/>
  <c r="E737"/>
  <c r="E733"/>
  <c r="E729"/>
  <c r="E725"/>
  <c r="E721"/>
  <c r="E717"/>
  <c r="E713"/>
  <c r="E711"/>
  <c r="E707"/>
  <c r="E703"/>
  <c r="E701"/>
  <c r="E697"/>
  <c r="E693"/>
  <c r="E689"/>
  <c r="E685"/>
  <c r="E683"/>
  <c r="E679"/>
  <c r="E675"/>
  <c r="E671"/>
  <c r="E667"/>
  <c r="E663"/>
  <c r="E659"/>
  <c r="E657"/>
  <c r="E653"/>
  <c r="E649"/>
  <c r="E645"/>
  <c r="E641"/>
  <c r="E637"/>
  <c r="E635"/>
  <c r="E631"/>
  <c r="E627"/>
  <c r="E623"/>
  <c r="E619"/>
  <c r="E617"/>
  <c r="E613"/>
  <c r="E609"/>
  <c r="E605"/>
  <c r="E603"/>
  <c r="E599"/>
  <c r="E595"/>
  <c r="E593"/>
  <c r="E591"/>
  <c r="E589"/>
  <c r="E585"/>
  <c r="E581"/>
  <c r="E577"/>
  <c r="E575"/>
  <c r="E571"/>
  <c r="E567"/>
  <c r="E563"/>
  <c r="E559"/>
  <c r="E557"/>
  <c r="E553"/>
  <c r="E549"/>
  <c r="E545"/>
  <c r="E541"/>
  <c r="E539"/>
  <c r="E535"/>
  <c r="E531"/>
  <c r="E527"/>
  <c r="E523"/>
  <c r="E521"/>
  <c r="E517"/>
  <c r="E513"/>
  <c r="E509"/>
  <c r="E505"/>
  <c r="E503"/>
  <c r="E499"/>
  <c r="E495"/>
  <c r="E493"/>
  <c r="E489"/>
  <c r="E485"/>
  <c r="E481"/>
  <c r="E477"/>
  <c r="E473"/>
  <c r="E469"/>
  <c r="E465"/>
  <c r="E461"/>
  <c r="E459"/>
  <c r="E455"/>
  <c r="E451"/>
  <c r="E447"/>
  <c r="E443"/>
  <c r="E441"/>
  <c r="E437"/>
  <c r="E433"/>
  <c r="E429"/>
  <c r="E427"/>
  <c r="E423"/>
  <c r="E419"/>
  <c r="E415"/>
  <c r="E411"/>
  <c r="E409"/>
  <c r="E405"/>
  <c r="E401"/>
  <c r="E397"/>
  <c r="E393"/>
  <c r="E389"/>
  <c r="E385"/>
  <c r="E383"/>
  <c r="E379"/>
  <c r="E375"/>
  <c r="E371"/>
  <c r="E367"/>
  <c r="E363"/>
  <c r="E361"/>
  <c r="E357"/>
  <c r="E353"/>
  <c r="E349"/>
  <c r="E345"/>
  <c r="K27" i="7" s="1"/>
  <c r="E341" i="8"/>
  <c r="E339"/>
  <c r="E335"/>
  <c r="E331"/>
  <c r="E327"/>
  <c r="E323"/>
  <c r="E319"/>
  <c r="E317"/>
  <c r="E313"/>
  <c r="E309"/>
  <c r="E305"/>
  <c r="E301"/>
  <c r="E297"/>
  <c r="E295"/>
  <c r="E291"/>
  <c r="E287"/>
  <c r="E283"/>
  <c r="E279"/>
  <c r="E277"/>
  <c r="E273"/>
  <c r="E269"/>
  <c r="E265"/>
  <c r="E261"/>
  <c r="E259"/>
  <c r="E255"/>
  <c r="E251"/>
  <c r="E247"/>
  <c r="E243"/>
  <c r="F526" i="46" s="1"/>
  <c r="G526" s="1"/>
  <c r="E241" i="8"/>
  <c r="E237"/>
  <c r="E233"/>
  <c r="E229"/>
  <c r="E225"/>
  <c r="E221"/>
  <c r="E217"/>
  <c r="E215"/>
  <c r="E211"/>
  <c r="E207"/>
  <c r="E203"/>
  <c r="E201"/>
  <c r="E197"/>
  <c r="E193"/>
  <c r="E189"/>
  <c r="E185"/>
  <c r="E183"/>
  <c r="E179"/>
  <c r="E175"/>
  <c r="E171"/>
  <c r="E169"/>
  <c r="E165"/>
  <c r="E161"/>
  <c r="E157"/>
  <c r="E153"/>
  <c r="E151"/>
  <c r="E147"/>
  <c r="E143"/>
  <c r="E139"/>
  <c r="E135"/>
  <c r="E133"/>
  <c r="E129"/>
  <c r="E125"/>
  <c r="E121"/>
  <c r="E117"/>
  <c r="E113"/>
  <c r="E111"/>
  <c r="E107"/>
  <c r="E103"/>
  <c r="E99"/>
  <c r="E95"/>
  <c r="E93"/>
  <c r="E89"/>
  <c r="E85"/>
  <c r="E81"/>
  <c r="E77"/>
  <c r="E75"/>
  <c r="E71"/>
  <c r="E67"/>
  <c r="E63"/>
  <c r="E59"/>
  <c r="E57"/>
  <c r="E53"/>
  <c r="E49"/>
  <c r="E45"/>
  <c r="E41"/>
  <c r="E37"/>
  <c r="E35"/>
  <c r="E31"/>
  <c r="E27"/>
  <c r="E23"/>
  <c r="E19"/>
  <c r="E15"/>
  <c r="E11"/>
  <c r="E7"/>
  <c r="E5"/>
  <c r="E164"/>
  <c r="E146"/>
  <c r="E140"/>
  <c r="E132"/>
  <c r="E126"/>
  <c r="E118"/>
  <c r="E112"/>
  <c r="E104"/>
  <c r="E98"/>
  <c r="E90"/>
  <c r="E84"/>
  <c r="E76"/>
  <c r="E72"/>
  <c r="E64"/>
  <c r="E58"/>
  <c r="E52"/>
  <c r="E46"/>
  <c r="E38"/>
  <c r="E32"/>
  <c r="E24"/>
  <c r="E18"/>
  <c r="E10"/>
  <c r="E6"/>
  <c r="E2165"/>
  <c r="E2157"/>
  <c r="E2149"/>
  <c r="E2141"/>
  <c r="E2133"/>
  <c r="E2125"/>
  <c r="E2117"/>
  <c r="E2109"/>
  <c r="E2101"/>
  <c r="E2099"/>
  <c r="E2097"/>
  <c r="E2095"/>
  <c r="E2093"/>
  <c r="E2091"/>
  <c r="E2089"/>
  <c r="E2087"/>
  <c r="E2085"/>
  <c r="E2083"/>
  <c r="E2081"/>
  <c r="E2079"/>
  <c r="E2077"/>
  <c r="E2075"/>
  <c r="E2073"/>
  <c r="E2071"/>
  <c r="E2069"/>
  <c r="E2067"/>
  <c r="E2065"/>
  <c r="E2063"/>
  <c r="E2061"/>
  <c r="E2059"/>
  <c r="E2057"/>
  <c r="E2055"/>
  <c r="E2053"/>
  <c r="E2051"/>
  <c r="E2049"/>
  <c r="E2047"/>
  <c r="E2045"/>
  <c r="E2043"/>
  <c r="E2041"/>
  <c r="E2039"/>
  <c r="E2037"/>
  <c r="E2035"/>
  <c r="E2033"/>
  <c r="E2031"/>
  <c r="E2029"/>
  <c r="E2027"/>
  <c r="E2025"/>
  <c r="E2023"/>
  <c r="E2021"/>
  <c r="E2019"/>
  <c r="E2017"/>
  <c r="E2015"/>
  <c r="E2013"/>
  <c r="E2011"/>
  <c r="E2009"/>
  <c r="E2007"/>
  <c r="E2005"/>
  <c r="E2003"/>
  <c r="E2001"/>
  <c r="E1999"/>
  <c r="E1997"/>
  <c r="E1995"/>
  <c r="E1993"/>
  <c r="E1991"/>
  <c r="E1989"/>
  <c r="E1987"/>
  <c r="E1985"/>
  <c r="E1983"/>
  <c r="E1981"/>
  <c r="E1979"/>
  <c r="E1977"/>
  <c r="E1975"/>
  <c r="E1973"/>
  <c r="E1971"/>
  <c r="E1969"/>
  <c r="E1967"/>
  <c r="E1965"/>
  <c r="E1963"/>
  <c r="E1961"/>
  <c r="E1959"/>
  <c r="E1957"/>
  <c r="E1955"/>
  <c r="E1953"/>
  <c r="E1951"/>
  <c r="E1949"/>
  <c r="E1947"/>
  <c r="E1945"/>
  <c r="E1943"/>
  <c r="E1941"/>
  <c r="E1939"/>
  <c r="E1937"/>
  <c r="E1935"/>
  <c r="E1933"/>
  <c r="E1931"/>
  <c r="E1929"/>
  <c r="E1927"/>
  <c r="E1925"/>
  <c r="E1923"/>
  <c r="E1921"/>
  <c r="E1919"/>
  <c r="E1917"/>
  <c r="E1915"/>
  <c r="E1913"/>
  <c r="E1911"/>
  <c r="E1909"/>
  <c r="E1907"/>
  <c r="E1905"/>
  <c r="E1903"/>
  <c r="E1901"/>
  <c r="E1899"/>
  <c r="E1897"/>
  <c r="E1895"/>
  <c r="E1893"/>
  <c r="E1891"/>
  <c r="E1889"/>
  <c r="E1887"/>
  <c r="E1885"/>
  <c r="E1883"/>
  <c r="E1881"/>
  <c r="E1879"/>
  <c r="E1877"/>
  <c r="E1875"/>
  <c r="E1873"/>
  <c r="E1871"/>
  <c r="E1869"/>
  <c r="E1867"/>
  <c r="E1865"/>
  <c r="E1863"/>
  <c r="E1861"/>
  <c r="E1859"/>
  <c r="E1857"/>
  <c r="E1855"/>
  <c r="E1853"/>
  <c r="E1851"/>
  <c r="E1849"/>
  <c r="E1847"/>
  <c r="E1845"/>
  <c r="E1843"/>
  <c r="E1841"/>
  <c r="E1839"/>
  <c r="E1837"/>
  <c r="E1835"/>
  <c r="E1833"/>
  <c r="E1831"/>
  <c r="E1829"/>
  <c r="E1827"/>
  <c r="E1825"/>
  <c r="E1823"/>
  <c r="E1821"/>
  <c r="E1819"/>
  <c r="E1817"/>
  <c r="E1815"/>
  <c r="E1813"/>
  <c r="E1811"/>
  <c r="E1809"/>
  <c r="E1807"/>
  <c r="E1805"/>
  <c r="E1803"/>
  <c r="E1801"/>
  <c r="E1799"/>
  <c r="E1797"/>
  <c r="E1795"/>
  <c r="E1793"/>
  <c r="E1791"/>
  <c r="E1789"/>
  <c r="E1787"/>
  <c r="E1785"/>
  <c r="E1783"/>
  <c r="E1781"/>
  <c r="E1779"/>
  <c r="E1777"/>
  <c r="E1775"/>
  <c r="E1773"/>
  <c r="E1771"/>
  <c r="E1769"/>
  <c r="E1767"/>
  <c r="E1765"/>
  <c r="E1763"/>
  <c r="E1761"/>
  <c r="E1759"/>
  <c r="E1757"/>
  <c r="E1755"/>
  <c r="E1753"/>
  <c r="E1751"/>
  <c r="E1749"/>
  <c r="E1747"/>
  <c r="E1743"/>
  <c r="E1741"/>
  <c r="E1739"/>
  <c r="E1737"/>
  <c r="E1735"/>
  <c r="E1733"/>
  <c r="E1731"/>
  <c r="E1729"/>
  <c r="E1727"/>
  <c r="E1725"/>
  <c r="E1723"/>
  <c r="E1721"/>
  <c r="E1719"/>
  <c r="E1717"/>
  <c r="E1715"/>
  <c r="E1713"/>
  <c r="E1711"/>
  <c r="E1709"/>
  <c r="E1707"/>
  <c r="E1705"/>
  <c r="E1703"/>
  <c r="E1701"/>
  <c r="E1699"/>
  <c r="E1697"/>
  <c r="E1695"/>
  <c r="E1693"/>
  <c r="E1691"/>
  <c r="E1689"/>
  <c r="E1687"/>
  <c r="E1685"/>
  <c r="E1683"/>
  <c r="E1681"/>
  <c r="E1679"/>
  <c r="E1677"/>
  <c r="E1675"/>
  <c r="E1673"/>
  <c r="E1671"/>
  <c r="E1669"/>
  <c r="E1667"/>
  <c r="E1665"/>
  <c r="E1663"/>
  <c r="E1661"/>
  <c r="E1659"/>
  <c r="E1657"/>
  <c r="E1655"/>
  <c r="E1653"/>
  <c r="E1651"/>
  <c r="E1649"/>
  <c r="E1647"/>
  <c r="E1645"/>
  <c r="E1643"/>
  <c r="E1641"/>
  <c r="E1639"/>
  <c r="E1637"/>
  <c r="E1635"/>
  <c r="E1633"/>
  <c r="E1631"/>
  <c r="E1629"/>
  <c r="E1627"/>
  <c r="E1625"/>
  <c r="E1623"/>
  <c r="E1621"/>
  <c r="E1619"/>
  <c r="E1617"/>
  <c r="E1615"/>
  <c r="E1613"/>
  <c r="E1611"/>
  <c r="E1609"/>
  <c r="E1607"/>
  <c r="E1605"/>
  <c r="E1603"/>
  <c r="E1601"/>
  <c r="E1599"/>
  <c r="E1597"/>
  <c r="E1595"/>
  <c r="E1593"/>
  <c r="E1591"/>
  <c r="E1589"/>
  <c r="E1587"/>
  <c r="E1585"/>
  <c r="E1583"/>
  <c r="E1581"/>
  <c r="E1579"/>
  <c r="E1577"/>
  <c r="E1575"/>
  <c r="E1573"/>
  <c r="E1571"/>
  <c r="E1569"/>
  <c r="E1567"/>
  <c r="E1565"/>
  <c r="E1563"/>
  <c r="E1561"/>
  <c r="E1559"/>
  <c r="E1557"/>
  <c r="E1555"/>
  <c r="E1553"/>
  <c r="E1551"/>
  <c r="E1549"/>
  <c r="E1547"/>
  <c r="E1545"/>
  <c r="E1543"/>
  <c r="E1541"/>
  <c r="E1539"/>
  <c r="E1537"/>
  <c r="E1535"/>
  <c r="E1533"/>
  <c r="E1531"/>
  <c r="E1529"/>
  <c r="E1527"/>
  <c r="E1525"/>
  <c r="E1523"/>
  <c r="E1521"/>
  <c r="E1519"/>
  <c r="E1517"/>
  <c r="E1515"/>
  <c r="E1513"/>
  <c r="E1511"/>
  <c r="E1509"/>
  <c r="E1507"/>
  <c r="E1505"/>
  <c r="E1501"/>
  <c r="E1499"/>
  <c r="E1497"/>
  <c r="E1495"/>
  <c r="E1493"/>
  <c r="E1491"/>
  <c r="E1489"/>
  <c r="E1487"/>
  <c r="E1483"/>
  <c r="E1481"/>
  <c r="E1477"/>
  <c r="E1473"/>
  <c r="E1467"/>
  <c r="E1463"/>
  <c r="E1459"/>
  <c r="E1455"/>
  <c r="E1449"/>
  <c r="E1445"/>
  <c r="E1439"/>
  <c r="E1435"/>
  <c r="E1431"/>
  <c r="E1427"/>
  <c r="E1421"/>
  <c r="E1417"/>
  <c r="E1413"/>
  <c r="E1409"/>
  <c r="E1405"/>
  <c r="E1399"/>
  <c r="E1395"/>
  <c r="E1391"/>
  <c r="E1387"/>
  <c r="E1381"/>
  <c r="E1377"/>
  <c r="E1373"/>
  <c r="E1369"/>
  <c r="E1361"/>
  <c r="E1355"/>
  <c r="E1351"/>
  <c r="E1347"/>
  <c r="E1343"/>
  <c r="E1337"/>
  <c r="E1333"/>
  <c r="E1329"/>
  <c r="E1325"/>
  <c r="E1321"/>
  <c r="E1315"/>
  <c r="E1311"/>
  <c r="E1307"/>
  <c r="E1303"/>
  <c r="E1297"/>
  <c r="E1293"/>
  <c r="E1289"/>
  <c r="E1285"/>
  <c r="E1281"/>
  <c r="E1275"/>
  <c r="E1271"/>
  <c r="E1267"/>
  <c r="E1263"/>
  <c r="E1257"/>
  <c r="E1253"/>
  <c r="E1249"/>
  <c r="E1245"/>
  <c r="E1239"/>
  <c r="E1235"/>
  <c r="E1231"/>
  <c r="E1227"/>
  <c r="E1221"/>
  <c r="E1217"/>
  <c r="E1213"/>
  <c r="E1209"/>
  <c r="E1203"/>
  <c r="E1199"/>
  <c r="E1195"/>
  <c r="E1191"/>
  <c r="E1185"/>
  <c r="E1181"/>
  <c r="E1177"/>
  <c r="E1171"/>
  <c r="E1167"/>
  <c r="E1163"/>
  <c r="E1159"/>
  <c r="E1155"/>
  <c r="E1151"/>
  <c r="E1147"/>
  <c r="E1143"/>
  <c r="E1137"/>
  <c r="E1133"/>
  <c r="E1129"/>
  <c r="E1125"/>
  <c r="E1121"/>
  <c r="E1117"/>
  <c r="E1111"/>
  <c r="E1105"/>
  <c r="E1101"/>
  <c r="E1097"/>
  <c r="E1093"/>
  <c r="E1089"/>
  <c r="E1083"/>
  <c r="E1079"/>
  <c r="E1075"/>
  <c r="E1069"/>
  <c r="E1065"/>
  <c r="E1061"/>
  <c r="E1057"/>
  <c r="E1051"/>
  <c r="E1047"/>
  <c r="E1043"/>
  <c r="E1039"/>
  <c r="E1035"/>
  <c r="E1031"/>
  <c r="E1025"/>
  <c r="E1019"/>
  <c r="E1015"/>
  <c r="E1011"/>
  <c r="E1007"/>
  <c r="E1001"/>
  <c r="E997"/>
  <c r="E993"/>
  <c r="E987"/>
  <c r="E983"/>
  <c r="E979"/>
  <c r="E975"/>
  <c r="E969"/>
  <c r="E965"/>
  <c r="E961"/>
  <c r="E955"/>
  <c r="E951"/>
  <c r="E947"/>
  <c r="E943"/>
  <c r="E937"/>
  <c r="E933"/>
  <c r="E929"/>
  <c r="E925"/>
  <c r="E921"/>
  <c r="E915"/>
  <c r="E911"/>
  <c r="E907"/>
  <c r="E903"/>
  <c r="E897"/>
  <c r="E891"/>
  <c r="E887"/>
  <c r="E883"/>
  <c r="E879"/>
  <c r="E873"/>
  <c r="E869"/>
  <c r="E865"/>
  <c r="E861"/>
  <c r="E855"/>
  <c r="E851"/>
  <c r="E847"/>
  <c r="E843"/>
  <c r="E839"/>
  <c r="E833"/>
  <c r="E829"/>
  <c r="E825"/>
  <c r="E819"/>
  <c r="E815"/>
  <c r="E811"/>
  <c r="E807"/>
  <c r="E803"/>
  <c r="E799"/>
  <c r="E793"/>
  <c r="E789"/>
  <c r="E783"/>
  <c r="E779"/>
  <c r="E775"/>
  <c r="E771"/>
  <c r="E767"/>
  <c r="E763"/>
  <c r="E759"/>
  <c r="E753"/>
  <c r="E749"/>
  <c r="E745"/>
  <c r="E741"/>
  <c r="E735"/>
  <c r="E731"/>
  <c r="E727"/>
  <c r="E723"/>
  <c r="E719"/>
  <c r="E715"/>
  <c r="E709"/>
  <c r="E705"/>
  <c r="E699"/>
  <c r="E695"/>
  <c r="E691"/>
  <c r="E687"/>
  <c r="E681"/>
  <c r="E677"/>
  <c r="E673"/>
  <c r="E669"/>
  <c r="E665"/>
  <c r="E661"/>
  <c r="E655"/>
  <c r="E651"/>
  <c r="E647"/>
  <c r="E643"/>
  <c r="E639"/>
  <c r="E633"/>
  <c r="E629"/>
  <c r="E625"/>
  <c r="E621"/>
  <c r="E615"/>
  <c r="E611"/>
  <c r="E607"/>
  <c r="E601"/>
  <c r="E597"/>
  <c r="E587"/>
  <c r="E583"/>
  <c r="E579"/>
  <c r="E573"/>
  <c r="E569"/>
  <c r="E565"/>
  <c r="E561"/>
  <c r="E555"/>
  <c r="E551"/>
  <c r="E547"/>
  <c r="E543"/>
  <c r="E537"/>
  <c r="E533"/>
  <c r="E529"/>
  <c r="E525"/>
  <c r="E519"/>
  <c r="E515"/>
  <c r="E511"/>
  <c r="E507"/>
  <c r="E501"/>
  <c r="E497"/>
  <c r="E491"/>
  <c r="E487"/>
  <c r="E483"/>
  <c r="E479"/>
  <c r="E475"/>
  <c r="E471"/>
  <c r="E467"/>
  <c r="E463"/>
  <c r="E457"/>
  <c r="E453"/>
  <c r="E449"/>
  <c r="E445"/>
  <c r="E439"/>
  <c r="E435"/>
  <c r="E431"/>
  <c r="E425"/>
  <c r="E421"/>
  <c r="E417"/>
  <c r="E413"/>
  <c r="E407"/>
  <c r="E403"/>
  <c r="E399"/>
  <c r="E395"/>
  <c r="E391"/>
  <c r="E387"/>
  <c r="E381"/>
  <c r="E377"/>
  <c r="E373"/>
  <c r="E369"/>
  <c r="E365"/>
  <c r="E359"/>
  <c r="E355"/>
  <c r="E351"/>
  <c r="E347"/>
  <c r="E343"/>
  <c r="E337"/>
  <c r="E333"/>
  <c r="E329"/>
  <c r="E325"/>
  <c r="E321"/>
  <c r="E315"/>
  <c r="E311"/>
  <c r="E307"/>
  <c r="E303"/>
  <c r="E299"/>
  <c r="E293"/>
  <c r="E289"/>
  <c r="E285"/>
  <c r="E281"/>
  <c r="E275"/>
  <c r="E271"/>
  <c r="E267"/>
  <c r="E263"/>
  <c r="E257"/>
  <c r="E253"/>
  <c r="E249"/>
  <c r="E245"/>
  <c r="E239"/>
  <c r="E235"/>
  <c r="E231"/>
  <c r="E227"/>
  <c r="E223"/>
  <c r="E219"/>
  <c r="E213"/>
  <c r="E209"/>
  <c r="E205"/>
  <c r="E199"/>
  <c r="E195"/>
  <c r="E191"/>
  <c r="E187"/>
  <c r="E181"/>
  <c r="E177"/>
  <c r="E173"/>
  <c r="E167"/>
  <c r="E163"/>
  <c r="E159"/>
  <c r="E155"/>
  <c r="E149"/>
  <c r="E145"/>
  <c r="E141"/>
  <c r="E137"/>
  <c r="E131"/>
  <c r="E127"/>
  <c r="E123"/>
  <c r="E119"/>
  <c r="E115"/>
  <c r="E109"/>
  <c r="E105"/>
  <c r="E101"/>
  <c r="E97"/>
  <c r="E91"/>
  <c r="E87"/>
  <c r="E83"/>
  <c r="E79"/>
  <c r="E73"/>
  <c r="E69"/>
  <c r="E65"/>
  <c r="E61"/>
  <c r="E55"/>
  <c r="E51"/>
  <c r="E47"/>
  <c r="E43"/>
  <c r="E39"/>
  <c r="E33"/>
  <c r="E29"/>
  <c r="E25"/>
  <c r="E21"/>
  <c r="E17"/>
  <c r="E13"/>
  <c r="E9"/>
  <c r="E3"/>
  <c r="E158"/>
  <c r="E136"/>
  <c r="E128"/>
  <c r="E120"/>
  <c r="E114"/>
  <c r="E106"/>
  <c r="E100"/>
  <c r="E92"/>
  <c r="E86"/>
  <c r="E78"/>
  <c r="E74"/>
  <c r="E66"/>
  <c r="E60"/>
  <c r="E54"/>
  <c r="E48"/>
  <c r="E42"/>
  <c r="E36"/>
  <c r="E30"/>
  <c r="E22"/>
  <c r="E16"/>
  <c r="E8"/>
  <c r="E2"/>
  <c r="E2159"/>
  <c r="E2151"/>
  <c r="E2143"/>
  <c r="E2135"/>
  <c r="E2127"/>
  <c r="E2119"/>
  <c r="E2111"/>
  <c r="E2103"/>
  <c r="E1674"/>
  <c r="E1442"/>
  <c r="E1424"/>
  <c r="E1420"/>
  <c r="E1416"/>
  <c r="E1412"/>
  <c r="E1410"/>
  <c r="E1406"/>
  <c r="E1402"/>
  <c r="E1398"/>
  <c r="E1396"/>
  <c r="E1392"/>
  <c r="E1388"/>
  <c r="E1386"/>
  <c r="E1382"/>
  <c r="E1378"/>
  <c r="E1374"/>
  <c r="E1372"/>
  <c r="E1368"/>
  <c r="E1364"/>
  <c r="E1362"/>
  <c r="E1358"/>
  <c r="E1354"/>
  <c r="E1350"/>
  <c r="E1348"/>
  <c r="E1344"/>
  <c r="E1340"/>
  <c r="E1336"/>
  <c r="E1334"/>
  <c r="E1330"/>
  <c r="E1326"/>
  <c r="E1322"/>
  <c r="E1320"/>
  <c r="E1316"/>
  <c r="E1312"/>
  <c r="E1308"/>
  <c r="E1304"/>
  <c r="E1300"/>
  <c r="E1298"/>
  <c r="E1294"/>
  <c r="E1290"/>
  <c r="E1286"/>
  <c r="E1282"/>
  <c r="E1280"/>
  <c r="E1276"/>
  <c r="E1272"/>
  <c r="E1268"/>
  <c r="E1264"/>
  <c r="E1262"/>
  <c r="E1258"/>
  <c r="E1254"/>
  <c r="E1250"/>
  <c r="E1248"/>
  <c r="E1244"/>
  <c r="E1242"/>
  <c r="E1238"/>
  <c r="E1234"/>
  <c r="E1230"/>
  <c r="E1226"/>
  <c r="E1224"/>
  <c r="E1220"/>
  <c r="E1216"/>
  <c r="E1212"/>
  <c r="E1208"/>
  <c r="E1206"/>
  <c r="E1202"/>
  <c r="E1198"/>
  <c r="E1194"/>
  <c r="E1190"/>
  <c r="E1186"/>
  <c r="E1182"/>
  <c r="E1180"/>
  <c r="E1176"/>
  <c r="E1172"/>
  <c r="E1168"/>
  <c r="E1164"/>
  <c r="E1162"/>
  <c r="E1158"/>
  <c r="E1154"/>
  <c r="E1150"/>
  <c r="E1146"/>
  <c r="E1142"/>
  <c r="E1140"/>
  <c r="E1136"/>
  <c r="E1132"/>
  <c r="E1128"/>
  <c r="E1126"/>
  <c r="E1122"/>
  <c r="E1118"/>
  <c r="E1114"/>
  <c r="E1110"/>
  <c r="E1108"/>
  <c r="E1104"/>
  <c r="E1100"/>
  <c r="E1098"/>
  <c r="E1094"/>
  <c r="E1090"/>
  <c r="E1086"/>
  <c r="E1084"/>
  <c r="E1080"/>
  <c r="E1076"/>
  <c r="E1072"/>
  <c r="E1070"/>
  <c r="E1066"/>
  <c r="E1062"/>
  <c r="E1060"/>
  <c r="E1056"/>
  <c r="E1052"/>
  <c r="E1048"/>
  <c r="E1044"/>
  <c r="E1042"/>
  <c r="E1038"/>
  <c r="E1034"/>
  <c r="E1030"/>
  <c r="E1026"/>
  <c r="E1024"/>
  <c r="E1020"/>
  <c r="E1016"/>
  <c r="E1012"/>
  <c r="E1010"/>
  <c r="E1006"/>
  <c r="E1002"/>
  <c r="E998"/>
  <c r="E994"/>
  <c r="E990"/>
  <c r="E986"/>
  <c r="E984"/>
  <c r="E980"/>
  <c r="E976"/>
  <c r="E972"/>
  <c r="E968"/>
  <c r="E966"/>
  <c r="E962"/>
  <c r="E958"/>
  <c r="E954"/>
  <c r="E952"/>
  <c r="E948"/>
  <c r="E946"/>
  <c r="E942"/>
  <c r="E938"/>
  <c r="E934"/>
  <c r="E930"/>
  <c r="E928"/>
  <c r="E924"/>
  <c r="E920"/>
  <c r="E916"/>
  <c r="E912"/>
  <c r="E910"/>
  <c r="E906"/>
  <c r="E902"/>
  <c r="E900"/>
  <c r="E896"/>
  <c r="E892"/>
  <c r="E890"/>
  <c r="E886"/>
  <c r="E882"/>
  <c r="E878"/>
  <c r="E876"/>
  <c r="E872"/>
  <c r="E868"/>
  <c r="E864"/>
  <c r="E860"/>
  <c r="E854"/>
  <c r="E850"/>
  <c r="E846"/>
  <c r="E842"/>
  <c r="E838"/>
  <c r="E834"/>
  <c r="E832"/>
  <c r="E828"/>
  <c r="E824"/>
  <c r="E820"/>
  <c r="E818"/>
  <c r="E814"/>
  <c r="E810"/>
  <c r="E806"/>
  <c r="E802"/>
  <c r="E798"/>
  <c r="E794"/>
  <c r="E792"/>
  <c r="E788"/>
  <c r="E784"/>
  <c r="E782"/>
  <c r="E778"/>
  <c r="E774"/>
  <c r="E770"/>
  <c r="E766"/>
  <c r="E764"/>
  <c r="E760"/>
  <c r="E756"/>
  <c r="E752"/>
  <c r="E748"/>
  <c r="E744"/>
  <c r="E740"/>
  <c r="E738"/>
  <c r="E734"/>
  <c r="E730"/>
  <c r="E726"/>
  <c r="E724"/>
  <c r="E720"/>
  <c r="E716"/>
  <c r="E712"/>
  <c r="E708"/>
  <c r="E706"/>
  <c r="E702"/>
  <c r="E698"/>
  <c r="E694"/>
  <c r="E690"/>
  <c r="E688"/>
  <c r="E684"/>
  <c r="E680"/>
  <c r="E676"/>
  <c r="E674"/>
  <c r="E670"/>
  <c r="E666"/>
  <c r="E662"/>
  <c r="E658"/>
  <c r="E654"/>
  <c r="E652"/>
  <c r="E648"/>
  <c r="E644"/>
  <c r="E640"/>
  <c r="E636"/>
  <c r="E632"/>
  <c r="E630"/>
  <c r="E626"/>
  <c r="E622"/>
  <c r="E620"/>
  <c r="E616"/>
  <c r="E612"/>
  <c r="E608"/>
  <c r="E604"/>
  <c r="E600"/>
  <c r="E596"/>
  <c r="E592"/>
  <c r="E590"/>
  <c r="E586"/>
  <c r="E582"/>
  <c r="E578"/>
  <c r="E576"/>
  <c r="E572"/>
  <c r="E568"/>
  <c r="E564"/>
  <c r="E562"/>
  <c r="E558"/>
  <c r="E554"/>
  <c r="E550"/>
  <c r="E546"/>
  <c r="E544"/>
  <c r="E540"/>
  <c r="E536"/>
  <c r="E532"/>
  <c r="E530"/>
  <c r="E526"/>
  <c r="E522"/>
  <c r="E518"/>
  <c r="E516"/>
  <c r="E512"/>
  <c r="E508"/>
  <c r="E504"/>
  <c r="E500"/>
  <c r="E496"/>
  <c r="E492"/>
  <c r="E488"/>
  <c r="E486"/>
  <c r="E482"/>
  <c r="E478"/>
  <c r="E476"/>
  <c r="E472"/>
  <c r="E468"/>
  <c r="E464"/>
  <c r="E460"/>
  <c r="E456"/>
  <c r="E454"/>
  <c r="E450"/>
  <c r="E446"/>
  <c r="E442"/>
  <c r="E440"/>
  <c r="E436"/>
  <c r="E432"/>
  <c r="E428"/>
  <c r="E424"/>
  <c r="E422"/>
  <c r="E418"/>
  <c r="E414"/>
  <c r="E410"/>
  <c r="E406"/>
  <c r="E402"/>
  <c r="E400"/>
  <c r="E396"/>
  <c r="E392"/>
  <c r="E388"/>
  <c r="E384"/>
  <c r="E382"/>
  <c r="E378"/>
  <c r="E374"/>
  <c r="E372"/>
  <c r="E368"/>
  <c r="E364"/>
  <c r="E360"/>
  <c r="E356"/>
  <c r="E352"/>
  <c r="E350"/>
  <c r="E346"/>
  <c r="E342"/>
  <c r="E340"/>
  <c r="E336"/>
  <c r="E332"/>
  <c r="E328"/>
  <c r="E326"/>
  <c r="E322"/>
  <c r="E318"/>
  <c r="E316"/>
  <c r="E312"/>
  <c r="E308"/>
  <c r="E304"/>
  <c r="E300"/>
  <c r="E296"/>
  <c r="E292"/>
  <c r="E290"/>
  <c r="E286"/>
  <c r="E282"/>
  <c r="E278"/>
  <c r="E276"/>
  <c r="E272"/>
  <c r="E268"/>
  <c r="E266"/>
  <c r="E262"/>
  <c r="E258"/>
  <c r="E254"/>
  <c r="E252"/>
  <c r="E248"/>
  <c r="E244"/>
  <c r="E236"/>
  <c r="E232"/>
  <c r="E228"/>
  <c r="E226"/>
  <c r="E222"/>
  <c r="E220"/>
  <c r="E216"/>
  <c r="E212"/>
  <c r="E208"/>
  <c r="E204"/>
  <c r="E202"/>
  <c r="E198"/>
  <c r="E194"/>
  <c r="E190"/>
  <c r="E188"/>
  <c r="E184"/>
  <c r="E180"/>
  <c r="E176"/>
  <c r="E172"/>
  <c r="E170"/>
  <c r="E166"/>
  <c r="E160"/>
  <c r="E156"/>
  <c r="E152"/>
  <c r="E148"/>
  <c r="E144"/>
  <c r="E138"/>
  <c r="E130"/>
  <c r="E124"/>
  <c r="E116"/>
  <c r="E108"/>
  <c r="E102"/>
  <c r="E94"/>
  <c r="E88"/>
  <c r="E80"/>
  <c r="E70"/>
  <c r="E62"/>
  <c r="E50"/>
  <c r="E40"/>
  <c r="E34"/>
  <c r="E26"/>
  <c r="E20"/>
  <c r="E12"/>
  <c r="E4"/>
  <c r="E2161"/>
  <c r="E2153"/>
  <c r="E2145"/>
  <c r="E2137"/>
  <c r="E2129"/>
  <c r="E2121"/>
  <c r="E2113"/>
  <c r="E2105"/>
  <c r="E2100"/>
  <c r="E2098"/>
  <c r="E2096"/>
  <c r="E2094"/>
  <c r="E2092"/>
  <c r="E2090"/>
  <c r="E2088"/>
  <c r="E2086"/>
  <c r="E2084"/>
  <c r="E2082"/>
  <c r="E2080"/>
  <c r="E2078"/>
  <c r="E2076"/>
  <c r="E2074"/>
  <c r="E2072"/>
  <c r="E2070"/>
  <c r="E2068"/>
  <c r="E2066"/>
  <c r="E2064"/>
  <c r="E2062"/>
  <c r="E2060"/>
  <c r="E2058"/>
  <c r="E2056"/>
  <c r="E2054"/>
  <c r="E2052"/>
  <c r="E2050"/>
  <c r="E2048"/>
  <c r="E2046"/>
  <c r="E2044"/>
  <c r="E2042"/>
  <c r="E2040"/>
  <c r="E2038"/>
  <c r="E2036"/>
  <c r="E2034"/>
  <c r="E2032"/>
  <c r="E2030"/>
  <c r="E2028"/>
  <c r="E2026"/>
  <c r="E2024"/>
  <c r="E2022"/>
  <c r="E2020"/>
  <c r="E2018"/>
  <c r="E2016"/>
  <c r="E2014"/>
  <c r="E2012"/>
  <c r="E2010"/>
  <c r="E2008"/>
  <c r="E2006"/>
  <c r="E2004"/>
  <c r="E2002"/>
  <c r="E2000"/>
  <c r="E1998"/>
  <c r="E1996"/>
  <c r="E1994"/>
  <c r="E1992"/>
  <c r="E1990"/>
  <c r="E1988"/>
  <c r="E1986"/>
  <c r="E1984"/>
  <c r="E1982"/>
  <c r="E1980"/>
  <c r="E1978"/>
  <c r="E1976"/>
  <c r="E1974"/>
  <c r="E1972"/>
  <c r="E1970"/>
  <c r="E1968"/>
  <c r="E1966"/>
  <c r="E1964"/>
  <c r="E1962"/>
  <c r="E1960"/>
  <c r="E1958"/>
  <c r="E1956"/>
  <c r="E1954"/>
  <c r="E1952"/>
  <c r="E1950"/>
  <c r="E1948"/>
  <c r="E1946"/>
  <c r="E1944"/>
  <c r="E1942"/>
  <c r="E1940"/>
  <c r="E1938"/>
  <c r="E1936"/>
  <c r="E1934"/>
  <c r="E1932"/>
  <c r="E1930"/>
  <c r="E1928"/>
  <c r="E1926"/>
  <c r="E1924"/>
  <c r="E1922"/>
  <c r="E1920"/>
  <c r="E1918"/>
  <c r="E1916"/>
  <c r="E1914"/>
  <c r="E1912"/>
  <c r="E1910"/>
  <c r="E1908"/>
  <c r="E1906"/>
  <c r="E1904"/>
  <c r="E1902"/>
  <c r="E1900"/>
  <c r="E1898"/>
  <c r="E1896"/>
  <c r="E1894"/>
  <c r="E1892"/>
  <c r="E1890"/>
  <c r="E1888"/>
  <c r="E1886"/>
  <c r="E1884"/>
  <c r="E1882"/>
  <c r="E1880"/>
  <c r="E1878"/>
  <c r="E1876"/>
  <c r="E1874"/>
  <c r="E1872"/>
  <c r="E1870"/>
  <c r="E1868"/>
  <c r="E1866"/>
  <c r="E1864"/>
  <c r="E1862"/>
  <c r="E1860"/>
  <c r="E1858"/>
  <c r="E1856"/>
  <c r="E1854"/>
  <c r="E1852"/>
  <c r="E1850"/>
  <c r="E1848"/>
  <c r="E1846"/>
  <c r="E1844"/>
  <c r="E1842"/>
  <c r="E1840"/>
  <c r="E1838"/>
  <c r="E1836"/>
  <c r="E1834"/>
  <c r="E1832"/>
  <c r="E1830"/>
  <c r="E1828"/>
  <c r="E1826"/>
  <c r="E1824"/>
  <c r="E1822"/>
  <c r="E1820"/>
  <c r="E1818"/>
  <c r="E1816"/>
  <c r="E1814"/>
  <c r="E1812"/>
  <c r="E1810"/>
  <c r="E1808"/>
  <c r="E1806"/>
  <c r="E1804"/>
  <c r="E1802"/>
  <c r="E1800"/>
  <c r="E1798"/>
  <c r="E1796"/>
  <c r="E1794"/>
  <c r="E1792"/>
  <c r="E1790"/>
  <c r="E1788"/>
  <c r="E1786"/>
  <c r="E1784"/>
  <c r="E1782"/>
  <c r="E1780"/>
  <c r="E1778"/>
  <c r="E1776"/>
  <c r="E1774"/>
  <c r="E1772"/>
  <c r="E1770"/>
  <c r="E1768"/>
  <c r="E1766"/>
  <c r="E1764"/>
  <c r="E1762"/>
  <c r="E1760"/>
  <c r="E1758"/>
  <c r="E1756"/>
  <c r="E1754"/>
  <c r="E1752"/>
  <c r="E1750"/>
  <c r="E1748"/>
  <c r="E1746"/>
  <c r="E1744"/>
  <c r="E1742"/>
  <c r="E1740"/>
  <c r="E1738"/>
  <c r="E1736"/>
  <c r="E1734"/>
  <c r="E1732"/>
  <c r="E1730"/>
  <c r="E1728"/>
  <c r="E1726"/>
  <c r="E1724"/>
  <c r="E1722"/>
  <c r="E1720"/>
  <c r="E1718"/>
  <c r="E1716"/>
  <c r="E1714"/>
  <c r="E1712"/>
  <c r="E1710"/>
  <c r="E1708"/>
  <c r="E1706"/>
  <c r="E1704"/>
  <c r="E1702"/>
  <c r="E1700"/>
  <c r="E1698"/>
  <c r="E1696"/>
  <c r="E1694"/>
  <c r="E1692"/>
  <c r="E1690"/>
  <c r="E1688"/>
  <c r="E1686"/>
  <c r="E1684"/>
  <c r="E1682"/>
  <c r="E1680"/>
  <c r="E1678"/>
  <c r="E1676"/>
  <c r="E1672"/>
  <c r="E1670"/>
  <c r="E1668"/>
  <c r="E1666"/>
  <c r="E1664"/>
  <c r="E1662"/>
  <c r="E1660"/>
  <c r="E1658"/>
  <c r="E1656"/>
  <c r="E1654"/>
  <c r="E1652"/>
  <c r="E1650"/>
  <c r="E1648"/>
  <c r="E1646"/>
  <c r="E1644"/>
  <c r="E1642"/>
  <c r="E1640"/>
  <c r="E1638"/>
  <c r="E1636"/>
  <c r="E1634"/>
  <c r="E1632"/>
  <c r="E1630"/>
  <c r="E1628"/>
  <c r="E1626"/>
  <c r="E1624"/>
  <c r="E1622"/>
  <c r="E1620"/>
  <c r="E1618"/>
  <c r="E1616"/>
  <c r="E1614"/>
  <c r="E1612"/>
  <c r="E1610"/>
  <c r="E1608"/>
  <c r="E1606"/>
  <c r="E1604"/>
  <c r="E1602"/>
  <c r="E1600"/>
  <c r="E1598"/>
  <c r="E1596"/>
  <c r="E1594"/>
  <c r="E1592"/>
  <c r="E1590"/>
  <c r="E1588"/>
  <c r="E1586"/>
  <c r="E1584"/>
  <c r="E1582"/>
  <c r="E1580"/>
  <c r="E1578"/>
  <c r="E1576"/>
  <c r="E1574"/>
  <c r="E1572"/>
  <c r="E1570"/>
  <c r="E1568"/>
  <c r="E1566"/>
  <c r="E1564"/>
  <c r="E1562"/>
  <c r="E1560"/>
  <c r="E1558"/>
  <c r="E1556"/>
  <c r="E1554"/>
  <c r="E1552"/>
  <c r="E1550"/>
  <c r="E1548"/>
  <c r="E1546"/>
  <c r="E1544"/>
  <c r="E1542"/>
  <c r="E1540"/>
  <c r="E1538"/>
  <c r="E1536"/>
  <c r="E1534"/>
  <c r="E1532"/>
  <c r="E1530"/>
  <c r="E1528"/>
  <c r="E1526"/>
  <c r="E1524"/>
  <c r="E1522"/>
  <c r="E1520"/>
  <c r="E1518"/>
  <c r="E1516"/>
  <c r="E1514"/>
  <c r="E1512"/>
  <c r="E1510"/>
  <c r="E1508"/>
  <c r="E1506"/>
  <c r="E1504"/>
  <c r="E1502"/>
  <c r="E1500"/>
  <c r="E1498"/>
  <c r="E1496"/>
  <c r="E1494"/>
  <c r="E1492"/>
  <c r="E1490"/>
  <c r="E1488"/>
  <c r="E1486"/>
  <c r="E1484"/>
  <c r="E1482"/>
  <c r="E1480"/>
  <c r="E1478"/>
  <c r="E1476"/>
  <c r="E1474"/>
  <c r="E1472"/>
  <c r="E1470"/>
  <c r="E1468"/>
  <c r="E1466"/>
  <c r="E1464"/>
  <c r="E1462"/>
  <c r="E1460"/>
  <c r="E1458"/>
  <c r="E1456"/>
  <c r="E1454"/>
  <c r="E1452"/>
  <c r="E1450"/>
  <c r="E1448"/>
  <c r="E1446"/>
  <c r="E1444"/>
  <c r="E1440"/>
  <c r="E1438"/>
  <c r="E1436"/>
  <c r="E1434"/>
  <c r="E1432"/>
  <c r="E1430"/>
  <c r="E1428"/>
  <c r="E1426"/>
  <c r="E1422"/>
  <c r="E1418"/>
  <c r="E1414"/>
  <c r="E1408"/>
  <c r="E1404"/>
  <c r="E1400"/>
  <c r="E1394"/>
  <c r="E1390"/>
  <c r="E1384"/>
  <c r="E1380"/>
  <c r="E1376"/>
  <c r="E1370"/>
  <c r="E1366"/>
  <c r="E1360"/>
  <c r="E1356"/>
  <c r="E1352"/>
  <c r="E1346"/>
  <c r="E1342"/>
  <c r="E1338"/>
  <c r="E1332"/>
  <c r="E1328"/>
  <c r="E1324"/>
  <c r="E1318"/>
  <c r="E1314"/>
  <c r="E1310"/>
  <c r="E1306"/>
  <c r="E1302"/>
  <c r="E1296"/>
  <c r="E1292"/>
  <c r="E1288"/>
  <c r="E1284"/>
  <c r="E1278"/>
  <c r="E1274"/>
  <c r="E1270"/>
  <c r="E1266"/>
  <c r="E1260"/>
  <c r="E1256"/>
  <c r="E1252"/>
  <c r="E1246"/>
  <c r="E1240"/>
  <c r="E1236"/>
  <c r="E1232"/>
  <c r="E1228"/>
  <c r="E1222"/>
  <c r="E1218"/>
  <c r="E1214"/>
  <c r="E1210"/>
  <c r="E1204"/>
  <c r="E1200"/>
  <c r="E1196"/>
  <c r="E1192"/>
  <c r="E1188"/>
  <c r="E1184"/>
  <c r="E1178"/>
  <c r="E1174"/>
  <c r="E1170"/>
  <c r="E1166"/>
  <c r="E1160"/>
  <c r="E1156"/>
  <c r="E1152"/>
  <c r="E1148"/>
  <c r="E1144"/>
  <c r="E1138"/>
  <c r="E1134"/>
  <c r="E1130"/>
  <c r="E1124"/>
  <c r="E1120"/>
  <c r="E1116"/>
  <c r="E1112"/>
  <c r="E1106"/>
  <c r="E1102"/>
  <c r="E1096"/>
  <c r="E1092"/>
  <c r="E1088"/>
  <c r="E1082"/>
  <c r="E1078"/>
  <c r="E1074"/>
  <c r="E1068"/>
  <c r="E1064"/>
  <c r="E1058"/>
  <c r="E1054"/>
  <c r="E1050"/>
  <c r="E1046"/>
  <c r="E1040"/>
  <c r="E1036"/>
  <c r="E1032"/>
  <c r="E1028"/>
  <c r="E1022"/>
  <c r="E1018"/>
  <c r="E1014"/>
  <c r="E1008"/>
  <c r="E1004"/>
  <c r="E1000"/>
  <c r="E996"/>
  <c r="E992"/>
  <c r="E988"/>
  <c r="E982"/>
  <c r="E978"/>
  <c r="E974"/>
  <c r="E970"/>
  <c r="E964"/>
  <c r="E960"/>
  <c r="E956"/>
  <c r="E950"/>
  <c r="E944"/>
  <c r="E940"/>
  <c r="E936"/>
  <c r="E932"/>
  <c r="E926"/>
  <c r="E922"/>
  <c r="E918"/>
  <c r="E914"/>
  <c r="E908"/>
  <c r="E904"/>
  <c r="E898"/>
  <c r="E894"/>
  <c r="E888"/>
  <c r="E884"/>
  <c r="E880"/>
  <c r="E874"/>
  <c r="E870"/>
  <c r="E866"/>
  <c r="E862"/>
  <c r="E858"/>
  <c r="E856"/>
  <c r="E852"/>
  <c r="E848"/>
  <c r="E844"/>
  <c r="E840"/>
  <c r="E836"/>
  <c r="E830"/>
  <c r="E826"/>
  <c r="E822"/>
  <c r="E816"/>
  <c r="E812"/>
  <c r="E808"/>
  <c r="E804"/>
  <c r="E800"/>
  <c r="E796"/>
  <c r="E790"/>
  <c r="E786"/>
  <c r="E780"/>
  <c r="E776"/>
  <c r="E772"/>
  <c r="E768"/>
  <c r="E762"/>
  <c r="E758"/>
  <c r="E754"/>
  <c r="E750"/>
  <c r="E746"/>
  <c r="E742"/>
  <c r="E736"/>
  <c r="E732"/>
  <c r="E728"/>
  <c r="E722"/>
  <c r="E718"/>
  <c r="E714"/>
  <c r="E710"/>
  <c r="E704"/>
  <c r="E700"/>
  <c r="E696"/>
  <c r="E692"/>
  <c r="E686"/>
  <c r="E682"/>
  <c r="E678"/>
  <c r="E672"/>
  <c r="E668"/>
  <c r="E664"/>
  <c r="E660"/>
  <c r="E656"/>
  <c r="E650"/>
  <c r="E646"/>
  <c r="E642"/>
  <c r="E638"/>
  <c r="E634"/>
  <c r="E628"/>
  <c r="E624"/>
  <c r="E618"/>
  <c r="E614"/>
  <c r="E610"/>
  <c r="E606"/>
  <c r="E602"/>
  <c r="E598"/>
  <c r="E594"/>
  <c r="E588"/>
  <c r="E584"/>
  <c r="E580"/>
  <c r="E574"/>
  <c r="E570"/>
  <c r="E566"/>
  <c r="E560"/>
  <c r="E556"/>
  <c r="E552"/>
  <c r="E548"/>
  <c r="E542"/>
  <c r="E538"/>
  <c r="E534"/>
  <c r="E528"/>
  <c r="E524"/>
  <c r="E520"/>
  <c r="E514"/>
  <c r="E510"/>
  <c r="E506"/>
  <c r="E502"/>
  <c r="E498"/>
  <c r="E494"/>
  <c r="E490"/>
  <c r="E484"/>
  <c r="E480"/>
  <c r="E474"/>
  <c r="E470"/>
  <c r="E466"/>
  <c r="E462"/>
  <c r="E458"/>
  <c r="E452"/>
  <c r="E448"/>
  <c r="E444"/>
  <c r="E438"/>
  <c r="E434"/>
  <c r="E430"/>
  <c r="E426"/>
  <c r="E420"/>
  <c r="E416"/>
  <c r="E412"/>
  <c r="E408"/>
  <c r="E404"/>
  <c r="E398"/>
  <c r="E394"/>
  <c r="E390"/>
  <c r="E386"/>
  <c r="E380"/>
  <c r="E376"/>
  <c r="E370"/>
  <c r="E366"/>
  <c r="E362"/>
  <c r="E358"/>
  <c r="E354"/>
  <c r="E348"/>
  <c r="E344"/>
  <c r="E338"/>
  <c r="E334"/>
  <c r="E330"/>
  <c r="E324"/>
  <c r="E320"/>
  <c r="E314"/>
  <c r="E310"/>
  <c r="E306"/>
  <c r="E302"/>
  <c r="E298"/>
  <c r="E294"/>
  <c r="E288"/>
  <c r="E284"/>
  <c r="E280"/>
  <c r="E274"/>
  <c r="E270"/>
  <c r="E264"/>
  <c r="E260"/>
  <c r="E256"/>
  <c r="E250"/>
  <c r="E246"/>
  <c r="E242"/>
  <c r="E240"/>
  <c r="E238"/>
  <c r="E234"/>
  <c r="E230"/>
  <c r="E224"/>
  <c r="E218"/>
  <c r="E214"/>
  <c r="E210"/>
  <c r="E206"/>
  <c r="E200"/>
  <c r="E196"/>
  <c r="E192"/>
  <c r="E186"/>
  <c r="E182"/>
  <c r="E178"/>
  <c r="E174"/>
  <c r="E168"/>
  <c r="E162"/>
  <c r="E154"/>
  <c r="E150"/>
  <c r="E142"/>
  <c r="E134"/>
  <c r="E122"/>
  <c r="E110"/>
  <c r="E96"/>
  <c r="E82"/>
  <c r="E68"/>
  <c r="E56"/>
  <c r="E44"/>
  <c r="E28"/>
  <c r="E14"/>
  <c r="F930" i="46"/>
  <c r="G930" s="1"/>
  <c r="F929"/>
  <c r="G929" s="1"/>
  <c r="F171" i="23"/>
  <c r="G171" s="1"/>
  <c r="K29" i="7"/>
  <c r="F370" i="46"/>
  <c r="G370" s="1"/>
  <c r="F33" i="9"/>
  <c r="G33" s="1"/>
  <c r="F68" i="23"/>
  <c r="G68" s="1"/>
  <c r="F70"/>
  <c r="G70" s="1"/>
  <c r="F172"/>
  <c r="G172" s="1"/>
  <c r="F181"/>
  <c r="G181" s="1"/>
  <c r="F926" i="46"/>
  <c r="G926" s="1"/>
  <c r="F170" i="23"/>
  <c r="G170" s="1"/>
  <c r="F69" i="9"/>
  <c r="G69" s="1"/>
  <c r="F17" i="23"/>
  <c r="G17" s="1"/>
  <c r="F142"/>
  <c r="G142" s="1"/>
  <c r="F420" i="46"/>
  <c r="G420" s="1"/>
  <c r="F67" i="23"/>
  <c r="G67" s="1"/>
  <c r="F360" i="46"/>
  <c r="G360" s="1"/>
  <c r="F70" i="9"/>
  <c r="G70" s="1"/>
  <c r="F62" i="23"/>
  <c r="G62" s="1"/>
  <c r="F61"/>
  <c r="G61" s="1"/>
  <c r="F103"/>
  <c r="G103" s="1"/>
  <c r="F814" i="46"/>
  <c r="G814" s="1"/>
  <c r="F34" i="9"/>
  <c r="G34" s="1"/>
  <c r="F26" i="23"/>
  <c r="G26" s="1"/>
  <c r="F32" i="9"/>
  <c r="G32" s="1"/>
  <c r="F76" i="23"/>
  <c r="G76" s="1"/>
  <c r="F63"/>
  <c r="G63" s="1"/>
  <c r="F383" i="46"/>
  <c r="G383" s="1"/>
  <c r="F71" i="23"/>
  <c r="G71" s="1"/>
  <c r="F72"/>
  <c r="G72" s="1"/>
  <c r="F65"/>
  <c r="G65" s="1"/>
  <c r="F64"/>
  <c r="G64" s="1"/>
  <c r="F141"/>
  <c r="G141" s="1"/>
  <c r="F68" i="9"/>
  <c r="G68" s="1"/>
  <c r="F130" i="23"/>
  <c r="G130" s="1"/>
  <c r="F73"/>
  <c r="G73" s="1"/>
  <c r="F74"/>
  <c r="G74" s="1"/>
  <c r="F78"/>
  <c r="G78" s="1"/>
  <c r="F710" i="46"/>
  <c r="G710" s="1"/>
  <c r="F77" i="23"/>
  <c r="G77" s="1"/>
  <c r="F27"/>
  <c r="G27" s="1"/>
  <c r="F80"/>
  <c r="G80" s="1"/>
  <c r="F85"/>
  <c r="G85" s="1"/>
  <c r="F84"/>
  <c r="G84" s="1"/>
  <c r="F37" i="24"/>
  <c r="G37" s="1"/>
  <c r="F483" i="46"/>
  <c r="G483" s="1"/>
  <c r="F813"/>
  <c r="G813" s="1"/>
  <c r="F74" i="9"/>
  <c r="G74" s="1"/>
  <c r="F76"/>
  <c r="G76" s="1"/>
  <c r="F88" i="23"/>
  <c r="G88" s="1"/>
  <c r="F71" i="9"/>
  <c r="G71" s="1"/>
  <c r="F482" i="46"/>
  <c r="G482" s="1"/>
  <c r="F87" i="23"/>
  <c r="G87" s="1"/>
  <c r="F812" i="46"/>
  <c r="G812" s="1"/>
  <c r="K36" i="7"/>
  <c r="K35"/>
  <c r="K66"/>
  <c r="K71"/>
  <c r="F53" i="9"/>
  <c r="G53" s="1"/>
  <c r="F144" i="23"/>
  <c r="G144" s="1"/>
  <c r="F524" i="46"/>
  <c r="G524" s="1"/>
  <c r="F290"/>
  <c r="G290" s="1"/>
  <c r="K28" i="7"/>
  <c r="F713" i="46"/>
  <c r="G713" s="1"/>
  <c r="F522"/>
  <c r="G522" s="1"/>
  <c r="F52" i="9"/>
  <c r="G52" s="1"/>
  <c r="F51"/>
  <c r="G51" s="1"/>
  <c r="F421" i="46"/>
  <c r="G421" s="1"/>
  <c r="F54"/>
  <c r="G54" s="1"/>
  <c r="F50"/>
  <c r="G50" s="1"/>
  <c r="F51"/>
  <c r="G51" s="1"/>
  <c r="F48"/>
  <c r="G48" s="1"/>
  <c r="F49"/>
  <c r="G49" s="1"/>
  <c r="K141" i="7" l="1"/>
  <c r="K57"/>
  <c r="K145"/>
  <c r="K144"/>
  <c r="K140"/>
  <c r="K146"/>
  <c r="K60"/>
  <c r="K56"/>
  <c r="K62"/>
  <c r="K109"/>
  <c r="K108"/>
  <c r="G931" i="46"/>
  <c r="H923" s="1"/>
  <c r="F184" i="23"/>
  <c r="G184" s="1"/>
  <c r="F175"/>
  <c r="G175" s="1"/>
  <c r="F183"/>
  <c r="G183" s="1"/>
  <c r="F174"/>
  <c r="G174" s="1"/>
  <c r="F112"/>
  <c r="G112" s="1"/>
  <c r="F34" i="24"/>
  <c r="G34" s="1"/>
  <c r="G38" s="1"/>
  <c r="H31" s="1"/>
  <c r="K182" i="7"/>
  <c r="K184"/>
  <c r="F157" i="23"/>
  <c r="G157" s="1"/>
  <c r="F146"/>
  <c r="G146" s="1"/>
  <c r="F94"/>
  <c r="G94" s="1"/>
  <c r="F140"/>
  <c r="G140" s="1"/>
  <c r="F156"/>
  <c r="G156" s="1"/>
  <c r="G158" s="1"/>
  <c r="H151" s="1"/>
  <c r="F147"/>
  <c r="G147" s="1"/>
  <c r="K67" i="7"/>
  <c r="F30" i="23"/>
  <c r="G30" s="1"/>
  <c r="F20"/>
  <c r="G20" s="1"/>
  <c r="F82"/>
  <c r="G82" s="1"/>
  <c r="K77" i="7"/>
  <c r="F105" i="23"/>
  <c r="G105" s="1"/>
  <c r="F48"/>
  <c r="G48" s="1"/>
  <c r="F133"/>
  <c r="G133" s="1"/>
  <c r="F123"/>
  <c r="G123" s="1"/>
  <c r="F96"/>
  <c r="G96" s="1"/>
  <c r="F39"/>
  <c r="F114"/>
  <c r="G114" s="1"/>
  <c r="F36" i="9"/>
  <c r="G36" s="1"/>
  <c r="F86" i="23"/>
  <c r="G86" s="1"/>
  <c r="F43" i="9"/>
  <c r="G43" s="1"/>
  <c r="F75" i="23"/>
  <c r="G75" s="1"/>
  <c r="F131"/>
  <c r="G131" s="1"/>
  <c r="F121"/>
  <c r="G121" s="1"/>
  <c r="F83"/>
  <c r="G83" s="1"/>
  <c r="F29"/>
  <c r="G29" s="1"/>
  <c r="F21" i="24"/>
  <c r="G21" s="1"/>
  <c r="G22" s="1"/>
  <c r="H16" s="1"/>
  <c r="F134" i="23"/>
  <c r="G134" s="1"/>
  <c r="F124"/>
  <c r="G124" s="1"/>
  <c r="F97"/>
  <c r="G97" s="1"/>
  <c r="F47"/>
  <c r="G47" s="1"/>
  <c r="F115"/>
  <c r="G115" s="1"/>
  <c r="F106"/>
  <c r="G106" s="1"/>
  <c r="F38"/>
  <c r="F19"/>
  <c r="G19" s="1"/>
  <c r="G21" s="1"/>
  <c r="H14" s="1"/>
  <c r="K68" i="7"/>
  <c r="F36" i="23"/>
  <c r="F79"/>
  <c r="G79" s="1"/>
  <c r="F31" i="9"/>
  <c r="G31" s="1"/>
  <c r="F69" i="23"/>
  <c r="G69" s="1"/>
  <c r="K76" i="7"/>
  <c r="K70"/>
  <c r="K72"/>
  <c r="K75"/>
  <c r="K73"/>
  <c r="K78"/>
  <c r="K69"/>
  <c r="K74"/>
  <c r="K147"/>
  <c r="K79"/>
  <c r="F904" i="46"/>
  <c r="G904" s="1"/>
  <c r="F790"/>
  <c r="G790" s="1"/>
  <c r="F429"/>
  <c r="G429" s="1"/>
  <c r="F465"/>
  <c r="G465" s="1"/>
  <c r="F447"/>
  <c r="G447" s="1"/>
  <c r="F816"/>
  <c r="G816" s="1"/>
  <c r="F907"/>
  <c r="G907" s="1"/>
  <c r="F793"/>
  <c r="G793" s="1"/>
  <c r="F905"/>
  <c r="G905" s="1"/>
  <c r="F791"/>
  <c r="G791" s="1"/>
  <c r="F909"/>
  <c r="G909" s="1"/>
  <c r="F795"/>
  <c r="G795" s="1"/>
  <c r="F73" i="9"/>
  <c r="G73" s="1"/>
  <c r="F817" i="46"/>
  <c r="G817" s="1"/>
  <c r="F792"/>
  <c r="G792" s="1"/>
  <c r="F906"/>
  <c r="G906" s="1"/>
  <c r="F908"/>
  <c r="G908" s="1"/>
  <c r="F794"/>
  <c r="G794" s="1"/>
  <c r="F466"/>
  <c r="G466" s="1"/>
  <c r="F448"/>
  <c r="G448" s="1"/>
  <c r="F481"/>
  <c r="G481" s="1"/>
  <c r="G484" s="1"/>
  <c r="F118"/>
  <c r="G118" s="1"/>
  <c r="F833"/>
  <c r="G833" s="1"/>
  <c r="F521"/>
  <c r="G521" s="1"/>
  <c r="F712"/>
  <c r="G712" s="1"/>
  <c r="F117"/>
  <c r="G117" s="1"/>
  <c r="F523"/>
  <c r="G523" s="1"/>
  <c r="F834"/>
  <c r="G834" s="1"/>
  <c r="F714"/>
  <c r="G714" s="1"/>
  <c r="F835"/>
  <c r="G835" s="1"/>
  <c r="F525"/>
  <c r="G525" s="1"/>
  <c r="F796"/>
  <c r="G796" s="1"/>
  <c r="F910"/>
  <c r="G910" s="1"/>
  <c r="F464"/>
  <c r="G464" s="1"/>
  <c r="F446"/>
  <c r="G446" s="1"/>
  <c r="F230"/>
  <c r="G230" s="1"/>
  <c r="F462"/>
  <c r="G462" s="1"/>
  <c r="F444"/>
  <c r="G444" s="1"/>
  <c r="F233"/>
  <c r="G233" s="1"/>
  <c r="F430"/>
  <c r="G430" s="1"/>
  <c r="K37" i="7"/>
  <c r="G422" i="46"/>
  <c r="H417" s="1"/>
  <c r="F45" i="9"/>
  <c r="G45" s="1"/>
  <c r="G46" s="1"/>
  <c r="H40" s="1"/>
  <c r="F234" i="46"/>
  <c r="G234" s="1"/>
  <c r="F412"/>
  <c r="G412" s="1"/>
  <c r="F232"/>
  <c r="G232" s="1"/>
  <c r="F245"/>
  <c r="G245" s="1"/>
  <c r="G246" s="1"/>
  <c r="F289"/>
  <c r="G289" s="1"/>
  <c r="F374"/>
  <c r="G374" s="1"/>
  <c r="F414"/>
  <c r="G414" s="1"/>
  <c r="K134" i="7"/>
  <c r="F413" i="46"/>
  <c r="G413" s="1"/>
  <c r="F386"/>
  <c r="G386" s="1"/>
  <c r="F363"/>
  <c r="G363" s="1"/>
  <c r="F373"/>
  <c r="G373" s="1"/>
  <c r="F361"/>
  <c r="G361" s="1"/>
  <c r="F371"/>
  <c r="G371" s="1"/>
  <c r="F75" i="9"/>
  <c r="G75" s="1"/>
  <c r="F56"/>
  <c r="G56" s="1"/>
  <c r="F37"/>
  <c r="G37" s="1"/>
  <c r="F55"/>
  <c r="G55" s="1"/>
  <c r="K177" i="7"/>
  <c r="K180"/>
  <c r="K178"/>
  <c r="K179"/>
  <c r="K181"/>
  <c r="K168"/>
  <c r="K164"/>
  <c r="K165"/>
  <c r="K167"/>
  <c r="K166"/>
  <c r="K160"/>
  <c r="K161"/>
  <c r="K162"/>
  <c r="K163"/>
  <c r="F385" i="46"/>
  <c r="G385" s="1"/>
  <c r="F380"/>
  <c r="G380" s="1"/>
  <c r="F388"/>
  <c r="G388" s="1"/>
  <c r="F384"/>
  <c r="G384" s="1"/>
  <c r="K112" i="7"/>
  <c r="K113"/>
  <c r="K105"/>
  <c r="K104"/>
  <c r="K102"/>
  <c r="K103"/>
  <c r="K101"/>
  <c r="F406" i="46"/>
  <c r="G406" s="1"/>
  <c r="F405"/>
  <c r="G405" s="1"/>
  <c r="F404"/>
  <c r="G404" s="1"/>
  <c r="F364"/>
  <c r="G364" s="1"/>
  <c r="F64"/>
  <c r="G64" s="1"/>
  <c r="F68"/>
  <c r="G68" s="1"/>
  <c r="F65"/>
  <c r="G65" s="1"/>
  <c r="F87"/>
  <c r="G87" s="1"/>
  <c r="G88" s="1"/>
  <c r="H84" s="1"/>
  <c r="F62"/>
  <c r="G62" s="1"/>
  <c r="F67"/>
  <c r="G67" s="1"/>
  <c r="F63"/>
  <c r="G63" s="1"/>
  <c r="F61"/>
  <c r="G61" s="1"/>
  <c r="F32"/>
  <c r="G32" s="1"/>
  <c r="F41"/>
  <c r="G41" s="1"/>
  <c r="F30"/>
  <c r="G30" s="1"/>
  <c r="F39"/>
  <c r="G39" s="1"/>
  <c r="F42"/>
  <c r="G42" s="1"/>
  <c r="F33"/>
  <c r="G33" s="1"/>
  <c r="F55"/>
  <c r="G55" s="1"/>
  <c r="K191" i="7"/>
  <c r="K189"/>
  <c r="K188"/>
  <c r="K133"/>
  <c r="K132"/>
  <c r="K131"/>
  <c r="K157"/>
  <c r="K156"/>
  <c r="K96"/>
  <c r="K106"/>
  <c r="K97"/>
  <c r="K98"/>
  <c r="E87" i="29"/>
  <c r="E88" s="1"/>
  <c r="E94" s="1"/>
  <c r="G94" s="1"/>
  <c r="F75" s="1"/>
  <c r="G75" s="1"/>
  <c r="G76" s="1"/>
  <c r="H72" s="1"/>
  <c r="E28"/>
  <c r="E29" s="1"/>
  <c r="E35" s="1"/>
  <c r="G35" s="1"/>
  <c r="F16" s="1"/>
  <c r="G16" s="1"/>
  <c r="G17" s="1"/>
  <c r="H13" s="1"/>
  <c r="F62" i="9"/>
  <c r="G62" s="1"/>
  <c r="G63" s="1"/>
  <c r="H59" s="1"/>
  <c r="E660" i="36" l="1"/>
  <c r="G116" i="23"/>
  <c r="H109" s="1"/>
  <c r="G431" i="46"/>
  <c r="H424" s="1"/>
  <c r="G185" i="23"/>
  <c r="H178" s="1"/>
  <c r="G77" i="9"/>
  <c r="H65" s="1"/>
  <c r="G135" i="23"/>
  <c r="H127" s="1"/>
  <c r="H476" i="46"/>
  <c r="G107" i="23"/>
  <c r="H100" s="1"/>
  <c r="G98"/>
  <c r="H91" s="1"/>
  <c r="G31"/>
  <c r="H23" s="1"/>
  <c r="G38" i="9"/>
  <c r="H28" s="1"/>
  <c r="G49" i="23"/>
  <c r="H42" s="1"/>
  <c r="G38"/>
  <c r="G148"/>
  <c r="H137" s="1"/>
  <c r="G89"/>
  <c r="H58" s="1"/>
  <c r="G39"/>
  <c r="G125"/>
  <c r="H118" s="1"/>
  <c r="G36"/>
  <c r="G467" i="46"/>
  <c r="H458" s="1"/>
  <c r="G449"/>
  <c r="H440" s="1"/>
  <c r="G836"/>
  <c r="H820" s="1"/>
  <c r="G715"/>
  <c r="H697" s="1"/>
  <c r="G818"/>
  <c r="H809" s="1"/>
  <c r="G797"/>
  <c r="H787" s="1"/>
  <c r="G911"/>
  <c r="H901" s="1"/>
  <c r="G527"/>
  <c r="H493" s="1"/>
  <c r="G365"/>
  <c r="H357" s="1"/>
  <c r="G235"/>
  <c r="H227" s="1"/>
  <c r="G415"/>
  <c r="G375"/>
  <c r="H367" s="1"/>
  <c r="G57" i="9"/>
  <c r="H48" s="1"/>
  <c r="G407" i="46"/>
  <c r="G56"/>
  <c r="H45" s="1"/>
  <c r="B14"/>
  <c r="G69"/>
  <c r="H58" s="1"/>
  <c r="G43"/>
  <c r="H36" s="1"/>
  <c r="G34"/>
  <c r="H27" s="1"/>
  <c r="B31" i="24"/>
  <c r="G185" i="7" s="1"/>
  <c r="E566" i="36"/>
  <c r="C665" l="1"/>
  <c r="C661"/>
  <c r="C677"/>
  <c r="C681"/>
  <c r="D662"/>
  <c r="D658"/>
  <c r="E667"/>
  <c r="D678"/>
  <c r="C669"/>
  <c r="D674"/>
  <c r="C668"/>
  <c r="E658"/>
  <c r="E679"/>
  <c r="D677"/>
  <c r="E663"/>
  <c r="D673"/>
  <c r="E673"/>
  <c r="E674"/>
  <c r="D670"/>
  <c r="E671"/>
  <c r="C672"/>
  <c r="D657"/>
  <c r="D672"/>
  <c r="C664"/>
  <c r="D665"/>
  <c r="E670"/>
  <c r="C679"/>
  <c r="C678"/>
  <c r="C680"/>
  <c r="D681"/>
  <c r="D661"/>
  <c r="E666"/>
  <c r="C671"/>
  <c r="C667"/>
  <c r="C663"/>
  <c r="D664"/>
  <c r="E669"/>
  <c r="D679"/>
  <c r="D680"/>
  <c r="D660"/>
  <c r="E665"/>
  <c r="D659"/>
  <c r="D676"/>
  <c r="E681"/>
  <c r="E657"/>
  <c r="C670"/>
  <c r="D675"/>
  <c r="E668"/>
  <c r="C666"/>
  <c r="D671"/>
  <c r="E664"/>
  <c r="C662"/>
  <c r="D663"/>
  <c r="E680"/>
  <c r="E672"/>
  <c r="C673"/>
  <c r="C657"/>
  <c r="D666"/>
  <c r="E675"/>
  <c r="E659"/>
  <c r="C676"/>
  <c r="C660"/>
  <c r="D669"/>
  <c r="E678"/>
  <c r="E662"/>
  <c r="C675"/>
  <c r="C659"/>
  <c r="D668"/>
  <c r="E677"/>
  <c r="E661"/>
  <c r="C674"/>
  <c r="C658"/>
  <c r="D667"/>
  <c r="E676"/>
  <c r="G40" i="23"/>
  <c r="H33" s="1"/>
  <c r="B23"/>
  <c r="B14"/>
  <c r="B16" i="24"/>
  <c r="F119" i="46"/>
  <c r="G119" s="1"/>
  <c r="G120" s="1"/>
  <c r="H98" s="1"/>
  <c r="F391"/>
  <c r="F291"/>
  <c r="G291" s="1"/>
  <c r="H409"/>
  <c r="F390"/>
  <c r="G390" s="1"/>
  <c r="G280"/>
  <c r="G121" i="7"/>
  <c r="C121" s="1"/>
  <c r="E588" i="36"/>
  <c r="C588"/>
  <c r="D588"/>
  <c r="H401" i="46"/>
  <c r="G283"/>
  <c r="G282"/>
  <c r="G279"/>
  <c r="B27"/>
  <c r="G34" i="7" s="1"/>
  <c r="B58" i="46"/>
  <c r="B36"/>
  <c r="B45"/>
  <c r="E3" i="36"/>
  <c r="D3"/>
  <c r="C3"/>
  <c r="B3"/>
  <c r="C34" i="7" l="1"/>
  <c r="B127" i="23"/>
  <c r="G91" i="7" s="1"/>
  <c r="C91" s="1"/>
  <c r="B58" i="23"/>
  <c r="G86" i="7" s="1"/>
  <c r="C86" s="1"/>
  <c r="B109" i="23"/>
  <c r="G89" i="7" s="1"/>
  <c r="C89" s="1"/>
  <c r="B137" i="23"/>
  <c r="G173" i="7" s="1"/>
  <c r="C173" s="1"/>
  <c r="B42" i="23"/>
  <c r="G85" i="7" s="1"/>
  <c r="C85" s="1"/>
  <c r="B100" i="23"/>
  <c r="G88" i="7" s="1"/>
  <c r="C88" s="1"/>
  <c r="B151" i="23"/>
  <c r="G174" i="7" s="1"/>
  <c r="C174" s="1"/>
  <c r="B33" i="23"/>
  <c r="G84" i="7" s="1"/>
  <c r="C84" s="1"/>
  <c r="B118" i="23"/>
  <c r="G90" i="7" s="1"/>
  <c r="C90" s="1"/>
  <c r="G83"/>
  <c r="C83" s="1"/>
  <c r="G172"/>
  <c r="C172" s="1"/>
  <c r="B91" i="23"/>
  <c r="G87" i="7" s="1"/>
  <c r="C87" s="1"/>
  <c r="G80"/>
  <c r="C80" s="1"/>
  <c r="G169"/>
  <c r="G82"/>
  <c r="C82" s="1"/>
  <c r="G171"/>
  <c r="I121"/>
  <c r="H121"/>
  <c r="K121"/>
  <c r="E589" i="36"/>
  <c r="K34" i="7" s="1"/>
  <c r="D589" i="36"/>
  <c r="I34" i="7" s="1"/>
  <c r="C589" i="36"/>
  <c r="H34" i="7" s="1"/>
  <c r="G130"/>
  <c r="C130" s="1"/>
  <c r="D591" i="36"/>
  <c r="G151" i="7"/>
  <c r="C151" s="1"/>
  <c r="G152"/>
  <c r="C152" s="1"/>
  <c r="G150"/>
  <c r="C150" s="1"/>
  <c r="C568" i="36"/>
  <c r="E567"/>
  <c r="D569"/>
  <c r="E569"/>
  <c r="D568"/>
  <c r="C569"/>
  <c r="C567"/>
  <c r="D567"/>
  <c r="E568"/>
  <c r="C579"/>
  <c r="E575"/>
  <c r="E582"/>
  <c r="D581"/>
  <c r="E580"/>
  <c r="E571"/>
  <c r="D573"/>
  <c r="C570"/>
  <c r="E581"/>
  <c r="C577"/>
  <c r="E577"/>
  <c r="C575"/>
  <c r="C576"/>
  <c r="C580"/>
  <c r="C581"/>
  <c r="C572"/>
  <c r="C573"/>
  <c r="D577"/>
  <c r="C571"/>
  <c r="E574"/>
  <c r="D574"/>
  <c r="D580"/>
  <c r="C574"/>
  <c r="D570"/>
  <c r="E573"/>
  <c r="D576"/>
  <c r="E579"/>
  <c r="D575"/>
  <c r="D578"/>
  <c r="C578"/>
  <c r="E576"/>
  <c r="D572"/>
  <c r="E572"/>
  <c r="E570"/>
  <c r="E578"/>
  <c r="D579"/>
  <c r="D582"/>
  <c r="C582"/>
  <c r="D571"/>
  <c r="C171" i="7" l="1"/>
  <c r="D590" i="36"/>
  <c r="E590"/>
  <c r="C590"/>
  <c r="C591"/>
  <c r="E591"/>
  <c r="K150" i="7" l="1"/>
  <c r="I130"/>
  <c r="K130"/>
  <c r="H130"/>
  <c r="K152"/>
  <c r="I150"/>
  <c r="C458" i="36" l="1"/>
  <c r="F17" i="7" l="1"/>
  <c r="D8" i="36" l="1"/>
  <c r="C8"/>
  <c r="C7"/>
  <c r="D7"/>
  <c r="D9"/>
  <c r="C9"/>
  <c r="F6" i="24" l="1"/>
  <c r="G3" i="22" l="1"/>
  <c r="G5" i="18"/>
  <c r="I5" i="37" s="1"/>
  <c r="F3" i="23"/>
  <c r="F3" i="29"/>
  <c r="H3" i="15"/>
  <c r="F3" i="9"/>
  <c r="C8" i="29" l="1"/>
  <c r="C7"/>
  <c r="M11" i="7" l="1"/>
  <c r="O6" i="51" l="1"/>
  <c r="G7" i="29"/>
  <c r="D10" i="38"/>
  <c r="G10" i="24" l="1"/>
  <c r="G7" i="23"/>
  <c r="C11" i="16"/>
  <c r="C10"/>
  <c r="C9"/>
  <c r="C11" i="24"/>
  <c r="C10"/>
  <c r="C8" i="23"/>
  <c r="C7"/>
  <c r="C7" i="9"/>
  <c r="C9" i="15"/>
  <c r="C8"/>
  <c r="H7" i="22" l="1"/>
  <c r="D7"/>
  <c r="M12" i="7" l="1"/>
  <c r="O7" i="51" l="1"/>
  <c r="G9" i="46"/>
  <c r="H8" i="22"/>
  <c r="G8" i="29"/>
  <c r="G8" i="23"/>
  <c r="G11" i="24" l="1"/>
  <c r="H10" i="18" l="1"/>
  <c r="J11" i="37" s="1"/>
  <c r="H9" i="18"/>
  <c r="J10" i="37" s="1"/>
  <c r="D9" i="18"/>
  <c r="F10" i="37" s="1"/>
  <c r="G8" i="9"/>
  <c r="G7"/>
  <c r="I9" i="15"/>
  <c r="I8"/>
  <c r="G24" i="18" l="1"/>
  <c r="G23" s="1"/>
  <c r="B17" s="1"/>
  <c r="G20"/>
  <c r="B15" l="1"/>
  <c r="B18" s="1"/>
  <c r="B19" s="1"/>
  <c r="G30" s="1"/>
  <c r="I5" i="15" l="1"/>
  <c r="M7" i="7"/>
  <c r="H4" i="22"/>
  <c r="G4" i="9"/>
  <c r="G4" i="29"/>
  <c r="H6" i="18"/>
  <c r="J6" i="37" s="1"/>
  <c r="G7" i="24"/>
  <c r="G4" i="23"/>
  <c r="L34" i="7" l="1"/>
  <c r="L33"/>
  <c r="L57"/>
  <c r="M57" s="1"/>
  <c r="D57" s="1"/>
  <c r="L141"/>
  <c r="L142"/>
  <c r="L143"/>
  <c r="L140"/>
  <c r="L145"/>
  <c r="L146"/>
  <c r="L144"/>
  <c r="L61"/>
  <c r="L58"/>
  <c r="L60"/>
  <c r="L56"/>
  <c r="L59"/>
  <c r="L63"/>
  <c r="L62"/>
  <c r="L29"/>
  <c r="M29" s="1"/>
  <c r="D29" s="1"/>
  <c r="L109"/>
  <c r="L108"/>
  <c r="L182"/>
  <c r="M182" s="1"/>
  <c r="D182" s="1"/>
  <c r="L184"/>
  <c r="L70"/>
  <c r="L67"/>
  <c r="L68"/>
  <c r="L74"/>
  <c r="L72"/>
  <c r="L75"/>
  <c r="L77"/>
  <c r="L73"/>
  <c r="L66"/>
  <c r="L69"/>
  <c r="L71"/>
  <c r="L76"/>
  <c r="L78"/>
  <c r="L79"/>
  <c r="L35"/>
  <c r="L37"/>
  <c r="L36"/>
  <c r="O5" i="51"/>
  <c r="L147" i="7"/>
  <c r="L134"/>
  <c r="L177"/>
  <c r="L179"/>
  <c r="L181"/>
  <c r="L178"/>
  <c r="L180"/>
  <c r="L166"/>
  <c r="L167"/>
  <c r="L165"/>
  <c r="L164"/>
  <c r="L168"/>
  <c r="L161"/>
  <c r="L163"/>
  <c r="L162"/>
  <c r="L160"/>
  <c r="L121"/>
  <c r="M121" s="1"/>
  <c r="D121" s="1"/>
  <c r="L113"/>
  <c r="L112"/>
  <c r="L101"/>
  <c r="L102"/>
  <c r="L104"/>
  <c r="L105"/>
  <c r="L103"/>
  <c r="G4" i="46"/>
  <c r="L150" i="7"/>
  <c r="L152"/>
  <c r="L191"/>
  <c r="L188"/>
  <c r="L189"/>
  <c r="L133"/>
  <c r="M133" s="1"/>
  <c r="D133" s="1"/>
  <c r="L132"/>
  <c r="L131"/>
  <c r="L156"/>
  <c r="L157"/>
  <c r="L96"/>
  <c r="L27"/>
  <c r="L106"/>
  <c r="L28"/>
  <c r="L130"/>
  <c r="L98"/>
  <c r="L97"/>
  <c r="B11" i="15"/>
  <c r="M33" i="7" l="1"/>
  <c r="M34"/>
  <c r="D34" s="1"/>
  <c r="M141"/>
  <c r="D141" s="1"/>
  <c r="M140"/>
  <c r="D140" s="1"/>
  <c r="M142"/>
  <c r="D142" s="1"/>
  <c r="M143"/>
  <c r="D143" s="1"/>
  <c r="M144"/>
  <c r="D144" s="1"/>
  <c r="M146"/>
  <c r="D146" s="1"/>
  <c r="M145"/>
  <c r="D145" s="1"/>
  <c r="M58"/>
  <c r="M59"/>
  <c r="D59" s="1"/>
  <c r="M61"/>
  <c r="D61" s="1"/>
  <c r="M56"/>
  <c r="D56" s="1"/>
  <c r="M60"/>
  <c r="D60" s="1"/>
  <c r="M62"/>
  <c r="D62" s="1"/>
  <c r="M63"/>
  <c r="D63" s="1"/>
  <c r="M108"/>
  <c r="D108" s="1"/>
  <c r="M109"/>
  <c r="D109" s="1"/>
  <c r="M184"/>
  <c r="D184" s="1"/>
  <c r="M71"/>
  <c r="D71" s="1"/>
  <c r="M77"/>
  <c r="D77" s="1"/>
  <c r="M74"/>
  <c r="D74" s="1"/>
  <c r="M79"/>
  <c r="D79" s="1"/>
  <c r="M69"/>
  <c r="D69" s="1"/>
  <c r="M68"/>
  <c r="D68" s="1"/>
  <c r="M78"/>
  <c r="D78" s="1"/>
  <c r="M66"/>
  <c r="M75"/>
  <c r="D75" s="1"/>
  <c r="M67"/>
  <c r="D67" s="1"/>
  <c r="M76"/>
  <c r="D76" s="1"/>
  <c r="M73"/>
  <c r="D73" s="1"/>
  <c r="M72"/>
  <c r="D72" s="1"/>
  <c r="M70"/>
  <c r="D70" s="1"/>
  <c r="M36"/>
  <c r="D36" s="1"/>
  <c r="M37"/>
  <c r="D37" s="1"/>
  <c r="M35"/>
  <c r="M147"/>
  <c r="D147" s="1"/>
  <c r="M178"/>
  <c r="D178" s="1"/>
  <c r="M181"/>
  <c r="D181" s="1"/>
  <c r="M179"/>
  <c r="D179" s="1"/>
  <c r="M180"/>
  <c r="D180" s="1"/>
  <c r="M177"/>
  <c r="M168"/>
  <c r="D168" s="1"/>
  <c r="M164"/>
  <c r="D164" s="1"/>
  <c r="M167"/>
  <c r="D167" s="1"/>
  <c r="M165"/>
  <c r="D165" s="1"/>
  <c r="M166"/>
  <c r="D166" s="1"/>
  <c r="M160"/>
  <c r="D160" s="1"/>
  <c r="M162"/>
  <c r="D162" s="1"/>
  <c r="M163"/>
  <c r="D163" s="1"/>
  <c r="M161"/>
  <c r="D161" s="1"/>
  <c r="M112"/>
  <c r="D112" s="1"/>
  <c r="M113"/>
  <c r="D113" s="1"/>
  <c r="M102"/>
  <c r="D102" s="1"/>
  <c r="M101"/>
  <c r="D101" s="1"/>
  <c r="M103"/>
  <c r="D103" s="1"/>
  <c r="M105"/>
  <c r="D105" s="1"/>
  <c r="M104"/>
  <c r="D104" s="1"/>
  <c r="M152"/>
  <c r="M150"/>
  <c r="M188"/>
  <c r="M191"/>
  <c r="D191" s="1"/>
  <c r="M189"/>
  <c r="D189" s="1"/>
  <c r="M131"/>
  <c r="D131" s="1"/>
  <c r="M157"/>
  <c r="D157" s="1"/>
  <c r="M156"/>
  <c r="M130"/>
  <c r="D130" s="1"/>
  <c r="M96"/>
  <c r="M97"/>
  <c r="D97" s="1"/>
  <c r="M27"/>
  <c r="D27" s="1"/>
  <c r="M98"/>
  <c r="D98" s="1"/>
  <c r="M28"/>
  <c r="D28" s="1"/>
  <c r="M106"/>
  <c r="D106" s="1"/>
  <c r="D58" l="1"/>
  <c r="D33"/>
  <c r="D66"/>
  <c r="D35"/>
  <c r="D188"/>
  <c r="D177"/>
  <c r="D96"/>
  <c r="D156"/>
  <c r="C494" i="36" l="1"/>
  <c r="D10" i="18" l="1"/>
  <c r="F11" i="37" s="1"/>
  <c r="D8" i="22"/>
  <c r="C8" i="9"/>
  <c r="F16" l="1"/>
  <c r="G16" s="1"/>
  <c r="C16"/>
  <c r="B24" s="1"/>
  <c r="C17"/>
  <c r="B25" s="1"/>
  <c r="F17"/>
  <c r="G17" s="1"/>
  <c r="D17"/>
  <c r="D25" s="1"/>
  <c r="D16"/>
  <c r="D24" s="1"/>
  <c r="G19" l="1"/>
  <c r="H13" s="1"/>
  <c r="H24"/>
  <c r="E338" i="36"/>
  <c r="B40" i="9" l="1"/>
  <c r="B65"/>
  <c r="G190" i="7" s="1"/>
  <c r="B28" i="9"/>
  <c r="G24" i="7" s="1"/>
  <c r="B48" i="9"/>
  <c r="G25" i="7" s="1"/>
  <c r="D338" i="36"/>
  <c r="C338"/>
  <c r="C185" i="7"/>
  <c r="O21"/>
  <c r="B13" i="29"/>
  <c r="G115" i="7" s="1"/>
  <c r="B72" i="29"/>
  <c r="G116" i="7" s="1"/>
  <c r="B59" i="9"/>
  <c r="G26" i="7" s="1"/>
  <c r="E458" i="36"/>
  <c r="E494"/>
  <c r="E44"/>
  <c r="K21" i="7" s="1"/>
  <c r="E534" i="36" l="1"/>
  <c r="C116" i="7"/>
  <c r="C115"/>
  <c r="K115"/>
  <c r="L115" s="1"/>
  <c r="M115" s="1"/>
  <c r="D534" i="36"/>
  <c r="I115" i="7" s="1"/>
  <c r="C534" i="36"/>
  <c r="H115" i="7" s="1"/>
  <c r="G192"/>
  <c r="C192" s="1"/>
  <c r="L21"/>
  <c r="C129"/>
  <c r="C25"/>
  <c r="C26"/>
  <c r="E6" i="36"/>
  <c r="E11"/>
  <c r="E8"/>
  <c r="E7"/>
  <c r="E9"/>
  <c r="D394"/>
  <c r="C394"/>
  <c r="E394"/>
  <c r="D39"/>
  <c r="E36"/>
  <c r="C34"/>
  <c r="E41"/>
  <c r="C39"/>
  <c r="D36"/>
  <c r="E33"/>
  <c r="C37"/>
  <c r="D41"/>
  <c r="E38"/>
  <c r="C36"/>
  <c r="D33"/>
  <c r="C41"/>
  <c r="D38"/>
  <c r="E35"/>
  <c r="C33"/>
  <c r="E40"/>
  <c r="C38"/>
  <c r="D35"/>
  <c r="E32"/>
  <c r="D40"/>
  <c r="E37"/>
  <c r="C35"/>
  <c r="D32"/>
  <c r="E39"/>
  <c r="D34"/>
  <c r="C40"/>
  <c r="D37"/>
  <c r="E34"/>
  <c r="C32"/>
  <c r="E14"/>
  <c r="E25"/>
  <c r="C23"/>
  <c r="D25"/>
  <c r="C25"/>
  <c r="E24"/>
  <c r="D24"/>
  <c r="C26"/>
  <c r="D23"/>
  <c r="E26"/>
  <c r="C24"/>
  <c r="D26"/>
  <c r="E23"/>
  <c r="E31"/>
  <c r="E29"/>
  <c r="D31"/>
  <c r="D28"/>
  <c r="E28"/>
  <c r="E30"/>
  <c r="D30"/>
  <c r="D29"/>
  <c r="C30"/>
  <c r="C31"/>
  <c r="C28"/>
  <c r="C27"/>
  <c r="C29"/>
  <c r="D27"/>
  <c r="E27"/>
  <c r="E15"/>
  <c r="C14"/>
  <c r="D14"/>
  <c r="C44"/>
  <c r="H21" i="7" s="1"/>
  <c r="D44" i="36"/>
  <c r="I21" i="7" s="1"/>
  <c r="E16" i="36"/>
  <c r="E17"/>
  <c r="E18"/>
  <c r="E139"/>
  <c r="C18"/>
  <c r="D18"/>
  <c r="C15"/>
  <c r="D17"/>
  <c r="D15"/>
  <c r="C16"/>
  <c r="D16"/>
  <c r="C17"/>
  <c r="C21"/>
  <c r="D21"/>
  <c r="C22"/>
  <c r="D19"/>
  <c r="D22"/>
  <c r="C19"/>
  <c r="C20"/>
  <c r="D20"/>
  <c r="E20"/>
  <c r="E22"/>
  <c r="E19"/>
  <c r="E21"/>
  <c r="D115" i="7" l="1"/>
  <c r="M21"/>
  <c r="M20" s="1"/>
  <c r="D465" i="36"/>
  <c r="C474"/>
  <c r="D11"/>
  <c r="C10"/>
  <c r="D10"/>
  <c r="C11"/>
  <c r="E459"/>
  <c r="C460"/>
  <c r="E473"/>
  <c r="C459"/>
  <c r="C399"/>
  <c r="D485"/>
  <c r="D461"/>
  <c r="E399"/>
  <c r="D459"/>
  <c r="E469"/>
  <c r="C461"/>
  <c r="D399"/>
  <c r="E10"/>
  <c r="E537"/>
  <c r="D460"/>
  <c r="C563"/>
  <c r="D536"/>
  <c r="E563"/>
  <c r="D563"/>
  <c r="E417"/>
  <c r="C396"/>
  <c r="D475"/>
  <c r="E460"/>
  <c r="D427"/>
  <c r="E395"/>
  <c r="D396"/>
  <c r="E404"/>
  <c r="E465"/>
  <c r="D404"/>
  <c r="C427"/>
  <c r="E461"/>
  <c r="C535"/>
  <c r="H116" i="7" s="1"/>
  <c r="D432" i="36"/>
  <c r="D426"/>
  <c r="D397"/>
  <c r="E426"/>
  <c r="C475"/>
  <c r="D473"/>
  <c r="C395"/>
  <c r="E475"/>
  <c r="D469"/>
  <c r="C469"/>
  <c r="D417"/>
  <c r="D395"/>
  <c r="E474"/>
  <c r="C473"/>
  <c r="C465"/>
  <c r="C417"/>
  <c r="C404"/>
  <c r="E427"/>
  <c r="E397"/>
  <c r="C538"/>
  <c r="C426"/>
  <c r="C397"/>
  <c r="D474"/>
  <c r="E396"/>
  <c r="C492"/>
  <c r="D492"/>
  <c r="E492"/>
  <c r="D538"/>
  <c r="D584"/>
  <c r="E535"/>
  <c r="K116" i="7" s="1"/>
  <c r="L116" s="1"/>
  <c r="M116" s="1"/>
  <c r="M93" s="1"/>
  <c r="C536" i="36"/>
  <c r="C585"/>
  <c r="E488"/>
  <c r="C584"/>
  <c r="D585"/>
  <c r="E538"/>
  <c r="D535"/>
  <c r="I116" i="7" s="1"/>
  <c r="E536" i="36"/>
  <c r="E583"/>
  <c r="E585"/>
  <c r="D537"/>
  <c r="C537"/>
  <c r="D539"/>
  <c r="C583"/>
  <c r="E584"/>
  <c r="D583"/>
  <c r="E539"/>
  <c r="C539"/>
  <c r="D436"/>
  <c r="D476"/>
  <c r="E489"/>
  <c r="D477"/>
  <c r="C481"/>
  <c r="E486"/>
  <c r="C476"/>
  <c r="C486"/>
  <c r="C488"/>
  <c r="C489"/>
  <c r="D481"/>
  <c r="D487"/>
  <c r="C487"/>
  <c r="E487"/>
  <c r="D486"/>
  <c r="E481"/>
  <c r="E476"/>
  <c r="E485"/>
  <c r="D489"/>
  <c r="E477"/>
  <c r="E490"/>
  <c r="D488"/>
  <c r="C485"/>
  <c r="C477"/>
  <c r="C436"/>
  <c r="E436"/>
  <c r="E479"/>
  <c r="E484"/>
  <c r="D405"/>
  <c r="C409"/>
  <c r="D400"/>
  <c r="E432"/>
  <c r="E413"/>
  <c r="E405"/>
  <c r="C400"/>
  <c r="D428"/>
  <c r="E428"/>
  <c r="E409"/>
  <c r="D422"/>
  <c r="C422"/>
  <c r="D409"/>
  <c r="C413"/>
  <c r="E400"/>
  <c r="D418"/>
  <c r="C405"/>
  <c r="E418"/>
  <c r="C432"/>
  <c r="C418"/>
  <c r="D413"/>
  <c r="C428"/>
  <c r="E422"/>
  <c r="D478"/>
  <c r="E482"/>
  <c r="E483"/>
  <c r="D482"/>
  <c r="C483"/>
  <c r="D483"/>
  <c r="D484"/>
  <c r="C482"/>
  <c r="C484"/>
  <c r="E478"/>
  <c r="C479"/>
  <c r="D480"/>
  <c r="E480"/>
  <c r="C480"/>
  <c r="C478"/>
  <c r="D467"/>
  <c r="D479"/>
  <c r="C470"/>
  <c r="E470"/>
  <c r="C471"/>
  <c r="E471"/>
  <c r="E466"/>
  <c r="D470"/>
  <c r="D466"/>
  <c r="C472"/>
  <c r="C466"/>
  <c r="D471"/>
  <c r="E472"/>
  <c r="E468"/>
  <c r="D472"/>
  <c r="C467"/>
  <c r="C468"/>
  <c r="D468"/>
  <c r="E467"/>
  <c r="D462"/>
  <c r="C463"/>
  <c r="E464"/>
  <c r="E463"/>
  <c r="D463"/>
  <c r="C462"/>
  <c r="E462"/>
  <c r="C464"/>
  <c r="D464"/>
  <c r="E433"/>
  <c r="D430"/>
  <c r="D433"/>
  <c r="C435"/>
  <c r="C434"/>
  <c r="E434"/>
  <c r="D435"/>
  <c r="E435"/>
  <c r="C433"/>
  <c r="D434"/>
  <c r="E431"/>
  <c r="C431"/>
  <c r="D429"/>
  <c r="C423"/>
  <c r="E429"/>
  <c r="E430"/>
  <c r="D431"/>
  <c r="C429"/>
  <c r="C430"/>
  <c r="D424"/>
  <c r="C425"/>
  <c r="E424"/>
  <c r="C424"/>
  <c r="E423"/>
  <c r="E425"/>
  <c r="D425"/>
  <c r="D423"/>
  <c r="C420"/>
  <c r="D414"/>
  <c r="D421"/>
  <c r="C419"/>
  <c r="C421"/>
  <c r="D419"/>
  <c r="E420"/>
  <c r="E421"/>
  <c r="D420"/>
  <c r="E419"/>
  <c r="C414"/>
  <c r="C416"/>
  <c r="C415"/>
  <c r="E414"/>
  <c r="E416"/>
  <c r="E415"/>
  <c r="E412"/>
  <c r="E411"/>
  <c r="D416"/>
  <c r="D415"/>
  <c r="D411"/>
  <c r="D412"/>
  <c r="C410"/>
  <c r="C411"/>
  <c r="D410"/>
  <c r="E410"/>
  <c r="C412"/>
  <c r="D408"/>
  <c r="D407"/>
  <c r="D406"/>
  <c r="C408"/>
  <c r="C407"/>
  <c r="C406"/>
  <c r="E408"/>
  <c r="E406"/>
  <c r="E407"/>
  <c r="C401"/>
  <c r="D402"/>
  <c r="C403"/>
  <c r="E401"/>
  <c r="D403"/>
  <c r="C402"/>
  <c r="D401"/>
  <c r="E402"/>
  <c r="E403"/>
  <c r="D398"/>
  <c r="C398"/>
  <c r="E398"/>
  <c r="D491"/>
  <c r="E491"/>
  <c r="C491"/>
  <c r="E542"/>
  <c r="C544"/>
  <c r="D542"/>
  <c r="D543"/>
  <c r="D541"/>
  <c r="C540"/>
  <c r="H129" i="7" s="1"/>
  <c r="C542" i="36"/>
  <c r="D540"/>
  <c r="I129" i="7" s="1"/>
  <c r="E540" i="36"/>
  <c r="K129" i="7" s="1"/>
  <c r="L129" s="1"/>
  <c r="M129" s="1"/>
  <c r="C558" i="36"/>
  <c r="E541"/>
  <c r="C541"/>
  <c r="D548"/>
  <c r="C548"/>
  <c r="C545"/>
  <c r="E560"/>
  <c r="E559"/>
  <c r="E546"/>
  <c r="C560"/>
  <c r="D559"/>
  <c r="D545"/>
  <c r="E545"/>
  <c r="D546"/>
  <c r="E551"/>
  <c r="C549"/>
  <c r="C562"/>
  <c r="C554"/>
  <c r="D556"/>
  <c r="E553"/>
  <c r="C437"/>
  <c r="C546"/>
  <c r="C557"/>
  <c r="E547"/>
  <c r="D554"/>
  <c r="E548"/>
  <c r="D544"/>
  <c r="E561"/>
  <c r="C559"/>
  <c r="C551"/>
  <c r="E550"/>
  <c r="E549"/>
  <c r="E556"/>
  <c r="E438"/>
  <c r="D551"/>
  <c r="D561"/>
  <c r="C556"/>
  <c r="D553"/>
  <c r="E558"/>
  <c r="D547"/>
  <c r="E452"/>
  <c r="E543"/>
  <c r="D558"/>
  <c r="E555"/>
  <c r="C553"/>
  <c r="D550"/>
  <c r="D555"/>
  <c r="E557"/>
  <c r="C555"/>
  <c r="D437"/>
  <c r="E544"/>
  <c r="C561"/>
  <c r="C550"/>
  <c r="C547"/>
  <c r="D560"/>
  <c r="D552"/>
  <c r="E554"/>
  <c r="C552"/>
  <c r="E552"/>
  <c r="C543"/>
  <c r="E562"/>
  <c r="D557"/>
  <c r="D549"/>
  <c r="D562"/>
  <c r="C453"/>
  <c r="E454"/>
  <c r="C451"/>
  <c r="D445"/>
  <c r="E453"/>
  <c r="E448"/>
  <c r="E449"/>
  <c r="C442"/>
  <c r="C441"/>
  <c r="C438"/>
  <c r="D450"/>
  <c r="D441"/>
  <c r="C455"/>
  <c r="C447"/>
  <c r="D447"/>
  <c r="C449"/>
  <c r="E443"/>
  <c r="C454"/>
  <c r="C445"/>
  <c r="C448"/>
  <c r="E441"/>
  <c r="E437"/>
  <c r="E446"/>
  <c r="D453"/>
  <c r="D439"/>
  <c r="D451"/>
  <c r="D442"/>
  <c r="D438"/>
  <c r="E440"/>
  <c r="D490"/>
  <c r="C490"/>
  <c r="E447"/>
  <c r="D454"/>
  <c r="D449"/>
  <c r="C450"/>
  <c r="E455"/>
  <c r="C443"/>
  <c r="C444"/>
  <c r="C440"/>
  <c r="E444"/>
  <c r="E439"/>
  <c r="E442"/>
  <c r="C439"/>
  <c r="C446"/>
  <c r="D440"/>
  <c r="E451"/>
  <c r="E450"/>
  <c r="D444"/>
  <c r="D446"/>
  <c r="D448"/>
  <c r="D452"/>
  <c r="D455"/>
  <c r="D443"/>
  <c r="C452"/>
  <c r="E445"/>
  <c r="D116" i="7" l="1"/>
  <c r="D93"/>
  <c r="C190"/>
  <c r="D20"/>
  <c r="A20" s="1"/>
  <c r="D21"/>
  <c r="D129"/>
  <c r="C24"/>
  <c r="E141" i="36"/>
  <c r="C141"/>
  <c r="D142"/>
  <c r="C142"/>
  <c r="D141"/>
  <c r="E142"/>
  <c r="C143"/>
  <c r="E143"/>
  <c r="D143"/>
  <c r="C144"/>
  <c r="D144"/>
  <c r="E144"/>
  <c r="E175"/>
  <c r="D200"/>
  <c r="C193"/>
  <c r="E170"/>
  <c r="E155"/>
  <c r="D172"/>
  <c r="D145"/>
  <c r="E158"/>
  <c r="C158"/>
  <c r="E140"/>
  <c r="E157"/>
  <c r="C154"/>
  <c r="C183"/>
  <c r="C145"/>
  <c r="E159"/>
  <c r="E194"/>
  <c r="C201"/>
  <c r="D192"/>
  <c r="D140"/>
  <c r="E178"/>
  <c r="C191"/>
  <c r="D204"/>
  <c r="E145"/>
  <c r="D155"/>
  <c r="D160"/>
  <c r="D189"/>
  <c r="C148"/>
  <c r="E181"/>
  <c r="C190"/>
  <c r="E177"/>
  <c r="C181"/>
  <c r="C140"/>
  <c r="E174"/>
  <c r="D167"/>
  <c r="D199"/>
  <c r="D186"/>
  <c r="D163"/>
  <c r="D202"/>
  <c r="E182"/>
  <c r="E201"/>
  <c r="D205"/>
  <c r="C207"/>
  <c r="C175"/>
  <c r="C194"/>
  <c r="E148"/>
  <c r="E215"/>
  <c r="E169"/>
  <c r="E152"/>
  <c r="C176"/>
  <c r="C185"/>
  <c r="C155"/>
  <c r="E186"/>
  <c r="E216"/>
  <c r="E147"/>
  <c r="E167"/>
  <c r="D208"/>
  <c r="E183"/>
  <c r="E199"/>
  <c r="E153"/>
  <c r="C171"/>
  <c r="E208"/>
  <c r="C150"/>
  <c r="D181"/>
  <c r="D212"/>
  <c r="E197"/>
  <c r="E187"/>
  <c r="E149"/>
  <c r="D152"/>
  <c r="D197"/>
  <c r="C159"/>
  <c r="D157"/>
  <c r="C188"/>
  <c r="C172"/>
  <c r="C179"/>
  <c r="C163"/>
  <c r="D175"/>
  <c r="C160"/>
  <c r="E205"/>
  <c r="D159"/>
  <c r="C182"/>
  <c r="D191"/>
  <c r="D156"/>
  <c r="C162"/>
  <c r="D147"/>
  <c r="E188"/>
  <c r="D213"/>
  <c r="D215"/>
  <c r="C215"/>
  <c r="C216"/>
  <c r="E171"/>
  <c r="E193"/>
  <c r="E180"/>
  <c r="D171"/>
  <c r="D207"/>
  <c r="D193"/>
  <c r="D165"/>
  <c r="D182"/>
  <c r="C168"/>
  <c r="C200"/>
  <c r="C149"/>
  <c r="E213"/>
  <c r="E166"/>
  <c r="D148"/>
  <c r="E192"/>
  <c r="E196"/>
  <c r="D151"/>
  <c r="C165"/>
  <c r="E161"/>
  <c r="E200"/>
  <c r="E195"/>
  <c r="D158"/>
  <c r="D198"/>
  <c r="D179"/>
  <c r="E206"/>
  <c r="D209"/>
  <c r="E209"/>
  <c r="D206"/>
  <c r="D161"/>
  <c r="D176"/>
  <c r="D216"/>
  <c r="E173"/>
  <c r="C229"/>
  <c r="C230"/>
  <c r="E198"/>
  <c r="E211"/>
  <c r="E168"/>
  <c r="E189"/>
  <c r="C189"/>
  <c r="D169"/>
  <c r="D178"/>
  <c r="D154"/>
  <c r="E204"/>
  <c r="D194"/>
  <c r="D166"/>
  <c r="D149"/>
  <c r="E185"/>
  <c r="D214"/>
  <c r="E190"/>
  <c r="E164"/>
  <c r="E151"/>
  <c r="C164"/>
  <c r="C203"/>
  <c r="C209"/>
  <c r="D168"/>
  <c r="D153"/>
  <c r="C198"/>
  <c r="C199"/>
  <c r="C211"/>
  <c r="E191"/>
  <c r="E160"/>
  <c r="E163"/>
  <c r="E162"/>
  <c r="E154"/>
  <c r="C174"/>
  <c r="C184"/>
  <c r="C204"/>
  <c r="C197"/>
  <c r="D164"/>
  <c r="C153"/>
  <c r="D187"/>
  <c r="D201"/>
  <c r="C180"/>
  <c r="C206"/>
  <c r="C151"/>
  <c r="E203"/>
  <c r="C210"/>
  <c r="C178"/>
  <c r="C167"/>
  <c r="D170"/>
  <c r="C186"/>
  <c r="C147"/>
  <c r="E165"/>
  <c r="E212"/>
  <c r="C212"/>
  <c r="E172"/>
  <c r="D218"/>
  <c r="C169"/>
  <c r="C177"/>
  <c r="D173"/>
  <c r="C187"/>
  <c r="E207"/>
  <c r="D185"/>
  <c r="D162"/>
  <c r="C196"/>
  <c r="C166"/>
  <c r="D183"/>
  <c r="C152"/>
  <c r="D210"/>
  <c r="D184"/>
  <c r="D195"/>
  <c r="D146"/>
  <c r="D211"/>
  <c r="E214"/>
  <c r="E222"/>
  <c r="D150"/>
  <c r="C173"/>
  <c r="C161"/>
  <c r="E176"/>
  <c r="E179"/>
  <c r="E184"/>
  <c r="E156"/>
  <c r="E150"/>
  <c r="D196"/>
  <c r="D177"/>
  <c r="D180"/>
  <c r="C195"/>
  <c r="D190"/>
  <c r="D188"/>
  <c r="D203"/>
  <c r="C205"/>
  <c r="D174"/>
  <c r="C192"/>
  <c r="E202"/>
  <c r="C156"/>
  <c r="C208"/>
  <c r="C202"/>
  <c r="C157"/>
  <c r="C170"/>
  <c r="E210"/>
  <c r="C146"/>
  <c r="E146"/>
  <c r="C214"/>
  <c r="C213"/>
  <c r="E219"/>
  <c r="C218"/>
  <c r="D233"/>
  <c r="D230"/>
  <c r="E235"/>
  <c r="D219"/>
  <c r="E228"/>
  <c r="E234"/>
  <c r="E233"/>
  <c r="E225"/>
  <c r="D226"/>
  <c r="C226"/>
  <c r="C223"/>
  <c r="C220"/>
  <c r="C217"/>
  <c r="C235"/>
  <c r="C232"/>
  <c r="E223"/>
  <c r="D223"/>
  <c r="D220"/>
  <c r="D217"/>
  <c r="D235"/>
  <c r="D232"/>
  <c r="D229"/>
  <c r="C221"/>
  <c r="E220"/>
  <c r="E217"/>
  <c r="C233"/>
  <c r="E232"/>
  <c r="E229"/>
  <c r="E226"/>
  <c r="C227"/>
  <c r="C224"/>
  <c r="E230"/>
  <c r="E227"/>
  <c r="D227"/>
  <c r="D224"/>
  <c r="D221"/>
  <c r="D234"/>
  <c r="C234"/>
  <c r="C231"/>
  <c r="C228"/>
  <c r="C225"/>
  <c r="E224"/>
  <c r="E221"/>
  <c r="E218"/>
  <c r="E231"/>
  <c r="D231"/>
  <c r="D228"/>
  <c r="D225"/>
  <c r="D222"/>
  <c r="C222"/>
  <c r="C219"/>
  <c r="E55"/>
  <c r="C47"/>
  <c r="C46"/>
  <c r="C55"/>
  <c r="C54"/>
  <c r="E58"/>
  <c r="C51"/>
  <c r="E56"/>
  <c r="D58"/>
  <c r="D46"/>
  <c r="C58"/>
  <c r="C57"/>
  <c r="C52"/>
  <c r="E54"/>
  <c r="E59"/>
  <c r="E49"/>
  <c r="E57"/>
  <c r="D51"/>
  <c r="D53"/>
  <c r="C56"/>
  <c r="C53"/>
  <c r="E50"/>
  <c r="C45"/>
  <c r="C50"/>
  <c r="D48"/>
  <c r="D54"/>
  <c r="D56"/>
  <c r="C49"/>
  <c r="D45"/>
  <c r="D49"/>
  <c r="E48"/>
  <c r="E47"/>
  <c r="E52"/>
  <c r="D52"/>
  <c r="C48"/>
  <c r="E45"/>
  <c r="E51"/>
  <c r="C59"/>
  <c r="D47"/>
  <c r="D57"/>
  <c r="E53"/>
  <c r="E46"/>
  <c r="D55"/>
  <c r="D50"/>
  <c r="D59"/>
  <c r="D61"/>
  <c r="E60"/>
  <c r="C60"/>
  <c r="D64"/>
  <c r="D62"/>
  <c r="E63"/>
  <c r="C61"/>
  <c r="C62"/>
  <c r="D60"/>
  <c r="E62"/>
  <c r="D63"/>
  <c r="E61"/>
  <c r="C63"/>
  <c r="E64"/>
  <c r="C64"/>
  <c r="E88"/>
  <c r="E103"/>
  <c r="E76"/>
  <c r="E91"/>
  <c r="E77"/>
  <c r="E113"/>
  <c r="E81"/>
  <c r="E100"/>
  <c r="D127"/>
  <c r="C128"/>
  <c r="E128"/>
  <c r="C132"/>
  <c r="E123"/>
  <c r="D116"/>
  <c r="D96"/>
  <c r="C76"/>
  <c r="C106"/>
  <c r="E125"/>
  <c r="D113"/>
  <c r="D76"/>
  <c r="D75"/>
  <c r="D100"/>
  <c r="C78"/>
  <c r="C111"/>
  <c r="C110"/>
  <c r="C77"/>
  <c r="D115"/>
  <c r="D82"/>
  <c r="D91"/>
  <c r="C100"/>
  <c r="E71"/>
  <c r="E89"/>
  <c r="E79"/>
  <c r="E65"/>
  <c r="E106"/>
  <c r="E109"/>
  <c r="E85"/>
  <c r="C130"/>
  <c r="E130"/>
  <c r="D131"/>
  <c r="E134"/>
  <c r="C91"/>
  <c r="D73"/>
  <c r="D84"/>
  <c r="C123"/>
  <c r="C108"/>
  <c r="C70"/>
  <c r="C79"/>
  <c r="E104"/>
  <c r="C69"/>
  <c r="C112"/>
  <c r="D107"/>
  <c r="D74"/>
  <c r="D77"/>
  <c r="D106"/>
  <c r="C80"/>
  <c r="C109"/>
  <c r="D85"/>
  <c r="D114"/>
  <c r="E110"/>
  <c r="E115"/>
  <c r="E105"/>
  <c r="E80"/>
  <c r="D87"/>
  <c r="E132"/>
  <c r="D133"/>
  <c r="C134"/>
  <c r="D120"/>
  <c r="D105"/>
  <c r="C66"/>
  <c r="D67"/>
  <c r="D68"/>
  <c r="C102"/>
  <c r="D66"/>
  <c r="D69"/>
  <c r="D98"/>
  <c r="C72"/>
  <c r="C101"/>
  <c r="C104"/>
  <c r="D86"/>
  <c r="D79"/>
  <c r="D109"/>
  <c r="C89"/>
  <c r="C90"/>
  <c r="D94"/>
  <c r="E126"/>
  <c r="E68"/>
  <c r="E96"/>
  <c r="E66"/>
  <c r="E86"/>
  <c r="E67"/>
  <c r="E90"/>
  <c r="E83"/>
  <c r="D135"/>
  <c r="C136"/>
  <c r="E136"/>
  <c r="D99"/>
  <c r="C126"/>
  <c r="C93"/>
  <c r="E98"/>
  <c r="D78"/>
  <c r="C125"/>
  <c r="D101"/>
  <c r="C81"/>
  <c r="C113"/>
  <c r="D124"/>
  <c r="D118"/>
  <c r="D111"/>
  <c r="E70"/>
  <c r="E94"/>
  <c r="E78"/>
  <c r="E112"/>
  <c r="E114"/>
  <c r="E95"/>
  <c r="E93"/>
  <c r="E129"/>
  <c r="D130"/>
  <c r="C131"/>
  <c r="E131"/>
  <c r="E120"/>
  <c r="E87"/>
  <c r="D93"/>
  <c r="D70"/>
  <c r="E119"/>
  <c r="E122"/>
  <c r="D102"/>
  <c r="C71"/>
  <c r="D72"/>
  <c r="D71"/>
  <c r="C75"/>
  <c r="C82"/>
  <c r="D112"/>
  <c r="C92"/>
  <c r="D95"/>
  <c r="C115"/>
  <c r="D97"/>
  <c r="E116"/>
  <c r="C95"/>
  <c r="E101"/>
  <c r="E74"/>
  <c r="E92"/>
  <c r="D132"/>
  <c r="C133"/>
  <c r="E133"/>
  <c r="D134"/>
  <c r="C88"/>
  <c r="C65"/>
  <c r="C117"/>
  <c r="C120"/>
  <c r="E99"/>
  <c r="C67"/>
  <c r="D104"/>
  <c r="C84"/>
  <c r="C107"/>
  <c r="D89"/>
  <c r="C74"/>
  <c r="D121"/>
  <c r="D108"/>
  <c r="C124"/>
  <c r="C119"/>
  <c r="E117"/>
  <c r="C68"/>
  <c r="E73"/>
  <c r="E84"/>
  <c r="E72"/>
  <c r="E82"/>
  <c r="E111"/>
  <c r="C135"/>
  <c r="E135"/>
  <c r="D136"/>
  <c r="D129"/>
  <c r="D117"/>
  <c r="C97"/>
  <c r="C122"/>
  <c r="D126"/>
  <c r="C98"/>
  <c r="C99"/>
  <c r="D81"/>
  <c r="D92"/>
  <c r="E118"/>
  <c r="D83"/>
  <c r="C83"/>
  <c r="D88"/>
  <c r="E124"/>
  <c r="E69"/>
  <c r="E108"/>
  <c r="D125"/>
  <c r="E102"/>
  <c r="C96"/>
  <c r="C87"/>
  <c r="C86"/>
  <c r="D119"/>
  <c r="C127"/>
  <c r="D123"/>
  <c r="C73"/>
  <c r="C103"/>
  <c r="E107"/>
  <c r="E127"/>
  <c r="C105"/>
  <c r="E97"/>
  <c r="D103"/>
  <c r="D65"/>
  <c r="C118"/>
  <c r="C114"/>
  <c r="D128"/>
  <c r="C94"/>
  <c r="E121"/>
  <c r="C121"/>
  <c r="C129"/>
  <c r="D90"/>
  <c r="D122"/>
  <c r="C116"/>
  <c r="D110"/>
  <c r="D80"/>
  <c r="C85"/>
  <c r="E75"/>
  <c r="Q52" i="7" l="1"/>
  <c r="I192"/>
  <c r="K192"/>
  <c r="L192" s="1"/>
  <c r="M192" s="1"/>
  <c r="H192"/>
  <c r="H190"/>
  <c r="K190"/>
  <c r="L190" s="1"/>
  <c r="M190" s="1"/>
  <c r="K26"/>
  <c r="L26" s="1"/>
  <c r="H25"/>
  <c r="K25"/>
  <c r="L25" s="1"/>
  <c r="H26"/>
  <c r="I190"/>
  <c r="I26"/>
  <c r="I25"/>
  <c r="B20"/>
  <c r="F20" s="1"/>
  <c r="A21"/>
  <c r="B21" s="1"/>
  <c r="F21" s="1"/>
  <c r="I24"/>
  <c r="H24"/>
  <c r="K24"/>
  <c r="L24" s="1"/>
  <c r="M24" s="1"/>
  <c r="D109" i="16" l="1"/>
  <c r="E109"/>
  <c r="F109"/>
  <c r="F106"/>
  <c r="E106"/>
  <c r="D106"/>
  <c r="D102"/>
  <c r="E102"/>
  <c r="F102"/>
  <c r="E134"/>
  <c r="F134"/>
  <c r="D134"/>
  <c r="F39"/>
  <c r="F36"/>
  <c r="F27"/>
  <c r="F33"/>
  <c r="F42"/>
  <c r="F46"/>
  <c r="F50"/>
  <c r="E39"/>
  <c r="E36"/>
  <c r="E27"/>
  <c r="E33"/>
  <c r="E42"/>
  <c r="E46"/>
  <c r="E50"/>
  <c r="D39"/>
  <c r="D36"/>
  <c r="D27"/>
  <c r="D33"/>
  <c r="D42"/>
  <c r="D46"/>
  <c r="D50"/>
  <c r="E59"/>
  <c r="D59"/>
  <c r="C59"/>
  <c r="F59"/>
  <c r="D192" i="7"/>
  <c r="M187"/>
  <c r="D187" s="1"/>
  <c r="F90" i="16"/>
  <c r="F94"/>
  <c r="F178"/>
  <c r="F17"/>
  <c r="F87"/>
  <c r="F95"/>
  <c r="F112"/>
  <c r="F121"/>
  <c r="F130"/>
  <c r="F170"/>
  <c r="F105"/>
  <c r="F117"/>
  <c r="F149"/>
  <c r="F89"/>
  <c r="F165"/>
  <c r="F143"/>
  <c r="F181"/>
  <c r="F123"/>
  <c r="E90"/>
  <c r="E94"/>
  <c r="E178"/>
  <c r="E17"/>
  <c r="E87"/>
  <c r="E95"/>
  <c r="E112"/>
  <c r="E121"/>
  <c r="E130"/>
  <c r="E170"/>
  <c r="E105"/>
  <c r="E117"/>
  <c r="E149"/>
  <c r="E89"/>
  <c r="E165"/>
  <c r="E143"/>
  <c r="E181"/>
  <c r="E123"/>
  <c r="D90"/>
  <c r="D94"/>
  <c r="D17"/>
  <c r="D87"/>
  <c r="D95"/>
  <c r="D112"/>
  <c r="D121"/>
  <c r="D130"/>
  <c r="D170"/>
  <c r="D105"/>
  <c r="D117"/>
  <c r="D149"/>
  <c r="D89"/>
  <c r="D123"/>
  <c r="D165"/>
  <c r="D143"/>
  <c r="D181"/>
  <c r="D178"/>
  <c r="C17"/>
  <c r="C87"/>
  <c r="C112"/>
  <c r="C121"/>
  <c r="C170"/>
  <c r="C149"/>
  <c r="C143"/>
  <c r="C181"/>
  <c r="P21" i="7"/>
  <c r="B16" i="16"/>
  <c r="D190" i="7"/>
  <c r="A22"/>
  <c r="M26"/>
  <c r="D26" s="1"/>
  <c r="M25"/>
  <c r="D25" s="1"/>
  <c r="D24"/>
  <c r="M23" l="1"/>
  <c r="E16" i="16"/>
  <c r="F16"/>
  <c r="C16"/>
  <c r="D16"/>
  <c r="D23" i="7" l="1"/>
  <c r="A23" s="1"/>
  <c r="B15" i="16"/>
  <c r="A24" i="7" l="1"/>
  <c r="B23"/>
  <c r="F23" s="1"/>
  <c r="B18" i="16" l="1"/>
  <c r="B24" i="7"/>
  <c r="F24" s="1"/>
  <c r="B19" i="16" s="1"/>
  <c r="A25" i="7"/>
  <c r="E18" i="16" l="1"/>
  <c r="F18"/>
  <c r="E19"/>
  <c r="F19"/>
  <c r="C18"/>
  <c r="D18"/>
  <c r="C19"/>
  <c r="D19"/>
  <c r="P24" i="7"/>
  <c r="B25"/>
  <c r="F25" s="1"/>
  <c r="B20" i="16" s="1"/>
  <c r="E20" l="1"/>
  <c r="F20"/>
  <c r="C20"/>
  <c r="D20"/>
  <c r="P25" i="7"/>
  <c r="A26"/>
  <c r="D511" i="36"/>
  <c r="E516"/>
  <c r="E517"/>
  <c r="D498"/>
  <c r="E511"/>
  <c r="D519" l="1"/>
  <c r="E495"/>
  <c r="D495"/>
  <c r="E498"/>
  <c r="E502"/>
  <c r="B26" i="7"/>
  <c r="F26" s="1"/>
  <c r="B21" i="16" s="1"/>
  <c r="E520" i="36"/>
  <c r="C495"/>
  <c r="E505"/>
  <c r="D505"/>
  <c r="D497"/>
  <c r="C498"/>
  <c r="C511"/>
  <c r="C519"/>
  <c r="C502"/>
  <c r="E518"/>
  <c r="D502"/>
  <c r="D518"/>
  <c r="C505"/>
  <c r="D520"/>
  <c r="E521"/>
  <c r="D516"/>
  <c r="C518"/>
  <c r="D517"/>
  <c r="C517"/>
  <c r="E519"/>
  <c r="C516"/>
  <c r="C524"/>
  <c r="D529"/>
  <c r="E523"/>
  <c r="D524"/>
  <c r="C530"/>
  <c r="C525"/>
  <c r="C529"/>
  <c r="E529"/>
  <c r="E528"/>
  <c r="D523"/>
  <c r="C528"/>
  <c r="E524"/>
  <c r="D528"/>
  <c r="D530"/>
  <c r="C527"/>
  <c r="E522"/>
  <c r="E527"/>
  <c r="C523"/>
  <c r="D526"/>
  <c r="E531"/>
  <c r="E526"/>
  <c r="D522"/>
  <c r="D527"/>
  <c r="C531"/>
  <c r="C526"/>
  <c r="D531"/>
  <c r="D525"/>
  <c r="E525"/>
  <c r="E530"/>
  <c r="E506"/>
  <c r="D507"/>
  <c r="D503"/>
  <c r="D509"/>
  <c r="D499"/>
  <c r="C503"/>
  <c r="C507"/>
  <c r="C504"/>
  <c r="C499"/>
  <c r="E515"/>
  <c r="D496"/>
  <c r="D504"/>
  <c r="D500"/>
  <c r="E503"/>
  <c r="E504"/>
  <c r="E507"/>
  <c r="D515"/>
  <c r="D506"/>
  <c r="E499"/>
  <c r="E512"/>
  <c r="E509"/>
  <c r="D514"/>
  <c r="C496"/>
  <c r="C501"/>
  <c r="E496"/>
  <c r="E501"/>
  <c r="C510"/>
  <c r="C506"/>
  <c r="D510"/>
  <c r="E510"/>
  <c r="E500"/>
  <c r="C512"/>
  <c r="C515"/>
  <c r="D508"/>
  <c r="D501"/>
  <c r="E508"/>
  <c r="C508"/>
  <c r="D512"/>
  <c r="D513"/>
  <c r="E514"/>
  <c r="C500"/>
  <c r="C509"/>
  <c r="C513"/>
  <c r="C514"/>
  <c r="E513"/>
  <c r="C497"/>
  <c r="E497"/>
  <c r="D521"/>
  <c r="E21" i="16" l="1"/>
  <c r="F21"/>
  <c r="C21"/>
  <c r="D21"/>
  <c r="P26" i="7"/>
  <c r="D15" i="16" l="1"/>
  <c r="F15"/>
  <c r="C15"/>
  <c r="E15"/>
  <c r="A27" i="7" l="1"/>
  <c r="A28" l="1"/>
  <c r="A29" s="1"/>
  <c r="B29" s="1"/>
  <c r="F29" s="1"/>
  <c r="B27"/>
  <c r="F27" s="1"/>
  <c r="B22" i="16" s="1"/>
  <c r="P29" i="7" l="1"/>
  <c r="B24" i="16"/>
  <c r="E22"/>
  <c r="F22"/>
  <c r="C22"/>
  <c r="D22"/>
  <c r="P27" i="7"/>
  <c r="B28"/>
  <c r="F28" s="1"/>
  <c r="B23" i="16" s="1"/>
  <c r="D24" l="1"/>
  <c r="C24"/>
  <c r="F24"/>
  <c r="E24"/>
  <c r="E23"/>
  <c r="F23"/>
  <c r="C23"/>
  <c r="D23"/>
  <c r="P28" i="7"/>
  <c r="A30" l="1"/>
  <c r="D245" i="36" l="1"/>
  <c r="C245"/>
  <c r="E245"/>
  <c r="C249"/>
  <c r="D256"/>
  <c r="E246"/>
  <c r="E253"/>
  <c r="D254"/>
  <c r="C255"/>
  <c r="C248"/>
  <c r="E248"/>
  <c r="D252"/>
  <c r="E256"/>
  <c r="E247"/>
  <c r="E249"/>
  <c r="E252"/>
  <c r="D253"/>
  <c r="D251"/>
  <c r="D246"/>
  <c r="E251"/>
  <c r="C253"/>
  <c r="C247"/>
  <c r="D250"/>
  <c r="C252"/>
  <c r="E254"/>
  <c r="D248"/>
  <c r="C256"/>
  <c r="C246"/>
  <c r="D249"/>
  <c r="C251"/>
  <c r="D247"/>
  <c r="C250"/>
  <c r="C254"/>
  <c r="E255"/>
  <c r="D255"/>
  <c r="E250"/>
  <c r="K90" i="7" l="1"/>
  <c r="L90" s="1"/>
  <c r="M90" s="1"/>
  <c r="K91"/>
  <c r="L91" s="1"/>
  <c r="M91" s="1"/>
  <c r="K83"/>
  <c r="L83" s="1"/>
  <c r="M83" s="1"/>
  <c r="I90"/>
  <c r="I88"/>
  <c r="H87"/>
  <c r="K87"/>
  <c r="L87" s="1"/>
  <c r="M87" s="1"/>
  <c r="I83"/>
  <c r="I87"/>
  <c r="H91"/>
  <c r="H88"/>
  <c r="H89"/>
  <c r="H84"/>
  <c r="I85"/>
  <c r="I84"/>
  <c r="H85"/>
  <c r="K89"/>
  <c r="L89" s="1"/>
  <c r="M89" s="1"/>
  <c r="I86"/>
  <c r="H90"/>
  <c r="C85" i="16" s="1"/>
  <c r="K86" i="7"/>
  <c r="L86" s="1"/>
  <c r="M86" s="1"/>
  <c r="K88"/>
  <c r="L88" s="1"/>
  <c r="M88" s="1"/>
  <c r="H83"/>
  <c r="C78" i="16" s="1"/>
  <c r="H86" i="7"/>
  <c r="C82" i="16" s="1"/>
  <c r="K84" i="7"/>
  <c r="L84" s="1"/>
  <c r="M84" s="1"/>
  <c r="I91"/>
  <c r="I82"/>
  <c r="I171"/>
  <c r="H82"/>
  <c r="H171"/>
  <c r="K82"/>
  <c r="L82" s="1"/>
  <c r="M82" s="1"/>
  <c r="K171"/>
  <c r="L171" s="1"/>
  <c r="M171" s="1"/>
  <c r="K174"/>
  <c r="L174" s="1"/>
  <c r="M174" s="1"/>
  <c r="H174"/>
  <c r="H172"/>
  <c r="I172"/>
  <c r="I174"/>
  <c r="K172"/>
  <c r="L172" s="1"/>
  <c r="M172" s="1"/>
  <c r="I173"/>
  <c r="H173"/>
  <c r="K173"/>
  <c r="L173" s="1"/>
  <c r="M173" s="1"/>
  <c r="D91" l="1"/>
  <c r="D87"/>
  <c r="D83"/>
  <c r="D84"/>
  <c r="D86"/>
  <c r="D90"/>
  <c r="D88"/>
  <c r="D82"/>
  <c r="D171"/>
  <c r="D172"/>
  <c r="D174"/>
  <c r="D173"/>
  <c r="C169" l="1"/>
  <c r="C520" i="36" l="1"/>
  <c r="C521" l="1"/>
  <c r="C522"/>
  <c r="E357" l="1"/>
  <c r="E343"/>
  <c r="D357"/>
  <c r="C357"/>
  <c r="C352"/>
  <c r="E340"/>
  <c r="E350"/>
  <c r="E351"/>
  <c r="D342"/>
  <c r="C358"/>
  <c r="E361"/>
  <c r="E363"/>
  <c r="C363"/>
  <c r="C353"/>
  <c r="D359"/>
  <c r="D343"/>
  <c r="D347"/>
  <c r="E344"/>
  <c r="C345"/>
  <c r="H80" i="7" s="1"/>
  <c r="C346" i="36"/>
  <c r="C348"/>
  <c r="D339"/>
  <c r="D363"/>
  <c r="C361"/>
  <c r="D364"/>
  <c r="D355"/>
  <c r="E354"/>
  <c r="D356"/>
  <c r="C341"/>
  <c r="C351"/>
  <c r="E347"/>
  <c r="D353"/>
  <c r="E364"/>
  <c r="E359"/>
  <c r="C360"/>
  <c r="E346"/>
  <c r="E353"/>
  <c r="C364"/>
  <c r="C362"/>
  <c r="D354"/>
  <c r="D348"/>
  <c r="E339"/>
  <c r="D346"/>
  <c r="C356"/>
  <c r="C347"/>
  <c r="C339"/>
  <c r="E342"/>
  <c r="C340"/>
  <c r="C354"/>
  <c r="E348"/>
  <c r="D361"/>
  <c r="E360"/>
  <c r="C359"/>
  <c r="E358"/>
  <c r="D351"/>
  <c r="E356"/>
  <c r="D360"/>
  <c r="D344"/>
  <c r="C343"/>
  <c r="D340"/>
  <c r="C350"/>
  <c r="D352"/>
  <c r="E349"/>
  <c r="C342"/>
  <c r="E362"/>
  <c r="C355"/>
  <c r="E352"/>
  <c r="D345"/>
  <c r="I80" i="7" s="1"/>
  <c r="C349" i="36"/>
  <c r="D341"/>
  <c r="D350"/>
  <c r="C344"/>
  <c r="D349"/>
  <c r="E355"/>
  <c r="D362"/>
  <c r="D358"/>
  <c r="E341"/>
  <c r="E345"/>
  <c r="K80" i="7" s="1"/>
  <c r="L80" s="1"/>
  <c r="M80" s="1"/>
  <c r="E365" i="36"/>
  <c r="C387"/>
  <c r="D387"/>
  <c r="D368"/>
  <c r="E372"/>
  <c r="C367"/>
  <c r="D374"/>
  <c r="E378"/>
  <c r="C369"/>
  <c r="C381"/>
  <c r="C366"/>
  <c r="C371"/>
  <c r="C379"/>
  <c r="C386"/>
  <c r="C380"/>
  <c r="C374"/>
  <c r="D371"/>
  <c r="D380"/>
  <c r="C388"/>
  <c r="E377"/>
  <c r="C383"/>
  <c r="E388"/>
  <c r="D373"/>
  <c r="C372"/>
  <c r="C377"/>
  <c r="D369"/>
  <c r="E385"/>
  <c r="D389"/>
  <c r="D366"/>
  <c r="D391"/>
  <c r="D370"/>
  <c r="E371"/>
  <c r="E376"/>
  <c r="C390"/>
  <c r="D379"/>
  <c r="E381"/>
  <c r="C378"/>
  <c r="C376"/>
  <c r="D375"/>
  <c r="C368"/>
  <c r="C389"/>
  <c r="E366"/>
  <c r="D383"/>
  <c r="E380"/>
  <c r="E373"/>
  <c r="D381"/>
  <c r="E387"/>
  <c r="D376"/>
  <c r="E374"/>
  <c r="D384"/>
  <c r="D377"/>
  <c r="C382"/>
  <c r="E383"/>
  <c r="D382"/>
  <c r="E389"/>
  <c r="D385"/>
  <c r="E382"/>
  <c r="C384"/>
  <c r="D367"/>
  <c r="E368"/>
  <c r="E370"/>
  <c r="E386"/>
  <c r="C385"/>
  <c r="C373"/>
  <c r="C391"/>
  <c r="D388"/>
  <c r="D372"/>
  <c r="E384"/>
  <c r="C370"/>
  <c r="E391"/>
  <c r="C375"/>
  <c r="E379"/>
  <c r="D386"/>
  <c r="D378"/>
  <c r="D390"/>
  <c r="E367"/>
  <c r="E375"/>
  <c r="D365"/>
  <c r="E390"/>
  <c r="E369"/>
  <c r="C365"/>
  <c r="D80" i="7" l="1"/>
  <c r="H185"/>
  <c r="K185"/>
  <c r="L185" s="1"/>
  <c r="M185" s="1"/>
  <c r="I185"/>
  <c r="I169"/>
  <c r="K169"/>
  <c r="L169" s="1"/>
  <c r="M169" s="1"/>
  <c r="H169"/>
  <c r="D185" l="1"/>
  <c r="D169"/>
  <c r="M176"/>
  <c r="D176" s="1"/>
  <c r="D14" i="15" l="1"/>
  <c r="I14"/>
  <c r="M14" s="1"/>
  <c r="Q15" i="38" l="1"/>
  <c r="D15"/>
  <c r="B98" i="46" l="1"/>
  <c r="G123" i="7" s="1"/>
  <c r="C123" s="1"/>
  <c r="B227" i="46"/>
  <c r="B119" s="1"/>
  <c r="B84"/>
  <c r="G120" i="7" s="1"/>
  <c r="C120" s="1"/>
  <c r="B71" i="46"/>
  <c r="C592" i="36" l="1"/>
  <c r="D592"/>
  <c r="I151" i="7" s="1"/>
  <c r="E592" i="36"/>
  <c r="G119" i="7"/>
  <c r="C119" s="1"/>
  <c r="E593" i="36"/>
  <c r="D594"/>
  <c r="C595"/>
  <c r="D593"/>
  <c r="E594"/>
  <c r="C593"/>
  <c r="E595"/>
  <c r="C594"/>
  <c r="D595"/>
  <c r="H237" i="46"/>
  <c r="B237" l="1"/>
  <c r="D596" i="36" l="1"/>
  <c r="E596"/>
  <c r="C596"/>
  <c r="G124" i="7"/>
  <c r="H119"/>
  <c r="I120" l="1"/>
  <c r="H120"/>
  <c r="C124"/>
  <c r="G281" i="46" l="1"/>
  <c r="G292" s="1"/>
  <c r="H276" l="1"/>
  <c r="B367" s="1"/>
  <c r="G137" i="7" s="1"/>
  <c r="C137" l="1"/>
  <c r="B276" i="46"/>
  <c r="B357"/>
  <c r="D597" i="36" l="1"/>
  <c r="E597"/>
  <c r="C597"/>
  <c r="G125" i="7"/>
  <c r="G136"/>
  <c r="C136" s="1"/>
  <c r="H150" l="1"/>
  <c r="D150" s="1"/>
  <c r="H123"/>
  <c r="C125"/>
  <c r="G391" i="46" l="1"/>
  <c r="G392" l="1"/>
  <c r="H377" s="1"/>
  <c r="B923" s="1"/>
  <c r="G153" i="7" s="1"/>
  <c r="C153" l="1"/>
  <c r="B901" i="46"/>
  <c r="G53" i="7" s="1"/>
  <c r="C53" s="1"/>
  <c r="B476" i="46"/>
  <c r="G45" i="7" s="1"/>
  <c r="B820" i="46"/>
  <c r="G52" i="7" s="1"/>
  <c r="B809" i="46"/>
  <c r="B787"/>
  <c r="G49" i="7" s="1"/>
  <c r="B697" i="46"/>
  <c r="G48" i="7" s="1"/>
  <c r="B493" i="46"/>
  <c r="G46" i="7" s="1"/>
  <c r="B440" i="46"/>
  <c r="G42" i="7" s="1"/>
  <c r="B458" i="46"/>
  <c r="G43" i="7" s="1"/>
  <c r="B424" i="46"/>
  <c r="G40" i="7" s="1"/>
  <c r="C40" s="1"/>
  <c r="B417" i="46"/>
  <c r="G39" i="7" s="1"/>
  <c r="B409" i="46"/>
  <c r="B391" s="1"/>
  <c r="B377"/>
  <c r="G138" i="7" s="1"/>
  <c r="C138" s="1"/>
  <c r="B401" i="46"/>
  <c r="G50" i="7" l="1"/>
  <c r="C50" s="1"/>
  <c r="G54"/>
  <c r="C52"/>
  <c r="C49"/>
  <c r="C48"/>
  <c r="C46"/>
  <c r="C45"/>
  <c r="C43"/>
  <c r="C42"/>
  <c r="C39"/>
  <c r="B291" i="46"/>
  <c r="B390"/>
  <c r="C646" i="36" s="1"/>
  <c r="E620" l="1"/>
  <c r="C598"/>
  <c r="D598"/>
  <c r="I125" i="7" s="1"/>
  <c r="E598" i="36"/>
  <c r="K125" i="7" s="1"/>
  <c r="L125" s="1"/>
  <c r="M125" s="1"/>
  <c r="C621" i="36"/>
  <c r="D620"/>
  <c r="E618"/>
  <c r="E615"/>
  <c r="K153" i="7" s="1"/>
  <c r="L153" s="1"/>
  <c r="M153" s="1"/>
  <c r="C650" i="36"/>
  <c r="D636"/>
  <c r="E621"/>
  <c r="D618"/>
  <c r="E614"/>
  <c r="K124" i="7" s="1"/>
  <c r="L124" s="1"/>
  <c r="M124" s="1"/>
  <c r="D652" i="36"/>
  <c r="C614"/>
  <c r="D615"/>
  <c r="I153" i="7" s="1"/>
  <c r="D617" i="36"/>
  <c r="C611"/>
  <c r="D604"/>
  <c r="E609"/>
  <c r="D600"/>
  <c r="C601"/>
  <c r="D601"/>
  <c r="D611"/>
  <c r="D599"/>
  <c r="I136" i="7" s="1"/>
  <c r="E608" i="36"/>
  <c r="C610"/>
  <c r="C612"/>
  <c r="C599"/>
  <c r="E600"/>
  <c r="D610"/>
  <c r="C605"/>
  <c r="C602"/>
  <c r="E604"/>
  <c r="D606"/>
  <c r="E610"/>
  <c r="C604"/>
  <c r="D602"/>
  <c r="E611"/>
  <c r="D613"/>
  <c r="I152" i="7" s="1"/>
  <c r="E603" i="36"/>
  <c r="D605"/>
  <c r="D603"/>
  <c r="C600"/>
  <c r="H137" i="7" s="1"/>
  <c r="D609" i="36"/>
  <c r="E605"/>
  <c r="D608"/>
  <c r="C607"/>
  <c r="D612"/>
  <c r="I123" i="7" s="1"/>
  <c r="C613" i="36"/>
  <c r="H152" i="7" s="1"/>
  <c r="E599" i="36"/>
  <c r="K136" i="7" s="1"/>
  <c r="L136" s="1"/>
  <c r="M136" s="1"/>
  <c r="E601" i="36"/>
  <c r="E607"/>
  <c r="C606"/>
  <c r="C608"/>
  <c r="D607"/>
  <c r="E602"/>
  <c r="C603"/>
  <c r="E606"/>
  <c r="C609"/>
  <c r="H151" i="7" s="1"/>
  <c r="E612" i="36"/>
  <c r="K123" i="7" s="1"/>
  <c r="L123" s="1"/>
  <c r="M123" s="1"/>
  <c r="E613" i="36"/>
  <c r="K120" i="7" s="1"/>
  <c r="D614" i="36"/>
  <c r="C615"/>
  <c r="H153" i="7" s="1"/>
  <c r="C54"/>
  <c r="D621" i="36"/>
  <c r="C617"/>
  <c r="C620"/>
  <c r="D616"/>
  <c r="C619"/>
  <c r="C616"/>
  <c r="D619"/>
  <c r="E617"/>
  <c r="E619"/>
  <c r="E616"/>
  <c r="C618"/>
  <c r="E649"/>
  <c r="D647"/>
  <c r="C623"/>
  <c r="C637"/>
  <c r="D623"/>
  <c r="E623"/>
  <c r="I124" i="7"/>
  <c r="H125"/>
  <c r="H124"/>
  <c r="C651" i="36"/>
  <c r="C638"/>
  <c r="D644"/>
  <c r="E652"/>
  <c r="C649"/>
  <c r="E651"/>
  <c r="E639"/>
  <c r="D634"/>
  <c r="E629"/>
  <c r="E646"/>
  <c r="C652"/>
  <c r="D651"/>
  <c r="E643"/>
  <c r="E628"/>
  <c r="C648"/>
  <c r="E647"/>
  <c r="E648"/>
  <c r="D649"/>
  <c r="D646"/>
  <c r="D638"/>
  <c r="C639"/>
  <c r="E645"/>
  <c r="E644"/>
  <c r="E634"/>
  <c r="E642"/>
  <c r="C641"/>
  <c r="D631"/>
  <c r="C629"/>
  <c r="D650"/>
  <c r="C647"/>
  <c r="E650"/>
  <c r="D648"/>
  <c r="D639"/>
  <c r="E637"/>
  <c r="C636"/>
  <c r="E636"/>
  <c r="C635"/>
  <c r="D642"/>
  <c r="D645"/>
  <c r="E638"/>
  <c r="C640"/>
  <c r="E640"/>
  <c r="D637"/>
  <c r="C645"/>
  <c r="E635"/>
  <c r="C634"/>
  <c r="H40" i="7" s="1"/>
  <c r="D643" i="36"/>
  <c r="C633"/>
  <c r="D641"/>
  <c r="C626"/>
  <c r="E624"/>
  <c r="D630"/>
  <c r="I119" i="7" s="1"/>
  <c r="E626" i="36"/>
  <c r="C627"/>
  <c r="C644"/>
  <c r="E625"/>
  <c r="C624"/>
  <c r="D622"/>
  <c r="C628"/>
  <c r="C625"/>
  <c r="D632"/>
  <c r="D633"/>
  <c r="E633"/>
  <c r="D635"/>
  <c r="E631"/>
  <c r="K119" i="7" s="1"/>
  <c r="L119" s="1"/>
  <c r="M119" s="1"/>
  <c r="D629" i="36"/>
  <c r="D627"/>
  <c r="D628"/>
  <c r="D626"/>
  <c r="D625"/>
  <c r="C642"/>
  <c r="H52" i="7" s="1"/>
  <c r="E622" i="36"/>
  <c r="C643"/>
  <c r="E632"/>
  <c r="C632"/>
  <c r="C630"/>
  <c r="E630"/>
  <c r="C631"/>
  <c r="E627"/>
  <c r="D624"/>
  <c r="C622"/>
  <c r="D640"/>
  <c r="I49" i="7" s="1"/>
  <c r="K151"/>
  <c r="L151" s="1"/>
  <c r="M151" s="1"/>
  <c r="E641" i="36"/>
  <c r="M149" i="7" l="1"/>
  <c r="D149" s="1"/>
  <c r="D153"/>
  <c r="I42"/>
  <c r="K39"/>
  <c r="L39" s="1"/>
  <c r="M39" s="1"/>
  <c r="K138"/>
  <c r="L138" s="1"/>
  <c r="M138" s="1"/>
  <c r="H43"/>
  <c r="K137"/>
  <c r="L137" s="1"/>
  <c r="M137" s="1"/>
  <c r="I137"/>
  <c r="K48"/>
  <c r="L48" s="1"/>
  <c r="M48" s="1"/>
  <c r="I45"/>
  <c r="I39"/>
  <c r="I138"/>
  <c r="K42"/>
  <c r="L42" s="1"/>
  <c r="M42" s="1"/>
  <c r="K46"/>
  <c r="L46" s="1"/>
  <c r="M46" s="1"/>
  <c r="K50"/>
  <c r="L50" s="1"/>
  <c r="M50" s="1"/>
  <c r="K45"/>
  <c r="L45" s="1"/>
  <c r="M45" s="1"/>
  <c r="H138"/>
  <c r="H42"/>
  <c r="K40"/>
  <c r="L40" s="1"/>
  <c r="M40" s="1"/>
  <c r="I40"/>
  <c r="H46"/>
  <c r="I48"/>
  <c r="H39"/>
  <c r="K43"/>
  <c r="L43" s="1"/>
  <c r="M43" s="1"/>
  <c r="I46"/>
  <c r="H45"/>
  <c r="D152"/>
  <c r="I43"/>
  <c r="H53"/>
  <c r="I50"/>
  <c r="H50"/>
  <c r="K49"/>
  <c r="L49" s="1"/>
  <c r="M49" s="1"/>
  <c r="I52"/>
  <c r="L120"/>
  <c r="M120" s="1"/>
  <c r="M118" s="1"/>
  <c r="D118" s="1"/>
  <c r="H49"/>
  <c r="K52"/>
  <c r="L52" s="1"/>
  <c r="M52" s="1"/>
  <c r="K53"/>
  <c r="L53" s="1"/>
  <c r="M53" s="1"/>
  <c r="D123"/>
  <c r="I53"/>
  <c r="K54"/>
  <c r="L54" s="1"/>
  <c r="M54" s="1"/>
  <c r="H54"/>
  <c r="I54"/>
  <c r="H136"/>
  <c r="D136" s="1"/>
  <c r="H48"/>
  <c r="D124"/>
  <c r="D119"/>
  <c r="D125"/>
  <c r="D151"/>
  <c r="M31" l="1"/>
  <c r="D137"/>
  <c r="D43"/>
  <c r="D39"/>
  <c r="D45"/>
  <c r="D138"/>
  <c r="D42"/>
  <c r="D48"/>
  <c r="D40"/>
  <c r="D46"/>
  <c r="D49"/>
  <c r="D50"/>
  <c r="D53"/>
  <c r="D52"/>
  <c r="D120"/>
  <c r="D54"/>
  <c r="D31" l="1"/>
  <c r="A31" s="1"/>
  <c r="A32" s="1"/>
  <c r="A33" l="1"/>
  <c r="B31"/>
  <c r="F31" s="1"/>
  <c r="B26" i="16" s="1"/>
  <c r="E26" s="1"/>
  <c r="B33" i="7" l="1"/>
  <c r="F33" s="1"/>
  <c r="A34"/>
  <c r="D26" i="16"/>
  <c r="C26"/>
  <c r="F26"/>
  <c r="P33" i="7" l="1"/>
  <c r="B28" i="16"/>
  <c r="B34" i="7"/>
  <c r="F34" s="1"/>
  <c r="A35"/>
  <c r="P34" l="1"/>
  <c r="B29" i="16"/>
  <c r="F28"/>
  <c r="D28"/>
  <c r="C28"/>
  <c r="E28"/>
  <c r="A36" i="7"/>
  <c r="B35"/>
  <c r="F35" s="1"/>
  <c r="E29" i="16" l="1"/>
  <c r="F29"/>
  <c r="D29"/>
  <c r="C29"/>
  <c r="P35" i="7"/>
  <c r="B30" i="16"/>
  <c r="A37" i="7"/>
  <c r="B36"/>
  <c r="F36" s="1"/>
  <c r="B37" l="1"/>
  <c r="F37" s="1"/>
  <c r="A38"/>
  <c r="A39" s="1"/>
  <c r="E30" i="16"/>
  <c r="C30"/>
  <c r="F30"/>
  <c r="D30"/>
  <c r="P36" i="7"/>
  <c r="B31" i="16"/>
  <c r="E31" l="1"/>
  <c r="C31"/>
  <c r="F31"/>
  <c r="D31"/>
  <c r="B39" i="7"/>
  <c r="F39" s="1"/>
  <c r="A40"/>
  <c r="B40" s="1"/>
  <c r="F40" s="1"/>
  <c r="P40" s="1"/>
  <c r="P37"/>
  <c r="B32" i="16"/>
  <c r="A41" i="7" l="1"/>
  <c r="A42" s="1"/>
  <c r="A43" s="1"/>
  <c r="B43" s="1"/>
  <c r="F43" s="1"/>
  <c r="B35" i="16"/>
  <c r="C35" s="1"/>
  <c r="C32"/>
  <c r="D32"/>
  <c r="F32"/>
  <c r="E32"/>
  <c r="P39" i="7"/>
  <c r="B34" i="16"/>
  <c r="F35" l="1"/>
  <c r="A44" i="7"/>
  <c r="A45" s="1"/>
  <c r="B45" s="1"/>
  <c r="F45" s="1"/>
  <c r="B40" i="16" s="1"/>
  <c r="E35"/>
  <c r="D35"/>
  <c r="B42" i="7"/>
  <c r="F42" s="1"/>
  <c r="B37" i="16" s="1"/>
  <c r="E37" s="1"/>
  <c r="C34"/>
  <c r="D34"/>
  <c r="E34"/>
  <c r="F34"/>
  <c r="P43" i="7"/>
  <c r="B38" i="16"/>
  <c r="A46" i="7" l="1"/>
  <c r="A47" s="1"/>
  <c r="A48" s="1"/>
  <c r="B48" s="1"/>
  <c r="F48" s="1"/>
  <c r="P42"/>
  <c r="D37" i="16"/>
  <c r="C37"/>
  <c r="F37"/>
  <c r="E40"/>
  <c r="F40"/>
  <c r="E38"/>
  <c r="F38"/>
  <c r="C40"/>
  <c r="D40"/>
  <c r="C38"/>
  <c r="D38"/>
  <c r="P45" i="7"/>
  <c r="B46" l="1"/>
  <c r="F46" s="1"/>
  <c r="P46" s="1"/>
  <c r="A49"/>
  <c r="A50" s="1"/>
  <c r="A51" s="1"/>
  <c r="A52" s="1"/>
  <c r="P48"/>
  <c r="B43" i="16"/>
  <c r="B41" l="1"/>
  <c r="C41" s="1"/>
  <c r="B49" i="7"/>
  <c r="F49" s="1"/>
  <c r="B44" i="16" s="1"/>
  <c r="E44" s="1"/>
  <c r="E43"/>
  <c r="F43"/>
  <c r="C43"/>
  <c r="D43"/>
  <c r="B52" i="7"/>
  <c r="F52" s="1"/>
  <c r="B47" i="16" s="1"/>
  <c r="A53" i="7"/>
  <c r="A54" s="1"/>
  <c r="B50"/>
  <c r="F50" s="1"/>
  <c r="E41" i="16" l="1"/>
  <c r="F41"/>
  <c r="D41"/>
  <c r="F44"/>
  <c r="D44"/>
  <c r="P49" i="7"/>
  <c r="C44" i="16"/>
  <c r="F47"/>
  <c r="E47"/>
  <c r="C47"/>
  <c r="D47"/>
  <c r="P50" i="7"/>
  <c r="B45" i="16"/>
  <c r="P52" i="7"/>
  <c r="B53"/>
  <c r="F53" s="1"/>
  <c r="B48" i="16" s="1"/>
  <c r="B54" i="7"/>
  <c r="F54" s="1"/>
  <c r="A55"/>
  <c r="A56" l="1"/>
  <c r="E48" i="16"/>
  <c r="F48"/>
  <c r="E45"/>
  <c r="F45"/>
  <c r="C45"/>
  <c r="D45"/>
  <c r="C48"/>
  <c r="D48"/>
  <c r="P54" i="7"/>
  <c r="B49" i="16"/>
  <c r="P53" i="7"/>
  <c r="A57" l="1"/>
  <c r="B57" s="1"/>
  <c r="F57" s="1"/>
  <c r="B56"/>
  <c r="F56" s="1"/>
  <c r="E49" i="16"/>
  <c r="F49"/>
  <c r="C49"/>
  <c r="D49"/>
  <c r="P57" i="7" l="1"/>
  <c r="B52" i="16"/>
  <c r="A58" i="7"/>
  <c r="P56"/>
  <c r="B51" i="16"/>
  <c r="F52" l="1"/>
  <c r="E52"/>
  <c r="C52"/>
  <c r="D52"/>
  <c r="A59" i="7"/>
  <c r="B58"/>
  <c r="F58" s="1"/>
  <c r="D51" i="16"/>
  <c r="C51"/>
  <c r="F51"/>
  <c r="E51"/>
  <c r="B53" l="1"/>
  <c r="P58" i="7"/>
  <c r="B59"/>
  <c r="F59" s="1"/>
  <c r="F76" i="16"/>
  <c r="D76"/>
  <c r="E76"/>
  <c r="P59" i="7" l="1"/>
  <c r="B54" i="16"/>
  <c r="E53"/>
  <c r="C53"/>
  <c r="D53"/>
  <c r="F53"/>
  <c r="D16" i="15"/>
  <c r="I16"/>
  <c r="M16" s="1"/>
  <c r="D54" i="16" l="1"/>
  <c r="C54"/>
  <c r="E54"/>
  <c r="F54"/>
  <c r="Q17" i="38"/>
  <c r="D17"/>
  <c r="A60" i="7" l="1"/>
  <c r="E17" i="38"/>
  <c r="I17"/>
  <c r="M17"/>
  <c r="K17"/>
  <c r="G17"/>
  <c r="O17"/>
  <c r="A61" i="7" l="1"/>
  <c r="B60"/>
  <c r="F60" s="1"/>
  <c r="K85"/>
  <c r="L85" s="1"/>
  <c r="M85" s="1"/>
  <c r="M65" s="1"/>
  <c r="I89"/>
  <c r="D89" s="1"/>
  <c r="P60" l="1"/>
  <c r="B55" i="16"/>
  <c r="B61" i="7"/>
  <c r="F61" s="1"/>
  <c r="A62"/>
  <c r="D65"/>
  <c r="D85"/>
  <c r="A63" l="1"/>
  <c r="B62"/>
  <c r="F62" s="1"/>
  <c r="P61"/>
  <c r="B56" i="16"/>
  <c r="C55"/>
  <c r="E55"/>
  <c r="D55"/>
  <c r="F55"/>
  <c r="P62" i="7" l="1"/>
  <c r="B57" i="16"/>
  <c r="A64" i="7"/>
  <c r="A65" s="1"/>
  <c r="B63"/>
  <c r="F63" s="1"/>
  <c r="F56" i="16"/>
  <c r="E56"/>
  <c r="D56"/>
  <c r="C56"/>
  <c r="P63" i="7" l="1"/>
  <c r="B58" i="16"/>
  <c r="A66" i="7"/>
  <c r="B65"/>
  <c r="F65" s="1"/>
  <c r="B60" i="16" s="1"/>
  <c r="F57"/>
  <c r="E57"/>
  <c r="D57"/>
  <c r="C57"/>
  <c r="F60" l="1"/>
  <c r="E60"/>
  <c r="D60"/>
  <c r="C60"/>
  <c r="B66" i="7"/>
  <c r="F66" s="1"/>
  <c r="A67"/>
  <c r="F58" i="16"/>
  <c r="C58"/>
  <c r="E58"/>
  <c r="D58"/>
  <c r="A68" i="7" l="1"/>
  <c r="B67"/>
  <c r="F67" s="1"/>
  <c r="B61" i="16"/>
  <c r="P66" i="7"/>
  <c r="D61" i="16" l="1"/>
  <c r="F61"/>
  <c r="E61"/>
  <c r="B62"/>
  <c r="P67" i="7"/>
  <c r="B68"/>
  <c r="F68" s="1"/>
  <c r="A69"/>
  <c r="B63" i="16" l="1"/>
  <c r="P68" i="7"/>
  <c r="E62" i="16"/>
  <c r="D62"/>
  <c r="F62"/>
  <c r="C62"/>
  <c r="A70" i="7"/>
  <c r="B69"/>
  <c r="F69" s="1"/>
  <c r="B70" l="1"/>
  <c r="F70" s="1"/>
  <c r="A71"/>
  <c r="P69"/>
  <c r="B64" i="16"/>
  <c r="C63"/>
  <c r="D63"/>
  <c r="F63"/>
  <c r="E63"/>
  <c r="F64" l="1"/>
  <c r="C64"/>
  <c r="D64"/>
  <c r="E64"/>
  <c r="A72" i="7"/>
  <c r="B71"/>
  <c r="F71" s="1"/>
  <c r="P70"/>
  <c r="B65" i="16"/>
  <c r="D65" l="1"/>
  <c r="E65"/>
  <c r="F65"/>
  <c r="B66"/>
  <c r="P71" i="7"/>
  <c r="A73"/>
  <c r="B72"/>
  <c r="F72" s="1"/>
  <c r="P72" l="1"/>
  <c r="B67" i="16"/>
  <c r="F66"/>
  <c r="E66"/>
  <c r="C66"/>
  <c r="D66"/>
  <c r="A74" i="7"/>
  <c r="B73"/>
  <c r="F73" s="1"/>
  <c r="B68" i="16" l="1"/>
  <c r="P73" i="7"/>
  <c r="C67" i="16"/>
  <c r="D67"/>
  <c r="F67"/>
  <c r="E67"/>
  <c r="A75" i="7"/>
  <c r="B74"/>
  <c r="F74" s="1"/>
  <c r="P74" l="1"/>
  <c r="B69" i="16"/>
  <c r="B75" i="7"/>
  <c r="F75" s="1"/>
  <c r="A76"/>
  <c r="F68" i="16"/>
  <c r="E68"/>
  <c r="D68"/>
  <c r="A77" i="7" l="1"/>
  <c r="B76"/>
  <c r="F76" s="1"/>
  <c r="P75"/>
  <c r="B70" i="16"/>
  <c r="E69"/>
  <c r="C69"/>
  <c r="D69"/>
  <c r="F69"/>
  <c r="F70" l="1"/>
  <c r="D70"/>
  <c r="C70"/>
  <c r="E70"/>
  <c r="B71"/>
  <c r="P76" i="7"/>
  <c r="A78"/>
  <c r="B77"/>
  <c r="F77" s="1"/>
  <c r="A79" l="1"/>
  <c r="B78"/>
  <c r="F78" s="1"/>
  <c r="P77"/>
  <c r="B72" i="16"/>
  <c r="E71"/>
  <c r="F71"/>
  <c r="C71"/>
  <c r="D71"/>
  <c r="F72" l="1"/>
  <c r="D72"/>
  <c r="E72"/>
  <c r="P78" i="7"/>
  <c r="B73" i="16"/>
  <c r="A80" i="7"/>
  <c r="B79"/>
  <c r="F79" s="1"/>
  <c r="B80" l="1"/>
  <c r="F80" s="1"/>
  <c r="A81"/>
  <c r="A82" s="1"/>
  <c r="C73" i="16"/>
  <c r="D73"/>
  <c r="F73"/>
  <c r="E73"/>
  <c r="B74"/>
  <c r="P79" i="7"/>
  <c r="C74" i="16" l="1"/>
  <c r="D74"/>
  <c r="E74"/>
  <c r="F74"/>
  <c r="A83" i="7"/>
  <c r="B82"/>
  <c r="F82" s="1"/>
  <c r="B75" i="16"/>
  <c r="P80" i="7"/>
  <c r="D75" i="16" l="1"/>
  <c r="F75"/>
  <c r="E75"/>
  <c r="C75"/>
  <c r="P82" i="7"/>
  <c r="B77" i="16"/>
  <c r="B83" i="7"/>
  <c r="F83" s="1"/>
  <c r="A84"/>
  <c r="A85" l="1"/>
  <c r="B84"/>
  <c r="F84" s="1"/>
  <c r="P83"/>
  <c r="B78" i="16"/>
  <c r="F77"/>
  <c r="C77"/>
  <c r="E77"/>
  <c r="D77"/>
  <c r="D78" l="1"/>
  <c r="E78"/>
  <c r="F78"/>
  <c r="B79"/>
  <c r="P84" i="7"/>
  <c r="B85"/>
  <c r="F85" s="1"/>
  <c r="A86"/>
  <c r="B80" i="16" l="1"/>
  <c r="P85" i="7"/>
  <c r="F79" i="16"/>
  <c r="C79"/>
  <c r="E79"/>
  <c r="D79"/>
  <c r="A87" i="7"/>
  <c r="B86"/>
  <c r="F86" s="1"/>
  <c r="P86" l="1"/>
  <c r="B81" i="16"/>
  <c r="A88" i="7"/>
  <c r="B87"/>
  <c r="F87" s="1"/>
  <c r="F80" i="16"/>
  <c r="C80"/>
  <c r="D80"/>
  <c r="E80"/>
  <c r="P87" i="7" l="1"/>
  <c r="B82" i="16"/>
  <c r="B88" i="7"/>
  <c r="F88" s="1"/>
  <c r="A89"/>
  <c r="C81" i="16"/>
  <c r="D81"/>
  <c r="F81"/>
  <c r="E81"/>
  <c r="A90" i="7" l="1"/>
  <c r="B89"/>
  <c r="F89" s="1"/>
  <c r="B83" i="16"/>
  <c r="P88" i="7"/>
  <c r="D82" i="16"/>
  <c r="E82"/>
  <c r="F82"/>
  <c r="C83" l="1"/>
  <c r="D83"/>
  <c r="F83"/>
  <c r="E83"/>
  <c r="B84"/>
  <c r="P89" i="7"/>
  <c r="A91"/>
  <c r="B90"/>
  <c r="F90" s="1"/>
  <c r="B85" i="16" l="1"/>
  <c r="P90" i="7"/>
  <c r="B91"/>
  <c r="F91" s="1"/>
  <c r="A92"/>
  <c r="A93" s="1"/>
  <c r="D84" i="16"/>
  <c r="C84"/>
  <c r="E84"/>
  <c r="F84"/>
  <c r="B93" i="7" l="1"/>
  <c r="F93" s="1"/>
  <c r="B88" i="16" s="1"/>
  <c r="A94" i="7"/>
  <c r="A95" s="1"/>
  <c r="A96" s="1"/>
  <c r="P91"/>
  <c r="B86" i="16"/>
  <c r="D85"/>
  <c r="F85"/>
  <c r="E85"/>
  <c r="E86" l="1"/>
  <c r="C86"/>
  <c r="D86"/>
  <c r="F86"/>
  <c r="B96" i="7"/>
  <c r="F96" s="1"/>
  <c r="A97"/>
  <c r="E88" i="16"/>
  <c r="C88"/>
  <c r="F88"/>
  <c r="D88"/>
  <c r="B97" i="7" l="1"/>
  <c r="F97" s="1"/>
  <c r="A98"/>
  <c r="B91" i="16"/>
  <c r="P96" i="7"/>
  <c r="F91" i="16" l="1"/>
  <c r="E91"/>
  <c r="D91"/>
  <c r="C91"/>
  <c r="A99" i="7"/>
  <c r="A100" s="1"/>
  <c r="A101" s="1"/>
  <c r="B98"/>
  <c r="F98" s="1"/>
  <c r="P97"/>
  <c r="B92" i="16"/>
  <c r="E92" l="1"/>
  <c r="C92"/>
  <c r="D92"/>
  <c r="F92"/>
  <c r="B93"/>
  <c r="P98" i="7"/>
  <c r="A102"/>
  <c r="B101"/>
  <c r="F101" s="1"/>
  <c r="B102" l="1"/>
  <c r="F102" s="1"/>
  <c r="A103"/>
  <c r="P101"/>
  <c r="B96" i="16"/>
  <c r="F93"/>
  <c r="D93"/>
  <c r="C93"/>
  <c r="E93"/>
  <c r="D96" l="1"/>
  <c r="E96"/>
  <c r="F96"/>
  <c r="C96"/>
  <c r="A104" i="7"/>
  <c r="B103"/>
  <c r="F103" s="1"/>
  <c r="P102"/>
  <c r="B97" i="16"/>
  <c r="B104" i="7" l="1"/>
  <c r="F104" s="1"/>
  <c r="A105"/>
  <c r="E97" i="16"/>
  <c r="F97"/>
  <c r="D97"/>
  <c r="C97"/>
  <c r="B98"/>
  <c r="P103" i="7"/>
  <c r="F98" i="16" l="1"/>
  <c r="C98"/>
  <c r="E98"/>
  <c r="D98"/>
  <c r="B105" i="7"/>
  <c r="F105" s="1"/>
  <c r="A106"/>
  <c r="B99" i="16"/>
  <c r="P104" i="7"/>
  <c r="D99" i="16" l="1"/>
  <c r="E99"/>
  <c r="F99"/>
  <c r="C99"/>
  <c r="A107" i="7"/>
  <c r="A108" s="1"/>
  <c r="B106"/>
  <c r="F106" s="1"/>
  <c r="B100" i="16"/>
  <c r="P105" i="7"/>
  <c r="A109" l="1"/>
  <c r="B108"/>
  <c r="F108" s="1"/>
  <c r="C100" i="16"/>
  <c r="F100"/>
  <c r="D100"/>
  <c r="E100"/>
  <c r="B101"/>
  <c r="P106" i="7"/>
  <c r="D101" i="16" l="1"/>
  <c r="C101"/>
  <c r="F101"/>
  <c r="E101"/>
  <c r="P108" i="7"/>
  <c r="B103" i="16"/>
  <c r="B109" i="7"/>
  <c r="F109" s="1"/>
  <c r="A110"/>
  <c r="A111" s="1"/>
  <c r="A112" s="1"/>
  <c r="A113" l="1"/>
  <c r="B112"/>
  <c r="F112" s="1"/>
  <c r="B104" i="16"/>
  <c r="P109" i="7"/>
  <c r="E103" i="16"/>
  <c r="D103"/>
  <c r="F103"/>
  <c r="C103"/>
  <c r="F104" l="1"/>
  <c r="D104"/>
  <c r="C104"/>
  <c r="E104"/>
  <c r="P112" i="7"/>
  <c r="B107" i="16"/>
  <c r="A114" i="7"/>
  <c r="A115" s="1"/>
  <c r="B113"/>
  <c r="F113" s="1"/>
  <c r="B108" i="16" l="1"/>
  <c r="P113" i="7"/>
  <c r="A116"/>
  <c r="B115"/>
  <c r="F115" s="1"/>
  <c r="C107" i="16"/>
  <c r="D107"/>
  <c r="F107"/>
  <c r="E107"/>
  <c r="P115" i="7" l="1"/>
  <c r="B110" i="16"/>
  <c r="B116" i="7"/>
  <c r="F116" s="1"/>
  <c r="A117"/>
  <c r="A118" s="1"/>
  <c r="D108" i="16"/>
  <c r="F108"/>
  <c r="C108"/>
  <c r="E108"/>
  <c r="B118" i="7" l="1"/>
  <c r="F118" s="1"/>
  <c r="B113" i="16" s="1"/>
  <c r="A119" i="7"/>
  <c r="P116"/>
  <c r="B111" i="16"/>
  <c r="F110"/>
  <c r="D110"/>
  <c r="E110"/>
  <c r="C110"/>
  <c r="F111" l="1"/>
  <c r="E111"/>
  <c r="D111"/>
  <c r="C111"/>
  <c r="B119" i="7"/>
  <c r="F119" s="1"/>
  <c r="A120"/>
  <c r="D113" i="16"/>
  <c r="E113"/>
  <c r="F113"/>
  <c r="C113"/>
  <c r="G176" i="23"/>
  <c r="H167" s="1"/>
  <c r="B120" i="7" l="1"/>
  <c r="F120" s="1"/>
  <c r="A121"/>
  <c r="P119"/>
  <c r="B114" i="16"/>
  <c r="B178" i="23"/>
  <c r="B167"/>
  <c r="F114" i="16" l="1"/>
  <c r="C114"/>
  <c r="E114"/>
  <c r="D114"/>
  <c r="A122" i="7"/>
  <c r="A123" s="1"/>
  <c r="B121"/>
  <c r="F121" s="1"/>
  <c r="B115" i="16"/>
  <c r="P120" i="7"/>
  <c r="D258" i="36"/>
  <c r="G159" i="7"/>
  <c r="E313" i="36"/>
  <c r="E278"/>
  <c r="C260"/>
  <c r="E282"/>
  <c r="C294"/>
  <c r="D278"/>
  <c r="C258"/>
  <c r="C282"/>
  <c r="C303"/>
  <c r="C289"/>
  <c r="C326"/>
  <c r="E258"/>
  <c r="D324"/>
  <c r="E323"/>
  <c r="E268"/>
  <c r="E297"/>
  <c r="E274"/>
  <c r="D293"/>
  <c r="E296"/>
  <c r="C281"/>
  <c r="C257"/>
  <c r="C263"/>
  <c r="E304"/>
  <c r="C288"/>
  <c r="D322"/>
  <c r="D318"/>
  <c r="C261"/>
  <c r="C302"/>
  <c r="C295"/>
  <c r="C329"/>
  <c r="D291"/>
  <c r="C322"/>
  <c r="E277"/>
  <c r="E324"/>
  <c r="D298"/>
  <c r="C266"/>
  <c r="E302"/>
  <c r="D299"/>
  <c r="D263"/>
  <c r="E322"/>
  <c r="E293"/>
  <c r="C316"/>
  <c r="D271"/>
  <c r="E335"/>
  <c r="C310"/>
  <c r="C318"/>
  <c r="D301"/>
  <c r="C292"/>
  <c r="C265"/>
  <c r="C286"/>
  <c r="E273"/>
  <c r="C313"/>
  <c r="E290"/>
  <c r="E262"/>
  <c r="D304"/>
  <c r="C287"/>
  <c r="D287"/>
  <c r="E306"/>
  <c r="D265"/>
  <c r="D281"/>
  <c r="D268"/>
  <c r="E327"/>
  <c r="C262"/>
  <c r="C259"/>
  <c r="C271"/>
  <c r="E321"/>
  <c r="D269"/>
  <c r="C306"/>
  <c r="D330"/>
  <c r="E267"/>
  <c r="D316"/>
  <c r="E269"/>
  <c r="D297"/>
  <c r="D314"/>
  <c r="E316"/>
  <c r="C267"/>
  <c r="D266"/>
  <c r="D260"/>
  <c r="C308"/>
  <c r="E310"/>
  <c r="C297"/>
  <c r="C290"/>
  <c r="C300"/>
  <c r="D286"/>
  <c r="E309"/>
  <c r="C278"/>
  <c r="D282"/>
  <c r="E329"/>
  <c r="D295"/>
  <c r="C323"/>
  <c r="D275"/>
  <c r="C333"/>
  <c r="E259"/>
  <c r="C305"/>
  <c r="E333"/>
  <c r="C268"/>
  <c r="E298"/>
  <c r="C307"/>
  <c r="C284"/>
  <c r="D280"/>
  <c r="D315"/>
  <c r="D328"/>
  <c r="C330"/>
  <c r="D272"/>
  <c r="C276"/>
  <c r="E318"/>
  <c r="D283"/>
  <c r="E280"/>
  <c r="C309"/>
  <c r="D333"/>
  <c r="E311"/>
  <c r="D284"/>
  <c r="E308"/>
  <c r="C331"/>
  <c r="E271"/>
  <c r="C273"/>
  <c r="E288"/>
  <c r="E317"/>
  <c r="E284"/>
  <c r="D288"/>
  <c r="E260"/>
  <c r="D311"/>
  <c r="E285"/>
  <c r="E299"/>
  <c r="E270"/>
  <c r="D307"/>
  <c r="D302"/>
  <c r="E281"/>
  <c r="E295"/>
  <c r="C293"/>
  <c r="D309"/>
  <c r="E312"/>
  <c r="E261"/>
  <c r="D270"/>
  <c r="D326"/>
  <c r="C279"/>
  <c r="D294"/>
  <c r="E263"/>
  <c r="C321"/>
  <c r="C272"/>
  <c r="E272"/>
  <c r="E305"/>
  <c r="E294"/>
  <c r="E286"/>
  <c r="D273"/>
  <c r="C334"/>
  <c r="C299"/>
  <c r="E283"/>
  <c r="C304"/>
  <c r="E275"/>
  <c r="E315"/>
  <c r="C320"/>
  <c r="C312"/>
  <c r="D277"/>
  <c r="C277"/>
  <c r="C291"/>
  <c r="D276"/>
  <c r="E292"/>
  <c r="D290"/>
  <c r="C325"/>
  <c r="C317"/>
  <c r="D261"/>
  <c r="C298"/>
  <c r="D334"/>
  <c r="C269"/>
  <c r="E325"/>
  <c r="C319"/>
  <c r="D285"/>
  <c r="E257"/>
  <c r="E300"/>
  <c r="D296"/>
  <c r="D321"/>
  <c r="E330"/>
  <c r="D335"/>
  <c r="E334"/>
  <c r="D323"/>
  <c r="D257"/>
  <c r="E264"/>
  <c r="C280"/>
  <c r="D300"/>
  <c r="D306"/>
  <c r="E287"/>
  <c r="C270"/>
  <c r="E319"/>
  <c r="D310"/>
  <c r="C328"/>
  <c r="D259"/>
  <c r="D308"/>
  <c r="E314"/>
  <c r="D325"/>
  <c r="E332"/>
  <c r="C324"/>
  <c r="E265"/>
  <c r="C296"/>
  <c r="D320"/>
  <c r="D305"/>
  <c r="E326"/>
  <c r="E328"/>
  <c r="D319"/>
  <c r="E289"/>
  <c r="D312"/>
  <c r="D292"/>
  <c r="D267"/>
  <c r="C301"/>
  <c r="D331"/>
  <c r="D264"/>
  <c r="C314"/>
  <c r="C332"/>
  <c r="C274"/>
  <c r="C311"/>
  <c r="D279"/>
  <c r="D329"/>
  <c r="E291"/>
  <c r="E331"/>
  <c r="E303"/>
  <c r="C283"/>
  <c r="C327"/>
  <c r="C264"/>
  <c r="D327"/>
  <c r="C285"/>
  <c r="D313"/>
  <c r="E320"/>
  <c r="D303"/>
  <c r="D317"/>
  <c r="E276"/>
  <c r="D262"/>
  <c r="C315"/>
  <c r="D274"/>
  <c r="D289"/>
  <c r="E307"/>
  <c r="C335"/>
  <c r="E279"/>
  <c r="E301"/>
  <c r="D332"/>
  <c r="E266"/>
  <c r="C275"/>
  <c r="G158" i="7"/>
  <c r="E115" i="16" l="1"/>
  <c r="D115"/>
  <c r="C115"/>
  <c r="F115"/>
  <c r="B116"/>
  <c r="P121" i="7"/>
  <c r="A124"/>
  <c r="B123"/>
  <c r="F123" s="1"/>
  <c r="I159"/>
  <c r="H159"/>
  <c r="C159"/>
  <c r="K159"/>
  <c r="L159" s="1"/>
  <c r="M159" s="1"/>
  <c r="H158"/>
  <c r="I158"/>
  <c r="C158"/>
  <c r="K158"/>
  <c r="L158" s="1"/>
  <c r="M158" s="1"/>
  <c r="B118" i="16" l="1"/>
  <c r="P123" i="7"/>
  <c r="A125"/>
  <c r="B124"/>
  <c r="F124" s="1"/>
  <c r="E116" i="16"/>
  <c r="F116"/>
  <c r="D116"/>
  <c r="C116"/>
  <c r="D159" i="7"/>
  <c r="M155"/>
  <c r="D158"/>
  <c r="B119" i="16" l="1"/>
  <c r="P124" i="7"/>
  <c r="A126"/>
  <c r="B125"/>
  <c r="F125" s="1"/>
  <c r="E118" i="16"/>
  <c r="F118"/>
  <c r="D118"/>
  <c r="C118"/>
  <c r="D155" i="7"/>
  <c r="B120" i="16" l="1"/>
  <c r="P125" i="7"/>
  <c r="E119" i="16"/>
  <c r="D119"/>
  <c r="F119"/>
  <c r="C119"/>
  <c r="I18" i="15"/>
  <c r="M18" s="1"/>
  <c r="D18"/>
  <c r="F120" i="16" l="1"/>
  <c r="E120"/>
  <c r="C120"/>
  <c r="D120"/>
  <c r="D19" i="38"/>
  <c r="Q19"/>
  <c r="E19" l="1"/>
  <c r="M19"/>
  <c r="G19"/>
  <c r="I19"/>
  <c r="K19"/>
  <c r="O19"/>
  <c r="J134" i="7"/>
  <c r="M134" s="1"/>
  <c r="M132"/>
  <c r="D132" s="1"/>
  <c r="M127" l="1"/>
  <c r="D127" s="1"/>
  <c r="K195"/>
  <c r="D134"/>
  <c r="A127" l="1"/>
  <c r="A128" s="1"/>
  <c r="A129" s="1"/>
  <c r="B127" l="1"/>
  <c r="F127" s="1"/>
  <c r="A130"/>
  <c r="B129"/>
  <c r="F129" s="1"/>
  <c r="B124" i="16" l="1"/>
  <c r="P129" i="7"/>
  <c r="A131"/>
  <c r="B130"/>
  <c r="F130" s="1"/>
  <c r="B122" i="16"/>
  <c r="P130" i="7" l="1"/>
  <c r="B125" i="16"/>
  <c r="B131" i="7"/>
  <c r="F131" s="1"/>
  <c r="A132"/>
  <c r="E122" i="16"/>
  <c r="F122"/>
  <c r="D122"/>
  <c r="C122"/>
  <c r="E124"/>
  <c r="C124"/>
  <c r="F124"/>
  <c r="D124"/>
  <c r="A133" i="7" l="1"/>
  <c r="B132"/>
  <c r="F132" s="1"/>
  <c r="C125" i="16"/>
  <c r="E125"/>
  <c r="F125"/>
  <c r="D125"/>
  <c r="B126"/>
  <c r="P131" i="7"/>
  <c r="F126" i="16" l="1"/>
  <c r="C126"/>
  <c r="E126"/>
  <c r="D126"/>
  <c r="P132" i="7"/>
  <c r="B127" i="16"/>
  <c r="B133" i="7"/>
  <c r="F133" s="1"/>
  <c r="A134"/>
  <c r="A135" l="1"/>
  <c r="A136" s="1"/>
  <c r="B134"/>
  <c r="F134" s="1"/>
  <c r="P133"/>
  <c r="B128" i="16"/>
  <c r="D127"/>
  <c r="F127"/>
  <c r="C127"/>
  <c r="E127"/>
  <c r="P134" i="7" l="1"/>
  <c r="B129" i="16"/>
  <c r="B136" i="7"/>
  <c r="F136" s="1"/>
  <c r="A137"/>
  <c r="E128" i="16"/>
  <c r="F128"/>
  <c r="C128"/>
  <c r="D128"/>
  <c r="B137" i="7" l="1"/>
  <c r="F137" s="1"/>
  <c r="A138"/>
  <c r="B131" i="16"/>
  <c r="P136" i="7"/>
  <c r="E129" i="16"/>
  <c r="D129"/>
  <c r="C129"/>
  <c r="F129"/>
  <c r="F131" l="1"/>
  <c r="D131"/>
  <c r="C131"/>
  <c r="E131"/>
  <c r="B138" i="7"/>
  <c r="F138" s="1"/>
  <c r="A139"/>
  <c r="A140" s="1"/>
  <c r="A141" s="1"/>
  <c r="B141" s="1"/>
  <c r="F141" s="1"/>
  <c r="P137"/>
  <c r="B132" i="16"/>
  <c r="P141" i="7" l="1"/>
  <c r="B136" i="16"/>
  <c r="A142" i="7"/>
  <c r="B140"/>
  <c r="F140" s="1"/>
  <c r="P138"/>
  <c r="B133" i="16"/>
  <c r="D132"/>
  <c r="F132"/>
  <c r="E132"/>
  <c r="C132"/>
  <c r="E136" l="1"/>
  <c r="F136"/>
  <c r="D136"/>
  <c r="C136"/>
  <c r="P140" i="7"/>
  <c r="B135" i="16"/>
  <c r="F133"/>
  <c r="D133"/>
  <c r="E133"/>
  <c r="C133"/>
  <c r="B142" i="7"/>
  <c r="F142" s="1"/>
  <c r="A143"/>
  <c r="P142" l="1"/>
  <c r="B137" i="16"/>
  <c r="E135"/>
  <c r="D135"/>
  <c r="C135"/>
  <c r="F135"/>
  <c r="B143" i="7"/>
  <c r="F143" s="1"/>
  <c r="D137" i="16" l="1"/>
  <c r="C137"/>
  <c r="F137"/>
  <c r="E137"/>
  <c r="P143" i="7"/>
  <c r="B138" i="16"/>
  <c r="C138" l="1"/>
  <c r="F138"/>
  <c r="E138"/>
  <c r="D138"/>
  <c r="A144" i="7"/>
  <c r="B144" l="1"/>
  <c r="F144" s="1"/>
  <c r="A145"/>
  <c r="P144" l="1"/>
  <c r="B139" i="16"/>
  <c r="B145" i="7"/>
  <c r="F145" s="1"/>
  <c r="A146"/>
  <c r="P145" l="1"/>
  <c r="B140" i="16"/>
  <c r="C139"/>
  <c r="F139"/>
  <c r="E139"/>
  <c r="D139"/>
  <c r="B146" i="7"/>
  <c r="F146" s="1"/>
  <c r="A147"/>
  <c r="P146" l="1"/>
  <c r="B141" i="16"/>
  <c r="F140"/>
  <c r="E140"/>
  <c r="D140"/>
  <c r="C140"/>
  <c r="B147" i="7"/>
  <c r="F147" s="1"/>
  <c r="A148"/>
  <c r="A149" s="1"/>
  <c r="F141" i="16" l="1"/>
  <c r="E141"/>
  <c r="D141"/>
  <c r="C141"/>
  <c r="B149" i="7"/>
  <c r="F149" s="1"/>
  <c r="B144" i="16" s="1"/>
  <c r="A150" i="7"/>
  <c r="P147"/>
  <c r="B142" i="16"/>
  <c r="C142" l="1"/>
  <c r="E142"/>
  <c r="D142"/>
  <c r="F142"/>
  <c r="B150" i="7"/>
  <c r="F150" s="1"/>
  <c r="A151"/>
  <c r="E144" i="16"/>
  <c r="D144"/>
  <c r="C144"/>
  <c r="F144"/>
  <c r="B151" i="7" l="1"/>
  <c r="F151" s="1"/>
  <c r="A152"/>
  <c r="B145" i="16"/>
  <c r="P150" i="7"/>
  <c r="E145" i="16" l="1"/>
  <c r="D145"/>
  <c r="C145"/>
  <c r="F145"/>
  <c r="B152" i="7"/>
  <c r="F152" s="1"/>
  <c r="A153"/>
  <c r="P151"/>
  <c r="B146" i="16"/>
  <c r="B147" l="1"/>
  <c r="P152" i="7"/>
  <c r="E146" i="16"/>
  <c r="C146"/>
  <c r="D146"/>
  <c r="F146"/>
  <c r="B153" i="7"/>
  <c r="F153" s="1"/>
  <c r="A154"/>
  <c r="A155" s="1"/>
  <c r="P153" l="1"/>
  <c r="B148" i="16"/>
  <c r="B155" i="7"/>
  <c r="F155" s="1"/>
  <c r="B150" i="16" s="1"/>
  <c r="A156" i="7"/>
  <c r="E147" i="16"/>
  <c r="F147"/>
  <c r="D147"/>
  <c r="C147"/>
  <c r="B156" i="7" l="1"/>
  <c r="F156" s="1"/>
  <c r="A157"/>
  <c r="C150" i="16"/>
  <c r="F150"/>
  <c r="D150"/>
  <c r="E150"/>
  <c r="C148"/>
  <c r="F148"/>
  <c r="E148"/>
  <c r="D148"/>
  <c r="B157" i="7" l="1"/>
  <c r="F157" s="1"/>
  <c r="A158"/>
  <c r="P156"/>
  <c r="B151" i="16"/>
  <c r="C151" l="1"/>
  <c r="D151"/>
  <c r="E151"/>
  <c r="F151"/>
  <c r="B158" i="7"/>
  <c r="F158" s="1"/>
  <c r="A159"/>
  <c r="P157"/>
  <c r="B152" i="16"/>
  <c r="C152" l="1"/>
  <c r="D152"/>
  <c r="F152"/>
  <c r="E152"/>
  <c r="B159" i="7"/>
  <c r="F159" s="1"/>
  <c r="A160"/>
  <c r="B153" i="16"/>
  <c r="P158" i="7"/>
  <c r="D153" i="16" l="1"/>
  <c r="F153"/>
  <c r="E153"/>
  <c r="C153"/>
  <c r="B160" i="7"/>
  <c r="F160" s="1"/>
  <c r="A161"/>
  <c r="P159"/>
  <c r="B154" i="16"/>
  <c r="P160" i="7" l="1"/>
  <c r="B155" i="16"/>
  <c r="F154"/>
  <c r="E154"/>
  <c r="C154"/>
  <c r="D154"/>
  <c r="B161" i="7"/>
  <c r="F161" s="1"/>
  <c r="A162"/>
  <c r="B162" l="1"/>
  <c r="F162" s="1"/>
  <c r="A163"/>
  <c r="E155" i="16"/>
  <c r="D155"/>
  <c r="F155"/>
  <c r="C155"/>
  <c r="P161" i="7"/>
  <c r="B156" i="16"/>
  <c r="E156" l="1"/>
  <c r="C156"/>
  <c r="F156"/>
  <c r="D156"/>
  <c r="B163" i="7"/>
  <c r="F163" s="1"/>
  <c r="A164"/>
  <c r="P162"/>
  <c r="B157" i="16"/>
  <c r="B158" l="1"/>
  <c r="P163" i="7"/>
  <c r="C157" i="16"/>
  <c r="F157"/>
  <c r="D157"/>
  <c r="E157"/>
  <c r="B164" i="7"/>
  <c r="F164" s="1"/>
  <c r="A165"/>
  <c r="P164" l="1"/>
  <c r="B159" i="16"/>
  <c r="B165" i="7"/>
  <c r="F165" s="1"/>
  <c r="A166"/>
  <c r="D158" i="16"/>
  <c r="C158"/>
  <c r="F158"/>
  <c r="E158"/>
  <c r="B166" i="7" l="1"/>
  <c r="F166" s="1"/>
  <c r="A167"/>
  <c r="P165"/>
  <c r="B160" i="16"/>
  <c r="E159"/>
  <c r="C159"/>
  <c r="D159"/>
  <c r="F159"/>
  <c r="F160" l="1"/>
  <c r="C160"/>
  <c r="D160"/>
  <c r="E160"/>
  <c r="B167" i="7"/>
  <c r="F167" s="1"/>
  <c r="A168"/>
  <c r="B161" i="16"/>
  <c r="P166" i="7"/>
  <c r="B162" i="16" l="1"/>
  <c r="P167" i="7"/>
  <c r="C161" i="16"/>
  <c r="F161"/>
  <c r="D161"/>
  <c r="E161"/>
  <c r="B168" i="7"/>
  <c r="F168" s="1"/>
  <c r="A169"/>
  <c r="P168" l="1"/>
  <c r="B163" i="16"/>
  <c r="B169" i="7"/>
  <c r="F169" s="1"/>
  <c r="A170"/>
  <c r="A171" s="1"/>
  <c r="D162" i="16"/>
  <c r="C162"/>
  <c r="F162"/>
  <c r="E162"/>
  <c r="A172" i="7" l="1"/>
  <c r="B171"/>
  <c r="F171" s="1"/>
  <c r="P169"/>
  <c r="B164" i="16"/>
  <c r="C163"/>
  <c r="E163"/>
  <c r="D163"/>
  <c r="F163"/>
  <c r="F164" l="1"/>
  <c r="C164"/>
  <c r="D164"/>
  <c r="E164"/>
  <c r="P171" i="7"/>
  <c r="B166" i="16"/>
  <c r="B172" i="7"/>
  <c r="F172" s="1"/>
  <c r="A173"/>
  <c r="B173" l="1"/>
  <c r="F173" s="1"/>
  <c r="A174"/>
  <c r="P172"/>
  <c r="B167" i="16"/>
  <c r="E166"/>
  <c r="C166"/>
  <c r="D166"/>
  <c r="F166"/>
  <c r="C167" l="1"/>
  <c r="D167"/>
  <c r="F167"/>
  <c r="E167"/>
  <c r="B174" i="7"/>
  <c r="F174" s="1"/>
  <c r="A175"/>
  <c r="A176" s="1"/>
  <c r="B168" i="16"/>
  <c r="P173" i="7"/>
  <c r="F168" i="16" l="1"/>
  <c r="E168"/>
  <c r="C168"/>
  <c r="D168"/>
  <c r="B176" i="7"/>
  <c r="F176" s="1"/>
  <c r="B171" i="16" s="1"/>
  <c r="A177" i="7"/>
  <c r="B169" i="16"/>
  <c r="P174" i="7"/>
  <c r="F171" i="16" l="1"/>
  <c r="E171"/>
  <c r="C171"/>
  <c r="D171"/>
  <c r="D169"/>
  <c r="C169"/>
  <c r="F169"/>
  <c r="E169"/>
  <c r="B177" i="7"/>
  <c r="F177" s="1"/>
  <c r="A178"/>
  <c r="P177" l="1"/>
  <c r="B172" i="16"/>
  <c r="B178" i="7"/>
  <c r="F178" s="1"/>
  <c r="A179"/>
  <c r="B179" l="1"/>
  <c r="F179" s="1"/>
  <c r="A180"/>
  <c r="P178"/>
  <c r="B173" i="16"/>
  <c r="D172"/>
  <c r="E172"/>
  <c r="C172"/>
  <c r="F172"/>
  <c r="C173" l="1"/>
  <c r="D173"/>
  <c r="E173"/>
  <c r="F173"/>
  <c r="A181" i="7"/>
  <c r="B180"/>
  <c r="F180" s="1"/>
  <c r="B174" i="16"/>
  <c r="P179" i="7"/>
  <c r="E174" i="16" l="1"/>
  <c r="C174"/>
  <c r="F174"/>
  <c r="D174"/>
  <c r="P180" i="7"/>
  <c r="B175" i="16"/>
  <c r="B181" i="7"/>
  <c r="F181" s="1"/>
  <c r="A182"/>
  <c r="P181" l="1"/>
  <c r="B176" i="16"/>
  <c r="D175"/>
  <c r="C175"/>
  <c r="E175"/>
  <c r="F175"/>
  <c r="B182" i="7"/>
  <c r="F182" s="1"/>
  <c r="A183"/>
  <c r="A184" s="1"/>
  <c r="P182" l="1"/>
  <c r="B177" i="16"/>
  <c r="B184" i="7"/>
  <c r="F184" s="1"/>
  <c r="A185"/>
  <c r="F176" i="16"/>
  <c r="C176"/>
  <c r="D176"/>
  <c r="E176"/>
  <c r="A186" i="7" l="1"/>
  <c r="A187" s="1"/>
  <c r="B185"/>
  <c r="F185" s="1"/>
  <c r="P184"/>
  <c r="B179" i="16"/>
  <c r="E177"/>
  <c r="D177"/>
  <c r="F177"/>
  <c r="C177"/>
  <c r="D179" l="1"/>
  <c r="C179"/>
  <c r="F179"/>
  <c r="E179"/>
  <c r="P185" i="7"/>
  <c r="B180" i="16"/>
  <c r="A188" i="7"/>
  <c r="B187"/>
  <c r="F187" s="1"/>
  <c r="B182" i="16" s="1"/>
  <c r="C182" l="1"/>
  <c r="D182"/>
  <c r="E182"/>
  <c r="F182"/>
  <c r="A189" i="7"/>
  <c r="B188"/>
  <c r="F188" s="1"/>
  <c r="D180" i="16"/>
  <c r="E180"/>
  <c r="F180"/>
  <c r="C180"/>
  <c r="P188" i="7" l="1"/>
  <c r="B183" i="16"/>
  <c r="B189" i="7"/>
  <c r="F189" s="1"/>
  <c r="A190"/>
  <c r="P189" l="1"/>
  <c r="B184" i="16"/>
  <c r="D183"/>
  <c r="C183"/>
  <c r="F183"/>
  <c r="E183"/>
  <c r="B190" i="7"/>
  <c r="F190" s="1"/>
  <c r="A191"/>
  <c r="P190" l="1"/>
  <c r="B185" i="16"/>
  <c r="B191" i="7"/>
  <c r="F191" s="1"/>
  <c r="A192"/>
  <c r="C184" i="16"/>
  <c r="D184"/>
  <c r="E184"/>
  <c r="F184"/>
  <c r="A193" i="7" l="1"/>
  <c r="B192"/>
  <c r="F192" s="1"/>
  <c r="P191"/>
  <c r="B186" i="16"/>
  <c r="C185"/>
  <c r="F185"/>
  <c r="D185"/>
  <c r="E185"/>
  <c r="I24" i="15" l="1"/>
  <c r="D26"/>
  <c r="D27" i="38" s="1"/>
  <c r="I22" i="15"/>
  <c r="I20"/>
  <c r="I26"/>
  <c r="D22"/>
  <c r="D23" i="38" s="1"/>
  <c r="D24" i="15"/>
  <c r="D25" i="38" s="1"/>
  <c r="D20" i="15"/>
  <c r="D21" i="38" s="1"/>
  <c r="E186" i="16"/>
  <c r="D186"/>
  <c r="C186"/>
  <c r="F186"/>
  <c r="B187"/>
  <c r="P192" i="7"/>
  <c r="D28" i="15"/>
  <c r="D29" i="38" s="1"/>
  <c r="C25" i="16"/>
  <c r="E25"/>
  <c r="I34" i="15"/>
  <c r="F25" i="16"/>
  <c r="I30" i="15"/>
  <c r="D30"/>
  <c r="D31" i="38" s="1"/>
  <c r="D25" i="16"/>
  <c r="I28" i="15"/>
  <c r="D34"/>
  <c r="D35" i="38" s="1"/>
  <c r="D32" i="15"/>
  <c r="D33" i="38" s="1"/>
  <c r="I32" i="15"/>
  <c r="M20" l="1"/>
  <c r="Q21" i="38"/>
  <c r="M22" i="15"/>
  <c r="Q23" i="38"/>
  <c r="Q27"/>
  <c r="M26" i="15"/>
  <c r="M24"/>
  <c r="Q25" i="38"/>
  <c r="M30" i="15"/>
  <c r="Q31" i="38"/>
  <c r="Q29"/>
  <c r="M28" i="15"/>
  <c r="H36"/>
  <c r="M36" s="1"/>
  <c r="M32"/>
  <c r="Q33" i="38"/>
  <c r="M34" i="15"/>
  <c r="Q35" i="38"/>
  <c r="D187" i="16"/>
  <c r="C187"/>
  <c r="F187"/>
  <c r="E187"/>
  <c r="M25" i="38" l="1"/>
  <c r="I25"/>
  <c r="G25"/>
  <c r="K25"/>
  <c r="E25"/>
  <c r="O25"/>
  <c r="I23"/>
  <c r="M23"/>
  <c r="O23"/>
  <c r="K23"/>
  <c r="G23"/>
  <c r="E23"/>
  <c r="G21"/>
  <c r="O21"/>
  <c r="K21"/>
  <c r="I21"/>
  <c r="E21"/>
  <c r="M21"/>
  <c r="O27"/>
  <c r="I27"/>
  <c r="K27"/>
  <c r="G27"/>
  <c r="E27"/>
  <c r="M27"/>
  <c r="G28" i="15"/>
  <c r="G34"/>
  <c r="G20"/>
  <c r="J36"/>
  <c r="G22"/>
  <c r="G18"/>
  <c r="G32" i="18"/>
  <c r="I33" i="37" s="1"/>
  <c r="G14" i="15"/>
  <c r="G24"/>
  <c r="G16"/>
  <c r="G26"/>
  <c r="I31" i="38"/>
  <c r="M31"/>
  <c r="E31"/>
  <c r="G31"/>
  <c r="O31"/>
  <c r="K31"/>
  <c r="G32" i="15"/>
  <c r="K35" i="38"/>
  <c r="O35"/>
  <c r="E35"/>
  <c r="M35"/>
  <c r="G35"/>
  <c r="I35"/>
  <c r="I33"/>
  <c r="O33"/>
  <c r="G33"/>
  <c r="M33"/>
  <c r="K33"/>
  <c r="E33"/>
  <c r="I29"/>
  <c r="O29"/>
  <c r="M29"/>
  <c r="G29"/>
  <c r="E29"/>
  <c r="K29"/>
  <c r="Q37"/>
  <c r="R29" s="1"/>
  <c r="G30" i="15"/>
  <c r="P15" i="38" l="1"/>
  <c r="O15" s="1"/>
  <c r="O37" s="1"/>
  <c r="P37" s="1"/>
  <c r="N15"/>
  <c r="M15" s="1"/>
  <c r="M37" s="1"/>
  <c r="N37" s="1"/>
  <c r="L15"/>
  <c r="K15" s="1"/>
  <c r="K37" s="1"/>
  <c r="L37" s="1"/>
  <c r="H15"/>
  <c r="G15" s="1"/>
  <c r="G37" s="1"/>
  <c r="H37" s="1"/>
  <c r="R19"/>
  <c r="R25"/>
  <c r="R23"/>
  <c r="R21"/>
  <c r="R15"/>
  <c r="Q38"/>
  <c r="R17"/>
  <c r="R27"/>
  <c r="R33"/>
  <c r="R35"/>
  <c r="G36" i="15"/>
  <c r="F15" i="38"/>
  <c r="J15"/>
  <c r="I15" s="1"/>
  <c r="I37" s="1"/>
  <c r="R31"/>
  <c r="J37" l="1"/>
  <c r="R37"/>
  <c r="R38" s="1"/>
  <c r="T15"/>
  <c r="E15"/>
  <c r="E37" s="1"/>
  <c r="F37" l="1"/>
  <c r="F38" s="1"/>
  <c r="E38"/>
  <c r="G38"/>
  <c r="H38" l="1"/>
  <c r="I38"/>
  <c r="J38" l="1"/>
  <c r="K38"/>
  <c r="M38" l="1"/>
  <c r="L38"/>
  <c r="N38" l="1"/>
  <c r="O38"/>
  <c r="P38" s="1"/>
</calcChain>
</file>

<file path=xl/sharedStrings.xml><?xml version="1.0" encoding="utf-8"?>
<sst xmlns="http://schemas.openxmlformats.org/spreadsheetml/2006/main" count="30725" uniqueCount="14235">
  <si>
    <t>M2</t>
  </si>
  <si>
    <t>1.0</t>
  </si>
  <si>
    <t>ASSOCIAÇÃO MATO-GROSSENSE
 DOS MUNICÍPIOS</t>
  </si>
  <si>
    <r>
      <t xml:space="preserve">SITE: </t>
    </r>
    <r>
      <rPr>
        <b/>
        <sz val="10"/>
        <rFont val="Arial"/>
        <family val="2"/>
      </rPr>
      <t>www.amm.org.br</t>
    </r>
    <r>
      <rPr>
        <sz val="10"/>
        <rFont val="Arial"/>
        <family val="2"/>
      </rPr>
      <t xml:space="preserve">   -   e-mail: </t>
    </r>
    <r>
      <rPr>
        <b/>
        <sz val="10"/>
        <rFont val="Arial"/>
        <family val="2"/>
      </rPr>
      <t>centraldeprojetosamm@gmail.com</t>
    </r>
    <r>
      <rPr>
        <sz val="10"/>
        <rFont val="Arial"/>
        <family val="2"/>
      </rPr>
      <t xml:space="preserve">
 AV. RUBENS DE MENDONÇA Nº 3.920 - CEP: 78,000-070 - CUIABÁ - MT  
FONE: (65) 2123-1200  -  FAX: 2123-1251</t>
    </r>
  </si>
  <si>
    <t>AUTOR:</t>
  </si>
  <si>
    <t>BDI</t>
  </si>
  <si>
    <t>OBRA:</t>
  </si>
  <si>
    <t>DATA:</t>
  </si>
  <si>
    <t>LOCAL:</t>
  </si>
  <si>
    <t>LEIS SOCIAIS:</t>
  </si>
  <si>
    <t>O  R  Ç  A  M  E  N  T  O</t>
  </si>
  <si>
    <t>ITEM</t>
  </si>
  <si>
    <t>CÓDIGO</t>
  </si>
  <si>
    <t>DESCRIÇÃO DO SERVIÇO</t>
  </si>
  <si>
    <t>UN.</t>
  </si>
  <si>
    <t>QUANT.</t>
  </si>
  <si>
    <t>PREÇO
UNIT. (R$)</t>
  </si>
  <si>
    <t>PREÇO
BDI. (R$)</t>
  </si>
  <si>
    <t>PREÇO
FINAL (R$)</t>
  </si>
  <si>
    <t/>
  </si>
  <si>
    <t>M3</t>
  </si>
  <si>
    <t>KG</t>
  </si>
  <si>
    <t>M</t>
  </si>
  <si>
    <t>UN</t>
  </si>
  <si>
    <t>APLICAÇÃO DE FUNDO SELADOR ACRÍLICO EM PAREDES, UMA DEMÃO. AF_06/2014</t>
  </si>
  <si>
    <t>APLICAÇÃO E LIXAMENTO DE MASSA LÁTEX EM PAREDES, UMA DEMÃO. AF_06/2014</t>
  </si>
  <si>
    <t>APLICAÇÃO MANUAL DE PINTURA COM TINTA LÁTEX ACRÍLICA EM PAREDES, DUAS DEMÃOS. AF_06/2014</t>
  </si>
  <si>
    <t>RASGO EM ALVENARIA PARA RAMAIS/ DISTRIBUIÇÃO COM DIAMETROS MENORES OU IGUAIS A 40 MM. AF_05/2015</t>
  </si>
  <si>
    <t>Código</t>
  </si>
  <si>
    <t>Descrição</t>
  </si>
  <si>
    <t>Unidade</t>
  </si>
  <si>
    <t>Preço</t>
  </si>
  <si>
    <t>MES</t>
  </si>
  <si>
    <t>CHP</t>
  </si>
  <si>
    <t>TRATOR DE ESTEIRAS, POTÊNCIA 150 HP, PESO OPERACIONAL 16,7 T, COM RODA MOTRIZ ELEVADA E LÂMINA 3,18 M3 - CHP DIURNO. AF_06/2014</t>
  </si>
  <si>
    <t>MOTONIVELADORA POTÊNCIA BÁSICA LÍQUIDA (PRIMEIRA MARCHA) 125 HP, PESO BRUTO 13032 KG, LARGURA DA LÂMINA DE 3,7 M - CHP DIURNO. AF_06/2014</t>
  </si>
  <si>
    <t>H</t>
  </si>
  <si>
    <t>TANQUE DE ASFALTO ESTACIONÁRIO COM MAÇARICO, CAPACIDADE 20.000 L - CHP DIURNO. AF_06/2014</t>
  </si>
  <si>
    <t>BATE-ESTACAS POR GRAVIDADE, POTÊNCIA DE 160 HP, PESO DO MARTELO ATÉ 3 TONELADAS - CHP DIURNO. AF_11/2014</t>
  </si>
  <si>
    <t>MISTURADOR DUPLO HORIZONTAL DE ALTA TURBULÊNCIA, CAPACIDADE / VOLUME 2 X 500 LITROS, MOTORES ELÉTRICOS MÍNIMO 5 CV CADA, PARA NATA CIMENTO, ARGAMASSA E OUTROS - CHP DIURNO. AF_06/2015</t>
  </si>
  <si>
    <t>CHI</t>
  </si>
  <si>
    <t>TRATOR DE ESTEIRAS, POTÊNCIA 150 HP, PESO OPERACIONAL 16,7 T, COM RODA MOTRIZ ELEVADA E LÂMINA 3,18 M3 - CHI DIURNO. AF_06/2014</t>
  </si>
  <si>
    <t>MOTONIVELADORA POTÊNCIA BÁSICA LÍQUIDA (PRIMEIRA MARCHA) 125 HP, PESO BRUTO 13032 KG, LARGURA DA LÂMINA DE 3,7 M - CHI DIURNO. AF_06/2014</t>
  </si>
  <si>
    <t>TANQUE DE ASFALTO ESTACIONÁRIO COM MAÇARICO, CAPACIDADE 20.000 L - CHI DIURNO. AF_06/2014</t>
  </si>
  <si>
    <t>BATE-ESTACAS POR GRAVIDADE, POTÊNCIA DE 160 HP, PESO DO MARTELO ATÉ 3 TONELADAS - CHI DIURNO. AF_11/2014</t>
  </si>
  <si>
    <t>MISTURADOR DUPLO HORIZONTAL DE ALTA TURBULÊNCIA, CAPACIDADE / VOLUME 2 X 500 LITROS, MOTORES ELÉTRICOS MÍNIMO 5 CV CADA, PARA NATA CIMENTO, ARGAMASSA E OUTROS - CHI DIURNO. AF_06/2015</t>
  </si>
  <si>
    <t>TRATOR DE ESTEIRAS, POTÊNCIA 150 HP, PESO OPERACIONAL 16,7 T, COM RODA MOTRIZ ELEVADA E LÂMINA 3,18 M3 - MATERIAIS NA OPERAÇÃO. AF_06/2014</t>
  </si>
  <si>
    <t>MOTONIVELADORA POTÊNCIA BÁSICA LÍQUIDA (PRIMEIRA MARCHA) 125 HP, PESO BRUTO 13032 KG, LARGURA DA LÂMINA DE 3,7 M - MANUTENÇÃO. AF_06/2014</t>
  </si>
  <si>
    <t>TRATOR DE ESTEIRAS, POTÊNCIA 150 HP, PESO OPERACIONAL 16,7 T, COM RODA MOTRIZ ELEVADA E LÂMINA 3,18 M3 - MANUTENÇÃO.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</si>
  <si>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</si>
  <si>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</si>
  <si>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</si>
  <si>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</si>
  <si>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</si>
  <si>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</si>
  <si>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</si>
  <si>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</si>
  <si>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</si>
  <si>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</si>
  <si>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</si>
  <si>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</si>
  <si>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</si>
  <si>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</si>
  <si>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MANUTENÇÃO. AF_11/2015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</si>
  <si>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</si>
  <si>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</si>
  <si>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</si>
  <si>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</si>
  <si>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</si>
  <si>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</si>
  <si>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CONTRAPISO PARA RAMAIS/ DISTRIBUIÇÃO COM DIÂMETROS MENORES OU IGUAIS A 40 MM. AF_05/2015</t>
  </si>
  <si>
    <t>RASGO EM ALVENARIA PARA ELETRODUTOS COM DIAMETROS MENORES OU IGUAIS A 40 MM.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</si>
  <si>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</si>
  <si>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</si>
  <si>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</si>
  <si>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</si>
  <si>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PONTUAL EM PASSAGEM DE TUBO COM DIÂMETRO MENOR OU IGUAL A 40 MM. AF_05/2015</t>
  </si>
  <si>
    <t>CHUMBAMENTO PONTUAL EM PASSAGEM DE TUBO COM DIÂMETRO MAIOR QUE 75 MM. AF_05/2015</t>
  </si>
  <si>
    <t>TXKM</t>
  </si>
  <si>
    <t>T</t>
  </si>
  <si>
    <t>M3XKM</t>
  </si>
  <si>
    <t>APLICAÇÃO DE FUNDO SELADOR ACRÍLICO EM TETO, UMA DEMÃO. AF_06/2014</t>
  </si>
  <si>
    <t>APLICAÇÃO E LIXAMENTO DE MASSA LÁTEX EM TETO, UMA DEMÃO. AF_06/2014</t>
  </si>
  <si>
    <t>APLICAÇÃO E LIXAMENTO DE MASSA LÁTEX EM TETO, DUAS DEMÃOS. AF_06/2014</t>
  </si>
  <si>
    <t>L</t>
  </si>
  <si>
    <t>PENEIRAMENTO DE AREIA COM PENEIRA ELÉTRICA. AF_11/2015</t>
  </si>
  <si>
    <t>PENEIRAMENTO DE AREIA COM PENEIRA MANUAL. AF_11/2015</t>
  </si>
  <si>
    <t>ENSACAMENTO DE AREIA. AF_11/2015</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</si>
  <si>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</si>
  <si>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</si>
  <si>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</si>
  <si>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</si>
  <si>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</si>
  <si>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</si>
  <si>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</si>
  <si>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</si>
  <si>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</si>
  <si>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</si>
  <si>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</si>
  <si>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</si>
  <si>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</si>
  <si>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</si>
  <si>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</si>
  <si>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</si>
  <si>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</si>
  <si>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CALCETEIRO COM ENCARGOS COMPLEMENTARES</t>
  </si>
  <si>
    <t>CARPINTEIRO DE ESQUADRIA COM ENCARGOS COMPLEMENTARES</t>
  </si>
  <si>
    <t>CARPINTEIRO DE FORMAS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</si>
  <si>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</si>
  <si>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</si>
  <si>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</si>
  <si>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</si>
  <si>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</si>
  <si>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</si>
  <si>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</si>
  <si>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</si>
  <si>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</si>
  <si>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</si>
  <si>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</si>
  <si>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</si>
  <si>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</si>
  <si>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</si>
  <si>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</si>
  <si>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</si>
  <si>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</si>
  <si>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</si>
  <si>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</si>
  <si>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</si>
  <si>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</si>
  <si>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</si>
  <si>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</si>
  <si>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</si>
  <si>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</si>
  <si>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</si>
  <si>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</si>
  <si>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</si>
  <si>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</si>
  <si>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</si>
  <si>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</si>
  <si>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</si>
  <si>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</si>
  <si>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</si>
  <si>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</si>
  <si>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</si>
  <si>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</si>
  <si>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</si>
  <si>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</si>
  <si>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</si>
  <si>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</si>
  <si>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</si>
  <si>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</si>
  <si>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</si>
  <si>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</si>
  <si>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</si>
  <si>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</si>
  <si>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</si>
  <si>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</si>
  <si>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</si>
  <si>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</si>
  <si>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</si>
  <si>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</si>
  <si>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</si>
  <si>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</si>
  <si>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</si>
  <si>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</si>
  <si>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</si>
  <si>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</si>
  <si>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</si>
  <si>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</si>
  <si>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</si>
  <si>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</si>
  <si>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</si>
  <si>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</si>
  <si>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</si>
  <si>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</si>
  <si>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</si>
  <si>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</si>
  <si>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</si>
  <si>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SC25KG</t>
  </si>
  <si>
    <t>1.1</t>
  </si>
  <si>
    <t>1.2</t>
  </si>
  <si>
    <t>1.3</t>
  </si>
  <si>
    <t>1.4</t>
  </si>
  <si>
    <t>C O M P O S I Ç Ã O   D E   P R E Ç O S  /  C I V I L</t>
  </si>
  <si>
    <t>COMPONENTES</t>
  </si>
  <si>
    <t>Quantidade</t>
  </si>
  <si>
    <t>Custos
Unit. (R$)</t>
  </si>
  <si>
    <t>Custos
Total (R$)</t>
  </si>
  <si>
    <t>M A T E R I A L</t>
  </si>
  <si>
    <t>M Ã O   D E   O B R A</t>
  </si>
  <si>
    <t>TOTAL</t>
  </si>
  <si>
    <t>MÃO DE OBRA</t>
  </si>
  <si>
    <t>Total</t>
  </si>
  <si>
    <t>AMM HID 001</t>
  </si>
  <si>
    <t xml:space="preserve"> </t>
  </si>
  <si>
    <t>DATA</t>
  </si>
  <si>
    <t>NOME DA EMPRESA FORNECEDORA</t>
  </si>
  <si>
    <t>VALOR COTADO</t>
  </si>
  <si>
    <t>CNPJ</t>
  </si>
  <si>
    <t>TELEFONE</t>
  </si>
  <si>
    <t>CONTATO</t>
  </si>
  <si>
    <t>VALOR ACATADO MEDIANA</t>
  </si>
  <si>
    <t>COTAÇÃO</t>
  </si>
  <si>
    <t>Custos Unit. (R$)</t>
  </si>
  <si>
    <t>C O M P O S I Ç Ã O   D E   P R E Ç O S   /   E L É T R I C O S</t>
  </si>
  <si>
    <t>AMM PAI 001</t>
  </si>
  <si>
    <t>SINAPI ou Cot. De Mercado</t>
  </si>
  <si>
    <t xml:space="preserve">M Ã O   D E   O B R A </t>
  </si>
  <si>
    <t>AMM PAI 002</t>
  </si>
  <si>
    <t>AMM PAI 004</t>
  </si>
  <si>
    <t>AMM PAI 003</t>
  </si>
  <si>
    <t>AMM PAI 005</t>
  </si>
  <si>
    <t>PLACA DE OBRA EM CHAPA DE ACO GALVANIZADO</t>
  </si>
  <si>
    <t>GRADE DE DISCO CONTROLE REMOTO REBOCÁVEL, COM 24 DISCOS 24 X 6 MM COM PNEUS PARA TRANSPORTE - CHP DIURNO. AF_06/2014</t>
  </si>
  <si>
    <t>TRATOR DE PNEUS, POTÊNCIA 122 CV, TRAÇÃO 4X4, PESO COM LASTRO DE 4.510 KG - CHP DIURNO. AF_06/2014</t>
  </si>
  <si>
    <t>CAMINHÃO TOCO, PESO BRUTO TOTAL 14.300 KG, CARGA ÚTIL MÁXIMA 9590 KG, DISTÂNCIA ENTRE EIXOS 4,76 M, POTÊNCIA 185 CV (NÃO INCLUI CARROCERIA) - CHP DIURNO. AF_06/2014</t>
  </si>
  <si>
    <t>ESPARGIDOR DE ASFALTO PRESSURIZADO COM TANQUE DE 2500 L, REBOCÁVEL COM MOTOR A GASOLINA POTÊNCIA 3,4 HP - CHP DIURNO. AF_07/2014</t>
  </si>
  <si>
    <t>COMPRESSOR DE AR REBOCÁVEL, VAZÃO 189 PCM, PRESSÃO EFETIVA DE TRABALHO 102 PSI, MOTOR DIESEL, POTÊNCIA 63 CV - CHP DIURNO. AF_06/2015</t>
  </si>
  <si>
    <t>ROLO COMPACTADOR VIBRATÓRIO PÉ DE CARNEIRO PARA SOLOS, POTÊNCIA 80 HP, PESO OPERACIONAL SEM/COM LASTRO 7,4 / 8,8 T, LARGURA DE TRABALHO 1,68 M - CHP DIURNO. AF_02/2016</t>
  </si>
  <si>
    <t>BETONEIRA CAPACIDADE NOMINAL 400 L, CAPACIDADE DE MISTURA 310 L, MOTOR A DIESEL POTÊNCIA 5,0 HP, SEM CARREGADOR - CHP DIURNO. AF_06/2014</t>
  </si>
  <si>
    <t>PROJETOR DE ARGAMASSA, CAPACIDADE DE PROJEÇÃO 1,5 M3/H, ALCANCE DE 30 ATÉ 60 M, MOTOR ELÉTRICO POTÊNCIA 7,5 HP - CHP DIURNO. AF_06/2014</t>
  </si>
  <si>
    <t>TRATOR DE PNEUS, POTÊNCIA 85 CV, TRAÇÃO 4X4, PESO COM LASTRO DE 4.675 KG - CHP DIURNO. AF_06/2014</t>
  </si>
  <si>
    <t>RECICLADORA DE ASFALTO A FRIO SOBRE RODAS, LARGURA FRESAGEM DE 2,0 M, POTÊNCIA 422 HP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</si>
  <si>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</si>
  <si>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</si>
  <si>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PERFURATRIZ MANUAL, TORQUE MÁXIMO 83 N.M, POTÊNCIA 5 CV, COM DIÂMETRO MÁXIMO 4" - CHP DIURNO. AF_06/2015</t>
  </si>
  <si>
    <t>PERFURATRIZ SOBRE ESTEIRA, TORQUE MÁXIMO 600 KGF, PESO MÉDIO 1000 KG, POTÊNCIA 20 HP, DIÂMETRO MÁXIMO 10" - CHP DIURNO. AF_06/2015</t>
  </si>
  <si>
    <t>BOMBA DE PROJEÇÃO DE CONCRETO SECO, POTÊNCIA 10 CV, VAZÃO 3 M3/H - CHP DIURNO. AF_06/2015</t>
  </si>
  <si>
    <t>BOMBA DE PROJEÇÃO DE CONCRETO SECO, POTÊNCIA 10 CV, VAZÃO 6 M3/H - CHP DIURNO. AF_06/2015</t>
  </si>
  <si>
    <t>COMPRESSOR DE AR REBOCÁVEL, VAZÃO 89 PCM, PRESSÃO EFETIVA DE TRABALHO 102 PSI, MOTOR DIESEL, POTÊNCIA 20 CV - CHP DIURNO. AF_06/2015</t>
  </si>
  <si>
    <t>COMPRESSOR DE AR REBOCÁVEL, VAZÃO 748 PCM, PRESSÃO EFETIVA DE TRABALHO 102 PSI, MOTOR DIESEL, POTÊNCIA 210 CV - CHP DIURNO. AF_06/2015</t>
  </si>
  <si>
    <t>CAMINHÃO TRUCADO (C/ TERCEIRO EIXO) ELETRÔNICO - POTÊNCIA 231CV - PBT = 22000KG - DIST. ENTRE EIXOS 5170 MM - INCLUI CARROCERIA FIXA ABERTA DE MADEIRA - CHP DIURNO. AF_06/2015</t>
  </si>
  <si>
    <t>PENEIRA ROTATIVA COM MOTOR ELÉTRICO TRIFÁSICO DE 2 CV, CILINDRO DE 1 M X 0,60 M, COM FUROS DE 3,17 MM - CHP DIURNO. AF_11/2015</t>
  </si>
  <si>
    <t>DOSADOR DE AREIA, CAPACIDADE DE 26 LITROS - CHP DIURNO. AF_11/2015</t>
  </si>
  <si>
    <t>CAMINHONETE CABINE SIMPLES COM MOTOR 1.6 FLEX, CÂMBIO MANUAL, POTÊNCIA 101/104 CV, 2 PORTAS - CHP DIURNO. AF_11/2015</t>
  </si>
  <si>
    <t>BETONEIRA CAPACIDADE NOMINAL 400 L, CAPACIDADE DE MISTURA 310 L, MOTOR A GASOLINA POTÊNCIA 5,5 HP, SEM CARREGADOR - CHP DIURNO. AF_02/2016</t>
  </si>
  <si>
    <t>TRATOR DE PNEUS, POTÊNCIA 122 CV, TRAÇÃO 4X4, PESO COM LASTRO DE 4.510 KG - CHI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</si>
  <si>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</si>
  <si>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CHI DIURNO. AF_07/2014</t>
  </si>
  <si>
    <t>COMPRESSOR DE AR REBOCÁVEL, VAZÃO 189 PCM, PRESSÃO EFETIVA DE TRABALHO 102 PSI, MOTOR DIESEL, POTÊNCIA 63 CV - CHI DIURNO. AF_06/2015</t>
  </si>
  <si>
    <t>BETONEIRA CAPACIDADE NOMINAL 400 L, CAPACIDADE DE MISTURA 310 L, MOTOR A DIESEL POTÊNCIA 5,0 HP, SEM CARREGADOR - CHI DIURNO. AF_06/2014</t>
  </si>
  <si>
    <t>PROJETOR DE ARGAMASSA, CAPACIDADE DE PROJEÇÃO 1,5 M3/H, ALCANCE DE 30 ATÉ 60 M, MOTOR ELÉTRICO POTÊNCIA 7,5 HP - CHI DIURNO. AF_06/2014</t>
  </si>
  <si>
    <t>TRATOR DE PNEUS, POTÊNCIA 85 CV, TRAÇÃO 4X4, PESO COM LASTRO DE 4.675 KG - CHI DIURNO. AF_06/2014</t>
  </si>
  <si>
    <t>RECICLADORA DE ASFALTO A FRIO SOBRE RODAS, LARGURA FRESAGEM DE 2,0 M, POTÊNCIA 422 HP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</si>
  <si>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</si>
  <si>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</si>
  <si>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PERFURATRIZ MANUAL, TORQUE MÁXIMO 83 N.M, POTÊNCIA 5 CV, COM DIÂMETRO MÁXIMO 4" - CHI DIURNO. AF_06/2015</t>
  </si>
  <si>
    <t>PERFURATRIZ SOBRE ESTEIRA, TORQUE MÁXIMO 600 KGF, PESO MÉDIO 1000 KG, POTÊNCIA 20 HP, DIÂMETRO MÁXIMO 10" - CHI DIURNO. AF_06/2015</t>
  </si>
  <si>
    <t>BOMBA DE PROJEÇÃO DE CONCRETO SECO, POTÊNCIA 10 CV, VAZÃO 3 M3/H - CHI DIURNO. AF_06/2015</t>
  </si>
  <si>
    <t>BOMBA DE PROJEÇÃO DE CONCRETO SECO, POTÊNCIA 10 CV, VAZÃO 6 M3/H - CHI DIURNO. AF_06/2015</t>
  </si>
  <si>
    <t>COMPRESSOR DE AR REBOCÁVEL, VAZÃO 89 PCM, PRESSÃO EFETIVA DE TRABALHO 102 PSI, MOTOR DIESEL, POTÊNCIA 20 CV - CHI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</si>
  <si>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</si>
  <si>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CHI DIURNO. AF_06/2015</t>
  </si>
  <si>
    <t>PENEIRA ROTATIVA COM MOTOR ELÉTRICO TRIFÁSICO DE 2 CV, CILINDRO DE 1 M X 0,60 M, COM FUROS DE 3,17 MM - CHI DIURNO. AF_11/2015</t>
  </si>
  <si>
    <t>DOSADOR DE AREIA, CAPACIDADE DE 26 LITROS - CHI DIURNO. AF_11/2015</t>
  </si>
  <si>
    <t>CAMINHONETE CABINE SIMPLES COM MOTOR 1.6 FLEX, CÂMBIO MANUAL, POTÊNCIA 101/104 CV, 2 PORTAS - CHI DIURNO. AF_11/2015</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</si>
  <si>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</si>
  <si>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</si>
  <si>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ROLO COMPACTADOR VIBRATÓRIO PÉ DE CARNEIRO PARA SOLOS, POTÊNCIA 80 HP, PESO OPERACIONAL SEM/COM LASTRO 7,4 / 8,8 T, LARGURA DE TRABALHO 1,68 M - MANUTENÇÃO. AF_02/2016</t>
  </si>
  <si>
    <t>TRATOR DE PNEUS, POTÊNCIA 85 CV, TRAÇÃO 4X4, PESO COM LASTRO DE 4.675 KG - MANUTENÇÃO. AF_06/2014</t>
  </si>
  <si>
    <t>TRATOR DE PNEUS, POTÊNCIA 85 CV, TRAÇÃO 4X4, PESO COM LASTRO DE 4.675 KG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</si>
  <si>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</si>
  <si>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</si>
  <si>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</si>
  <si>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COMPRESSOR DE AR REBOCÁVEL, VAZÃO 189 PCM, PRESSÃO EFETIVA DE TRABALHO 102 PSI, MOTOR DIESEL, POTÊNCIA 63 CV - MANUTENÇÃO. AF_06/2015</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</si>
  <si>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</si>
  <si>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</si>
  <si>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</si>
  <si>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</si>
  <si>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CAMINHÃO TOCO, PESO BRUTO TOTAL 14.300 KG, CARGA ÚTIL MÁXIMA 9590 KG, DISTÂNCIA ENTRE EIXOS 4,76 M, POTÊNCIA 185 CV (NÃO INCLUI CARROCERIA) - MATERIAIS NA OPERAÇÃO. AF_06/2014</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</si>
  <si>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</si>
  <si>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</si>
  <si>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</si>
  <si>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</si>
  <si>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</si>
  <si>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</si>
  <si>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</si>
  <si>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</si>
  <si>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</si>
  <si>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TRATOR DE PNEUS, POTÊNCIA 85 CV, TRAÇÃO 4X4, PESO COM LASTRO DE 4.675 KG - DEPRECIAÇÃO. AF_06/2014</t>
  </si>
  <si>
    <t>TRATOR DE PNEUS, POTÊNCIA 85 CV, TRAÇÃO 4X4, PESO COM LASTRO DE 4.675 KG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</si>
  <si>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</si>
  <si>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</si>
  <si>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</si>
  <si>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</si>
  <si>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</si>
  <si>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JUROS. AF_11/2014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</si>
  <si>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</si>
  <si>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</si>
  <si>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</si>
  <si>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</si>
  <si>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</si>
  <si>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</si>
  <si>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</si>
  <si>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</si>
  <si>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</si>
  <si>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</si>
  <si>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</si>
  <si>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</si>
  <si>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</si>
  <si>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</si>
  <si>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</si>
  <si>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</si>
  <si>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</si>
  <si>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</si>
  <si>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</si>
  <si>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</si>
  <si>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</si>
  <si>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</si>
  <si>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</si>
  <si>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</si>
  <si>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</si>
  <si>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</si>
  <si>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</si>
  <si>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</si>
  <si>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</si>
  <si>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</si>
  <si>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</si>
  <si>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</si>
  <si>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</si>
  <si>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</si>
  <si>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</si>
  <si>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</si>
  <si>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</si>
  <si>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</si>
  <si>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</si>
  <si>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</si>
  <si>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</si>
  <si>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CABINE SIMPLES COM MOTOR 1.6 FLEX, CÂMBIO MANUAL, POTÊNCIA 101/104 CV, 2 PORTAS - IMPOSTOS E SEGUROS. AF_11/2015</t>
  </si>
  <si>
    <t>CAMINHONETE CABINE SIMPLES COM MOTOR 1.6 FLEX, CÂMBIO MANUAL, POTÊNCIA 101/104 CV, 2 PORTAS - MATERIAIS NA OPERAÇÃO. AF_11/2015</t>
  </si>
  <si>
    <t>MARTELO PERFURADOR PNEUMÁTICO MANUAL, HASTE 25 X 75 MM, 21 KG - JUROS. AF_12/2015</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</si>
  <si>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</si>
  <si>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</si>
  <si>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</si>
  <si>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</si>
  <si>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</si>
  <si>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</si>
  <si>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</si>
  <si>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</si>
  <si>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</si>
  <si>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</si>
  <si>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</si>
  <si>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</si>
  <si>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</si>
  <si>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</si>
  <si>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</si>
  <si>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</si>
  <si>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</si>
  <si>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</si>
  <si>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</si>
  <si>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</si>
  <si>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</si>
  <si>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</si>
  <si>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</si>
  <si>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</si>
  <si>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</si>
  <si>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</si>
  <si>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</si>
  <si>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</si>
  <si>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</si>
  <si>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10 A, SEM SUPORTE E SEM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</si>
  <si>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</si>
  <si>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</si>
  <si>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</si>
  <si>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</si>
  <si>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</si>
  <si>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</si>
  <si>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CHUMBAMENTO PONTUAL DE ABERTURA EM LAJE COM PASSAGEM DE MAIS DE 1 TUBO DE  DIAMETRO EQUIVALENTE IGUAL À  50 MM. AF_05/2015</t>
  </si>
  <si>
    <t>CHUMBAMENTO PONTUAL EM PASSAGEM DE TUBO COM DIÂMETROS ENTRE 40 MM E 75 MM. AF_05/2015</t>
  </si>
  <si>
    <t>RASGO EM ALVENARIA PARA RAMAIS/ DISTRIBUIÇÃO COM DIÂMETROS MAIORES QUE 40 MM E MENORES OU IGUAIS A 75 MM. AF_05/2015</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</si>
  <si>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</si>
  <si>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</si>
  <si>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PINTURA COM TINTA TEXTURIZADA ACRÍLICA EM PAREDES EXTERNAS DE CASAS, UMA COR. AF_06/2014</t>
  </si>
  <si>
    <t>APLICAÇÃO MANUAL DE PINTURA COM TINTA TEXTURIZADA ACRÍLICA EM PAREDES EXTERNAS DE CASAS, DUAS CORES. AF_06/2014</t>
  </si>
  <si>
    <t>APLICAÇÃO MANUAL DE PINTURA COM TINTA TEXTURIZADA ACRÍLICA EM MOLDURAS DE EPS, PRÉ-FABRICADOS, OU OUTROS.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</si>
  <si>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</si>
  <si>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</si>
  <si>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ARGAMASSA PARA REVESTIMENTO DECORATIVO MONOCAMADA (MONOCAPA), MISTURA E PROJEÇÃO DE 2 M3/H DE ARGAMASSA. AF_06/2014</t>
  </si>
  <si>
    <t>ARGAMASSA INDUSTRIALIZADA PARA REVESTIMENTOS, MISTURA E PROJEÇÃO DE 2 M³/H DE ARGAMASSA. AF_06/2014</t>
  </si>
  <si>
    <t>OPERADOR DE DEMARCADORA DE FAIXAS COM ENCARGOS COMPLEMENTARES</t>
  </si>
  <si>
    <t>3.1</t>
  </si>
  <si>
    <t>3.2</t>
  </si>
  <si>
    <t>3.3</t>
  </si>
  <si>
    <t>3.4</t>
  </si>
  <si>
    <t>3.0</t>
  </si>
  <si>
    <t>2.1</t>
  </si>
  <si>
    <t>COMPOSIÇÕES CIVIL</t>
  </si>
  <si>
    <t>COMPOSIÇÃO PAISAGISMO</t>
  </si>
  <si>
    <t>AMM PAI</t>
  </si>
  <si>
    <t>AMM CIV</t>
  </si>
  <si>
    <t>COMPOSIÇÕES HIDRO</t>
  </si>
  <si>
    <t xml:space="preserve">AMM HID </t>
  </si>
  <si>
    <t>AMM ELE</t>
  </si>
  <si>
    <t>AMM SPDA</t>
  </si>
  <si>
    <t>COMPOSIÇÕES INCÊNDIO</t>
  </si>
  <si>
    <t>AMM INC</t>
  </si>
  <si>
    <t>2.0</t>
  </si>
  <si>
    <t>T O T A L   G E R A L</t>
  </si>
  <si>
    <t>30 DIAS</t>
  </si>
  <si>
    <t>%</t>
  </si>
  <si>
    <t>60 DIAS</t>
  </si>
  <si>
    <t>90 DIAS</t>
  </si>
  <si>
    <t>120 DIAS</t>
  </si>
  <si>
    <t>150 DIAS</t>
  </si>
  <si>
    <t>180 DIAS</t>
  </si>
  <si>
    <t>VALOR TOTAL</t>
  </si>
  <si>
    <t>VALOR ACUMULADO</t>
  </si>
  <si>
    <t>DISCRIMINAÇÃO</t>
  </si>
  <si>
    <t>PERCENTUAL</t>
  </si>
  <si>
    <t>( % )</t>
  </si>
  <si>
    <t>ADMINISTRAÇÃO DA OBRA</t>
  </si>
  <si>
    <t>LUCRO</t>
  </si>
  <si>
    <t>TRIBUTOS</t>
  </si>
  <si>
    <t>**ISS</t>
  </si>
  <si>
    <t>Cofins</t>
  </si>
  <si>
    <t>Pis</t>
  </si>
  <si>
    <t>Contribuição Previdenciária - Lei nº 12.546/13</t>
  </si>
  <si>
    <t>**ISS - Repassado pelo município</t>
  </si>
  <si>
    <t>Segundo o que determina a lei nº 8.666/93, admite-se fixar o percentual de BDI, dede que seguindo as técnicas da Engenharia e Custos.</t>
  </si>
  <si>
    <t xml:space="preserve">TAXA DE BDI A SER APLICADA 
SOBRE O CUSTO DIRETO </t>
  </si>
  <si>
    <t>VALOR DA OBRA</t>
  </si>
  <si>
    <t>Não incidem IRPJ e CSLL na composição de Tributos.</t>
  </si>
  <si>
    <t>CÁLCULO DO BDI</t>
  </si>
  <si>
    <t xml:space="preserve">BDI = </t>
  </si>
  <si>
    <t>( 1 + AC + S + R + G ) ( 1 + DF ) ( 1 + L )</t>
  </si>
  <si>
    <t>(1-I)</t>
  </si>
  <si>
    <t>ISS - Repassado pelo município</t>
  </si>
  <si>
    <t>% SOBRE MÃO DE OBRA</t>
  </si>
  <si>
    <r>
      <rPr>
        <b/>
        <sz val="12"/>
        <rFont val="Arial"/>
        <family val="2"/>
      </rPr>
      <t>AC -</t>
    </r>
    <r>
      <rPr>
        <sz val="12"/>
        <rFont val="Arial"/>
        <family val="2"/>
      </rPr>
      <t xml:space="preserve"> Administração Central</t>
    </r>
  </si>
  <si>
    <r>
      <rPr>
        <b/>
        <sz val="12"/>
        <rFont val="Arial"/>
        <family val="2"/>
      </rPr>
      <t>DF -</t>
    </r>
    <r>
      <rPr>
        <sz val="12"/>
        <rFont val="Arial"/>
        <family val="2"/>
      </rPr>
      <t xml:space="preserve"> Custos Financeiras</t>
    </r>
  </si>
  <si>
    <r>
      <rPr>
        <b/>
        <sz val="12"/>
        <rFont val="Arial"/>
        <family val="2"/>
      </rPr>
      <t xml:space="preserve">C - </t>
    </r>
    <r>
      <rPr>
        <sz val="12"/>
        <rFont val="Arial"/>
        <family val="2"/>
      </rPr>
      <t>Riscos</t>
    </r>
  </si>
  <si>
    <r>
      <rPr>
        <b/>
        <sz val="12"/>
        <rFont val="Arial"/>
        <family val="2"/>
      </rPr>
      <t>L -</t>
    </r>
    <r>
      <rPr>
        <sz val="12"/>
        <rFont val="Arial"/>
        <family val="2"/>
      </rPr>
      <t xml:space="preserve"> Lucro Operacional</t>
    </r>
  </si>
  <si>
    <t>**ISS -  Imposto Sobre Serviços</t>
  </si>
  <si>
    <t xml:space="preserve">C O M P O S I Ç Ã O   D E   P R E Ç O S   /   S P D A </t>
  </si>
  <si>
    <t>GRUPO GERADOR REBOCÁVEL, POTÊNCIA 66 KVA, MOTOR A DIESEL - CHP DIURNO. AF_03/2016</t>
  </si>
  <si>
    <t>GRUPO GERADOR REBOCÁVEL, POTÊNCIA 66 KVA, MOTOR A DIESEL - CHI DIURNO. AF_03/2016</t>
  </si>
  <si>
    <t>GRUPO GERADOR REBOCÁVEL, POTÊNCIA 66 KVA, MOTOR A DIESEL - MANUTENÇÃO. AF_03/2016</t>
  </si>
  <si>
    <t>(COMPOSIÇÃO REPRESENTATIVA) FABRICAÇÃO E INSTALAÇÃO DE TESOURA INTEIRA EM AÇO, PARA VÃOS DE 3 A 12 M E PARA QUALQUER TIPO DE TELHA, INCLUSO IÇAMENTO. AF_12/2015</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</si>
  <si>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</si>
  <si>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</si>
  <si>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</si>
  <si>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</si>
  <si>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</si>
  <si>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</si>
  <si>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</si>
  <si>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REATERRO MANUAL DE VALAS COM COMPACTAÇÃO MECANIZADA. AF_04/2016</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</si>
  <si>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</si>
  <si>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</si>
  <si>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</si>
  <si>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</si>
  <si>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</si>
  <si>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INSUMO</t>
  </si>
  <si>
    <t>SERVIÇO</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</si>
  <si>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</si>
  <si>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</si>
  <si>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</si>
  <si>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</si>
  <si>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</si>
  <si>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</si>
  <si>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</si>
  <si>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</si>
  <si>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</si>
  <si>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</si>
  <si>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</si>
  <si>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S E R V I Ç O S   I N I C I A I S</t>
  </si>
  <si>
    <t>ADMINISTRAÇÃO LOCAL</t>
  </si>
  <si>
    <t>EXECUÇÃO DE SARJETÃO DE CONCRETO USINADO, MOLDADA  IN LOCO  EM TRECHO RETO, 100 CM BASE X 20 CM ALTURA. AF_06/2016</t>
  </si>
  <si>
    <t>C O O R D E N A Ç Ã O   D E   P R O J E T O S</t>
  </si>
  <si>
    <t>MARTELETE OU ROMPEDOR PNEUMÁTICO MANUAL, 28 KG, COM SILENCIADOR - CHP DIURNO. AF_07/2016</t>
  </si>
  <si>
    <t>USINA DE CONCRETO FIXA, CAPACIDADE NOMINAL DE 90 A 120 M3/H, SEM SILO - CHP DIURNO. AF_07/2016</t>
  </si>
  <si>
    <t>DISTRIBUIDOR DE AGREGADOS AUTOPROPELIDO, CAP 3 M3, A DIESEL, POTÊNCIA 176CV - CHP DIURNO. AF_07/2016</t>
  </si>
  <si>
    <t>USINA DE CONCRETO FIXA, CAPACIDADE NOMINAL DE 90 A 120 M3/H, SEM SILO - CHI DIURNO. AF_07/2016</t>
  </si>
  <si>
    <t>MARTELETE OU ROMPEDOR PNEUMÁTICO MANUAL, 28 KG, COM SILENCIADOR - CHI DIURNO. AF_07/2016</t>
  </si>
  <si>
    <t>DISTRIBUIDOR DE AGREGADOS AUTOPROPELIDO, CAP 3 M3, A DIESEL, POTÊNCIA 176CV - CHI DIURNO. AF_07/2016</t>
  </si>
  <si>
    <t>USINA DE CONCRETO FIXA, CAPACIDADE NOMINAL DE 90 A 120 M3/H, SEM SILO - MATERIAIS NA OPERAÇÃO. AF_07/2016</t>
  </si>
  <si>
    <t>USINA DE CONCRETO FIXA, CAPACIDADE NOMINAL DE 90 A 120 M3/H, SEM SILO - MANUTENÇÃO.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</si>
  <si>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</si>
  <si>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</si>
  <si>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</si>
  <si>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</si>
  <si>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</si>
  <si>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DESCRIÇÃO</t>
  </si>
  <si>
    <t>COM DESONERAÇÃO</t>
  </si>
  <si>
    <t>SEM DESONERAÇÃO</t>
  </si>
  <si>
    <t>HORISTA                 %</t>
  </si>
  <si>
    <t>MENSALISTA                 %</t>
  </si>
  <si>
    <t>GRUPO A</t>
  </si>
  <si>
    <t>A1</t>
  </si>
  <si>
    <t>INSS</t>
  </si>
  <si>
    <t>A2</t>
  </si>
  <si>
    <t>SESI</t>
  </si>
  <si>
    <t>A3</t>
  </si>
  <si>
    <t>SENAI</t>
  </si>
  <si>
    <t>A4</t>
  </si>
  <si>
    <t>INCRA</t>
  </si>
  <si>
    <t>A5</t>
  </si>
  <si>
    <t>SEBRAE</t>
  </si>
  <si>
    <t>A6</t>
  </si>
  <si>
    <t>SALÁRIO EDUCAÇÃO</t>
  </si>
  <si>
    <t>A7</t>
  </si>
  <si>
    <t>SEGURO CONTRA ACIDENTES DE TRABALHO</t>
  </si>
  <si>
    <t>A8</t>
  </si>
  <si>
    <t>FGTS</t>
  </si>
  <si>
    <t>A9</t>
  </si>
  <si>
    <t>SECONCI</t>
  </si>
  <si>
    <t>A</t>
  </si>
  <si>
    <t>GRUPO B</t>
  </si>
  <si>
    <t>B1</t>
  </si>
  <si>
    <t>REPOUSO SEMANAL REMUNERADO</t>
  </si>
  <si>
    <t>NÃO INCIDE</t>
  </si>
  <si>
    <t>B2</t>
  </si>
  <si>
    <t>FERIADOS</t>
  </si>
  <si>
    <t>B3</t>
  </si>
  <si>
    <t>AUXÍLIO - ENFERMIDADE</t>
  </si>
  <si>
    <t>B4</t>
  </si>
  <si>
    <t>13º SALÁRIO</t>
  </si>
  <si>
    <t>B5</t>
  </si>
  <si>
    <t>LICENÇA PATERNIDADE</t>
  </si>
  <si>
    <t>B6</t>
  </si>
  <si>
    <t>FALTAS JUSTIFICADAS</t>
  </si>
  <si>
    <t>B7</t>
  </si>
  <si>
    <t>DIAS DE CHUVAS</t>
  </si>
  <si>
    <t>B8</t>
  </si>
  <si>
    <t>AUXÍLIO ACIDENTE DE TRABALHO</t>
  </si>
  <si>
    <t>B9</t>
  </si>
  <si>
    <t>FÉRIAS GOZADAS</t>
  </si>
  <si>
    <t>B10</t>
  </si>
  <si>
    <t>SALÁRIO MATERNIDADE</t>
  </si>
  <si>
    <t>B</t>
  </si>
  <si>
    <t>GRUPO C</t>
  </si>
  <si>
    <t>C1</t>
  </si>
  <si>
    <t>AVISO PRÉVIO INDENIZADO</t>
  </si>
  <si>
    <t>C2</t>
  </si>
  <si>
    <t>AVISO PRÉVIO TRABALHADO</t>
  </si>
  <si>
    <t>C3</t>
  </si>
  <si>
    <t>FÉRIAS INDENIZADAS</t>
  </si>
  <si>
    <t>C4</t>
  </si>
  <si>
    <t>DEPÓSITO RESCISÃO SEM JUSTA CAUSA</t>
  </si>
  <si>
    <t>C5</t>
  </si>
  <si>
    <t>INDENIZAÇÃO ADICIONAL</t>
  </si>
  <si>
    <t>C</t>
  </si>
  <si>
    <t>GRUPO D</t>
  </si>
  <si>
    <t>D1</t>
  </si>
  <si>
    <r>
      <t xml:space="preserve">REINCIDÊNCIA DE GRUPO </t>
    </r>
    <r>
      <rPr>
        <b/>
        <sz val="12"/>
        <color rgb="FF000000"/>
        <rFont val="Arial"/>
        <family val="2"/>
      </rPr>
      <t>A</t>
    </r>
    <r>
      <rPr>
        <sz val="12"/>
        <color rgb="FF000000"/>
        <rFont val="Arial"/>
        <family val="2"/>
      </rPr>
      <t xml:space="preserve"> SOBRE GRUPO </t>
    </r>
    <r>
      <rPr>
        <b/>
        <sz val="12"/>
        <color rgb="FF000000"/>
        <rFont val="Arial"/>
        <family val="2"/>
      </rPr>
      <t xml:space="preserve">B </t>
    </r>
  </si>
  <si>
    <t>D2</t>
  </si>
  <si>
    <t>REINCIDÊNCIA DE GRUPO A SOBRE AVISO PRÉVIO TRABALHADO E REINCIDÊNCIA DO FGTS SOBRE AVISO PRÉVIO INDENIZADO</t>
  </si>
  <si>
    <t>D</t>
  </si>
  <si>
    <t>AMM CIV 001</t>
  </si>
  <si>
    <t>MARTELO DEMOLIDOR PNEUMÁTICO MANUAL, 32 KG - CHP DIURNO. AF_09/2016</t>
  </si>
  <si>
    <t>MARTELO DEMOLIDOR PNEUMÁTICO MANUAL, 32 KG - CHI DIURNO. AF_09/2016</t>
  </si>
  <si>
    <t>MARTELO DEMOLIDOR PNEUMÁTICO MANUAL, 32 KG - DEPRECIAÇÃO. AF_09/2016</t>
  </si>
  <si>
    <t>MARTELO DEMOLIDOR PNEUMÁTICO MANUAL, 32 KG - JUROS. AF_09/2016</t>
  </si>
  <si>
    <t>MARTELO DEMOLIDOR PNEUMÁTICO MANUAL, 32 KG - MANUTENÇÃO. AF_09/2016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</si>
  <si>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</si>
  <si>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</si>
  <si>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</si>
  <si>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TEXTURA ACRÍLICA, APLICAÇÃO MANUAL EM PAREDE, UMA DEMÃO. AF_09/2016</t>
  </si>
  <si>
    <t>TEXTURA ACRÍLICA, APLICAÇÃO MANUAL EM TETO, UMA DEMÃO. AF_09/2016</t>
  </si>
  <si>
    <t>VALOR COTADO (R$)</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</si>
  <si>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</si>
  <si>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</si>
  <si>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</si>
  <si>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</si>
  <si>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AMM LOG</t>
  </si>
  <si>
    <t>COMPOSIÇÕES ELE (LÓGICA)</t>
  </si>
  <si>
    <t>COMP. ELE (SPDA)</t>
  </si>
  <si>
    <t>COMP. ELÉTRICO</t>
  </si>
  <si>
    <t>CURVA 180 GRAUS PARA ELETRODUTO, PVC, ROSCÁVEL, DN 20 MM (1/2"), PARA CIRCUITOS TERMINAIS, INSTALADA EM PAREDE - FORNECIMENTO E INSTALAÇÃO. AF_12/2015</t>
  </si>
  <si>
    <t>HIDRÔMETRO DN 25 (¾ ), 5,0 M³/H FORNECIMENTO E INSTALAÇÃO. AF_11/2016</t>
  </si>
  <si>
    <t>PASSANTE TIPO PEÇA EM POLIESTIRENO PARA ABERTURA PARA PASSAGEM DE MAIS DE 1 TUBO, FIXADO EM LAJE. AF_05/2015</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</si>
  <si>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</si>
  <si>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</si>
  <si>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</si>
  <si>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</si>
  <si>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</si>
  <si>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</si>
  <si>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</si>
  <si>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</si>
  <si>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</si>
  <si>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</si>
  <si>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</si>
  <si>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</si>
  <si>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</si>
  <si>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</si>
  <si>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</si>
  <si>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</si>
  <si>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A D M I N I S T R A Ç Ã O  O B R A</t>
  </si>
  <si>
    <t>CADASTRISTA DE REDES DE AGUA E ESGOTO COM ENCARGOS COMPLEMENTARES</t>
  </si>
  <si>
    <t>07.237.858/0001-13</t>
  </si>
  <si>
    <t>CONECTOR EM LATÃO TIPO MINI-GAR PARA CABOS DE 16 A 50MM²</t>
  </si>
  <si>
    <t>DIRCEU</t>
  </si>
  <si>
    <t>08.139.615/0002-96</t>
  </si>
  <si>
    <t>(65) 3046-4500</t>
  </si>
  <si>
    <t>TRATOR DE PNEUS COM POTÊNCIA DE 122 CV, TRAÇÃO 4X4, COM VASSOURA MECÂNICA ACOPLADA - CHP DIURNO.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</si>
  <si>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</si>
  <si>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</si>
  <si>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</si>
  <si>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</si>
  <si>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CHP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</si>
  <si>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</si>
  <si>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</si>
  <si>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</si>
  <si>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</si>
  <si>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</si>
  <si>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</si>
  <si>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</si>
  <si>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</si>
  <si>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</si>
  <si>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</si>
  <si>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</si>
  <si>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</si>
  <si>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</si>
  <si>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</si>
  <si>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</si>
  <si>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CHP DIURNO. AF_03/2017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</si>
  <si>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</si>
  <si>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</si>
  <si>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</si>
  <si>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</si>
  <si>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</si>
  <si>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</si>
  <si>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</si>
  <si>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</si>
  <si>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</si>
  <si>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</si>
  <si>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</si>
  <si>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</si>
  <si>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</si>
  <si>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</si>
  <si>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</si>
  <si>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AMM PAI 006</t>
  </si>
  <si>
    <t>AMM PAI 007</t>
  </si>
  <si>
    <t>AMM PAI 008</t>
  </si>
  <si>
    <t>AMM PAI 009</t>
  </si>
  <si>
    <t>CÁLCULO</t>
  </si>
  <si>
    <t>PLAYGROUND</t>
  </si>
  <si>
    <t>ACADEMIA DA 3 IDADE</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</si>
  <si>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</si>
  <si>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</si>
  <si>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</si>
  <si>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</si>
  <si>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</si>
  <si>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</si>
  <si>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</si>
  <si>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</si>
  <si>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</si>
  <si>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</si>
  <si>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</si>
  <si>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</si>
  <si>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</si>
  <si>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</si>
  <si>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</si>
  <si>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</si>
  <si>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</si>
  <si>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</si>
  <si>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</si>
  <si>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</si>
  <si>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</si>
  <si>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</si>
  <si>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</si>
  <si>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</si>
  <si>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</si>
  <si>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</si>
  <si>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</si>
  <si>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</si>
  <si>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</si>
  <si>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</si>
  <si>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</si>
  <si>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</si>
  <si>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</si>
  <si>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</si>
  <si>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</si>
  <si>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</si>
  <si>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</si>
  <si>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</si>
  <si>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</si>
  <si>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</si>
  <si>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</si>
  <si>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</si>
  <si>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</si>
  <si>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</si>
  <si>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</si>
  <si>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</si>
  <si>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</si>
  <si>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</si>
  <si>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</si>
  <si>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</si>
  <si>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</si>
  <si>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</si>
  <si>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</si>
  <si>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</si>
  <si>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</si>
  <si>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</si>
  <si>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</si>
  <si>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</si>
  <si>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</si>
  <si>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</si>
  <si>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</si>
  <si>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</si>
  <si>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</si>
  <si>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</si>
  <si>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</si>
  <si>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</si>
  <si>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</si>
  <si>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</si>
  <si>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</si>
  <si>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</si>
  <si>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</si>
  <si>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</si>
  <si>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</si>
  <si>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</si>
  <si>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</si>
  <si>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</si>
  <si>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</si>
  <si>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</si>
  <si>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</si>
  <si>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</si>
  <si>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</si>
  <si>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</si>
  <si>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</si>
  <si>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</si>
  <si>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</si>
  <si>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</si>
  <si>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</si>
  <si>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</si>
  <si>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</si>
  <si>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</si>
  <si>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</si>
  <si>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</si>
  <si>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</si>
  <si>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</si>
  <si>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ESTEIRAS, POTÊNCIA 170 HP, PESO OPERACIONAL 19 T, CAÇAMBA 5,2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</si>
  <si>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</si>
  <si>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</si>
  <si>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</si>
  <si>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</si>
  <si>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</si>
  <si>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</si>
  <si>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</si>
  <si>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</si>
  <si>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</si>
  <si>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</si>
  <si>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</si>
  <si>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</si>
  <si>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</si>
  <si>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</si>
  <si>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</si>
  <si>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</si>
  <si>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</si>
  <si>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</si>
  <si>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</si>
  <si>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</si>
  <si>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</si>
  <si>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</si>
  <si>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</si>
  <si>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</si>
  <si>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</si>
  <si>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</si>
  <si>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2 M3/H, ALCANCE ATÉ 50 M, MOTOR ELÉTRICO POTÊNCIA 7,5 HP - CHP DIURNO. AF_06/2014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</si>
  <si>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</si>
  <si>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</si>
  <si>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</si>
  <si>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TRATOR DE ESTEIRAS, POTÊNCIA 100 HP, PESO OPERACIONAL 9,4 T, COM LÂMINA 2,19 M3 -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</si>
  <si>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</si>
  <si>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</si>
  <si>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</si>
  <si>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</si>
  <si>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</si>
  <si>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</si>
  <si>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VIBRADOR DE IMERSÃO, DIÂMETRO DE PONTEIRA 45MM, MOTOR ELÉTRICO TRIFÁSICO POTÊNCIA DE 2 CV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</si>
  <si>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</si>
  <si>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</si>
  <si>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</si>
  <si>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</si>
  <si>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</si>
  <si>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</si>
  <si>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</si>
  <si>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REBOCAVEL, VAZÃO 250 PCM, PRESSAO DE TRABALHO 102 PSI, MOTOR A DIESEL POTÊNCIA 81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</si>
  <si>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</si>
  <si>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</si>
  <si>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</si>
  <si>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</si>
  <si>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</si>
  <si>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</si>
  <si>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</si>
  <si>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</si>
  <si>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</si>
  <si>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</si>
  <si>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</si>
  <si>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CAMINHONETE COM MOTOR A DIESEL, POTÊNCIA 180 CV, CABINE DUPLA, 4X4 -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</si>
  <si>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</si>
  <si>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</si>
  <si>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</si>
  <si>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</si>
  <si>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</si>
  <si>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</si>
  <si>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</si>
  <si>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</si>
  <si>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</si>
  <si>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</si>
  <si>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</si>
  <si>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</si>
  <si>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</si>
  <si>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</si>
  <si>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</si>
  <si>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</si>
  <si>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</si>
  <si>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</si>
  <si>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</si>
  <si>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</si>
  <si>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</si>
  <si>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</si>
  <si>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</si>
  <si>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</si>
  <si>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</si>
  <si>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</si>
  <si>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</si>
  <si>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</si>
  <si>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</si>
  <si>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</si>
  <si>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</si>
  <si>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</si>
  <si>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</si>
  <si>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</si>
  <si>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</si>
  <si>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ESTEIRAS, POTÊNCIA 170 HP, PESO OPERACIONAL 19 T, CAÇAMBA 5,2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</si>
  <si>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</si>
  <si>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</si>
  <si>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</si>
  <si>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</si>
  <si>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</si>
  <si>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</si>
  <si>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</si>
  <si>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</si>
  <si>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</si>
  <si>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</si>
  <si>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</si>
  <si>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</si>
  <si>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</si>
  <si>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</si>
  <si>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</si>
  <si>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</si>
  <si>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</si>
  <si>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</si>
  <si>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</si>
  <si>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</si>
  <si>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</si>
  <si>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</si>
  <si>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</si>
  <si>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</si>
  <si>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</si>
  <si>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</si>
  <si>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</si>
  <si>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</si>
  <si>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</si>
  <si>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TRATOR DE ESTEIRAS, POTÊNCIA 100 HP, PESO OPERACIONAL 9,4 T, COM LÂMINA 2,19 M3 - CHI DIURNO. AF_06/2014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</si>
  <si>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</si>
  <si>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</si>
  <si>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</si>
  <si>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</si>
  <si>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</si>
  <si>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</si>
  <si>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VIBRADOR DE IMERSÃO, DIÂMETRO DE PONTEIRA 45MM, MOTOR ELÉTRICO TRIFÁSICO POTÊNCIA DE 2 CV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</si>
  <si>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</si>
  <si>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</si>
  <si>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</si>
  <si>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</si>
  <si>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</si>
  <si>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</si>
  <si>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</si>
  <si>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REBOCAVEL, VAZÃO 250 PCM, PRESSAO DE TRABALHO 102 PSI, MOTOR A DIESEL POTÊNCIA 81 CV - CHI DIURNO. AF_06/2015</t>
  </si>
  <si>
    <t>COMPRESSOR DE AR REBOCAVEL, VAZÃO 400 PCM, PRESSAO DE TRABALHO 102 PSI, MOTOR A DIESEL POTÊNCIA 110 CV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</si>
  <si>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</si>
  <si>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</si>
  <si>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</si>
  <si>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</si>
  <si>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</si>
  <si>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</si>
  <si>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</si>
  <si>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</si>
  <si>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</si>
  <si>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</si>
  <si>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</si>
  <si>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</si>
  <si>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</si>
  <si>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</si>
  <si>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</si>
  <si>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</si>
  <si>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</si>
  <si>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</si>
  <si>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</si>
  <si>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</si>
  <si>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</si>
  <si>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</si>
  <si>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</si>
  <si>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</si>
  <si>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</si>
  <si>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</si>
  <si>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TALHA MANUAL DE CORRENTE, CAPACIDADE DE 2 TON. COM ELEVAÇÃO DE 3 M - CHI DIURNO. AF_07/2016</t>
  </si>
  <si>
    <t>GRUA ASCENCIONAL, LANÇA DE 42 M, CAPACIDADE DE 1,5 T A 30 M, ALTURA ATÉ 39 M - CHI DIURNO. AF_08/2016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</si>
  <si>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</si>
  <si>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</si>
  <si>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</si>
  <si>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</si>
  <si>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</si>
  <si>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</si>
  <si>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</si>
  <si>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</si>
  <si>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</si>
  <si>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MÁQUINA DEMARCADORA DE FAIXA DE TRÁFEGO À FRIO, AUTOPROPELIDA, POTÊNCIA 38 HP - CHI DIURNO. AF_07/2016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</si>
  <si>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</si>
  <si>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</si>
  <si>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</si>
  <si>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</si>
  <si>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</si>
  <si>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</si>
  <si>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</si>
  <si>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</si>
  <si>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</si>
  <si>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</si>
  <si>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</si>
  <si>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</si>
  <si>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</si>
  <si>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</si>
  <si>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</si>
  <si>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</si>
  <si>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</si>
  <si>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</si>
  <si>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</si>
  <si>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</si>
  <si>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</si>
  <si>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</si>
  <si>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</si>
  <si>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</si>
  <si>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</si>
  <si>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</si>
  <si>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</si>
  <si>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</si>
  <si>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</si>
  <si>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</si>
  <si>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</si>
  <si>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</si>
  <si>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</si>
  <si>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</si>
  <si>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</si>
  <si>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</si>
  <si>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</si>
  <si>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</si>
  <si>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</si>
  <si>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</si>
  <si>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</si>
  <si>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</si>
  <si>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</si>
  <si>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</si>
  <si>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</si>
  <si>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</si>
  <si>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</si>
  <si>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</si>
  <si>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</si>
  <si>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</si>
  <si>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</si>
  <si>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</si>
  <si>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</si>
  <si>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</si>
  <si>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</si>
  <si>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</si>
  <si>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</si>
  <si>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</si>
  <si>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</si>
  <si>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</si>
  <si>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</si>
  <si>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</si>
  <si>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</si>
  <si>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</si>
  <si>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</si>
  <si>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</si>
  <si>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</si>
  <si>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</si>
  <si>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</si>
  <si>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</si>
  <si>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</si>
  <si>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</si>
  <si>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</si>
  <si>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</si>
  <si>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</si>
  <si>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</si>
  <si>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</si>
  <si>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</si>
  <si>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</si>
  <si>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</si>
  <si>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</si>
  <si>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</si>
  <si>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</si>
  <si>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</si>
  <si>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</si>
  <si>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</si>
  <si>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</si>
  <si>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</si>
  <si>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</si>
  <si>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</si>
  <si>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</si>
  <si>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</si>
  <si>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</si>
  <si>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</si>
  <si>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</si>
  <si>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</si>
  <si>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</si>
  <si>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</si>
  <si>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</si>
  <si>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</si>
  <si>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</si>
  <si>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</si>
  <si>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</si>
  <si>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</si>
  <si>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</si>
  <si>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</si>
  <si>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</si>
  <si>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</si>
  <si>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</si>
  <si>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</si>
  <si>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</si>
  <si>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</si>
  <si>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</si>
  <si>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</si>
  <si>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</si>
  <si>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</si>
  <si>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</si>
  <si>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</si>
  <si>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</si>
  <si>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</si>
  <si>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</si>
  <si>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</si>
  <si>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</si>
  <si>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</si>
  <si>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</si>
  <si>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</si>
  <si>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</si>
  <si>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</si>
  <si>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</si>
  <si>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</si>
  <si>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</si>
  <si>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</si>
  <si>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</si>
  <si>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</si>
  <si>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</si>
  <si>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</si>
  <si>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</si>
  <si>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</si>
  <si>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</si>
  <si>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</si>
  <si>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</si>
  <si>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</si>
  <si>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</si>
  <si>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</si>
  <si>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</si>
  <si>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</si>
  <si>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</si>
  <si>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</si>
  <si>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</si>
  <si>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</si>
  <si>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</si>
  <si>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</si>
  <si>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</si>
  <si>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</si>
  <si>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</si>
  <si>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</si>
  <si>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</si>
  <si>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</si>
  <si>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</si>
  <si>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</si>
  <si>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</si>
  <si>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</si>
  <si>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</si>
  <si>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</si>
  <si>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</si>
  <si>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</si>
  <si>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</si>
  <si>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</si>
  <si>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</si>
  <si>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</si>
  <si>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</si>
  <si>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</si>
  <si>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</si>
  <si>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</si>
  <si>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</si>
  <si>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</si>
  <si>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</si>
  <si>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</si>
  <si>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</si>
  <si>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</si>
  <si>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</si>
  <si>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</si>
  <si>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</si>
  <si>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</si>
  <si>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</si>
  <si>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</si>
  <si>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</si>
  <si>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</si>
  <si>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</si>
  <si>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</si>
  <si>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</si>
  <si>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</si>
  <si>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</si>
  <si>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</si>
  <si>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</si>
  <si>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</si>
  <si>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</si>
  <si>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</si>
  <si>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</si>
  <si>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</si>
  <si>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</si>
  <si>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</si>
  <si>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</si>
  <si>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</si>
  <si>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</si>
  <si>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</si>
  <si>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</si>
  <si>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</si>
  <si>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</si>
  <si>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</si>
  <si>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</si>
  <si>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</si>
  <si>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</si>
  <si>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</si>
  <si>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</si>
  <si>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</si>
  <si>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</si>
  <si>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</si>
  <si>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</si>
  <si>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</si>
  <si>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</si>
  <si>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</si>
  <si>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</si>
  <si>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</si>
  <si>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</si>
  <si>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</si>
  <si>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</si>
  <si>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</si>
  <si>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</si>
  <si>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</si>
  <si>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</si>
  <si>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</si>
  <si>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</si>
  <si>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</si>
  <si>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</si>
  <si>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</si>
  <si>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</si>
  <si>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</si>
  <si>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</si>
  <si>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</si>
  <si>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</si>
  <si>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</si>
  <si>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</si>
  <si>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</si>
  <si>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</si>
  <si>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</si>
  <si>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</si>
  <si>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</si>
  <si>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</si>
  <si>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</si>
  <si>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</si>
  <si>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</si>
  <si>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</si>
  <si>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</si>
  <si>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</si>
  <si>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</si>
  <si>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</si>
  <si>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</si>
  <si>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</si>
  <si>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</si>
  <si>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</si>
  <si>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</si>
  <si>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</si>
  <si>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</si>
  <si>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</si>
  <si>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</si>
  <si>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</si>
  <si>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</si>
  <si>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</si>
  <si>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</si>
  <si>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</si>
  <si>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</si>
  <si>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</si>
  <si>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</si>
  <si>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</si>
  <si>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</si>
  <si>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</si>
  <si>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</si>
  <si>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</si>
  <si>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</si>
  <si>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</si>
  <si>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</si>
  <si>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</si>
  <si>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</si>
  <si>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</si>
  <si>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</si>
  <si>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</si>
  <si>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</si>
  <si>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</si>
  <si>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</si>
  <si>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</si>
  <si>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</si>
  <si>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</si>
  <si>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</si>
  <si>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</si>
  <si>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</si>
  <si>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</si>
  <si>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</si>
  <si>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</si>
  <si>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</si>
  <si>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</si>
  <si>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</si>
  <si>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</si>
  <si>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</si>
  <si>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</si>
  <si>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</si>
  <si>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</si>
  <si>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</si>
  <si>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</si>
  <si>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</si>
  <si>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</si>
  <si>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</si>
  <si>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</si>
  <si>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</si>
  <si>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</si>
  <si>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</si>
  <si>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</si>
  <si>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</si>
  <si>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</si>
  <si>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</si>
  <si>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</si>
  <si>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</si>
  <si>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</si>
  <si>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</si>
  <si>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</si>
  <si>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</si>
  <si>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</si>
  <si>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</si>
  <si>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</si>
  <si>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</si>
  <si>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</si>
  <si>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</si>
  <si>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</si>
  <si>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</si>
  <si>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</si>
  <si>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</si>
  <si>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</si>
  <si>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</si>
  <si>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</si>
  <si>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</si>
  <si>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</si>
  <si>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</si>
  <si>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</si>
  <si>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</si>
  <si>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</si>
  <si>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</si>
  <si>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</si>
  <si>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</si>
  <si>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</si>
  <si>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</si>
  <si>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</si>
  <si>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</si>
  <si>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</si>
  <si>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</si>
  <si>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</si>
  <si>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</si>
  <si>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</si>
  <si>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</si>
  <si>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</si>
  <si>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</si>
  <si>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</si>
  <si>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</si>
  <si>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</si>
  <si>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</si>
  <si>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</si>
  <si>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</si>
  <si>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</si>
  <si>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MATERIAIS NA OPERAÇÃO. AF_08/2016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</si>
  <si>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</si>
  <si>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</si>
  <si>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</si>
  <si>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</si>
  <si>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</si>
  <si>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</si>
  <si>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</si>
  <si>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</si>
  <si>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</si>
  <si>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</si>
  <si>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</si>
  <si>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</si>
  <si>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</si>
  <si>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</si>
  <si>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</si>
  <si>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</si>
  <si>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</si>
  <si>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</si>
  <si>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</si>
  <si>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</si>
  <si>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</si>
  <si>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</si>
  <si>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</si>
  <si>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</si>
  <si>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</si>
  <si>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</si>
  <si>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</si>
  <si>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</si>
  <si>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</si>
  <si>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</si>
  <si>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</si>
  <si>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</si>
  <si>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</si>
  <si>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</si>
  <si>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</si>
  <si>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</si>
  <si>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</si>
  <si>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</si>
  <si>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</si>
  <si>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</si>
  <si>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</si>
  <si>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</si>
  <si>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</si>
  <si>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</si>
  <si>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</si>
  <si>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</si>
  <si>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</si>
  <si>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</si>
  <si>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</si>
  <si>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</si>
  <si>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</si>
  <si>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</si>
  <si>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</si>
  <si>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</si>
  <si>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</si>
  <si>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</si>
  <si>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</si>
  <si>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</si>
  <si>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</si>
  <si>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</si>
  <si>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</si>
  <si>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</si>
  <si>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</si>
  <si>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</si>
  <si>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</si>
  <si>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</si>
  <si>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</si>
  <si>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</si>
  <si>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</si>
  <si>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</si>
  <si>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</si>
  <si>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</si>
  <si>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</si>
  <si>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</si>
  <si>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</si>
  <si>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</si>
  <si>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</si>
  <si>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</si>
  <si>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</si>
  <si>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</si>
  <si>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</si>
  <si>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</si>
  <si>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</si>
  <si>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</si>
  <si>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</si>
  <si>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</si>
  <si>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</si>
  <si>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</si>
  <si>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</si>
  <si>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</si>
  <si>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</si>
  <si>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</si>
  <si>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</si>
  <si>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</si>
  <si>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</si>
  <si>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</si>
  <si>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</si>
  <si>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</si>
  <si>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</si>
  <si>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</si>
  <si>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</si>
  <si>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</si>
  <si>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</si>
  <si>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</si>
  <si>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</si>
  <si>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</si>
  <si>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</si>
  <si>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</si>
  <si>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</si>
  <si>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</si>
  <si>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</si>
  <si>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</si>
  <si>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</si>
  <si>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</si>
  <si>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</si>
  <si>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</si>
  <si>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</si>
  <si>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</si>
  <si>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</si>
  <si>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</si>
  <si>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</si>
  <si>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</si>
  <si>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</si>
  <si>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</si>
  <si>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</si>
  <si>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</si>
  <si>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MONTAGEM E DESMONTAGEM DE FÔRMA DE VIGA, ESCORAMENTO METÁLICO, PÉ-DIREITO DUPLO, EM CHAPA DE MADEIRA RESINADA, 6 UTILIZAÇÕES. AF_12/2015</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</si>
  <si>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</si>
  <si>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</si>
  <si>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</si>
  <si>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</si>
  <si>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</si>
  <si>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</si>
  <si>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</si>
  <si>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</si>
  <si>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</si>
  <si>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</si>
  <si>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</si>
  <si>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</si>
  <si>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</si>
  <si>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</si>
  <si>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</si>
  <si>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</si>
  <si>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</si>
  <si>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</si>
  <si>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</si>
  <si>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</si>
  <si>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</si>
  <si>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</si>
  <si>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</si>
  <si>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</si>
  <si>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</si>
  <si>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</si>
  <si>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</si>
  <si>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</si>
  <si>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</si>
  <si>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</si>
  <si>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</si>
  <si>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</si>
  <si>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</si>
  <si>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</si>
  <si>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</si>
  <si>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</si>
  <si>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</si>
  <si>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TERMINAL OU CONECTOR DE PRESSAO - PARA CABO 10MM2 - FORNECIMENTO E INSTALACAO</t>
  </si>
  <si>
    <t>TERMINAL OU CONECTOR DE PRESSAO - PARA CABO 35MM2 - FORNECIMENTO E INSTALACAO</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</si>
  <si>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</si>
  <si>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</si>
  <si>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</si>
  <si>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</si>
  <si>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</si>
  <si>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</si>
  <si>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</si>
  <si>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</si>
  <si>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</si>
  <si>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</si>
  <si>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</si>
  <si>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</si>
  <si>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</si>
  <si>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</si>
  <si>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</si>
  <si>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</si>
  <si>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</si>
  <si>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</si>
  <si>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</si>
  <si>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</si>
  <si>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</si>
  <si>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</si>
  <si>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</si>
  <si>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</si>
  <si>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</si>
  <si>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</si>
  <si>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</si>
  <si>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</si>
  <si>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</si>
  <si>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</si>
  <si>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</si>
  <si>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</si>
  <si>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</si>
  <si>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</si>
  <si>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</si>
  <si>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</si>
  <si>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</si>
  <si>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</si>
  <si>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</si>
  <si>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</si>
  <si>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</si>
  <si>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</si>
  <si>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</si>
  <si>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</si>
  <si>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</si>
  <si>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</si>
  <si>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</si>
  <si>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</si>
  <si>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</si>
  <si>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</si>
  <si>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</si>
  <si>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</si>
  <si>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</si>
  <si>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</si>
  <si>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</si>
  <si>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</si>
  <si>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</si>
  <si>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</si>
  <si>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</si>
  <si>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</si>
  <si>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</si>
  <si>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</si>
  <si>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</si>
  <si>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</si>
  <si>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</si>
  <si>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</si>
  <si>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</si>
  <si>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</si>
  <si>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</si>
  <si>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</si>
  <si>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</si>
  <si>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</si>
  <si>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</si>
  <si>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</si>
  <si>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</si>
  <si>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</si>
  <si>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</si>
  <si>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</si>
  <si>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</si>
  <si>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</si>
  <si>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</si>
  <si>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</si>
  <si>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</si>
  <si>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</si>
  <si>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</si>
  <si>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</si>
  <si>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</si>
  <si>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</si>
  <si>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</si>
  <si>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</si>
  <si>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</si>
  <si>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</si>
  <si>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</si>
  <si>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</si>
  <si>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</si>
  <si>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</si>
  <si>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</si>
  <si>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</si>
  <si>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</si>
  <si>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</si>
  <si>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</si>
  <si>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</si>
  <si>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</si>
  <si>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</si>
  <si>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</si>
  <si>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</si>
  <si>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</si>
  <si>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</si>
  <si>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</si>
  <si>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</si>
  <si>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</si>
  <si>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</si>
  <si>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</si>
  <si>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</si>
  <si>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</si>
  <si>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</si>
  <si>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</si>
  <si>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</si>
  <si>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</si>
  <si>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</si>
  <si>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</si>
  <si>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</si>
  <si>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</si>
  <si>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</si>
  <si>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</si>
  <si>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</si>
  <si>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</si>
  <si>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</si>
  <si>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</si>
  <si>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</si>
  <si>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</si>
  <si>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</si>
  <si>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</si>
  <si>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</si>
  <si>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</si>
  <si>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</si>
  <si>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</si>
  <si>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LUVA DE CORRER, PVC, SOLDÁVEL, DN 25MM, INSTALADO EM RAMAL OU SUB-RAMAL DE ÁGUA - FORNECIMENTO E INSTALAÇÃO. AF_12/2014</t>
  </si>
  <si>
    <t>ADAPTADOR CURTO COM BOLSA E ROSCA PARA REGISTRO, PVC, SOLDÁVEL, DN 75MM X 2.1/2, INSTALADO EM PRUMADA DE ÁGUA - FORNECIMENTO E INSTALAÇÃO. AF_12/2014</t>
  </si>
  <si>
    <t>LUVA DE CORRER, CPVC, SOLDÁVEL, DN 22MM, INSTALADO EM RAMAL DE DISTRIBUIÇÃO DE ÁGUA   FORNECIMENTO E INSTALAÇÃO. AF_12/2014</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</si>
  <si>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</si>
  <si>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</si>
  <si>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</si>
  <si>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</si>
  <si>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</si>
  <si>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</si>
  <si>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</si>
  <si>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</si>
  <si>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</si>
  <si>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</si>
  <si>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</si>
  <si>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</si>
  <si>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</si>
  <si>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</si>
  <si>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</si>
  <si>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</si>
  <si>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</si>
  <si>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</si>
  <si>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</si>
  <si>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</si>
  <si>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</si>
  <si>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</si>
  <si>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</si>
  <si>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</si>
  <si>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</si>
  <si>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</si>
  <si>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</si>
  <si>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</si>
  <si>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</si>
  <si>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</si>
  <si>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</si>
  <si>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</si>
  <si>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</si>
  <si>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</si>
  <si>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</si>
  <si>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</si>
  <si>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</si>
  <si>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</si>
  <si>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</si>
  <si>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</si>
  <si>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</si>
  <si>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</si>
  <si>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</si>
  <si>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</si>
  <si>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</si>
  <si>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</si>
  <si>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</si>
  <si>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</si>
  <si>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</si>
  <si>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</si>
  <si>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</si>
  <si>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</si>
  <si>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</si>
  <si>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</si>
  <si>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</si>
  <si>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</si>
  <si>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</si>
  <si>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</si>
  <si>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</si>
  <si>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</si>
  <si>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</si>
  <si>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</si>
  <si>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</si>
  <si>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</si>
  <si>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</si>
  <si>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</si>
  <si>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</si>
  <si>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</si>
  <si>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</si>
  <si>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</si>
  <si>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</si>
  <si>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</si>
  <si>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</si>
  <si>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</si>
  <si>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</si>
  <si>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</si>
  <si>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</si>
  <si>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</si>
  <si>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</si>
  <si>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</si>
  <si>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</si>
  <si>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</si>
  <si>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</si>
  <si>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</si>
  <si>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</si>
  <si>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</si>
  <si>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</si>
  <si>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</si>
  <si>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</si>
  <si>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</si>
  <si>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</si>
  <si>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</si>
  <si>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</si>
  <si>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</si>
  <si>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</si>
  <si>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</si>
  <si>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</si>
  <si>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</si>
  <si>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</si>
  <si>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VASO SANITARIO SIFONADO CONVENCIONAL COM LOUÇA BRANCA, INCLUSO CONJUNTO DE LIGAÇÃO PARA BACIA SANITÁRIA AJUSTÁVEL - FORNECIMENTO E INSTALAÇÃO. AF_10/2016</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</si>
  <si>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</si>
  <si>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</si>
  <si>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</si>
  <si>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</si>
  <si>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</si>
  <si>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</si>
  <si>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</si>
  <si>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</si>
  <si>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</si>
  <si>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</si>
  <si>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</si>
  <si>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</si>
  <si>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</si>
  <si>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</si>
  <si>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</si>
  <si>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</si>
  <si>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</si>
  <si>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</si>
  <si>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</si>
  <si>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</si>
  <si>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</si>
  <si>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</si>
  <si>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</si>
  <si>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</si>
  <si>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</si>
  <si>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</si>
  <si>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</si>
  <si>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</si>
  <si>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</si>
  <si>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</si>
  <si>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</si>
  <si>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</si>
  <si>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</si>
  <si>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</si>
  <si>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</si>
  <si>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</si>
  <si>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</si>
  <si>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</si>
  <si>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</si>
  <si>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</si>
  <si>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</si>
  <si>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</si>
  <si>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</si>
  <si>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</si>
  <si>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</si>
  <si>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</si>
  <si>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</si>
  <si>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</si>
  <si>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</si>
  <si>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</si>
  <si>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</si>
  <si>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</si>
  <si>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</si>
  <si>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</si>
  <si>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</si>
  <si>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</si>
  <si>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</si>
  <si>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</si>
  <si>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</si>
  <si>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</si>
  <si>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</si>
  <si>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</si>
  <si>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</si>
  <si>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</si>
  <si>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</si>
  <si>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</si>
  <si>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</si>
  <si>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</si>
  <si>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</si>
  <si>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</si>
  <si>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</si>
  <si>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</si>
  <si>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</si>
  <si>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</si>
  <si>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</si>
  <si>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</si>
  <si>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</si>
  <si>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</si>
  <si>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</si>
  <si>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</si>
  <si>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UMIDIFICAÇÃO DE MATERIAL PARA VALAS COM CAMINHÃO PIPA 10000L. AF_11/2016</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</si>
  <si>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</si>
  <si>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</si>
  <si>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</si>
  <si>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</si>
  <si>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</si>
  <si>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</si>
  <si>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</si>
  <si>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</si>
  <si>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</si>
  <si>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</si>
  <si>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</si>
  <si>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</si>
  <si>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</si>
  <si>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</si>
  <si>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</si>
  <si>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</si>
  <si>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</si>
  <si>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</si>
  <si>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</si>
  <si>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</si>
  <si>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</si>
  <si>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</si>
  <si>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</si>
  <si>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</si>
  <si>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</si>
  <si>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</si>
  <si>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</si>
  <si>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</si>
  <si>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</si>
  <si>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</si>
  <si>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</si>
  <si>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</si>
  <si>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</si>
  <si>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</si>
  <si>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</si>
  <si>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</si>
  <si>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</si>
  <si>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</si>
  <si>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</si>
  <si>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</si>
  <si>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</si>
  <si>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</si>
  <si>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</si>
  <si>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</si>
  <si>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</si>
  <si>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LÁTEX ACRÍLICA EM TETO, DUAS DEMÃOS. AF_06/2014</t>
  </si>
  <si>
    <t>APLICAÇÃO E LIXAMENTO DE MASSA LÁTEX EM PAREDES, DUAS DEMÃOS. AF_06/2014</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</si>
  <si>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</si>
  <si>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</si>
  <si>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</si>
  <si>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</si>
  <si>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</si>
  <si>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</si>
  <si>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</si>
  <si>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</si>
  <si>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</si>
  <si>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</si>
  <si>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</si>
  <si>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</si>
  <si>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</si>
  <si>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</si>
  <si>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</si>
  <si>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</si>
  <si>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</si>
  <si>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</si>
  <si>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</si>
  <si>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</si>
  <si>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</si>
  <si>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</si>
  <si>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</si>
  <si>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</si>
  <si>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</si>
  <si>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</si>
  <si>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</si>
  <si>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</si>
  <si>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</si>
  <si>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</si>
  <si>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</si>
  <si>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</si>
  <si>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</si>
  <si>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</si>
  <si>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</si>
  <si>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</si>
  <si>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</si>
  <si>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</si>
  <si>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</si>
  <si>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</si>
  <si>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</si>
  <si>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</si>
  <si>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</si>
  <si>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</si>
  <si>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</si>
  <si>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</si>
  <si>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</si>
  <si>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</si>
  <si>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</si>
  <si>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</si>
  <si>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</si>
  <si>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</si>
  <si>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</si>
  <si>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</si>
  <si>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</si>
  <si>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</si>
  <si>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</si>
  <si>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MANUAL, APLICADA MANUALMENTE EM PANOS DE FACHADA COM PRESENÇA DE VÃOS, ESPESSURA MAIOR OU IGUAL A 50 MM.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</si>
  <si>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</si>
  <si>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</si>
  <si>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</si>
  <si>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</si>
  <si>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</si>
  <si>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</si>
  <si>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</si>
  <si>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</si>
  <si>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</si>
  <si>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</si>
  <si>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</si>
  <si>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</si>
  <si>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</si>
  <si>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</si>
  <si>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</si>
  <si>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</si>
  <si>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</si>
  <si>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</si>
  <si>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</si>
  <si>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</si>
  <si>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</si>
  <si>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</si>
  <si>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</si>
  <si>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</si>
  <si>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</si>
  <si>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</si>
  <si>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</si>
  <si>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</si>
  <si>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</si>
  <si>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</si>
  <si>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</si>
  <si>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</si>
  <si>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</si>
  <si>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ARGAMASSA TRAÇO 1:4 (CIMENTO E AREIA MÉDIA), PREPARO MECÂNICO COM BETONEIRA 400 L. AF_08/2014</t>
  </si>
  <si>
    <t>SERVIÇOS TÉCNICOS ESPECIALIZADOS PARA ACOMPANHAMENTO DE EXECUÇÃO DE FUNDAÇÕES PROFUNDAS E ESTRUTURAS DE CONTENÇÃO</t>
  </si>
  <si>
    <t>C O M P O S I Ç Ã O   D E   P R E Ç O S  /  E S T R U T U R A L</t>
  </si>
  <si>
    <t>AMM EST 001</t>
  </si>
  <si>
    <t>SITE: www.amm.org.br   -   e-mail: centraldeprojetosamm@gmail.com
 AV. RUBENS DE MENDONÇA Nº 3.920 - CEP: 78,000-070 - CUIABÁ - MT  
FONE: (65) 2123-1200  -  FAX: 2123-1251</t>
  </si>
  <si>
    <t>PERFURATRIZ ROTATIVA SOBRE ESTEIRA, TORQUE MAXIMO 2500 KGM, POTENCIA 110 HP, MOTOR DIESEL - MATERIAIS NA OPERAÇÃO. AF_05/2017</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</si>
  <si>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</si>
  <si>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</si>
  <si>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</si>
  <si>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</si>
  <si>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</si>
  <si>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</si>
  <si>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</si>
  <si>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</si>
  <si>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</si>
  <si>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</si>
  <si>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</si>
  <si>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</si>
  <si>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</si>
  <si>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</si>
  <si>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</si>
  <si>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</si>
  <si>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</si>
  <si>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</si>
  <si>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</si>
  <si>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</si>
  <si>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</si>
  <si>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</si>
  <si>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</si>
  <si>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</si>
  <si>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</si>
  <si>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</si>
  <si>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</si>
  <si>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</si>
  <si>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</si>
  <si>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</si>
  <si>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</si>
  <si>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</si>
  <si>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</si>
  <si>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</si>
  <si>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</si>
  <si>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</si>
  <si>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</si>
  <si>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</si>
  <si>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</si>
  <si>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</si>
  <si>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</si>
  <si>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</si>
  <si>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</si>
  <si>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</si>
  <si>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</si>
  <si>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</si>
  <si>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</si>
  <si>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</si>
  <si>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</si>
  <si>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</si>
  <si>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</si>
  <si>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</si>
  <si>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</si>
  <si>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</si>
  <si>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</si>
  <si>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</si>
  <si>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</si>
  <si>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</si>
  <si>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</si>
  <si>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</si>
  <si>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</si>
  <si>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</si>
  <si>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</si>
  <si>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</si>
  <si>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</si>
  <si>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</si>
  <si>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</si>
  <si>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</si>
  <si>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</si>
  <si>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</si>
  <si>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</si>
  <si>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</si>
  <si>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</si>
  <si>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</si>
  <si>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</si>
  <si>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</si>
  <si>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</si>
  <si>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</si>
  <si>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</si>
  <si>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</si>
  <si>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</si>
  <si>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</si>
  <si>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</si>
  <si>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</si>
  <si>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</si>
  <si>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</si>
  <si>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</si>
  <si>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</si>
  <si>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</si>
  <si>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</si>
  <si>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</si>
  <si>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</si>
  <si>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</si>
  <si>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</si>
  <si>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</si>
  <si>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</si>
  <si>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</si>
  <si>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</si>
  <si>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</si>
  <si>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</si>
  <si>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</si>
  <si>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</si>
  <si>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</si>
  <si>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</si>
  <si>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</si>
  <si>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</si>
  <si>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</si>
  <si>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</si>
  <si>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</si>
  <si>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</si>
  <si>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</si>
  <si>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 xml:space="preserve">H     </t>
  </si>
  <si>
    <t xml:space="preserve">UN    </t>
  </si>
  <si>
    <t xml:space="preserve">M3    </t>
  </si>
  <si>
    <t xml:space="preserve">M2    </t>
  </si>
  <si>
    <t xml:space="preserve">M     </t>
  </si>
  <si>
    <t xml:space="preserve">KG    </t>
  </si>
  <si>
    <t xml:space="preserve">L     </t>
  </si>
  <si>
    <t xml:space="preserve">MES   </t>
  </si>
  <si>
    <t xml:space="preserve">PAR   </t>
  </si>
  <si>
    <t xml:space="preserve">JG    </t>
  </si>
  <si>
    <t xml:space="preserve">MIL   </t>
  </si>
  <si>
    <t xml:space="preserve">T     </t>
  </si>
  <si>
    <t xml:space="preserve">CJ    </t>
  </si>
  <si>
    <t xml:space="preserve">100M  </t>
  </si>
  <si>
    <t xml:space="preserve">CENTO </t>
  </si>
  <si>
    <t xml:space="preserve">310ML </t>
  </si>
  <si>
    <t>AMM EST 002</t>
  </si>
  <si>
    <t>BETONEIRA CAPACIDADE NOMINAL DE 400 L, CAPACIDADE DE MISTURA 280 L, MOTOR ELÉTRICO TRIFÁSICO POTÊNCIA DE 2 CV, SEM CARREGADOR - CHP DIURNO. AF_10/2014</t>
  </si>
  <si>
    <t>ROLO COMPACTADOR DE PNEUS, ESTATICO, PRESSAO VARIAVEL, POTENCIA 110 HP, PESO SEM/COM LASTRO 10,8/27 T, LARGURA DE ROLAGEM 2,30 M - CHP DIURNO. AF_06/2017</t>
  </si>
  <si>
    <t>BETONEIRA CAPACIDADE NOMINAL DE 400 L, CAPACIDADE DE MISTURA 280 L, MOTOR ELÉTRICO TRIFÁSICO POTÊNCIA DE 2 CV, SEM CARREGADOR - CHI DIURNO. AF_10/2014</t>
  </si>
  <si>
    <t>ROLO COMPACTADOR DE PNEUS, ESTATICO, PRESSAO VARIAVEL, POTENCIA 110 HP, PESO SEM/COM LASTRO 10,8/27 T, LARGURA DE ROLAGEM 2,30 M - CHI DIURNO. AF_06/2017</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</si>
  <si>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</si>
  <si>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</si>
  <si>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</si>
  <si>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</si>
  <si>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</si>
  <si>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</si>
  <si>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</si>
  <si>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</si>
  <si>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</si>
  <si>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</si>
  <si>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</si>
  <si>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PAREDE COM PLACAS DE GESSO ACARTONADO (DRYWALL), PARA USO INTERNO COM DUAS FACES DUPLAS E ESTRUTURA METÁLICA COM GUIAS DUPLAS, SEM VÃOS. AF_06/2017</t>
  </si>
  <si>
    <t>INSTALAÇÃO DE REFORÇO METÁLICO EM PAREDE DRYWALL. AF_06/2017</t>
  </si>
  <si>
    <t>INSTALAÇÃO DE REFORÇO DE MADEIRA EM PAREDE DRYWALL. AF_06/2017</t>
  </si>
  <si>
    <t>FORRO EM MADEIRA PINUS, PARA AMBIENTES RESIDENCIAIS, INCLUSIVE ESTRUTURA DE FIXAÇÃO. AF_05/2017</t>
  </si>
  <si>
    <t>FORRO EM MADEIRA PINUS, PARA AMBIENTES COMERCIAIS, INCLUSIVE ESTRUTURA DE FIXAÇÃO. AF_05/2017</t>
  </si>
  <si>
    <t>ACABAMENTOS PARA FORRO (RODA-FORRO EM MADEIRA PINUS). AF_05/2017</t>
  </si>
  <si>
    <t>ACABAMENTOS PARA FORRO (MOLDURA DE GESSO). AF_05/2017</t>
  </si>
  <si>
    <t>ACABAMENTOS PARA FORRO (RODA-FORRO EM PERFIL METÁLICO E PLÁSTICO). AF_05/2017</t>
  </si>
  <si>
    <t>AMM CIV 002</t>
  </si>
  <si>
    <t>AMM CIV 003</t>
  </si>
  <si>
    <t>AMM CIV 004</t>
  </si>
  <si>
    <t>AMM CIV 005</t>
  </si>
  <si>
    <t>AMM CIV 006</t>
  </si>
  <si>
    <t>AMM CIV 007</t>
  </si>
  <si>
    <t>AMM CIV 008</t>
  </si>
  <si>
    <t>AMM CIV 009</t>
  </si>
  <si>
    <t>AMM CIV 010</t>
  </si>
  <si>
    <t>AMM CIV 011</t>
  </si>
  <si>
    <t>AMM CIV 012</t>
  </si>
  <si>
    <t>AMM CIV 013</t>
  </si>
  <si>
    <t>AMM CIV 014</t>
  </si>
  <si>
    <t>AMM CIV 015</t>
  </si>
  <si>
    <t>AMM CIV 016</t>
  </si>
  <si>
    <t>AMM CIV 017</t>
  </si>
  <si>
    <t>AMM CIV 018</t>
  </si>
  <si>
    <t>AMM CIV 019</t>
  </si>
  <si>
    <t>AMM CIV 020</t>
  </si>
  <si>
    <t>AMM CIV 021</t>
  </si>
  <si>
    <t>AMM CIV 022</t>
  </si>
  <si>
    <t>AMM CIV 023</t>
  </si>
  <si>
    <t>AMM CIV 024</t>
  </si>
  <si>
    <t>AMM CIV 025</t>
  </si>
  <si>
    <t>AMM CIV 026</t>
  </si>
  <si>
    <t>AMM CIV 027</t>
  </si>
  <si>
    <t>AMM CIV 028</t>
  </si>
  <si>
    <t>AMM CIV 029</t>
  </si>
  <si>
    <t>AMM CIV 030</t>
  </si>
  <si>
    <t>AMM CIV 031</t>
  </si>
  <si>
    <t>AMM CIV 032</t>
  </si>
  <si>
    <t>AMM CIV 033</t>
  </si>
  <si>
    <t>AMM CIV 034</t>
  </si>
  <si>
    <t>AMM CIV 035</t>
  </si>
  <si>
    <t>AMM CIV 036</t>
  </si>
  <si>
    <t>AMM CIV 037</t>
  </si>
  <si>
    <t>AMM CIV 038</t>
  </si>
  <si>
    <t>AMM CIV 039</t>
  </si>
  <si>
    <t>AMM CIV 040</t>
  </si>
  <si>
    <t>AMM CIV 041</t>
  </si>
  <si>
    <t>AMM CIV 042</t>
  </si>
  <si>
    <t>AMM CIV 043</t>
  </si>
  <si>
    <t>AMM CIV 044</t>
  </si>
  <si>
    <t>AMM CIV 045</t>
  </si>
  <si>
    <t>AMM CIV 046</t>
  </si>
  <si>
    <t>AMM CIV 047</t>
  </si>
  <si>
    <t>AMM CIV 048</t>
  </si>
  <si>
    <t>AMM CIV 049</t>
  </si>
  <si>
    <t>AMM CIV 050</t>
  </si>
  <si>
    <t>AMM CIV 051</t>
  </si>
  <si>
    <t>AMM CIV 052</t>
  </si>
  <si>
    <t>AMM CIV 053</t>
  </si>
  <si>
    <t>AMM CIV 054</t>
  </si>
  <si>
    <t>AMM CIV 055</t>
  </si>
  <si>
    <t>AMM CIV 056</t>
  </si>
  <si>
    <t>AMM CIV 057</t>
  </si>
  <si>
    <t>AMM CIV 058</t>
  </si>
  <si>
    <t>AMM CIV 059</t>
  </si>
  <si>
    <t>AMM CIV 060</t>
  </si>
  <si>
    <t>AMM CIV 061</t>
  </si>
  <si>
    <t>AMM CIV 062</t>
  </si>
  <si>
    <t>AMM CIV 063</t>
  </si>
  <si>
    <t>AMM CIV 064</t>
  </si>
  <si>
    <t>AMM CIV 065</t>
  </si>
  <si>
    <t>AMM CIV 066</t>
  </si>
  <si>
    <t>AMM CIV 067</t>
  </si>
  <si>
    <t>AMM CIV 068</t>
  </si>
  <si>
    <t>AMM CIV 069</t>
  </si>
  <si>
    <t>AMM CIV 070</t>
  </si>
  <si>
    <t>AMM CIV 071</t>
  </si>
  <si>
    <t>AMM CIV 072</t>
  </si>
  <si>
    <t>AMM CIV 073</t>
  </si>
  <si>
    <t>FABRICAÇÃO DE FÔRMA PARA PILARES CIRCULARES, EM CHAPA DE MADEIRA COMPENSADA RESINADA.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</si>
  <si>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</si>
  <si>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</si>
  <si>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</si>
  <si>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</si>
  <si>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</si>
  <si>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</si>
  <si>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</si>
  <si>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</si>
  <si>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</si>
  <si>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</si>
  <si>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</si>
  <si>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</si>
  <si>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</si>
  <si>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</si>
  <si>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</si>
  <si>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</si>
  <si>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</si>
  <si>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</si>
  <si>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</si>
  <si>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</si>
  <si>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</si>
  <si>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</si>
  <si>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</si>
  <si>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</si>
  <si>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</si>
  <si>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</si>
  <si>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</si>
  <si>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</si>
  <si>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</si>
  <si>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</si>
  <si>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</si>
  <si>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</si>
  <si>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FABRICAÇÃO, MONTAGEM E DESMONTAGEM DE FÔRMA PARA BLOCO DE COROAMENTO, EM MADEIRA SERRADA, E=25 MM, 1 UTILIZAÇÃO. AF_06/2017</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</si>
  <si>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</si>
  <si>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</si>
  <si>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</si>
  <si>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</si>
  <si>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</si>
  <si>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</si>
  <si>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</si>
  <si>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</si>
  <si>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</si>
  <si>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</si>
  <si>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AMM CIV 074</t>
  </si>
  <si>
    <t>AMM CIV 075</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</si>
  <si>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</si>
  <si>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</si>
  <si>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</si>
  <si>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</si>
  <si>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</si>
  <si>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</si>
  <si>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</si>
  <si>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</si>
  <si>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</si>
  <si>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</si>
  <si>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</si>
  <si>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</si>
  <si>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</si>
  <si>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</si>
  <si>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</si>
  <si>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</si>
  <si>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</si>
  <si>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</si>
  <si>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</si>
  <si>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</si>
  <si>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</si>
  <si>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</si>
  <si>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</si>
  <si>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</si>
  <si>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</si>
  <si>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</si>
  <si>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</si>
  <si>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</si>
  <si>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</si>
  <si>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</si>
  <si>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</si>
  <si>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</si>
  <si>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</si>
  <si>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</si>
  <si>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</si>
  <si>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</si>
  <si>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</si>
  <si>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</si>
  <si>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</si>
  <si>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</si>
  <si>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</si>
  <si>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</si>
  <si>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</si>
  <si>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</si>
  <si>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</si>
  <si>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</si>
  <si>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</si>
  <si>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</si>
  <si>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</si>
  <si>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</si>
  <si>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</si>
  <si>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</si>
  <si>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(65) 3025-4300</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</si>
  <si>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</si>
  <si>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</si>
  <si>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</si>
  <si>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</si>
  <si>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</si>
  <si>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</si>
  <si>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</si>
  <si>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</si>
  <si>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</si>
  <si>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</si>
  <si>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</si>
  <si>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</si>
  <si>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MEMÓRIA DE CÁLCULO - ADMINISTRAÇÃO LOCAL</t>
  </si>
  <si>
    <t>AMM ELE 001</t>
  </si>
  <si>
    <t>AMM ELE 002</t>
  </si>
  <si>
    <t>AMM ELE 003</t>
  </si>
  <si>
    <t>AMM ELE 004</t>
  </si>
  <si>
    <t>AMM ELE 005</t>
  </si>
  <si>
    <t>AMM ELE 006</t>
  </si>
  <si>
    <t>AMM ELE 007</t>
  </si>
  <si>
    <t>AMM ELE 008</t>
  </si>
  <si>
    <t>AMM ELE 009</t>
  </si>
  <si>
    <t>AMM ELE 010</t>
  </si>
  <si>
    <t>AMM ELE 011</t>
  </si>
  <si>
    <t>AMM ELE 012</t>
  </si>
  <si>
    <t>AMM ELE 013</t>
  </si>
  <si>
    <t>AMM ELE 014</t>
  </si>
  <si>
    <t>AMM ELE 015</t>
  </si>
  <si>
    <t>AMM ELE 016</t>
  </si>
  <si>
    <t>AMM ELE 017</t>
  </si>
  <si>
    <t>AMM ELE 018</t>
  </si>
  <si>
    <t>AMM ELE 019</t>
  </si>
  <si>
    <t>AMM ELE 020</t>
  </si>
  <si>
    <t>AMM ELE 021</t>
  </si>
  <si>
    <t>AMM ELE 022</t>
  </si>
  <si>
    <t>AMM ELE 023</t>
  </si>
  <si>
    <t>AMM ELE 024</t>
  </si>
  <si>
    <t>AMM ELE 025</t>
  </si>
  <si>
    <t>AMM ELE 026</t>
  </si>
  <si>
    <t>AMM ELE 027</t>
  </si>
  <si>
    <t>AMM ELE 028</t>
  </si>
  <si>
    <t>AMM ELE 029</t>
  </si>
  <si>
    <t>AMM ELE 030</t>
  </si>
  <si>
    <t>AMM ELE 031</t>
  </si>
  <si>
    <t>AMM ELE 032</t>
  </si>
  <si>
    <t>AMM ELE 033</t>
  </si>
  <si>
    <t>AMM ELE 034</t>
  </si>
  <si>
    <t>AMM ELE 035</t>
  </si>
  <si>
    <t>AMM ELE 036</t>
  </si>
  <si>
    <t>AMM ELE 037</t>
  </si>
  <si>
    <t>AMM ELE 038</t>
  </si>
  <si>
    <t>AMM ELE 039</t>
  </si>
  <si>
    <t>AMM ELE 040</t>
  </si>
  <si>
    <t>AMM ELE 041</t>
  </si>
  <si>
    <t>AMM ELE 042</t>
  </si>
  <si>
    <t>AMM ELE 043</t>
  </si>
  <si>
    <t>AMM ELE 044</t>
  </si>
  <si>
    <t>AMM ELE 045</t>
  </si>
  <si>
    <t>AMM ELE 046</t>
  </si>
  <si>
    <t>AMM ELE 047</t>
  </si>
  <si>
    <t>AMM ELE 048</t>
  </si>
  <si>
    <t>AMM ELE 049</t>
  </si>
  <si>
    <t>AMM ELE 050</t>
  </si>
  <si>
    <t>AMM ELE 051</t>
  </si>
  <si>
    <t>AMM ELE 052</t>
  </si>
  <si>
    <t>AMM ELE 053</t>
  </si>
  <si>
    <t>AMM ELE 054</t>
  </si>
  <si>
    <t>AMM ELE 055</t>
  </si>
  <si>
    <t>AMM ELE 056</t>
  </si>
  <si>
    <t>AMM ELE 057</t>
  </si>
  <si>
    <t>AMM ELE 058</t>
  </si>
  <si>
    <t>AMM ELE 059</t>
  </si>
  <si>
    <t>AMM ELE 060</t>
  </si>
  <si>
    <t>AMM ELE 061</t>
  </si>
  <si>
    <t>AMM ELE 062</t>
  </si>
  <si>
    <t>AMM ELE 063</t>
  </si>
  <si>
    <t>AMM ELE 064</t>
  </si>
  <si>
    <t>AMM ELE 065</t>
  </si>
  <si>
    <t>AMM ELE 066</t>
  </si>
  <si>
    <t>AMM SPDA 001</t>
  </si>
  <si>
    <t>AMM SPDA 002</t>
  </si>
  <si>
    <t>AMM SPDA 003</t>
  </si>
  <si>
    <t>AMM SPDA 004</t>
  </si>
  <si>
    <t>AMM SPDA 005</t>
  </si>
  <si>
    <t>AMM SPDA 006</t>
  </si>
  <si>
    <t>AMM SPDA 007</t>
  </si>
  <si>
    <t>AMM SPDA 008</t>
  </si>
  <si>
    <t>AMM SPDA 009</t>
  </si>
  <si>
    <t>AMM SPDA 010</t>
  </si>
  <si>
    <t>AMM SPDA 011</t>
  </si>
  <si>
    <t>AMM SPDA 012</t>
  </si>
  <si>
    <t>AMM SPDA 013</t>
  </si>
  <si>
    <t>AMM SPDA 014</t>
  </si>
  <si>
    <t>AMM SPDA 015</t>
  </si>
  <si>
    <t>AMM SPDA 016</t>
  </si>
  <si>
    <t>AMM SPDA 017</t>
  </si>
  <si>
    <t>AMM SPDA 018</t>
  </si>
  <si>
    <t>AMM SPDA 019</t>
  </si>
  <si>
    <t>AMM SPDA 020</t>
  </si>
  <si>
    <t>AMM SPDA 021</t>
  </si>
  <si>
    <t>AMM SPDA 022</t>
  </si>
  <si>
    <t>AMM SPDA 023</t>
  </si>
  <si>
    <t>AMM SPDA 024</t>
  </si>
  <si>
    <t>AMM SPDA 025</t>
  </si>
  <si>
    <t>AMM SPDA 026</t>
  </si>
  <si>
    <t>AMM SPDA 027</t>
  </si>
  <si>
    <t>AMM SPDA 028</t>
  </si>
  <si>
    <t>AMM SPDA 029</t>
  </si>
  <si>
    <t>AMM SPDA 030</t>
  </si>
  <si>
    <t>AMM SPDA 031</t>
  </si>
  <si>
    <t>AMM SPDA 032</t>
  </si>
  <si>
    <t>AMM SPDA 033</t>
  </si>
  <si>
    <t>AMM LOG 001</t>
  </si>
  <si>
    <t>AMM LOG 002</t>
  </si>
  <si>
    <t>AMM LOG 003</t>
  </si>
  <si>
    <t>AMM LOG 004</t>
  </si>
  <si>
    <t>AMM LOG 005</t>
  </si>
  <si>
    <t>AMM LOG 007</t>
  </si>
  <si>
    <t>AMM LOG 008</t>
  </si>
  <si>
    <t>AMM LOG 009</t>
  </si>
  <si>
    <t>AMM LOG 010</t>
  </si>
  <si>
    <t>AMM LOG 011</t>
  </si>
  <si>
    <t>AMM LOG 012</t>
  </si>
  <si>
    <t>AMM LOG 013</t>
  </si>
  <si>
    <t>AMM LOG 014</t>
  </si>
  <si>
    <t>AMM LOG 015</t>
  </si>
  <si>
    <t>AMM LOG 016</t>
  </si>
  <si>
    <t>AMM LOG 017</t>
  </si>
  <si>
    <t>AMM LOG 018</t>
  </si>
  <si>
    <t>AMM LOG 019</t>
  </si>
  <si>
    <t>AMM LOG 020</t>
  </si>
  <si>
    <t>AMM LOG 021</t>
  </si>
  <si>
    <t>AMM LOG 022</t>
  </si>
  <si>
    <t>AMM LOG 023</t>
  </si>
  <si>
    <t>AMM LOG 024</t>
  </si>
  <si>
    <t>AMM LOG 025</t>
  </si>
  <si>
    <t>AMM LOG 026</t>
  </si>
  <si>
    <t>AMM LOG 027</t>
  </si>
  <si>
    <t>AMM LOG 028</t>
  </si>
  <si>
    <t>AMM LOG 029</t>
  </si>
  <si>
    <t>AMM LOG 030</t>
  </si>
  <si>
    <t>AMM LOG 031</t>
  </si>
  <si>
    <t>AMM LOG 032</t>
  </si>
  <si>
    <t>AMM LOG 033</t>
  </si>
  <si>
    <t>AMM LOG 034</t>
  </si>
  <si>
    <t>AMM LOG 035</t>
  </si>
  <si>
    <t>AMM LOG 036</t>
  </si>
  <si>
    <t>AMM LOG 037</t>
  </si>
  <si>
    <t>AMM LOG 038</t>
  </si>
  <si>
    <t>AMM LOG 039</t>
  </si>
  <si>
    <t>AMM LOG 040</t>
  </si>
  <si>
    <t>AMM LOG 041</t>
  </si>
  <si>
    <t>AMM LOG 042</t>
  </si>
  <si>
    <t>AMM LOG 043</t>
  </si>
  <si>
    <t>AMM LOG 044</t>
  </si>
  <si>
    <t>AMM LOG 045</t>
  </si>
  <si>
    <t>AMM LOG 046</t>
  </si>
  <si>
    <t>AMM LOG 047</t>
  </si>
  <si>
    <t>AMM LOG 048</t>
  </si>
  <si>
    <t>AMM LOG 049</t>
  </si>
  <si>
    <t>AMM LOG 050</t>
  </si>
  <si>
    <t>AMM LOG 051</t>
  </si>
  <si>
    <t>AMM LOG 052</t>
  </si>
  <si>
    <t>AMM LOG 053</t>
  </si>
  <si>
    <t>AMM LOG 054</t>
  </si>
  <si>
    <t>AMM LOG 055</t>
  </si>
  <si>
    <t>AMM LOG 056</t>
  </si>
  <si>
    <t>AMM LOG 057</t>
  </si>
  <si>
    <t>AMM LOG 058</t>
  </si>
  <si>
    <t>AMM LOG 059</t>
  </si>
  <si>
    <t>AMM INC 001</t>
  </si>
  <si>
    <t>AMM INC 002</t>
  </si>
  <si>
    <t>AMM INC 003</t>
  </si>
  <si>
    <t>AMM INC 004</t>
  </si>
  <si>
    <t>AMM INC 005</t>
  </si>
  <si>
    <t>AMM INC 006</t>
  </si>
  <si>
    <t>AMM INC 007</t>
  </si>
  <si>
    <t>AMM INC 008</t>
  </si>
  <si>
    <t>AMM INC 009</t>
  </si>
  <si>
    <t>AMM INC 010</t>
  </si>
  <si>
    <t>AMM INC 011</t>
  </si>
  <si>
    <t>AMM INC 012</t>
  </si>
  <si>
    <t>AMM INC 013</t>
  </si>
  <si>
    <t>AMM INC 014</t>
  </si>
  <si>
    <t>AMM INC 015</t>
  </si>
  <si>
    <t>AMM INC 016</t>
  </si>
  <si>
    <t>AMM INC 017</t>
  </si>
  <si>
    <t>AMM INC 018</t>
  </si>
  <si>
    <t>AMM INC 019</t>
  </si>
  <si>
    <t>AMM INC 020</t>
  </si>
  <si>
    <t>AMM INC 021</t>
  </si>
  <si>
    <t>AMM INC 022</t>
  </si>
  <si>
    <t>AMM INC 023</t>
  </si>
  <si>
    <t>AMM INC 024</t>
  </si>
  <si>
    <t>AMM INC 025</t>
  </si>
  <si>
    <t>SAPATA OU BLOCO</t>
  </si>
  <si>
    <t>AMM HID 013</t>
  </si>
  <si>
    <t>FORNECIMENTO E INSTALAÇÃO DE PLACA DE SINALIZAÇÃO DE ENERGIA (20X20CM)</t>
  </si>
  <si>
    <t>SINAPI/SINFRA ou Cot.
De Mercado</t>
  </si>
  <si>
    <t>AMM IP 001</t>
  </si>
  <si>
    <t>AMM IP 002</t>
  </si>
  <si>
    <t>AMM IP 003</t>
  </si>
  <si>
    <t>AMM IP 004</t>
  </si>
  <si>
    <t>AMM IP 005</t>
  </si>
  <si>
    <t>AMM IP 006</t>
  </si>
  <si>
    <t>AMM IP 007</t>
  </si>
  <si>
    <t>AMM IP 008</t>
  </si>
  <si>
    <t>AMM IP 009</t>
  </si>
  <si>
    <t>AMM IP 010</t>
  </si>
  <si>
    <t>AMM IP 011</t>
  </si>
  <si>
    <t>AMM IP 012</t>
  </si>
  <si>
    <t>AMM IP 013</t>
  </si>
  <si>
    <t>AMM IP 014</t>
  </si>
  <si>
    <t>AMM IP 015</t>
  </si>
  <si>
    <t>AMM IP 016</t>
  </si>
  <si>
    <t>AMM IP 017</t>
  </si>
  <si>
    <t>AMM IP 018</t>
  </si>
  <si>
    <t>AMM IP 019</t>
  </si>
  <si>
    <t>AMM IP 020</t>
  </si>
  <si>
    <t>AMM IP 021</t>
  </si>
  <si>
    <t>AMM IP 022</t>
  </si>
  <si>
    <t>AMM IP 023</t>
  </si>
  <si>
    <t>AMM IP 024</t>
  </si>
  <si>
    <t>AMM IP 025</t>
  </si>
  <si>
    <t>AMM IP</t>
  </si>
  <si>
    <t>AMM IP 026</t>
  </si>
  <si>
    <t>AMM IP 027</t>
  </si>
  <si>
    <t>AMM IP 028</t>
  </si>
  <si>
    <t>AMM IP 029</t>
  </si>
  <si>
    <t>AMM IP 030</t>
  </si>
  <si>
    <t>AMM IP 031</t>
  </si>
  <si>
    <t>AMM IP 032</t>
  </si>
  <si>
    <t>AMM IP 033</t>
  </si>
  <si>
    <t>AMM SPDA 034</t>
  </si>
  <si>
    <t>COMPOSIÇÕES ELE (LUMINAÇÃO PÚBLICA)</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</si>
  <si>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</si>
  <si>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</si>
  <si>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</si>
  <si>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</si>
  <si>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</si>
  <si>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</si>
  <si>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</si>
  <si>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</si>
  <si>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</si>
  <si>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</si>
  <si>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</si>
  <si>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</si>
  <si>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</si>
  <si>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</si>
  <si>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</si>
  <si>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</si>
  <si>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</si>
  <si>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</si>
  <si>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</si>
  <si>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</si>
  <si>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</si>
  <si>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</si>
  <si>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</si>
  <si>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</si>
  <si>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</si>
  <si>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</si>
  <si>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</si>
  <si>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</si>
  <si>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</si>
  <si>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</si>
  <si>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</si>
  <si>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</si>
  <si>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</si>
  <si>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</si>
  <si>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</si>
  <si>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</si>
  <si>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</si>
  <si>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</si>
  <si>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</si>
  <si>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</si>
  <si>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</si>
  <si>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</si>
  <si>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</si>
  <si>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</si>
  <si>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</si>
  <si>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</si>
  <si>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</si>
  <si>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</si>
  <si>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</si>
  <si>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</si>
  <si>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</si>
  <si>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</si>
  <si>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</si>
  <si>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</si>
  <si>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</si>
  <si>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</si>
  <si>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</si>
  <si>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</si>
  <si>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</si>
  <si>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</si>
  <si>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</si>
  <si>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</si>
  <si>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</si>
  <si>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</si>
  <si>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</si>
  <si>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</si>
  <si>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</si>
  <si>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</si>
  <si>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</si>
  <si>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</si>
  <si>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</si>
  <si>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REATERRO MANUAL APILOADO COM SOQUETE. AF_10/2017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</si>
  <si>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</si>
  <si>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</si>
  <si>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</si>
  <si>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</si>
  <si>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</si>
  <si>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</si>
  <si>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</si>
  <si>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</si>
  <si>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</si>
  <si>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</si>
  <si>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</si>
  <si>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</si>
  <si>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</si>
  <si>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</si>
  <si>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</si>
  <si>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</si>
  <si>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</si>
  <si>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</si>
  <si>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AMM LOG 060</t>
  </si>
  <si>
    <t>AMM LOG 061</t>
  </si>
  <si>
    <t>AMM LOG 062</t>
  </si>
  <si>
    <t>ATUALIZADO</t>
  </si>
  <si>
    <t>(65) 3051-7844</t>
  </si>
  <si>
    <t>ASSOCIAÇÃO MATOGROSSENSE DOS MUNICÍPIOS</t>
  </si>
  <si>
    <t>FIXAÇÃO (ENCUNHAMENTO) DE ALVENARIA DE VEDAÇÃO COM ESPUMA DE POLIURETANO EXPANSIVA. AF_03/2016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</si>
  <si>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</si>
  <si>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</si>
  <si>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</si>
  <si>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</si>
  <si>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</si>
  <si>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</si>
  <si>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</si>
  <si>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</si>
  <si>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</si>
  <si>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</si>
  <si>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</si>
  <si>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</si>
  <si>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</si>
  <si>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</si>
  <si>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</si>
  <si>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</si>
  <si>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KIT CAVALETE PARA MEDIÇÃO DE ÁGUA - ENTRADA INDIVIDUALIZADA, EM PVC DN 25 (¾), PARA 1 MEDIDOR  FORNECIMENTO E INSTALAÇÃO (EXCLUSIVE HIDRÔMETRO). AF_11/2016</t>
  </si>
  <si>
    <t>MASSA ÚNICA, PARA RECEBIMENTO DE PINTURA OU CERÂMICA, ARGAMASSA INDUSTRIALIZADA, PREPARO MECÂNICO, APLICADO COM EQUIPAMENTO DE MISTURA E PROJEÇÃO DE 1,5 M3/H EM FACES INTERNAS DE PAREDES, ESPESSURA DE 5MM, SEM EXECUÇÃO DE TALISCAS. AF_06/2014</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</si>
  <si>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</si>
  <si>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</si>
  <si>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</si>
  <si>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</si>
  <si>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</si>
  <si>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</si>
  <si>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</si>
  <si>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</si>
  <si>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</si>
  <si>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</si>
  <si>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</si>
  <si>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</si>
  <si>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</si>
  <si>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</si>
  <si>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</si>
  <si>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</si>
  <si>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</si>
  <si>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</si>
  <si>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</si>
  <si>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</si>
  <si>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</si>
  <si>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</si>
  <si>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</si>
  <si>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</si>
  <si>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</si>
  <si>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</si>
  <si>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</si>
  <si>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</si>
  <si>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</si>
  <si>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</si>
  <si>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</si>
  <si>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</si>
  <si>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</si>
  <si>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</si>
  <si>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</si>
  <si>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</si>
  <si>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</si>
  <si>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</si>
  <si>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</si>
  <si>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</si>
  <si>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</si>
  <si>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</si>
  <si>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</si>
  <si>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</si>
  <si>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AMM CIV 076</t>
  </si>
  <si>
    <t>AMM CIV 077</t>
  </si>
  <si>
    <t>AMM CIV 078</t>
  </si>
  <si>
    <t>AMM CIV 079</t>
  </si>
  <si>
    <t>AMM CIV 080</t>
  </si>
  <si>
    <t>AMM CIV 081</t>
  </si>
  <si>
    <t>AMM CIV 082</t>
  </si>
  <si>
    <t>AMM CIV 083</t>
  </si>
  <si>
    <t>AMM HID 012</t>
  </si>
  <si>
    <t>MONTAGEM E DESMONTAGEM DE FÔRMA DE PILARES CIRCULARES, COM ÁREA MÉDIA DAS SEÇÕES MAIOR QUE 0,28 M², PÉ-DIREITO DUPLO, EM MADEIRA, 2 UTILIZAÇÕES.  AF_06/2017</t>
  </si>
  <si>
    <t>ELETROATIVA</t>
  </si>
  <si>
    <t>AMM INC 026</t>
  </si>
  <si>
    <t>AMM INC 027</t>
  </si>
  <si>
    <t>AMM INC 028</t>
  </si>
  <si>
    <t>AMM HID 002</t>
  </si>
  <si>
    <t>AMM HID 003</t>
  </si>
  <si>
    <t>AMM HID 004</t>
  </si>
  <si>
    <t>AMM HID 005</t>
  </si>
  <si>
    <t>AMM HID 006</t>
  </si>
  <si>
    <t>AMM HID 007</t>
  </si>
  <si>
    <t>AMM HID 008</t>
  </si>
  <si>
    <t>AMM HID 009</t>
  </si>
  <si>
    <t>AMM HID 010</t>
  </si>
  <si>
    <t>AMM HID 011</t>
  </si>
  <si>
    <t>AMM HID 014</t>
  </si>
  <si>
    <t>AMM HID 015</t>
  </si>
  <si>
    <t>AMM HID 016</t>
  </si>
  <si>
    <t>AMM HID 017</t>
  </si>
  <si>
    <t>AMM HID 018</t>
  </si>
  <si>
    <t>AMM HID 019</t>
  </si>
  <si>
    <t>AMM HID 020</t>
  </si>
  <si>
    <t>AMM HID 021</t>
  </si>
  <si>
    <t>AMM HID 022</t>
  </si>
  <si>
    <t>AMM HID 023</t>
  </si>
  <si>
    <t>AMM HID 024</t>
  </si>
  <si>
    <t>AMM HID 025</t>
  </si>
  <si>
    <t>AMM HID 026</t>
  </si>
  <si>
    <t>AMM HID 027</t>
  </si>
  <si>
    <t>AMM HID 028</t>
  </si>
  <si>
    <t>AMM HID 029</t>
  </si>
  <si>
    <t>AMM HID 030</t>
  </si>
  <si>
    <t>AMM HID 031</t>
  </si>
  <si>
    <t>AMM HID 032</t>
  </si>
  <si>
    <t>AMM HID 033</t>
  </si>
  <si>
    <t>AMM HID 034</t>
  </si>
  <si>
    <t>AMM HID 035</t>
  </si>
  <si>
    <t>AMM HID 036</t>
  </si>
  <si>
    <t>AMM HID 037</t>
  </si>
  <si>
    <t>AMM HID 038</t>
  </si>
  <si>
    <t>AMM HID 039</t>
  </si>
  <si>
    <t>AMM HID 040</t>
  </si>
  <si>
    <t>AMM HID 041</t>
  </si>
  <si>
    <t>AMM HID 042</t>
  </si>
  <si>
    <t>AMM HID 043</t>
  </si>
  <si>
    <t>AMM HID 044</t>
  </si>
  <si>
    <t>AMM HID 045</t>
  </si>
  <si>
    <t>AMM HID 046</t>
  </si>
  <si>
    <t>AMM HID 047</t>
  </si>
  <si>
    <t>AMM HID 048</t>
  </si>
  <si>
    <t>AMM HID 049</t>
  </si>
  <si>
    <t>AMM HID 050</t>
  </si>
  <si>
    <t>AMM HID 051</t>
  </si>
  <si>
    <t>AMM HID 052</t>
  </si>
  <si>
    <t>AMM HID 053</t>
  </si>
  <si>
    <t>AMM HID 054</t>
  </si>
  <si>
    <t>AMM HID 055</t>
  </si>
  <si>
    <t>AMM HID 056</t>
  </si>
  <si>
    <t>AMM HID 057</t>
  </si>
  <si>
    <t>AMM HID 058</t>
  </si>
  <si>
    <t>AMM HID 059</t>
  </si>
  <si>
    <t>AMM HID 060</t>
  </si>
  <si>
    <t>AMM HID 061</t>
  </si>
  <si>
    <t>AMM HID 062</t>
  </si>
  <si>
    <t>AMM HID 063</t>
  </si>
  <si>
    <t>AMM HID 064</t>
  </si>
  <si>
    <t>AMM HID 065</t>
  </si>
  <si>
    <t>AMM HID 066</t>
  </si>
  <si>
    <t>AMM HID 067</t>
  </si>
  <si>
    <t>AMM HID 068</t>
  </si>
  <si>
    <t>AMM HID 069</t>
  </si>
  <si>
    <t>DESONERADO</t>
  </si>
  <si>
    <t>NÃO DESONERADO</t>
  </si>
  <si>
    <t>MÊS</t>
  </si>
  <si>
    <t>MÍNIMO</t>
  </si>
  <si>
    <t>MÉDIO</t>
  </si>
  <si>
    <t>PINTURA ANTICORROSIVA DE DUTO METÁLICO. AF_04/2018</t>
  </si>
  <si>
    <t>AMM HID 070</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</si>
  <si>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</si>
  <si>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</si>
  <si>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</si>
  <si>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</si>
  <si>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</si>
  <si>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</si>
  <si>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</si>
  <si>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</si>
  <si>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</si>
  <si>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</si>
  <si>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</si>
  <si>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</si>
  <si>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</si>
  <si>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</si>
  <si>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</si>
  <si>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</si>
  <si>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</si>
  <si>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</si>
  <si>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</si>
  <si>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</si>
  <si>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</si>
  <si>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</si>
  <si>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</si>
  <si>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</si>
  <si>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</si>
  <si>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</si>
  <si>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</si>
  <si>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</si>
  <si>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</si>
  <si>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</si>
  <si>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</si>
  <si>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</si>
  <si>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</si>
  <si>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</si>
  <si>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</si>
  <si>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</si>
  <si>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</si>
  <si>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</si>
  <si>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</si>
  <si>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</si>
  <si>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</si>
  <si>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</si>
  <si>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</si>
  <si>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</si>
  <si>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</si>
  <si>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</si>
  <si>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</si>
  <si>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</si>
  <si>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</si>
  <si>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</si>
  <si>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</si>
  <si>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</si>
  <si>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</si>
  <si>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</si>
  <si>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</si>
  <si>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</si>
  <si>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</si>
  <si>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</si>
  <si>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(65) 3388-0800</t>
  </si>
  <si>
    <t>MURETA MEDIÇÃO ALVEN. 1 1/2 V.(35CM) REBOC.C/PINTURA ACRÍL. E LAJE CONC. 20MPA MALHA 8.0MM CADA 10CM REVEST.C/ARGAMASSA 1:3 C/ IMPERMEABILIZANTE</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</si>
  <si>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</si>
  <si>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</si>
  <si>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</si>
  <si>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</si>
  <si>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</si>
  <si>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</si>
  <si>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</si>
  <si>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6 M E MENOR OU IGUAL A 10 M FORNECIMENTO E EXECUÇÃO. AF_12/2015</t>
  </si>
  <si>
    <t>TRATAMENTO DE JUNTA DE DILATAÇÃO COM MANTA ASFÁLTICA ADERIDA COM MAÇARICO. AF_06/2018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</si>
  <si>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</si>
  <si>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</si>
  <si>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</si>
  <si>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</si>
  <si>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</si>
  <si>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</si>
  <si>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</si>
  <si>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</si>
  <si>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</si>
  <si>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</si>
  <si>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</si>
  <si>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</si>
  <si>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</si>
  <si>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</si>
  <si>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</si>
  <si>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</si>
  <si>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</si>
  <si>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</si>
  <si>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</si>
  <si>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</si>
  <si>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</si>
  <si>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</si>
  <si>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</si>
  <si>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</si>
  <si>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</si>
  <si>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</si>
  <si>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</si>
  <si>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</si>
  <si>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</si>
  <si>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</si>
  <si>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</si>
  <si>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</si>
  <si>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</si>
  <si>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</si>
  <si>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</si>
  <si>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ASSENTAMENTO DE TUBO DE AÇO CARBONO PARA REDE DE ÁGUA, DN 1000 MM (40  ) OU DN 1100 MM (44  ), JUNTA SOLDADA, INSTALADO EM LOCAL COM NÍVEL BAIXO DE INTERFERÊNCIAS (NÃO INCLUI FORNECIMENTO). AF_11/2017</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</si>
  <si>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</si>
  <si>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</si>
  <si>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</si>
  <si>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</si>
  <si>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</si>
  <si>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</si>
  <si>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</si>
  <si>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</si>
  <si>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</si>
  <si>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</si>
  <si>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</si>
  <si>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</si>
  <si>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</si>
  <si>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</si>
  <si>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</si>
  <si>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</si>
  <si>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</si>
  <si>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</si>
  <si>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</si>
  <si>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</si>
  <si>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</si>
  <si>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</si>
  <si>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</si>
  <si>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</si>
  <si>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</si>
  <si>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</si>
  <si>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</si>
  <si>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</si>
  <si>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</si>
  <si>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</si>
  <si>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</si>
  <si>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</si>
  <si>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</si>
  <si>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</si>
  <si>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</si>
  <si>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</si>
  <si>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</si>
  <si>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</si>
  <si>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COBERTURA PARA PROTEÇÃO DE PEDESTRES SOBRE ESTRUTURA DE ANDAIME, INCLUSIVE MONTAGEM E DESMONTAGEM. AF_11/2017</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</si>
  <si>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</si>
  <si>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</si>
  <si>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</si>
  <si>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</si>
  <si>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</si>
  <si>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</si>
  <si>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CAMINHÃO PARA EQUIPAMENTO DE LIMPEZA A SUCÇÃO COM CAMINHÃO TRUCADO DE PESO BRUTO TOTAL 23000 KG, CARGA ÚTIL MÁX. 15935 KG, DISTÂNCIA ENTRE EIXOS 4,80 M, POTÊNCIA 230 CV, INCLUSIVE LIMPADORA A SUCÇÃO, TANQUE 12000 L - MATERIAIS NA OPERAÇÃO. AF_11/2015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</si>
  <si>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</si>
  <si>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</si>
  <si>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</si>
  <si>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</si>
  <si>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</si>
  <si>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</si>
  <si>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</si>
  <si>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</si>
  <si>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TUBO EM COBRE FLEXÍVEL, DN 1/4, COM ISOLAMENTO, INSTALADO EM RAMAL DE ALIMENTAÇÃO DE AR CONDICIONADO COM CONDENSADORA INDIVIDUAL   FORNECIMENTO E INSTALAÇÃO. AF_12/2015</t>
  </si>
  <si>
    <t>TUBO EM COBRE FLEXÍVEL, DN 5/8, COM ISOLAMENTO, INSTALADO EM RAMAL DE ALIMENTAÇÃO DE AR CONDICIONADO COM CONDENSADORA CENTRAL   FORNECIMENTO E INSTALAÇÃO. AF_12/2015</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</si>
  <si>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</si>
  <si>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</si>
  <si>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</si>
  <si>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</si>
  <si>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</si>
  <si>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</si>
  <si>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</si>
  <si>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</si>
  <si>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</si>
  <si>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</si>
  <si>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</si>
  <si>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</si>
  <si>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</si>
  <si>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</si>
  <si>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</si>
  <si>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GUARDA-CORPO EM LAJE PÓS-DESFÔRMA, PARA ESTRUTURAS EM CONCRETO, COM ESCORAS DE MADEIRA ESTRONCADAS NA ESTRUTURA, TRAVESSÕES DE MADEIRA PREGADOS E FECHAMENTO EM TELA DE POLIPROPILENO PARA EDIFICAÇÕES ACIMA DE 4 PAV. (2 MONTAGENS POR OBRA). AF_11/2017</t>
  </si>
  <si>
    <t>EQUIPAMENTO</t>
  </si>
  <si>
    <t>CAIXA</t>
  </si>
  <si>
    <t>OUTROS</t>
  </si>
  <si>
    <t>AMM EST 003</t>
  </si>
  <si>
    <t>AMM EST 004</t>
  </si>
  <si>
    <t>AMM EST 005</t>
  </si>
  <si>
    <t>AMM EST 006</t>
  </si>
  <si>
    <t>AMM EST 007</t>
  </si>
  <si>
    <t>AMM EST 008</t>
  </si>
  <si>
    <t>AMM EST 009</t>
  </si>
  <si>
    <t>AMM EST 010</t>
  </si>
  <si>
    <t>AMM EST 011</t>
  </si>
  <si>
    <t>AMM EST 012</t>
  </si>
  <si>
    <t>AMM EST 013</t>
  </si>
  <si>
    <t>AMM EST 014</t>
  </si>
  <si>
    <t>AMM EST</t>
  </si>
  <si>
    <t>COMPOSIÇÕES ESTRUTURAL</t>
  </si>
  <si>
    <t>AMM EST 015</t>
  </si>
  <si>
    <t>AMM EST 016</t>
  </si>
  <si>
    <t>AMM EST 017</t>
  </si>
  <si>
    <t>AMM EST 018</t>
  </si>
  <si>
    <t>AMM EST 019</t>
  </si>
  <si>
    <t>AMM EST 020</t>
  </si>
  <si>
    <t>AMM EST 021</t>
  </si>
  <si>
    <t>AMM EST 022</t>
  </si>
  <si>
    <t>AMM EST 023</t>
  </si>
  <si>
    <t>AMM EST 024</t>
  </si>
  <si>
    <t>AMM EST 025</t>
  </si>
  <si>
    <t>AMM EST 026</t>
  </si>
  <si>
    <t>AMM EST 027</t>
  </si>
  <si>
    <t>AMM EST 028</t>
  </si>
  <si>
    <t>AMM EST 029</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</si>
  <si>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</si>
  <si>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</si>
  <si>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</si>
  <si>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</si>
  <si>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</si>
  <si>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</si>
  <si>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</si>
  <si>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</si>
  <si>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CURVO COM EXTRUSORA, 65 CM BASE (15 CM BASE DA GUIA + 50 CM BASE DA SARJETA) X 26 CM ALTURA. AF_06/2016</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</si>
  <si>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</si>
  <si>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</si>
  <si>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</si>
  <si>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</si>
  <si>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</si>
  <si>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AMM HID 071</t>
  </si>
  <si>
    <t>AMM HID 072</t>
  </si>
  <si>
    <t>M2XMES</t>
  </si>
  <si>
    <t xml:space="preserve">MXMES </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</si>
  <si>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</si>
  <si>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</si>
  <si>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CABO DE COBRE NU 35MM2 - FORNECIMENTO E INSTALACAO</t>
  </si>
  <si>
    <t>AMM ELE 067</t>
  </si>
  <si>
    <t>AMM ELE 068</t>
  </si>
  <si>
    <t>AMM ELE 069</t>
  </si>
  <si>
    <t>AMM SPDA 035</t>
  </si>
  <si>
    <t>AMM SPDA 036</t>
  </si>
  <si>
    <t>AMM SPDA 037</t>
  </si>
  <si>
    <t>AMM SPDA 038</t>
  </si>
  <si>
    <t>AMM SPDA 039</t>
  </si>
  <si>
    <t>AMM SPDA 040</t>
  </si>
  <si>
    <t>AMM SPDA 041</t>
  </si>
  <si>
    <t>AMM SPDA 042</t>
  </si>
  <si>
    <t>AMM IP 034</t>
  </si>
  <si>
    <t>AMM CIV 084</t>
  </si>
  <si>
    <t>AMM CIV 085</t>
  </si>
  <si>
    <t>AMM CIV 086</t>
  </si>
  <si>
    <t>AMM CIV 087</t>
  </si>
  <si>
    <t>AMM CIV 088</t>
  </si>
  <si>
    <t>AMM CIV 089</t>
  </si>
  <si>
    <t>AMM CIV 090</t>
  </si>
  <si>
    <t>AMM CIV 091</t>
  </si>
  <si>
    <t>AMM CIV 092</t>
  </si>
  <si>
    <t>AMM CIV 093</t>
  </si>
  <si>
    <t>AMM HID 073</t>
  </si>
  <si>
    <t>AMM HID 074</t>
  </si>
  <si>
    <t>AMM HID 075</t>
  </si>
  <si>
    <t>AMM HID 076</t>
  </si>
  <si>
    <t>AMM HID 077</t>
  </si>
  <si>
    <t>AMM HID 078</t>
  </si>
  <si>
    <t>AMM ELE 070</t>
  </si>
  <si>
    <t>AMM ELE 071</t>
  </si>
  <si>
    <t>AMM ELE 072</t>
  </si>
  <si>
    <t>AMM ELE 073</t>
  </si>
  <si>
    <t>AMM ELE 074</t>
  </si>
  <si>
    <t>AMM ELE 075</t>
  </si>
  <si>
    <t>AMM ELE 076</t>
  </si>
  <si>
    <t>AMM ELE 077</t>
  </si>
  <si>
    <t>AMM ELE 078</t>
  </si>
  <si>
    <t>AMM ELE 079</t>
  </si>
  <si>
    <t>AMM ELE 080</t>
  </si>
  <si>
    <t>AMM ELE 081</t>
  </si>
  <si>
    <t>AMM ELE 082</t>
  </si>
  <si>
    <t>AMM SPDA 043</t>
  </si>
  <si>
    <t>AMM SPDA 044</t>
  </si>
  <si>
    <t>AMM SPDA 045</t>
  </si>
  <si>
    <t>AMM SPDA 046</t>
  </si>
  <si>
    <t>AMM SPDA 047</t>
  </si>
  <si>
    <t>AMM SPDA 048</t>
  </si>
  <si>
    <t>AMM SPDA 049</t>
  </si>
  <si>
    <t>AMM SPDA 050</t>
  </si>
  <si>
    <t>AMM SPDA 051</t>
  </si>
  <si>
    <t>AMM SPDA 052</t>
  </si>
  <si>
    <t>AMM SPDA 053</t>
  </si>
  <si>
    <t>AMM SPDA 054</t>
  </si>
  <si>
    <t xml:space="preserve">BDI DIFERENCIADO CONFORME ACÓRDÃO Nº 2622/2013 – TCU – Plenário </t>
  </si>
  <si>
    <t>ASSOCIAÇÃO MATO-GROSSENSE DOS MUNICÍPIOS</t>
  </si>
  <si>
    <t>COORDENAÇÃO DE PROJETOS</t>
  </si>
  <si>
    <t>SITE: amm.org.br   -   E-mail: pavimentacaoamm@gmail.com</t>
  </si>
  <si>
    <t>FONE: (65) 2123-1200  -  FAX: 2123-1251</t>
  </si>
  <si>
    <t>MEMORIAL DE CÁLCULO</t>
  </si>
  <si>
    <t>CRONOGRAMA FÍSICO-FINANCEIRO</t>
  </si>
  <si>
    <t>(11) 3614-9066</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</si>
  <si>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</si>
  <si>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</si>
  <si>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</si>
  <si>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</si>
  <si>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</si>
  <si>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</si>
  <si>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</si>
  <si>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</si>
  <si>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</si>
  <si>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</si>
  <si>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</si>
  <si>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</si>
  <si>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</si>
  <si>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</si>
  <si>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</si>
  <si>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</si>
  <si>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</si>
  <si>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</si>
  <si>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</si>
  <si>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</si>
  <si>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</si>
  <si>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</si>
  <si>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</si>
  <si>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</si>
  <si>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</si>
  <si>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</si>
  <si>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</si>
  <si>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</si>
  <si>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</si>
  <si>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</si>
  <si>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GRADIL EM FERRO FIXADO EM VÃOS DE JANELAS, FORMADO POR BARRAS CHATAS DE 25X4,8 MM. AF_04/2019</t>
  </si>
  <si>
    <t>GRADIL EM ALUMÍNIO FIXADO EM VÃOS DE JANELAS, FORMADO POR TUBOS DE 3/4". AF_04/2019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</si>
  <si>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</si>
  <si>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</si>
  <si>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</si>
  <si>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</si>
  <si>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</si>
  <si>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</si>
  <si>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</si>
  <si>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</si>
  <si>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</si>
  <si>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</si>
  <si>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</si>
  <si>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</si>
  <si>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</si>
  <si>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</si>
  <si>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</si>
  <si>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</si>
  <si>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</si>
  <si>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</si>
  <si>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</si>
  <si>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</si>
  <si>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</si>
  <si>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</si>
  <si>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</si>
  <si>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</si>
  <si>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</si>
  <si>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</si>
  <si>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</si>
  <si>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</si>
  <si>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AV. RUBENS DE MENDONÇA Nº 3.920 - CEP: 78,000-070 - CUIABÁ - MT</t>
  </si>
  <si>
    <t xml:space="preserve">DATA: </t>
  </si>
  <si>
    <t>EQUIPAMENTOS DE GRANDE PORTE</t>
  </si>
  <si>
    <t>ORIGEM</t>
  </si>
  <si>
    <t>DESTINO</t>
  </si>
  <si>
    <t>VIAGENS (K)</t>
  </si>
  <si>
    <t>DISTÂNCIA (DM)</t>
  </si>
  <si>
    <t>VELOCIDADE (V)</t>
  </si>
  <si>
    <t>QUANTIDADE</t>
  </si>
  <si>
    <t>FU</t>
  </si>
  <si>
    <t>CUSTO UNITÁRIO (CH)</t>
  </si>
  <si>
    <t>PREÇO TOTAL</t>
  </si>
  <si>
    <t>BATE ESTACA HIDRÁULICO PARA DEFENSAS MONTADO EM CAMINHÃO GUINDAUTO COM CAPACIDADE DE 6 T - 136 KW</t>
  </si>
  <si>
    <t>CUIABÁ</t>
  </si>
  <si>
    <t>OBS.01:</t>
  </si>
  <si>
    <t>OBS.02:</t>
  </si>
  <si>
    <t>LOCAÇÃO DE CONTAINER - BANHEIRO COM CHUVEIRO E VASOS   (4,30 X 2,30M)</t>
  </si>
  <si>
    <t>AMM PAI 010</t>
  </si>
  <si>
    <t>AMM PAI 011</t>
  </si>
  <si>
    <t>AMM PAI 012</t>
  </si>
  <si>
    <t>AMM PAI 013</t>
  </si>
  <si>
    <t>AMM PAI 014</t>
  </si>
  <si>
    <t>AMM PAI 015</t>
  </si>
  <si>
    <t>AMM PAI 016</t>
  </si>
  <si>
    <t>AMM PAI 017</t>
  </si>
  <si>
    <t>AMM PAI 018</t>
  </si>
  <si>
    <t>AMM PAI 019</t>
  </si>
  <si>
    <t>AMM PAI 020</t>
  </si>
  <si>
    <t>AMM PAI 021</t>
  </si>
  <si>
    <t>AMM PAI 022</t>
  </si>
  <si>
    <t>AMM PAI 023</t>
  </si>
  <si>
    <t>AMM PAI 024</t>
  </si>
  <si>
    <t>AMM PAI 025</t>
  </si>
  <si>
    <t>AMM PAI 026</t>
  </si>
  <si>
    <t>AMM PAI 027</t>
  </si>
  <si>
    <t>AMM PAI 028</t>
  </si>
  <si>
    <t>LASTRO DE BRITA 1</t>
  </si>
  <si>
    <r>
      <rPr>
        <b/>
        <sz val="12"/>
        <rFont val="Arial"/>
        <family val="2"/>
      </rPr>
      <t>SG -</t>
    </r>
    <r>
      <rPr>
        <sz val="12"/>
        <rFont val="Arial"/>
        <family val="2"/>
      </rPr>
      <t xml:space="preserve"> Seguro e Garantia</t>
    </r>
  </si>
  <si>
    <t>1º Quartil</t>
  </si>
  <si>
    <t>Médio</t>
  </si>
  <si>
    <t>3º Quartil</t>
  </si>
  <si>
    <t>CONSTRUÇÃO E REFORMA DE EDIFÍCIOS</t>
  </si>
  <si>
    <t>BDI SACID</t>
  </si>
  <si>
    <t>* PARA ISS 5,00 % E % 40 M.O</t>
  </si>
  <si>
    <t>* ALTERAR SOMENTE ISS DO MUN.</t>
  </si>
  <si>
    <t>BDI MINIMO</t>
  </si>
  <si>
    <t>FORNECIMENTO DE MATERIAIS E EQUIPAMENTOS (AQUISIÇÃO INDIRETA - EM CONJUNTO COM LICITAÇÃO DE OBRAS)</t>
  </si>
  <si>
    <t>BDI AQUISIÇÃO</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</si>
  <si>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</si>
  <si>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</si>
  <si>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</si>
  <si>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</si>
  <si>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</si>
  <si>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</si>
  <si>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</si>
  <si>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</si>
  <si>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</si>
  <si>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</si>
  <si>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</si>
  <si>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</si>
  <si>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</si>
  <si>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</si>
  <si>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</si>
  <si>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</si>
  <si>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</si>
  <si>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</si>
  <si>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</si>
  <si>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</si>
  <si>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</si>
  <si>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</si>
  <si>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</si>
  <si>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</si>
  <si>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</si>
  <si>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</si>
  <si>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</si>
  <si>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</si>
  <si>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</si>
  <si>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</si>
  <si>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</si>
  <si>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</si>
  <si>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</si>
  <si>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</si>
  <si>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</si>
  <si>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</si>
  <si>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</si>
  <si>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</si>
  <si>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</si>
  <si>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</si>
  <si>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</si>
  <si>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</si>
  <si>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</si>
  <si>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</si>
  <si>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</si>
  <si>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</si>
  <si>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</si>
  <si>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</si>
  <si>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</si>
  <si>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</si>
  <si>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</si>
  <si>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</si>
  <si>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</si>
  <si>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</si>
  <si>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</si>
  <si>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</si>
  <si>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</si>
  <si>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</si>
  <si>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</si>
  <si>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</si>
  <si>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</si>
  <si>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</si>
  <si>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</si>
  <si>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</si>
  <si>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</si>
  <si>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</si>
  <si>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</si>
  <si>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</si>
  <si>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</si>
  <si>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</si>
  <si>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</si>
  <si>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</si>
  <si>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</si>
  <si>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</si>
  <si>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</si>
  <si>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</si>
  <si>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</si>
  <si>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</si>
  <si>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</si>
  <si>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</si>
  <si>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</si>
  <si>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</si>
  <si>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</si>
  <si>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</si>
  <si>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</si>
  <si>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</si>
  <si>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</si>
  <si>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</si>
  <si>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</si>
  <si>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</si>
  <si>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</si>
  <si>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</si>
  <si>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</si>
  <si>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</si>
  <si>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</si>
  <si>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</si>
  <si>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</si>
  <si>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</si>
  <si>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</si>
  <si>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</si>
  <si>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</si>
  <si>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</si>
  <si>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</si>
  <si>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</si>
  <si>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</si>
  <si>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</si>
  <si>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</si>
  <si>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</si>
  <si>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</si>
  <si>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</si>
  <si>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</si>
  <si>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</si>
  <si>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</si>
  <si>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</si>
  <si>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</si>
  <si>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</si>
  <si>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</si>
  <si>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</si>
  <si>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</si>
  <si>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</si>
  <si>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</si>
  <si>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</si>
  <si>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</si>
  <si>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</si>
  <si>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</si>
  <si>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</si>
  <si>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</si>
  <si>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</si>
  <si>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</si>
  <si>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</si>
  <si>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</si>
  <si>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</si>
  <si>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</si>
  <si>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</si>
  <si>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</si>
  <si>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</si>
  <si>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</si>
  <si>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</si>
  <si>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</si>
  <si>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</si>
  <si>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</si>
  <si>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</si>
  <si>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</si>
  <si>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</si>
  <si>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</si>
  <si>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</si>
  <si>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</si>
  <si>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</si>
  <si>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</si>
  <si>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</si>
  <si>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</si>
  <si>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</si>
  <si>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</si>
  <si>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</si>
  <si>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</si>
  <si>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</si>
  <si>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</si>
  <si>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</si>
  <si>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</si>
  <si>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</si>
  <si>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</si>
  <si>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</si>
  <si>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</si>
  <si>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</si>
  <si>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</si>
  <si>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</si>
  <si>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</si>
  <si>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</si>
  <si>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</si>
  <si>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</si>
  <si>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</si>
  <si>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</si>
  <si>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</si>
  <si>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</si>
  <si>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</si>
  <si>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</si>
  <si>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</si>
  <si>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</si>
  <si>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</si>
  <si>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</si>
  <si>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</si>
  <si>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</si>
  <si>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</si>
  <si>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</si>
  <si>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</si>
  <si>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</si>
  <si>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</si>
  <si>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</si>
  <si>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</si>
  <si>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</si>
  <si>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</si>
  <si>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</si>
  <si>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</si>
  <si>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</si>
  <si>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</si>
  <si>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</si>
  <si>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</si>
  <si>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</si>
  <si>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</si>
  <si>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</si>
  <si>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</si>
  <si>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</si>
  <si>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</si>
  <si>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</si>
  <si>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</si>
  <si>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</si>
  <si>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</si>
  <si>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</si>
  <si>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</si>
  <si>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</si>
  <si>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</si>
  <si>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</si>
  <si>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</si>
  <si>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</si>
  <si>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</si>
  <si>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</si>
  <si>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</si>
  <si>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</si>
  <si>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</si>
  <si>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</si>
  <si>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</si>
  <si>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</si>
  <si>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</si>
  <si>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</si>
  <si>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</si>
  <si>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</si>
  <si>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</si>
  <si>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</si>
  <si>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</si>
  <si>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</si>
  <si>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</si>
  <si>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</si>
  <si>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</si>
  <si>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</si>
  <si>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</si>
  <si>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</si>
  <si>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</si>
  <si>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</si>
  <si>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</si>
  <si>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</si>
  <si>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</si>
  <si>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</si>
  <si>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</si>
  <si>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</si>
  <si>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</si>
  <si>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</si>
  <si>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</si>
  <si>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</si>
  <si>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</si>
  <si>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</si>
  <si>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</si>
  <si>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</si>
  <si>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</si>
  <si>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</si>
  <si>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</si>
  <si>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</si>
  <si>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</si>
  <si>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</si>
  <si>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</si>
  <si>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</si>
  <si>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</si>
  <si>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</si>
  <si>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</si>
  <si>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</si>
  <si>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 xml:space="preserve">CODIGO  </t>
  </si>
  <si>
    <t>DESCRICAO DO INSUMO</t>
  </si>
  <si>
    <t>UNIDADE</t>
  </si>
  <si>
    <t>(m²)</t>
  </si>
  <si>
    <t>(m)</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</si>
  <si>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</si>
  <si>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</si>
  <si>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</si>
  <si>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</si>
  <si>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</si>
  <si>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</si>
  <si>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</si>
  <si>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</si>
  <si>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</si>
  <si>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</si>
  <si>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</si>
  <si>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</si>
  <si>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</si>
  <si>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</si>
  <si>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</si>
  <si>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</si>
  <si>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</si>
  <si>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</si>
  <si>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</si>
  <si>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</si>
  <si>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</si>
  <si>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</si>
  <si>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</si>
  <si>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</si>
  <si>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</si>
  <si>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</si>
  <si>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</si>
  <si>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</si>
  <si>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</si>
  <si>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</si>
  <si>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</si>
  <si>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</si>
  <si>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</si>
  <si>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</si>
  <si>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</si>
  <si>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</si>
  <si>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</si>
  <si>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</si>
  <si>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</si>
  <si>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</si>
  <si>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</si>
  <si>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</si>
  <si>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</si>
  <si>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</si>
  <si>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</si>
  <si>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</si>
  <si>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</si>
  <si>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</si>
  <si>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</si>
  <si>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</si>
  <si>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</si>
  <si>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</si>
  <si>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</si>
  <si>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</si>
  <si>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</si>
  <si>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</si>
  <si>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</si>
  <si>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</si>
  <si>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</si>
  <si>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</si>
  <si>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</si>
  <si>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</si>
  <si>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</si>
  <si>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</si>
  <si>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</si>
  <si>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</si>
  <si>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</si>
  <si>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</si>
  <si>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</si>
  <si>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</si>
  <si>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</si>
  <si>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</si>
  <si>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</si>
  <si>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</si>
  <si>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</si>
  <si>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</si>
  <si>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</si>
  <si>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</si>
  <si>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</si>
  <si>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</si>
  <si>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</si>
  <si>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</si>
  <si>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</si>
  <si>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</si>
  <si>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</si>
  <si>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</si>
  <si>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</si>
  <si>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</si>
  <si>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</si>
  <si>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</si>
  <si>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</si>
  <si>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</si>
  <si>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</si>
  <si>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</si>
  <si>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</si>
  <si>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</si>
  <si>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</si>
  <si>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</si>
  <si>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</si>
  <si>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</si>
  <si>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</si>
  <si>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</si>
  <si>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</si>
  <si>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</si>
  <si>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</si>
  <si>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</si>
  <si>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</si>
  <si>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</si>
  <si>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</si>
  <si>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</si>
  <si>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</si>
  <si>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</si>
  <si>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</si>
  <si>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</si>
  <si>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</si>
  <si>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</si>
  <si>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</si>
  <si>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</si>
  <si>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</si>
  <si>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</si>
  <si>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</si>
  <si>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</si>
  <si>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</si>
  <si>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</si>
  <si>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</si>
  <si>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</si>
  <si>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</si>
  <si>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</si>
  <si>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</si>
  <si>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</si>
  <si>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</si>
  <si>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</si>
  <si>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</si>
  <si>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</si>
  <si>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</si>
  <si>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</si>
  <si>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</si>
  <si>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</si>
  <si>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</si>
  <si>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</si>
  <si>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</si>
  <si>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</si>
  <si>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SIMULADOR DE REMO INDIVIDUAL, EM TUBO DE ACO CARBONO, PINTURA NO PROCESSO ELETROSTATICO - EQUIPAMENTO DE GINASTICA PARA ACADEMIA AO AR LIVRE / ACADEMIA DA TERCEIRA IDADE - ATI</t>
  </si>
  <si>
    <t>COMPOSIÇÕES ACADEMIA CAIXA</t>
  </si>
  <si>
    <t>AMM ACAD 001</t>
  </si>
  <si>
    <t>AMM ACAD 002</t>
  </si>
  <si>
    <t>AMM ACAD 003</t>
  </si>
  <si>
    <t>AMM ACAD 004</t>
  </si>
  <si>
    <t>AMM ACAD 005</t>
  </si>
  <si>
    <t>AMM ACAD 006</t>
  </si>
  <si>
    <t>AMM ACAD 007</t>
  </si>
  <si>
    <t>AMM ACAD 008</t>
  </si>
  <si>
    <t>AMM ACAD 009</t>
  </si>
  <si>
    <t>AMM ACAD 010</t>
  </si>
  <si>
    <t>AMM ACAD 011</t>
  </si>
  <si>
    <t>AMM ACAD 012</t>
  </si>
  <si>
    <t>AMM ACAD 013</t>
  </si>
  <si>
    <t>AMM ACAD 014</t>
  </si>
  <si>
    <t>AMM ACAD 015</t>
  </si>
  <si>
    <t>AMM ACAD 016</t>
  </si>
  <si>
    <t>AMM ACAD 017</t>
  </si>
  <si>
    <t>AMM ACAD 018</t>
  </si>
  <si>
    <t>AMM ACAD 019</t>
  </si>
  <si>
    <t>AMM ACAD 020</t>
  </si>
  <si>
    <t>COTELETRICA</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</si>
  <si>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</si>
  <si>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</si>
  <si>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TECNICO DE EDIFICACOES COM ENCARGOS COMPLEMENTARES</t>
  </si>
  <si>
    <t>CURSO DE CAPACITAÇÃO PARA TECNICO DE EDIFICACOES (ENCARGOS COMPLEMENTARES) - HORISTA</t>
  </si>
  <si>
    <t>CURSO DE CAPACITAÇÃO PARA TECNICO DE EDIFICACOES (ENCARGOS COMPLEMENTARES) - MENSALISTA</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</si>
  <si>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</si>
  <si>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</si>
  <si>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</si>
  <si>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</si>
  <si>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</si>
  <si>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</si>
  <si>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</si>
  <si>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</si>
  <si>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</si>
  <si>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</si>
  <si>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</si>
  <si>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</si>
  <si>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</si>
  <si>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</si>
  <si>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</si>
  <si>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</si>
  <si>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</si>
  <si>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</si>
  <si>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</si>
  <si>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</si>
  <si>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</si>
  <si>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</si>
  <si>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</si>
  <si>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</si>
  <si>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</si>
  <si>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</si>
  <si>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</si>
  <si>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</si>
  <si>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</si>
  <si>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</si>
  <si>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</si>
  <si>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</si>
  <si>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</si>
  <si>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</si>
  <si>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</si>
  <si>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</si>
  <si>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</si>
  <si>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</si>
  <si>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</si>
  <si>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</si>
  <si>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</si>
  <si>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</si>
  <si>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</si>
  <si>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</si>
  <si>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</si>
  <si>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</si>
  <si>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</si>
  <si>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</si>
  <si>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</si>
  <si>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</si>
  <si>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</si>
  <si>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</si>
  <si>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</si>
  <si>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</si>
  <si>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</si>
  <si>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</si>
  <si>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</si>
  <si>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</si>
  <si>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</si>
  <si>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</si>
  <si>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</si>
  <si>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</si>
  <si>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</si>
  <si>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</si>
  <si>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</si>
  <si>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</si>
  <si>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</si>
  <si>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</si>
  <si>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</si>
  <si>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</si>
  <si>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</si>
  <si>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</si>
  <si>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</si>
  <si>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</si>
  <si>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</si>
  <si>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</si>
  <si>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</si>
  <si>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</si>
  <si>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</si>
  <si>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</si>
  <si>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</si>
  <si>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</si>
  <si>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</si>
  <si>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</si>
  <si>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</si>
  <si>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</si>
  <si>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</si>
  <si>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</si>
  <si>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</si>
  <si>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</si>
  <si>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</si>
  <si>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</si>
  <si>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</si>
  <si>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</si>
  <si>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</si>
  <si>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</si>
  <si>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</si>
  <si>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</si>
  <si>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</si>
  <si>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</si>
  <si>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</si>
  <si>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</si>
  <si>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</si>
  <si>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</si>
  <si>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</si>
  <si>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</si>
  <si>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</si>
  <si>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</si>
  <si>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</si>
  <si>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</si>
  <si>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</si>
  <si>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</si>
  <si>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</si>
  <si>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</si>
  <si>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</si>
  <si>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</si>
  <si>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</si>
  <si>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</si>
  <si>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</si>
  <si>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</si>
  <si>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</si>
  <si>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</si>
  <si>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</si>
  <si>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</si>
  <si>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 xml:space="preserve">ARAME DE AÇO GALVANIZADO No. 12 BWG </t>
  </si>
  <si>
    <t>USINA DE MISTURA ASFÁLTICA À QUENTE, TIPO CONTRA FLUXO, PROD 100 A 140 TON/HORA - CHP DIURNO. AF_12/2019</t>
  </si>
  <si>
    <t>USINA DE ASFALTO, TIPO GRAVIMÉTRICA, PROD 150 TON/HORA - CHP DIURNO. AF_12/2019</t>
  </si>
  <si>
    <t>USINA DE MISTURA ASFÁLTICA À QUENTE, TIPO CONTRA FLUXO, PROD 100 A 140 TON/HORA - CHI DIURNO. AF_12/2019</t>
  </si>
  <si>
    <t>USINA DE ASFALTO, TIPO GRAVIMÉTRICA, PROD 150 TON/HORA - CHI DIURNO. AF_12/2019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</si>
  <si>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</si>
  <si>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</si>
  <si>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</si>
  <si>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</si>
  <si>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</si>
  <si>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</si>
  <si>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</si>
  <si>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</si>
  <si>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</si>
  <si>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</si>
  <si>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</si>
  <si>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</si>
  <si>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</si>
  <si>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</si>
  <si>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</si>
  <si>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</si>
  <si>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</si>
  <si>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</si>
  <si>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</si>
  <si>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</si>
  <si>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</si>
  <si>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</si>
  <si>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</si>
  <si>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</si>
  <si>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</si>
  <si>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</si>
  <si>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</si>
  <si>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</si>
  <si>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</si>
  <si>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</si>
  <si>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</si>
  <si>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</si>
  <si>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</si>
  <si>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</si>
  <si>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</si>
  <si>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</si>
  <si>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</si>
  <si>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</si>
  <si>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</si>
  <si>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</si>
  <si>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</si>
  <si>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</si>
  <si>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</si>
  <si>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</si>
  <si>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</si>
  <si>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</si>
  <si>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</si>
  <si>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</si>
  <si>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</si>
  <si>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</si>
  <si>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</si>
  <si>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</si>
  <si>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</si>
  <si>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</si>
  <si>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</si>
  <si>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</si>
  <si>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</si>
  <si>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</si>
  <si>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</si>
  <si>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</si>
  <si>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</si>
  <si>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</si>
  <si>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</si>
  <si>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</si>
  <si>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</si>
  <si>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</si>
  <si>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</si>
  <si>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</si>
  <si>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</si>
  <si>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</si>
  <si>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</si>
  <si>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</si>
  <si>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</si>
  <si>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</si>
  <si>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</si>
  <si>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</si>
  <si>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</si>
  <si>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</si>
  <si>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</si>
  <si>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</si>
  <si>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</si>
  <si>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</si>
  <si>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</si>
  <si>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</si>
  <si>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</si>
  <si>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</si>
  <si>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</si>
  <si>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</si>
  <si>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</si>
  <si>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</si>
  <si>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</si>
  <si>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</si>
  <si>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</si>
  <si>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</si>
  <si>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</si>
  <si>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</si>
  <si>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</si>
  <si>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</si>
  <si>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</si>
  <si>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</si>
  <si>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</si>
  <si>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</si>
  <si>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</si>
  <si>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</si>
  <si>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</si>
  <si>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</si>
  <si>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</si>
  <si>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</si>
  <si>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</si>
  <si>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</si>
  <si>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</si>
  <si>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</si>
  <si>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</si>
  <si>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</si>
  <si>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</si>
  <si>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</si>
  <si>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</si>
  <si>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</si>
  <si>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</si>
  <si>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</si>
  <si>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</si>
  <si>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</si>
  <si>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</si>
  <si>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</si>
  <si>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</si>
  <si>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</si>
  <si>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</si>
  <si>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</si>
  <si>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</si>
  <si>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</si>
  <si>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</si>
  <si>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</si>
  <si>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</si>
  <si>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MEMORIAL</t>
  </si>
  <si>
    <t>MÁQUINA JATO DE PRESSAO PORTÁTIL, CAMARA DE 1 SAIDA, CAPACIDADE 280 L, DIAMETRO 670 MM, BICO DE JATO CURTO VENTURI DE 5/16'' , MANGUEIRA DE 1'' COM COMPRESSOR DE AR REBOCÁVEL 189 PCM E MOTOR DIESEL 63 CV - CHP DIURNO. AF_03/2016</t>
  </si>
  <si>
    <t>MÁQUINA JATO DE PRESSAO PORTÁTIL, CAMARA DE 1 SAIDA, CAPACIDADE 280 L, DIAMETRO 670 MM, BICO DE JATO CURTO VENTURI DE 5/16'' , MANGUEIRA DE 1'' COM COMPRESSOR DE AR REBOCÁVEL 189 PCM E MOTOR DIESEL 63 CV - CHI DIURNO.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</si>
  <si>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</si>
  <si>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</si>
  <si>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</si>
  <si>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</si>
  <si>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</si>
  <si>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</si>
  <si>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</si>
  <si>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</si>
  <si>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</si>
  <si>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</si>
  <si>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</si>
  <si>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</si>
  <si>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</si>
  <si>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</si>
  <si>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</si>
  <si>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</si>
  <si>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</si>
  <si>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</si>
  <si>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</si>
  <si>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</si>
  <si>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</si>
  <si>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</si>
  <si>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</si>
  <si>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</si>
  <si>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</si>
  <si>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</si>
  <si>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</si>
  <si>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</si>
  <si>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</si>
  <si>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</si>
  <si>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</si>
  <si>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</si>
  <si>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</si>
  <si>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</si>
  <si>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</si>
  <si>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</si>
  <si>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</si>
  <si>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</si>
  <si>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</si>
  <si>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</si>
  <si>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</si>
  <si>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</si>
  <si>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</si>
  <si>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</si>
  <si>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</si>
  <si>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</si>
  <si>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</si>
  <si>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</si>
  <si>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</si>
  <si>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</si>
  <si>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</si>
  <si>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</si>
  <si>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</si>
  <si>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</si>
  <si>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</si>
  <si>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</si>
  <si>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</si>
  <si>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</si>
  <si>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</si>
  <si>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</si>
  <si>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</si>
  <si>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</si>
  <si>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</si>
  <si>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</si>
  <si>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</si>
  <si>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</si>
  <si>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</si>
  <si>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</si>
  <si>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</si>
  <si>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</si>
  <si>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</si>
  <si>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</si>
  <si>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</si>
  <si>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</si>
  <si>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</si>
  <si>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</si>
  <si>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</si>
  <si>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</si>
  <si>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</si>
  <si>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</si>
  <si>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</si>
  <si>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</si>
  <si>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</si>
  <si>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</si>
  <si>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</si>
  <si>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</si>
  <si>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</si>
  <si>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</si>
  <si>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</si>
  <si>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</si>
  <si>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</si>
  <si>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</si>
  <si>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</si>
  <si>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</si>
  <si>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</si>
  <si>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</si>
  <si>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</si>
  <si>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</si>
  <si>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</si>
  <si>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</si>
  <si>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</si>
  <si>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</si>
  <si>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</si>
  <si>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</si>
  <si>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</si>
  <si>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</si>
  <si>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</si>
  <si>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</si>
  <si>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</si>
  <si>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</si>
  <si>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</si>
  <si>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</si>
  <si>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</si>
  <si>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</si>
  <si>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</si>
  <si>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</si>
  <si>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</si>
  <si>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</si>
  <si>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</si>
  <si>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</si>
  <si>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</si>
  <si>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</si>
  <si>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</si>
  <si>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</si>
  <si>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</si>
  <si>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</si>
  <si>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</si>
  <si>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</si>
  <si>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</si>
  <si>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</si>
  <si>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</si>
  <si>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</si>
  <si>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</si>
  <si>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</si>
  <si>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</si>
  <si>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</si>
  <si>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</si>
  <si>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</si>
  <si>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</si>
  <si>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 COMPOSIÇÃO BASEADA NO MEMORIAL DE CÁLCULO DE MOBILIZAÇÃO E DESMOBILIZAÇÃO</t>
  </si>
  <si>
    <t>FÓRMULA:</t>
  </si>
  <si>
    <t>MEMÓRIA DE CÁLCULO - MOBILIZAÇÃO</t>
  </si>
  <si>
    <t>OBS.03:</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</si>
  <si>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</si>
  <si>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</si>
  <si>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</si>
  <si>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</si>
  <si>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</si>
  <si>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</si>
  <si>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</si>
  <si>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</si>
  <si>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</si>
  <si>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</si>
  <si>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</si>
  <si>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</si>
  <si>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</si>
  <si>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</si>
  <si>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</si>
  <si>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</si>
  <si>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</si>
  <si>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</si>
  <si>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</si>
  <si>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</si>
  <si>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</si>
  <si>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</si>
  <si>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</si>
  <si>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</si>
  <si>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</si>
  <si>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</si>
  <si>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</si>
  <si>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</si>
  <si>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</si>
  <si>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</si>
  <si>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</si>
  <si>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</si>
  <si>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</si>
  <si>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</si>
  <si>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</si>
  <si>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E Q U I P A M E N T O</t>
  </si>
  <si>
    <t>AMM IP 035</t>
  </si>
  <si>
    <t>PERFURATRIZ HIDRÁULICA SOBRE CAMINHÃO COM TRADO CURTO ACOPLADO, PROFUNDIDADE MÁXIMA DE 20 M, DIÂMETRO MÁXIMO DE 1500 MM, POTÊNCIA INSTALADA DE 137 HP, MESA ROTATIVA COM TORQUE MÁXIMO DE 30 KNM</t>
  </si>
  <si>
    <t>SINAPI</t>
  </si>
  <si>
    <t>SICRO</t>
  </si>
  <si>
    <t>IMPERMEABILIZAÇÃO DE SUPERFÍCIE COM MEMBRANA À BASE DE POLIURETANO, 2 DEMÃOS. AF_06/2018</t>
  </si>
  <si>
    <t>IMPERMEABILIZAÇÃO DE SUPERFÍCIE COM MEMBRANA À BASE DE RESINA ACRÍLICA, 3 DEMÃOS. AF_06/2018</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</si>
  <si>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</si>
  <si>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</si>
  <si>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</si>
  <si>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</si>
  <si>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</si>
  <si>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</si>
  <si>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</si>
  <si>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</si>
  <si>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USINAGEM DE BRITA GRADUADA SIMPLES. AF_03/2020</t>
  </si>
  <si>
    <t>USINAGEM DE BRITA GRADUADA TRATADA COM CIMENTO. AF_03/2020</t>
  </si>
  <si>
    <t>USINAGEM DE CONCRETO PARA COMPACTAÇÃO COM ROLO. AF_03/2020</t>
  </si>
  <si>
    <t>ARGAMASSA TRAÇO 1:1,93 (EM VOLUME DE CIMENTO E AREIA MÉDIA ÚMIDA), FCK 20 MPA, PREPARO MECÂNICO COM MISTURADOR DUPLO HORIZONTAL DE ALTA TURBULÊNCIA. AF_03/2020</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</si>
  <si>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</si>
  <si>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</si>
  <si>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</si>
  <si>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</si>
  <si>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</si>
  <si>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</si>
  <si>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</si>
  <si>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</si>
  <si>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</si>
  <si>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</si>
  <si>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</si>
  <si>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</si>
  <si>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</si>
  <si>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</si>
  <si>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</si>
  <si>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</si>
  <si>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</si>
  <si>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</si>
  <si>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</si>
  <si>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</si>
  <si>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</si>
  <si>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</si>
  <si>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</si>
  <si>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</si>
  <si>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</si>
  <si>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</si>
  <si>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</si>
  <si>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</si>
  <si>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</si>
  <si>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</si>
  <si>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</si>
  <si>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</si>
  <si>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</si>
  <si>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</si>
  <si>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</si>
  <si>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</si>
  <si>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</si>
  <si>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</si>
  <si>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</si>
  <si>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</si>
  <si>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</si>
  <si>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</si>
  <si>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</si>
  <si>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</si>
  <si>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</si>
  <si>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</si>
  <si>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</si>
  <si>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</si>
  <si>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</si>
  <si>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</si>
  <si>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</si>
  <si>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</si>
  <si>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</si>
  <si>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</si>
  <si>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</si>
  <si>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</si>
  <si>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</si>
  <si>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</si>
  <si>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</si>
  <si>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</si>
  <si>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</si>
  <si>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</si>
  <si>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</si>
  <si>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</si>
  <si>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</si>
  <si>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</si>
  <si>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</si>
  <si>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</si>
  <si>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</si>
  <si>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</si>
  <si>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</si>
  <si>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</si>
  <si>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</si>
  <si>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</si>
  <si>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</si>
  <si>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</si>
  <si>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</si>
  <si>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</si>
  <si>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</si>
  <si>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</si>
  <si>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</si>
  <si>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</si>
  <si>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</si>
  <si>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</si>
  <si>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</si>
  <si>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</si>
  <si>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</si>
  <si>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</si>
  <si>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</si>
  <si>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</si>
  <si>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</si>
  <si>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</si>
  <si>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</si>
  <si>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</si>
  <si>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</si>
  <si>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</si>
  <si>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</si>
  <si>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</si>
  <si>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</si>
  <si>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</si>
  <si>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</si>
  <si>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</si>
  <si>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</si>
  <si>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</si>
  <si>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</si>
  <si>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</si>
  <si>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</si>
  <si>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</si>
  <si>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</si>
  <si>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</si>
  <si>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</si>
  <si>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</si>
  <si>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</si>
  <si>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</si>
  <si>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</si>
  <si>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</si>
  <si>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PISO EM PEDRA PORTUGUESA ASSENTADO SOBRE ARGAMASSA SECA DE CIMENTO E AREIA, TRAÇO 1:3, REJUNTADO COM CIMENTO COMUM. AF_05/2020</t>
  </si>
  <si>
    <t>PISO EM LADRILHO HIDRÁULICO APLICADO EM AMBIENTES EXTERNOS. AF_05/2020</t>
  </si>
  <si>
    <t>PISO EM GRANITO APLICADO EM CALÇADAS OU PISOS EXTERNOS. AF_05/2020</t>
  </si>
  <si>
    <t>PISO EM MÁRMORE APLICADO EM CALÇADAS OU PISOS EXTERNOS. AF_05/2020</t>
  </si>
  <si>
    <t>LOCAÇÃO COM CAVALETE COM ALTURA DE 1,00 M - 2 UTILIZAÇÕES. AF_10/2018</t>
  </si>
  <si>
    <t>LOCAÇÃO COM CAVALETE COM ALTURA DE 0,50 M - 2 UTILIZAÇÕES. AF_10/2018</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</si>
  <si>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</si>
  <si>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</si>
  <si>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</si>
  <si>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</si>
  <si>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</si>
  <si>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</si>
  <si>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</si>
  <si>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</si>
  <si>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</si>
  <si>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</si>
  <si>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</si>
  <si>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</si>
  <si>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</si>
  <si>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</si>
  <si>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</si>
  <si>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</si>
  <si>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MARCELO</t>
  </si>
  <si>
    <t>MEMÓRIA DE CÁLCULO - DESMOBILIZAÇÃO</t>
  </si>
  <si>
    <t>REFERÊNCIA: MANUAL DO DNIT, VOLUME 09 - MOBILIZAÇÃO E DESMOBILIZAÇÃO</t>
  </si>
  <si>
    <r>
      <t xml:space="preserve">Neste campo será informado a distância entre o municipio detentor do quipamentos até o canteiro de obras. Lembrando que, de acordo com o Manual do DNIT, Volume 09  - Mobilização e Desmobilização, </t>
    </r>
    <r>
      <rPr>
        <b/>
        <sz val="12"/>
        <rFont val="Arial"/>
        <family val="2"/>
      </rPr>
      <t>a distância mínima de mobilização e de desmobilização será de 50 km</t>
    </r>
    <r>
      <rPr>
        <sz val="12"/>
        <rFont val="Arial"/>
        <family val="2"/>
      </rPr>
      <t>.</t>
    </r>
  </si>
  <si>
    <r>
      <t>Considerar as seguintes velocidades média para os veículos transportadores em</t>
    </r>
    <r>
      <rPr>
        <b/>
        <sz val="12"/>
        <rFont val="Arial"/>
        <family val="2"/>
      </rPr>
      <t xml:space="preserve"> rodovias pavimentadas</t>
    </r>
    <r>
      <rPr>
        <sz val="12"/>
        <rFont val="Arial"/>
        <family val="2"/>
      </rPr>
      <t>: Cavalo Mecânico (Carregado) = 60 Km/h; Caminhão Pipa (Descarregado) = 60 Km/h; Caminhão Basculante (Descarregado) = 60 Km/h; Caminhão Espargidor (Descarregado) = 60 km/h; Caminhão de Material Asfáltico (Descarregado) = 60 Km/h. Para os casos, em que a rodovia não seja pavimentada, consultar Manual do DNIT, Volume 09  - Mobilização e Desmobilização.</t>
    </r>
  </si>
  <si>
    <r>
      <rPr>
        <sz val="12"/>
        <rFont val="Arial"/>
        <family val="2"/>
      </rPr>
      <t>CH representa o custo horário do veículo</t>
    </r>
    <r>
      <rPr>
        <b/>
        <sz val="12"/>
        <rFont val="Arial"/>
        <family val="2"/>
      </rPr>
      <t xml:space="preserve"> transportador</t>
    </r>
    <r>
      <rPr>
        <sz val="12"/>
        <rFont val="Arial"/>
        <family val="2"/>
      </rPr>
      <t xml:space="preserve"> </t>
    </r>
  </si>
  <si>
    <t>PERFURATRIZ HIDRÁULICA SOBRE CAMINHÃO TRUCADO (C/ TERCEIRO EIXO) ELETRÔNICO - POTÊNCIA 231CV - PBT = 22000KG - DIST. ENTRE EIXOS 5170 MM</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</si>
  <si>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</si>
  <si>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</si>
  <si>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</si>
  <si>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</si>
  <si>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</si>
  <si>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</si>
  <si>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</si>
  <si>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</si>
  <si>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</si>
  <si>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</si>
  <si>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</si>
  <si>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</si>
  <si>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</si>
  <si>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</si>
  <si>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</si>
  <si>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</si>
  <si>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</si>
  <si>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</si>
  <si>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</si>
  <si>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</si>
  <si>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</si>
  <si>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</si>
  <si>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</si>
  <si>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</si>
  <si>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</si>
  <si>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</si>
  <si>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</si>
  <si>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</si>
  <si>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</si>
  <si>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</si>
  <si>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</si>
  <si>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</si>
  <si>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</si>
  <si>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</si>
  <si>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</si>
  <si>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</si>
  <si>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</si>
  <si>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</si>
  <si>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</si>
  <si>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</si>
  <si>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</si>
  <si>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</si>
  <si>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</si>
  <si>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</si>
  <si>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</si>
  <si>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</si>
  <si>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</si>
  <si>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</si>
  <si>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</si>
  <si>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</si>
  <si>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</si>
  <si>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</si>
  <si>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</si>
  <si>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</si>
  <si>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</si>
  <si>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</si>
  <si>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</si>
  <si>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</si>
  <si>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</si>
  <si>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</si>
  <si>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</si>
  <si>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</si>
  <si>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</si>
  <si>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</si>
  <si>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</si>
  <si>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</si>
  <si>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</si>
  <si>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</si>
  <si>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</si>
  <si>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</si>
  <si>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</si>
  <si>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</si>
  <si>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</si>
  <si>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</si>
  <si>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</si>
  <si>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</si>
  <si>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</si>
  <si>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</si>
  <si>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</si>
  <si>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</si>
  <si>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</si>
  <si>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</si>
  <si>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</si>
  <si>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</si>
  <si>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</si>
  <si>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</si>
  <si>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</si>
  <si>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</si>
  <si>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</si>
  <si>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</si>
  <si>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</si>
  <si>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</si>
  <si>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</si>
  <si>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</si>
  <si>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</si>
  <si>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</si>
  <si>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</si>
  <si>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</si>
  <si>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</si>
  <si>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</si>
  <si>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</si>
  <si>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</si>
  <si>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</si>
  <si>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</si>
  <si>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</si>
  <si>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</si>
  <si>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</si>
  <si>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</si>
  <si>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</si>
  <si>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</si>
  <si>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</si>
  <si>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</si>
  <si>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</si>
  <si>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</si>
  <si>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</si>
  <si>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</si>
  <si>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</si>
  <si>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</si>
  <si>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</si>
  <si>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</si>
  <si>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</si>
  <si>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</si>
  <si>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</si>
  <si>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</si>
  <si>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</si>
  <si>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</si>
  <si>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</si>
  <si>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</si>
  <si>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</si>
  <si>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</si>
  <si>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</si>
  <si>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r>
      <t xml:space="preserve">SITE: </t>
    </r>
    <r>
      <rPr>
        <b/>
        <sz val="12"/>
        <rFont val="Arial"/>
        <family val="2"/>
      </rPr>
      <t>www.amm.org.br</t>
    </r>
    <r>
      <rPr>
        <sz val="12"/>
        <rFont val="Arial"/>
        <family val="2"/>
      </rPr>
      <t xml:space="preserve">   -   e-mail: </t>
    </r>
    <r>
      <rPr>
        <b/>
        <sz val="12"/>
        <rFont val="Arial"/>
        <family val="2"/>
      </rPr>
      <t>centraldeprojetosamm@gmail.com</t>
    </r>
    <r>
      <rPr>
        <sz val="12"/>
        <rFont val="Arial"/>
        <family val="2"/>
      </rPr>
      <t xml:space="preserve">
 AV. RUBENS DE MENDONÇA Nº 3.920 - CEP: 78,049-938 - CUIABÁ - MT  
FONE: (65) 2123-1200  -  FAX: 2123-1251</t>
    </r>
  </si>
  <si>
    <t>ELETRICA PARANA</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</si>
  <si>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</si>
  <si>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</si>
  <si>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</si>
  <si>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</si>
  <si>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</si>
  <si>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</si>
  <si>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</si>
  <si>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</si>
  <si>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</si>
  <si>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</si>
  <si>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</si>
  <si>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</si>
  <si>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</si>
  <si>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</si>
  <si>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</si>
  <si>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</si>
  <si>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</si>
  <si>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</si>
  <si>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</si>
  <si>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</si>
  <si>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</si>
  <si>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</si>
  <si>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</si>
  <si>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</si>
  <si>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</si>
  <si>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</si>
  <si>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</si>
  <si>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</si>
  <si>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</si>
  <si>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</si>
  <si>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</si>
  <si>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</si>
  <si>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</si>
  <si>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</si>
  <si>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</si>
  <si>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</si>
  <si>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</si>
  <si>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</si>
  <si>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</si>
  <si>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</si>
  <si>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</si>
  <si>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INSTALAÇÃO DE SINALIZADOR NOTURNO LED. AF_11/2017</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</si>
  <si>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</si>
  <si>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</si>
  <si>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</si>
  <si>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</si>
  <si>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</si>
  <si>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</si>
  <si>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</si>
  <si>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</si>
  <si>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</si>
  <si>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</si>
  <si>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</si>
  <si>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</si>
  <si>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</si>
  <si>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</si>
  <si>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</si>
  <si>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</si>
  <si>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</si>
  <si>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</si>
  <si>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</si>
  <si>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</si>
  <si>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</si>
  <si>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</si>
  <si>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</si>
  <si>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</si>
  <si>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</si>
  <si>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</si>
  <si>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</si>
  <si>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</si>
  <si>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</si>
  <si>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</si>
  <si>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</si>
  <si>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</si>
  <si>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</si>
  <si>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</si>
  <si>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</si>
  <si>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</si>
  <si>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</si>
  <si>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</si>
  <si>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</si>
  <si>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</si>
  <si>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</si>
  <si>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</si>
  <si>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</si>
  <si>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</si>
  <si>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</si>
  <si>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</si>
  <si>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</si>
  <si>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</si>
  <si>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</si>
  <si>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</si>
  <si>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</si>
  <si>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</si>
  <si>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</si>
  <si>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</si>
  <si>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</si>
  <si>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</si>
  <si>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</si>
  <si>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</si>
  <si>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</si>
  <si>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</si>
  <si>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</si>
  <si>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</si>
  <si>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</si>
  <si>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</si>
  <si>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</si>
  <si>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</si>
  <si>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</si>
  <si>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</si>
  <si>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</si>
  <si>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</si>
  <si>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</si>
  <si>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</si>
  <si>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</si>
  <si>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</si>
  <si>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</si>
  <si>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</si>
  <si>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</si>
  <si>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</si>
  <si>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</si>
  <si>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</si>
  <si>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</si>
  <si>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</si>
  <si>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</si>
  <si>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</si>
  <si>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</si>
  <si>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</si>
  <si>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</si>
  <si>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</si>
  <si>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</si>
  <si>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</si>
  <si>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</si>
  <si>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</si>
  <si>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</si>
  <si>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</si>
  <si>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</si>
  <si>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</si>
  <si>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</si>
  <si>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</si>
  <si>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</si>
  <si>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</si>
  <si>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</si>
  <si>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</si>
  <si>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</si>
  <si>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</si>
  <si>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</si>
  <si>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</si>
  <si>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</si>
  <si>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</si>
  <si>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</si>
  <si>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</si>
  <si>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</si>
  <si>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</si>
  <si>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</si>
  <si>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</si>
  <si>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</si>
  <si>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</si>
  <si>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</si>
  <si>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</si>
  <si>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</si>
  <si>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</si>
  <si>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</si>
  <si>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</si>
  <si>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</si>
  <si>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</si>
  <si>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</si>
  <si>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</si>
  <si>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</si>
  <si>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</si>
  <si>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</si>
  <si>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</si>
  <si>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</si>
  <si>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</si>
  <si>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</si>
  <si>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</si>
  <si>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</si>
  <si>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</si>
  <si>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</si>
  <si>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</si>
  <si>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</si>
  <si>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</si>
  <si>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</si>
  <si>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</si>
  <si>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</si>
  <si>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</si>
  <si>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</si>
  <si>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</si>
  <si>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</si>
  <si>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</si>
  <si>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</si>
  <si>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</si>
  <si>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</si>
  <si>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</si>
  <si>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</si>
  <si>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</si>
  <si>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</si>
  <si>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</si>
  <si>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</si>
  <si>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</si>
  <si>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</si>
  <si>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</si>
  <si>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</si>
  <si>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</si>
  <si>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</si>
  <si>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</si>
  <si>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</si>
  <si>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</si>
  <si>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</si>
  <si>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</si>
  <si>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</si>
  <si>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</si>
  <si>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</si>
  <si>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</si>
  <si>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</si>
  <si>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</si>
  <si>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AMM EST 030</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</si>
  <si>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</si>
  <si>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</si>
  <si>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</si>
  <si>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</si>
  <si>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</si>
  <si>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</si>
  <si>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</si>
  <si>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</si>
  <si>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</si>
  <si>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</si>
  <si>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</si>
  <si>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</si>
  <si>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</si>
  <si>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</si>
  <si>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</si>
  <si>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</si>
  <si>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</si>
  <si>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</si>
  <si>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</si>
  <si>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</si>
  <si>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</si>
  <si>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</si>
  <si>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</si>
  <si>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</si>
  <si>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</si>
  <si>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</si>
  <si>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</si>
  <si>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</si>
  <si>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</si>
  <si>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</si>
  <si>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</si>
  <si>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</si>
  <si>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</si>
  <si>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</si>
  <si>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</si>
  <si>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</si>
  <si>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</si>
  <si>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</si>
  <si>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</si>
  <si>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</si>
  <si>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</si>
  <si>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</si>
  <si>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</si>
  <si>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</si>
  <si>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</si>
  <si>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</si>
  <si>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</si>
  <si>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</si>
  <si>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</si>
  <si>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</si>
  <si>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</si>
  <si>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</si>
  <si>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</si>
  <si>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</si>
  <si>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</si>
  <si>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</si>
  <si>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</si>
  <si>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</si>
  <si>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</si>
  <si>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</si>
  <si>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</si>
  <si>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</si>
  <si>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</si>
  <si>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</si>
  <si>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</si>
  <si>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</si>
  <si>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</si>
  <si>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</si>
  <si>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</si>
  <si>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</si>
  <si>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</si>
  <si>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</si>
  <si>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</si>
  <si>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</si>
  <si>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</si>
  <si>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</si>
  <si>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</si>
  <si>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</si>
  <si>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</si>
  <si>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</si>
  <si>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</si>
  <si>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</si>
  <si>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</si>
  <si>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</si>
  <si>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</si>
  <si>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</si>
  <si>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</si>
  <si>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</si>
  <si>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</si>
  <si>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</si>
  <si>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</si>
  <si>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</si>
  <si>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</si>
  <si>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</si>
  <si>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</si>
  <si>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</si>
  <si>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</si>
  <si>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</si>
  <si>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</si>
  <si>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</si>
  <si>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</si>
  <si>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</si>
  <si>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</si>
  <si>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</si>
  <si>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</si>
  <si>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</si>
  <si>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</si>
  <si>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</si>
  <si>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</si>
  <si>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</si>
  <si>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</si>
  <si>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</si>
  <si>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</si>
  <si>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</si>
  <si>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</si>
  <si>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</si>
  <si>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</si>
  <si>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</si>
  <si>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</si>
  <si>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</si>
  <si>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</si>
  <si>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</si>
  <si>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</si>
  <si>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</si>
  <si>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</si>
  <si>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</si>
  <si>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</si>
  <si>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</si>
  <si>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</si>
  <si>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</si>
  <si>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</si>
  <si>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</si>
  <si>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</si>
  <si>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</si>
  <si>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</si>
  <si>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</si>
  <si>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</si>
  <si>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</si>
  <si>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</si>
  <si>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</si>
  <si>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</si>
  <si>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</si>
  <si>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</si>
  <si>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</si>
  <si>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</si>
  <si>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</si>
  <si>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</si>
  <si>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</si>
  <si>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</si>
  <si>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</si>
  <si>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</si>
  <si>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</si>
  <si>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</si>
  <si>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</si>
  <si>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</si>
  <si>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</si>
  <si>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</si>
  <si>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</si>
  <si>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</si>
  <si>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</si>
  <si>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</si>
  <si>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</si>
  <si>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</si>
  <si>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</si>
  <si>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</si>
  <si>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</si>
  <si>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</si>
  <si>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</si>
  <si>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</si>
  <si>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</si>
  <si>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</si>
  <si>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</si>
  <si>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</si>
  <si>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</si>
  <si>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</si>
  <si>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</si>
  <si>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</si>
  <si>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</si>
  <si>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</si>
  <si>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</si>
  <si>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</si>
  <si>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</si>
  <si>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</si>
  <si>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</si>
  <si>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</si>
  <si>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</si>
  <si>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</si>
  <si>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</si>
  <si>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</si>
  <si>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</si>
  <si>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</si>
  <si>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</si>
  <si>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</si>
  <si>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</si>
  <si>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</si>
  <si>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</si>
  <si>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</si>
  <si>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</si>
  <si>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</si>
  <si>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</si>
  <si>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</si>
  <si>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</si>
  <si>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</si>
  <si>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</si>
  <si>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</si>
  <si>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</si>
  <si>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</si>
  <si>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</si>
  <si>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</si>
  <si>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</si>
  <si>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</si>
  <si>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</si>
  <si>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</si>
  <si>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</si>
  <si>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</si>
  <si>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</si>
  <si>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RODAPÉ BORRACHA LISO, ALTURA = 7CM, ESPESSURA = 2 MM, PARA ARGAMASSA. AF_09/2020</t>
  </si>
  <si>
    <t>**COMPOSIÇÃO DA MÃO DE OBRA BASEADA NO BOLETIM ORSE (SET/2020) "10694". PALAVRA CHAVE: "CONECTOR EM LATÃO".</t>
  </si>
  <si>
    <t>AMM LOG 006</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</si>
  <si>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</si>
  <si>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</si>
  <si>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</si>
  <si>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</si>
  <si>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</si>
  <si>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</si>
  <si>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</si>
  <si>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</si>
  <si>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</si>
  <si>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</si>
  <si>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</si>
  <si>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</si>
  <si>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</si>
  <si>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</si>
  <si>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</si>
  <si>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</si>
  <si>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</si>
  <si>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</si>
  <si>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</si>
  <si>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</si>
  <si>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</si>
  <si>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</si>
  <si>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</si>
  <si>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</si>
  <si>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</si>
  <si>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</si>
  <si>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</si>
  <si>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</si>
  <si>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</si>
  <si>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</si>
  <si>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</si>
  <si>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</si>
  <si>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</si>
  <si>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</si>
  <si>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</si>
  <si>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</si>
  <si>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</si>
  <si>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</si>
  <si>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</si>
  <si>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</si>
  <si>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</si>
  <si>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</si>
  <si>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</si>
  <si>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</si>
  <si>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</si>
  <si>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</si>
  <si>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</si>
  <si>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</si>
  <si>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</si>
  <si>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</si>
  <si>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</si>
  <si>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</si>
  <si>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</si>
  <si>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</si>
  <si>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</si>
  <si>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</si>
  <si>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</si>
  <si>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</si>
  <si>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</si>
  <si>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</si>
  <si>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</si>
  <si>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</si>
  <si>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</si>
  <si>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</si>
  <si>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</si>
  <si>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</si>
  <si>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</si>
  <si>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</si>
  <si>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</si>
  <si>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</si>
  <si>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</si>
  <si>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</si>
  <si>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</si>
  <si>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</si>
  <si>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</si>
  <si>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</si>
  <si>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</si>
  <si>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</si>
  <si>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</si>
  <si>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</si>
  <si>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</si>
  <si>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</si>
  <si>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</si>
  <si>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</si>
  <si>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</si>
  <si>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</si>
  <si>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</si>
  <si>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</si>
  <si>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</si>
  <si>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</si>
  <si>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</si>
  <si>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</si>
  <si>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</si>
  <si>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</si>
  <si>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</si>
  <si>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</si>
  <si>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</si>
  <si>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</si>
  <si>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</si>
  <si>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</si>
  <si>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</si>
  <si>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</si>
  <si>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</si>
  <si>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</si>
  <si>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</si>
  <si>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</si>
  <si>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</si>
  <si>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</si>
  <si>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</si>
  <si>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</si>
  <si>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</si>
  <si>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</si>
  <si>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</si>
  <si>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</si>
  <si>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</si>
  <si>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</si>
  <si>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</si>
  <si>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</si>
  <si>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</si>
  <si>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</si>
  <si>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</si>
  <si>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</si>
  <si>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</si>
  <si>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</si>
  <si>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</si>
  <si>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</si>
  <si>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</si>
  <si>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</si>
  <si>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</si>
  <si>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</si>
  <si>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</si>
  <si>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</si>
  <si>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</si>
  <si>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</si>
  <si>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</si>
  <si>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</si>
  <si>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</si>
  <si>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</si>
  <si>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</si>
  <si>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</si>
  <si>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</si>
  <si>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</si>
  <si>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</si>
  <si>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</si>
  <si>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</si>
  <si>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</si>
  <si>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</si>
  <si>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</si>
  <si>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</si>
  <si>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</si>
  <si>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</si>
  <si>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</si>
  <si>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</si>
  <si>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</si>
  <si>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</si>
  <si>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</si>
  <si>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</si>
  <si>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</si>
  <si>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LUMINÁRIA ESTANQUE COM PROTEÇÃO CONTRA ÁGUA, POEIRA OU IMPACTOS - FORNECIMENTO E INSTALAÇÃO. AF_08/2020</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</si>
  <si>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</si>
  <si>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</si>
  <si>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</si>
  <si>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</si>
  <si>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</si>
  <si>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</si>
  <si>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</si>
  <si>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</si>
  <si>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</si>
  <si>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</si>
  <si>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</si>
  <si>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</si>
  <si>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</si>
  <si>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</si>
  <si>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</si>
  <si>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</si>
  <si>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</si>
  <si>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</si>
  <si>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</si>
  <si>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</si>
  <si>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</si>
  <si>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</si>
  <si>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</si>
  <si>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</si>
  <si>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</si>
  <si>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</si>
  <si>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</si>
  <si>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</si>
  <si>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</si>
  <si>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</si>
  <si>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</si>
  <si>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</si>
  <si>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</si>
  <si>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</si>
  <si>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</si>
  <si>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</si>
  <si>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</si>
  <si>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</si>
  <si>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</si>
  <si>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</si>
  <si>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</si>
  <si>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</si>
  <si>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</si>
  <si>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</si>
  <si>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</si>
  <si>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</si>
  <si>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</si>
  <si>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</si>
  <si>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</si>
  <si>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</si>
  <si>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</si>
  <si>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</si>
  <si>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</si>
  <si>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</si>
  <si>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</si>
  <si>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</si>
  <si>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</si>
  <si>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</si>
  <si>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</si>
  <si>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</si>
  <si>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</si>
  <si>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</si>
  <si>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</si>
  <si>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</si>
  <si>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</si>
  <si>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</si>
  <si>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</si>
  <si>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</si>
  <si>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</si>
  <si>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</si>
  <si>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</si>
  <si>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</si>
  <si>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</si>
  <si>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</si>
  <si>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</si>
  <si>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</si>
  <si>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</si>
  <si>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</si>
  <si>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</si>
  <si>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</si>
  <si>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</si>
  <si>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</si>
  <si>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</si>
  <si>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</si>
  <si>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</si>
  <si>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</si>
  <si>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</si>
  <si>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</si>
  <si>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</si>
  <si>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</si>
  <si>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</si>
  <si>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</si>
  <si>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</si>
  <si>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</si>
  <si>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</si>
  <si>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</si>
  <si>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</si>
  <si>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</si>
  <si>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</si>
  <si>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</si>
  <si>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</si>
  <si>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</si>
  <si>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</si>
  <si>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</si>
  <si>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</si>
  <si>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</si>
  <si>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</si>
  <si>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</si>
  <si>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</si>
  <si>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</si>
  <si>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</si>
  <si>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</si>
  <si>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</si>
  <si>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</si>
  <si>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</si>
  <si>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</si>
  <si>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</si>
  <si>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</si>
  <si>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</si>
  <si>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</si>
  <si>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</si>
  <si>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</si>
  <si>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</si>
  <si>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</si>
  <si>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</si>
  <si>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</si>
  <si>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</si>
  <si>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</si>
  <si>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</si>
  <si>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</si>
  <si>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</si>
  <si>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</si>
  <si>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</si>
  <si>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</si>
  <si>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</si>
  <si>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</si>
  <si>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</si>
  <si>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</si>
  <si>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</si>
  <si>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</si>
  <si>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</si>
  <si>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</si>
  <si>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</si>
  <si>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</si>
  <si>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</si>
  <si>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</si>
  <si>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</si>
  <si>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</si>
  <si>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</si>
  <si>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</si>
  <si>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</si>
  <si>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</si>
  <si>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</si>
  <si>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</si>
  <si>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</si>
  <si>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</si>
  <si>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</si>
  <si>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</si>
  <si>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</si>
  <si>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</si>
  <si>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</si>
  <si>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</si>
  <si>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</si>
  <si>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</si>
  <si>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</si>
  <si>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</si>
  <si>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</si>
  <si>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</si>
  <si>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</si>
  <si>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</si>
  <si>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</si>
  <si>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</si>
  <si>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</si>
  <si>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</si>
  <si>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</si>
  <si>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</si>
  <si>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</si>
  <si>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</si>
  <si>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</si>
  <si>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</si>
  <si>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</si>
  <si>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</si>
  <si>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</si>
  <si>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</si>
  <si>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</si>
  <si>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</si>
  <si>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</si>
  <si>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</si>
  <si>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</si>
  <si>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</si>
  <si>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</si>
  <si>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</si>
  <si>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</si>
  <si>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</si>
  <si>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</si>
  <si>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</si>
  <si>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</si>
  <si>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</si>
  <si>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</si>
  <si>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</si>
  <si>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</si>
  <si>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</si>
  <si>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</si>
  <si>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</si>
  <si>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</si>
  <si>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</si>
  <si>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</si>
  <si>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</si>
  <si>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</si>
  <si>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</si>
  <si>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</si>
  <si>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</si>
  <si>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</si>
  <si>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</si>
  <si>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</si>
  <si>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</si>
  <si>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</si>
  <si>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</si>
  <si>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</si>
  <si>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</si>
  <si>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</si>
  <si>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</si>
  <si>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</si>
  <si>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</si>
  <si>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</si>
  <si>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</si>
  <si>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</si>
  <si>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</si>
  <si>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</si>
  <si>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</si>
  <si>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</si>
  <si>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</si>
  <si>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</si>
  <si>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</si>
  <si>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</si>
  <si>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</si>
  <si>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</si>
  <si>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</si>
  <si>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</si>
  <si>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</si>
  <si>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</si>
  <si>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</si>
  <si>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</si>
  <si>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</si>
  <si>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</si>
  <si>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</si>
  <si>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</si>
  <si>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</si>
  <si>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</si>
  <si>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</si>
  <si>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</si>
  <si>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</si>
  <si>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</si>
  <si>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</si>
  <si>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</si>
  <si>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</si>
  <si>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</si>
  <si>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</si>
  <si>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</si>
  <si>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</si>
  <si>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</si>
  <si>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</si>
  <si>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</si>
  <si>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</si>
  <si>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</si>
  <si>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</si>
  <si>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</si>
  <si>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</si>
  <si>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</si>
  <si>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</si>
  <si>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</si>
  <si>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</si>
  <si>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</si>
  <si>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</si>
  <si>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</si>
  <si>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</si>
  <si>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</si>
  <si>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</si>
  <si>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</si>
  <si>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</si>
  <si>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</si>
  <si>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</si>
  <si>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</si>
  <si>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</si>
  <si>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</si>
  <si>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</si>
  <si>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</si>
  <si>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</si>
  <si>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</si>
  <si>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</si>
  <si>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</si>
  <si>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</si>
  <si>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</si>
  <si>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</si>
  <si>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</si>
  <si>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</si>
  <si>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</si>
  <si>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</si>
  <si>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</si>
  <si>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</si>
  <si>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</si>
  <si>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</si>
  <si>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</si>
  <si>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</si>
  <si>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</si>
  <si>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</si>
  <si>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</si>
  <si>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</si>
  <si>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</si>
  <si>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</si>
  <si>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</si>
  <si>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</si>
  <si>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</si>
  <si>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</si>
  <si>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AMBIENTES DE ÁREAS MOLHADAS, MEIA PAREDE OU PAREDE INTEIRA, COM PLACAS TIPO ESMALTADA EXTRA, DIMENSÕES 20X20 CM, PARA EDIFICAÇÃO HABITACIONAL MULTIFAMILIAR (PRÉDIO). AF_11/2014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</si>
  <si>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</si>
  <si>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</si>
  <si>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</si>
  <si>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AMM HID 079</t>
  </si>
  <si>
    <t>AMM HID 080</t>
  </si>
  <si>
    <t>AMM HID 081</t>
  </si>
  <si>
    <t>AMM HID 082</t>
  </si>
  <si>
    <t>AMM HID 083</t>
  </si>
  <si>
    <t>AMM HID 084</t>
  </si>
  <si>
    <t>AMM HID 085</t>
  </si>
  <si>
    <t>AMM HID 086</t>
  </si>
  <si>
    <t>AMM HID 087</t>
  </si>
  <si>
    <t>AMM HID 088</t>
  </si>
  <si>
    <t>AMM HID 089</t>
  </si>
  <si>
    <t>AMM HID 090</t>
  </si>
  <si>
    <t>AMM HID 091</t>
  </si>
  <si>
    <t>AMM HID 092</t>
  </si>
  <si>
    <t>AMM HID 093</t>
  </si>
  <si>
    <t>AMM HID 094</t>
  </si>
  <si>
    <t>AMM HID 095</t>
  </si>
  <si>
    <t>AMM HID 096</t>
  </si>
  <si>
    <t>AMM HID 097</t>
  </si>
  <si>
    <t>CAIXA COM GRELHA SIMPLES RETANGULAR, EM CONCRETO PRÉ-MOLDADO, DIMENSÕES INTERNAS: 0,6X1,0X1,0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</si>
  <si>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</si>
  <si>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</si>
  <si>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</si>
  <si>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</si>
  <si>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</si>
  <si>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</si>
  <si>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</si>
  <si>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</si>
  <si>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</si>
  <si>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</si>
  <si>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</si>
  <si>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</si>
  <si>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</si>
  <si>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</si>
  <si>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</si>
  <si>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</si>
  <si>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</si>
  <si>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</si>
  <si>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</si>
  <si>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</si>
  <si>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</si>
  <si>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</si>
  <si>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</si>
  <si>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</si>
  <si>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</si>
  <si>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</si>
  <si>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</si>
  <si>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</si>
  <si>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</si>
  <si>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</si>
  <si>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</si>
  <si>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</si>
  <si>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</si>
  <si>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</si>
  <si>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</si>
  <si>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</si>
  <si>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</si>
  <si>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</si>
  <si>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</si>
  <si>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</si>
  <si>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</si>
  <si>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</si>
  <si>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</si>
  <si>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</si>
  <si>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</si>
  <si>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</si>
  <si>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</si>
  <si>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</si>
  <si>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</si>
  <si>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</si>
  <si>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</si>
  <si>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</si>
  <si>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</si>
  <si>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</si>
  <si>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</si>
  <si>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</si>
  <si>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</si>
  <si>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</si>
  <si>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</si>
  <si>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</si>
  <si>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</si>
  <si>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</si>
  <si>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</si>
  <si>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</si>
  <si>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</si>
  <si>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</si>
  <si>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</si>
  <si>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</si>
  <si>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</si>
  <si>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</si>
  <si>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</si>
  <si>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</si>
  <si>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</si>
  <si>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</si>
  <si>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</si>
  <si>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</si>
  <si>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</si>
  <si>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</si>
  <si>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</si>
  <si>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</si>
  <si>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</si>
  <si>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</si>
  <si>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</si>
  <si>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</si>
  <si>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</si>
  <si>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</si>
  <si>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</si>
  <si>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</si>
  <si>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</si>
  <si>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</si>
  <si>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</si>
  <si>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</si>
  <si>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</si>
  <si>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</si>
  <si>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</si>
  <si>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</si>
  <si>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</si>
  <si>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</si>
  <si>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</si>
  <si>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</si>
  <si>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</si>
  <si>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</si>
  <si>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</si>
  <si>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</si>
  <si>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</si>
  <si>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</si>
  <si>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</si>
  <si>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</si>
  <si>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</si>
  <si>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</si>
  <si>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</si>
  <si>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</si>
  <si>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</si>
  <si>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</si>
  <si>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</si>
  <si>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</si>
  <si>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</si>
  <si>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</si>
  <si>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</si>
  <si>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</si>
  <si>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</si>
  <si>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</si>
  <si>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</si>
  <si>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</si>
  <si>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</si>
  <si>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</si>
  <si>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</si>
  <si>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</si>
  <si>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</si>
  <si>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</si>
  <si>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</si>
  <si>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</si>
  <si>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</si>
  <si>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</si>
  <si>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</si>
  <si>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</si>
  <si>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</si>
  <si>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</si>
  <si>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</si>
  <si>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</si>
  <si>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</si>
  <si>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</si>
  <si>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</si>
  <si>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</si>
  <si>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</si>
  <si>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</si>
  <si>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</si>
  <si>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</si>
  <si>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</si>
  <si>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</si>
  <si>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</si>
  <si>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</si>
  <si>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</si>
  <si>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</si>
  <si>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</si>
  <si>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</si>
  <si>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</si>
  <si>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</si>
  <si>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</si>
  <si>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</si>
  <si>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</si>
  <si>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</si>
  <si>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</si>
  <si>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</si>
  <si>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</si>
  <si>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</si>
  <si>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</si>
  <si>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</si>
  <si>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</si>
  <si>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</si>
  <si>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</si>
  <si>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</si>
  <si>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</si>
  <si>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</si>
  <si>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</si>
  <si>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</si>
  <si>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</si>
  <si>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</si>
  <si>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</si>
  <si>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</si>
  <si>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</si>
  <si>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</si>
  <si>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</si>
  <si>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</si>
  <si>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</si>
  <si>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</si>
  <si>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</si>
  <si>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</si>
  <si>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</si>
  <si>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</si>
  <si>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</si>
  <si>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</si>
  <si>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</si>
  <si>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</si>
  <si>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</si>
  <si>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</si>
  <si>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</si>
  <si>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</si>
  <si>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</si>
  <si>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</si>
  <si>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</si>
  <si>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</si>
  <si>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</si>
  <si>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</si>
  <si>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</si>
  <si>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</si>
  <si>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</si>
  <si>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</si>
  <si>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</si>
  <si>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</si>
  <si>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</si>
  <si>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</si>
  <si>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</si>
  <si>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</si>
  <si>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</si>
  <si>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</si>
  <si>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</si>
  <si>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</si>
  <si>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</si>
  <si>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</si>
  <si>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</si>
  <si>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</si>
  <si>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</si>
  <si>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</si>
  <si>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</si>
  <si>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</si>
  <si>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</si>
  <si>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</si>
  <si>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</si>
  <si>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</si>
  <si>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</si>
  <si>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</si>
  <si>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</si>
  <si>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</si>
  <si>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</si>
  <si>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</si>
  <si>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</si>
  <si>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</si>
  <si>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</si>
  <si>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</si>
  <si>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</si>
  <si>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</si>
  <si>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</si>
  <si>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</si>
  <si>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</si>
  <si>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</si>
  <si>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</si>
  <si>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</si>
  <si>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</si>
  <si>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</si>
  <si>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</si>
  <si>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</si>
  <si>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</si>
  <si>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</si>
  <si>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</si>
  <si>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</si>
  <si>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</si>
  <si>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</si>
  <si>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</si>
  <si>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</si>
  <si>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</si>
  <si>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</si>
  <si>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</si>
  <si>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</si>
  <si>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</si>
  <si>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</si>
  <si>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</si>
  <si>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</si>
  <si>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</si>
  <si>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</si>
  <si>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</si>
  <si>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</si>
  <si>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</si>
  <si>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</si>
  <si>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</si>
  <si>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</si>
  <si>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</si>
  <si>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</si>
  <si>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</si>
  <si>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</si>
  <si>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</si>
  <si>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</si>
  <si>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</si>
  <si>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</si>
  <si>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</si>
  <si>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</si>
  <si>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</si>
  <si>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</si>
  <si>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ESCAVAÇÃO MANUAL DE VALA COM PROFUNDIDADE MENOR OU IGUAL A 1,30 M. AF_02/2021</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</si>
  <si>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</si>
  <si>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</si>
  <si>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</si>
  <si>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</si>
  <si>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</si>
  <si>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</si>
  <si>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</si>
  <si>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PATRICIA</t>
  </si>
  <si>
    <t>AMM PLAY 001</t>
  </si>
  <si>
    <t>AMM PLAY 002</t>
  </si>
  <si>
    <t>AMM PLAY 003</t>
  </si>
  <si>
    <t>AMM PLAY 004</t>
  </si>
  <si>
    <t>AMM PLAY 005</t>
  </si>
  <si>
    <t>AMM PLAY 006</t>
  </si>
  <si>
    <t>20.694.506/0001-55</t>
  </si>
  <si>
    <t>(16) 3287-1326</t>
  </si>
  <si>
    <t>RAFAEL</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</si>
  <si>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</si>
  <si>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</si>
  <si>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</si>
  <si>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</si>
  <si>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</si>
  <si>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</si>
  <si>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ARMAÇÃO DO SISTEMA DE PAREDES DE CONCRETO, EXECUTADA COMO ARMADURA POSITIVA DE LAJES, TELA Q-159. AF_06/2019</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</si>
  <si>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</si>
  <si>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</si>
  <si>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</si>
  <si>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</si>
  <si>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</si>
  <si>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</si>
  <si>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</si>
  <si>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</si>
  <si>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KIT CAVALETE PARA MEDIÇÃO DE ÁGUA - ENTRADA PRINCIPAL, EM AÇO GALVANIZADO DN 25 (1 )   FORNECIMENTO E INSTALAÇÃO (EXCLUSIVE HIDRÔMETRO). AF_11/2016</t>
  </si>
  <si>
    <t>G5 RESERVATÓRIOS METÁLICOS</t>
  </si>
  <si>
    <t>JULIANO</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</si>
  <si>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</si>
  <si>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</si>
  <si>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</si>
  <si>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</si>
  <si>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</si>
  <si>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</si>
  <si>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</si>
  <si>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</si>
  <si>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</si>
  <si>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</si>
  <si>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</si>
  <si>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</si>
  <si>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</si>
  <si>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</si>
  <si>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</si>
  <si>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</si>
  <si>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</si>
  <si>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</si>
  <si>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</si>
  <si>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</si>
  <si>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</si>
  <si>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</si>
  <si>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</si>
  <si>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</si>
  <si>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</si>
  <si>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</si>
  <si>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</si>
  <si>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</si>
  <si>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</si>
  <si>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</si>
  <si>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</si>
  <si>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</si>
  <si>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</si>
  <si>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</si>
  <si>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</si>
  <si>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</si>
  <si>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</si>
  <si>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</si>
  <si>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</si>
  <si>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</si>
  <si>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</si>
  <si>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</si>
  <si>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</si>
  <si>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</si>
  <si>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</si>
  <si>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</si>
  <si>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</si>
  <si>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</si>
  <si>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</si>
  <si>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</si>
  <si>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</si>
  <si>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</si>
  <si>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</si>
  <si>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</si>
  <si>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</si>
  <si>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</si>
  <si>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</si>
  <si>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</si>
  <si>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</si>
  <si>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</si>
  <si>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</si>
  <si>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</si>
  <si>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</si>
  <si>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</si>
  <si>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</si>
  <si>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</si>
  <si>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</si>
  <si>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</si>
  <si>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</si>
  <si>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</si>
  <si>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</si>
  <si>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</si>
  <si>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</si>
  <si>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</si>
  <si>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</si>
  <si>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</si>
  <si>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</si>
  <si>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</si>
  <si>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</si>
  <si>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</si>
  <si>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</si>
  <si>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</si>
  <si>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</si>
  <si>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</si>
  <si>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</si>
  <si>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</si>
  <si>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</si>
  <si>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</si>
  <si>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</si>
  <si>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</si>
  <si>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</si>
  <si>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</si>
  <si>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</si>
  <si>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</si>
  <si>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</si>
  <si>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</si>
  <si>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</si>
  <si>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</si>
  <si>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</si>
  <si>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</si>
  <si>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</si>
  <si>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</si>
  <si>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</si>
  <si>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</si>
  <si>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</si>
  <si>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</si>
  <si>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</si>
  <si>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AMM INC 029</t>
  </si>
  <si>
    <t>AMM INC 030</t>
  </si>
  <si>
    <t>AMM INC 031</t>
  </si>
  <si>
    <t>AMM INC 032</t>
  </si>
  <si>
    <t>AMM INC 033</t>
  </si>
  <si>
    <t>AMM INC 034</t>
  </si>
  <si>
    <t>AMM INC 035</t>
  </si>
  <si>
    <t>AMM INC 036</t>
  </si>
  <si>
    <t>AMM INC 037</t>
  </si>
  <si>
    <t>AMM INC 038</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</si>
  <si>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</si>
  <si>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</si>
  <si>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</si>
  <si>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</si>
  <si>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</si>
  <si>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</si>
  <si>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</si>
  <si>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</si>
  <si>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</si>
  <si>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</si>
  <si>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</si>
  <si>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</si>
  <si>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</si>
  <si>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</si>
  <si>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</si>
  <si>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</si>
  <si>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</si>
  <si>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</si>
  <si>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</si>
  <si>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</si>
  <si>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</si>
  <si>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</si>
  <si>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</si>
  <si>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</si>
  <si>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</si>
  <si>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</si>
  <si>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</si>
  <si>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</si>
  <si>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</si>
  <si>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</si>
  <si>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</si>
  <si>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</si>
  <si>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</si>
  <si>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</si>
  <si>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</si>
  <si>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CARGA, MANOBRA E DESCARGA MANUAL DE TUBOS PLÁSTICOS, DN 150 MM, EM CAMINHÃO CARROCERIA 9T. AF_06/2021</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</si>
  <si>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</si>
  <si>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</si>
  <si>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</si>
  <si>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</si>
  <si>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</si>
  <si>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</si>
  <si>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</si>
  <si>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</si>
  <si>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</si>
  <si>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</si>
  <si>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</si>
  <si>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</si>
  <si>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</si>
  <si>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</si>
  <si>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</si>
  <si>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</si>
  <si>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</si>
  <si>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</si>
  <si>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</si>
  <si>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</si>
  <si>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</si>
  <si>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</si>
  <si>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</si>
  <si>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</si>
  <si>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</si>
  <si>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</si>
  <si>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</si>
  <si>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</si>
  <si>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</si>
  <si>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</si>
  <si>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</si>
  <si>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</si>
  <si>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</si>
  <si>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</si>
  <si>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</si>
  <si>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</si>
  <si>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</si>
  <si>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</si>
  <si>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</si>
  <si>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</si>
  <si>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</si>
  <si>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</si>
  <si>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</si>
  <si>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</si>
  <si>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</si>
  <si>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</si>
  <si>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</si>
  <si>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</si>
  <si>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</si>
  <si>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</si>
  <si>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</si>
  <si>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</si>
  <si>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</si>
  <si>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</si>
  <si>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</si>
  <si>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</si>
  <si>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</si>
  <si>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</si>
  <si>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</si>
  <si>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</si>
  <si>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</si>
  <si>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</si>
  <si>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</si>
  <si>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</si>
  <si>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</si>
  <si>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</si>
  <si>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</si>
  <si>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</si>
  <si>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</si>
  <si>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</si>
  <si>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</si>
  <si>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</si>
  <si>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</si>
  <si>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</si>
  <si>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</si>
  <si>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</si>
  <si>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</si>
  <si>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</si>
  <si>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</si>
  <si>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</si>
  <si>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</si>
  <si>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</si>
  <si>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</si>
  <si>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</si>
  <si>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</si>
  <si>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</si>
  <si>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</si>
  <si>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</si>
  <si>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</si>
  <si>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</si>
  <si>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</si>
  <si>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</si>
  <si>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</si>
  <si>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</si>
  <si>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</si>
  <si>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</si>
  <si>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</si>
  <si>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</si>
  <si>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</si>
  <si>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</si>
  <si>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</si>
  <si>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</si>
  <si>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</si>
  <si>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</si>
  <si>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</si>
  <si>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</si>
  <si>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</si>
  <si>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</si>
  <si>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</si>
  <si>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</si>
  <si>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</si>
  <si>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</si>
  <si>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</si>
  <si>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MICTÓRIO SIFONADO LOUÇA BRANCA PARA ENTRADA DE ÁGUA EMBUTIDA  PADRÃO ALTO  FORNECIMENTO E INSTALAÇÃO. AF_01/2020</t>
  </si>
  <si>
    <t>VASO SANITÁRIO SIFONADO COM CAIXA ACOPLADA, LOUÇA BRANCA - PADRÃO ALTO - FORNECIMENTO E INSTALAÇÃO. AF_01/2020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</si>
  <si>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</si>
  <si>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</si>
  <si>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</si>
  <si>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</si>
  <si>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</si>
  <si>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</si>
  <si>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</si>
  <si>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</si>
  <si>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</si>
  <si>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</si>
  <si>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</si>
  <si>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</si>
  <si>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</si>
  <si>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</si>
  <si>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</si>
  <si>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</si>
  <si>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</si>
  <si>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</si>
  <si>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</si>
  <si>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</si>
  <si>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</si>
  <si>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</si>
  <si>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</si>
  <si>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</si>
  <si>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</si>
  <si>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</si>
  <si>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</si>
  <si>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</si>
  <si>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</si>
  <si>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</si>
  <si>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</si>
  <si>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</si>
  <si>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</si>
  <si>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</si>
  <si>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</si>
  <si>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</si>
  <si>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</si>
  <si>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</si>
  <si>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</si>
  <si>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</si>
  <si>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</si>
  <si>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</si>
  <si>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</si>
  <si>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</si>
  <si>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</si>
  <si>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</si>
  <si>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</si>
  <si>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</si>
  <si>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</si>
  <si>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</si>
  <si>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</si>
  <si>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</si>
  <si>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</si>
  <si>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</si>
  <si>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</si>
  <si>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</si>
  <si>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</si>
  <si>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</si>
  <si>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</si>
  <si>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</si>
  <si>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</si>
  <si>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</si>
  <si>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</si>
  <si>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</si>
  <si>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</si>
  <si>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</si>
  <si>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</si>
  <si>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</si>
  <si>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</si>
  <si>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</si>
  <si>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</si>
  <si>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</si>
  <si>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</si>
  <si>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</si>
  <si>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</si>
  <si>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</si>
  <si>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</si>
  <si>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</si>
  <si>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</si>
  <si>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</si>
  <si>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</si>
  <si>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</si>
  <si>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</si>
  <si>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</si>
  <si>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</si>
  <si>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</si>
  <si>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</si>
  <si>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</si>
  <si>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</si>
  <si>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</si>
  <si>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</si>
  <si>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</si>
  <si>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</si>
  <si>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</si>
  <si>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</si>
  <si>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</si>
  <si>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</si>
  <si>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</si>
  <si>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</si>
  <si>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</si>
  <si>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</si>
  <si>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</si>
  <si>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</si>
  <si>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</si>
  <si>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</si>
  <si>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</si>
  <si>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</si>
  <si>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</si>
  <si>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</si>
  <si>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</si>
  <si>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</si>
  <si>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</si>
  <si>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</si>
  <si>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</si>
  <si>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</si>
  <si>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</si>
  <si>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</si>
  <si>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</si>
  <si>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</si>
  <si>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</si>
  <si>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</si>
  <si>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</si>
  <si>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</si>
  <si>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</si>
  <si>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</si>
  <si>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</si>
  <si>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</si>
  <si>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</si>
  <si>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</si>
  <si>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</si>
  <si>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</si>
  <si>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</si>
  <si>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</si>
  <si>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</si>
  <si>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</si>
  <si>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</si>
  <si>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</si>
  <si>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</si>
  <si>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</si>
  <si>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</si>
  <si>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</si>
  <si>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</si>
  <si>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</si>
  <si>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</si>
  <si>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</si>
  <si>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</si>
  <si>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</si>
  <si>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</si>
  <si>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</si>
  <si>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</si>
  <si>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</si>
  <si>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</si>
  <si>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</si>
  <si>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</si>
  <si>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</si>
  <si>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</si>
  <si>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</si>
  <si>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</si>
  <si>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</si>
  <si>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</si>
  <si>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SUPORTE PARA ELETROCALHA LISA OU PERFURADA EM AÇO GALVANIZADO, LARGURA 500 OU 800 MM E ALTURA 50 MM, ESPAÇADO A CADA 1,5 M, EM PERFILADO DE SEÇÃO 38X76 MM, POR METRO DE ELETROCALHA FIXADA. AF_07/2017</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</si>
  <si>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</si>
  <si>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</si>
  <si>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</si>
  <si>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</si>
  <si>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</si>
  <si>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</si>
  <si>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</si>
  <si>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</si>
  <si>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RECOMPOSIÇÃO DE PAVIMENTO EM PISO INTERTRAVADO, COM REAPROVEITAMENTO DOS BLOCOS INTERTRAVADOS, PARA FECHAMENTO DE VALAS - INCLUSO RETIRADA E COLOCAÇÃO DO MATERIAL. AF_12/2020</t>
  </si>
  <si>
    <t>CARGA, MANOBRA E DESCARGA DE TUBOS PLÁSTICOS, DN 400 MM, EM CAMINHÃO CARROCERIA COM GUINDAUTO (MUNCK) 11,7 TM. AF_07/2020</t>
  </si>
  <si>
    <t>06.110.817/0004-41</t>
  </si>
  <si>
    <t>AMANDA LISBOA</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</si>
  <si>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</si>
  <si>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</si>
  <si>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</si>
  <si>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</si>
  <si>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</si>
  <si>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</si>
  <si>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</si>
  <si>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</si>
  <si>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</si>
  <si>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</si>
  <si>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</si>
  <si>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</si>
  <si>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</si>
  <si>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</si>
  <si>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</si>
  <si>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</si>
  <si>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</si>
  <si>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</si>
  <si>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</si>
  <si>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</si>
  <si>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</si>
  <si>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</si>
  <si>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</si>
  <si>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</si>
  <si>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</si>
  <si>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</si>
  <si>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</si>
  <si>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</si>
  <si>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</si>
  <si>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</si>
  <si>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</si>
  <si>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</si>
  <si>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</si>
  <si>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</si>
  <si>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</si>
  <si>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</si>
  <si>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</si>
  <si>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</si>
  <si>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</si>
  <si>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</si>
  <si>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</si>
  <si>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</si>
  <si>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</si>
  <si>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</si>
  <si>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</si>
  <si>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</si>
  <si>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</si>
  <si>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</si>
  <si>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</si>
  <si>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</si>
  <si>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</si>
  <si>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</si>
  <si>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</si>
  <si>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</si>
  <si>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</si>
  <si>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</si>
  <si>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</si>
  <si>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</si>
  <si>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</si>
  <si>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</si>
  <si>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</si>
  <si>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</si>
  <si>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</si>
  <si>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</si>
  <si>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</si>
  <si>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</si>
  <si>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</si>
  <si>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</si>
  <si>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</si>
  <si>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</si>
  <si>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</si>
  <si>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</si>
  <si>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</si>
  <si>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</si>
  <si>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</si>
  <si>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</si>
  <si>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</si>
  <si>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</si>
  <si>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</si>
  <si>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</si>
  <si>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</si>
  <si>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</si>
  <si>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</si>
  <si>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</si>
  <si>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</si>
  <si>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</si>
  <si>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</si>
  <si>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</si>
  <si>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</si>
  <si>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</si>
  <si>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</si>
  <si>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</si>
  <si>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</si>
  <si>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</si>
  <si>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</si>
  <si>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</si>
  <si>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</si>
  <si>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</si>
  <si>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</si>
  <si>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</si>
  <si>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</si>
  <si>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</si>
  <si>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</si>
  <si>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</si>
  <si>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</si>
  <si>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</si>
  <si>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</si>
  <si>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</si>
  <si>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</si>
  <si>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</si>
  <si>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TRATAMENTO DE JUNTA DE DILATAÇÃO, COM TARUGO DE POLIETILENO E SELANTE PU, INCLUSO PREENCHIMENTO COM ESPUMA EXPANSIVA PU. AF_06/2018</t>
  </si>
  <si>
    <t>TRATAMENTO DE JUNTA SERRADA, COM TARUGO DE POLIETILENO E SELANTE À BASE DE SILICONE. AF_06/2018</t>
  </si>
  <si>
    <t>TORNEIRA CROMADA DE MESA PARA LAVATORIO, TIPO MONOCOMANDO. AF_01/2020</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</si>
  <si>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</si>
  <si>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</si>
  <si>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</si>
  <si>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</si>
  <si>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</si>
  <si>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</si>
  <si>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</si>
  <si>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</si>
  <si>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</si>
  <si>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</si>
  <si>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</si>
  <si>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</si>
  <si>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</si>
  <si>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</si>
  <si>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CONTRAMARCO DE ALUMÍNIO, FIXAÇÃO COM ARGAMASSA - FORNECIMENTO E INSTALAÇÃO. AF_12/2019</t>
  </si>
  <si>
    <t>CONTRAMARCO DE ALUMÍNIO, FIXAÇÃO COM PARAFUSO - FORNECIMENTO E INSTALAÇÃO. AF_12/2019</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</si>
  <si>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</si>
  <si>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</si>
  <si>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</si>
  <si>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</si>
  <si>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</si>
  <si>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</si>
  <si>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</si>
  <si>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</si>
  <si>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</si>
  <si>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</si>
  <si>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</si>
  <si>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</si>
  <si>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</si>
  <si>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</si>
  <si>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</si>
  <si>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</si>
  <si>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</si>
  <si>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</si>
  <si>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</si>
  <si>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</si>
  <si>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</si>
  <si>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</si>
  <si>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</si>
  <si>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</si>
  <si>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</si>
  <si>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</si>
  <si>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</si>
  <si>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</si>
  <si>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</si>
  <si>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</si>
  <si>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</si>
  <si>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</si>
  <si>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</si>
  <si>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</si>
  <si>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</si>
  <si>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</si>
  <si>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</si>
  <si>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</si>
  <si>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</si>
  <si>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</si>
  <si>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</si>
  <si>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</si>
  <si>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</si>
  <si>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</si>
  <si>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</si>
  <si>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</si>
  <si>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</si>
  <si>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</si>
  <si>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</si>
  <si>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</si>
  <si>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</si>
  <si>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</si>
  <si>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</si>
  <si>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</si>
  <si>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</si>
  <si>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</si>
  <si>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</si>
  <si>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</si>
  <si>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</si>
  <si>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</si>
  <si>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</si>
  <si>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</si>
  <si>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</si>
  <si>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</si>
  <si>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</si>
  <si>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</si>
  <si>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</si>
  <si>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</si>
  <si>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</si>
  <si>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</si>
  <si>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</si>
  <si>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</si>
  <si>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</si>
  <si>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</si>
  <si>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</si>
  <si>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</si>
  <si>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</si>
  <si>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</si>
  <si>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</si>
  <si>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</si>
  <si>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</si>
  <si>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</si>
  <si>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</si>
  <si>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</si>
  <si>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ALVENARIA DE VEDAÇÃO DE BLOCOS DE GESSO DE 7X50X66CM (ESPESSURA 7CM). AF_05/2020</t>
  </si>
  <si>
    <t>ALVENARIA DE VEDAÇÃO DE BLOCOS DE GESSO DE 10X50X66CM (ESPESSURA 10CM). AF_05/2020</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</si>
  <si>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</si>
  <si>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</si>
  <si>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(COMPOSIÇÃO REPRESENTATIVA) DO SERVIÇO DE REVESTIMENTO CERÂMICO PARA PAREDES INTERNAS, MEIA OU PAREDE INTEIRA, PLACAS TIPO ESMALTADA EXTRA DE 20X20 CM, PARA EDIFICAÇÕES HABITACIONAIS UNIFAMILIAR (CASAS) E EDIFICAÇÕES PÚBLICAS PADRÃO. AF_11/2014</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</si>
  <si>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</si>
  <si>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</si>
  <si>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</si>
  <si>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</si>
  <si>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</si>
  <si>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</si>
  <si>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</si>
  <si>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</si>
  <si>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</si>
  <si>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</si>
  <si>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</si>
  <si>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</si>
  <si>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</si>
  <si>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</si>
  <si>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</si>
  <si>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</si>
  <si>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</si>
  <si>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SITE: www.amm.org.br   -   e-mail: centraldeprojetosamm@gmail.com
 AV. RUBENS DE MENDONÇA Nº 3.920 - CEP: 78,049-938 - CUIABÁ - MT  
FONE: (65) 2123-1200  -  FAX: 2123-1251</t>
  </si>
  <si>
    <t>MEMORIAL DE CALCULO DE MOVIMENTAÇÃO DE TERRA / FUNDAÇÕES</t>
  </si>
  <si>
    <t>EDIFICAÇÃO</t>
  </si>
  <si>
    <t>SAPATAS</t>
  </si>
  <si>
    <t>DIMENSÕES REAIS</t>
  </si>
  <si>
    <t>DIMENSÕES PARA ESCAVAÇÃO*</t>
  </si>
  <si>
    <t>h (m)**</t>
  </si>
  <si>
    <t>df (m)***</t>
  </si>
  <si>
    <t>Volume de escavação (m3)</t>
  </si>
  <si>
    <t>Volume de concreto (m3)</t>
  </si>
  <si>
    <t>Preparo de fundo / Lastro (m2)</t>
  </si>
  <si>
    <t>Volume de reaterro (m3)</t>
  </si>
  <si>
    <t>CONCRETO TOCO DE PILAR (m3)****</t>
  </si>
  <si>
    <t>x0 (m)</t>
  </si>
  <si>
    <t>y0 (m)</t>
  </si>
  <si>
    <t>x1 (m)</t>
  </si>
  <si>
    <t>y1 (m)</t>
  </si>
  <si>
    <t xml:space="preserve">*PARA ESCAVAÇÃO FOI CONSIDERADO UM ACRÉSCIMO DE 20CM PARA CADA LADO DA PEÇA PARA POSSIBILITAR A MONTAGEM DA FÔRMA;
**ALTURA DA SAPATA E/OU BLOCO;
***COTA DE ASSENTAMENTO;
****VALOR OBTIDO DO PROJETO ESTRUTURAL.
</t>
  </si>
  <si>
    <t>EQUAÇÕES</t>
  </si>
  <si>
    <t>Vol,esc = QUANT * x1 * y1 * df</t>
  </si>
  <si>
    <t>Vol,con = QUANT * x0 * y0 * h</t>
  </si>
  <si>
    <t>Lastro = QUANT * x0 * y0</t>
  </si>
  <si>
    <t>Vol,rea = Vol,esc - Vol,con - 0,05*Lastro - Vol,conc,toco,pilar</t>
  </si>
  <si>
    <t>REATERRO</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</si>
  <si>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</si>
  <si>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</si>
  <si>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</si>
  <si>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</si>
  <si>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</si>
  <si>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</si>
  <si>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</si>
  <si>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</si>
  <si>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</si>
  <si>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</si>
  <si>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</si>
  <si>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</si>
  <si>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</si>
  <si>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</si>
  <si>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</si>
  <si>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</si>
  <si>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</si>
  <si>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</si>
  <si>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</si>
  <si>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</si>
  <si>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</si>
  <si>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</si>
  <si>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</si>
  <si>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</si>
  <si>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</si>
  <si>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</si>
  <si>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</si>
  <si>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</si>
  <si>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</si>
  <si>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</si>
  <si>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</si>
  <si>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</si>
  <si>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</si>
  <si>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</si>
  <si>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</si>
  <si>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</si>
  <si>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</si>
  <si>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</si>
  <si>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</si>
  <si>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</si>
  <si>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</si>
  <si>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</si>
  <si>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</si>
  <si>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</si>
  <si>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</si>
  <si>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</si>
  <si>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</si>
  <si>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</si>
  <si>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</si>
  <si>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</si>
  <si>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</si>
  <si>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**COMPOSIÇÃO BASEADA NA TABELA ORSE, CÓD. 00051/ORSE (NOVEMBRO/2021)</t>
  </si>
  <si>
    <t>**COMPOSIÇÃO BASEADA NO ORSE, CÓD. 04656 - (NOVEMBRO/2021)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</si>
  <si>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</si>
  <si>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</si>
  <si>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</si>
  <si>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</si>
  <si>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</si>
  <si>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</si>
  <si>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</si>
  <si>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</si>
  <si>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</si>
  <si>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</si>
  <si>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</si>
  <si>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</si>
  <si>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</si>
  <si>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</si>
  <si>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</si>
  <si>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</si>
  <si>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</si>
  <si>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</si>
  <si>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</si>
  <si>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</si>
  <si>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</si>
  <si>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</si>
  <si>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</si>
  <si>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</si>
  <si>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</si>
  <si>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</si>
  <si>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</si>
  <si>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</si>
  <si>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</si>
  <si>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</si>
  <si>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</si>
  <si>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</si>
  <si>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</si>
  <si>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</si>
  <si>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</si>
  <si>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</si>
  <si>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</si>
  <si>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</si>
  <si>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</si>
  <si>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</si>
  <si>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</si>
  <si>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</si>
  <si>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</si>
  <si>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</si>
  <si>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</si>
  <si>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</si>
  <si>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</si>
  <si>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</si>
  <si>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</si>
  <si>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</si>
  <si>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</si>
  <si>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</si>
  <si>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</si>
  <si>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</si>
  <si>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</si>
  <si>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</si>
  <si>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</si>
  <si>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</si>
  <si>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</si>
  <si>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</si>
  <si>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</si>
  <si>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</si>
  <si>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</si>
  <si>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</si>
  <si>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</si>
  <si>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</si>
  <si>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</si>
  <si>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</si>
  <si>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</si>
  <si>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</si>
  <si>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</si>
  <si>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</si>
  <si>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</si>
  <si>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MONTAGEM E DESMONTAGEM DE FÔRMA DE LAJE MACIÇA, PÉ-DIREITO DUPLO, EM CHAPA DE MADEIRA COMPENSADA PLASTIFICADA, 10 UTILIZAÇÕES. AF_09/2020</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</si>
  <si>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</si>
  <si>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</si>
  <si>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</si>
  <si>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</si>
  <si>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</si>
  <si>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</si>
  <si>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</si>
  <si>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</si>
  <si>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</si>
  <si>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</si>
  <si>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</si>
  <si>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</si>
  <si>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</si>
  <si>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</si>
  <si>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</si>
  <si>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</si>
  <si>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</si>
  <si>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</si>
  <si>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</si>
  <si>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</si>
  <si>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</si>
  <si>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</si>
  <si>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</si>
  <si>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</si>
  <si>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</si>
  <si>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</si>
  <si>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</si>
  <si>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</si>
  <si>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</si>
  <si>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</si>
  <si>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</si>
  <si>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</si>
  <si>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</si>
  <si>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</si>
  <si>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</si>
  <si>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</si>
  <si>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</si>
  <si>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</si>
  <si>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</si>
  <si>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</si>
  <si>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</si>
  <si>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</si>
  <si>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</si>
  <si>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</si>
  <si>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</si>
  <si>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</si>
  <si>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</si>
  <si>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</si>
  <si>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</si>
  <si>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</si>
  <si>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</si>
  <si>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</si>
  <si>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</si>
  <si>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</si>
  <si>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</si>
  <si>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</si>
  <si>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</si>
  <si>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</si>
  <si>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</si>
  <si>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</si>
  <si>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</si>
  <si>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</si>
  <si>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</si>
  <si>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</si>
  <si>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</si>
  <si>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</si>
  <si>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</si>
  <si>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</si>
  <si>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</si>
  <si>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RAFAEL KAYAN</t>
  </si>
  <si>
    <t>ANDERSON</t>
  </si>
  <si>
    <t>GEOTÊXTIL NÃO TECIDO 100% POLIÉSTER, RESISTÊNCIA A TRAÇÃO DE 31 KN/M (RT-31), INSTALADO EM DRENO - FORNECIMENTO E INSTALAÇÃO. AF_07/2021</t>
  </si>
  <si>
    <t>APLICAÇÃO MASSA ACRÍLICA PARA MADEIRA, PARA PINTURA COM TINTA DE ACABAMENTO (PIGMENTADA). AF_01/2021</t>
  </si>
  <si>
    <t>ele</t>
  </si>
  <si>
    <t>VARREDEIRA DE GRAMA SINTÉTICA A GASOLINA, 2,4 CV, 4 TEMPOS - MATERIAIS NA OPERAÇÃO. AF_02/2022</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</si>
  <si>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</si>
  <si>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</si>
  <si>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</si>
  <si>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t>
  </si>
  <si>
    <t>LANÇAMENTO COM USO DE BOMBA, ADENSAMENTO E ACABAMENTO DE CONCRETO EM ESTRUTURAS. AF_02/2022</t>
  </si>
  <si>
    <t>CONCRETAGEM DE VIGAS E LAJES, FCK=25 MPA, PARA LAJES PREMOLDADAS COM USO DE BOMBA - LANÇAMENTO, ADENSAMENTO E ACABAMENTO. AF_02/2022</t>
  </si>
  <si>
    <t>CONCRETAGEM DE VIGAS E LAJES, FCK=25 MPA, PARA LAJES MACIÇAS OU NERVURADAS COM USO DE BOMBA - LANÇAMENTO, ADENSAMENTO E ACABAMENTO.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</si>
  <si>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</si>
  <si>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</si>
  <si>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</si>
  <si>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</si>
  <si>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</si>
  <si>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</si>
  <si>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</si>
  <si>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</si>
  <si>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t>
  </si>
  <si>
    <t>CONCRETAGEM DE MURETAS, FCK=25 MPA, COM USO DE BOMBA - LANÇAMENTO, ADENSAMENTO E ACABAMENTO. AF_02/2022</t>
  </si>
  <si>
    <t>CONCRETAGEM DE ESCADAS, FCK=25 MPA, COM USO DE BOMBA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</si>
  <si>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</si>
  <si>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</si>
  <si>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</si>
  <si>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</si>
  <si>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</si>
  <si>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 xml:space="preserve">KWH   </t>
  </si>
  <si>
    <t>AMM ELE 083</t>
  </si>
  <si>
    <t>AMM ELE 084</t>
  </si>
  <si>
    <t>AMM ELE 085</t>
  </si>
  <si>
    <t>AMM ELE 086</t>
  </si>
  <si>
    <t>AMM ELE 087</t>
  </si>
  <si>
    <t>AMM ELE 088</t>
  </si>
  <si>
    <t>AMM ELE 089</t>
  </si>
  <si>
    <t>AMM ELE 090</t>
  </si>
  <si>
    <t>AMM ELE 091</t>
  </si>
  <si>
    <t>MINI GUINDASTE ARANHA SOBRE ESTEIRAS E LANCA TELESCÓPICA, CAPACIDADE MÁXIMA DE CARGA 3,0 TON, RAIO MÁXIMO DE TRABALHO 8,25 M, ALTURA DE LANÇA DO SOLO 9,2 M, 55 M DE CABO DE AÇO 8 MM, MOTOR ELÉTRICO 220/380 VOLTS TRIFÁSICO - MATERIAIS NA OPERAÇÃO. AF_03/2022</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</si>
  <si>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</si>
  <si>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</si>
  <si>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</si>
  <si>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</si>
  <si>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LUMINÁRIA TIPO PLAFON CIRCULAR, DE SOBREPOR, COM LED DE 12/13 W - FORNECIMENTO E INSTALAÇÃO. AF_03/2022</t>
  </si>
  <si>
    <t>FORNECIMENTO E INSTALAÇÃO DE SUPORTE DE MADEIRA  PARA PLACAS DE SINALIZAÇÃO, EM SOLO, COM H= DE 2,5 M E SEÇÃO DE 7,5 X 7,5 CM. AF_03/2022</t>
  </si>
  <si>
    <t>FORNECIMENTO E INSTALAÇÃO DE SUPORTE DE MADEIRA PARA PLACAS DE SINALIZAÇÃO EM CONCRETO, COM H= DE 2,5 M E SEÇÃO DE 7,5 X 7,5 CM. AF_03/2022</t>
  </si>
  <si>
    <t>PAR DE TABELAS DE BASQUETE DE COMPENSADO NAVAL, COM AROS E REDES - FORNECIMENTO E INSTALAÇÃO. AF_03/2022</t>
  </si>
  <si>
    <t xml:space="preserve">% </t>
  </si>
  <si>
    <t>VANDERLEI</t>
  </si>
  <si>
    <t>JEAN CARLOS</t>
  </si>
  <si>
    <t>**COMPOSIÇÃO DA MÃO DE OBRA BASEADA NO BOLETIM CPOS, CÓDIGO 39.10.060, FEVEREIRO/2022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</si>
  <si>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</si>
  <si>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</si>
  <si>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</si>
  <si>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</si>
  <si>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</si>
  <si>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</si>
  <si>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</si>
  <si>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</si>
  <si>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</si>
  <si>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</si>
  <si>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</si>
  <si>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</si>
  <si>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</si>
  <si>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</si>
  <si>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</si>
  <si>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</si>
  <si>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</si>
  <si>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</si>
  <si>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</si>
  <si>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</si>
  <si>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</si>
  <si>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</si>
  <si>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</si>
  <si>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</si>
  <si>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</si>
  <si>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</si>
  <si>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</si>
  <si>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</si>
  <si>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</si>
  <si>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</si>
  <si>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</si>
  <si>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</si>
  <si>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</si>
  <si>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</si>
  <si>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</si>
  <si>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</si>
  <si>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</si>
  <si>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</si>
  <si>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</si>
  <si>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</si>
  <si>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</si>
  <si>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</si>
  <si>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</si>
  <si>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</si>
  <si>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</si>
  <si>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</si>
  <si>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</si>
  <si>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</si>
  <si>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</si>
  <si>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</si>
  <si>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</si>
  <si>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</si>
  <si>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</si>
  <si>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</si>
  <si>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</si>
  <si>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</si>
  <si>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</si>
  <si>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</si>
  <si>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</si>
  <si>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</si>
  <si>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</si>
  <si>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</si>
  <si>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</si>
  <si>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</si>
  <si>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</si>
  <si>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</si>
  <si>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</si>
  <si>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</si>
  <si>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</si>
  <si>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</si>
  <si>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</si>
  <si>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</si>
  <si>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</si>
  <si>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</si>
  <si>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</si>
  <si>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</si>
  <si>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</si>
  <si>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</si>
  <si>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</si>
  <si>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</si>
  <si>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</si>
  <si>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</si>
  <si>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</si>
  <si>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</si>
  <si>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</si>
  <si>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</si>
  <si>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</si>
  <si>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</si>
  <si>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</si>
  <si>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</si>
  <si>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</si>
  <si>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</si>
  <si>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</si>
  <si>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</si>
  <si>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</si>
  <si>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</si>
  <si>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</si>
  <si>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</si>
  <si>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</si>
  <si>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</si>
  <si>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</si>
  <si>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</si>
  <si>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</si>
  <si>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</si>
  <si>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</si>
  <si>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</si>
  <si>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</si>
  <si>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</si>
  <si>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</si>
  <si>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</si>
  <si>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</si>
  <si>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</si>
  <si>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</si>
  <si>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</si>
  <si>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</si>
  <si>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</si>
  <si>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</si>
  <si>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</si>
  <si>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</si>
  <si>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</si>
  <si>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</si>
  <si>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</si>
  <si>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</si>
  <si>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</si>
  <si>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</si>
  <si>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</si>
  <si>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</si>
  <si>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</si>
  <si>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</si>
  <si>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</si>
  <si>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</si>
  <si>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</si>
  <si>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</si>
  <si>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</si>
  <si>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</si>
  <si>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</si>
  <si>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</si>
  <si>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</si>
  <si>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</si>
  <si>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</si>
  <si>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</si>
  <si>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</si>
  <si>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</si>
  <si>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</si>
  <si>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</si>
  <si>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</si>
  <si>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</si>
  <si>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</si>
  <si>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</si>
  <si>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</si>
  <si>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</si>
  <si>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</si>
  <si>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</si>
  <si>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</si>
  <si>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</si>
  <si>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</si>
  <si>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</si>
  <si>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</si>
  <si>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</si>
  <si>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</si>
  <si>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</si>
  <si>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</si>
  <si>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</si>
  <si>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</si>
  <si>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</si>
  <si>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</si>
  <si>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</si>
  <si>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</si>
  <si>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</si>
  <si>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</si>
  <si>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</si>
  <si>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</si>
  <si>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</si>
  <si>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</si>
  <si>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</si>
  <si>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</si>
  <si>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</si>
  <si>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</si>
  <si>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</si>
  <si>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</si>
  <si>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</si>
  <si>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</si>
  <si>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</si>
  <si>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</si>
  <si>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</si>
  <si>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</si>
  <si>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</si>
  <si>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</si>
  <si>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</si>
  <si>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</si>
  <si>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</si>
  <si>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</si>
  <si>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</si>
  <si>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</si>
  <si>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</si>
  <si>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</si>
  <si>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</si>
  <si>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</si>
  <si>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</si>
  <si>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</si>
  <si>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</si>
  <si>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</si>
  <si>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</si>
  <si>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</si>
  <si>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</si>
  <si>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</si>
  <si>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</si>
  <si>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</si>
  <si>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</si>
  <si>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</si>
  <si>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</si>
  <si>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</si>
  <si>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</si>
  <si>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</si>
  <si>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</si>
  <si>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</si>
  <si>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</si>
  <si>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</si>
  <si>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</si>
  <si>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</si>
  <si>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</si>
  <si>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</si>
  <si>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</si>
  <si>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</si>
  <si>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</si>
  <si>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</si>
  <si>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</si>
  <si>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</si>
  <si>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</si>
  <si>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</si>
  <si>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</si>
  <si>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</si>
  <si>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</si>
  <si>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</si>
  <si>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</si>
  <si>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</si>
  <si>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</si>
  <si>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</si>
  <si>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</si>
  <si>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</si>
  <si>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</si>
  <si>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</si>
  <si>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</si>
  <si>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</si>
  <si>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</si>
  <si>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</si>
  <si>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</si>
  <si>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</si>
  <si>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</si>
  <si>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</si>
  <si>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</si>
  <si>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</si>
  <si>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</si>
  <si>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</si>
  <si>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</si>
  <si>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</si>
  <si>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</si>
  <si>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</si>
  <si>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</si>
  <si>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</si>
  <si>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</si>
  <si>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</si>
  <si>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</si>
  <si>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</si>
  <si>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</si>
  <si>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</si>
  <si>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</si>
  <si>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</si>
  <si>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</si>
  <si>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</si>
  <si>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</si>
  <si>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FORNECIMENTO E INSTALAÇÃO DE SUPORTE DE MADEIRA PARA PLACAS DE SINALIZAÇÃO, EM SOLO, COM H= DE 2,0 M E SEÇÃO DE 7,5 X 7,5 CM. AF_03/2022</t>
  </si>
  <si>
    <t>FORNECIMENTO E INSTALAÇÃO DE SUPORTE DE MADEIRA PARA PLACAS DE SINALIZAÇÃO, EM BASE DE CONCRETO, COM H= DE 2,0 M E SEÇÃO DE 7,5 X 7,5 CM. AF_03/2022</t>
  </si>
  <si>
    <t xml:space="preserve">SISTEMA DE ABASTECIMENTO DE ÁGUA </t>
  </si>
  <si>
    <t>MOVIMENTAÇÃO DE TERRA</t>
  </si>
  <si>
    <t>RESERVATÓRIO</t>
  </si>
  <si>
    <t>B A S E  D O  R E S E R V A T Ó R I O</t>
  </si>
  <si>
    <t>R E S E R V A T Ó R I O</t>
  </si>
  <si>
    <t>R E D E  D E  D I S T R I B U I Ç Ã O  D E  Á G U A</t>
  </si>
  <si>
    <t>4HR*5DIAS*4SEMANAS*6MESES</t>
  </si>
  <si>
    <t>C O M P O S I Ç Ã O   D E   P R E Ç O S  /  A B A S T E C I M E N T O  D E  Á G U A</t>
  </si>
  <si>
    <t>CONCATENAR(''AMM SAA 0'';(DIREITA(B15;2)+1))</t>
  </si>
  <si>
    <t>-</t>
  </si>
  <si>
    <t>VALOR ACATADO MÉDIA</t>
  </si>
  <si>
    <t>**ESTA COMPOSIÇÃO NÃO APRESENTA HORAS REFERENTE A MÃO DE OBRA, POIS O VALOR APRESENTADO NA COTAÇÃO JÁ INCLUI O SERVIÇO DE INSTALAÇÃO DO RESERVATÓRIO. NECESSÁRIO CALCULAR O TRANPORTE DE CUIABÁ ATÉ O MUNICÍPIO.</t>
  </si>
  <si>
    <t>TRANSPORTE DO RESERVATÓRIO ATÉ O LOCAL DA OBRA</t>
  </si>
  <si>
    <t>TRANSPORTE</t>
  </si>
  <si>
    <t xml:space="preserve">* COMPOSIÇÃO BASEADA NO MEMORIAL DE CÁLCULO DE TRANSPORTE </t>
  </si>
  <si>
    <t>MEMÓRIA DE CÁLCULO - TRANSPORTE</t>
  </si>
  <si>
    <t>PESO DO RESERVATÓRIO</t>
  </si>
  <si>
    <t>PESO (KG)</t>
  </si>
  <si>
    <t>PESO (T)</t>
  </si>
  <si>
    <t>*peso estimado</t>
  </si>
  <si>
    <t>DISTÂNCIA EM VIAS PAVIMENTADAS DE CUIABÁ ATÉ A SEDE MUNICIPAL</t>
  </si>
  <si>
    <t>ADESIVO DA LOGOMARCA DO ÓRGÃO FINANCIADOR PARA O RESERVATÓRIO 2,0 M X 1,5 M</t>
  </si>
  <si>
    <t>VG PRINT</t>
  </si>
  <si>
    <t>15.093.055/0001-60</t>
  </si>
  <si>
    <t>FRANCISLEY</t>
  </si>
  <si>
    <t>AUTENTICA IMPRESSAO DIGITAL</t>
  </si>
  <si>
    <t>(65) 3664-4004</t>
  </si>
  <si>
    <t>COTAÇÃO 008</t>
  </si>
  <si>
    <t>COTAÇÃO 009</t>
  </si>
  <si>
    <t>M Ã O  D E  O B R A</t>
  </si>
  <si>
    <t xml:space="preserve">UN </t>
  </si>
  <si>
    <t>ELABORAÇÃO DE CADASTRO DE REDE INCLUSIVE DESENHISTA</t>
  </si>
  <si>
    <t>E Q U I P A M E N T O S</t>
  </si>
  <si>
    <t>**COMPOSIÇÃO BASEADA NA SINAPI, JANEIRO DE 2017 - CÓDIGO: 73682| FORAM EXCLUÍDOS DA COMPOSIÇÃO BASE OS ITENS "COPIA HELIOGRÁFICA" E "PAPEL VEGETAL 90G/M2 - 0,8M DE LARGURA", POIS ESTES FORAM DESATIVADOS E JÁ ENCONTRAM-SE INSERIDOS NOS SERVIÇOS DO DESENHISTA DETALHISTA COM ENCARGOS COMPLEMENTARES|</t>
  </si>
  <si>
    <t>COMPOSIÇÕES SANEAMENTO</t>
  </si>
  <si>
    <t>AMM SAA 001</t>
  </si>
  <si>
    <t>AMM SAA 002</t>
  </si>
  <si>
    <t>AMM SAA 003</t>
  </si>
  <si>
    <t>AMM SAA 004</t>
  </si>
  <si>
    <t>AMM SAA 005</t>
  </si>
  <si>
    <t>AMM SAA 006</t>
  </si>
  <si>
    <t>AMM SAA 007</t>
  </si>
  <si>
    <t>AMM SAA 008</t>
  </si>
  <si>
    <t>AMM SAA 009</t>
  </si>
  <si>
    <t>AMM SAA 010</t>
  </si>
  <si>
    <t>AMM SAA 011</t>
  </si>
  <si>
    <t>AMM SAA 012</t>
  </si>
  <si>
    <t>AMM SAA 013</t>
  </si>
  <si>
    <t>AMM SAA 014</t>
  </si>
  <si>
    <t>AMM SAA 015</t>
  </si>
  <si>
    <t>AMM SAA 016</t>
  </si>
  <si>
    <t>AMM SAA 017</t>
  </si>
  <si>
    <t>AMM SAA 018</t>
  </si>
  <si>
    <t>AMM SAA 019</t>
  </si>
  <si>
    <t>AMM SAA 020</t>
  </si>
  <si>
    <t>AMM SAA 021</t>
  </si>
  <si>
    <t>AMM SAA 022</t>
  </si>
  <si>
    <t>AMM SAA 023</t>
  </si>
  <si>
    <t>AMM SAA 024</t>
  </si>
  <si>
    <t>AMM SAA 025</t>
  </si>
  <si>
    <t>AMM SAA 026</t>
  </si>
  <si>
    <t>AMM SAA 027</t>
  </si>
  <si>
    <t>AMM SAA 028</t>
  </si>
  <si>
    <t>AMM SAA 029</t>
  </si>
  <si>
    <t>AMM SAA 030</t>
  </si>
  <si>
    <t>AMM SAA 031</t>
  </si>
  <si>
    <t>AMM SAA 032</t>
  </si>
  <si>
    <t>U R B A N I Z A Ç Ã O  D A  Á R E A</t>
  </si>
  <si>
    <t>L I G A Ç Õ E S  D O M I C I L I A R E S</t>
  </si>
  <si>
    <t>ELABORAÇÃO DE CADASTRO LIGAÇÕES PREDIAIS, INCLUSIVE DESENHISTA</t>
  </si>
  <si>
    <t>**COMPOSIÇÃO BASEADA NA SINAPI, JANEIRO DE 2017 - CÓDIGO: 73677| FORAM EXCLUÍDOS DA COMPOSIÇÃO BASE OS ITENS "COPIA HELIOGRÁFICA" E "PAPEL VEGETAL 90G/M2 - 0,8M DE LARGURA", POIS ESTES FORAM DESATIVADOS E JÁ ENCONTRAM-SE INDERIDOS NOS SERVIÇOS DO DESENHISTA DETALHISTA COM ENCARGOS COMPLEMENTARES|</t>
  </si>
  <si>
    <t>BDI Serv.</t>
  </si>
  <si>
    <t>BDI Equi.</t>
  </si>
  <si>
    <t>RAMAL DE LIGAÇÃO DE ÁGUA (REDE DE DISTRIBUIÇÃO À FACHADA DO LOTE)</t>
  </si>
  <si>
    <t xml:space="preserve">**COMPOSIÇÃO BASEADA NA ORSE COD. 09630 (RAMAL DE LIGAÇÃO DE ÁGUA-REDE DE DISTRIBUIÇÃO À FACHADA DO LOTE) 
</t>
  </si>
  <si>
    <t>AMM SAA 033</t>
  </si>
  <si>
    <t>AMM SAA 034</t>
  </si>
  <si>
    <t>AMM SAA 035</t>
  </si>
  <si>
    <t>AMM SAA 036</t>
  </si>
  <si>
    <t>AMM SAA 037</t>
  </si>
  <si>
    <t>AMM SAA 038</t>
  </si>
  <si>
    <t>AMM SAA 039</t>
  </si>
  <si>
    <t xml:space="preserve">**COMPOSIÇÃO BASEADA EM PROJETO
</t>
  </si>
  <si>
    <t>AMM SAA 040</t>
  </si>
  <si>
    <t>AMM SAA 041</t>
  </si>
  <si>
    <t>AMM SAA 042</t>
  </si>
  <si>
    <t>AMM SAA 043</t>
  </si>
  <si>
    <t>AMM SAA 044</t>
  </si>
  <si>
    <t>AMM SAA 045</t>
  </si>
  <si>
    <t>MATERIAIS HIDRÁULICOS</t>
  </si>
  <si>
    <t>**COMPOSIÇÃO BASEADA EM PROJETO</t>
  </si>
  <si>
    <t>AMM SAA 046</t>
  </si>
  <si>
    <t>AMM SAA 047</t>
  </si>
  <si>
    <t>FORNECIMENTO E ASSENTAMENTO DE TUBO PVC PBA JEI, CLASSE 12, DN 50MM, PARA REDE DE ÁGUA</t>
  </si>
  <si>
    <t>TERMOFUSORA PARA TUBOS E CONEXÕES EM PPR COM DIÂMETROS DE 20 A 63 MM, POTÊNCIA DE 800 W, TENSAO 220 V - CHP DIURNO. AF_05/2022</t>
  </si>
  <si>
    <t>TERMOFUSORA PARA TUBOS E CONEXÕES EM PPR COM DIÂMETROS DE 75 A 110 MM, POTÊNCIA DE *1100* W, TENSÃO 220 V - CHP DIURNO. AF_05/2022</t>
  </si>
  <si>
    <t>TERMOFUSORA PARA TUBOS E CONEXÕES EM PPR COM DIÂMETROS DE 20 A 63 MM, POTÊNCIA DE 800 W, TENSAO 220 V - CHI DIURNO. AF_05/2022</t>
  </si>
  <si>
    <t>TERMOFUSORA PARA TUBOS E CONEXÕES EM PPR COM DIÂMETROS DE 75 A 110 MM, POTÊNCIA DE *1100* W, TENSÃO 220 V - CHI DIURNO. AF_05/2022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</si>
  <si>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</si>
  <si>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</si>
  <si>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</si>
  <si>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</si>
  <si>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</si>
  <si>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</si>
  <si>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</si>
  <si>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</si>
  <si>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</si>
  <si>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</si>
  <si>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CAIXA COM GRELHA DUPLA RETANGULAR, EM CONCRETO PRÉ-MOLDADO, DIMENSÕES INTERNAS: 0,5X2,2X1,0 M. AF_12/2020</t>
  </si>
  <si>
    <t>BATENTE PARA PORTA DE MADEIRA, FIXAÇÃO COM ARGAMASSA, PADRÃO MÉDIO - FORNECIMENTO E INSTALAÇÃO. AF_12/2019</t>
  </si>
  <si>
    <t>BATENTE PARA PORTA DE MADEIRA, FIXAÇÃO COM ARGAMASSA, PADRÃO POPULAR. FORNECIMENTO E INSTALAÇÃO. AF_12/2019</t>
  </si>
  <si>
    <t>TAMPA CIRCULAR PARA ESGOTO E DRENAGEM, EM CONCRETO PRÉ-MOLDADO, DIÂMETRO INTERNO = 0,60 M E ALTURA = 0,10 M. AF_12/2020</t>
  </si>
  <si>
    <t>PLANTIO DE GRAMA BATATAIS EM PLACAS. AF_05/2018</t>
  </si>
  <si>
    <t>PLANTIO DE GRAMA ESMERALDA OU SÃO CARLOS OU CURITIBANA, EM PLACAS. AF_05/2022</t>
  </si>
  <si>
    <t xml:space="preserve">**COMPOSIÇÃO DE MÃO DE OBRA BASEADA NA SINAPI COD. 97121 (ASSENTAMENTO DE TUBO DE PVC PBA PARA REDE DE ÁGUA, DN 50 MM, JUNTA ELÁSTICA INTEGRADA, INSTALADO EM LOCAL COM NÍVEL BAIXO DE INTERFERÊNCIAS (NÃO INCLUI FORNECIMENTO). AF_11/2017)  ABRIL/2022 E MATERIAL BASEADA NA SINAPI COD. 36084 (04/2022) 
</t>
  </si>
  <si>
    <t>AMM SAA 048</t>
  </si>
  <si>
    <t>AMM SAA 049</t>
  </si>
  <si>
    <t>AMM SAA 050</t>
  </si>
  <si>
    <t>AMM SAA 051</t>
  </si>
  <si>
    <t>AMM SAA 052</t>
  </si>
  <si>
    <t>AMM SAA 053</t>
  </si>
  <si>
    <t>AMM SAA 054</t>
  </si>
  <si>
    <t>AMM SAA 055</t>
  </si>
  <si>
    <t>FORNECIMENTO E ASSENTAMENTO DE MATERIAIS HIDRÁULICOS DA REDE DE DISTRIBUIÇÃO DE ÁGUA</t>
  </si>
  <si>
    <t xml:space="preserve">M A T E R I A L  </t>
  </si>
  <si>
    <t>ASSENTAMENTO DE CONEXÕES DE PVC, JUNTA ELÁSTICA, PONTA E BOLSA, DIAM.= 50 MM</t>
  </si>
  <si>
    <t>SITE: amm.org.br   -   E-mail: centraldeprojetosamm@gmail.com</t>
  </si>
  <si>
    <t xml:space="preserve">PROJEÇÃO POPULACIONAL E VAZÕES DO SISTEMA </t>
  </si>
  <si>
    <t>OBRA :</t>
  </si>
  <si>
    <t>LOCAL :</t>
  </si>
  <si>
    <t>MÉTODOS DE CÁLCULOS PARA DIMENSIONAMENTO DAS VAZÕES</t>
  </si>
  <si>
    <t>VAZÃO MÉDIA</t>
  </si>
  <si>
    <t>Qméd. = vazão média, em L/s;</t>
  </si>
  <si>
    <t xml:space="preserve">Pa = quota per capta de água, em L/hab.d.  Considera o consumo per capta como sendo </t>
  </si>
  <si>
    <t>L/hab.dia;</t>
  </si>
  <si>
    <t xml:space="preserve">c = coeficiente de retorno. Segundo Von Sperling (2005, p. 77), adota-se usualmente </t>
  </si>
  <si>
    <t>Cr=</t>
  </si>
  <si>
    <t>P = população no ano desejado.</t>
  </si>
  <si>
    <t>k1=</t>
  </si>
  <si>
    <t>k2=</t>
  </si>
  <si>
    <t>k3=</t>
  </si>
  <si>
    <t>Vazão de adução ou máxima diária</t>
  </si>
  <si>
    <t>Vazão de distribuição ou máxima horária</t>
  </si>
  <si>
    <t>Vazão mínima</t>
  </si>
  <si>
    <t>Volume do Reservatório</t>
  </si>
  <si>
    <t>TAXA DE OCUPAÇÃO</t>
  </si>
  <si>
    <t>Com base nesses dois dados, foi possível obter a taxa de ocupação, que é definida pelo quociente entre a população e quantidade de domicílios.</t>
  </si>
  <si>
    <r>
      <t>Domicílios</t>
    </r>
    <r>
      <rPr>
        <sz val="12"/>
        <color rgb="FF000000"/>
        <rFont val="Times New Roman"/>
        <family val="1"/>
      </rPr>
      <t xml:space="preserve">/
</t>
    </r>
    <r>
      <rPr>
        <b/>
        <sz val="12"/>
        <color rgb="FF000000"/>
        <rFont val="Times New Roman"/>
        <family val="1"/>
      </rPr>
      <t>Moradores</t>
    </r>
  </si>
  <si>
    <t>Situação do domicílio</t>
  </si>
  <si>
    <t xml:space="preserve">Urbano </t>
  </si>
  <si>
    <t xml:space="preserve">Rural </t>
  </si>
  <si>
    <t xml:space="preserve">Domicílios </t>
  </si>
  <si>
    <t xml:space="preserve">População </t>
  </si>
  <si>
    <t>Fonte: IBGE – Censos demográficos 2010.</t>
  </si>
  <si>
    <t>DOMICÍLIOS URBANOS EM 2010</t>
  </si>
  <si>
    <t>POPULAÇÃO URBANA EM 2010</t>
  </si>
  <si>
    <t>Índice de Habitantes por Domicílio</t>
  </si>
  <si>
    <t>TAXA DE CRECIMENTO POPULACIONAL</t>
  </si>
  <si>
    <t>Taxa de crescimento Populacional - 10 anos</t>
  </si>
  <si>
    <t>Ano</t>
  </si>
  <si>
    <t>População Urbana</t>
  </si>
  <si>
    <t>População Rural</t>
  </si>
  <si>
    <t>População Total</t>
  </si>
  <si>
    <t xml:space="preserve">Ta </t>
  </si>
  <si>
    <t>Período</t>
  </si>
  <si>
    <t>Mato Grosso</t>
  </si>
  <si>
    <t>População total</t>
  </si>
  <si>
    <t>k1 =</t>
  </si>
  <si>
    <t>k2 =</t>
  </si>
  <si>
    <t>ANO</t>
  </si>
  <si>
    <t>POPULAÇÃO</t>
  </si>
  <si>
    <t>Q média (L/s)</t>
  </si>
  <si>
    <t>Q Adução ou máx. diária (L/s)</t>
  </si>
  <si>
    <t>Q Adução ou máx. diária (m³/h)</t>
  </si>
  <si>
    <t>Q distribuição ou máx. horária (L/s)</t>
  </si>
  <si>
    <t>Q distribuição ou máx. horária (m³/h)</t>
  </si>
  <si>
    <t>Reservatório (m³)</t>
  </si>
  <si>
    <t>AMM SAA 056</t>
  </si>
  <si>
    <t>AMM SAA 057</t>
  </si>
  <si>
    <t>AMM SAA 058</t>
  </si>
  <si>
    <t>BLOCOS</t>
  </si>
  <si>
    <t>M O V I M E N T O  D E  T E R R A</t>
  </si>
  <si>
    <t>F U N D A Ç Ã O</t>
  </si>
  <si>
    <t>AMM SAA 059</t>
  </si>
  <si>
    <t>AMM SAA 060</t>
  </si>
  <si>
    <t>AMM SAA 061</t>
  </si>
  <si>
    <t>AMM SAA 062</t>
  </si>
  <si>
    <t>AMM SAA 063</t>
  </si>
  <si>
    <t>AMM SAA 064</t>
  </si>
  <si>
    <t>AMM SAA 065</t>
  </si>
  <si>
    <t>Camylla</t>
  </si>
  <si>
    <t>FORNECIMENTO E ASSENTAMENTO DE MATERIAIS HIDRÁULICOS DO RESERVATÓRIO A REDE DE DISTRIBUIÇÃO</t>
  </si>
  <si>
    <t>FORNECIMENTO E ASSENTAMENTO DE MATERIAIS HIDRÁULICOS EXTRAVASOR DO RESERVATÓRIO</t>
  </si>
  <si>
    <t>**COMPOSIÇÃO DA MÃO DE OBRA BASEADA NO BOLETIM AGETOP ABRIL/2022 SERVIÇO : 070218 TABELA 169.</t>
  </si>
  <si>
    <t xml:space="preserve">**COMPOSIÇÃO DA MÃO DE OBRA BASEADA NO BOLETIM AGETOP JANEIRO/2022 COD. : 071761 </t>
  </si>
  <si>
    <t>BDI SERV.</t>
  </si>
  <si>
    <t>LIMPEZA MECANIZADA DO TERRENO C/ RETROESCAVADEIRA (VEGETAÇÃO RASTEIRA) INCLUSIVE CARGA E TRANSPORTE - DMT ATÉ 1KM</t>
  </si>
  <si>
    <t>Limpeza mecanizada do terreno c/ retroescavadeira (vegetação rasteira) inclusive carga e transporte - dmt até 1km</t>
  </si>
  <si>
    <r>
      <rPr>
        <b/>
        <sz val="12"/>
        <rFont val="Arial"/>
        <family val="2"/>
      </rPr>
      <t>**</t>
    </r>
    <r>
      <rPr>
        <sz val="12"/>
        <rFont val="Arial"/>
        <family val="2"/>
      </rPr>
      <t>COMPOSIÇÃO BASEADA NO ORSE, CÓD. 09937 - (NOVEMBRO/2021)</t>
    </r>
  </si>
  <si>
    <t>PORTÃO EM TUBO DE AÇO GALVANIZADO COM QUADRO DE DN 1 1/4", E BARRAS VERTICAIS DE DN 1" A CADA 10CM</t>
  </si>
  <si>
    <r>
      <rPr>
        <b/>
        <sz val="12"/>
        <rFont val="Arial"/>
        <family val="2"/>
      </rPr>
      <t>**</t>
    </r>
    <r>
      <rPr>
        <sz val="12"/>
        <rFont val="Arial"/>
        <family val="2"/>
      </rPr>
      <t>COMPOSIÇÃO BASEADA NO ORSE, CÓD. 08702 - (AGOSTO/2021)</t>
    </r>
  </si>
  <si>
    <t>SERÁ INSTALADO TAPUME NO PERÍMETRO DAS ÁREAS DOS BARRACÕES DE DEPÓSITO</t>
  </si>
  <si>
    <t>CONFORME PROJETO DE SANEAMENTO</t>
  </si>
  <si>
    <t>CONFORME MEMORIAL DE CÁLCULO DO RESERVATÓRIO</t>
  </si>
  <si>
    <t>CONFORME PROJETO ESTRUTURAL</t>
  </si>
  <si>
    <t>SERÁ TRANSPORTADO 1 (UM) RESERVATÓRIO ATÉ O LOCAL DA OBRA</t>
  </si>
  <si>
    <t>SERÁ INSTALADO 1 (UM) ADESIVO NO RESERVATÓRIO</t>
  </si>
  <si>
    <t>CONFORME PROJETO ELÉTRICO</t>
  </si>
  <si>
    <t>CONFORME PROJETO SPDA</t>
  </si>
  <si>
    <t>COTAÇÃO 001</t>
  </si>
  <si>
    <t>PREFEITURA MUNICIPAL DE APIACÁS</t>
  </si>
  <si>
    <t>SETOR PIONEIRO - MUNICÍPIO DE APIACÁS</t>
  </si>
  <si>
    <t>A D U T O R A  D E  Á G U A  T R A T A D A</t>
  </si>
  <si>
    <t>(FONTE: PMSB-Apiacás, 2015)</t>
  </si>
  <si>
    <t xml:space="preserve">Foi consultado o site do IBGE para verificar a quantidade da população do município de Apiacás e respectiva quantidade de domicílios no ano do último censo (2010). </t>
  </si>
  <si>
    <t>Tabela. Quantidade de Domicílios e População do município de Alto Boa Vista no ano de 2010.</t>
  </si>
  <si>
    <t>Taxa de crescimento Populacional Rural - 10 anos</t>
  </si>
  <si>
    <t>Taxa de crescimento Populacional Total - 10 anos</t>
  </si>
  <si>
    <t xml:space="preserve">A taxa de crescimento populacional da área urbana do município de </t>
  </si>
  <si>
    <t>Apiacás é de:</t>
  </si>
  <si>
    <t>PROJEÇÃO POPULACIONAL DO MUNICÍPIO DE APIACÁS</t>
  </si>
  <si>
    <t>Tabela. Projeção Populacional para o Estado de Mato Grosso e município de Apiacás.</t>
  </si>
  <si>
    <t>Município de Apiacás</t>
  </si>
  <si>
    <t xml:space="preserve">FONTE TABELA DE PROJEÇÃO: PMSB-Apiacás (2015) - Tabela elaborada pela Equipe do PMSB, com utilização da Taxa Geométrica de Crescimento Anual; </t>
  </si>
  <si>
    <t>TGCA aplicada, proporcional ao total, a partir da contagem populacional 2007 e do censo 2010.</t>
  </si>
  <si>
    <t xml:space="preserve">Fonte dos dados: PMSB- Apiacás, 2015. </t>
  </si>
  <si>
    <t>SETOR PIONEIRO</t>
  </si>
  <si>
    <t>Será considerada a captação de água superficial para abastecimento público.</t>
  </si>
  <si>
    <t>DIMENSIONAMENTO DAS VAZÕES E RESERVAÇÃO</t>
  </si>
  <si>
    <t>Para dimensionamento da demanda do Setor Pioneiro, a ser atendido neste projeto, foi adotado o quantitativo de lotes até a sua saturação urbanística que atenderá o horizinte de projeto de 20 anos proposto,</t>
  </si>
  <si>
    <t>e utilizando o Índice de habitantes por domicílio, obtido anteriormente. Para projeção até o horizonte de projeto, foi utilizada a porcentagem de crescimento de 1% ao ano, tendo em vista que conforme cálculo realizado</t>
  </si>
  <si>
    <t>a Taxa de Crescimento populacional do município apresentou valor inferior a 1%, sendo portanto, recomendado neste caso a adoção de crescimento minímo de 1%.</t>
  </si>
  <si>
    <t>Coef. Adotados</t>
  </si>
  <si>
    <t xml:space="preserve">Quantidade de lotes </t>
  </si>
  <si>
    <t>Índice de habitantes por domicílios</t>
  </si>
  <si>
    <r>
      <t xml:space="preserve">Consumo </t>
    </r>
    <r>
      <rPr>
        <i/>
        <sz val="12"/>
        <rFont val="Times New Roman"/>
        <family val="1"/>
      </rPr>
      <t xml:space="preserve">per capita </t>
    </r>
  </si>
  <si>
    <t>Taxa de Crescimento Populacional (%)</t>
  </si>
  <si>
    <r>
      <t>Para a estimativa de população de projeto, será nessário a instalação de um reservatório de</t>
    </r>
    <r>
      <rPr>
        <b/>
        <sz val="12"/>
        <rFont val="Times New Roman"/>
        <family val="1"/>
      </rPr>
      <t xml:space="preserve"> 150 m³ </t>
    </r>
    <r>
      <rPr>
        <sz val="12"/>
        <rFont val="Times New Roman"/>
        <family val="1"/>
      </rPr>
      <t xml:space="preserve">para atender a todo horizinte de projeto do Setor Pioneiro. Tendo em vista a pressão necessária </t>
    </r>
  </si>
  <si>
    <r>
      <t xml:space="preserve">para distribuição, será adotado o </t>
    </r>
    <r>
      <rPr>
        <b/>
        <sz val="12"/>
        <rFont val="Times New Roman"/>
        <family val="1"/>
      </rPr>
      <t>modelo metálico tipo taça, com coluna seca</t>
    </r>
    <r>
      <rPr>
        <sz val="12"/>
        <rFont val="Times New Roman"/>
        <family val="1"/>
      </rPr>
      <t>.</t>
    </r>
  </si>
  <si>
    <t>FORNECIMENTO E ASSENTAMENTO DE TUBO PVC PBA JEI, CLASSE 12, DN 100MM, PARA REDE DE ÁGUA</t>
  </si>
  <si>
    <t xml:space="preserve">**COMPOSIÇÃO DE MÃO DE OBRA BASEADA NA SINAPI COD. 97126 (ASSENTAMENTO DE TUBO DE PVC PBA PARA REDE DE ÁGUA, DN 100 MM, JUNTA ELÁSTICA INTEGRADA, INSTALADO EM LOCAL COM NÍVEL BAIXO DE INTERFERÊNCIAS (NÃO INCLUI FORNECIMENTO). AF_11/2017)  05/2022 E MATERIAL BASEADA NA SINAPI COD. 36374 (05/2022) 
</t>
  </si>
  <si>
    <t>ASSENTAMENTO DE CONEXÕES DE PVC, JUNTA ELÁSTICA, PONTA E BOLSA, DIAM.= 100 MM</t>
  </si>
  <si>
    <t>**COMPOSIÇÃO BASEADA NO ORSE, CÓD. "05233" (ABRIL/2022)</t>
  </si>
  <si>
    <t>**COMPOSIÇÃO BASEADA NO ORSE, CÓD. "05231" (ABRIL/2022)</t>
  </si>
  <si>
    <t>PLACA DE OBRA COM AS DIMENSÕES DE 2,25 M X 3,6 M</t>
  </si>
  <si>
    <t>**ESTA COMPOSIÇÃO NÃO APRESENTA HORAS REFERENTE A MÃO DE OBRA, POIS O VALOR APRESENTADO NA COTAÇÃO JÁ INCLUI O SERVIÇO DE INSTALAÇÃO DO ADESIVO NO RESERVATÓRIO.</t>
  </si>
  <si>
    <t>Já existe no município uma captação superficial e Estação de Tratamento de Água com capacidade de tratamento 74 m³/h.</t>
  </si>
  <si>
    <t>EXTENSÃO DE VIAS COM PAVIMENTO</t>
  </si>
  <si>
    <t>SERÁ EXECUTADO 12.125,84 METROS DE REDE</t>
  </si>
  <si>
    <t>SERÁ EXECUTADO O CADASTRO DOS 12.125,84 METROS DE REDE</t>
  </si>
  <si>
    <r>
      <rPr>
        <b/>
        <sz val="12"/>
        <rFont val="Arial"/>
        <family val="2"/>
      </rPr>
      <t>DF -</t>
    </r>
    <r>
      <rPr>
        <sz val="12"/>
        <rFont val="Arial"/>
        <family val="2"/>
      </rPr>
      <t xml:space="preserve"> Despesas Financeiras</t>
    </r>
  </si>
  <si>
    <t>SERÁ INSTALADO 1 (UM) RESERVATÓRIO DE 150M³ PARA ATENDIMENTO DO PROJETO</t>
  </si>
  <si>
    <t>PARA REDE DE DIÂMETRO 50MM = EXTENSÃO DA REDE (9.714,40M) X [PROFUNDIDADE DO RECOBRIMENTO (1,20 M)+ DIÂMETRO EXTERNO DO TUBO (0,06 M) + CAMADA DE AREIA (0,10M)] X LARGURA DA VALA (0,60 M) = 7.927,00 M3
PARA REDE DE DIÂMETRO 100MM = EXTENSÃO DA REDE (2.411,44M) X [PROFUNDIDADE DO RECOBRIMENTO (1,20 M)+ DIÂMETRO EXTERNO DO TUBO (0,10 M) + CAMADA DE AREIA (0,10M)] X LARGURA DA VALA (0,60 M) = 2.025,60 M3. VOLUME TOTAL DE ESCAVAÇÃO  = 9.952,56 M3</t>
  </si>
  <si>
    <t>VOLUME DE ESCAVAÇÃO 9.952,56 M3 - [VOLUME DO TUBO 50MM (27,46 M³) +  VOLUME DO TUBO 100MM ( 22,91 M³)]= 9.948,01 M3</t>
  </si>
  <si>
    <t>RESERVATÓRIO METÁLICO TIPO TAÇA COLUNA SECA COM CAPACIDADE UTIL DE 150 M³, COM DRENO PARA LIMPEZA,  RESPIRO, BOCA DE VISITA, ESCADA INTERNA, ESCADA EXTERNA TIPO MARINHEIRO COM GUARDA CORPO, SUPORTE PARA PARA-RAIO E ISOLADORES E FRETE</t>
  </si>
  <si>
    <t>BRASIL CAIXA D'ÁGUA</t>
  </si>
  <si>
    <t>MULT CAIXAS</t>
  </si>
  <si>
    <t>LINO</t>
  </si>
  <si>
    <t>(19)98171-9310</t>
  </si>
  <si>
    <t>05.077.885/0001-40</t>
  </si>
  <si>
    <t>CAPACIDADE DE 150.000 LITROS</t>
  </si>
  <si>
    <t>APIACÁS - SEDE MUNICIPAL</t>
  </si>
  <si>
    <t>CURVA 90° FERRO FUNDIDO COM FLANGES, PN-10, DN 100MM</t>
  </si>
  <si>
    <t>EXTREMIDADE FERRO FUNDIDO PONTA E FLANGE, PN-10, DN 100MM</t>
  </si>
  <si>
    <t xml:space="preserve">M A T E R I A L </t>
  </si>
  <si>
    <t>TUBO FERRO FUNDIDO COM FLANGE E PONTA, PN-10, L = 5,8M, DN 100MM</t>
  </si>
  <si>
    <t>TUBO FERRO FUNDIDO COM FLANGES, PN-10, L = 5,8M, DN 100MM</t>
  </si>
  <si>
    <t>CURVA 90° FERRO FUNDIDO COM FLANGES E PÉ, PN-10, DN 100MM</t>
  </si>
  <si>
    <t>TUBO FERRO FUNDIDO COM FLANGES, PN-10, L = 1,4M, DN 100MM</t>
  </si>
  <si>
    <t>CURVA 45° FERRO FUNDIDO COM FLANGES, PN-10, DN 100MM</t>
  </si>
  <si>
    <t>TUBO FERRO FUNDIDO COM FLANGES, PN-10, L = 1,72M, DN 100MM</t>
  </si>
  <si>
    <t>EXTREMIDADE BOLSA E FLANGE PARA PVC PBA, DN 100MM</t>
  </si>
  <si>
    <t>CURVA 90° PVC DEFOFO, PONTA E BOLSA, DN 150MM</t>
  </si>
  <si>
    <t>LUVA DE CORRER PVC DEFOFO, DN 150MM</t>
  </si>
  <si>
    <t>EXTREMIDADE PVC DEFOFO PONTA E FLANGE, DN 150MM</t>
  </si>
  <si>
    <t>CURVA 45° FERRO FUNDIDO COM FLANGES, PN-10, DN 150MM</t>
  </si>
  <si>
    <t>TUBO FERRO FUNDIDO COM FLANGES, PN-10, L = 1,48M, DN 150MM</t>
  </si>
  <si>
    <t>TUBO FERRO FUNDIDO COM FLANGES, PN-10, L = 1,40M, DN 150MM</t>
  </si>
  <si>
    <t>CURVA 90° FERRO FUNDIDO COM FLANGES E PÉ, PN-10, DN 150MM</t>
  </si>
  <si>
    <t>TUBO FERRO FUNDIDO COM FLANGES, PN-10, L = 0,92M, DN 150MM</t>
  </si>
  <si>
    <t>REGISTRO DE GAVETA FERRO FUNDIDO COM FLANGES,PN-10, DN 150MM</t>
  </si>
  <si>
    <t>TUBO FERRO FUNDIDO COM FLANGES, PN-10, L = 1,87M, DN 150MM</t>
  </si>
  <si>
    <t>TUBO FERRO FUNDIDO COM FLANGES, PN-10, L = 5,8M, DN 150MM</t>
  </si>
  <si>
    <t>CURVA 90° FERRO FUNDIDO COM FLANGES, PN-10, DN 150MM</t>
  </si>
  <si>
    <t>EXTREMIDADE FERRO FUNDIDO PONTA E FLANGE, PN-10, DN 150MM</t>
  </si>
  <si>
    <t>ASSENTAMENTO DE CONEXÕES DE PVC DEFOFO, JUNTA ELÁSTICA, DIAM.= 150 MM</t>
  </si>
  <si>
    <t xml:space="preserve">**COMPOSIÇÃO DE MÃO DE OBRA BASEADA NA ORSE COD. 05276 (ASSENTAMENTO DE CONEXÕES DE PVC DEFOFO, JUNTA ELÁSTICA, DIAM.= 150 MM)  MAIO/2022 
</t>
  </si>
  <si>
    <t>FORNECIMENTO E ASSENTAMENTO DE MATERIAIS HIDRÁULICOS DA ADUTORA DE ÁGUA TRATADA ATÉ A ENTRADA DO RESERVATÓRIO</t>
  </si>
  <si>
    <t>27.222.285/0001-61</t>
  </si>
  <si>
    <t>(65) 3046-6965</t>
  </si>
  <si>
    <t>FABIANA</t>
  </si>
  <si>
    <t xml:space="preserve">TUBO PVC DEFOFO, JEI, 1 MPA, DN 150 MM, PARA REDE DE  AGUA (NBR 7665) - FORNECIMENTO E ASSENTAMENTO                                                                                                                                                                                                                                                                                                                                                                                                                              </t>
  </si>
  <si>
    <t>*COMPOSIÇÃO COM FORNECIMENTO E ASSENTAMENTO DA TUBUÇAÇÃO</t>
  </si>
  <si>
    <t>FORNECIMENO E ASSENTAMENTO DE ABRAÇADEIRA CIRCULAR EM AÇO GALVANIZADO - DN 200 MM</t>
  </si>
  <si>
    <t>*COMPOSIÇÃO BASEADA EM ORSE - COD 10448 - ABRIL 2022</t>
  </si>
  <si>
    <t>ABRAÇADEIRA CIRCULAR EM AÇO GALVANIZADO - DN 200 MM</t>
  </si>
  <si>
    <t>JUDY MATERIAIS ELÉTRICOS</t>
  </si>
  <si>
    <t>(71) 99171-0556</t>
  </si>
  <si>
    <t>INTERNET</t>
  </si>
  <si>
    <t>CONJUNTO MOTO BOMBA - Q: 14 L/S - HM: 35 M.C.A - FORNECIMENTO E INSTALAÇÃO</t>
  </si>
  <si>
    <t>*COMPOSIÇÃO BASEADA NA TABELA DE CUSTOS - VERSÃO 27 - SEINFRA CÓD: C0450 - ESTE SERVIÇO É SEMELHANTE AO APRESENTADO NESTE ORÇAMENTO VISTO QUE AS CONEXÕES QUE SÃO INTERLIGADAS A BOMBA JÁ POSSUEM MÃO DE OBRA EMBUTIDA NOS SEUS SERVIÇOS.</t>
  </si>
  <si>
    <t>CONJUNTO MOTO BOMBA - Q: 14 L/S - HM: 35 M.C.A</t>
  </si>
  <si>
    <t>FORNECIMENTO E ASSENTAMENTO DE TUBOS E CONEXÕES EM FF PN 10 - INTALAÇÕES DE SUCÇÃO/RECALQUE/BARRILETE</t>
  </si>
  <si>
    <t>TÊ FF PN 10 - DN 200 MM</t>
  </si>
  <si>
    <t>TUBO FF PN 10 - DN 200 MM - L: 0,15</t>
  </si>
  <si>
    <t>CURVA 90º FF PN 10 - DN 200 MM</t>
  </si>
  <si>
    <t>VÁLVULA DE GAVETA COM FLANGES E VOLANTE PN 10 - DN 200 MM</t>
  </si>
  <si>
    <t>EXTREMIDADE FLANGE E PONTA PN 10 - DN 200 MM - L: 0,40</t>
  </si>
  <si>
    <t>JUNTA DE DESMONTAGEM FF PN 10 - DN 200 MM</t>
  </si>
  <si>
    <t>REDUÇÃO EXCÊNTRICA FF PN 10 - DN 200 X 100 MM</t>
  </si>
  <si>
    <t>REDUÇÃO CONCÊNTRICA FF PN 10 - DN 150 X 80 MM</t>
  </si>
  <si>
    <t>VÁLVULA DE RETENÇÃO TIPO PORTINHOLA FF PN 10 - DN 150 MM</t>
  </si>
  <si>
    <t>EXTREMIDADE FLANGE E PONTA PN 10 - DN 150 MM - L: 0,35</t>
  </si>
  <si>
    <t>JUNTA DE DESMONTAGEM FF PN 10 - DN 150 MM</t>
  </si>
  <si>
    <t>VÁLVULA DE GAVETA COM FLANGES E VOLANTE PN 10 - DN 150 MM</t>
  </si>
  <si>
    <t>CURVA 90º FF PN 10 - DN 150 MM</t>
  </si>
  <si>
    <t>TUBO FF PN 10 - DN 150 MM - L: 0,20 M</t>
  </si>
  <si>
    <t>TÊ FF PN 10 - DN 150 MM</t>
  </si>
  <si>
    <t>TUBO FLANGE E PONTA PN 10 - DN 150 MM - L: 2,60</t>
  </si>
  <si>
    <t>CURVA 90º COM BOLSAS E JUNTA ELÁSTICA PN 10 - DN 150 MM</t>
  </si>
  <si>
    <t>PARAFUSO/PORCA (16 MM) PARA FLANGE</t>
  </si>
  <si>
    <t>PARAFUSO/PORCA (20 MM) PARA FLANGE</t>
  </si>
  <si>
    <t>ARRUELA DE VEDAÇÃO PARA FLANGE DN 80 MM</t>
  </si>
  <si>
    <t>ARRUELA DE VEDAÇÃO PARA FLANGE DN 100 MM</t>
  </si>
  <si>
    <t>ARRUELA DE VEDAÇÃO PARA FLANGE DN 150 MM</t>
  </si>
  <si>
    <t>ARRUELA DE VEDAÇÃO PARA FLANGE DN 200 MM</t>
  </si>
  <si>
    <t>*COMPOSIÇÃO APRESENTA O FORNECIMENTO E ASSENTAMENTO DAS PEÇAS/TUBOS INDICADOS NO MATERIAL</t>
  </si>
  <si>
    <t>EPT SANEAMENTO</t>
  </si>
  <si>
    <t>ELIAS</t>
  </si>
  <si>
    <t>DTS SANEAMENTO E USINAGEM</t>
  </si>
  <si>
    <t>30.194.330/0001-26</t>
  </si>
  <si>
    <t>(19) 3266-1919</t>
  </si>
  <si>
    <t>JANAINA</t>
  </si>
  <si>
    <t>TUBULAÇÃO</t>
  </si>
  <si>
    <t xml:space="preserve">CONEXÕES </t>
  </si>
  <si>
    <t>CONJUNTO MOTO-BOMBA</t>
  </si>
  <si>
    <t>VÁLVULA VENTOSA</t>
  </si>
  <si>
    <t>TUBOS E CONEXÕES (ABRIGO DE VÁLVULA VENTOSA) - FORNECIMENTO E INSTALAÇÃO</t>
  </si>
  <si>
    <t>TUBO COM FLANGE E BOLSA - PN 10 - DN 150 MM - L: 0,20 M</t>
  </si>
  <si>
    <t>TÊ FF PN 10 - DN 150 X 100 MM</t>
  </si>
  <si>
    <t>VÁLVULA VENTOSA DE TRÍPLICE FUNÇÃO PN 10 - DN 100</t>
  </si>
  <si>
    <t>ABRIGO DE VÁLVULA VENTOSA- DIMENSÕES DE ACORDO COM O PROJETO</t>
  </si>
  <si>
    <t>* MEDIDAS DE ACORDO COM O PROJETO APRESENTADO</t>
  </si>
  <si>
    <t>RESOLUÇÃO</t>
  </si>
  <si>
    <t>RESULTADO</t>
  </si>
  <si>
    <t>ESCAVAÇÃO</t>
  </si>
  <si>
    <r>
      <rPr>
        <b/>
        <sz val="12"/>
        <rFont val="Arial"/>
        <family val="2"/>
      </rPr>
      <t>Escavação:</t>
    </r>
    <r>
      <rPr>
        <sz val="12"/>
        <rFont val="Arial"/>
        <family val="2"/>
      </rPr>
      <t xml:space="preserve"> Área do Fundo em Concreto Armado x Altura Total (Até o Terreno Acabado)</t>
    </r>
  </si>
  <si>
    <t>Escavação: 6,24 x 1,60</t>
  </si>
  <si>
    <t>COMPACTAÇÃO</t>
  </si>
  <si>
    <r>
      <rPr>
        <b/>
        <sz val="12"/>
        <rFont val="Arial"/>
        <family val="2"/>
      </rPr>
      <t xml:space="preserve">Compactação: </t>
    </r>
    <r>
      <rPr>
        <sz val="12"/>
        <rFont val="Arial"/>
        <family val="2"/>
      </rPr>
      <t>Área do Fundo em Concreto Armado</t>
    </r>
  </si>
  <si>
    <t>Compactação: 6,24</t>
  </si>
  <si>
    <r>
      <rPr>
        <b/>
        <sz val="12"/>
        <rFont val="Arial"/>
        <family val="2"/>
      </rPr>
      <t xml:space="preserve">Reatero: </t>
    </r>
    <r>
      <rPr>
        <sz val="12"/>
        <rFont val="Arial"/>
        <family val="2"/>
      </rPr>
      <t>Escavação - Volume Ocupado pela Estrutura</t>
    </r>
  </si>
  <si>
    <t>Reaterro: 9,98 - 6,95</t>
  </si>
  <si>
    <t>FUNDO E LAJE EM CONCRETO</t>
  </si>
  <si>
    <r>
      <rPr>
        <b/>
        <sz val="12"/>
        <rFont val="Arial"/>
        <family val="2"/>
      </rPr>
      <t xml:space="preserve">Fundo e Laje em Concreto: </t>
    </r>
    <r>
      <rPr>
        <sz val="12"/>
        <rFont val="Arial"/>
        <family val="2"/>
      </rPr>
      <t>(Área do Fundo em Concreto + Área da Laje em Concreto) x 0,10</t>
    </r>
  </si>
  <si>
    <t>Concreto Armado: (6,24 + 4,84) x 0,10</t>
  </si>
  <si>
    <t>ALVENARIA</t>
  </si>
  <si>
    <r>
      <rPr>
        <b/>
        <sz val="12"/>
        <rFont val="Arial"/>
        <family val="2"/>
      </rPr>
      <t>Alvenaria:</t>
    </r>
    <r>
      <rPr>
        <sz val="12"/>
        <rFont val="Arial"/>
        <family val="2"/>
      </rPr>
      <t xml:space="preserve"> Perímetro da Caixa (Alvenaria) x Altura da Caixa (Alvenaria)</t>
    </r>
  </si>
  <si>
    <t>Alvenaria: 8,80 x 1,20</t>
  </si>
  <si>
    <t>TUBO</t>
  </si>
  <si>
    <r>
      <rPr>
        <b/>
        <sz val="12"/>
        <rFont val="Arial"/>
        <family val="2"/>
      </rPr>
      <t xml:space="preserve">Tubo: </t>
    </r>
    <r>
      <rPr>
        <sz val="12"/>
        <rFont val="Arial"/>
        <family val="2"/>
      </rPr>
      <t>Extensão do Tubo</t>
    </r>
  </si>
  <si>
    <t>Tubo: 0,50</t>
  </si>
  <si>
    <t>BRITA 2</t>
  </si>
  <si>
    <r>
      <rPr>
        <b/>
        <sz val="12"/>
        <rFont val="Arial"/>
        <family val="2"/>
      </rPr>
      <t>Brita:</t>
    </r>
    <r>
      <rPr>
        <sz val="12"/>
        <rFont val="Arial"/>
        <family val="2"/>
      </rPr>
      <t xml:space="preserve"> Área da Secção do Dreno x Altura do Dreno</t>
    </r>
  </si>
  <si>
    <t>Brita: 0,196 x 1,50</t>
  </si>
  <si>
    <t>FORNECIMENO E ASSENTAMENTO DE TAMPÃO DE FERRO DÚCTIL - DN 600 MM</t>
  </si>
  <si>
    <t>*COMPOSIÇÃO BASEADA EM ORSE - COD 06380 - ABRIL 2022</t>
  </si>
  <si>
    <t>DESCARGA DE REDE</t>
  </si>
  <si>
    <t>CONEXÕES E TUBULAÇÕES (DESCARGA DE REDE) - FORNECIMENTO E INSTALAÇÃO</t>
  </si>
  <si>
    <t>TUBO COM BOLSA E FLANGE PN 10 - DN 150 MM - L: 0,20</t>
  </si>
  <si>
    <t>TÊ FF - PN 10 - DN 150 MM</t>
  </si>
  <si>
    <t>CURVA 90º FF PN 10 - DN 150</t>
  </si>
  <si>
    <t>TUBO FF PN 10 - D: 150 MM - L: 2,00</t>
  </si>
  <si>
    <t>ARRUELA DE VEDAÇÃO PARA FLANGE DN 150</t>
  </si>
  <si>
    <t>ABRIGO DE DESCARGA - DIMENSÕES DE ACORDO COM O PROJETO</t>
  </si>
  <si>
    <t>Escavação: 6,24 x 2,00</t>
  </si>
  <si>
    <t>Reaterro: 12,48 - 7,30</t>
  </si>
  <si>
    <t>Alvenaria: 8,80 x 1,60</t>
  </si>
  <si>
    <t>DEMOLIÇÃO/RECONSTITUIÇÃO DE PAVIMENTO</t>
  </si>
  <si>
    <t>*COMPOSIÇÃO COM FORNECIMENTO E ASSENTAMENTO DA TUBULAÇÃO</t>
  </si>
  <si>
    <t>CURVA 90º EM PVC DEFOFO, DN 150 MM</t>
  </si>
  <si>
    <t>CURVA 90º EM PVC DEFOFO, DN 150MM - FORNECIMENTO E ASSENTAMENTO</t>
  </si>
  <si>
    <t>CURVA 45º EM PVC DEFOFO, DN 150MM - FORNECIMENTO E ASSENTAMENTO</t>
  </si>
  <si>
    <t>CURVA 45º EM PVC DEFOFO, DN 150MM</t>
  </si>
  <si>
    <t>ILITÁLIA</t>
  </si>
  <si>
    <t>IVAN</t>
  </si>
  <si>
    <t>(49) 3433-9009</t>
  </si>
  <si>
    <t>04.871.593/0001-12</t>
  </si>
  <si>
    <t>VÁLVULA DE GAVETA COM FLANGES E VOLANTE PN 10 - DN 100</t>
  </si>
  <si>
    <t>I N S T A L A Ç Õ E S  E L É T R I C A S - B O M B A 1 5 C V</t>
  </si>
  <si>
    <t>COMPOSIÇÕES ELÉTRICA</t>
  </si>
  <si>
    <t>PADRÃO ORSE</t>
  </si>
  <si>
    <t>**COMPOSIÇÃO DA MÃO DE OBRA BASEADA NO BOLETIM ORSE (MAR/22) CÓDIGO "8894". PALAVRA CHAVE: "DPS".</t>
  </si>
  <si>
    <t>**COMPOSIÇÃO DA MÃO DE OBRA BASEADA NO BOLETIM DERES (MAR/2022) CÓDIGO "160612".</t>
  </si>
  <si>
    <t>**COMPOSIÇÃO DA MÃO DE OBRA BASEADA NAS TABELA SETOP, CÓDIGO ELE-PAD-115, MARÇO/2022</t>
  </si>
  <si>
    <t>PADRÃO DE ENTRADA DE ENERGIA CATEGORIA "T5" (ENERGISA)</t>
  </si>
  <si>
    <t>**COMPOSIÇÃO DA MÃO DE OBRA BASEADA NO BOLETIM CPOS, (FEV/2022) CÓDIGO "39.04.070"</t>
  </si>
  <si>
    <t>**COMPOSIÇÃO DA MÃO DE OBRA BASEADA NO BOLETIM CPOS, CÓDIGO 39.10.130, FEVEREIRO/2022</t>
  </si>
  <si>
    <t>TERMINAL OU CONECTOR DE PRESSAO - PARA CABO 70MM2 - FORNECIMENTO E INSTALACAO</t>
  </si>
  <si>
    <t>**COMPOSIÇÃO DA MÃO DE OBRA BASEADA NO BOLETIM CPOS, CÓDIGO 39.10.200, FEVEREIRO/2022</t>
  </si>
  <si>
    <t>**COMPOSIÇÃO BASEADA NO BOLETIM SINAPI (ABR/2022) CÓD "101895" - FOI ALTERADO O INSUMO 2391 PELO INSUMO 2374 (DISJUNTOR)</t>
  </si>
  <si>
    <t>SINAPI/SINFRA ou Cot. De Mercado</t>
  </si>
  <si>
    <t>I N S T A L A Ç Õ E S  E L É T R I C A S - Á R E A  D O  R E S E R V A T Ó R I O</t>
  </si>
  <si>
    <t>POSTE DE AÇO CONICO CONTÍNUO CURVO SIMPLES, FLANGEADO, H=9M, INVOLUCRO EM ALUMINIO OU ACO INOX - FORNECIMENTO E INSTALAÇÃO</t>
  </si>
  <si>
    <t xml:space="preserve">E Q U I P A M E N T O </t>
  </si>
  <si>
    <t>**COMPOSIÇÃO BASEADA NO BOLETIM SINAPI (ABR/2022) CÓD "100620" - FOI ALTERADO O INSUMO 3798 PELO INSUMO 42243 (LUMINÁRIA LED)</t>
  </si>
  <si>
    <t>PADRÃO DE ENTRADA DE ENERGIA CATEGORIA "M1" (ENERGISA)</t>
  </si>
  <si>
    <t>IMEPP</t>
  </si>
  <si>
    <t>22.039.083/0001-65</t>
  </si>
  <si>
    <t>(65) 3661-1866</t>
  </si>
  <si>
    <t xml:space="preserve">3M </t>
  </si>
  <si>
    <t>04.347.124/0001-07</t>
  </si>
  <si>
    <t>(65) 3026-3668</t>
  </si>
  <si>
    <t>AS PADRÕES</t>
  </si>
  <si>
    <t>33.182.646/0001-96</t>
  </si>
  <si>
    <t>(65) 36841133</t>
  </si>
  <si>
    <t xml:space="preserve">COMPOSIÇÕES ELÉTRICA </t>
  </si>
  <si>
    <t>S P D A  - R E S E R V A T Ó R I O</t>
  </si>
  <si>
    <t>COMPOSIÇÕES SPDA</t>
  </si>
  <si>
    <t>TUBO FF PN 10 - DN 200MM - L: 0,50</t>
  </si>
  <si>
    <t>RHINO BOMBAS</t>
  </si>
  <si>
    <t>32.906.633/0001-50</t>
  </si>
  <si>
    <t>(51 98279-0294</t>
  </si>
  <si>
    <t>DIEGO</t>
  </si>
  <si>
    <t>ELETROTRAFO</t>
  </si>
  <si>
    <t>80.224.785/0001-15</t>
  </si>
  <si>
    <t>(43) 3520-5000</t>
  </si>
  <si>
    <t>PARAFUSO/PORCA PARA FLANGE, DN 20MM</t>
  </si>
  <si>
    <t>ARRUELA DE VEDAÇÃO PARA FLANGE, DN 150MM</t>
  </si>
  <si>
    <t>PARAFUSO/PORCA PARA FLANGE, DN 16MM</t>
  </si>
  <si>
    <t>ARRUELA DE VEDAÇÃO PARA FLANGE, DN 100MM</t>
  </si>
  <si>
    <t>FLAVHIDRO TUBOS E CONEXÕES LTDA</t>
  </si>
  <si>
    <t>BRUNO</t>
  </si>
  <si>
    <t>20.183.487/0001-00</t>
  </si>
  <si>
    <t>(11) 98300-4478</t>
  </si>
  <si>
    <t>SERÁ FEITA A LIMPEZA NA ÁREA DE INTALAÇÃO DO RESERVATÓRIO, SENDO ESTE COM ÁREA DE 30x20M</t>
  </si>
  <si>
    <t>INSTALAÇÃO SANITÁRIA PARA A OBRA SENDO O PERÍODO NECESSÁRIO PARA SUA EXECUÇÃO DA OBRA = 6 MESES</t>
  </si>
  <si>
    <t xml:space="preserve">SERÁ CONSTRUIDO O BARRACÃO DE DEPOSITO, NAS DIMENSÕES 6,00 M X 6,00 M, ÁREA = 36,00 M2 </t>
  </si>
  <si>
    <t>EXTENSÃO DA REDE (3.655,00M) X ALTURA DA CAMADA DE AREIA  (0,10M) X LARGURA DA VALA (0,60 M) = 219,30 M3</t>
  </si>
  <si>
    <t>SERÁ EXECUTADO 3.655,00 METROS DE ADUTORA, DA ETA ATÉ O RESERVATÓRIO</t>
  </si>
  <si>
    <t>SERÃO INSTALADAS ABRAÇADEIRAS DE FIXAÇÃO NA PASSAGEM DA TUBULAÇÃO PELA PONTE DE MADERIA</t>
  </si>
  <si>
    <t>SERÁ INSTALADO UM CONJUNTO MOTO-BOMBA PARA PRESSURIZAÇÃO DA ADUTORA E ADQUIRIDO UM CONJUNTO RESERVA</t>
  </si>
  <si>
    <t>SERÁ REALIZADA A DEMOLIÇÃO EM VIAS QUE SÃO PAVIMENTADAS</t>
  </si>
  <si>
    <t xml:space="preserve">SERÁ REALIZADA A RECOMPOSIÇÃO DE PAVIMENTO NAS VIAS NECESSÁRIAS </t>
  </si>
  <si>
    <t>SERÁ FEITO O FECHAMENTO DA ÁREA ONDE SERÁ INSTALADO O RESERVATÓRIO</t>
  </si>
  <si>
    <t>INSTALAÇÃO DE 1 (UM) PORTÃO PARA ACESSO A ÁREA DO RESERVATÓRIO</t>
  </si>
  <si>
    <t>INSTALAÇÃO DE 1 (UM) CADEADO PARA O PORTÃO DE ACESSO AO RESERVATÓRIO</t>
  </si>
  <si>
    <t>SERÁ REALIZADA A LIMPEZA EM TODA A ÁREA DE INTALAÇÃO DO RESERVATÓRIO</t>
  </si>
  <si>
    <t>MERITO COMERCIAL</t>
  </si>
  <si>
    <t xml:space="preserve">01.582.892/0001-49 </t>
  </si>
  <si>
    <t>(11) 3055-7600</t>
  </si>
  <si>
    <t>SITE</t>
  </si>
  <si>
    <t>CENTRAL DA ELÉTRICA</t>
  </si>
  <si>
    <t>36.524.356/0001-71</t>
  </si>
  <si>
    <t>(38) 9 9730-0736</t>
  </si>
  <si>
    <t>GRUPO EMAR</t>
  </si>
  <si>
    <t>52.107.364/0001-79</t>
  </si>
  <si>
    <t>(17) 3269-9990</t>
  </si>
  <si>
    <t>COTAÇÃO 002</t>
  </si>
  <si>
    <t>COTAÇÃO 003</t>
  </si>
  <si>
    <t>COTAÇÃO 004</t>
  </si>
  <si>
    <t>COTAÇÃO 005</t>
  </si>
  <si>
    <t>COTAÇÃO 006</t>
  </si>
  <si>
    <t>COTAÇÃO 007</t>
  </si>
  <si>
    <t>COTAÇÃO 010</t>
  </si>
  <si>
    <t>COTAÇÃO 011</t>
  </si>
  <si>
    <t>COTAÇÃO 012</t>
  </si>
  <si>
    <t>COTAÇÃO 013</t>
  </si>
  <si>
    <t>COTAÇÃO 014</t>
  </si>
  <si>
    <t>COTAÇÃO 015</t>
  </si>
  <si>
    <t>COTAÇÃO 016</t>
  </si>
  <si>
    <t>COTAÇÃO 017</t>
  </si>
  <si>
    <t>COTAÇÃO 018</t>
  </si>
  <si>
    <t>COTAÇÃO 019</t>
  </si>
  <si>
    <t>COTAÇÃO 020</t>
  </si>
  <si>
    <t>COTAÇÃO 021</t>
  </si>
  <si>
    <t>COTAÇÃO 022</t>
  </si>
  <si>
    <t>COTAÇÃO 023</t>
  </si>
  <si>
    <t>COTAÇÃO 024</t>
  </si>
  <si>
    <t>COTAÇÃO 025</t>
  </si>
  <si>
    <t>COTAÇÃO 026</t>
  </si>
  <si>
    <t>COTAÇÃO 027</t>
  </si>
  <si>
    <t>COTAÇÃO 028</t>
  </si>
  <si>
    <t>COTAÇÃO 029</t>
  </si>
  <si>
    <t>COTAÇÃO 030</t>
  </si>
  <si>
    <t>COTAÇÃO 031</t>
  </si>
  <si>
    <t>COTAÇÃO 032</t>
  </si>
  <si>
    <t>COTAÇÃO 033</t>
  </si>
  <si>
    <t>COTAÇÃO 034</t>
  </si>
  <si>
    <t>COTAÇÃO 035</t>
  </si>
  <si>
    <t>COTAÇÃO 036</t>
  </si>
  <si>
    <t>COTAÇÃO 037</t>
  </si>
  <si>
    <t>COTAÇÃO 038</t>
  </si>
  <si>
    <t>COTAÇÃO 039</t>
  </si>
  <si>
    <t>COTAÇÃO 040</t>
  </si>
  <si>
    <t>COTAÇÃO 041</t>
  </si>
  <si>
    <t>COTAÇÃO 042</t>
  </si>
  <si>
    <t>COTAÇÃO 043</t>
  </si>
  <si>
    <t>COTAÇÃO 044</t>
  </si>
  <si>
    <t>COTAÇÃO 045</t>
  </si>
  <si>
    <t>COTAÇÃO 046</t>
  </si>
  <si>
    <t>COTAÇÃO 047</t>
  </si>
  <si>
    <t>COTAÇÃO 048</t>
  </si>
  <si>
    <t>COTAÇÃO 049</t>
  </si>
  <si>
    <t>COTAÇÃO 050</t>
  </si>
  <si>
    <t>COTAÇÃO 051</t>
  </si>
  <si>
    <t>COTAÇÃO 052</t>
  </si>
  <si>
    <t>COTAÇÃO 053</t>
  </si>
  <si>
    <t>COTAÇÃO 054</t>
  </si>
  <si>
    <t>COTAÇÃO 055</t>
  </si>
  <si>
    <t>COTAÇÃO 056</t>
  </si>
  <si>
    <t>COTAÇÃO 057</t>
  </si>
  <si>
    <t>COTAÇÃO 058</t>
  </si>
  <si>
    <t>COTAÇÃO 059</t>
  </si>
  <si>
    <t>COTAÇÃO 060</t>
  </si>
  <si>
    <t>COTAÇÃO 061</t>
  </si>
  <si>
    <t>COTAÇÃO 062</t>
  </si>
  <si>
    <t>COTAÇÃO 063</t>
  </si>
  <si>
    <t>COTAÇÃO 064</t>
  </si>
  <si>
    <t>COTAÇÃO 065</t>
  </si>
  <si>
    <t>COTAÇÃO 066</t>
  </si>
  <si>
    <t>COTAÇÃO 067</t>
  </si>
  <si>
    <t>COTAÇÃO 068</t>
  </si>
  <si>
    <t>COTAÇÃO 069</t>
  </si>
  <si>
    <t>COTAÇÃO 070</t>
  </si>
  <si>
    <t>COTAÇÃO 071</t>
  </si>
  <si>
    <t>COTAÇÃO 072</t>
  </si>
  <si>
    <t>COTAÇÃO 073</t>
  </si>
  <si>
    <t>COTAÇÃO 074</t>
  </si>
  <si>
    <t>COTAÇÃO 075</t>
  </si>
  <si>
    <t>COTAÇÃO 076</t>
  </si>
  <si>
    <t>COTAÇÃO 077</t>
  </si>
  <si>
    <t>COTAÇÃO 078</t>
  </si>
  <si>
    <t>EXECUÇÃO DE RESERVATÓRIO ELEVADO DE ÁGUA (1000 LITROS) EM CANTEIRO DE OBRA, APOIADO EM ESTRUTURA DE MADEIRA. AF_02/2016_PA</t>
  </si>
  <si>
    <t>EXECUÇÃO DE RESERVATÓRIO ELEVADO DE ÁGUA (2000 LITROS) EM CANTEIRO DE OBRA, APOIADO EM ESTRUTURA DE MADEIRA. AF_02/2016_PA</t>
  </si>
  <si>
    <t>ESTRUTURA DE MADEIRA PROVISÓRIA PARA SUPORTE DE CAIXA D ÁGUA ELEVADA DE 1000 LITROS. AF_05/2018_PS</t>
  </si>
  <si>
    <t>ESTRUTURA DE MADEIRA PROVISÓRIA PARA SUPORTE DE CAIXA D ÁGUA ELEVADA DE 3000 LITROS. AF_05/2018_PS</t>
  </si>
  <si>
    <t>DESEMPENADEIRA DE CONCRETO, PESO DE 78 KG, 4 PÁS, MOTOR A GASOLINA, POTÊNCIA 5,5 HP - CHP DIURNO. AF_09/2016</t>
  </si>
  <si>
    <t>DESEMPENADEIRA DE CONCRETO, PESO DE 78 KG, 4 PÁS, MOTOR A GASOLINA, POTÊNCIA 5,5 HP - CHI DIURNO. AF_09/2016</t>
  </si>
  <si>
    <t>DESEMPENADEIRA DE CONCRETO, PESO DE 78 KG, 4 PÁS, MOTOR A GASOLINA, POTÊNCIA 5,5 HP - DEPRECIAÇÃO. AF_09/2016</t>
  </si>
  <si>
    <t>DESEMPENADEIRA DE CONCRETO, PESO DE 78 KG, 4 PÁS, MOTOR A GASOLINA, POTÊNCIA 5,5 HP - JUROS. AF_09/2016</t>
  </si>
  <si>
    <t>DESEMPENADEIRA DE CONCRETO, PESO DE 78 KG, 4 PÁS, MOTOR A GASOLINA, POTÊNCIA 5,5 HP - MANUTENÇÃO. AF_09/2016</t>
  </si>
  <si>
    <t>DESEMPENADEIRA DE CONCRETO, PESO DE 78 KG, 4 PÁS, MOTOR A GASOLINA, POTÊNCIA 5,5 HP   MATERIAIS NA OPERAÇÃO. AF_09/2016</t>
  </si>
  <si>
    <t>BATE ESTACA PARA INSTALAÇÃO DE DEFENSAS METÁLICAS (GUARD RAIL) FIXO, INCLUSIVE CAMINHÃO TOCO PBT 9.700 KG, POTÊNCIA DE 160 CV - MATERIAIS NA OPERAÇÃO. AF_02/2022</t>
  </si>
  <si>
    <t>LIXADEIRA DE PAREDE, COM LED, POTÊNCIA 750 W, FREQUÊNCIA 60 HZ, VELOCIDADE 1000 A 2100 RPM, DIÂMETRO DA LIXA 225 MM - MATERIAIS NA OPERAÇÃO. AF_12/2022</t>
  </si>
  <si>
    <t>TELHAMENTO COM TELHA ESTRUTURAL DE FIBROCIMENTO E= 8 MM, COM ATÉ 2 ÁGUAS, INCLUSO IÇAMENTO. AF_07/2019_PS</t>
  </si>
  <si>
    <t>TRAMA DE AÇO COMPOSTA POR TERÇAS PARA TELHADOS DE ATÉ 2 ÁGUAS PARA TELHA ONDULADA DE FIBROCIMENTO, METÁLICA, PLÁSTICA OU TERMOACÚSTICA, INCLUSO TRANSPORTE VERTICAL (EM KG).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</si>
  <si>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</si>
  <si>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</si>
  <si>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</si>
  <si>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</si>
  <si>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</si>
  <si>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</si>
  <si>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</si>
  <si>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</si>
  <si>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</si>
  <si>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</si>
  <si>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</si>
  <si>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</si>
  <si>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</si>
  <si>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PVC CORRUGADO RÍGIDO PERFURADO, DN 100 MM, ENCHIMENTO COM AREIA, INCLUSIVE CONEXÕES. AF_07/2021</t>
  </si>
  <si>
    <t>DRENO ESPINHA DE PEIXE (SEÇÃO (0,50 X 0,80 M), COM TUBO DE PVC CORRUGADO RÍGIDO PERFURADO, DN 100 MM, ENCHIMENTO COM BRITA, ENVOLVIDO COM MANTA GEOTÊXTIL, INCLUSIVE CONEXÕES. AF_07/2021</t>
  </si>
  <si>
    <t>TUBO DE PVC CORRUGADO RÍGIDO PERFURADO, DN 100 MM, PARA DRENO - FORNECIMENTO E ASSENTAMENTO. AF_07/2021</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</si>
  <si>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</si>
  <si>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</si>
  <si>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</si>
  <si>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</si>
  <si>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</si>
  <si>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</si>
  <si>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BASE PARA POÇO DE VISITA CIRCULAR PARA  ESGOTO, EM ALVENARIA COM TIJOLOS CERÂMICOS MACIÇOS, DIÂMETRO INTERNO = 1,20 M, PROFUNDIDADE = 1,40 M, EXCLUINDO TAMPÃO. AF_12/2020_PA</t>
  </si>
  <si>
    <t>BASE PARA POÇO DE VISITA CIRCULAR PARA ESGOTO, EM ALVENARIA COM TIJOLOS CERÂMICOS MACIÇOS, DIÂMETRO INTERNO = 1,50 M, PROFUNDIDADE = 1,40 M, EXCLUINDO TAMPÃO. AF_12/2020_PA</t>
  </si>
  <si>
    <t>BASE PARA POÇO DE VISITA RETANGULAR PARA  ESGOTO, EM ALVENARIA COM BLOCOS DE CONCRETO, DIMENSÕES INTERNAS = 1X1 M, PROFUNDIDADE = 1,40 M, EXCLUINDO TAMPÃO. AF_12/2020_PA</t>
  </si>
  <si>
    <t>BASE PARA POÇO DE VISITA RETANGULAR PARA ESGOTO, EM ALVENARIA COM BLOCOS DE CONCRETO, DIMENSÕES INTERNAS = 1X1,5 M, PROFUNDIDADE = 1,40 M, EXCLUINDO TAMPÃO. AF_12/2020_PA</t>
  </si>
  <si>
    <t>BASE PARA POÇO DE VISITA RETANGULAR PARA ESGOTO, EM ALVENARIA COM BLOCOS DE CONCRETO, DIMENSÕES INTERNAS = 1X3 M, PROFUNDIDADE = 1,40 M, EXCLUINDO TAMPÃO. AF_12/2020_PA</t>
  </si>
  <si>
    <t>BASE PARA POÇO DE VISITA RETANGULAR PARA ESGOTO, EM ALVENARIA COM BLOCOS DE CONCRETO, DIMENSÕES INTERNAS = 1X4 M, PROFUNDIDADE = 1,40 M, EXCLUINDO TAMPÃO. AF_12/2020_PA</t>
  </si>
  <si>
    <t>BASE PARA POÇO DE VISITA RETANGULAR PARA ESGOTO, EM ALVENARIA COM BLOCOS DE CONCRETO, DIMENSÕES INTERNAS = 1,5X1,5 M, PROFUNDIDADE = 1,45 M, EXCLUINDO TAMPÃO . AF_12/2020_PA</t>
  </si>
  <si>
    <t>BASE PARA POÇO DE VISITA RETANGULAR PARA ESGOTO, EM ALVENARIA COM BLOCOS DE CONCRETO, DIMENSÕES INTERNAS = 1,5X2 M, PROFUNDIDADE = 1,40 M, EXCLUINDO TAMPÃO. AF_12/2020_PA</t>
  </si>
  <si>
    <t>BASE PARA POÇO DE VISITA RETANGULAR PARA ESGOTO, EM ALVENARIA COM BLOCOS DE CONCRETO, DIMENSÕES INTERNAS = 1,5X2,5 M, PROFUNDIDADE = 1,40 M, EXCLUINDO TAMPÃO. AF_12/2020_PA</t>
  </si>
  <si>
    <t>BASE PARA POÇO DE VISITA RETANGULAR PARA ESGOTO, EM ALVENARIA COM BLOCOS DE CONCRETO, DIMENSÕES INTERNAS = 1,5X3 M, PROFUNDIDADE = 1,40 M, EXCLUINDO TAMPÃO. AF_12/2020_PA</t>
  </si>
  <si>
    <t>BASE PARA POÇO DE VISITA RETANGULAR PARA ESGOTO, EM ALVENARIA COM BLOCOS DE CONCRETO, DIMENSÕES INTERNAS = 1,5X3,5 M, PROFUNDIDADE = 1,40 M, EXCLUINDO TAMPÃO. AF_12/2020_PA</t>
  </si>
  <si>
    <t>BASE PARA POÇO DE VISITA RETANGULAR PARA ESGOTO, EM ALVENARIA COM BLOCOS DE CONCRETO, DIMENSÕES INTERNAS = 1,5X4 M, PROFUNDIDADE = 1,40 M, EXCLUINDO TAMPÃO. AF_12/2020_PA</t>
  </si>
  <si>
    <t>BASE PARA POÇO DE VISITA RETANGULAR PARA ESGOTO, EM ALVENARIA COM BLOCOS DE CONCRETO, DIMENSÕES INTERNAS = 2X2 M, PROFUNDIDADE = 1,40 M, EXCLUINDO TAMPÃO. AF_12/2020_PA</t>
  </si>
  <si>
    <t>BASE PARA POÇO DE VISITA RETANGULAR PARA ESGOTO, EM ALVENARIA COM BLOCOS DE CONCRETO, DIMENSÕES INTERNAS = 2X2,5 M, PROFUNDIDADE = 1,40 M, EXCLUINDO TAMPÃO. AF_12/2020_PA</t>
  </si>
  <si>
    <t>BASE PARA POÇO DE VISITA RETANGULAR PARA ESGOTO, EM ALVENARIA COM BLOCOS DE CONCRETO, DIMENSÕES INTERNAS = 2X3 M, PROFUNDIDADE = 1,40 M, EXCLUINDO TAMPÃO. AF_12/2020_PA</t>
  </si>
  <si>
    <t>BASE PARA POÇO DE VISITA RETANGULAR PARA ESGOTO, EM ALVENARIA COM BLOCOS DE CONCRETO, DIMENSÕES INTERNAS = 2X3,5 M, PROFUNDIDADE = 1,40 M, EXCLUINDO TAMPÃO. AF_12/2020_PA</t>
  </si>
  <si>
    <t>BASE PARA POÇO DE VISITA RETANGULAR PARA ESGOTO, EM ALVENARIA COM BLOCOS DE CONCRETO, DIMENSÕES INTERNAS = 2X4 M, PROFUNDIDADE = 1,40 M, EXCLUINDO TAMPÃO. AF_12/2020_PA</t>
  </si>
  <si>
    <t>BASE PARA POÇO DE VISITA RETANGULAR PARA ESGOTO, EM ALVENARIA COM BLOCOS DE CONCRETO, DIMENSÕES INTERNAS = 2,5X2,5 M, PROFUNDIDADE = 1,40 M, EXCLUINDO TAMPÃO. AF_12/2020_PA</t>
  </si>
  <si>
    <t>BASE PARA POÇO DE VISITA RETANGULAR PARA ESGOTO, EM ALVENARIA COM BLOCOS DE CONCRETO, DIMENSÕES INTERNAS = 2,5X3 M, PROFUNDIDADE = 1,40 M, EXCLUINDO TAMPÃO. AF_12/2020_PA</t>
  </si>
  <si>
    <t>BASE PARA POÇO DE VISITA RETANGULAR PARA ESGOTO, EM ALVENARIA COM BLOCOS DE CONCRETO, DIMENSÕES INTERNAS = 2,5X3,5 M, PROFUNDIDADE = 1,40 M, EXCLUINDO TAMPÃO. AF_12/2020_PA</t>
  </si>
  <si>
    <t>BASE PARA POÇO DE VISITA RETANGULAR PARA ESGOTO, EM ALVENARIA COM BLOCOS DE CONCRETO, DIMENSÕES INTERNAS = 2,5X4 M, PROFUNDIDADE = 1,40 M, EXCLUINDO TAMPÃO. AF_12/2020_PA</t>
  </si>
  <si>
    <t>BASE PARA POÇO DE VISITA RETANGULAR PARA ESGOTO, EM ALVENARIA COM BLOCOS DE CONCRETO, DIMENSÕES INTERNAS = 3X3 M, PROFUNDIDADE = 1,40 M, EXCLUINDO TAMPÃO. AF_12/2020_PA</t>
  </si>
  <si>
    <t>BASE PARA POÇO DE VISITA RETANGULAR PARA ESGOTO, EM ALVENARIA COM BLOCOS DE CONCRETO, DIMENSÕES INTERNAS = 3X3,5 M, PROFUNDIDADE = 1,40 M, EXCLUINDO TAMPÃO. AF_12/2020_PA</t>
  </si>
  <si>
    <t>BASE PARA POÇO DE VISITA RETANGULAR PARA ESGOTO, EM ALVENARIA COM BLOCOS DE CONCRETO, DIMENSÕES INTERNAS = 3X4 M, PROFUNDIDADE = 1,40 M, EXCLUINDO TAMPÃO. AF_12/2020_PA</t>
  </si>
  <si>
    <t>BASE PARA POÇO DE VISITA RETANGULAR PARA ESGOTO, EM ALVENARIA COM BLOCOS DE CONCRETO, DIMENSÕES INTERNAS = 3,5X3,5 M, PROFUNDIDADE = 1,40 M, EXCLUINDO TAMPÃO. AF_12/2020_PA</t>
  </si>
  <si>
    <t>BASE PARA POÇO DE VISITA RETANGULAR PARA ESGOTO, EM ALVENARIA COM BLOCOS DE CONCRETO, DIMENSÕES INTERNAS = 3,5X4 M, PROFUNDIDADE = 1,40 M, EXCLUINDO TAMPÃO. AF_12/2020_PA</t>
  </si>
  <si>
    <t>BASE PARA POÇO DE VISITA RETANGULAR PARA ESGOTO, EM ALVENARIA COM BLOCOS DE CONCRETO, DIMENSÕES INTERNAS = 4X4 M, PROFUNDIDADE = 1,45 M, EXCLUINDO TAMPÃO. AF_12/2020_PA</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</si>
  <si>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</si>
  <si>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</si>
  <si>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</si>
  <si>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</si>
  <si>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BASE PARA POÇO DE VISITA CIRCULAR PARA ESGOTO, EM CONCRETO PRÉ-MOLDADO, DIÂMETRO INTERNO = 1,0 M, PROFUNDIDADE = 1,35 M, EXCLUINDO TAMPÃO. AF_12/2020_PA</t>
  </si>
  <si>
    <t>BASE PARA POÇO DE VISITA CIRCULAR PARA DRENAGEM, EM ALVENARIA COM TIJOLOS CERÂMICOS MACIÇOS, DIÂMETRO INTERNO = 1,2 M, PROFUNDIDADE = 1,40 M, EXCLUINDO TAMPÃO. AF_12/2020_PA</t>
  </si>
  <si>
    <t>BASE PARA POÇO DE VISITA RETANGULAR PARA DRENAGEM, EM ALVENARIA COM BLOCOS DE CONCRETO, DIMENSÕES INTERNAS = 1,5X2 M, PROFUNDIDADE = 1,40 M, EXCLUINDO TAMPÃO. AF_12/2020_PA</t>
  </si>
  <si>
    <t>BASE PARA POÇO DE VISITA CIRCULAR PARA DRENAGEM, EM ALVENARIA COM TIJOLOS CERÂMICOS MACIÇOS, DIÂMETRO INTERNO = 1,50 M, PROFUNDIDADE = 1,40 M, EXCLUINDO TAMPÃO. AF_12/2020_PA</t>
  </si>
  <si>
    <t>BASE PARA POÇO DE VISITA RETANGULAR PARA DRENAGEM, EM ALVENARIA COM BLOCOS DE CONCRETO, DIMENSÕES INTERNAS = 1X1 M, PROFUNDIDADE = 1,40 M, EXCLUINDO TAMPÃO. AF_12/2020_PA</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</si>
  <si>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</si>
  <si>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</si>
  <si>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BASE PARA POÇO DE VISITA RETANGULAR PARA DRENAGEM, EM ALVENARIA COM BLOCOS DE CONCRETO, DIMENSÕES INTERNAS = 1X2 M, PROFUNDIDADE = 1,40 M, EXCLUINDO TAMPÃO. AF_12/2020_PA</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</si>
  <si>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</si>
  <si>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</si>
  <si>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</si>
  <si>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</si>
  <si>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</si>
  <si>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</si>
  <si>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</si>
  <si>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</si>
  <si>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</si>
  <si>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</si>
  <si>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</si>
  <si>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</si>
  <si>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</si>
  <si>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</si>
  <si>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BASE PARA POÇO DE VISITA RETANGULAR PARA DRENAGEM, EM ALVENARIA COM BLOCOS DE CONCRETO, DIMENSÕES INTERNAS = 1,5X1,5 M, PROFUNDIDADE = 1,40 M, EXCLUINDO TAMPÃO. AF_12/2020_PA</t>
  </si>
  <si>
    <t>BASE PARA POÇO DE VISITA CIRCULAR PARA DRENAGEM, EM ALVENARIA COM TIJOLOS CERÂMICOS MACIÇOS, DIÂMETRO INTERNO = 1,0 M, PROFUNDIDADE = 1,40 M, EXCLUINDO TAMPÃO. AF_12/2020_PA</t>
  </si>
  <si>
    <t>BASE PARA POÇO DE VISITA RETANGULAR PARA DRENAGEM, EM ALVENARIA COM BLOCOS DE CONCRETO, DIMENSÕES INTERNAS = 1,5X4 M, PROFUNDIDADE = 1,40 M, EXCLUINDO TAMPÃO. AF_12/2020_PA</t>
  </si>
  <si>
    <t>BASE PARA POÇO DE VISITA RETANGULAR PARA DRENAGEM, EM ALVENARIA COM BLOCOS DE CONCRETO, DIMENSÕES INTERNAS = 2,5X3,5 M, PROFUNDIDADE = 1,40 M, EXCLUINDO TAMPÃO. AF_12/2020_PA</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</si>
  <si>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</si>
  <si>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</si>
  <si>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BASE PARA POÇO DE VISITA RETANGULAR PARA DRENAGEM, EM ALVENARIA COM BLOCOS DE CONCRETO, DIMENSÕES INTERNAS = 3X3 M, PROFUNDIDADE = 1,40 M, EXCLUINDO TAMPÃO. AF_12/2020_PA</t>
  </si>
  <si>
    <t>BASE PARA POÇO DE VISITA RETANGULAR PARA DRENAGEM, EM ALVENARIA COM BLOCOS DE CONCRETO, DIMENSÕES INTERNAS = 3X3,5 M, PROFUNDIDADE = 1,40 M, EXCLUINDO TAMPÃO. AF_12/2020_PA</t>
  </si>
  <si>
    <t>BASE PARA POÇO DE VISITA RETANGULAR PARA DRENAGEM, EM ALVENARIA COM BLOCOS DE CONCRETO, DIMENSÕES INTERNAS = 3X4 M, PROFUNDIDADE = 1,40 M, EXCLUINDO TAMPÃO. AF_12/2020_PA</t>
  </si>
  <si>
    <t>BASE PARA POÇO DE VISITA RETANGULAR PARA DRENAGEM, EM ALVENARIA COM BLOCOS DE CONCRETO, DIMENSÕES INTERNAS = 3,5X3,5 M, PROFUNDIDADE = 1,40 M, EXCLUINDO TAMPÃO. AF_12/2020_PA</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</si>
  <si>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</si>
  <si>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</si>
  <si>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BASE PARA POÇO DE VISITA RETANGULAR PARA DRENAGEM, EM ALVENARIA COM BLOCOS DE CONCRETO, DIMENSÕES INTERNAS = 4X4 M, PROFUNDIDADE = 1,40 M, EXCLUINDO TAMPÃO. AF_12/2020_PA</t>
  </si>
  <si>
    <t>BASE PARA POÇO DE VISITA RETANGULAR PARA DRENAGEM, EM ALVENARIA COM BLOCOS DE CONCRETO, DIMENSÕES INTERNAS = 2X3 M, PROFUNDIDADE = 1,40 M, EXCLUINDO TAMPÃO. AF_12/2020_PA</t>
  </si>
  <si>
    <t>BASE PARA POÇO DE VISITA RETANGULAR PARA DRENAGEM, EM ALVENARIA COM BLOCOS DE CONCRETO, DIMENSÕES INTERNAS = 2X3,5 M, PROFUNDIDADE = 1,40 M, EXCLUINDO TAMPÃO. AF_12/2020_PA</t>
  </si>
  <si>
    <t>BASE PARA POÇO DE VISITA RETANGULAR PARA DRENAGEM, EM ALVENARIA COM BLOCOS DE CONCRETO, DIMENSÕES INTERNAS = 2X4 M, PROFUNDIDADE = 1,40 M, EXCLUINDO TAMPÃO. AF_12/2020_PA</t>
  </si>
  <si>
    <t>BASE PARA POÇO DE VISITA RETANGULAR PARA DRENAGEM, EM ALVENARIA COM BLOCOS DE CONCRETO, DIMENSÕES INTERNAS = 2,5X2,5 M, PROFUNDIDADE = 1,40 M, EXCLUINDO TAMPÃO. AF_12/2020_PA</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</si>
  <si>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</si>
  <si>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</si>
  <si>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</si>
  <si>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</si>
  <si>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</si>
  <si>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</si>
  <si>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</si>
  <si>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</si>
  <si>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GUIA (MEIO-FIO) E SARJETA CONJUGADOS DE CONCRETO, MOLDADA  IN LOCO  EM TRECHO RETO COM EXTRUSORA, 65 CM BASE (15 CM BASE DA GUIA + 50 CM BASE DA SARJETA) X 30 CM ALTURA. AF_06/2016</t>
  </si>
  <si>
    <t>ASSENTAMENTO DE GUIA (MEIO-FIO) EM TRECHO RETO, CONFECCIONADA EM CONCRETO PRÉ-FABRICADO, DIMENSÕES 100X15X13X20 CM (COMPRIMENTO X BASE INFERIOR X BASE SUPERIOR X ALTURA), PARA URBANIZAÇÃO INTERNA DE EMPREENDIMENTOS. AF_06/2016</t>
  </si>
  <si>
    <t>ASSENTAMENTO DE GUIA (MEIO-FIO) EM TRECHO CURVO, CONFECCIONADA EM CONCRETO PRÉ-FABRICADO, DIMENSÕES 100X15X13X20 CM (COMPRIMENTO X BASE INFERIOR X BASE SUPERIOR X ALTURA), PARA URBANIZAÇÃO INTERNA DE EMPREENDIMENTOS. AF_06/2016</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</si>
  <si>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</si>
  <si>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</si>
  <si>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</si>
  <si>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</si>
  <si>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</si>
  <si>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</si>
  <si>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</si>
  <si>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</si>
  <si>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</si>
  <si>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</si>
  <si>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</si>
  <si>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</si>
  <si>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</si>
  <si>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</si>
  <si>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</si>
  <si>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</si>
  <si>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</si>
  <si>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</si>
  <si>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</si>
  <si>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</si>
  <si>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</si>
  <si>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</si>
  <si>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</si>
  <si>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</si>
  <si>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</si>
  <si>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</si>
  <si>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</si>
  <si>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</si>
  <si>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</si>
  <si>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</si>
  <si>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</si>
  <si>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</si>
  <si>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</si>
  <si>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</si>
  <si>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</si>
  <si>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</si>
  <si>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</si>
  <si>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</si>
  <si>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</si>
  <si>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</si>
  <si>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</si>
  <si>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</si>
  <si>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</si>
  <si>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</si>
  <si>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</si>
  <si>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</si>
  <si>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</si>
  <si>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</si>
  <si>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</si>
  <si>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</si>
  <si>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</si>
  <si>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</si>
  <si>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</si>
  <si>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</si>
  <si>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</si>
  <si>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</si>
  <si>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</si>
  <si>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</si>
  <si>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</si>
  <si>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</si>
  <si>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</si>
  <si>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</si>
  <si>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</si>
  <si>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</si>
  <si>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</si>
  <si>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</si>
  <si>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</si>
  <si>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</si>
  <si>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</si>
  <si>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</si>
  <si>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</si>
  <si>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</si>
  <si>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</si>
  <si>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</si>
  <si>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</si>
  <si>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</si>
  <si>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</si>
  <si>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</si>
  <si>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</si>
  <si>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</si>
  <si>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</si>
  <si>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</si>
  <si>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AF_09/2021_PE</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</si>
  <si>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</si>
  <si>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</si>
  <si>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</si>
  <si>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</si>
  <si>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</si>
  <si>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</si>
  <si>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</si>
  <si>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</si>
  <si>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</si>
  <si>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</si>
  <si>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</si>
  <si>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</si>
  <si>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PEÇA CIRCULAR PRÉ-MOLDADA, VOLUME DE CONCRETO DE 10 A 30 LITROS, TAXA DE FIBRA DE POLIPROPILENO APROXIMADA DE 6 KG/M³. AF_01/2018_PS</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</si>
  <si>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</si>
  <si>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</si>
  <si>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</si>
  <si>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</si>
  <si>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</si>
  <si>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</si>
  <si>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</si>
  <si>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</si>
  <si>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</si>
  <si>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</si>
  <si>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</si>
  <si>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</si>
  <si>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</si>
  <si>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</si>
  <si>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</si>
  <si>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</si>
  <si>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</si>
  <si>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</si>
  <si>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</si>
  <si>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</si>
  <si>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</si>
  <si>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</si>
  <si>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</si>
  <si>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</si>
  <si>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</si>
  <si>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</si>
  <si>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</si>
  <si>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</si>
  <si>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</si>
  <si>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</si>
  <si>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</si>
  <si>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COMPOSIÇÃO PARAMÉTRICA PARA FORNECIMENTO E MONTAGEM DE ESTRUTURA METÁLICA PARA ESTRUTURA PRINCIPAL DE EDIFICAÇÕES (PILARES, VIGAS E CONTRAVENTAMENTO). AF_11/2022</t>
  </si>
  <si>
    <t>COMPOSIÇÃO PARAMÉTRICA PARA FORNECIMENTO E MONTAGEM DE ESTRUTURA METÁLICA PARA COBERTURA DE EDIFICAÇÕES COM ESTRUTURA DE APOIO. AF_11/2022</t>
  </si>
  <si>
    <t>COMPOSIÇÃO PARAMÉTRICA PARA FORNECIMENTO E MONTAGEM DE ESTRUTURA METÁLICA PARA GALPÕES SEM PONTE ROLANTE. AF_11/2022</t>
  </si>
  <si>
    <t>COMPOSIÇÃO PARAMÉTRICA PARA FORNECIMENTO E MONTAGEM DE ESTRUTURA METÁLICA PARA GALPÕES COM PONTE ROLANTE. AF_11/2022</t>
  </si>
  <si>
    <t>COMPOSIÇÃO PARAMÉTRICA PARA FORNECIMENTO E MONTAGEM DE ESTRUTURA METÁLICA PARA COBERTURA DE GALPÕES COM ESTRUTURA DE APOIO EM VIGAS. AF_11/2022</t>
  </si>
  <si>
    <t>COMPOSIÇÃO PARAMÉTRICA PARA FORNECIMENTO E MONTAGEM DE ESTRUTURA METÁLICA PARA COBERTURA DE GALPÕES COM ESTRUTURA DE APOIO EM TRELIÇA TIPO FINK. AF_11/2022</t>
  </si>
  <si>
    <t>COMPOSIÇÃO PARAMÉTRICA PARA FORNECIMENTO E MONTAGEM DE ESTRUTURA METÁLICA PARA COBERTURA DE GALPÕES COM ESTRUTURA DE APOIO EM TRELIÇA TIPO ARCO. AF_11/2022</t>
  </si>
  <si>
    <t>COMPOSIÇÃO PARAMÉTRICA PARA EXECUÇÃO DE ESTRUTURAS DE CONCRETO ARMADO CONVENCIONAL, PARA EDIFICAÇÃO HABITACIONAL MULTIFAMILIAR (PRÉDIO), ATÉ 4 PAVIMENTOS, FCK = 25 MPA. AF_11/2022</t>
  </si>
  <si>
    <t>COMPOSIÇÃO PARAMÉTRICA PARA EXECUÇÃO DE ESTRUTURAS DE CONCRETO ARMADO, PARA EDIFICAÇÃO HABITACIONAL UNIFAMILIAR COM DOIS PAVIMENTOS (CASA ISOLADA), FCK = 25 MPA. AF_11/2022</t>
  </si>
  <si>
    <t>COMPOSIÇÃO PARAMÉTRICA EXECUÇÃO DE ESTRUTURAS DE CONCRETO ARMADO, PARA EDIFICAÇÃO HABITACIONAL UNIFAMILIAR COM DOIS PAVIMENTOS (CASA EM EMPREENDIMENTOS), FCK = 25 MPA. AF_11/2022</t>
  </si>
  <si>
    <t>COMPOSIÇÃO PARAMÉTRICA PARA EXECUÇÃO DE ESTRUTURAS DE CONCRETO ARMADO, PARA EDIFICAÇÃO HABITACIONAL UNIFAMILIAR TÉRREA (CASA ISOLADA), FCK = 25 MPA. AF_11/2022</t>
  </si>
  <si>
    <t>COMPOSIÇÃO PARAMÉTRICA PARA EXECUÇÃO DE ESTRUTURAS DE CONCRETO ARMADO, PARA EDIFICAÇÃO HABITACIONAL UNIFAMILIAR TÉRREA (CASA EM EMPREENDIMENTOS), FCK = 25 MPA. AF_11/2022</t>
  </si>
  <si>
    <t>COMPOSIÇÃO PARAMÉTRICA PARA EXECUÇÃO DE ESTRUTURAS DE CONCRETO ARMADO, PARA EDIFICAÇÃO INSTITUCIONAL TÉRREA, FCK = 25 MPA. AF_11/2022</t>
  </si>
  <si>
    <t>COMPOSIÇÃO PARAMÉTRICA PARA EXECUÇÃO DE ESCADA EM CONCRETO ARMADO, MOLDADA IN LOCO, FCK = 25 MPA. AF_11/2022</t>
  </si>
  <si>
    <t>COMPOSIÇÃO PARAMÉTRICA PARA EXECUÇÃO DE ESTRUTURAS DE CONCRETO ARMADO CONVENCIONAL, PARA EDIFICAÇÃO HABITACIONAL MULTIFAMILIAR (PRÉDIO), DE 5 A 8 PAVIMENTOS, FCK = 25 MPA. AF_11/2022</t>
  </si>
  <si>
    <t>ELETRODUTO RÍGIDO SOLDÁVEL, PVC, DN 20 MM (½''), APARENTE - FORNECIMENTO E INSTALAÇÃO. AF_10/2022</t>
  </si>
  <si>
    <t>ELETRODUTO RÍGIDO SOLDÁVEL, PVC, DN 25 MM (3/4''), APARENTE - FORNECIMENTO E INSTALAÇÃO. AF_10/2022</t>
  </si>
  <si>
    <t>ELETRODUTO RÍGIDO SOLDÁVEL, PVC, DN 32 MM (1''), APARENTE - FORNECIMENTO E INSTALAÇÃO. AF_10/2022</t>
  </si>
  <si>
    <t>CONDULETE DE PVC, TIPO E, PARA ELETRODUTO DE PVC SOLDÁVEL DN 20 MM (1/2''), APARENTE - FORNECIMENTO E INSTALAÇÃO. AF_10/2022</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</si>
  <si>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</si>
  <si>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</si>
  <si>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</si>
  <si>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</si>
  <si>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</si>
  <si>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</si>
  <si>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</si>
  <si>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</si>
  <si>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</si>
  <si>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</si>
  <si>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</si>
  <si>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</si>
  <si>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</si>
  <si>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</si>
  <si>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</si>
  <si>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</si>
  <si>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</si>
  <si>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</si>
  <si>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</si>
  <si>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</si>
  <si>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</si>
  <si>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</si>
  <si>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</si>
  <si>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</si>
  <si>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</si>
  <si>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</si>
  <si>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</si>
  <si>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</si>
  <si>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</si>
  <si>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</si>
  <si>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</si>
  <si>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</si>
  <si>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</si>
  <si>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</si>
  <si>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</si>
  <si>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</si>
  <si>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</si>
  <si>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</si>
  <si>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</si>
  <si>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</si>
  <si>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</si>
  <si>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LÂMPADA TUBULAR FLUORESCENTE T8 DE 16/18 W, BASE G13 - FORNECIMENTO E INSTALAÇÃO. AF_02/2020_PS</t>
  </si>
  <si>
    <t>LÂMPADA TUBULAR FLUORESCENTE T8 DE 32/36 W, BASE G13 - FORNECIMENTO E INSTALAÇÃO. AF_02/2020_PS</t>
  </si>
  <si>
    <t>LÂMPADA TUBULAR FLUORESCENTE T10 DE 20/40 W, BASE G13 - FORNECIMENTO E INSTALAÇÃO. AF_02/2020_PS</t>
  </si>
  <si>
    <t>LÂMPADA TUBULAR FLUORESCENTE T5 DE 14 W, BASE G13 - FORNECIMENTO E INSTALAÇÃO. AF_02/2020_PS</t>
  </si>
  <si>
    <t>LÂMPADA TUBULAR LED DE 9/10 W, BASE G13 - FORNECIMENTO E INSTALAÇÃO. AF_02/2020_PS</t>
  </si>
  <si>
    <t>LÂMPADA TUBULAR LED DE 18/20 W, BASE G13 - FORNECIMENTO E INSTALAÇÃO. AF_02/2020_PS</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</si>
  <si>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</si>
  <si>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</si>
  <si>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</si>
  <si>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</si>
  <si>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</si>
  <si>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</si>
  <si>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</si>
  <si>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</si>
  <si>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</si>
  <si>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</si>
  <si>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</si>
  <si>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</si>
  <si>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</si>
  <si>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</si>
  <si>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</si>
  <si>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</si>
  <si>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</si>
  <si>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</si>
  <si>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</si>
  <si>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</si>
  <si>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</si>
  <si>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</si>
  <si>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</si>
  <si>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AÉREA, TRIFÁSICA, COM CAIXA DE EMBUTIR,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</si>
  <si>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</si>
  <si>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</si>
  <si>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</si>
  <si>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</si>
  <si>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</si>
  <si>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</si>
  <si>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</si>
  <si>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</si>
  <si>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</si>
  <si>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</si>
  <si>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</si>
  <si>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</si>
  <si>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</si>
  <si>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</si>
  <si>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</si>
  <si>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</si>
  <si>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</si>
  <si>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</si>
  <si>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</si>
  <si>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</si>
  <si>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</si>
  <si>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</si>
  <si>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</si>
  <si>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</si>
  <si>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COMPOSIÇÃO PARAMÉTRICA DE PONTO ELÉTRICO DE ILUMINAÇÃO, COM INTERRUPTOR SIMPLES, EM EDIFÍCIO RESIDENCIAL COM ELETRODUTO EMBUTIDO EM RASGOS NAS PAREDES, INCLUSO TOMADA, ELETRODUTO, CABO, RASGO E CHUMBAMENTO (SEM LUMINÁRIA E LÂMPADA). AF_11/2022</t>
  </si>
  <si>
    <t>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</si>
  <si>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COMPOSIÇÃO PARAMÉTRICA DE PONTO ELÉTRICO DE TOMADA DE USO GERAL 2P+T (10A/250V) EM EDIFÍCIO RESIDENCIAL COM ELETRODUTO EMBUTIDO EM RASGOS NAS PAREDES, INCLUSO TOMADA, ELETRODUTO, CABO, RASGO, QUEBRA E CHUMBAMENTO. AF_11/2022</t>
  </si>
  <si>
    <t>COMPOSIÇÃO PARAMÉTRICA DE PONTO ELÉTRICO DE TOMADA DE USO ESPECÍFICO 2P+T (20A/250V) EM EDIFÍCIO RESIDENCIAL COM ELETRODUTO EMBUTIDO EM RASGOS NAS PAREDES, INCLUSO TOMADA, ELETRODUTO, CABO, RASGO, QUEBRA E CHUMBAMENTO (EXCETO CHUVEIRO). AF_11/2022</t>
  </si>
  <si>
    <t>COMPOSIÇÃO PARAMÉTRICA DE PONTO ELÉTRICO DE ILUMINAÇÃO, COM INTERRUPTOR SIMPLES, EM EDIFÍCIO RESIDENCIAL COM ELETRODUTO EMBUTIDO SEM NECESSIDADE DE RASGOS, INCLUSO TOMADA, ELETRODUTO, CABO E QUEBRA (SEM LUMINÁRIA E LÂMPADA). AF_11/2022</t>
  </si>
  <si>
    <t>COMPOSIÇÃO PARAMÉTRICA DE PONTO ELÉTRICO DE ILUMINAÇÃO, COM INTERRUPTOR PARALELO, EM EDIFÍCIO RESIDENCIAL COM ELETRODUTO EMBUTIDO SEM NECESSIDADE DE RASGOS, INCLUSO TOMADA, ELETRODUTO, CABO E QUEBRA (SEM LUMINÁRIA E LÂMPADA). AF_11/2022</t>
  </si>
  <si>
    <t>COMPOSIÇÃO PARAMÉTRICA DE PONTO ELÉTRICO DE TOMADA DE USO GERAL 2P+T (10A/250V) EM EDIFÍCIO RESIDENCIAL COM ELETRODUTO EMBUTIDO SEM NECESSIDADE DE RASGOS, INCLUSO TOMADA, ELETRODUTO, CABO E QUEBRA. AF_11/2022</t>
  </si>
  <si>
    <t>COMPOSIÇÃO PARAMÉTRICA DE PONTO ELÉTRICO DE TOMADA DE USO ESPECÍFICO 2P+T (20A/250V) EM EDIFÍCIO RESIDENCIAL COM ELETRODUTO EMBUTIDO SEM NECESSIDADE DE RASGOS, INCLUSO TOMADA, ELETRODUTO, CABO E QUEBRA (EXCETO CHUVEIRO). AF_11/2022</t>
  </si>
  <si>
    <t>COMPOSIÇÃO PARAMÉTRICA DE PONTO ELÉTRICO DE TOMADA PARA CHUVEIRO (20A/250V) EM EDIFÍCIO RESIDENCIAL COM ELETRODUTO EMBUTIDO EM RASGOS NAS PAREDES, INCLUSO TOMADA, ELETRODUTO, CABO, RASGO, QUEBRA E CHUMBAMENTO. AF_11/2022</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</si>
  <si>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</si>
  <si>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</si>
  <si>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</si>
  <si>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</si>
  <si>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</si>
  <si>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</si>
  <si>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</si>
  <si>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</si>
  <si>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</si>
  <si>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</si>
  <si>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</si>
  <si>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</si>
  <si>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</si>
  <si>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</si>
  <si>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</si>
  <si>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</si>
  <si>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</si>
  <si>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</si>
  <si>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</si>
  <si>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AF_11/2021_PE</t>
  </si>
  <si>
    <t>AR CONDICIONADO SPLIT ON/OFF, PISO TETO, 18.000 BTU/H, CICLO FRIO - FORNECIMENTO E INSTALAÇÃO. AF_11/2021_PE</t>
  </si>
  <si>
    <t>AR CONDICIONADO SPLIT INVERTER, PISO TETO, 24000 BTU/H, CICLO FRIO - FORNECIMENTO E INSTALAÇÃO. AF_11/2021_PE</t>
  </si>
  <si>
    <t>AR CONDICIONADO SPLIT ON/OFF, PISO TETO, 24.000 BTU/H, CICLO FRIO - FORNECIMENTO E INSTALAÇÃO. AF_11/2021_PE</t>
  </si>
  <si>
    <t>AR CONDICIONADO SPLIT INVERTER, PISO TETO, 24000 BTU/H, QUENTE/FRIO - FORNECIMENTO E INSTALAÇÃO. AF_11/2021_PE</t>
  </si>
  <si>
    <t>AR CONDICIONADO SPLIT INVERTER, PISO TETO, 36000 BTU/H, CICLO FRIO - FORNECIMENTO E INSTALAÇÃO. AF_11/2021_PE</t>
  </si>
  <si>
    <t>AR CONDICIONADO SPLIT ON/OFF, PISO TETO, 36.000 BTU/H, CICLO 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</si>
  <si>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</si>
  <si>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</si>
  <si>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</si>
  <si>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</si>
  <si>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</si>
  <si>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</si>
  <si>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</si>
  <si>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</si>
  <si>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</si>
  <si>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</si>
  <si>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</si>
  <si>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</si>
  <si>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</si>
  <si>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</si>
  <si>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</si>
  <si>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</si>
  <si>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</si>
  <si>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</si>
  <si>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</si>
  <si>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RACK FECHADO PARA SERVIDOR - FORNECIMENTO E INSTALAÇÃO. AF_11/2019</t>
  </si>
  <si>
    <t>BLOCO DE ENGATE RÁPIDO PARA BASTIDOR TIPO M10 -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</si>
  <si>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</si>
  <si>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</si>
  <si>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</si>
  <si>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</si>
  <si>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</si>
  <si>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</si>
  <si>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</si>
  <si>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</si>
  <si>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</si>
  <si>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</si>
  <si>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</si>
  <si>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</si>
  <si>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</si>
  <si>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</si>
  <si>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</si>
  <si>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</si>
  <si>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</si>
  <si>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</si>
  <si>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</si>
  <si>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</si>
  <si>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</si>
  <si>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</si>
  <si>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</si>
  <si>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</si>
  <si>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</si>
  <si>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</si>
  <si>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</si>
  <si>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</si>
  <si>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</si>
  <si>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</si>
  <si>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</si>
  <si>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</si>
  <si>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</si>
  <si>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</si>
  <si>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</si>
  <si>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</si>
  <si>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</si>
  <si>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</si>
  <si>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</si>
  <si>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</si>
  <si>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</si>
  <si>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</si>
  <si>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DN 25MM, INSTALADO EM DRENO DE AR-CONDICIONADO - FORNECIMENTO E INSTALAÇÃO. AF_08/2022</t>
  </si>
  <si>
    <t>TUBO, CPVC, SOLDÁVEL, DN 114 MM, INSTALADO EM RESERVAÇÃO DE ÁGUA DE EDIFICAÇÃO QUE POSSUA RESERVATÓRIO DE FIBRA/FIBROCIMENTO  FORNECIMENTO E INSTALAÇÃO. AF_06/2016</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</si>
  <si>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</si>
  <si>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</si>
  <si>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</si>
  <si>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</si>
  <si>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</si>
  <si>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</si>
  <si>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</si>
  <si>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</si>
  <si>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</si>
  <si>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</si>
  <si>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</si>
  <si>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</si>
  <si>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</si>
  <si>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</si>
  <si>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</si>
  <si>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</si>
  <si>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</si>
  <si>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</si>
  <si>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</si>
  <si>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</si>
  <si>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</si>
  <si>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</si>
  <si>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</si>
  <si>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</si>
  <si>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</si>
  <si>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</si>
  <si>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</si>
  <si>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</si>
  <si>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</si>
  <si>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</si>
  <si>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TUBO, PVC, SOLDÁVEL, DN 20 MM, INSTALADO EM DRENO DE AR CONDICIONADO - FORNECIMENTO E INSTALAÇÃO. AF_08/2022</t>
  </si>
  <si>
    <t>TUBO, PVC, SOLDÁVEL, DN 32 MM, INSTALADO EM DRENO DE AR CONDICIONADO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</si>
  <si>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</si>
  <si>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</si>
  <si>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</si>
  <si>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</si>
  <si>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</si>
  <si>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</si>
  <si>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</si>
  <si>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</si>
  <si>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</si>
  <si>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</si>
  <si>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</si>
  <si>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</si>
  <si>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</si>
  <si>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</si>
  <si>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</si>
  <si>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</si>
  <si>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</si>
  <si>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</si>
  <si>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</si>
  <si>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</si>
  <si>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</si>
  <si>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</si>
  <si>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</si>
  <si>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</si>
  <si>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</si>
  <si>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</si>
  <si>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</si>
  <si>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</si>
  <si>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</si>
  <si>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</si>
  <si>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</si>
  <si>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</si>
  <si>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</si>
  <si>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</si>
  <si>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</si>
  <si>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</si>
  <si>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</si>
  <si>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</si>
  <si>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</si>
  <si>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</si>
  <si>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</si>
  <si>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</si>
  <si>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</si>
  <si>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</si>
  <si>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</si>
  <si>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</si>
  <si>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</si>
  <si>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</si>
  <si>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</si>
  <si>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</si>
  <si>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</si>
  <si>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</si>
  <si>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</si>
  <si>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</si>
  <si>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</si>
  <si>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</si>
  <si>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</si>
  <si>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</si>
  <si>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</si>
  <si>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</si>
  <si>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</si>
  <si>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</si>
  <si>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</si>
  <si>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</si>
  <si>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</si>
  <si>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</si>
  <si>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</si>
  <si>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</si>
  <si>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</si>
  <si>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</si>
  <si>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</si>
  <si>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</si>
  <si>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</si>
  <si>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</si>
  <si>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</si>
  <si>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</si>
  <si>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</si>
  <si>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</si>
  <si>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</si>
  <si>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</si>
  <si>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</si>
  <si>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</si>
  <si>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</si>
  <si>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</si>
  <si>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</si>
  <si>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</si>
  <si>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</si>
  <si>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</si>
  <si>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</si>
  <si>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</si>
  <si>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</si>
  <si>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</si>
  <si>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</si>
  <si>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</si>
  <si>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</si>
  <si>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</si>
  <si>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</si>
  <si>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</si>
  <si>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</si>
  <si>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</si>
  <si>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</si>
  <si>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</si>
  <si>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</si>
  <si>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</si>
  <si>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</si>
  <si>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</si>
  <si>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</si>
  <si>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</si>
  <si>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</si>
  <si>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</si>
  <si>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</si>
  <si>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</si>
  <si>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</si>
  <si>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</si>
  <si>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</si>
  <si>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</si>
  <si>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</si>
  <si>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</si>
  <si>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</si>
  <si>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</si>
  <si>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</si>
  <si>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</si>
  <si>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</si>
  <si>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</si>
  <si>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</si>
  <si>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</si>
  <si>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</si>
  <si>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</si>
  <si>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</si>
  <si>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</si>
  <si>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</si>
  <si>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</si>
  <si>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</si>
  <si>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</si>
  <si>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</si>
  <si>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</si>
  <si>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</si>
  <si>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</si>
  <si>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</si>
  <si>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</si>
  <si>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</si>
  <si>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</si>
  <si>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</si>
  <si>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</si>
  <si>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</si>
  <si>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</si>
  <si>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</si>
  <si>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</si>
  <si>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</si>
  <si>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</si>
  <si>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</si>
  <si>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</si>
  <si>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</si>
  <si>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</si>
  <si>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</si>
  <si>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</si>
  <si>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</si>
  <si>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</si>
  <si>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</si>
  <si>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</si>
  <si>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</si>
  <si>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</si>
  <si>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</si>
  <si>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</si>
  <si>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</si>
  <si>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</si>
  <si>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</si>
  <si>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</si>
  <si>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</si>
  <si>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</si>
  <si>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</si>
  <si>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</si>
  <si>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</si>
  <si>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</si>
  <si>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</si>
  <si>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</si>
  <si>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</si>
  <si>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</si>
  <si>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</si>
  <si>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</si>
  <si>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</si>
  <si>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</si>
  <si>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</si>
  <si>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</si>
  <si>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</si>
  <si>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</si>
  <si>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</si>
  <si>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</si>
  <si>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</si>
  <si>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</si>
  <si>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</si>
  <si>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</si>
  <si>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</si>
  <si>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</si>
  <si>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</si>
  <si>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</si>
  <si>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</si>
  <si>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</si>
  <si>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</si>
  <si>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</si>
  <si>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</si>
  <si>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</si>
  <si>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</si>
  <si>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</si>
  <si>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</si>
  <si>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</si>
  <si>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</si>
  <si>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</si>
  <si>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</si>
  <si>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</si>
  <si>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</si>
  <si>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</si>
  <si>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</si>
  <si>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</si>
  <si>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</si>
  <si>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</si>
  <si>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</si>
  <si>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</si>
  <si>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</si>
  <si>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</si>
  <si>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</si>
  <si>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</si>
  <si>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</si>
  <si>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</si>
  <si>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</si>
  <si>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</si>
  <si>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</si>
  <si>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</si>
  <si>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</si>
  <si>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</si>
  <si>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</si>
  <si>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</si>
  <si>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</si>
  <si>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</si>
  <si>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</si>
  <si>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</si>
  <si>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</si>
  <si>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</si>
  <si>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</si>
  <si>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</si>
  <si>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</si>
  <si>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</si>
  <si>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</si>
  <si>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</si>
  <si>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</si>
  <si>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</si>
  <si>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</si>
  <si>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</si>
  <si>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</si>
  <si>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</si>
  <si>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</si>
  <si>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</si>
  <si>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</si>
  <si>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</si>
  <si>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</si>
  <si>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</si>
  <si>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</si>
  <si>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</si>
  <si>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</si>
  <si>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</si>
  <si>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</si>
  <si>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</si>
  <si>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</si>
  <si>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</si>
  <si>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</si>
  <si>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</si>
  <si>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</si>
  <si>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</si>
  <si>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</si>
  <si>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</si>
  <si>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</si>
  <si>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</si>
  <si>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</si>
  <si>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</si>
  <si>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</si>
  <si>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</si>
  <si>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</si>
  <si>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</si>
  <si>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</si>
  <si>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</si>
  <si>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</si>
  <si>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</si>
  <si>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</si>
  <si>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</si>
  <si>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</si>
  <si>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</si>
  <si>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</si>
  <si>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</si>
  <si>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</si>
  <si>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</si>
  <si>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</si>
  <si>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</si>
  <si>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</si>
  <si>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</si>
  <si>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</si>
  <si>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</si>
  <si>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</si>
  <si>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</si>
  <si>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</si>
  <si>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</si>
  <si>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</si>
  <si>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</si>
  <si>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</si>
  <si>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</si>
  <si>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</si>
  <si>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</si>
  <si>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</si>
  <si>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</si>
  <si>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</si>
  <si>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</si>
  <si>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</si>
  <si>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</si>
  <si>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</si>
  <si>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</si>
  <si>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</si>
  <si>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</si>
  <si>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</si>
  <si>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</si>
  <si>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</si>
  <si>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</si>
  <si>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</si>
  <si>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</si>
  <si>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</si>
  <si>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</si>
  <si>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</si>
  <si>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</si>
  <si>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</si>
  <si>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</si>
  <si>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</si>
  <si>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</si>
  <si>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</si>
  <si>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</si>
  <si>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</si>
  <si>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</si>
  <si>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</si>
  <si>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</si>
  <si>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</si>
  <si>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</si>
  <si>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</si>
  <si>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</si>
  <si>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</si>
  <si>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</si>
  <si>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</si>
  <si>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</si>
  <si>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</si>
  <si>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</si>
  <si>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</si>
  <si>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</si>
  <si>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</si>
  <si>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</si>
  <si>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</si>
  <si>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</si>
  <si>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</si>
  <si>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</si>
  <si>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</si>
  <si>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</si>
  <si>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</si>
  <si>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</si>
  <si>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</si>
  <si>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</si>
  <si>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</si>
  <si>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</si>
  <si>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</si>
  <si>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</si>
  <si>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</si>
  <si>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</si>
  <si>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</si>
  <si>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</si>
  <si>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</si>
  <si>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</si>
  <si>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</si>
  <si>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</si>
  <si>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</si>
  <si>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</si>
  <si>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</si>
  <si>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</si>
  <si>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</si>
  <si>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</si>
  <si>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</si>
  <si>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</si>
  <si>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</si>
  <si>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</si>
  <si>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</si>
  <si>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</si>
  <si>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</si>
  <si>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</si>
  <si>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</si>
  <si>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</si>
  <si>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</si>
  <si>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</si>
  <si>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</si>
  <si>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</si>
  <si>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</si>
  <si>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</si>
  <si>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</si>
  <si>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</si>
  <si>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</si>
  <si>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</si>
  <si>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</si>
  <si>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15 MM, 90 GRAUS, SEM ANEL DE SOLDA, INSTALADO EM RAMAL DE DISTRIBUIÇÃO   FORNECIMENTO E INSTALAÇÃO. AF_04/2022</t>
  </si>
  <si>
    <t>CONECTOR, CPVC, SOLDÁVEL, DN 54 MM X 2", INSTALADO EM RESERVAÇÃO DE ÁGUA DE EDIFICAÇÃO QUE POSSUA RESERVATÓRIO DE FIBRA/FIBROCIMENTO - FORNECIMENTO E INSTALAÇÃO. AF_06/2016</t>
  </si>
  <si>
    <t>CONECTOR, CPVC, SOLDÁVEL, DN 73 MM X 2 1/2", INSTALADO EM RESERVAÇÃO DE ÁGUA DE EDIFICAÇÃO QUE POSSUA RESERVATÓRIO DE FIBRA/FIBROCIMENTO - FORNECIMENTO E INSTALAÇÃO. AF_06/2016</t>
  </si>
  <si>
    <t>CONECTOR, CPVC, SOLDÁVEL, DN 89 MM X 3", INSTALADO EM RESERVAÇÃO DE ÁGUA DE EDIFICAÇÃO QUE POSSUA RESERVATÓRIO DE FIBRA/FIBROCIMENTO - FORNECIMENTO E INSTALAÇÃO. AF_06/2016</t>
  </si>
  <si>
    <t>CONECTOR, CPVC, SOLDÁVEL, DN 114 MM X 4", INSTALADO EM RESERVAÇÃO DE ÁGUA DE EDIFICAÇÃO QUE POSSUA RESERVATÓRIO DE FIBRA/FIBROCIMENTO - FORNECIMENTO E INSTALAÇÃO. AF_06/2016</t>
  </si>
  <si>
    <t>LUVA, CPVC, SOLDÁVEL, DN 114 MM, INSTALADO EM RESERVAÇÃO DE ÁGUA DE EDIFICAÇÃO QUE POSSUA RESERVATÓRIO DE FIBRA/FIBROCIMENTO - FORNECIMENTO E INSTALAÇÃO. AF_06/2016</t>
  </si>
  <si>
    <t>JOELHO 90 GRAUS, CPVC, SOLDÁVEL, DN 114 MM, INSTALADO EM RESERVAÇÃO DE ÁGUA DE EDIFICAÇÃO QUE POSSUA RESERVATÓRIO DE FIBRA/FIBROCIMENTO - FORNECIMENTO E INSTALAÇÃO. AF_06/2016</t>
  </si>
  <si>
    <t>TE, CPVC, SOLDÁVEL, DN 114 MM, INSTALADO EM RESERVAÇÃO DE ÁGUA DE EDIFICAÇÃO QUE POSSUA RESERVATÓRIO DE FIBRA/FIBROCIMENTO - FORNECIMENTO E INSTALAÇÃO. AF_06/2016</t>
  </si>
  <si>
    <t>ADAPTADOR COM FLANGE E ANEL DE VEDAÇÃO, CPVC, ROSCÁVEL, DN 15 MM, INSTALADO EM RESERVAÇÃO DE ÁGUA DE EDIFICAÇÃO QUE POSSUA RESERVATÓRIO DE FIBRA/FIBROCIMENTO - FORNECIMENTO E INSTALAÇÃO. AF_06/2016</t>
  </si>
  <si>
    <t>ADAPTADOR COM FLANGE E ANEL DE VEDAÇÃO, CPVC, ROSCÁVEL, DN 22 MM, INSTALADO EM RESERVAÇÃO DE ÁGUA DE EDIFICAÇÃO QUE POSSUA RESERVATÓRIO DE FIBRA/FIBROCIMENTO - FORNECIMENTO E INSTALAÇÃO. AF_06/2016</t>
  </si>
  <si>
    <t>ADAPTADOR COM FLANGE E ANEL DE VEDAÇÃO, CPVC, ROSCÁVEL, DN 28 MM, INSTALADO EM RESERVAÇÃO DE ÁGUA DE EDIFICAÇÃO QUE POSSUA RESERVATÓRIO DE FIBRA/FIBROCIMENTO - FORNECIMENTO E INSTALAÇÃO. AF_06/2016</t>
  </si>
  <si>
    <t>ADAPTADOR COM FLANGE E ANEL DE VEDAÇÃO, CPVC, ROSCÁVEL, DN 35 MM, INSTALADO EM RESERVAÇÃO DE ÁGUA DE EDIFICAÇÃO QUE POSSUA RESERVATÓRIO DE FIBRA/FIBROCIMENTO - FORNECIMENTO E INSTALAÇÃO. AF_06/2016</t>
  </si>
  <si>
    <t>ADAPTADOR COM FLANGE E ANEL DE VEDAÇÃO, CPVC, ROSCÁVEL, DN 42 MM, INSTALADO EM RESERVAÇÃO DE ÁGUA DE EDIFICAÇÃO QUE POSSUA RESERVATÓRIO DE FIBRA/FIBROCIMENTO - FORNECIMENTO E INSTALAÇÃO. AF_06/2016</t>
  </si>
  <si>
    <t>ADAPTADOR COM FLANGE E ANEL DE VEDAÇÃO, CPVC, ROSCÁVEL, DN 54 MM, INSTALADO EM RESERVAÇÃO DE ÁGUA DE EDIFICAÇÃO QUE POSSUA RESERVATÓRIO DE FIBRA/FIBROCIMENTO - FORNECIMENTO E INSTALAÇÃO. AF_06/2016</t>
  </si>
  <si>
    <t>ADAPTADOR COM FLANGES LIVRES, CPVC, ROSCÁVEL, DN 15 MM, INSTALADO EM RESERVAÇÃO DE ÁGUA DE EDIFICAÇÃO QUE POSSUA RESERVATÓRIO DE FIBRA/FIBROCIMENTO - FORNECIMENTO E INSTALAÇÃO. AF_06/2016</t>
  </si>
  <si>
    <t>ADAPTADOR COM FLANGES LIVRES, CPVC, ROSCÁVEL, DN 22 MM, INSTALADO EM RESERVAÇÃO DE ÁGUA DE EDIFICAÇÃO QUE POSSUA RESERVATÓRIO DE FIBRA/FIBROCIMENTO - FORNECIMENTO E INSTALAÇÃO. AF_06/2016</t>
  </si>
  <si>
    <t>ADAPTADOR COM FLANGES LIVRES, CPVC, ROSCÁVEL, DN 28 MM, INSTALADO EM RESERVAÇÃO DE ÁGUA DE EDIFICAÇÃO QUE POSSUA RESERVATÓRIO DE FIBRA/FIBROCIMENTO - FORNECIMENTO E INSTALAÇÃO. AF_06/2016</t>
  </si>
  <si>
    <t>ADAPTADOR COM FLANGES LIVRES, CPVC, ROSCÁVEL, DN 35 MM, INSTALADO EM RESERVAÇÃO DE ÁGUA DE EDIFICAÇÃO QUE POSSUA RESERVATÓRIO DE FIBRA/FIBROCIMENTO - FORNECIMENTO E INSTALAÇÃO. AF_06/2016</t>
  </si>
  <si>
    <t>ADAPTADOR COM FLANGES LIVRES, CPVC, ROSCÁVEL, DN 42 MM, INSTALADO EM RESERVAÇÃO DE ÁGUA DE EDIFICAÇÃO QUE POSSUA RESERVATÓRIO DE FIBRA/FIBROCIMENTO - FORNECIMENTO E INSTALAÇÃO. AF_06/2016</t>
  </si>
  <si>
    <t>ADAPTADOR COM FLANGES LIVRES, CPVC, ROSCÁVEL, DN 54 MM, INSTALADO EM RESERVAÇÃO DE ÁGUA DE EDIFICAÇÃO QUE POSSUA RESERVATÓRIO DE FIBRA/FIBROCIMENTO - FORNECIMENTO E INSTALAÇÃO. AF_06/2016</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</si>
  <si>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</si>
  <si>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</si>
  <si>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</si>
  <si>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</si>
  <si>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</si>
  <si>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</si>
  <si>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</si>
  <si>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</si>
  <si>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</si>
  <si>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</si>
  <si>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</si>
  <si>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</si>
  <si>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</si>
  <si>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</si>
  <si>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</si>
  <si>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</si>
  <si>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</si>
  <si>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</si>
  <si>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</si>
  <si>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</si>
  <si>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</si>
  <si>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</si>
  <si>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</si>
  <si>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</si>
  <si>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</si>
  <si>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</si>
  <si>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</si>
  <si>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</si>
  <si>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</si>
  <si>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</si>
  <si>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</si>
  <si>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</si>
  <si>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</si>
  <si>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</si>
  <si>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</si>
  <si>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</si>
  <si>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</si>
  <si>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</si>
  <si>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</si>
  <si>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</si>
  <si>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</si>
  <si>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</si>
  <si>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</si>
  <si>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</si>
  <si>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</si>
  <si>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</si>
  <si>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</si>
  <si>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</si>
  <si>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</si>
  <si>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</si>
  <si>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</si>
  <si>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</si>
  <si>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</si>
  <si>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</si>
  <si>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</si>
  <si>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</si>
  <si>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</si>
  <si>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</si>
  <si>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</si>
  <si>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</si>
  <si>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</si>
  <si>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</si>
  <si>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</si>
  <si>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</si>
  <si>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</si>
  <si>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</si>
  <si>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</si>
  <si>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</si>
  <si>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</si>
  <si>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</si>
  <si>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</si>
  <si>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</si>
  <si>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</si>
  <si>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</si>
  <si>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</si>
  <si>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</si>
  <si>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</si>
  <si>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</si>
  <si>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</si>
  <si>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</si>
  <si>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</si>
  <si>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</si>
  <si>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</si>
  <si>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</si>
  <si>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</si>
  <si>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</si>
  <si>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</si>
  <si>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</si>
  <si>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</si>
  <si>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</si>
  <si>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</si>
  <si>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</si>
  <si>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</si>
  <si>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</si>
  <si>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</si>
  <si>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</si>
  <si>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</si>
  <si>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</si>
  <si>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</si>
  <si>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</si>
  <si>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</si>
  <si>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</si>
  <si>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</si>
  <si>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</si>
  <si>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</si>
  <si>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</si>
  <si>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</si>
  <si>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</si>
  <si>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</si>
  <si>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</si>
  <si>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</si>
  <si>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</si>
  <si>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</si>
  <si>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</si>
  <si>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</si>
  <si>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</si>
  <si>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</si>
  <si>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</si>
  <si>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</si>
  <si>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</si>
  <si>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</si>
  <si>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</si>
  <si>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</si>
  <si>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</si>
  <si>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</si>
  <si>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</si>
  <si>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</si>
  <si>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</si>
  <si>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</si>
  <si>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</si>
  <si>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</si>
  <si>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</si>
  <si>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</si>
  <si>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</si>
  <si>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LUVA DE CORRER, PVC, SOLDÁVEL, DN 40MM,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</si>
  <si>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</si>
  <si>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</si>
  <si>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</si>
  <si>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</si>
  <si>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</si>
  <si>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</si>
  <si>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</si>
  <si>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</si>
  <si>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</si>
  <si>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</si>
  <si>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</si>
  <si>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</si>
  <si>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</si>
  <si>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</si>
  <si>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</si>
  <si>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</si>
  <si>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</si>
  <si>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</si>
  <si>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</si>
  <si>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</si>
  <si>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</si>
  <si>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</si>
  <si>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</si>
  <si>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</si>
  <si>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</si>
  <si>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</si>
  <si>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</si>
  <si>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</si>
  <si>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</si>
  <si>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</si>
  <si>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</si>
  <si>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</si>
  <si>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</si>
  <si>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</si>
  <si>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</si>
  <si>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</si>
  <si>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</si>
  <si>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</si>
  <si>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</si>
  <si>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</si>
  <si>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</si>
  <si>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</si>
  <si>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</si>
  <si>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</si>
  <si>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</si>
  <si>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</si>
  <si>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</si>
  <si>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</si>
  <si>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</si>
  <si>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</si>
  <si>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</si>
  <si>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</si>
  <si>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</si>
  <si>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</si>
  <si>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</si>
  <si>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</si>
  <si>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</si>
  <si>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</si>
  <si>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</si>
  <si>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</si>
  <si>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</si>
  <si>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</si>
  <si>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</si>
  <si>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</si>
  <si>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</si>
  <si>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</si>
  <si>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</si>
  <si>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</si>
  <si>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</si>
  <si>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</si>
  <si>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</si>
  <si>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</si>
  <si>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</si>
  <si>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</si>
  <si>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</si>
  <si>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</si>
  <si>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</si>
  <si>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</si>
  <si>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</si>
  <si>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</si>
  <si>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</si>
  <si>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</si>
  <si>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</si>
  <si>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</si>
  <si>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</si>
  <si>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</si>
  <si>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</si>
  <si>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</si>
  <si>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</si>
  <si>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</si>
  <si>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</si>
  <si>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</si>
  <si>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</si>
  <si>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</si>
  <si>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</si>
  <si>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</si>
  <si>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</si>
  <si>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</si>
  <si>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</si>
  <si>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</si>
  <si>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</si>
  <si>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</si>
  <si>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</si>
  <si>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KIT CAVALETE PARA MEDIÇÃO DE ÁGUA - ENTRADA INDIVIDUALIZADA, EM CPVC DN 28 (1"), PARA 1 MEDIDOR - FORNECIMENTO E INSTALAÇÃO (EXCLUSIVE HIDRÔMETRO). AF_11/2016</t>
  </si>
  <si>
    <t>KIT CAVALETE PARA MEDIÇÃO DE ÁGUA - ENTRADA INDIVIDUALIZADA, EM CPVC DN 28 (1"), PARA 2 MEDIDORES - FORNECIMENTO E INSTALAÇÃO (EXCLUSIVE HIDRÔMETRO). AF_11/2016</t>
  </si>
  <si>
    <t>KIT CAVALETE PARA MEDIÇÃO DE ÁGUA - ENTRADA INDIVIDUALIZADA, EM CPVC DN 28 (1"), PARA 3 MEDIDORES - FORNECIMENTO E INSTALAÇÃO (EXCLUSIVE HIDRÔMETRO). AF_11/2016</t>
  </si>
  <si>
    <t>KIT CAVALETE PARA MEDIÇÃO DE ÁGUA - ENTRADA INDIVIDUALIZADA, EM CPVC DN 28 (1"), PARA 4 MEDIDORES - FORNECIMENTO E INSTALAÇÃO (EXCLUSIVE HIDRÔMETRO). AF_11/2016</t>
  </si>
  <si>
    <t>KIT CAVALETE PARA MEDIÇÃO DE ÁGUA - ENTRADA INDIVIDUALIZADA, EM CPVC DN 35 (1 ¼"), PARA 1 MEDIDOR - FORNECIMENTO E INSTALAÇÃO (EXCLUSIVE HIDRÔMETRO). AF_11/2016</t>
  </si>
  <si>
    <t>KIT CAVALETE PARA MEDIÇÃO DE ÁGUA - ENTRADA INDIVIDUALIZADA, EM CPVC DN 35 (1 ¼"), PARA 2 MEDIDORES - FORNECIMENTO E INSTALAÇÃO (EXCLUSIVE HIDRÔMETRO). AF_11/2016</t>
  </si>
  <si>
    <t>KIT CAVALETE PARA MEDIÇÃO DE ÁGUA - ENTRADA INDIVIDUALIZADA, EM CPVC DN 35 (1 ¼"), PARA 3 MEDIDORES - FORNECIMENTO E INSTALAÇÃO (EXCLUSIVE HIDRÔMETRO). AF_11/2016</t>
  </si>
  <si>
    <t>KIT CAVALETE PARA MEDIÇÃO DE ÁGUA - ENTRADA INDIVIDUALIZADA, EM CPVC DN 35 (1 ¼"), PARA 4 MEDIDORES - FORNECIMENTO E INSTALAÇÃO (EXCLUSIVE HIDRÔMETRO). AF_11/2016</t>
  </si>
  <si>
    <t>KIT CAVALETE PARA MEDIÇÃO DE ÁGUA - ENTRADA INDIVIDUALIZADA, EM PPR PN20 DN 25 (¾") PARA 1 MEDIDOR - FORNECIMENTO E INSTALAÇÃO (EXCLUSIVE HIDRÔMETRO). AF_11/2016</t>
  </si>
  <si>
    <t>KIT CAVALETE PARA MEDIÇÃO DE ÁGUA - ENTRADA INDIVIDUALIZADA, EM PPR PN20 DN 25 (¾" ) PARA 2 MEDIDORES - FORNECIMENTO E INSTALAÇÃO (EXCLUSIVE HIDRÔMETRO). AF_11/2016</t>
  </si>
  <si>
    <t>KIT CAVALETE PARA MEDIÇÃO DE ÁGUA - ENTRADA INDIVIDUALIZADA, EM PPR PN20 DN 25 (¾") PARA 3 MEDIDORES - FORNECIMENTO E INSTALAÇÃO (EXCLUSIVE HIDRÔMETRO). AF_11/2016</t>
  </si>
  <si>
    <t>KIT CAVALETE PARA MEDIÇÃO DE ÁGUA - ENTRADA INDIVIDUALIZADA, EM PPR PN20 DN 25 (¾") PARA 4 MEDIDORES - FORNECIMENTO E INSTALAÇÃO (EXCLUSIVE HIDRÔMETRO). AF_11/2016</t>
  </si>
  <si>
    <t>KIT CAVALETE PARA MEDIÇÃO DE ÁGUA - ENTRADA INDIVIDUALIZADA, EM PPR PN20 DN 32 (1") PARA 1 MEDIDOR - FORNECIMENTO E INSTALAÇÃO (EXCLUSIVE HIDRÔMETRO). AF_11/2016</t>
  </si>
  <si>
    <t>KIT CAVALETE PARA MEDIÇÃO DE ÁGUA - ENTRADA INDIVIDUALIZADA, EM PPR PN20 DN 32 (1") PARA 2 MEDIDORES - FORNECIMENTO E INSTALAÇÃO (EXCLUSIVE HIDRÔMETRO). AF_11/2016</t>
  </si>
  <si>
    <t>KIT CAVALETE PARA MEDIÇÃO DE ÁGUA - ENTRADA INDIVIDUALIZADA, EM PPR PN20 DN 32 (1") PARA 3 MEDIDORES - FORNECIMENTO E INSTALAÇÃO (EXCLUSIVE HIDRÔMETRO). AF_11/2016</t>
  </si>
  <si>
    <t>KIT CAVALETE PARA MEDIÇÃO DE ÁGUA - ENTRADA INDIVIDUALIZADA, EM PPR PN20 DN 32 (1") PARA 4 MEDIDORES - FORNECIMENTO E INSTALAÇÃO (EXCLUSIVE HIDRÔMETRO). AF_11/2016</t>
  </si>
  <si>
    <t>KIT CAVALETE PARA MEDIÇÃO DE ÁGUA - ENTRADA INDIVIDUALIZADA, EM PPR PN25 DN 25 (¾") PARA 1 MEDIDOR - FORNECIMENTO E INSTALAÇÃO (EXCLUSIVE HIDRÔMETRO). AF_11/2016</t>
  </si>
  <si>
    <t>KIT CAVALETE PARA MEDIÇÃO DE ÁGUA - ENTRADA INDIVIDUALIZADA, EM PPR PN25 DN 25 (¾") PARA 2 MEDIDORES - FORNECIMENTO E INSTALAÇÃO (EXCLUSIVE HIDRÔMETRO). AF_11/2016</t>
  </si>
  <si>
    <t>KIT CAVALETE PARA MEDIÇÃO DE ÁGUA - ENTRADA INDIVIDUALIZADA, EM PPR PN25 DN 25 (¾") PARA 3 MEDIDORES - FORNECIMENTO E INSTALAÇÃO (EXCLUSIVE HIDRÔMETRO). AF_11/2016</t>
  </si>
  <si>
    <t>KIT CAVALETE PARA MEDIÇÃO DE ÁGUA - ENTRADA INDIVIDUALIZADA, EM PPR PN25 DN 25 (¾") PARA 4 MEDIDORES - FORNECIMENTO E INSTALAÇÃO (EXCLUSIVE HIDRÔMETRO). AF_11/2016</t>
  </si>
  <si>
    <t>KIT CAVALETE PARA MEDIÇÃO DE ÁGUA - ENTRADA INDIVIDUALIZADA, EM PPR PN25 DN 32 (1") PARA 1 MEDIDOR - FORNECIMENTO E INSTALAÇÃO (EXCLUSIVE HIDRÔMETRO). AF_11/2016</t>
  </si>
  <si>
    <t>KIT CAVALETE PARA MEDIÇÃO DE ÁGUA - ENTRADA INDIVIDUALIZADA, EM PPR PN25 DN 32 (1") PARA 2 MEDIDORES - FORNECIMENTO E INSTALAÇÃO (EXCLUSIVE HIDRÔMETRO). AF_11/2016</t>
  </si>
  <si>
    <t>KIT CAVALETE PARA MEDIÇÃO DE ÁGUA - ENTRADA INDIVIDUALIZADA, EM PPR PN25 DN 32 (1") PARA 3 MEDIDORES - FORNECIMENTO E INSTALAÇÃO (EXCLUSIVE HIDRÔMETRO). AF_11/2016</t>
  </si>
  <si>
    <t>KIT CAVALETE PARA MEDIÇÃO DE ÁGUA - ENTRADA INDIVIDUALIZADA, EM PPR PN25 DN 32 (1") PARA 4 MEDIDORES - FORNECIMENTO E INSTALAÇÃO (EXCLUSIVE HIDRÔMETRO). AF_11/2016</t>
  </si>
  <si>
    <t>TIL (TUBO DE INSPEÇÃO E LIMPEZA) RADIAL PARA ESGOTO, EM PVC, DN 300X200 MM. AF_12/2020</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</si>
  <si>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</si>
  <si>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</si>
  <si>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</si>
  <si>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</si>
  <si>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</si>
  <si>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</si>
  <si>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</si>
  <si>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</si>
  <si>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</si>
  <si>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</si>
  <si>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</si>
  <si>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</si>
  <si>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</si>
  <si>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</si>
  <si>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</si>
  <si>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</si>
  <si>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</si>
  <si>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</si>
  <si>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</si>
  <si>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</si>
  <si>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</si>
  <si>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</si>
  <si>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</si>
  <si>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</si>
  <si>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</si>
  <si>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(COMPOSIÇÃO REPRESENTATIVA) LIGAÇÃO PREDIAL DE ÁGUA, REDE DN 50 MM, RAMAL PREDIAL DE 20 MM, L = 2,0 M, LARGURA DA VALA = 0,65 M; COM COLAR DE TOMADA DE PVC; ESCAVAÇÃO MECANIZADA, PREPARO DE FUNDO DE VALA E REATERRO COMPACTADO. AF_06/2022</t>
  </si>
  <si>
    <t>(COMPOSIÇÃO REPRESENTATIVA) LIGAÇÃO PREDIAL DE ÁGUA, REDE DN 50 MM, RAMAL PREDIAL DE 20 MM, L = 4,0 M, LARGURA DA VALA = 0,65 M; COM COLAR DE TOMADA DE PVC; ESCAVAÇÃO MECANIZADA, PREPARO DE FUNDO DE VALA E REATERRO COMPACTADO. AF_06/2022</t>
  </si>
  <si>
    <t>(COMPOSIÇÃO REPRESENTATIVA) LIGAÇÃO PREDIAL DE ÁGUA, REDE DN 50 MM, RAMAL PREDIAL DE 20 MM, L = 6,0 M, LARGURA DA VALA = 0,65 M; COM COLAR DE TOMADA DE PVC; ESCAVAÇÃO MECANIZADA, PREPARO DE FUNDO DE VALA E REATERRO COMPACTADO. AF_06/2022</t>
  </si>
  <si>
    <t>(COMPOSIÇÃO REPRESENTATIVA) LIGAÇÃO PREDIAL DE ÁGUA, REDE DN 50 MM, RAMAL PREDIAL DE 20 MM, L = 2,0 M, LARGURA DA VALA = 0,65 M; COM COLAR DE TOMADA DE PVC; ESCAVAÇÃO MANUAL, PREPARO DE FUNDO DE VALA E REATERRO COMPACTADO. AF_06/2022</t>
  </si>
  <si>
    <t>(COMPOSIÇÃO REPRESENTATIVA) LIGAÇÃO PREDIAL DE ÁGUA, REDE DN 50 MM, RAMAL PREDIAL DE 20 MM, L = 4,0 M, LARGURA DA VALA = 0,65 M; COM COLAR DE TOMADA DE PVC; ESCAVAÇÃO MANUAL, PREPARO DE FUNDO DE VALA E REATERRO COMPACTADO. AF_06/2022</t>
  </si>
  <si>
    <t>(COMPOSIÇÃO REPRESENTATIVA) LIGAÇÃO PREDIAL DE ÁGUA, REDE DN 50 MM, RAMAL PREDIAL DE 20 MM, L = 6,0 M, LARGURA DA VALA = 0,65 M; COM COLAR DE TOMADA DE PVC; ESCAVAÇÃO MANUAL, PREPARO DE FUNDO DE VALA E REATERRO COMPACTADO.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</si>
  <si>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</si>
  <si>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</si>
  <si>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</si>
  <si>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</si>
  <si>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</si>
  <si>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</si>
  <si>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</si>
  <si>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</si>
  <si>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</si>
  <si>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</si>
  <si>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</si>
  <si>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(COMPOSIÇÃO REPRESENTATIVA) LIGAÇÃO PREDIAL DE ESGOTO, REDE DN 150 MM, COLETOR PREDIAL DN 100 MM, L = 2,0 M, LARGURA DA VALA = 0,65 M; COM SELIM E CURVA 90 GRAUS; ESCAVAÇÃO MECANIZADA, PREPARO DE FUNDO DE VALA E REATERRO COMPACTADO. AF_06/2022</t>
  </si>
  <si>
    <t>(COMPOSIÇÃO REPRESENTATIVA) LIGAÇÃO PREDIAL DE ESGOTO, REDE DN 150 MM, COLETOR PREDIAL DN 100 MM, L = 4,0 M, LARGURA DA VALA = 0,65 M; COM SELIM E CURVA 90 GRAUS; ESCAVAÇÃO MECANIZADA, PREPARO DE FUNDO DE VALA E REATERRO COMPACTADO. AF_06/2022</t>
  </si>
  <si>
    <t>(COMPOSIÇÃO REPRESENTATIVA) LIGAÇÃO PREDIAL DE ESGOTO, REDE DN 150 MM, COLETOR PREDIAL DN 100 MM, L = 6,0 M, LARGURA DA VALA = 0,65 M; COM SELIM E CURVA 90 GRAUS; ESCAVAÇÃO MECANIZADA, PREPARO DE FUNDO DE VALA E REATERRO COMPACTADO. AF_06/2022</t>
  </si>
  <si>
    <t>(COMPOSIÇÃO REPRESENTATIVA) LIGAÇÃO PREDIAL DE ESGOTO, REDE DN 150 MM, COLETOR PREDIAL DN 100 MM, L = 2,0 M, LARGURA DA VALA = 0,65 M; COM SELIM E CURVA 90 GRAUS; ESCAVAÇÃO MANUAL, PREPARO DE FUNDO DE VALA E REATERRO COMPACTADO. AF_06/2022</t>
  </si>
  <si>
    <t>(COMPOSIÇÃO REPRESENTATIVA) LIGAÇÃO PREDIAL DE ESGOTO, REDE DN 150 MM, COLETOR PREDIAL DN 100 MM, L = 4,0 M, LARGURA DA VALA = 0,65 M; COM SELIM E CURVA 90 GRAUS; ESCAVAÇÃO MANUAL, PREPARO DE FUNDO DE VALA E REATERRO COMPACTADO. AF_06/2022</t>
  </si>
  <si>
    <t>(COMPOSIÇÃO REPRESENTATIVA) LIGAÇÃO PREDIAL DE ESGOTO, REDE DN 150 MM, COLETOR PREDIAL DN 100 MM, L = 6,0 M, LARGURA DA VALA = 0,65 M; COM SELIM E CURVA 90 GRAUS; ESCAVAÇÃO MANUAL, PREPARO DE FUNDO DE VALA E REATERRO COMPACTADO. AF_06/2022</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</si>
  <si>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</si>
  <si>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</si>
  <si>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</si>
  <si>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</si>
  <si>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</si>
  <si>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</si>
  <si>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</si>
  <si>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PAREDE COM PLACAS DE GESSO ACARTONADO (DRYWALL), PARA USO INTERNO, COM DUAS FACES SIMPLES E ESTRUTURA METÁLICA COM GUIAS SIMPLES, SEM VÃOS. AF_06/2017_PS</t>
  </si>
  <si>
    <t>PAREDE COM PLACAS DE GESSO ACARTONADO (DRYWALL), PARA USO INTERNO, COM DUAS FACES SIMPLES E ESTRUTURA METÁLICA COM GUIAS SIMPLES, COM VÃOS AF_06/2017_PS</t>
  </si>
  <si>
    <t>PAREDE COM PLACAS DE GESSO ACARTONADO (DRYWALL), PARA USO INTERNO, COM DUAS FACES SIMPLES E ESTRUTURA METÁLICA COM GUIAS DUPLAS, SEM VÃOS. AF_06/2017_PS</t>
  </si>
  <si>
    <t>PAREDE COM PLACAS DE GESSO ACARTONADO (DRYWALL), PARA USO INTERNO, COM DUAS FACES SIMPLES E ESTRUTURA METÁLICA COM GUIAS DUPLAS, COM VÃOS. AF_06/2017_PS</t>
  </si>
  <si>
    <t>PAREDE COM PLACAS DE GESSO ACARTONADO (DRYWALL), PARA USO INTERNO, COM UMA FACE SIMPLES E OUTRA FACE DUPLA E ESTRUTURA METÁLICA COM GUIAS SIMPLES, SEM VÃOS. AF_06/2017_PS</t>
  </si>
  <si>
    <t>PAREDE COM PLACAS DE GESSO ACARTONADO (DRYWALL), PARA USO INTERNO, COM UMA FACE SIMPLES E OUTRA FACE DUPLA E ESTRUTURA METÁLICA COM GUIAS SIMPLES, COM VÃOS. AF_06/2017_PS</t>
  </si>
  <si>
    <t>PAREDE COM PLACAS DE GESSO ACARTONADO (DRYWALL), PARA USO INTERNO COM UMA FACE SIMPLES E OUTRA FACE DUPLA E ESTRUTURA METÁLICA COM GUIAS DUPLAS, SEM VÃOS. AF_06/2017_PS</t>
  </si>
  <si>
    <t>PAREDE COM PLACAS DE GESSO ACARTONADO (DRYWALL), PARA USO INTERNO, COM UMA FACE SIMPLES E OUTRA FACE DUPLA E   ESTRUTURA METÁLICA COM GUIAS DUPLAS, COM VÃOS. AF_06/2017_PS</t>
  </si>
  <si>
    <t>PAREDE COM PLACAS DE GESSO ACARTONADO (DRYWALL), PARA USO INTERNO, COM DUAS FACES DUPLAS E ESTRUTURA METÁLICA COM GUIAS SIMPLES, SEM VÃOS. AF_06/2017_PS</t>
  </si>
  <si>
    <t>PAREDE COM PLACAS DE GESSO ACARTONADO (DRYWALL), PARA USO INTERNO, COM DUAS FACES DUPLAS E ESTRUTURA METÁLICA COM GUIAS SIMPLES, COM VÃOS. AF_06/2017_PS</t>
  </si>
  <si>
    <t>PAREDE COM PLACAS DE GESSO ACARTONADO (DRYWALL), PARA USO INTERNO, COM DUAS FACES DUPLAS E ESTRUTURA METÁLICA COM GUIAS DUPLAS, COM VÃOS. AF_06/2017_PS</t>
  </si>
  <si>
    <t>PAREDE COM PLACAS DE GESSO ACARTONADO (DRYWALL), PARA USO INTERNO, COM UMA FACE SIMPLES E ESTRUTURA METÁLICA COM GUIAS SIMPLES, SEM VÃOS. AF_06/2017_PS</t>
  </si>
  <si>
    <t>PAREDE COM PLACAS DE GESSO ACARTONADO (DRYWALL), PARA USO INTERNO, COM UMA FACE SIMPLES E ESTRUTURA METÁLICA COM GUIAS SIMPLES, COM VÃOS. AF_06/2017_PS</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</si>
  <si>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</si>
  <si>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</si>
  <si>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</si>
  <si>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</si>
  <si>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</si>
  <si>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</si>
  <si>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</si>
  <si>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</si>
  <si>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</si>
  <si>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</si>
  <si>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</si>
  <si>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</si>
  <si>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</si>
  <si>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</si>
  <si>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</si>
  <si>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</si>
  <si>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PASSEIO EM PISO INTERTRAVADO, COM BLOCO RAQUETE  22 X 13,5 CM, ESPESSURA 6 CM. AF_10/2022</t>
  </si>
  <si>
    <t>EXECUÇÃO DE PAVIMENTO EM PISO INTERTRAVADO, COM BLOCO RAQUETE  22 X 13,5 CM, ESPESSURA 6 CM. AF_10/2022</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</si>
  <si>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</si>
  <si>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</si>
  <si>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</si>
  <si>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</si>
  <si>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</si>
  <si>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</si>
  <si>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</si>
  <si>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</si>
  <si>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</si>
  <si>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</si>
  <si>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</si>
  <si>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</si>
  <si>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</si>
  <si>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</si>
  <si>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</si>
  <si>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</si>
  <si>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</si>
  <si>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</si>
  <si>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</si>
  <si>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PISO PODOTÁTIL DE ALERTA OU DIRECIONAL, DE BORRACHA, ASSENTADO SOBRE ARGAMASSA. AF_05/2020</t>
  </si>
  <si>
    <t>PISO EM GRANILITE, MARMORITE OU GRANITINA EM AMBIENTES INTERNOS, COM ESPESSURA DE 8 MM, INCLUSO MISTURA EM BETONEIRA, COLOCAÇÃO DAS JUNTAS, APLICAÇÃO DO PISO, 4 POLIMENTOS COM POLITRIZ, ESTUCAMENTO, SELADOR E CERA. AF_06/2022</t>
  </si>
  <si>
    <t>EXECUÇÃO DE PASSEIO (CALÇADA) OU PISO DE CONCRETO COM CONCRETO MOLDADO IN LOCO, FEITO EM OBRA, ACABAMENTO CONVENCIONAL, NÃO ARMADO. AF_08/2022</t>
  </si>
  <si>
    <t>EXECUÇÃO DE PASSEIO (CALÇADA) OU PISO DE CONCRETO COM CONCRETO MOLDADO IN LOCO, USINADO,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</si>
  <si>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</si>
  <si>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</si>
  <si>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</si>
  <si>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</si>
  <si>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</si>
  <si>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</si>
  <si>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</si>
  <si>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</si>
  <si>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</si>
  <si>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</si>
  <si>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</si>
  <si>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</si>
  <si>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</si>
  <si>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</si>
  <si>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</si>
  <si>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</si>
  <si>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</si>
  <si>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</si>
  <si>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</si>
  <si>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</si>
  <si>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</si>
  <si>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</si>
  <si>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</si>
  <si>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</si>
  <si>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</si>
  <si>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</si>
  <si>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</si>
  <si>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</si>
  <si>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</si>
  <si>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</si>
  <si>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</si>
  <si>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</si>
  <si>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</si>
  <si>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</si>
  <si>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</si>
  <si>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</si>
  <si>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</si>
  <si>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</si>
  <si>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</si>
  <si>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</si>
  <si>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</si>
  <si>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</si>
  <si>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</si>
  <si>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</si>
  <si>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</si>
  <si>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</si>
  <si>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</si>
  <si>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</si>
  <si>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</si>
  <si>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</si>
  <si>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</si>
  <si>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</si>
  <si>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</si>
  <si>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</si>
  <si>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</si>
  <si>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</si>
  <si>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</si>
  <si>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</si>
  <si>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</si>
  <si>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</si>
  <si>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</si>
  <si>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</si>
  <si>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</si>
  <si>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</si>
  <si>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</si>
  <si>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MANUAL, APLICADA MANUALMENTE EM SUPERFÍCIES EXTERNAS DA SACADA, ESPESSURA MAIOR OU IGUAL A 50 MM, SEM USO DE TELA METÁLICA DE REFORÇO CONTRA FISSURAÇÃO. AF_068/2022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</si>
  <si>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</si>
  <si>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</si>
  <si>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</si>
  <si>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</si>
  <si>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</si>
  <si>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</si>
  <si>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</si>
  <si>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</si>
  <si>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</si>
  <si>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</si>
  <si>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</si>
  <si>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</si>
  <si>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</si>
  <si>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</si>
  <si>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</si>
  <si>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</si>
  <si>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</si>
  <si>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</si>
  <si>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</si>
  <si>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</si>
  <si>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</si>
  <si>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</si>
  <si>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</si>
  <si>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</si>
  <si>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</si>
  <si>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</si>
  <si>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</si>
  <si>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</si>
  <si>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</si>
  <si>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</si>
  <si>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</si>
  <si>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</si>
  <si>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</si>
  <si>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</si>
  <si>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</si>
  <si>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</si>
  <si>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</si>
  <si>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</si>
  <si>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</si>
  <si>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</si>
  <si>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</si>
  <si>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</si>
  <si>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</si>
  <si>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</si>
  <si>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</si>
  <si>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</si>
  <si>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</si>
  <si>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</si>
  <si>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</si>
  <si>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</si>
  <si>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</si>
  <si>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</si>
  <si>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</si>
  <si>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</si>
  <si>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</si>
  <si>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</si>
  <si>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</si>
  <si>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</si>
  <si>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</si>
  <si>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</si>
  <si>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</si>
  <si>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</si>
  <si>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</si>
  <si>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</si>
  <si>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</si>
  <si>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</si>
  <si>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</si>
  <si>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</si>
  <si>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</si>
  <si>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FORRO EM PLACAS DE GESSO, PARA AMBIENTES RESIDENCIAIS. AF_05/2017_PS</t>
  </si>
  <si>
    <t>FORRO EM DRYWALL, PARA AMBIENTES RESIDENCIAIS, INCLUSIVE ESTRUTURA DE FIXAÇÃO. AF_05/2017_PS</t>
  </si>
  <si>
    <t>FORRO EM PLACAS DE GESSO, PARA AMBIENTES COMERCIAIS. AF_05/2017_PS</t>
  </si>
  <si>
    <t>FORRO EM DRYWALL, PARA AMBIENTES COMERCIAIS, INCLUSIVE ESTRUTURA DE FIXAÇÃO. AF_05/2017_PS</t>
  </si>
  <si>
    <t>ACABAMENTOS PARA FORRO (MOLDURA EM DRYWALL, COM LARGURA DE 15 CM). AF_05/2017_PS</t>
  </si>
  <si>
    <t>ACABAMENTOS PARA FORRO (SANCA DE GESSO MONTADA NA OBRA). AF_05/2017_PS</t>
  </si>
  <si>
    <t>FORRO EM RÉGUAS DE PVC, FRISADO, PARA AMBIENTES RESIDENCIAIS, INCLUSIVE ESTRUTURA DE FIXAÇÃO. AF_05/2017_PS</t>
  </si>
  <si>
    <t>FORRO EM RÉGUAS DE PVC, FRISADO, PARA AMBIENTES COMERCIAIS, INCLUSIVE ESTRUTURA DE FIXAÇÃO. AF_05/2017_PS</t>
  </si>
  <si>
    <t>FORRO EM RÉGUAS DE PVC, LISO, PARA AMBIENTES RESIDENCIAIS, INCLUSIVE ESTRUTURA DE FIXAÇÃO. AF_05/2017_PS</t>
  </si>
  <si>
    <t>FORRO DE PVC, LISO, PARA AMBIENTES COMERCIAIS, INCLUSIVE ESTRUTURA DE FIXAÇÃO. AF_05/2017_PS</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</si>
  <si>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</si>
  <si>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</si>
  <si>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</si>
  <si>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</si>
  <si>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</si>
  <si>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</si>
  <si>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</si>
  <si>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</si>
  <si>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</si>
  <si>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</si>
  <si>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</si>
  <si>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</si>
  <si>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</si>
  <si>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</si>
  <si>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</si>
  <si>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</si>
  <si>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</si>
  <si>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</si>
  <si>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</si>
  <si>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</si>
  <si>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</si>
  <si>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</si>
  <si>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</si>
  <si>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</si>
  <si>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</si>
  <si>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</si>
  <si>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</si>
  <si>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</si>
  <si>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</si>
  <si>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</si>
  <si>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</si>
  <si>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</si>
  <si>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</si>
  <si>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</si>
  <si>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</si>
  <si>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</si>
  <si>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</si>
  <si>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</si>
  <si>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</si>
  <si>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</si>
  <si>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</si>
  <si>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</si>
  <si>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</si>
  <si>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</si>
  <si>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</si>
  <si>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</si>
  <si>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</si>
  <si>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</si>
  <si>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</si>
  <si>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</si>
  <si>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</si>
  <si>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</si>
  <si>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</si>
  <si>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</si>
  <si>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</si>
  <si>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</si>
  <si>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</si>
  <si>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PLUVIAL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</si>
  <si>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</si>
  <si>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</si>
  <si>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</si>
  <si>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</si>
  <si>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</si>
  <si>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</si>
  <si>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</si>
  <si>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DE GAS ACETILENO PARA CILINDRO DE CONJUNTO OXICORTE GRANDE) NAO INCLUI TROCA/MANUTENCAO DO CILINDRO</t>
  </si>
  <si>
    <t>ACIDO CLORIDRICO / 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</si>
  <si>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</si>
  <si>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</si>
  <si>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</si>
  <si>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</si>
  <si>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</si>
  <si>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</si>
  <si>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</si>
  <si>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</si>
  <si>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</si>
  <si>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</si>
  <si>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</si>
  <si>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</si>
  <si>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</si>
  <si>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</si>
  <si>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</si>
  <si>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</si>
  <si>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</si>
  <si>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</si>
  <si>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</si>
  <si>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</si>
  <si>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</si>
  <si>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</si>
  <si>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CPVC, ROSCAVEL, COM FLANGES E ANEL DE VEDACAO, 15 MM, CAIXA D'AGUA PARA AGUA QUENTE</t>
  </si>
  <si>
    <t>ADAPTADOR CPVC, ROSCAVEL, COM FLANGES E ANEL DE VEDACAO, 22 MM, CAIXA D'AGUA PARA AGUA QUENTE</t>
  </si>
  <si>
    <t>ADAPTADOR CPVC, ROSCAVEL, COM FLANGES E ANEL DE VEDACAO, 28 MM, CAIXA D'AGUA PARA AGUA QUENTE</t>
  </si>
  <si>
    <t>ADAPTADOR CPVC, ROSCAVEL, COM FLANGES E ANEL DE VEDACAO, 35 MM, CAIXA D'AGUA PARA AGUA QUENTE</t>
  </si>
  <si>
    <t>ADAPTADOR CPVC, ROSCAVEL, COM FLANGES E ANEL DE VEDACAO, 42 MM, CAIXA D'AGUA PARA AGUA QUENTE</t>
  </si>
  <si>
    <t>ADAPTADOR CPVC, ROSCAVEL, COM FLANGES E ANEL DE VEDACAO, 54 MM, CAIXA D'AGUA PARA AGUA QUENTE</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</si>
  <si>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</si>
  <si>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</si>
  <si>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</si>
  <si>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</si>
  <si>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</si>
  <si>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</si>
  <si>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</si>
  <si>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</si>
  <si>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</si>
  <si>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</si>
  <si>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</si>
  <si>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</si>
  <si>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</si>
  <si>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</si>
  <si>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</si>
  <si>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</si>
  <si>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</si>
  <si>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</si>
  <si>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</si>
  <si>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</si>
  <si>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</si>
  <si>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</si>
  <si>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</si>
  <si>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</si>
  <si>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32 MM X 1",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</si>
  <si>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</si>
  <si>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</si>
  <si>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</si>
  <si>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</si>
  <si>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1/2", PARA CAIXA D' AGUA</t>
  </si>
  <si>
    <t>ADAPTADOR PVC, ROSCAVEL, COM FLANGES E ANEL DE VEDACAO, 1", PARA CAIXA D' AGUA</t>
  </si>
  <si>
    <t>ADAPTADOR PVC, ROSCAVEL, COM FLANGES E ANEL DE VEDACAO, 3/4", PARA CAIXA D' AGUA</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</si>
  <si>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</si>
  <si>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</si>
  <si>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</si>
  <si>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</si>
  <si>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</si>
  <si>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BOLSA/ROSCA, JE, DN 100 / DE 110 MM</t>
  </si>
  <si>
    <t>ADAPTADOR, PVC PBA, BOLSA/ROSCA, JE, DN 50 / DE 60 MM</t>
  </si>
  <si>
    <t>ADAPTADOR, PVC PBA, PONTA/ROSCA, JE, DN 50 / DE  60 MM</t>
  </si>
  <si>
    <t>ADAPTADOR, PVC PBA, PONTA/ROSCA, JE, DN 75 / DE  85 MM</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</si>
  <si>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</si>
  <si>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</si>
  <si>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</si>
  <si>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</si>
  <si>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</si>
  <si>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</si>
  <si>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</si>
  <si>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</si>
  <si>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</si>
  <si>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</si>
  <si>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</si>
  <si>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</si>
  <si>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</si>
  <si>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</si>
  <si>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</si>
  <si>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</si>
  <si>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</si>
  <si>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</si>
  <si>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</si>
  <si>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</si>
  <si>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</si>
  <si>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</si>
  <si>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</si>
  <si>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</si>
  <si>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</si>
  <si>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</si>
  <si>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AJUDANTE DE ARMADOR (HORISTA)</t>
  </si>
  <si>
    <t>AJUDANTE DE ARMADOR (MENSALISTA)</t>
  </si>
  <si>
    <t>AJUDANTE DE ELETRICISTA (HORISTA)</t>
  </si>
  <si>
    <t>AJUDANTE DE ELETRICISTA (MENSALISTA)</t>
  </si>
  <si>
    <t>AJUDANTE DE ESTRUTURAS METALICAS (MENSALISTA)</t>
  </si>
  <si>
    <t>AJUDANTE DE ESTRUTURAS METALICAS HORISTA</t>
  </si>
  <si>
    <t>AJUDANTE DE OPERACAO EM GERAL (HORISTA)</t>
  </si>
  <si>
    <t>AJUDANTE DE OPERACAO EM GERAL (MENSALISTA)</t>
  </si>
  <si>
    <t>AJUDANTE DE PINTOR (HORISTA)</t>
  </si>
  <si>
    <t>AJUDANTE DE PINTOR (MENSALISTA)</t>
  </si>
  <si>
    <t>AJUDANTE DE SERRALHEIRO (HORISTA)</t>
  </si>
  <si>
    <t>AJUDANTE DE SERRALHEIRO (MENSALISTA)</t>
  </si>
  <si>
    <t>AJUDANTE ESPECIALIZADO (HORISTA)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</si>
  <si>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</si>
  <si>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</si>
  <si>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</si>
  <si>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</si>
  <si>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</si>
  <si>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</si>
  <si>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</si>
  <si>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</si>
  <si>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</si>
  <si>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</si>
  <si>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</si>
  <si>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</si>
  <si>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</si>
  <si>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 - ENCARGOS COMPLEMENTARES)</t>
  </si>
  <si>
    <t>ALISADORA DE CONCRETO COM MOTOR A GASOLINA DE 5,5 HP, PESO COM MOTOR DE 78 KG, 4 PAS</t>
  </si>
  <si>
    <t>ALMOXARIFE (HORISTA)</t>
  </si>
  <si>
    <t>ALMOXARIFE (MENSALISTA)</t>
  </si>
  <si>
    <t>ALONGADOR COM TRES ALTURAS, EM TUBO DE ACO CARBONO, PINTURA NO PROCESSO ELETROSTATICO - EQUIPAMENTO DE GINASTICA PARA ACADEMIA AO AR LIVRE / ACADEMIA DA TERCEIRA IDADE - ATI</t>
  </si>
  <si>
    <t>ALUMINIO ANODIZADO</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</si>
  <si>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</si>
  <si>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</si>
  <si>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</si>
  <si>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</si>
  <si>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</si>
  <si>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</si>
  <si>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</si>
  <si>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</si>
  <si>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</si>
  <si>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</si>
  <si>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</si>
  <si>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</si>
  <si>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</si>
  <si>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</si>
  <si>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</si>
  <si>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</si>
  <si>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</si>
  <si>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</si>
  <si>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</si>
  <si>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</si>
  <si>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</si>
  <si>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</si>
  <si>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</si>
  <si>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</si>
  <si>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</si>
  <si>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</si>
  <si>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</si>
  <si>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</si>
  <si>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</si>
  <si>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</si>
  <si>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</si>
  <si>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</si>
  <si>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</si>
  <si>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</si>
  <si>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</si>
  <si>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</si>
  <si>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</si>
  <si>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</si>
  <si>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</si>
  <si>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</si>
  <si>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</si>
  <si>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</si>
  <si>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</si>
  <si>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 VEDACAO, PVC FLEXIVEL, 100 MM, PARA SAIDA DE BACIA / VASO SANITARIO</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</si>
  <si>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</si>
  <si>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</si>
  <si>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</si>
  <si>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</si>
  <si>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</si>
  <si>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</si>
  <si>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</si>
  <si>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</si>
  <si>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</si>
  <si>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</si>
  <si>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</si>
  <si>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</si>
  <si>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</si>
  <si>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</si>
  <si>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</si>
  <si>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</si>
  <si>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</si>
  <si>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</si>
  <si>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</si>
  <si>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</si>
  <si>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</si>
  <si>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</si>
  <si>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APOIO DO PORTA DENTE PARA FRESADORA DE  ASFALTO</t>
  </si>
  <si>
    <t>APONTADOR OU APROPRIADOR DE MAO DE OBRA (HORISTA)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</si>
  <si>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</si>
  <si>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</si>
  <si>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</si>
  <si>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</si>
  <si>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</si>
  <si>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</si>
  <si>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</si>
  <si>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</si>
  <si>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</si>
  <si>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</si>
  <si>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</si>
  <si>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</si>
  <si>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</si>
  <si>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</si>
  <si>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</si>
  <si>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</si>
  <si>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</si>
  <si>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</si>
  <si>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</si>
  <si>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</si>
  <si>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</si>
  <si>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</si>
  <si>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</si>
  <si>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</si>
  <si>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</si>
  <si>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</si>
  <si>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</si>
  <si>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</si>
  <si>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</si>
  <si>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</si>
  <si>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</si>
  <si>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</si>
  <si>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</si>
  <si>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</si>
  <si>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</si>
  <si>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</si>
  <si>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</si>
  <si>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</si>
  <si>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</si>
  <si>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</si>
  <si>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</si>
  <si>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</si>
  <si>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</si>
  <si>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</si>
  <si>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</si>
  <si>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</si>
  <si>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</si>
  <si>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</si>
  <si>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</si>
  <si>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</si>
  <si>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</si>
  <si>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</si>
  <si>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</si>
  <si>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</si>
  <si>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</si>
  <si>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</si>
  <si>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</si>
  <si>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</si>
  <si>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</si>
  <si>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</si>
  <si>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</si>
  <si>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</si>
  <si>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</si>
  <si>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</si>
  <si>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</si>
  <si>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</si>
  <si>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</si>
  <si>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</si>
  <si>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</si>
  <si>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</si>
  <si>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</si>
  <si>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</si>
  <si>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</si>
  <si>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</si>
  <si>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</si>
  <si>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</si>
  <si>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</si>
  <si>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</si>
  <si>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</si>
  <si>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</si>
  <si>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</si>
  <si>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</si>
  <si>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</si>
  <si>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</si>
  <si>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</si>
  <si>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</si>
  <si>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</si>
  <si>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</si>
  <si>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</si>
  <si>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</si>
  <si>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</si>
  <si>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</si>
  <si>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</si>
  <si>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</si>
  <si>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</si>
  <si>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</si>
  <si>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</si>
  <si>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</si>
  <si>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</si>
  <si>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</si>
  <si>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</si>
  <si>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</si>
  <si>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</si>
  <si>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</si>
  <si>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</si>
  <si>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</si>
  <si>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</si>
  <si>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</si>
  <si>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</si>
  <si>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</si>
  <si>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</si>
  <si>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</si>
  <si>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</si>
  <si>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</si>
  <si>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</si>
  <si>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</si>
  <si>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</si>
  <si>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</si>
  <si>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</si>
  <si>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</si>
  <si>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</si>
  <si>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</si>
  <si>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 (HORISTA)</t>
  </si>
  <si>
    <t>AUXILIAR DE ALMOXARIFE (MENSALISTA)</t>
  </si>
  <si>
    <t>AUXILIAR DE AZULEJISTA (HORISTA)</t>
  </si>
  <si>
    <t>AUXILIAR DE AZULEJISTA (MENSALISTA)</t>
  </si>
  <si>
    <t>AUXILIAR DE ENCANADOR OU BOMBEIRO HIDRAULICO (HORISTA)</t>
  </si>
  <si>
    <t>AUXILIAR DE ENCANADOR OU BOMBEIRO HIDRAULICO (MENSALISTA)</t>
  </si>
  <si>
    <t>AUXILIAR DE ESCRITORIO (HORISTA)</t>
  </si>
  <si>
    <t>AUXILIAR DE ESCRITORIO (MENSALISTA)</t>
  </si>
  <si>
    <t>AUXILIAR DE LABORATORISTA DE SOLOS E DE CONCRETO (HORISTA)</t>
  </si>
  <si>
    <t>AUXILIAR DE LABORATORISTA DE SOLOS E DE CONCRETO (MENSALISTA)</t>
  </si>
  <si>
    <t>AUXILIAR DE MECANICO</t>
  </si>
  <si>
    <t>AUXILIAR DE MECANICO (MENSALISTA)</t>
  </si>
  <si>
    <t>AUXILIAR DE PEDREIRO (HORISTA)</t>
  </si>
  <si>
    <t>AUXILIAR DE PEDREIRO (MENSALISTA)</t>
  </si>
  <si>
    <t>AUXILIAR DE SERVICOS GERAIS</t>
  </si>
  <si>
    <t>AUXILIAR DE SERVICOS GERAIS (MENSALISTA)</t>
  </si>
  <si>
    <t>AUXILIAR DE TOPOGRAFO (HORISTA)</t>
  </si>
  <si>
    <t>AUXILIAR DE TOPOGRAFO (MENSALISTA)</t>
  </si>
  <si>
    <t>AUXILIAR TECNICO / ASSISTENTE DE ENGENHARIA</t>
  </si>
  <si>
    <t>AUXILIAR TECNICO / ASSISTENTE DE ENGENHARIA (MENSALISTA)</t>
  </si>
  <si>
    <t>AVENTAL DE SEGURANCA DE RASPA DE COURO 1,00 X 0,60 M</t>
  </si>
  <si>
    <t>AZULEJISTA OU LADRILHEIRO (HORISTA)</t>
  </si>
  <si>
    <t>AZULEJISTA OU LADRILHEIRO (MENSALISTA)</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</si>
  <si>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</si>
  <si>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</si>
  <si>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</si>
  <si>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</si>
  <si>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</si>
  <si>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</si>
  <si>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</si>
  <si>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</si>
  <si>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</si>
  <si>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</si>
  <si>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</si>
  <si>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</si>
  <si>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</si>
  <si>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</si>
  <si>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</si>
  <si>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</si>
  <si>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</si>
  <si>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</si>
  <si>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</si>
  <si>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</si>
  <si>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</si>
  <si>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</si>
  <si>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</si>
  <si>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</si>
  <si>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</si>
  <si>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</si>
  <si>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</si>
  <si>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BARRA ANTIPANICO DUPLA, PARA PORTA DE VIDRO, COR CINZA</t>
  </si>
  <si>
    <t>BARRA ANTIPANICO SIMPLES, CEGA EM LADO OPOSTO, COR CINZA</t>
  </si>
  <si>
    <t>BARRA ANTIPANICO SIMPLES, COM FECHADURA LADO OPOSTO, COR CINZA</t>
  </si>
  <si>
    <t>BARRA ANTIPANICO SIMPLES, PARA PORTA DE VIDRO, COR CINZA</t>
  </si>
  <si>
    <t>BARRA DE ACO CHATA, RETANGULAR (QUALQUER BITOLA)</t>
  </si>
  <si>
    <t>BARRA DE ACO CHATO, RETANGULAR, 19,05 MM X 3,17 MM (L X E), 0,47 KG/M</t>
  </si>
  <si>
    <t>BARRA DE ACO CHATO, RETANGULAR, 25,4 MM X 4,76 MM (L X E), 1,73 KG/M</t>
  </si>
  <si>
    <t>BARRA DE ACO CHATO, RETANGULAR, 25,4 MM X 6,35 MM (L X E), 1,2265 KG/M</t>
  </si>
  <si>
    <t>BARRA DE ACO CHATO, RETANGULAR, 38,1 MM X 12,7 MM (L X E), 3,79 KG/M</t>
  </si>
  <si>
    <t>BARRA DE ACO CHATO, RETANGULAR, 38,1 MM X 6,35 MM (L X E), 1,89 KG/M</t>
  </si>
  <si>
    <t>BARRA DE ACO CHATO, RETANGULAR, 38,1 MM X 9,53 MM (L X E), 2,84 KG/M</t>
  </si>
  <si>
    <t>BARRA DE ACO CHATO, RETANGULAR, 50,8 MM X 12,7 MM (L X E), 5,06 KG/M</t>
  </si>
  <si>
    <t>BARRA DE ACO CHATO, RETANGULAR, 50,8 MM X 25,4 MM (L X E), 10,12 KG/M</t>
  </si>
  <si>
    <t>BARRA DE ACO CHATO, RETANGULAR, 50,8 MM X 6,35 MM (L X E), 2,53 KG/M</t>
  </si>
  <si>
    <t>BARRA DE ACO CHATO, RETANGULAR, 50,8 MM X 7,94 MM (L X E), 3,162 KG/M</t>
  </si>
  <si>
    <t>BARRA DE ACO CHATO, RETANGULAR, 50,8 MM X 9,53 MM (L X E), 3,79KG/M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</si>
  <si>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</si>
  <si>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</si>
  <si>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</si>
  <si>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</si>
  <si>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</si>
  <si>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</si>
  <si>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</si>
  <si>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</si>
  <si>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</si>
  <si>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</si>
  <si>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</si>
  <si>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 DE PAREDE (NAO INCLUI ACABAMENTOS)</t>
  </si>
  <si>
    <t>BASE PARA MASTRO DE PARA-RAIOS DIAMETRO NOMINAL 1 1/2"</t>
  </si>
  <si>
    <t>BASE PARA MASTRO DE PARA-RAIOS DIAMETRO NOMINAL 2"</t>
  </si>
  <si>
    <t>BASE PARA RELE COM SUPORTE METALICO</t>
  </si>
  <si>
    <t>BASTIDOR PARA BLOCO M10</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</si>
  <si>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</si>
  <si>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</si>
  <si>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</si>
  <si>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</si>
  <si>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</si>
  <si>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</si>
  <si>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BENTONITA, ARGILA CONSTITUIDA POR  MONTMORILONITA</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</si>
  <si>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</si>
  <si>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</si>
  <si>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</si>
  <si>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</si>
  <si>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</si>
  <si>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</si>
  <si>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</si>
  <si>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</si>
  <si>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</si>
  <si>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 TIJOLO DE VIDRO INCOLOR, CANELADO / ONDULADO, *19 X 19 X 8* CM (A X L X E)</t>
  </si>
  <si>
    <t>BLOCO / TIJOLO DE VIDRO INCOLOR, XADREZ, *20 X 20 X 10* CM (A X L X E)</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</si>
  <si>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</si>
  <si>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</si>
  <si>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</si>
  <si>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</si>
  <si>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</si>
  <si>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</si>
  <si>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DE 9 X 19 X 19 CM (L XA X C)</t>
  </si>
  <si>
    <t>BLOCO CERAMICO / TIJOLO VAZADO PARA ALVENARIA DE VEDACAO, 8 FUROS NA HORIZONTAL, 9 X 19 X 29 CM (L X A X C)</t>
  </si>
  <si>
    <t>BLOCO CONCRETO CELULAR AUTOCLAVADO 12,5 X 30 X 60 CM (E X A X C)</t>
  </si>
  <si>
    <t>BLOCO CONCRETO CELULAR AUTOCLAVADO 7,5 X 30 X 60 CM (E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</si>
  <si>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</si>
  <si>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</si>
  <si>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</si>
  <si>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</si>
  <si>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</si>
  <si>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</si>
  <si>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</si>
  <si>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</si>
  <si>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</si>
  <si>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</si>
  <si>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</si>
  <si>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</si>
  <si>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</si>
  <si>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</si>
  <si>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</si>
  <si>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</si>
  <si>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</si>
  <si>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</si>
  <si>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</si>
  <si>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</si>
  <si>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</si>
  <si>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</si>
  <si>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ENGATE RAPIDO PARA BASTIDOR TIPO M10</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</si>
  <si>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</si>
  <si>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</si>
  <si>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</si>
  <si>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</si>
  <si>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</si>
  <si>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</si>
  <si>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</si>
  <si>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</si>
  <si>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</si>
  <si>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</si>
  <si>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</si>
  <si>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</si>
  <si>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</si>
  <si>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</si>
  <si>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 ELEMENTO VAZADO, INCOLOR, VENEZIANA, *20 X 20 X 6* CM (A X L X E)</t>
  </si>
  <si>
    <t>BLOCO DE VIDRO / ELEMENTO VAZADO, INCOLOR, VENEZIANA, DE *20 X 10 X 8* CM (A X L X E)</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</si>
  <si>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</si>
  <si>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</si>
  <si>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</si>
  <si>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</si>
  <si>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</si>
  <si>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</si>
  <si>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</si>
  <si>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</si>
  <si>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</si>
  <si>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</si>
  <si>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</si>
  <si>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</si>
  <si>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</si>
  <si>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</si>
  <si>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</si>
  <si>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</si>
  <si>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</si>
  <si>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*75 E 120* MM, PARA DRENAGEM PLUVIAL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</si>
  <si>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</si>
  <si>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</si>
  <si>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</si>
  <si>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</si>
  <si>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</si>
  <si>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</si>
  <si>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</si>
  <si>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</si>
  <si>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</si>
  <si>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</si>
  <si>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</si>
  <si>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</si>
  <si>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</si>
  <si>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</si>
  <si>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</si>
  <si>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</si>
  <si>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</si>
  <si>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</si>
  <si>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</si>
  <si>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</si>
  <si>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</si>
  <si>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</si>
  <si>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</si>
  <si>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</si>
  <si>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</si>
  <si>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</si>
  <si>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</si>
  <si>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</si>
  <si>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</si>
  <si>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</si>
  <si>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</si>
  <si>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</si>
  <si>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</si>
  <si>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</si>
  <si>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</si>
  <si>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</si>
  <si>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SIMPLES</t>
  </si>
  <si>
    <t>BRACO OU HASTE RETA COM CANOPLA PLASTICA, 1/2 ", PARA CHUVEIRO ELETRICO</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</si>
  <si>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</si>
  <si>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</si>
  <si>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</si>
  <si>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</si>
  <si>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</si>
  <si>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</si>
  <si>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</si>
  <si>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</si>
  <si>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</si>
  <si>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</si>
  <si>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</si>
  <si>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CPVC, SOLDAVEL, 54 X 28 MM, PARA AGUA QUENTE</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</si>
  <si>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</si>
  <si>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</si>
  <si>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</si>
  <si>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</si>
  <si>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</si>
  <si>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</si>
  <si>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</si>
  <si>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</si>
  <si>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</si>
  <si>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</si>
  <si>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</si>
  <si>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</si>
  <si>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</si>
  <si>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</si>
  <si>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</si>
  <si>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</si>
  <si>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</si>
  <si>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</si>
  <si>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</si>
  <si>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</si>
  <si>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</si>
  <si>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</si>
  <si>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</si>
  <si>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</si>
  <si>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</si>
  <si>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</si>
  <si>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</si>
  <si>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</si>
  <si>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</si>
  <si>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</si>
  <si>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</si>
  <si>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</si>
  <si>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</si>
  <si>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</si>
  <si>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</si>
  <si>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</si>
  <si>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</si>
  <si>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</si>
  <si>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</si>
  <si>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</si>
  <si>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LONGA, COM 32 X 20 MM, PARA AGUA FRIA PREDIAL</t>
  </si>
  <si>
    <t>BUCHA DE REDUCAO DE PVC, SOLDAVEL, LONGA, COM 40 X 25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</si>
  <si>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</si>
  <si>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</si>
  <si>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</si>
  <si>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</si>
  <si>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50 MM, PARA AGUA FRIA PREDIAL</t>
  </si>
  <si>
    <t>BUCHA DE REDUCAO DE PVC, SOLDAVEL, LONGA, COM 75 X 50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</si>
  <si>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</si>
  <si>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</si>
  <si>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</si>
  <si>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</si>
  <si>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</si>
  <si>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</si>
  <si>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</si>
  <si>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</si>
  <si>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</si>
  <si>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</si>
  <si>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</si>
  <si>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</si>
  <si>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</si>
  <si>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</si>
  <si>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</si>
  <si>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</si>
  <si>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</si>
  <si>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</si>
  <si>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</si>
  <si>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</si>
  <si>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</si>
  <si>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</si>
  <si>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</si>
  <si>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</si>
  <si>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</si>
  <si>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3/4" X 1/2"</t>
  </si>
  <si>
    <t>BUCHA DE REDUCAO PVC, ROSCAVEL 1 1/2" X 1"</t>
  </si>
  <si>
    <t>BUCHA DE REDUCAO PVC, ROSCAVEL, 1 1/2" X 3/4"</t>
  </si>
  <si>
    <t>BUCHA DE REDUCAO PVC, ROSCAVEL, 1" X 1/2"</t>
  </si>
  <si>
    <t>BUCHA DE REDUCAO PVC, ROSCAVEL, 1" X 3/4"</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</si>
  <si>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</si>
  <si>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</si>
  <si>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</si>
  <si>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</si>
  <si>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CPVC, SOLDAVEL, 54 X 35 MM, PARA AGUA QUENTE</t>
  </si>
  <si>
    <t>BUCHA DE REDUCAO, PPR, DN 25 X 20 MM, PARA AGUA QUENTE PREDIAL</t>
  </si>
  <si>
    <t>BUCHA DE REDUCAO, PPR, DN 32 X 25 MM, PARA AGUA QUENTE E FRIA PREDIAL</t>
  </si>
  <si>
    <t>BUCHA DE REDUCAO, PPR, DN 40 X 25 MM, PARA AGUA QUENTE E FRIA PREDIAL</t>
  </si>
  <si>
    <t>BUCHA DE REDUCAO, PPR, DN 50 X 25 MM, PARA AGUA QUENTE E FRIA PREDIAL</t>
  </si>
  <si>
    <t>BUCHA DE REDUCAO, PPR, DN 50 X 32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</si>
  <si>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</si>
  <si>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</si>
  <si>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</si>
  <si>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</si>
  <si>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</si>
  <si>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</si>
  <si>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</si>
  <si>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</si>
  <si>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</si>
  <si>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</si>
  <si>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</si>
  <si>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PLUVIAL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</si>
  <si>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</si>
  <si>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</si>
  <si>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</si>
  <si>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</si>
  <si>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</si>
  <si>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</si>
  <si>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</si>
  <si>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</si>
  <si>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</si>
  <si>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</si>
  <si>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</si>
  <si>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COAXIAL RG11 95% DE MALHA</t>
  </si>
  <si>
    <t>CABO COAXIAL RG59 95% DE MALHA</t>
  </si>
  <si>
    <t>CABO COAXIAL RG6 95% DE MALHA</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</si>
  <si>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</si>
  <si>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</si>
  <si>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</si>
  <si>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</si>
  <si>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</si>
  <si>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</si>
  <si>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</si>
  <si>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</si>
  <si>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</si>
  <si>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</si>
  <si>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</si>
  <si>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FLEXIVEL NAO HALOGENADO, SEM EMISSAO DE FUMACA, 750V, SECAO NOMINAL 120 MM</t>
  </si>
  <si>
    <t>CABO DE COBRE FLEXIVEL NAO HALOGENADO, SEM EMISSAO DE FUMACA, 750V, SECAO NOMINAL 2,5 MM</t>
  </si>
  <si>
    <t>CABO DE COBRE FLEXIVEL NAO HALOGENADO, SEM EMISSAO DE FUMACA, 750V, SECAO NOMINAL 240 MM</t>
  </si>
  <si>
    <t>CABO DE COBRE FLEXIVEL NAO HALOGENADO, SEM EMISSAO DE FUMACA, 750V, SECAO NOMINAL 50 MM</t>
  </si>
  <si>
    <t>CABO DE COBRE FLEXIVEL NAO HALOGENADO, SEM EMISSAO DE FUMACA, 750V, SECAO NOMINAL 6,0 MM</t>
  </si>
  <si>
    <t>CABO DE COBRE NU 10 MM2 MEIO-DURO</t>
  </si>
  <si>
    <t>CABO DE COBRE NU 120 MM2 MEIO-DURO</t>
  </si>
  <si>
    <t>CABO DE COBRE NU 150 MM2 MEIO-DURO</t>
  </si>
  <si>
    <t>CABO DE COBRE NU 16 MM2 MEIO-DURO</t>
  </si>
  <si>
    <t>CABO DE COBRE NU 185 MM2 MEIO-DURO</t>
  </si>
  <si>
    <t>CABO DE COBRE NU 25 MM2 MEIO-DURO</t>
  </si>
  <si>
    <t>CABO DE COBRE NU 35 MM2 MEIO-DURO</t>
  </si>
  <si>
    <t>CABO DE COBRE NU 50 MM2 MEIO-DURO</t>
  </si>
  <si>
    <t>CABO DE COBRE NU 70 MM2 MEIO-DURO</t>
  </si>
  <si>
    <t>CABO DE COBRE NU 95 MM2 MEIO-DURO</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</si>
  <si>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</si>
  <si>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</si>
  <si>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</si>
  <si>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</si>
  <si>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</si>
  <si>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</si>
  <si>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</si>
  <si>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</si>
  <si>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</si>
  <si>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</si>
  <si>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</si>
  <si>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</si>
  <si>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</si>
  <si>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</si>
  <si>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</si>
  <si>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</si>
  <si>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</si>
  <si>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</si>
  <si>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</si>
  <si>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</si>
  <si>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</si>
  <si>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</si>
  <si>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</si>
  <si>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</si>
  <si>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</si>
  <si>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</si>
  <si>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</si>
  <si>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</si>
  <si>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</si>
  <si>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</si>
  <si>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</si>
  <si>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</si>
  <si>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</si>
  <si>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</si>
  <si>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</si>
  <si>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</si>
  <si>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</si>
  <si>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</si>
  <si>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</si>
  <si>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</si>
  <si>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</si>
  <si>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</si>
  <si>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50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</si>
  <si>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</si>
  <si>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</si>
  <si>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</si>
  <si>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COBRE, RIGIDO, CLASSE 2, ISOLACAO EM PVC, ANTI-CHAMA BWF-B, 1 CONDUTOR, 450/750 V, DIAMETRO 120 MM2</t>
  </si>
  <si>
    <t>CABO DE REDE, PAR TRANCADO U/UTP, 4 PARES, CATEGORIA 5E (CAT 5E), ISOLAMENTO PVC (CM)</t>
  </si>
  <si>
    <t>CABO DE REDE, PAR TRANCADO U/UTP, 4 PARES, CATEGORIA 5E (CAT 5E), ISOLAMENTO PVC (CMX)</t>
  </si>
  <si>
    <t>CABO DE REDE, PAR TRANCADO U/UTP, 4 PARES, CATEGORIA 5E (CAT 5E), ISOLAMENTO PVC (LSZH)</t>
  </si>
  <si>
    <t>CABO DE REDE, PAR TRANCADO U/UTP, 4 PARES, CATEGORIA 6 (CAT 6), ISOLAMENTO PVC (CM)</t>
  </si>
  <si>
    <t>CABO DE REDE, PAR TRANCADO UTP, 4 PARES, CATEGORIA 6 (CAT 6), ISOLAMENTO PVC (LSZH)</t>
  </si>
  <si>
    <t>CABO ELETRONICO CATEGORIA 6A U/UTP 23AWG X 4P</t>
  </si>
  <si>
    <t>CABO FLEXIVEL PVC 750 V, 2 CONDUTORES DE 1,5 MM2</t>
  </si>
  <si>
    <t>CABO FLEXIVEL PVC 750 V, 2 CONDUTORES DE 4,0 MM2</t>
  </si>
  <si>
    <t>CABO FLEXIVEL PVC 750 V, 2 CONDUTORES DE 6,0 MM2</t>
  </si>
  <si>
    <t>CABO FLEXIVEL PVC 750 V, 3 CONDUTORES DE 1,5 MM2</t>
  </si>
  <si>
    <t>CABO FLEXIVEL PVC 750 V, 3 CONDUTORES DE 4,0 MM2</t>
  </si>
  <si>
    <t>CABO FLEXIVEL PVC 750 V, 3 CONDUTORES DE 6,0 MM2</t>
  </si>
  <si>
    <t>CABO FLEXIVEL PVC 750 V, 4 CONDUTORES DE 1,5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</si>
  <si>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</si>
  <si>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</si>
  <si>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</si>
  <si>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</si>
  <si>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</si>
  <si>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</si>
  <si>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</si>
  <si>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</si>
  <si>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</si>
  <si>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</si>
  <si>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</si>
  <si>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</si>
  <si>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</si>
  <si>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</si>
  <si>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</si>
  <si>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</si>
  <si>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</si>
  <si>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</si>
  <si>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</si>
  <si>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</si>
  <si>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</si>
  <si>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</si>
  <si>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</si>
  <si>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</si>
  <si>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</si>
  <si>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</si>
  <si>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</si>
  <si>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</si>
  <si>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</si>
  <si>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</si>
  <si>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</si>
  <si>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</si>
  <si>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</si>
  <si>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</si>
  <si>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</si>
  <si>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</si>
  <si>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</si>
  <si>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</si>
  <si>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*7,5 X 7,5* CM, EM MACARANDUBA, ANGELIM OU EQUIVALENTE DA REGIAO</t>
  </si>
  <si>
    <t>CAIBRO APARELHADO *6 X 8* CM, EM MACARANDUBA, ANGELIM OU EQUIVALENTE DA REGIAO</t>
  </si>
  <si>
    <t>CAIBRO NAO APARELHADO *5 X 6* CM, EM MACARANDUBA, ANGELIM OU EQUIVALENTE DA REGIAO -  BRUTA</t>
  </si>
  <si>
    <t>CAIBRO NAO APARELHADO *6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</si>
  <si>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</si>
  <si>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</si>
  <si>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</si>
  <si>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</si>
  <si>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</si>
  <si>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</si>
  <si>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</si>
  <si>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</si>
  <si>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</si>
  <si>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</si>
  <si>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</si>
  <si>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</si>
  <si>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</si>
  <si>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</si>
  <si>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ATERRAMENTO EM CONCRETO PRE-MOLDADO,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</si>
  <si>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</si>
  <si>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</si>
  <si>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</si>
  <si>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</si>
  <si>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</si>
  <si>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</si>
  <si>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</si>
  <si>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</si>
  <si>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</si>
  <si>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</si>
  <si>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</si>
  <si>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</si>
  <si>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</si>
  <si>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</si>
  <si>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</si>
  <si>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</si>
  <si>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</si>
  <si>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</si>
  <si>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</si>
  <si>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</si>
  <si>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</si>
  <si>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</si>
  <si>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</si>
  <si>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</si>
  <si>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</si>
  <si>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</si>
  <si>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</si>
  <si>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</si>
  <si>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</si>
  <si>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</si>
  <si>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</si>
  <si>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</si>
  <si>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</si>
  <si>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</si>
  <si>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</si>
  <si>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</si>
  <si>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</si>
  <si>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</si>
  <si>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</si>
  <si>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</si>
  <si>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</si>
  <si>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</si>
  <si>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</si>
  <si>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</si>
  <si>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</si>
  <si>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</si>
  <si>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</si>
  <si>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</si>
  <si>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</si>
  <si>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</si>
  <si>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</si>
  <si>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</si>
  <si>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</si>
  <si>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</si>
  <si>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</si>
  <si>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</si>
  <si>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</si>
  <si>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</si>
  <si>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</si>
  <si>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</si>
  <si>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</si>
  <si>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</si>
  <si>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</si>
  <si>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</si>
  <si>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</si>
  <si>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</si>
  <si>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</si>
  <si>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</si>
  <si>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</si>
  <si>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</si>
  <si>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</si>
  <si>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</si>
  <si>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</si>
  <si>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</si>
  <si>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</si>
  <si>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</si>
  <si>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</si>
  <si>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</si>
  <si>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</si>
  <si>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</si>
  <si>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</si>
  <si>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</si>
  <si>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</si>
  <si>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(MENSALISTA)</t>
  </si>
  <si>
    <t>CALCETEIRO (HORISTA)</t>
  </si>
  <si>
    <t>CALHA / PERFIL PLUVIAL DE PVC, DIAMETRO ENTRE *119 E 170* MM, COMPRIMENTO DE 3 M, PARA DRENAGEM PLUVIAL PREDIAL</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</si>
  <si>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</si>
  <si>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</si>
  <si>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</si>
  <si>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</si>
  <si>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</si>
  <si>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</si>
  <si>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</si>
  <si>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</si>
  <si>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</si>
  <si>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</si>
  <si>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</si>
  <si>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</si>
  <si>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</si>
  <si>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</si>
  <si>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</si>
  <si>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</si>
  <si>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10700 KG, CARGA UTIL MAXIMA 7400 KG, DISTANCIA ENTRE EIXOS 4,00 M, POTENCIA 175 CV (INCLUI CABINE E CHASSI, NAO INCLUI CARROCERIA)</t>
  </si>
  <si>
    <t>CAMINHAO TOCO, PESO BRUTO TOTAL 13200 KG, CARGA UTIL MAXIMA 9200 KG, DISTANCIA ENTRE EIXOS 3,31 M, POTENCIA 175 CV (INCLUI CABINE E CHASSI, NAO INCLUI CARROCERIA)</t>
  </si>
  <si>
    <t>CAMINHAO TOCO, PESO BRUTO TOTAL 14300 KG, CARGA UTIL MAXIMA 9480 KG, DISTANCIA ENTRE EIXOS 4,80 M, POTENCIA 185 CV (INCLUI CABINE E CHASSI, NAO INCLUI CARROCERIA)</t>
  </si>
  <si>
    <t>CAMINHAO TOCO, PESO BRUTO TOTAL 16000 KG, CARGA UTIL MAXIMA 10600 KG, DISTANCIA ENTRE EIXOS 4,80 M, POTENCIA 277 CV (INCLUI CABINE E CHASSI, NAO INCLUI CARROCERIA)</t>
  </si>
  <si>
    <t>CAMINHAO TOCO, PESO BRUTO TOTAL 16000 KG, CARGA UTIL MAXIMA 10830 KG, DISTANCIA ENTRE EIXOS 3,56 M, POTENCIA 226 CV (INCLUI CABINE E CHASSI, NAO INCLUI CARROCERIA)</t>
  </si>
  <si>
    <t>CAMINHAO TOCO, PESO BRUTO TOTAL 16000 KG, CARGA UTIL MAXIMA 11030 KG, DISTANCIA ENTRE EIXOS 5,41 M, POTENCIA 185 CV (INCLUI CABINE E CHASSI, NAO INCLUI CARROCERIA)</t>
  </si>
  <si>
    <t>CAMINHAO TOCO, PESO BRUTO TOTAL 8500 KG, CARGA UTIL MAXIMA 5600 KG, DISTANCIA ENTRE EIXOS 3,40 M, POTENCIA 167 CV (INCLUI CABINE E CHASSI, NAO INCLUI CARROCERIA)</t>
  </si>
  <si>
    <t>CAMINHAO TOCO, PESO BRUTO TOTAL 9600 KG, CARGA UTIL MAXIMA 6190 KG, DISTANCIA ENTRE EIXOS 3,70 M, POTENCIA 156 CV (INCLUI CABINE E CHASSI, NAO INCLUI CARROCERIA)</t>
  </si>
  <si>
    <t>CAMINHAO TRUCADO, PESO BRUTO TOTAL 23000 KG, CARGA UTIL MAXIMA 15285 KG, DISTANCIA ENTRE EIXOS 4,80 M, POTENCIA 326 CV (INCLUI CABINE E CHASSI, NAO INCLUI CARROCERIA)</t>
  </si>
  <si>
    <t>CAMINHAO TRUCADO, PESO BRUTO TOTAL 23000 KG, CARGA UTIL MAXIMA 15460 KG, DISTANCIA ENTRE EIXOS 4,80 M, POTENCIA 286 CV (INCLUI CABINE E CHASSI, NAO INCLUI CARROCERIA)</t>
  </si>
  <si>
    <t>CAMINHAO TRUCADO, PESO BRUTO TOTAL 23000 KG, CARGA UTIL MAXIMA 16360 KG, CABINE ESTENDIDA, DISTANCIA ENTRE EIXOS 3,56 M, POTENCIA 277 CV (INCLUI CABINE E CHASSI, NAO INCLUI CARROCERIA)</t>
  </si>
  <si>
    <t>CAMINHAO TRUCADO, PESO BRUTO TOTAL 23000 KG, CARGA UTIL MAXIMA 16540 KG, DISTANCIA ENTRE EIXOS 4,80 M, POTENCIA 256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</si>
  <si>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</si>
  <si>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</si>
  <si>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</si>
  <si>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</si>
  <si>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</si>
  <si>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</si>
  <si>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</si>
  <si>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</si>
  <si>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</si>
  <si>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</si>
  <si>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</si>
  <si>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</si>
  <si>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</si>
  <si>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</si>
  <si>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</si>
  <si>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(ABAS IGUAIS) EM ACO CARBONO, 25,4 MM X 3,17 MM (L X E), 1,27KG/M</t>
  </si>
  <si>
    <t>CANTONEIRA (ABAS IGUAIS) EM ACO CARBONO, 38,1 MM X 3,17 MM (L X E), 3,48 KG/M</t>
  </si>
  <si>
    <t>CANTONEIRA (ABAS IGUAIS) EM ACO CARBONO, 50,8 MM X 9,53 MM (L X E), 6,99 KG/M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</si>
  <si>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</si>
  <si>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</si>
  <si>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</si>
  <si>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</si>
  <si>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</si>
  <si>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</si>
  <si>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</si>
  <si>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</si>
  <si>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</si>
  <si>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</si>
  <si>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</si>
  <si>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</si>
  <si>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</si>
  <si>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</si>
  <si>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</si>
  <si>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</si>
  <si>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</si>
  <si>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</si>
  <si>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</si>
  <si>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</si>
  <si>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</si>
  <si>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</si>
  <si>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</si>
  <si>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1/2", PARA AGUA FRIA PREDIAL</t>
  </si>
  <si>
    <t>CAP PVC, ROSCAVEL, 1",  PARA AGUA FRIA PREDIAL</t>
  </si>
  <si>
    <t>CAP PVC, ROSCAVEL, 3/4",  PARA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</si>
  <si>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</si>
  <si>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</si>
  <si>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</si>
  <si>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</si>
  <si>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</si>
  <si>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</si>
  <si>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</si>
  <si>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</si>
  <si>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</si>
  <si>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</si>
  <si>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</si>
  <si>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</si>
  <si>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</si>
  <si>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</si>
  <si>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</si>
  <si>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</si>
  <si>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</si>
  <si>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</si>
  <si>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</si>
  <si>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</si>
  <si>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</si>
  <si>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</si>
  <si>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</si>
  <si>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</si>
  <si>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</si>
  <si>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</si>
  <si>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</si>
  <si>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</si>
  <si>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</si>
  <si>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</si>
  <si>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</si>
  <si>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</si>
  <si>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</si>
  <si>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</si>
  <si>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(HORISTA)</t>
  </si>
  <si>
    <t>CARPINTEIRO AUXILIAR (MENSALISTA)</t>
  </si>
  <si>
    <t>CARPINTEIRO DE ESQUADRIAS (HORISTA)</t>
  </si>
  <si>
    <t>CARPINTEIRO DE ESQUADRIAS (MENSALISTA)</t>
  </si>
  <si>
    <t>CARPINTEIRO DE FORMAS (HORISTA)</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</si>
  <si>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</si>
  <si>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</si>
  <si>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</si>
  <si>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</si>
  <si>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</si>
  <si>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</si>
  <si>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</si>
  <si>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</si>
  <si>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</si>
  <si>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</si>
  <si>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 (DISTRIBUIDOR)</t>
  </si>
  <si>
    <t>CARVAO ANTRACITO PARA FILTRO, GRAO VARIANDO DE 0,8 ATE 1,1 MM, COEFICIENTE DE UNIFORMIDADE MENOR QUE 1,7 MM (POSTO JAZIDA/PRODUTOR)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</si>
  <si>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</si>
  <si>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</si>
  <si>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</si>
  <si>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</si>
  <si>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</si>
  <si>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</si>
  <si>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</si>
  <si>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</si>
  <si>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</si>
  <si>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</si>
  <si>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</si>
  <si>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</si>
  <si>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</si>
  <si>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</si>
  <si>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</si>
  <si>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</si>
  <si>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</si>
  <si>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</si>
  <si>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</si>
  <si>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</si>
  <si>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</si>
  <si>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</si>
  <si>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</si>
  <si>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</si>
  <si>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</si>
  <si>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</si>
  <si>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</si>
  <si>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</si>
  <si>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</si>
  <si>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</si>
  <si>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</si>
  <si>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</si>
  <si>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</si>
  <si>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</si>
  <si>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</si>
  <si>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</si>
  <si>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</si>
  <si>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</si>
  <si>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</si>
  <si>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</si>
  <si>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</si>
  <si>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</si>
  <si>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</si>
  <si>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</si>
  <si>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</si>
  <si>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</si>
  <si>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</si>
  <si>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</si>
  <si>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</si>
  <si>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</si>
  <si>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</si>
  <si>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</si>
  <si>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</si>
  <si>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</si>
  <si>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</si>
  <si>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</si>
  <si>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</si>
  <si>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</si>
  <si>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</si>
  <si>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</si>
  <si>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</si>
  <si>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</si>
  <si>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</si>
  <si>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</si>
  <si>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</si>
  <si>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</si>
  <si>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</si>
  <si>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</si>
  <si>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</si>
  <si>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</si>
  <si>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</si>
  <si>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</si>
  <si>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</si>
  <si>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</si>
  <si>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</si>
  <si>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</si>
  <si>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</si>
  <si>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</si>
  <si>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</si>
  <si>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</si>
  <si>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</si>
  <si>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8 A 12 MM</t>
  </si>
  <si>
    <t>CHAPA/PAINEL DE MADEIRA COMPENSADA RESINADA (MADEIRITE RESINADO ROSA) PARA FORMA DE CONCRETO, DE 2200 X 1100 MM, E = 20 MM</t>
  </si>
  <si>
    <t>CHAPA/PAINEL DE MADEIRA COMPENSADA RESINADA (MADEIRITE RESINADO ROSA) PARA FORMA DE CONCRETO, DE 2200 X 1100 MM, E = 6 MM</t>
  </si>
  <si>
    <t>CHAVE DUPLA PARA CONEXOES TIPO STORZ, ENGATE RAPIDO 1 1/2" X 2 1/2", EM LATAO, PARA INSTALACAO PREDIAL COMBATE A INCENDIO</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</si>
  <si>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</si>
  <si>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</si>
  <si>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</si>
  <si>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</si>
  <si>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</si>
  <si>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</si>
  <si>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</si>
  <si>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CIMENTO IMPERMEABILIZANTE DE PEGA ULTRARRAPIDA PARA TAMPONAMENTOS</t>
  </si>
  <si>
    <t>CIMENTO PORTLAND COMPOSTO CP II-32</t>
  </si>
  <si>
    <t>CIMENTO PORTLAND DE ALTO FORNO (AF) CP III-40</t>
  </si>
  <si>
    <t>CIMENTO PORTLAND ESTRUTURAL BRANCO  CPB-32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</si>
  <si>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</si>
  <si>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</si>
  <si>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</si>
  <si>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</si>
  <si>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</si>
  <si>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</si>
  <si>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</si>
  <si>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</si>
  <si>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</si>
  <si>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</si>
  <si>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</si>
  <si>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</si>
  <si>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</si>
  <si>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</si>
  <si>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</si>
  <si>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</si>
  <si>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</si>
  <si>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60 MM X 1/2" OU 60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</si>
  <si>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</si>
  <si>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</si>
  <si>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</si>
  <si>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</si>
  <si>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</si>
  <si>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</si>
  <si>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</si>
  <si>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</si>
  <si>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</si>
  <si>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</si>
  <si>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</si>
  <si>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</si>
  <si>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</si>
  <si>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</si>
  <si>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</si>
  <si>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</si>
  <si>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</si>
  <si>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</si>
  <si>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</si>
  <si>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</si>
  <si>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</si>
  <si>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</si>
  <si>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</si>
  <si>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</si>
  <si>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</si>
  <si>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</si>
  <si>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</si>
  <si>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</si>
  <si>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</si>
  <si>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</si>
  <si>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</si>
  <si>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</si>
  <si>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</si>
  <si>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</si>
  <si>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</si>
  <si>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</si>
  <si>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</si>
  <si>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</si>
  <si>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</si>
  <si>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</si>
  <si>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</si>
  <si>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</si>
  <si>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</si>
  <si>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</si>
  <si>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</si>
  <si>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</si>
  <si>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</si>
  <si>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</si>
  <si>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</si>
  <si>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</si>
  <si>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</si>
  <si>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</si>
  <si>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</si>
  <si>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</si>
  <si>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</si>
  <si>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</si>
  <si>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</si>
  <si>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</si>
  <si>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</si>
  <si>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</si>
  <si>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</si>
  <si>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</si>
  <si>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</si>
  <si>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</si>
  <si>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</si>
  <si>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</si>
  <si>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</si>
  <si>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</si>
  <si>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</si>
  <si>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</si>
  <si>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</si>
  <si>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</si>
  <si>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</si>
  <si>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</si>
  <si>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</si>
  <si>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</si>
  <si>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</si>
  <si>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</si>
  <si>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</si>
  <si>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</si>
  <si>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</si>
  <si>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</si>
  <si>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</si>
  <si>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</si>
  <si>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</si>
  <si>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</si>
  <si>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</si>
  <si>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</si>
  <si>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</si>
  <si>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</si>
  <si>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</si>
  <si>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</si>
  <si>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</si>
  <si>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</si>
  <si>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</si>
  <si>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</si>
  <si>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</si>
  <si>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</si>
  <si>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</si>
  <si>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</si>
  <si>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</si>
  <si>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</si>
  <si>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</si>
  <si>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</si>
  <si>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</si>
  <si>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</si>
  <si>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</si>
  <si>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</si>
  <si>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</si>
  <si>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</si>
  <si>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</si>
  <si>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</si>
  <si>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</si>
  <si>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</si>
  <si>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</si>
  <si>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</si>
  <si>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</si>
  <si>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PLUVIAL PREDIAL</t>
  </si>
  <si>
    <t>CONE DE SINALIZACAO EM PVC FLEXIVEL, H = 70 / 76 CM (NBR 15071)</t>
  </si>
  <si>
    <t>CONE DE SINALIZACAO EM PVC RIGIDO COM FAIXA REFLETIVA, H = 70 / 76 CM</t>
  </si>
  <si>
    <t>CONECTOR / ADAPTADOR F/F, COM INSERTO METALICO, PPR, DN 25 MM X 1/2", PARA AGUA QUENTE E FRIA PREDIAL</t>
  </si>
  <si>
    <t>CONECTOR / ADAPTADOR F/F, COM INSERTO METALICO, PPR, DN 32 MM X 3/4", PARA AGUA QUENTE E FRIA PREDIAL</t>
  </si>
  <si>
    <t>CONECTOR / ADAPTADOR F/M, COM INSERTO METALICO, PPR, DN 25 MM X 1/2", PARA AGUA QUENTE E FRIA PREDIAL</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</si>
  <si>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</si>
  <si>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</si>
  <si>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</si>
  <si>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CONECTOR / TOMADA FEMEA RJ 45, CATEGORIA 5 E (CAT 5E) PARA CABOS</t>
  </si>
  <si>
    <t>CONECTOR / TOMADA FEMEA RJ 45, CATEGORIA 6 (CAT 6) PARA CABOS</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</si>
  <si>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</si>
  <si>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</si>
  <si>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</si>
  <si>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</si>
  <si>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</si>
  <si>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</si>
  <si>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</si>
  <si>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</si>
  <si>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</si>
  <si>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</si>
  <si>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</si>
  <si>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</si>
  <si>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</si>
  <si>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</si>
  <si>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</si>
  <si>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</si>
  <si>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</si>
  <si>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</si>
  <si>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</si>
  <si>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</si>
  <si>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MACHO RJ 45, CATEGORIA 5 E (CAT 5E) PARA CABOS</t>
  </si>
  <si>
    <t>CONECTOR MACHO RJ 45, CATEGORIA 6 (CAT 6) PARA CABOS</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</si>
  <si>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</si>
  <si>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</si>
  <si>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</si>
  <si>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</si>
  <si>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</si>
  <si>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</si>
  <si>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</si>
  <si>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</si>
  <si>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</si>
  <si>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</si>
  <si>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</si>
  <si>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</si>
  <si>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</si>
  <si>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</si>
  <si>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</si>
  <si>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</si>
  <si>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</si>
  <si>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</si>
  <si>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</si>
  <si>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</si>
  <si>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</si>
  <si>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</si>
  <si>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</si>
  <si>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CONECTOR/ADAPTADOR FIXO, ROSCA FEMEA, EM PLASTICO, DN 16 MM X 1/2", PARA CONEXAO COM CRIMPAGEM, EM TUBO PEX PARA INST. AGUA QUENTE/FRIA</t>
  </si>
  <si>
    <t>CONECTOR/ADAPTADOR FIXO, ROSCA FEMEA, EM PLASTICO, DN 20 MM X 1/2", PARA CONEXAO COM CRIMPAGEM, EM TUBO PEX PARA INST. AGUA QUENTE/FRIA</t>
  </si>
  <si>
    <t>CONECTOR/ADAPTADOR FIXO, ROSCA FEMEA, EM PLASTICO, DN 20 MM X 3/4", PARA CONEXAO COM CRIMPAGEM, EM TUBO PEX PARA INST. AGUA QUENTE/FRIA</t>
  </si>
  <si>
    <t>CONECTOR/ADAPTADOR FIXO, ROSCA FEMEA, EM PLASTICO, DN 25 MM X 3/4", PARA CONEXAO COM CRIMPAGEM, EM TUBO PEX PARA INST. AGUA QUENTE/FRIA</t>
  </si>
  <si>
    <t>CONECTOR/ADAPTADOR FIXO, ROSCA FEMEA, METALICA, COM ANEL DESLIZANTE, DN 16 MM X 1/2", PARA TUBO PEX PARA INST. AGUA QUENTE/FRIA</t>
  </si>
  <si>
    <t>CONECTOR/ADAPTADOR FIXO, ROSCA FEMEA, METALICA, COM ANEL DESLIZANTE, DN 20 MM X 1/2", PARA TUBO PEX PARA INST. AGUA QUENTE/FRIA</t>
  </si>
  <si>
    <t>CONECTOR/ADAPTADOR FIXO, ROSCA FEMEA, METALICA, COM ANEL DESLIZANTE, DN 20 MM X 3/4", PARA TUBO PEX PARA INST. AGUA QUENTE/FRIA</t>
  </si>
  <si>
    <t>CONECTOR/ADAPTADOR FIXO, ROSCA FEMEA, METALICA, COM ANEL DESLIZANTE, DN 25 MM X 1", PARA TUBO PEX PARA INST. AGUA QUENTE/FRIA</t>
  </si>
  <si>
    <t>CONECTOR/ADAPTADOR FIXO, ROSCA FEMEA, METALICA, COM ANEL DESLIZANTE, DN 25 MM X 3/4", PARA TUBO PEX PARA INST. AGUA QUENTE/FRIA</t>
  </si>
  <si>
    <t>CONECTOR/ADAPTADOR FIXO, ROSCA FEMEA, METALICA, COM ANEL DESLIZANTE, DN 32 MM X 1", PARA TUBO PEX PARA INST. AGUA QUENTE/FRIA</t>
  </si>
  <si>
    <t>CONECTOR/ADAPTADOR MOVEL, ROSCA FEMEA, METALICA, COM ANEL DESLIZANTE, DN 16 MM X 3/4", PARA TUBO PEX PARA INST. AGUA QUENTE/FRIA</t>
  </si>
  <si>
    <t>CONECTOR, CPVC, SOLDAVEL, 114 MM X 4"â, PARA AGUA QUENTE</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</si>
  <si>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</si>
  <si>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</si>
  <si>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</si>
  <si>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</si>
  <si>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</si>
  <si>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</si>
  <si>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CONECTOR, CPVC, SOLDAVEL, 54 MM X 2"â, PARA AGUA QUENTE</t>
  </si>
  <si>
    <t>CONECTOR, CPVC, SOLDAVEL, 73 MM X 2 1/2"â, PARA AGUA QUENTE</t>
  </si>
  <si>
    <t>CONECTOR, CPVC, SOLDAVEL, 89 MM X 3"â, PARA AGUA QUENTE</t>
  </si>
  <si>
    <t>CONJ. DE FERRAGENS PARA PORTA DE VIDRO TEMPERADO, EM ZAMAC CROMADO, CONTEMPLANDO DOBRADICA INF., DOBRADICA SUP., PIVO PARA DOBRADICA INF., PIVO PARA DOBRADICA SUP., FECHADURA CENTRAL EM ZAMC. CROMADO, CONTRA FECHADURA DE PRESSAO</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</si>
  <si>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</si>
  <si>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</si>
  <si>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</si>
  <si>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</si>
  <si>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</si>
  <si>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</si>
  <si>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</si>
  <si>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</si>
  <si>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</si>
  <si>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</si>
  <si>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</si>
  <si>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</si>
  <si>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</si>
  <si>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</si>
  <si>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</si>
  <si>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</si>
  <si>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</si>
  <si>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</si>
  <si>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</si>
  <si>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</si>
  <si>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</si>
  <si>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</si>
  <si>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</si>
  <si>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</si>
  <si>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</si>
  <si>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</si>
  <si>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</si>
  <si>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</si>
  <si>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COORDENADOR / GERENTE DE OBRA</t>
  </si>
  <si>
    <t>COORDENADOR / GERENTE DE OBRA (MENSALISTA)</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</si>
  <si>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</si>
  <si>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</si>
  <si>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</si>
  <si>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</si>
  <si>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</si>
  <si>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</si>
  <si>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</si>
  <si>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</si>
  <si>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</si>
  <si>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</si>
  <si>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</si>
  <si>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</si>
  <si>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</si>
  <si>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</si>
  <si>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</si>
  <si>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</si>
  <si>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</si>
  <si>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</si>
  <si>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</si>
  <si>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</si>
  <si>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</si>
  <si>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</si>
  <si>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</si>
  <si>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</si>
  <si>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</si>
  <si>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</si>
  <si>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</si>
  <si>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</si>
  <si>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</si>
  <si>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</si>
  <si>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</si>
  <si>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</si>
  <si>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</si>
  <si>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</si>
  <si>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</si>
  <si>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</si>
  <si>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</si>
  <si>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</si>
  <si>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</si>
  <si>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</si>
  <si>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</si>
  <si>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</si>
  <si>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</si>
  <si>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</si>
  <si>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</si>
  <si>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</si>
  <si>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</si>
  <si>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</si>
  <si>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</si>
  <si>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</si>
  <si>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</si>
  <si>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</si>
  <si>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</si>
  <si>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</si>
  <si>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</si>
  <si>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</si>
  <si>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</si>
  <si>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</si>
  <si>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</si>
  <si>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</si>
  <si>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</si>
  <si>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</si>
  <si>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</si>
  <si>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</si>
  <si>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</si>
  <si>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</si>
  <si>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</si>
  <si>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</si>
  <si>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</si>
  <si>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</si>
  <si>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</si>
  <si>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</si>
  <si>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</si>
  <si>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</si>
  <si>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</si>
  <si>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</si>
  <si>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</si>
  <si>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</si>
  <si>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</si>
  <si>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</si>
  <si>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</si>
  <si>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</si>
  <si>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</si>
  <si>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</si>
  <si>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</si>
  <si>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</si>
  <si>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</si>
  <si>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</si>
  <si>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</si>
  <si>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</si>
  <si>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</si>
  <si>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</si>
  <si>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</si>
  <si>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</si>
  <si>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</si>
  <si>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</si>
  <si>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</si>
  <si>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15 MM, PARA AGUA QUENTE</t>
  </si>
  <si>
    <t>CURVA CPVC, 90 GRAUS, SOLDAVEL, 22 MM, PARA AGUA QUENTE</t>
  </si>
  <si>
    <t>CURVA CPVC, 90 GRAUS, SOLDAVEL, 28 MM, PARA AGUA QUENTE</t>
  </si>
  <si>
    <t>CURVA DE PVC 45 GRAUS, SOLDAVEL, 20 MM, COR MARROM, PARA AGUA FRIA PREDIAL</t>
  </si>
  <si>
    <t>CURVA DE PVC 45 GRAUS, SOLDAVEL, 25 MM, COR MARROM, PARA AGUA FRIA PREDIAL</t>
  </si>
  <si>
    <t>CURVA DE PVC 45 GRAUS, SOLDAVEL, 32 MM, COR MARROM, PARA AGUA FRIA PREDIAL</t>
  </si>
  <si>
    <t>CURVA DE PVC 45 GRAUS, SOLDAVEL, 40 MM, COR MARROM, PARA AGUA FRIA PREDIAL</t>
  </si>
  <si>
    <t>CURVA DE PVC 45 GRAUS, SOLDAVEL, 50 MM, COR MARROM, PARA AGUA FRIA PREDIAL</t>
  </si>
  <si>
    <t>CURVA DE PVC 45 GRAUS, SOLDAVEL, 60 MM, COR MARROM, PARA AGUA FRIA PREDIAL</t>
  </si>
  <si>
    <t>CURVA DE PVC 45 GRAUS, SOLDAVEL, 75 MM, COR MARROM, PARA AGUA FRIA PREDIAL</t>
  </si>
  <si>
    <t>CURVA DE PVC 45 GRAUS, SOLDAVEL, 85 MM, COR MARROM, PARA AGUA FRIA PREDIAL</t>
  </si>
  <si>
    <t>CURVA DE PVC 90 GRAUS, SOLDAVEL, 110 MM, COR MARROM, PARA AGUA FRIA PREDIAL</t>
  </si>
  <si>
    <t>CURVA DE PVC 90 GRAUS, SOLDAVEL, 20 MM, COR MARROM, PARA AGUA FRIA PREDIAL</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</si>
  <si>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</si>
  <si>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</si>
  <si>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</si>
  <si>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</si>
  <si>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CURVA DE PVC 90 GRAUS, SOLDAVEL, 60 MM, COR MARROM, PARA AGUA FRIA PREDIAL</t>
  </si>
  <si>
    <t>CURVA DE PVC 90 GRAUS, SOLDAVEL, 75 MM, COR MARROM, PARA AGUA FRIA PREDIAL</t>
  </si>
  <si>
    <t>CURVA DE PVC 90 GRAUS, SOLDAVEL, 85 MM, COR MARROM, PARA AGUA FRIA PREDIAL</t>
  </si>
  <si>
    <t>CURVA DE PVC, 90 GRAUS, SERIE R, DN 100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</si>
  <si>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</si>
  <si>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</si>
  <si>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</si>
  <si>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</si>
  <si>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</si>
  <si>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COR MARROM, PARA AGUA FRIA PREDIAL</t>
  </si>
  <si>
    <t>CURVA DE TRANSPOSICAO, PVC, SOLDAVEL, 25 MM, COR MARROM, PARA AGUA FRIA PREDIAL</t>
  </si>
  <si>
    <t>CURVA DE TRANSPOSICAO, PVC, SOLDAVEL, 32 MM, COR MARROM, PARA AGUA FRIA PREDIAL</t>
  </si>
  <si>
    <t>CURVA LONGA PVC, PB, JE, 45 GRAUS, DN 100 MM, PARA REDE COLETORA ESGOTO</t>
  </si>
  <si>
    <t>CURVA LONGA PVC, PB, JE, 45 GRAUS, DN 150 MM, PARA REDE COLETORA ESGOTO</t>
  </si>
  <si>
    <t>CURVA LONGA PVC, PB, JE, 90 GRAUS, DN 100 MM, PARA REDE COLETORA ESGOTO</t>
  </si>
  <si>
    <t>CURVA LONGA PVC, PB, JE, 90 GRAUS, DN 150 MM, PARA REDE COLETORA ESGOTO</t>
  </si>
  <si>
    <t>CURVA PPR 90 GRAUS, F/F, DN 20 MM, PARA AGUA QUENTE PREDIAL</t>
  </si>
  <si>
    <t>CURVA PPR 90 GRAUS, F/F, DN 25 MM, PARA AGUA QUENTE PREDIAL</t>
  </si>
  <si>
    <t>CURVA PVC CURTA 90 GRAUS, DN 100 MM, PARA ESGOTO PREDIAL</t>
  </si>
  <si>
    <t>CURVA PVC CURTA 90 GRAUS, DN 40 MM, PARA ESGOTO PREDIAL</t>
  </si>
  <si>
    <t>CURVA PVC CURTA 90 GRAUS, DN 50 MM, PARA ESGOTO PREDIAL</t>
  </si>
  <si>
    <t>CURVA PVC CURTA 90 GRAUS, DN 75 MM, PARA ESGOTO PREDIAL</t>
  </si>
  <si>
    <t>CURVA PVC LONGA 90 GRAUS, DN 100 MM, PARA ESGOTO PREDIAL</t>
  </si>
  <si>
    <t>CURVA PVC LONGA 90 GRAUS, DN 40 MM, PARA ESGOTO PREDIAL</t>
  </si>
  <si>
    <t>CURVA PVC LONGA 90 GRAUS, DN 50 MM, PARA ESGOTO PREDIAL</t>
  </si>
  <si>
    <t>CURVA PVC LONGA 90 GRAUS, DN 75 MM, PARA ESGOTO PREDIAL</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</si>
  <si>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</si>
  <si>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</si>
  <si>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</si>
  <si>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</si>
  <si>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</si>
  <si>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</si>
  <si>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1/4", COR BRANCA, AGUA FRIA PREDIAL</t>
  </si>
  <si>
    <t>CURVA PVC 90 GRAUS, ROSCAVEL, 1/2", COR BRANCA, AGUA FRIA PREDIAL</t>
  </si>
  <si>
    <t>CURVA PVC 90 GRAUS, ROSCAVEL, 1", COR BRANCA, AGUA FRIA PREDIAL</t>
  </si>
  <si>
    <t>CURVA PVC 90 GRAUS, ROSCAVEL, 3/4", COR BRANCA, AGUA FRIA PREDIAL</t>
  </si>
  <si>
    <t>CURVA PVC, BB, JE, 45 GRAUS, DN 250 MM, PARA TUBO CORRUGADO E/OU LISO, REDE COLETORA ESGOTO</t>
  </si>
  <si>
    <t>CURVA PVC, BB, JE, 90 GRAUS, DN 200 MM, PARA TUBO CORRUGADO E/OU LISO, REDE COLETORA ESGOTO</t>
  </si>
  <si>
    <t>CURVA PVC, BB, JE, 90 GRAUS, DN 250 MM, PARA TUBO CORRUGADO E/OU LISO, REDE COLETORA ESGOTO</t>
  </si>
  <si>
    <t>CURVA PVC, SERIE R, 87.30 GRAUS, CURTA, PARA PE-DE-COLUNA, DN 100 MM, PARA ESGOTO PREDIAL</t>
  </si>
  <si>
    <t>CURVA PVC, SERIE R, 87.30 GRAUS, CURTA, PARA PE-DE-COLUNA, DN 150 MM, PARA ESGOTO PREDIAL</t>
  </si>
  <si>
    <t>CURVA PVC, SERIE R, 87.30 GRAUS, CURTA, PARA PE-DE-COLUNA, DN 75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</si>
  <si>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</si>
  <si>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</si>
  <si>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</si>
  <si>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</si>
  <si>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</si>
  <si>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</si>
  <si>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</si>
  <si>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</si>
  <si>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</si>
  <si>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</si>
  <si>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</si>
  <si>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</si>
  <si>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</si>
  <si>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</si>
  <si>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</si>
  <si>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</si>
  <si>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</si>
  <si>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</si>
  <si>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</si>
  <si>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</si>
  <si>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</si>
  <si>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</si>
  <si>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</si>
  <si>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</si>
  <si>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</si>
  <si>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</si>
  <si>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</si>
  <si>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</si>
  <si>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</si>
  <si>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</si>
  <si>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</si>
  <si>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</si>
  <si>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</si>
  <si>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</si>
  <si>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</si>
  <si>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</si>
  <si>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</si>
  <si>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</si>
  <si>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</si>
  <si>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</si>
  <si>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</si>
  <si>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</si>
  <si>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</si>
  <si>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</si>
  <si>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</si>
  <si>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</si>
  <si>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</si>
  <si>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</si>
  <si>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</si>
  <si>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</si>
  <si>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</si>
  <si>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</si>
  <si>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</si>
  <si>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</si>
  <si>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</si>
  <si>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</si>
  <si>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</si>
  <si>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</si>
  <si>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</si>
  <si>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</si>
  <si>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</si>
  <si>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</si>
  <si>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</si>
  <si>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</si>
  <si>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</si>
  <si>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</si>
  <si>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</si>
  <si>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</si>
  <si>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</si>
  <si>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</si>
  <si>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</si>
  <si>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</si>
  <si>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</si>
  <si>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</si>
  <si>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</si>
  <si>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</si>
  <si>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</si>
  <si>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</si>
  <si>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</si>
  <si>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</si>
  <si>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</si>
  <si>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</si>
  <si>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</si>
  <si>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</si>
  <si>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</si>
  <si>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</si>
  <si>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</si>
  <si>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</si>
  <si>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</si>
  <si>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</si>
  <si>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</si>
  <si>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</si>
  <si>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</si>
  <si>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</si>
  <si>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</si>
  <si>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</si>
  <si>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</si>
  <si>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</si>
  <si>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</si>
  <si>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</si>
  <si>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</si>
  <si>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</si>
  <si>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</si>
  <si>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</si>
  <si>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</si>
  <si>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</si>
  <si>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</si>
  <si>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</si>
  <si>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</si>
  <si>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</si>
  <si>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</si>
  <si>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</si>
  <si>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</si>
  <si>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</si>
  <si>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</si>
  <si>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</si>
  <si>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</si>
  <si>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</si>
  <si>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</si>
  <si>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</si>
  <si>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 (HORISTA)</t>
  </si>
  <si>
    <t>DESENHISTA COPISTA (MENSALISTA)</t>
  </si>
  <si>
    <t>DESENHISTA DETALHISTA (HORISTA)</t>
  </si>
  <si>
    <t>DESENHISTA DETALHISTA (MENSALISTA)</t>
  </si>
  <si>
    <t>DESENHISTA PROJETISTA (HORISTA)</t>
  </si>
  <si>
    <t>DESENHISTA PROJETISTA (MENSALISTA)</t>
  </si>
  <si>
    <t>DESENHISTA TECNICO AUXILIAR (HORISTA)</t>
  </si>
  <si>
    <t>DESENHISTA TECNICO AUXILIAR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</si>
  <si>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</si>
  <si>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</si>
  <si>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</si>
  <si>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</si>
  <si>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</si>
  <si>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</si>
  <si>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</si>
  <si>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</si>
  <si>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</si>
  <si>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</si>
  <si>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</si>
  <si>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</si>
  <si>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</si>
  <si>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</si>
  <si>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</si>
  <si>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</si>
  <si>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</si>
  <si>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</si>
  <si>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</si>
  <si>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</si>
  <si>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</si>
  <si>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</si>
  <si>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</si>
  <si>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</si>
  <si>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</si>
  <si>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</si>
  <si>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</si>
  <si>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</si>
  <si>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</si>
  <si>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</si>
  <si>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</si>
  <si>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</si>
  <si>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</si>
  <si>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</si>
  <si>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</si>
  <si>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</si>
  <si>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</si>
  <si>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</si>
  <si>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</si>
  <si>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</si>
  <si>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</si>
  <si>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</si>
  <si>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</si>
  <si>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</si>
  <si>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</si>
  <si>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</si>
  <si>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</si>
  <si>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</si>
  <si>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</si>
  <si>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</si>
  <si>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</si>
  <si>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</si>
  <si>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</si>
  <si>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</si>
  <si>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</si>
  <si>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</si>
  <si>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</si>
  <si>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</si>
  <si>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</si>
  <si>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</si>
  <si>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</si>
  <si>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</si>
  <si>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</si>
  <si>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</si>
  <si>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</si>
  <si>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</si>
  <si>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</si>
  <si>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</si>
  <si>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</si>
  <si>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</si>
  <si>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</si>
  <si>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</si>
  <si>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</si>
  <si>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</si>
  <si>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</si>
  <si>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</si>
  <si>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</si>
  <si>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</si>
  <si>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</si>
  <si>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</si>
  <si>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 PARA INST. AGUA QUENTE/FRIA</t>
  </si>
  <si>
    <t>DISTRIBUIDOR METALICO, COM ROSCA, 2 SAIDAS, DN 3/4" X 1/2", PARA CONEXAO COM ANEL DESLIZANTE EM TUBO PEX PARA INST. AGUA QUENTE/FRIA</t>
  </si>
  <si>
    <t>DISTRIBUIDOR METALICO, COM ROSCA, 3 SAIDAS, DN 1" X 1/2", PARA CONEXAO COM ANEL DESLIZANTE EM TUBO PEX PARA INST. AGUA QUENTE/FRIA</t>
  </si>
  <si>
    <t>DISTRIBUIDOR METALICO, COM ROSCA, 3 SAIDAS, DN 3/4" X 1/2", PARA CONEXAO COM ANEL DESLIZANTE EM TUBO PEX PARA INST. AGUA QUENTE/FRIA</t>
  </si>
  <si>
    <t>DISTRIBUIDOR, PLASTICO, 2 SAIDAS, DN 32 X 16 MM, PARA CONEXAO COM CRIMPAGEM, EM TUBO PEX PARA INST. AGUA QUENTE/FRIA</t>
  </si>
  <si>
    <t>DISTRIBUIDOR, PLASTICO, 2 SAIDAS, DN 32 X 25 MM, PARA CONEXAO COM CRIMPAGEM, EM TUBO PEX PARA INST. AGUA QUENTE/FRIA</t>
  </si>
  <si>
    <t>DISTRIBUIDOR, PLASTICO, 3 SAIDAS, DN 32 X 16 MM, PARA CONEXAO COM CRIMPAGEM, EM TUBO PEX PARA INST. AGUA QUENTE/FRIA</t>
  </si>
  <si>
    <t>DISTRIBUIDOR, PLASTICO, 3 SAIDAS, DN 32 X 25 MM, PARA CONEXAO COM CRIMPAGEM, EM TUBO PEX PARA INST. AGUA QUENTE/FRIA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</si>
  <si>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</si>
  <si>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</si>
  <si>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</si>
  <si>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</si>
  <si>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</si>
  <si>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</si>
  <si>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1,2 A 1,8 MM, SEM ANEL, CROMADO OU ZINCADO, TAMPA BOLA,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</si>
  <si>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</si>
  <si>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</si>
  <si>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</si>
  <si>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</si>
  <si>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</si>
  <si>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 CHUVEIRO METALICO, DE PAREDE, ARTICULAVEL, COM BRACO/CANO, SEM DESVIADOR</t>
  </si>
  <si>
    <t>DUCHA / CHUVEIRO METALICO, DE PAREDE, ARTICULAVEL, COM DESVIADOR E DUCHA MANUAL</t>
  </si>
  <si>
    <t>DUCHA / CHUVEIRO PLASTICO SIMPLES, 5 '', BRANCO, PARA ACOPLAR EM HASTE 1/2 ", AGUA FRIA</t>
  </si>
  <si>
    <t>DUCHA HIGIENICA PLASTICA COM REGISTRO METALICO 1/2 "</t>
  </si>
  <si>
    <t>DUMPER COM CAPACIDADE DE CARGA DE 1700 KG, PARTIDA ELETRICA, MOTOR DIESEL COM POTENCIA DE 16 CV</t>
  </si>
  <si>
    <t>ELEMENTO VAZADO CERAMICO DIAGONAL (TIPO FLOR/QUADRADO/XIS) 25 X 18 X 7 CM</t>
  </si>
  <si>
    <t>ELEMENTO VAZADO CERAMICO QUADRADO (TIPO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</si>
  <si>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</si>
  <si>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</si>
  <si>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</si>
  <si>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</si>
  <si>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</si>
  <si>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</si>
  <si>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</si>
  <si>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</si>
  <si>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</si>
  <si>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</si>
  <si>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</si>
  <si>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(HORISTA)</t>
  </si>
  <si>
    <t>ELETRICISTA (MENSALISTA)</t>
  </si>
  <si>
    <t>ELETRICISTA DE MANUTENCAO INDUSTRIAL (HORISTA)</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</si>
  <si>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</si>
  <si>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</si>
  <si>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</si>
  <si>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</si>
  <si>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</si>
  <si>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</si>
  <si>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</si>
  <si>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</si>
  <si>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</si>
  <si>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</si>
  <si>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</si>
  <si>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</si>
  <si>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</si>
  <si>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</si>
  <si>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</si>
  <si>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</si>
  <si>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</si>
  <si>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</si>
  <si>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</si>
  <si>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</si>
  <si>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EM ACO GALVANIZADO ELETROLITICO, LEVE, DIAMETRO 1", PAREDE DE 0,90 MM</t>
  </si>
  <si>
    <t>ELETRODUTO EM ACO GALVANIZADO ELETROLITICO, LEVE, DIAMETRO 3/4", PAREDE DE 0,90 MM</t>
  </si>
  <si>
    <t>ELETRODUTO EM ACO GALVANIZADO ELETROLITICO, SEMI-PESADO, DIAMETRO 1 1/2", PAREDE DE 1,20 MM</t>
  </si>
  <si>
    <t>ELETRODUTO EM ACO GALVANIZADO ELETROLITICO, SEMI-PESADO, DIAMETRO 1 1/4", PAREDE DE 1,20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</si>
  <si>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</si>
  <si>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</si>
  <si>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</si>
  <si>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</si>
  <si>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</si>
  <si>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</si>
  <si>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</si>
  <si>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</si>
  <si>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</si>
  <si>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</si>
  <si>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</si>
  <si>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</si>
  <si>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</si>
  <si>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</si>
  <si>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</si>
  <si>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</si>
  <si>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</si>
  <si>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</si>
  <si>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</si>
  <si>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</si>
  <si>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</si>
  <si>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</si>
  <si>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</si>
  <si>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</si>
  <si>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</si>
  <si>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</si>
  <si>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</si>
  <si>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</si>
  <si>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</si>
  <si>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</si>
  <si>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</si>
  <si>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4", PARA CABEAMENTO SUBTERRANEO (NBR 15715)</t>
  </si>
  <si>
    <t>ELETROTECNICO (HORISTA)</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</si>
  <si>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</si>
  <si>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</si>
  <si>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</si>
  <si>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PLUVIAL PREDIAL</t>
  </si>
  <si>
    <t>EMULSAO ASFALTICA ANIONICA</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</si>
  <si>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</si>
  <si>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</si>
  <si>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</si>
  <si>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</si>
  <si>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</si>
  <si>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</si>
  <si>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(HORISTA)</t>
  </si>
  <si>
    <t>ENCANADOR OU BOMBEIRO HIDRAULICO (MENSALISTA)</t>
  </si>
  <si>
    <t>ENCARREGADO GERAL DE OBRAS (HORISTA)</t>
  </si>
  <si>
    <t>ENCARREGADO GERAL DE OBRAS (MENSALISTA)</t>
  </si>
  <si>
    <t>ENDURECEDOR MINERAL DE BASE CIMENTICIA PARA PISO DE CONCRETO</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</si>
  <si>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</si>
  <si>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</si>
  <si>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</si>
  <si>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</si>
  <si>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</si>
  <si>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</si>
  <si>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</si>
  <si>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</si>
  <si>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</si>
  <si>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</si>
  <si>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</si>
  <si>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</si>
  <si>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</si>
  <si>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</si>
  <si>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</si>
  <si>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</si>
  <si>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</si>
  <si>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</si>
  <si>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</si>
  <si>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</si>
  <si>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</si>
  <si>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</si>
  <si>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</si>
  <si>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</si>
  <si>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</si>
  <si>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</si>
  <si>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</si>
  <si>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</si>
  <si>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</si>
  <si>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</si>
  <si>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</si>
  <si>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</si>
  <si>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</si>
  <si>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</si>
  <si>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</si>
  <si>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</si>
  <si>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</si>
  <si>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</si>
  <si>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</si>
  <si>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</si>
  <si>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</si>
  <si>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</si>
  <si>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</si>
  <si>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</si>
  <si>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</si>
  <si>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</si>
  <si>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</si>
  <si>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</si>
  <si>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</si>
  <si>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</si>
  <si>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</si>
  <si>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</si>
  <si>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</si>
  <si>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</si>
  <si>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</si>
  <si>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</si>
  <si>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</si>
  <si>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</si>
  <si>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</si>
  <si>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</si>
  <si>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</si>
  <si>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</si>
  <si>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</si>
  <si>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</si>
  <si>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</si>
  <si>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</si>
  <si>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</si>
  <si>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</si>
  <si>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</si>
  <si>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</si>
  <si>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</si>
  <si>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</si>
  <si>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</si>
  <si>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</si>
  <si>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</si>
  <si>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</si>
  <si>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OU DISTANCIADOR, EM PLASTICO, TIPO APOIO DE CORDOALHA (CARANGUEJO), PARA ARMADURA NEGATIVA E PROTENSAO, COBRIMENTO 50 MM</t>
  </si>
  <si>
    <t>ESPACADOR/SEPARADOR /CENTRALIZADOR DE BARRA DE ACO, PLASTICO, (CHUMBADOR TIPO CARAMBOLA - CB), DIAMETRO INTERNO ATE 20 MM</t>
  </si>
  <si>
    <t>ESPACADOR/SEPARADOR /CENTRALIZADOR DE BARRA DE ACO, PLASTICO, (CHUMBADOR TIPO CARAMBOLA - CB), DIAMETRO INTERNO ENTRE 25 A 32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</si>
  <si>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</si>
  <si>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</si>
  <si>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</si>
  <si>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</si>
  <si>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</si>
  <si>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</si>
  <si>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</si>
  <si>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</si>
  <si>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</si>
  <si>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</si>
  <si>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</si>
  <si>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</si>
  <si>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</si>
  <si>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</si>
  <si>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</si>
  <si>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</si>
  <si>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</si>
  <si>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</si>
  <si>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</si>
  <si>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</si>
  <si>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</si>
  <si>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</si>
  <si>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</si>
  <si>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</si>
  <si>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</si>
  <si>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</si>
  <si>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</si>
  <si>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</si>
  <si>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</si>
  <si>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</si>
  <si>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</si>
  <si>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</si>
  <si>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</si>
  <si>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 - ENCARGOS COMPLEMENTARES)</t>
  </si>
  <si>
    <t>EXAMES - MENSALISTA (COLETADO CAIXA - ENCARGOS COMPLEMENTARES)</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</si>
  <si>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</si>
  <si>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</si>
  <si>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</si>
  <si>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</si>
  <si>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</si>
  <si>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</si>
  <si>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</si>
  <si>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</si>
  <si>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</si>
  <si>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</si>
  <si>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75/ DE 85 MM (NBR 10351)</t>
  </si>
  <si>
    <t>EXTREMIDADE PVC PBA, PF, JE, DN 100 / DE 110 MM (NBR 10351)</t>
  </si>
  <si>
    <t>EXTREMIDADE PVC PBA, PF, JE, DN 75 / DE 85 MM (NBR 10351)</t>
  </si>
  <si>
    <t>EXTREMIDADE/TUBETE PARA HIDROMETRO PVC, COM ROSCA, CURTA, COM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</si>
  <si>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</si>
  <si>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</si>
  <si>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SEGURANCA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</si>
  <si>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</si>
  <si>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</si>
  <si>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</si>
  <si>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</si>
  <si>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</si>
  <si>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</si>
  <si>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</si>
  <si>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</si>
  <si>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</si>
  <si>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</si>
  <si>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</si>
  <si>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</si>
  <si>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</si>
  <si>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</si>
  <si>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</si>
  <si>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</si>
  <si>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</si>
  <si>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</si>
  <si>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</si>
  <si>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</si>
  <si>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</si>
  <si>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</si>
  <si>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</si>
  <si>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</si>
  <si>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</si>
  <si>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</si>
  <si>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</si>
  <si>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</si>
  <si>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</si>
  <si>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</si>
  <si>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</si>
  <si>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</si>
  <si>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</si>
  <si>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</si>
  <si>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</si>
  <si>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</si>
  <si>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</si>
  <si>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</si>
  <si>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</si>
  <si>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</si>
  <si>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</si>
  <si>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</si>
  <si>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</si>
  <si>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</si>
  <si>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</si>
  <si>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</si>
  <si>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</si>
  <si>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</si>
  <si>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</si>
  <si>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</si>
  <si>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</si>
  <si>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</si>
  <si>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</si>
  <si>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</si>
  <si>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</si>
  <si>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</si>
  <si>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</si>
  <si>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</si>
  <si>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</si>
  <si>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</si>
  <si>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</si>
  <si>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</si>
  <si>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</si>
  <si>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</si>
  <si>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</si>
  <si>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</si>
  <si>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</si>
  <si>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</si>
  <si>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</si>
  <si>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CARGA MEDIA POTENCIA 5 (PARA FERRAMENTA DE ACAO DIRETA) COR VERMELHA</t>
  </si>
  <si>
    <t>FINCAPINO LONGO CALIBRE 22, CARGA FORTE POTENCIA 7 (PARA FERRAMENTA DE ACAO DIRETA), COR AMARELA</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</si>
  <si>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</si>
  <si>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</si>
  <si>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</si>
  <si>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</si>
  <si>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</si>
  <si>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</si>
  <si>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</si>
  <si>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</si>
  <si>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</si>
  <si>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</si>
  <si>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</si>
  <si>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</si>
  <si>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</si>
  <si>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</si>
  <si>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</si>
  <si>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</si>
  <si>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</si>
  <si>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</si>
  <si>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</si>
  <si>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</si>
  <si>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</si>
  <si>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</si>
  <si>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</si>
  <si>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</si>
  <si>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</si>
  <si>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</si>
  <si>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</si>
  <si>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</si>
  <si>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</si>
  <si>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</si>
  <si>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</si>
  <si>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</si>
  <si>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</si>
  <si>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</si>
  <si>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</si>
  <si>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</si>
  <si>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</si>
  <si>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</si>
  <si>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</si>
  <si>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</si>
  <si>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</si>
  <si>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</si>
  <si>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</si>
  <si>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</si>
  <si>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</si>
  <si>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</si>
  <si>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</si>
  <si>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</si>
  <si>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</si>
  <si>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</si>
  <si>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</si>
  <si>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</si>
  <si>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</si>
  <si>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</si>
  <si>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</si>
  <si>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</si>
  <si>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</si>
  <si>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</si>
  <si>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</si>
  <si>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</si>
  <si>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</si>
  <si>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</si>
  <si>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</si>
  <si>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</si>
  <si>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</si>
  <si>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</si>
  <si>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</si>
  <si>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</si>
  <si>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</si>
  <si>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</si>
  <si>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</si>
  <si>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</si>
  <si>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</si>
  <si>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</si>
  <si>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</si>
  <si>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</si>
  <si>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</si>
  <si>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</si>
  <si>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</si>
  <si>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</si>
  <si>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</si>
  <si>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</si>
  <si>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</si>
  <si>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</si>
  <si>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</si>
  <si>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</si>
  <si>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</si>
  <si>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</si>
  <si>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</si>
  <si>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</si>
  <si>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</si>
  <si>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</si>
  <si>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</si>
  <si>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</si>
  <si>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</si>
  <si>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</si>
  <si>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</si>
  <si>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</si>
  <si>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</si>
  <si>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</si>
  <si>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</si>
  <si>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</si>
  <si>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</si>
  <si>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</si>
  <si>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</si>
  <si>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</si>
  <si>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</si>
  <si>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</si>
  <si>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</si>
  <si>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</si>
  <si>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</si>
  <si>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</si>
  <si>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</si>
  <si>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</si>
  <si>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</si>
  <si>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</si>
  <si>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</si>
  <si>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</si>
  <si>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</si>
  <si>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</si>
  <si>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</si>
  <si>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</si>
  <si>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</si>
  <si>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</si>
  <si>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</si>
  <si>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</si>
  <si>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</si>
  <si>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</si>
  <si>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</si>
  <si>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</si>
  <si>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</si>
  <si>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</si>
  <si>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</si>
  <si>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</si>
  <si>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FIXA, EM PVC BRANCA, QUADRADA, 150 X 150 MM, PARA RALOS E CAIXAS</t>
  </si>
  <si>
    <t>GRELHA FIXA, PVC CROMADA, REDONDA, 150 MM, PARA RALOS E CAIXAS</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</si>
  <si>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</si>
  <si>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</si>
  <si>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</si>
  <si>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</si>
  <si>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</si>
  <si>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</si>
  <si>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</si>
  <si>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GERADOR A GASOLINA, POTENCIA NOMINAL 2,2 KW, TENSAO DE SAIDA 110/220 V, MOTOR POTENCIA 6,5 HP</t>
  </si>
  <si>
    <t>GRUPO GERADOR DE SOLDA ELETRICA, COM MAQUINA DE SOLDA, ATE 400 AMPERES E GERADOR A DIESEL 30 CV, MOTOR 4 CILINDROS, TANQUE COMBUST., CARENAGEM DE PROTECAO SOBRE RODAS</t>
  </si>
  <si>
    <t>GRUPO GERADOR DE SOLDA ELETRICA, COM MAQUINA DE SOLDA, ATE 400 AMPERES E GERADOR A DIESEL 60 CV, MOTOR 4 CILINDROS, TANQUE COMBUST., CARENAGEM DE PROTECAO SOBRE RODAS</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</si>
  <si>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</si>
  <si>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</si>
  <si>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</si>
  <si>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</si>
  <si>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</si>
  <si>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</si>
  <si>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</si>
  <si>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</si>
  <si>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</si>
  <si>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</si>
  <si>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</si>
  <si>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</si>
  <si>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</si>
  <si>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</si>
  <si>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</si>
  <si>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</si>
  <si>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</si>
  <si>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</si>
  <si>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</si>
  <si>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</si>
  <si>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</si>
  <si>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</si>
  <si>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</si>
  <si>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</si>
  <si>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</si>
  <si>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</si>
  <si>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</si>
  <si>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</si>
  <si>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</si>
  <si>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</si>
  <si>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</si>
  <si>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</si>
  <si>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</si>
  <si>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</si>
  <si>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</si>
  <si>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</si>
  <si>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</si>
  <si>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</si>
  <si>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</si>
  <si>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</si>
  <si>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</si>
  <si>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</si>
  <si>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</si>
  <si>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</si>
  <si>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</si>
  <si>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</si>
  <si>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</si>
  <si>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</si>
  <si>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</si>
  <si>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</si>
  <si>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</si>
  <si>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</si>
  <si>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</si>
  <si>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</si>
  <si>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</si>
  <si>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</si>
  <si>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</si>
  <si>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</si>
  <si>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</si>
  <si>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</si>
  <si>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</si>
  <si>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</si>
  <si>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</si>
  <si>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</si>
  <si>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</si>
  <si>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</si>
  <si>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</si>
  <si>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</si>
  <si>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</si>
  <si>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</si>
  <si>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</si>
  <si>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</si>
  <si>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</si>
  <si>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</si>
  <si>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</si>
  <si>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</si>
  <si>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</si>
  <si>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</si>
  <si>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</si>
  <si>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</si>
  <si>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</si>
  <si>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</si>
  <si>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</si>
  <si>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</si>
  <si>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</si>
  <si>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</si>
  <si>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</si>
  <si>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</si>
  <si>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</si>
  <si>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</si>
  <si>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</si>
  <si>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</si>
  <si>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</si>
  <si>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</si>
  <si>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</si>
  <si>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</si>
  <si>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</si>
  <si>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</si>
  <si>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</si>
  <si>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</si>
  <si>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</si>
  <si>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</si>
  <si>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ACO, BATENTE/REQUADRO DE 6 A 14 CM, COM DIVISAO HORIZ , PINT ANTICORROSIVA, SEM VIDRO, BANDEIRA COM BASCULA, 4 FLS, 120 X 150 CM (A X L)</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</si>
  <si>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</si>
  <si>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</si>
  <si>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</si>
  <si>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</si>
  <si>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</si>
  <si>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</si>
  <si>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</si>
  <si>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 (HORISTA)</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</si>
  <si>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</si>
  <si>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</si>
  <si>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</si>
  <si>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</si>
  <si>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</si>
  <si>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</si>
  <si>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</si>
  <si>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</si>
  <si>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</si>
  <si>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114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</si>
  <si>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</si>
  <si>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</si>
  <si>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</si>
  <si>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</si>
  <si>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</si>
  <si>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</si>
  <si>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</si>
  <si>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</si>
  <si>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COR MARROM, PARA AGUA FRIA PREDIAL</t>
  </si>
  <si>
    <t>JOELHO DE REDUCAO, PVC SOLDAVEL, 90 GRAUS, 32 MM X 25 MM, COR MARROM, PARA AGUA FRIA PREDIAL</t>
  </si>
  <si>
    <t>JOELHO DE REDUCAO, PVC, ROSCAVEL, 90 GRAUS, 1" X 3/4", COR BRANCA, PARA AGUA FRIA PREDIAL</t>
  </si>
  <si>
    <t>JOELHO DE REDUCAO, PVC, ROSCAVEL, 90 GRAUS, 3/4" X 1/2", COR BRANCA,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</si>
  <si>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</si>
  <si>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</si>
  <si>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</si>
  <si>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F/F, DN 20 MM, PARA AGUA QUENTE PREDIAL</t>
  </si>
  <si>
    <t>JOELHO PPR 45 GRAUS, SOLDAVEL, F/F, DN 25 MM, PARA AGUA QUENTE PREDIAL</t>
  </si>
  <si>
    <t>JOELHO PPR 45 GRAUS, SOLDAVEL, F/F, DN 40 MM, PARA AQUA QUENTE E FRIA PREDIAL</t>
  </si>
  <si>
    <t>JOELHO PPR 45 GRAUS, SOLDAVEL, F/F, DN 50 MM, PARA AQUA QUENTE E FRIA PREDIAL</t>
  </si>
  <si>
    <t>JOELHO PPR 45 GRAUS, SOLDAVEL, F/F, DN 63 MM, PARA AQUA QUENTE E FRIA PREDIAL</t>
  </si>
  <si>
    <t>JOELHO PPR 45 GRAUS, SOLDAVEL, F/F, DN 75 MM, PARA AQUA QUENTE E FRIA PREDIAL</t>
  </si>
  <si>
    <t>JOELHO PPR 45 GRAUS, SOLDAVEL, F/F, DN 90 MM, PARA AQUA QUENTE E FRIA PREDIAL</t>
  </si>
  <si>
    <t>JOELHO PPR, 45 GRAUS, SOLDAVEL, F/F, DN 32 MM, PARA AGUA QUENTE PREDIAL</t>
  </si>
  <si>
    <t>JOELHO PPR, 90 GRAUS, SOLDAVEL, F/F, DN 110 MM, PARA AGUA QUENTE PREDIAL</t>
  </si>
  <si>
    <t>JOELHO PPR, 90 GRAUS, SOLDAVEL, F/F, DN 20 MM, PARA AGUA QUENTE PREDIAL</t>
  </si>
  <si>
    <t>JOELHO PPR, 90 GRAUS, SOLDAVEL, F/F, DN 25 MM, PARA AGUA QUENTE PREDIAL</t>
  </si>
  <si>
    <t>JOELHO PPR, 90 GRAUS, SOLDAVEL, F/F, DN 32 MM, PARA AGUA QUENTE PREDIAL</t>
  </si>
  <si>
    <t>JOELHO PPR, 90 GRAUS, SOLDAVEL, F/F, DN 40 MM, PARA AGUA QUENTE PREDIAL</t>
  </si>
  <si>
    <t>JOELHO PPR, 90 GRAUS, SOLDAVEL, F/F, DN 50 MM, PARA AGUA QUENTE PREDIAL</t>
  </si>
  <si>
    <t>JOELHO PPR, 90 GRAUS, SOLDAVEL, F/F, DN 63 MM, PARA AGUA QUENTE PREDIAL</t>
  </si>
  <si>
    <t>JOELHO PPR, 90 GRAUS, SOLDAVEL, F/F, DN 75 MM, PARA AGUA QUENTE PREDIAL</t>
  </si>
  <si>
    <t>JOELHO PPR, 90 GRAUS, SOLDAVEL, F/F, DN 90 MM, PARA AGUA QUENTE PREDIAL</t>
  </si>
  <si>
    <t>JOELHO PVC COM VISITA, 90 GRAUS, DN 100 X 50 MM, SERIE NORMAL, PARA ESGOTO PREDIAL</t>
  </si>
  <si>
    <t>JOELHO PVC, COM BOLSA E ANEL, 90 GRAUS, DN 40 X *38* MM, SERIE NORMAL, PARA ESGOTO PREDIAL</t>
  </si>
  <si>
    <t>JOELHO PVC, ROSCAVEL, 45 GRAUS, 1/2", COR BRANCA, PARA AGUA FRIA PREDIAL</t>
  </si>
  <si>
    <t>JOELHO PVC, ROSCAVEL, 45 GRAUS, 1", COR BRANCA, PARA AGUA FRIA PREDIAL</t>
  </si>
  <si>
    <t>JOELHO PVC, ROSCAVEL, 45 GRAUS, 3/4", COR BRANCA, PARA AGUA FRIA PREDIAL</t>
  </si>
  <si>
    <t>JOELHO PVC, ROSCAVEL, 90 GRAUS, 1/2", COR BRANCA, PARA AGUA FRIA PREDIAL</t>
  </si>
  <si>
    <t>JOELHO PVC, ROSCAVEL, 90 GRAUS, 1",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</si>
  <si>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</si>
  <si>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</si>
  <si>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</si>
  <si>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JOELHO PVC, SOLDAVEL COM ROSCA, 90 GRAUS, 25 MM X 3/4", COR MARROM, PARA AGUA FRIA PREDIAL</t>
  </si>
  <si>
    <t>JOELHO PVC, SOLDAVEL COM ROSCA, 90 GRAUS, 32 MM X 3/4", COR MARROM, PARA AGUA FRIA PREDIAL</t>
  </si>
  <si>
    <t>JOELHO PVC, SOLDAVEL, BB, 45 GRAUS, DN 40 MM, PARA ESGOTO PREDIAL</t>
  </si>
  <si>
    <t>JOELHO PVC, SOLDAVEL, BB, 90 GRAUS, SEM ANEL, DN 40 MM, PARA ESGOTO PREDIAL SECUNDARIO</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</si>
  <si>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</si>
  <si>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</si>
  <si>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</si>
  <si>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</si>
  <si>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</si>
  <si>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</si>
  <si>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</si>
  <si>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</si>
  <si>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</si>
  <si>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</si>
  <si>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</si>
  <si>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</si>
  <si>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</si>
  <si>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</si>
  <si>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COR MARROM, PARA AGUA FRIA PREDIAL</t>
  </si>
  <si>
    <t>JOELHO PVC, SOLDAVEL, 90 GRAUS, 20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</si>
  <si>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</si>
  <si>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</si>
  <si>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</si>
  <si>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50 MM, COR MARROM, PARA AGUA FRIA PREDIAL</t>
  </si>
  <si>
    <t>JOELHO PVC, SOLDAVEL, 90 GRAUS, 60 MM, COR MARROM, PARA AGUA FRIA PREDIAL</t>
  </si>
  <si>
    <t>JOELHO PVC, SOLDAVEL, 90 GRAUS, 85 MM, COR MARROM, PARA AGUA FRIA PREDIAL</t>
  </si>
  <si>
    <t>JOELHO PVC, 90 GRAUS, ROSCAVEL, 1 1/4", COR BRANCA, AGUA FRIA PREDIAL</t>
  </si>
  <si>
    <t>JOELHO/COTOVELO 90 GRAUS, METALICO, PARA CONEXAO COM ANEL DESLIZANTE, DN 16 MM, EM TUBO PEX PARA INST. AGUA QUENTE/FRIA</t>
  </si>
  <si>
    <t>JOELHO/COTOVELO 90 GRAUS, METALICO, PARA CONEXAO COM ANEL DESLIZANTE, DN 20 MM, EM TUBO PEX PARA INST. AGUA QUENTE/FRIA</t>
  </si>
  <si>
    <t>JOELHO/COTOVELO 90 GRAUS, METALICO, PARA CONEXAO COM ANEL DESLIZANTE, DN 25 MM, EM TUBO PEX PARA INST. AGUA QUENTE/FRIA</t>
  </si>
  <si>
    <t>JOELHO/COTOVELO 90 GRAUS, METALICO, PARA CONEXAO COM ANEL DESLIZANTE, DN 32 MM, EM TUBO PEX PARA INST. AGUA QUENTE/FRIA</t>
  </si>
  <si>
    <t>JOELHO/COTOVELO 90 GRAUS, PLASTICO, PARA CONEXAO COM CRIMPAGEM, DN 16 MM, EM TUBO PEX PARA INST. AGUA QUENTE/FRIA</t>
  </si>
  <si>
    <t>JOELHO/COTOVELO 90 GRAUS, PLASTICO, PARA CONEXAO COM CRIMPAGEM, DN 20 MM, EM TUBO PEX PARA INST. AGUA QUENTE/FRIA</t>
  </si>
  <si>
    <t>JOELHO/COTOVELO 90 GRAUS, PLASTICO, PARA CONEXAO COM CRIMPAGEM, DN 25 MM,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</si>
  <si>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</si>
  <si>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</si>
  <si>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</si>
  <si>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</si>
  <si>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ROSCA FEMEA TERMINAL, PLASTICO, PARA CONEXAO COM CRIMPAGEM, DN 16 MM X 1/2", EM TUBO PEX PARA INST. AGUA QUENTE/FRIA</t>
  </si>
  <si>
    <t>JOELHO/COTOVELO 90 GRAUS, ROSCA FEMEA TERMINAL, PLASTICO, PARA CONEXAO COM CRIMPAGEM, DN 20 MM X 1/2", EM TUBO PEX PARA INST. AGUA QUENTE/FRIA</t>
  </si>
  <si>
    <t>JOELHO/COTOVELO 90 GRAUS, ROSCA FEMEA TERMINAL, PLASTICO, PARA CONEXAO COM CRIMPAGEM, DN 20 MM X 3/4", EM TUBO PEX PARA INST. AGUA QUENTE/FRIA</t>
  </si>
  <si>
    <t>JOELHO/COTOVELO 90 GRAUS, ROSCA FEMEA TERMINAL, PLASTICO, PARA CONEXAO COM CRIMPAGEM, DN 25 MM X 1/2", EM TUBO PEX PARA INST. AGUA QUENTE/FRIA</t>
  </si>
  <si>
    <t>JOELHO/COTOVELO, ROSCA FEMEA MOVEL, METALICO, PARA CONEXAO COM ANEL DESLIZANTE, DN 20 MM X 3/4", EM TUBO PEX PARA INST. AGUA QUENTE/FRIA</t>
  </si>
  <si>
    <t>JOELHO/COTOVELO, ROSCA FEMEA, COM BASE FIXA, METALICO, PARA CONEXAO COM ANEL DESLIZANTE, DN 16 MM X 1/2", EM TUBO PEX PARA INST. AGUA QUENTE/FRIA</t>
  </si>
  <si>
    <t>JOELHO/COTOVELO, ROSCA FEMEA, COM BASE FIXA, METALICO, PARA CONEXAO COM ANEL DESLIZANTE, DN 20 MM X 1/2", EM TUBO PEX PARA INST. AGUA QUENTE/FRIA</t>
  </si>
  <si>
    <t>JOELHO/COTOVELO, ROSCA FEMEA, COM BASE FIXA, METALICO, PARA CONEXAO COM ANEL DESLIZANTE, DN 25 MM X 3/4", EM TUBO PEX PARA INST. AGUA QUENTE/FRIA</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</si>
  <si>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</si>
  <si>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</si>
  <si>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</si>
  <si>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</si>
  <si>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</si>
  <si>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</si>
  <si>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</si>
  <si>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</si>
  <si>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</si>
  <si>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</si>
  <si>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</si>
  <si>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</si>
  <si>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</si>
  <si>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</si>
  <si>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50 MM, COR MARROM, PARA AGUA FRIA PREDIAL</t>
  </si>
  <si>
    <t>JOELHO, PVC SOLDAVEL, 45 GRAUS, 60 MM, COR MARROM, PARA AGUA FRIA PREDIAL</t>
  </si>
  <si>
    <t>JOELHO, PVC SOLDAVEL, 45 GRAUS, 75 MM, COR MARROM, PARA AGUA FRIA PREDIAL</t>
  </si>
  <si>
    <t>JOELHO, PVC SOLDAVEL, 45 GRAUS, 85 MM, COR MARROM, PARA AGUA FRIA PREDIAL</t>
  </si>
  <si>
    <t>JOELHO, PVC SOLDAVEL, 90 GRAUS, 75 MM, COR MARROM, PARA AGUA FRIA PREDIAL</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</si>
  <si>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</si>
  <si>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</si>
  <si>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</si>
  <si>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</si>
  <si>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</si>
  <si>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DUPLA, PVC SERIE R, DN 100 X 100 X 100 MM, PARA ESGOTO PREDIAL</t>
  </si>
  <si>
    <t>JUNCAO DUPLA, PVC SOLDAVEL, DN 100 X 100 X 100 MM , SERIE NORMAL PARA ESGOTO PREDIAL</t>
  </si>
  <si>
    <t>JUNCAO INVERTIDA, PVC SOLDAVEL, 75 X 75 MM, SERIE NORMAL PARA ESGOTO PREDIAL</t>
  </si>
  <si>
    <t>JUNCAO SIMPLES DE REDUCAO, PVC, DN 100 X 50 MM, SERIE NORMAL PARA ESGOTO PREDIAL</t>
  </si>
  <si>
    <t>JUNCAO SIMPLES DE REDUCAO, PVC, DN 100 X 75 MM, SERIE NORMAL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</si>
  <si>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</si>
  <si>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</si>
  <si>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</si>
  <si>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</si>
  <si>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</si>
  <si>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</si>
  <si>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</si>
  <si>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45 GRAUS, DN 100 X 100 MM, SERIE NORMAL PARA ESGOTO PREDIAL</t>
  </si>
  <si>
    <t>JUNCAO SIMPLES, PVC, 45 GRAUS, DN 40 X 40 MM, SERIE NORMAL PARA ESGOTO PREDIAL</t>
  </si>
  <si>
    <t>JUNCAO SIMPLES, PVC, 45 GRAUS, DN 50 X 50 MM, SERIE NORMAL PARA ESGOTO PREDIAL</t>
  </si>
  <si>
    <t>JUNCAO SIMPLES, PVC, 45 GRAUS, DN 75 X 75 MM, SERIE NORMAL PARA ESGOTO PREDIAL</t>
  </si>
  <si>
    <t>JUNCAO 2 GARRAS PARA FITA PERFURADA</t>
  </si>
  <si>
    <t>JUNCAO, PVC, 45 GRAUS, JE, BBB, DN 150 MM, PARA TUBO CORRUGADO E/OU LISO, REDE COLETORA DE ESGOTO</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</si>
  <si>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</si>
  <si>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</si>
  <si>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</si>
  <si>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</si>
  <si>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</si>
  <si>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</si>
  <si>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</si>
  <si>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</si>
  <si>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</si>
  <si>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</si>
  <si>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</si>
  <si>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</si>
  <si>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</si>
  <si>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</si>
  <si>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</si>
  <si>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</si>
  <si>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</si>
  <si>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</si>
  <si>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</si>
  <si>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</si>
  <si>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</si>
  <si>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</si>
  <si>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</si>
  <si>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</si>
  <si>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</si>
  <si>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</si>
  <si>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</si>
  <si>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</si>
  <si>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</si>
  <si>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</si>
  <si>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</si>
  <si>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</si>
  <si>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</si>
  <si>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</si>
  <si>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</si>
  <si>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</si>
  <si>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</si>
  <si>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</si>
  <si>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</si>
  <si>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</si>
  <si>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</si>
  <si>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</si>
  <si>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</si>
  <si>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</si>
  <si>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</si>
  <si>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</si>
  <si>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</si>
  <si>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</si>
  <si>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</si>
  <si>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</si>
  <si>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</si>
  <si>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</si>
  <si>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</si>
  <si>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</si>
  <si>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</si>
  <si>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</si>
  <si>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</si>
  <si>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</si>
  <si>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</si>
  <si>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</si>
  <si>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</si>
  <si>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</si>
  <si>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</si>
  <si>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</si>
  <si>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</si>
  <si>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</si>
  <si>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</si>
  <si>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</si>
  <si>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</si>
  <si>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</si>
  <si>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</si>
  <si>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</si>
  <si>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</si>
  <si>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</si>
  <si>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</si>
  <si>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</si>
  <si>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</si>
  <si>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</si>
  <si>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</si>
  <si>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</si>
  <si>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</si>
  <si>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</si>
  <si>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</si>
  <si>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</si>
  <si>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</si>
  <si>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</si>
  <si>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</si>
  <si>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</si>
  <si>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</si>
  <si>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</si>
  <si>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</si>
  <si>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</si>
  <si>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</si>
  <si>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</si>
  <si>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</si>
  <si>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</si>
  <si>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</si>
  <si>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</si>
  <si>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</si>
  <si>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</si>
  <si>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</si>
  <si>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LEITURISTA OU CADASTRISTA DE REDES DE AGUA E ESGOTO (HORISTA)</t>
  </si>
  <si>
    <t>LEITURISTA OU CADASTRISTA DE REDES DE AGUA E ESGOTO (MENSALISTA)</t>
  </si>
  <si>
    <t>LETRA ACO INOX (AISI 304), CHAPA NUM. 22, RECORTADO, H= 20 CM (SEM RELEVO)</t>
  </si>
  <si>
    <t>LEVANTADOR DE JANELA GUILHOTINA, EM LATAO CROMADO</t>
  </si>
  <si>
    <t>LIMPA VIDROS COM PULVERIZADOR</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</si>
  <si>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</si>
  <si>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</si>
  <si>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</si>
  <si>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</si>
  <si>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</si>
  <si>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</si>
  <si>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</si>
  <si>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</si>
  <si>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</si>
  <si>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</si>
  <si>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</si>
  <si>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X ALTURA DE 2,0 M POR PAINEL, INCLUINDO DIAGONAIS EM X, BARRAS DE LIGACAO, SAPATAS E DEMAIS ITENS NECESSARIOS A MONTAGEM (NAO INCLUI INSTALACAO)</t>
  </si>
  <si>
    <t>LOCACAO DE ANDAIME METALICO TUBULAR DE ENCAIXE, TIPO DE TORRE, CADA PAINEL COM LARGURA DE 1 ATE 1,5 M E ALTURA DE *1,00* M, INCLUINDO DIAGONAL, BARRAS DE LIGACAO, SAPATAS OU RODIZIOS E DEMAIS ITENS NECESSARIOS A MONTAGEM (NAO INCLUI INSTALACAO)</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</si>
  <si>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</si>
  <si>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</si>
  <si>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</si>
  <si>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</si>
  <si>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</si>
  <si>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</si>
  <si>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</si>
  <si>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</si>
  <si>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</si>
  <si>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</si>
  <si>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</si>
  <si>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</si>
  <si>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</si>
  <si>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LOCACAO DE CRUZETA PARA ESCORA METALICA</t>
  </si>
  <si>
    <t>LOCACAO DE ESCORA METALICA TELESCOPICA, COM ALTURA REGULAVEL DE *1,80* A *3,20* M, COM CAPACIDADE DE CARGA DE NO MINIMO 1000 KGF (10 KN), INCLUSO TRIPE E FORCADO</t>
  </si>
  <si>
    <t>LOCACAO DE FORMA PLASTICA PARA LAJE NERVURADA, DIMENSOES *60* X *60* X *16* CM</t>
  </si>
  <si>
    <t>UNXMES</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</si>
  <si>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</si>
  <si>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</si>
  <si>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</si>
  <si>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</si>
  <si>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</si>
  <si>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</si>
  <si>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</si>
  <si>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</si>
  <si>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</si>
  <si>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</si>
  <si>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</si>
  <si>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</si>
  <si>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</si>
  <si>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</si>
  <si>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</si>
  <si>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</si>
  <si>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</si>
  <si>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</si>
  <si>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</si>
  <si>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</si>
  <si>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</si>
  <si>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</si>
  <si>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</si>
  <si>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</si>
  <si>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</si>
  <si>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</si>
  <si>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</si>
  <si>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</si>
  <si>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</si>
  <si>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</si>
  <si>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</si>
  <si>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</si>
  <si>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</si>
  <si>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FECHADA P/ ILUMINACAO PUBLICA, TIPO ABL 50/F OU EQUIV, P/ LAMPADA A VAPOR DE MERCURIO 400W</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</si>
  <si>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</si>
  <si>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</si>
  <si>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</si>
  <si>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</si>
  <si>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</si>
  <si>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</si>
  <si>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</si>
  <si>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</si>
  <si>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</si>
  <si>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</si>
  <si>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</si>
  <si>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</si>
  <si>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</si>
  <si>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</si>
  <si>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114 MM, PARA AGUA QUENTE PREDIAL</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</si>
  <si>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</si>
  <si>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</si>
  <si>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</si>
  <si>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</si>
  <si>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</si>
  <si>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</si>
  <si>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</si>
  <si>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</si>
  <si>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</si>
  <si>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</si>
  <si>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</si>
  <si>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</si>
  <si>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</si>
  <si>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</si>
  <si>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</si>
  <si>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</si>
  <si>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</si>
  <si>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</si>
  <si>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</si>
  <si>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</si>
  <si>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</si>
  <si>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</si>
  <si>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</si>
  <si>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</si>
  <si>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</si>
  <si>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</si>
  <si>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</si>
  <si>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</si>
  <si>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</si>
  <si>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40 MM, PARA AGUA FRIA PREDIAL</t>
  </si>
  <si>
    <t>LUVA DE CORRER PARA TUBO SOLDAVEL, PVC, 50 MM, PARA AGUA FRIA PREDIAL</t>
  </si>
  <si>
    <t>LUVA DE CORRER PARA TUBO SOLDAVEL, PVC, 60 MM, PARA AGUA FRIA PREDIAL</t>
  </si>
  <si>
    <t>LUVA DE CORRER PVC, JE, DN 250 MM, PARA REDE COLETORA DE ESGOTO</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</si>
  <si>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</si>
  <si>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</si>
  <si>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</si>
  <si>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</si>
  <si>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</si>
  <si>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</si>
  <si>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</si>
  <si>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</si>
  <si>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 100 MM, PARA ESGOTO PREDIAL</t>
  </si>
  <si>
    <t>LUVA DE CORRER, PVC SERIE R, 150 MM, PARA ESGOTO PREDIAL</t>
  </si>
  <si>
    <t>LUVA DE CORRER, PVC SERIE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</si>
  <si>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</si>
  <si>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</si>
  <si>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</si>
  <si>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</si>
  <si>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</si>
  <si>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</si>
  <si>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</si>
  <si>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</si>
  <si>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</si>
  <si>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</si>
  <si>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</si>
  <si>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</si>
  <si>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</si>
  <si>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</si>
  <si>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</si>
  <si>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</si>
  <si>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</si>
  <si>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</si>
  <si>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</si>
  <si>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</si>
  <si>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</si>
  <si>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</si>
  <si>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</si>
  <si>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</si>
  <si>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</si>
  <si>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</si>
  <si>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</si>
  <si>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</si>
  <si>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</si>
  <si>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</si>
  <si>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</si>
  <si>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</si>
  <si>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</si>
  <si>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</si>
  <si>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</si>
  <si>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</si>
  <si>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</si>
  <si>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</si>
  <si>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</si>
  <si>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</si>
  <si>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</si>
  <si>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</si>
  <si>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</si>
  <si>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</si>
  <si>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</si>
  <si>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</si>
  <si>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</si>
  <si>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</si>
  <si>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</si>
  <si>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</si>
  <si>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PLASTICA, PARA CONEXAO COM CRIMPAGEM, DN 20 X 16 MM</t>
  </si>
  <si>
    <t>LUVA DE REDUCAO PARA TUBO PEX, PLASTICA, PARA CONEXAO COM CRIMPAGEM, DN 25 X 16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</si>
  <si>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</si>
  <si>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</si>
  <si>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</si>
  <si>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</si>
  <si>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</si>
  <si>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</si>
  <si>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</si>
  <si>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SOLDAVEL, PVC,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</si>
  <si>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</si>
  <si>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</si>
  <si>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</si>
  <si>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</si>
  <si>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</si>
  <si>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</si>
  <si>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</si>
  <si>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</si>
  <si>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</si>
  <si>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</si>
  <si>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</si>
  <si>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</si>
  <si>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</si>
  <si>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</si>
  <si>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</si>
  <si>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</si>
  <si>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</si>
  <si>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</si>
  <si>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</si>
  <si>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</si>
  <si>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</si>
  <si>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</si>
  <si>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</si>
  <si>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</si>
  <si>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</si>
  <si>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</si>
  <si>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</si>
  <si>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</si>
  <si>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</si>
  <si>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</si>
  <si>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</si>
  <si>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</si>
  <si>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</si>
  <si>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</si>
  <si>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</si>
  <si>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</si>
  <si>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</si>
  <si>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</si>
  <si>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</si>
  <si>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</si>
  <si>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</si>
  <si>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</si>
  <si>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</si>
  <si>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</si>
  <si>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</si>
  <si>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</si>
  <si>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</si>
  <si>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</si>
  <si>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</si>
  <si>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1 1/2",  AGUA FRIA PREDIAL</t>
  </si>
  <si>
    <t>LUVA PVC, ROSCAVEL, 1/2", AGUA FRIA PREDIAL</t>
  </si>
  <si>
    <t>LUVA PVC, ROSCAVEL, 1", AGUA FRIA PREDIAL</t>
  </si>
  <si>
    <t>LUVA PVC, ROSCAVEL, 3/4", AGUA FRIA PREDIAL</t>
  </si>
  <si>
    <t>LUVA RASPA DE COURO, CANO CURTO (PUNHO *7* CM)</t>
  </si>
  <si>
    <t>LUVA SIMPLES PPR, F/F, SOLDAVEL, DN 110 MM, PARA AGUA QUENTE PREDIAL</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</si>
  <si>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</si>
  <si>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</si>
  <si>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</si>
  <si>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</si>
  <si>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LUVA SIMPLES PPR, F/F, SOLDAVEL, DN 50 MM, PARA AGUA QUENTE PREDIAL</t>
  </si>
  <si>
    <t>LUVA SIMPLES PPR, F/F, SOLDAVEL, DN 63 MM, PARA AGUA QUENTE PREDIAL</t>
  </si>
  <si>
    <t>LUVA SIMPLES PPR, F/F, SOLDAVEL, DN 75 MM, PARA AGUA QUENTE PREDIAL</t>
  </si>
  <si>
    <t>LUVA SIMPLES PPR, F/F, SOLDAVEL, DN 90 MM, PARA AGUA QUENTE PREDIAL</t>
  </si>
  <si>
    <t>LUVA SIMPLES, PVC PBA, JE, DN 100 / DE 110 MM, PARA REDE AGUA (NBR 10351)</t>
  </si>
  <si>
    <t>LUVA SIMPLES, PVC PBA, JE, DN 50 / DE 60 MM, PARA REDE AGUA (NBR 10351)</t>
  </si>
  <si>
    <t>LUVA SIMPLES, PVC PBA, JE, DN 75 / DE 85 MM, PARA REDE AGUA (NBR 10351)</t>
  </si>
  <si>
    <t>LUVA SIMPLES, PVC SERIE R, 100 MM, PARA ESGOTO PREDIAL</t>
  </si>
  <si>
    <t>LUVA SIMPLES, PVC SERIE R, 150 MM, PARA ESGOTO PREDIAL</t>
  </si>
  <si>
    <t>LUVA SIMPLES, PVC SERIE R, 40 MM, PARA ESGOTO PREDIAL</t>
  </si>
  <si>
    <t>LUVA SIMPLES, PVC SERIE R, 50 MM, PARA ESGOTO PREDIAL</t>
  </si>
  <si>
    <t>LUVA SIMPLES, PVC SERIE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</si>
  <si>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</si>
  <si>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</si>
  <si>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</si>
  <si>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</si>
  <si>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</si>
  <si>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</si>
  <si>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</si>
  <si>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</si>
  <si>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</si>
  <si>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</si>
  <si>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</si>
  <si>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</si>
  <si>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</si>
  <si>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</si>
  <si>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</si>
  <si>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LUVA/UNIAO DE REDUCAO METALICA, PARA CONEXAO COM ANEL DESLIZANTE, DN 20 X 16 MM, EM TUBO PEX PARA INST. AGUA QUENTE/FRIA</t>
  </si>
  <si>
    <t>LUVA/UNIAO DE REDUCAO METALICA, PARA CONEXAO COM ANEL DESLIZANTE, DN 25 X 16 MM, EM TUBO PEX PARA INST. AGUA QUENTE/FRIA</t>
  </si>
  <si>
    <t>LUVA/UNIAO DE REDUCAO METALICA, PARA CONEXAO COM ANEL DESLIZANTE, DN 25 X 20 MM, EM TUBO PEX PARA INST. AGUA QUENTE/FRIA</t>
  </si>
  <si>
    <t>LUVA/UNIAO DE REDUCAO METALICA, PARA CONEXAO COM ANEL DESLIZANTE, DN 32 X 25 MM, EM TUBO PEX PARA INST. AGUA QUENTE/FRIA</t>
  </si>
  <si>
    <t>LUVA/UNIAO METALICA, PARA CONEXAO COM ANEL DESLIZANTE, DN 16 MM, EM TUBO PEX PARA INST. AGUA QUENTE/FRIA</t>
  </si>
  <si>
    <t>LUVA/UNIAO METALICA, PARA CONEXAO COM ANEL DESLIZANTE, DN 20 MM, EM TUBO PEX PARA INST. AGUA QUENTE/FRIA</t>
  </si>
  <si>
    <t>LUVA/UNIAO METALICA, PARA CONEXAO COM ANEL DESLIZANTE, DN 25 MM, EM TUBO PEX PARA INST. AGUA QUENTE/FRIA</t>
  </si>
  <si>
    <t>LUVA/UNIAO METALICA, PARA CONEXAO COM ANEL DESLIZANTE, DN 32 MM, EM TUBO PEX PARA INST. AGUA QUENTE/FRIA</t>
  </si>
  <si>
    <t>LUVA/UNIAO, PLASTICA, PARA CONEXAO COM CRIMPAGEM, DN 16 MM, EM TUBO PEX PARA INST. AGUA QUENTE/FRIA</t>
  </si>
  <si>
    <t>LUVA/UNIAO, PLASTICA, PARA CONEXAO COM CRIMPAGEM, DN 20 MM, EM TUBO PEX PARA INST. AGUA QUENTE/FRIA</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</si>
  <si>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</si>
  <si>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</si>
  <si>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</si>
  <si>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</si>
  <si>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</si>
  <si>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</si>
  <si>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</si>
  <si>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</si>
  <si>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</si>
  <si>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</si>
  <si>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(HORISTA)</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</si>
  <si>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</si>
  <si>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</si>
  <si>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</si>
  <si>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</si>
  <si>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</si>
  <si>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</si>
  <si>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</si>
  <si>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</si>
  <si>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</si>
  <si>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</si>
  <si>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</si>
  <si>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</si>
  <si>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</si>
  <si>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</si>
  <si>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</si>
  <si>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</si>
  <si>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</si>
  <si>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</si>
  <si>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</si>
  <si>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</si>
  <si>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</si>
  <si>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</si>
  <si>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</si>
  <si>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</si>
  <si>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</si>
  <si>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</si>
  <si>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</si>
  <si>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</si>
  <si>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</si>
  <si>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</si>
  <si>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</si>
  <si>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</si>
  <si>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</si>
  <si>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</si>
  <si>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</si>
  <si>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</si>
  <si>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</si>
  <si>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</si>
  <si>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</si>
  <si>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</si>
  <si>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</si>
  <si>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</si>
  <si>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</si>
  <si>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</si>
  <si>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</si>
  <si>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</si>
  <si>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</si>
  <si>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</si>
  <si>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</si>
  <si>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</si>
  <si>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</si>
  <si>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</si>
  <si>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</si>
  <si>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</si>
  <si>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</si>
  <si>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</si>
  <si>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</si>
  <si>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</si>
  <si>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</si>
  <si>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</si>
  <si>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</si>
  <si>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</si>
  <si>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</si>
  <si>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</si>
  <si>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</si>
  <si>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</si>
  <si>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</si>
  <si>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</si>
  <si>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</si>
  <si>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</si>
  <si>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</si>
  <si>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</si>
  <si>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</si>
  <si>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</si>
  <si>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 (HORISTA)</t>
  </si>
  <si>
    <t>MARCENEIRO (MENSALISTA)</t>
  </si>
  <si>
    <t>MARMORISTA / GRANITEIRO (HORISTA)</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</si>
  <si>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</si>
  <si>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</si>
  <si>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</si>
  <si>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</si>
  <si>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</si>
  <si>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</si>
  <si>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</si>
  <si>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</si>
  <si>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</si>
  <si>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</si>
  <si>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</si>
  <si>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</si>
  <si>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</si>
  <si>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</si>
  <si>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</si>
  <si>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</si>
  <si>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</si>
  <si>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MADEIRA - INTERIOR E EXTERIOR</t>
  </si>
  <si>
    <t>MASSA PARA VIDRO</t>
  </si>
  <si>
    <t>MASSA PLASTICA PARA MARMORE/GRANITO</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</si>
  <si>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</si>
  <si>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</si>
  <si>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</si>
  <si>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</si>
  <si>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</si>
  <si>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</si>
  <si>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</si>
  <si>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</si>
  <si>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</si>
  <si>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</si>
  <si>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</si>
  <si>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</si>
  <si>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</si>
  <si>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 (HORISTA)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</si>
  <si>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</si>
  <si>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</si>
  <si>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</si>
  <si>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</si>
  <si>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</si>
  <si>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</si>
  <si>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</si>
  <si>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</si>
  <si>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</si>
  <si>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</si>
  <si>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</si>
  <si>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</si>
  <si>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</si>
  <si>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</si>
  <si>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</si>
  <si>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</si>
  <si>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</si>
  <si>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</si>
  <si>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</si>
  <si>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</si>
  <si>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</si>
  <si>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</si>
  <si>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</si>
  <si>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</si>
  <si>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</si>
  <si>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</si>
  <si>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</si>
  <si>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</si>
  <si>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</si>
  <si>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</si>
  <si>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</si>
  <si>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</si>
  <si>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 (HORISTA)</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</si>
  <si>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</si>
  <si>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</si>
  <si>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</si>
  <si>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</si>
  <si>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</si>
  <si>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</si>
  <si>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</si>
  <si>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INDICUDUAL, SIFONADO, LOUCA BRANCA, SEM COMPLEMENTOS</t>
  </si>
  <si>
    <t>MICTORIO INDIVIDUAL ACO INOX (AISI 304), E = 0,8 MM, DE *50  X 45  X 35* (C X A X P)</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</si>
  <si>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</si>
  <si>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</si>
  <si>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</si>
  <si>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</si>
  <si>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</si>
  <si>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</si>
  <si>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</si>
  <si>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</si>
  <si>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</si>
  <si>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</si>
  <si>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</si>
  <si>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</si>
  <si>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</si>
  <si>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</si>
  <si>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</si>
  <si>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</si>
  <si>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</si>
  <si>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</si>
  <si>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 (REF 1878)</t>
  </si>
  <si>
    <t>MISTURADOR DE METAL CROMADO, DE MESA/BANCADA, COM BICA BAIXA, PARA LAVATORIO (REF 1875)</t>
  </si>
  <si>
    <t>MISTURADOR DE PAREDE, DE METAL CROMADO, PARA COZINHA, BICA ALTA MOVEL, COM AREJADOR ARTICULADO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</si>
  <si>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</si>
  <si>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</si>
  <si>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METALICO, BASE PARA CHUVEIRO/BANHEIRA, 1/2 " OU 3/4 ", SOLDAVEL OU ROSCAVEL (NAO INCLUI ACABAMENTOS)</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</si>
  <si>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</si>
  <si>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</si>
  <si>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</si>
  <si>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</si>
  <si>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</si>
  <si>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 (HORISTA)</t>
  </si>
  <si>
    <t>MONTADOR DE ELETROELETRONICOS (MENSALISTA)</t>
  </si>
  <si>
    <t>MONTADOR DE ESTRUTURAS METALICAS (MENSALISTA)</t>
  </si>
  <si>
    <t>MONTADOR DE ESTRUTURAS METALICAS HORISTA</t>
  </si>
  <si>
    <t>MONTADOR DE MAQUINAS (HORISTA)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</si>
  <si>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</si>
  <si>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</si>
  <si>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</si>
  <si>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</si>
  <si>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</si>
  <si>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</si>
  <si>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</si>
  <si>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</si>
  <si>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</si>
  <si>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</si>
  <si>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</si>
  <si>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</si>
  <si>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</si>
  <si>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</si>
  <si>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</si>
  <si>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</si>
  <si>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</si>
  <si>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</si>
  <si>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</si>
  <si>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</si>
  <si>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</si>
  <si>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</si>
  <si>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</si>
  <si>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</si>
  <si>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</si>
  <si>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</si>
  <si>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</si>
  <si>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</si>
  <si>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</si>
  <si>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</si>
  <si>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</si>
  <si>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</si>
  <si>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</si>
  <si>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</si>
  <si>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CM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</si>
  <si>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</si>
  <si>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</si>
  <si>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</si>
  <si>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</si>
  <si>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</si>
  <si>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</si>
  <si>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</si>
  <si>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</si>
  <si>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</si>
  <si>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</si>
  <si>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</si>
  <si>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</si>
  <si>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</si>
  <si>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</si>
  <si>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</si>
  <si>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</si>
  <si>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</si>
  <si>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</si>
  <si>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</si>
  <si>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</si>
  <si>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</si>
  <si>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</si>
  <si>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</si>
  <si>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</si>
  <si>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</si>
  <si>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</si>
  <si>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</si>
  <si>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</si>
  <si>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</si>
  <si>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</si>
  <si>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</si>
  <si>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</si>
  <si>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</si>
  <si>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</si>
  <si>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</si>
  <si>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</si>
  <si>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</si>
  <si>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</si>
  <si>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</si>
  <si>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</si>
  <si>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 (HORISTA)</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</si>
  <si>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</si>
  <si>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</si>
  <si>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</si>
  <si>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</si>
  <si>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</si>
  <si>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</si>
  <si>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</si>
  <si>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</si>
  <si>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</si>
  <si>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</si>
  <si>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</si>
  <si>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</si>
  <si>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</si>
  <si>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</si>
  <si>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</si>
  <si>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</si>
  <si>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</si>
  <si>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</si>
  <si>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</si>
  <si>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</si>
  <si>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</si>
  <si>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 (MENSALISTA)</t>
  </si>
  <si>
    <t>OPERADOR DE DEMARCADORA DE FAIXAS DE TRAFEGO HORISTA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</si>
  <si>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</si>
  <si>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</si>
  <si>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</si>
  <si>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</si>
  <si>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</si>
  <si>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</si>
  <si>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</si>
  <si>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</si>
  <si>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</si>
  <si>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</si>
  <si>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</si>
  <si>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</si>
  <si>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</si>
  <si>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</si>
  <si>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</si>
  <si>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</si>
  <si>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</si>
  <si>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</si>
  <si>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 (MENSALISTA)</t>
  </si>
  <si>
    <t>OPERADOR DE PAVIMENTADORA / MESA VIBROACABADORA HORISTA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</si>
  <si>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</si>
  <si>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</si>
  <si>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</si>
  <si>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</si>
  <si>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</si>
  <si>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</si>
  <si>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</si>
  <si>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</si>
  <si>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</si>
  <si>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</si>
  <si>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</si>
  <si>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</si>
  <si>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</si>
  <si>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</si>
  <si>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</si>
  <si>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</si>
  <si>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</si>
  <si>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</si>
  <si>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</si>
  <si>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</si>
  <si>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</si>
  <si>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</si>
  <si>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</si>
  <si>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</si>
  <si>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</si>
  <si>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</si>
  <si>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</si>
  <si>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</si>
  <si>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</si>
  <si>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</si>
  <si>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</si>
  <si>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</si>
  <si>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</si>
  <si>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</si>
  <si>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</si>
  <si>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</si>
  <si>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</si>
  <si>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</si>
  <si>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</si>
  <si>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</si>
  <si>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</si>
  <si>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</si>
  <si>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</si>
  <si>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</si>
  <si>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</si>
  <si>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</si>
  <si>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</si>
  <si>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</si>
  <si>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</si>
  <si>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</si>
  <si>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</si>
  <si>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</si>
  <si>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</si>
  <si>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</si>
  <si>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</si>
  <si>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</si>
  <si>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</si>
  <si>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</si>
  <si>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</si>
  <si>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</si>
  <si>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</si>
  <si>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</si>
  <si>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</si>
  <si>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</si>
  <si>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</si>
  <si>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</si>
  <si>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</si>
  <si>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</si>
  <si>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</si>
  <si>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</si>
  <si>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</si>
  <si>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</si>
  <si>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</si>
  <si>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</si>
  <si>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</si>
  <si>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</si>
  <si>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</si>
  <si>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</si>
  <si>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</si>
  <si>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</si>
  <si>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</si>
  <si>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</si>
  <si>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</si>
  <si>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</si>
  <si>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</si>
  <si>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</si>
  <si>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</si>
  <si>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</si>
  <si>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</si>
  <si>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</si>
  <si>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</si>
  <si>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</si>
  <si>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</si>
  <si>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</si>
  <si>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</si>
  <si>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</si>
  <si>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</si>
  <si>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</si>
  <si>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</si>
  <si>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</si>
  <si>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PASTA LUBRIFICANTE PARA TUBOS E CONEXOES COM JUNTA ELASTICA, EMBALAGEM DE *400* GR (USO EM PVC, ACO, POLIETILENO E OUTROS)</t>
  </si>
  <si>
    <t>PASTA PARA SOLDA DE TUBOS E CONEXOES DE COBRE (EMBALAGEM COM 250 G)</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</si>
  <si>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</si>
  <si>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</si>
  <si>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</si>
  <si>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</si>
  <si>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</si>
  <si>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</si>
  <si>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</si>
  <si>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PATCH CORD (CABO DE REDE), CATEGORIA 5 E (CAT 5E) UTP, 24 AWG, 4 PARES, EXTENSAO DE 1,50 M</t>
  </si>
  <si>
    <t>PATCH CORD (CABO DE REDE), CATEGORIA 5 E (CAT 5E) UTP, 24 AWG, 4 PARES, EXTENSAO DE 2,50 M</t>
  </si>
  <si>
    <t>PATCH CORD (CABO DE REDE), CATEGORIA 6 (CAT 6) UTP, 23 AWG, 4 PARES, EXTENSAO DE 1,50 M</t>
  </si>
  <si>
    <t>PATCH CORD (CABO DE REDE), CATEGORIA 6 (CAT 6) UTP, 23 AWG, 4 PARES, EXTENSAO DE 2,50 M</t>
  </si>
  <si>
    <t>PATCH PANEL, 24 PORTAS, CATEGORIA 5E, COM RACKS DE 19" DE LARGURA E 1 U DE ALTURA</t>
  </si>
  <si>
    <t>PATCH PANEL, 24 PORTAS, CATEGORIA 6, COM RACKS DE 19" DE LARGURA E 1 U DE ALTURA</t>
  </si>
  <si>
    <t>PATCH PANEL, 48 PORTAS, CATEGORIA 5E, COM RACKS DE 19" DE LARGURA E 2 U DE ALTURA</t>
  </si>
  <si>
    <t>PATCH PANEL, 48 PORTAS, CATEGORIA 6, COM RACKS DE 19" DE LARGURA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</si>
  <si>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</si>
  <si>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</si>
  <si>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</si>
  <si>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</si>
  <si>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</si>
  <si>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</si>
  <si>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</si>
  <si>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</si>
  <si>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</si>
  <si>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</si>
  <si>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</si>
  <si>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</si>
  <si>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</si>
  <si>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</si>
  <si>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</si>
  <si>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</si>
  <si>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</si>
  <si>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</si>
  <si>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</si>
  <si>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(HORISTA)</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</si>
  <si>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</si>
  <si>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</si>
  <si>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</si>
  <si>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</si>
  <si>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</si>
  <si>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</si>
  <si>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</si>
  <si>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</si>
  <si>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</si>
  <si>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</si>
  <si>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</si>
  <si>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</si>
  <si>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</si>
  <si>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</si>
  <si>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</si>
  <si>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</si>
  <si>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</si>
  <si>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</si>
  <si>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</si>
  <si>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</si>
  <si>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</si>
  <si>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</si>
  <si>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</si>
  <si>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</si>
  <si>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</si>
  <si>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</si>
  <si>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</si>
  <si>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</si>
  <si>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</si>
  <si>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</si>
  <si>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</si>
  <si>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</si>
  <si>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</si>
  <si>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</si>
  <si>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</si>
  <si>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</si>
  <si>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</si>
  <si>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</si>
  <si>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</si>
  <si>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</si>
  <si>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</si>
  <si>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</si>
  <si>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</si>
  <si>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</si>
  <si>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</si>
  <si>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</si>
  <si>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</si>
  <si>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</si>
  <si>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</si>
  <si>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</si>
  <si>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</si>
  <si>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</si>
  <si>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</si>
  <si>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</si>
  <si>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</si>
  <si>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</si>
  <si>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</si>
  <si>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</si>
  <si>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</si>
  <si>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</si>
  <si>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</si>
  <si>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</si>
  <si>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</si>
  <si>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</si>
  <si>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</si>
  <si>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</si>
  <si>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</si>
  <si>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</si>
  <si>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</si>
  <si>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</si>
  <si>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(HORISTA)</t>
  </si>
  <si>
    <t>PINTOR (MENSALISTA)</t>
  </si>
  <si>
    <t>PINTOR DE LETREIROS (HORISTA)</t>
  </si>
  <si>
    <t>PINTOR DE LETREIROS (MENSALISTA)</t>
  </si>
  <si>
    <t>PINTOR PARA TINTA EPOXI (HORISTA)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</si>
  <si>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</si>
  <si>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</si>
  <si>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</si>
  <si>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</si>
  <si>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</si>
  <si>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</si>
  <si>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</si>
  <si>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</si>
  <si>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</si>
  <si>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</si>
  <si>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</si>
  <si>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</si>
  <si>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</si>
  <si>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</si>
  <si>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</si>
  <si>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</si>
  <si>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</si>
  <si>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</si>
  <si>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</si>
  <si>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</si>
  <si>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</si>
  <si>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</si>
  <si>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</si>
  <si>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</si>
  <si>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</si>
  <si>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</si>
  <si>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</si>
  <si>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</si>
  <si>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</si>
  <si>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</si>
  <si>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</si>
  <si>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</si>
  <si>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</si>
  <si>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</si>
  <si>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</si>
  <si>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</si>
  <si>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</si>
  <si>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</si>
  <si>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</si>
  <si>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</si>
  <si>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</si>
  <si>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</si>
  <si>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</si>
  <si>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</si>
  <si>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</si>
  <si>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</si>
  <si>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</si>
  <si>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</si>
  <si>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</si>
  <si>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</si>
  <si>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</si>
  <si>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</si>
  <si>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</si>
  <si>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</si>
  <si>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</si>
  <si>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</si>
  <si>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</si>
  <si>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</si>
  <si>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</si>
  <si>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</si>
  <si>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</si>
  <si>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</si>
  <si>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</si>
  <si>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</si>
  <si>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</si>
  <si>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</si>
  <si>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</si>
  <si>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</si>
  <si>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</si>
  <si>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</si>
  <si>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</si>
  <si>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</si>
  <si>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</si>
  <si>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</si>
  <si>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</si>
  <si>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</si>
  <si>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</si>
  <si>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</si>
  <si>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</si>
  <si>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</si>
  <si>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</si>
  <si>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JE, DN 100 MM, PARA REDE COLETORA ESGOTO</t>
  </si>
  <si>
    <t>PLUG PVC, JE, DN 150 MM, PARA REDE COLETORA ESGOTO</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</si>
  <si>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</si>
  <si>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</si>
  <si>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</si>
  <si>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</si>
  <si>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</si>
  <si>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</si>
  <si>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</si>
  <si>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</si>
  <si>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</si>
  <si>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</si>
  <si>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</si>
  <si>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</si>
  <si>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</si>
  <si>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</si>
  <si>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</si>
  <si>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ESPESSURA 16MM, ABERTURA 21MM</t>
  </si>
  <si>
    <t>PORCA OLHAL M 16,  EM ACO GALVANIZADO, DIAMETRO = 16 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</si>
  <si>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</si>
  <si>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</si>
  <si>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</si>
  <si>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</si>
  <si>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</si>
  <si>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</si>
  <si>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</si>
  <si>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</si>
  <si>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</si>
  <si>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</si>
  <si>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</si>
  <si>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</si>
  <si>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</si>
  <si>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</si>
  <si>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</si>
  <si>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</si>
  <si>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</si>
  <si>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</si>
  <si>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</si>
  <si>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EM ACO COM DIVISAO HORIZONTAL PARA VIDROS, COM FUNDO ANTICORROSIVO/PRIMER DE PROTECAO, SEM GUARNICAO/ALIZAR/VISTA, VIDROS NAO INCLUSOS, 90 X 210 CM</t>
  </si>
  <si>
    <t>PORTA DE ABRIR EM ACO TIPO VENEZIANA, COM FUNDO ANTICORROSIVO / PRIMER DE PROTECAO, SEM GUARNICAO/ALIZAR/VISTA, 90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</si>
  <si>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</si>
  <si>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</si>
  <si>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</si>
  <si>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</si>
  <si>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</si>
  <si>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</si>
  <si>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</si>
  <si>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</si>
  <si>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</si>
  <si>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</si>
  <si>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</si>
  <si>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</si>
  <si>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</si>
  <si>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</si>
  <si>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</si>
  <si>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</si>
  <si>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</si>
  <si>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</si>
  <si>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</si>
  <si>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</si>
  <si>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</si>
  <si>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</si>
  <si>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</si>
  <si>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</si>
  <si>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</si>
  <si>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</si>
  <si>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</si>
  <si>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</si>
  <si>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</si>
  <si>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</si>
  <si>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</si>
  <si>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</si>
  <si>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</si>
  <si>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</si>
  <si>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</si>
  <si>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</si>
  <si>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</si>
  <si>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</si>
  <si>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</si>
  <si>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</si>
  <si>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</si>
  <si>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</si>
  <si>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</si>
  <si>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</si>
  <si>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</si>
  <si>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</si>
  <si>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</si>
  <si>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</si>
  <si>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</si>
  <si>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</si>
  <si>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</si>
  <si>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</si>
  <si>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</si>
  <si>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</si>
  <si>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</si>
  <si>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</si>
  <si>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</si>
  <si>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</si>
  <si>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</si>
  <si>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</si>
  <si>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</si>
  <si>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</si>
  <si>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</si>
  <si>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</si>
  <si>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</si>
  <si>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</si>
  <si>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</si>
  <si>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</si>
  <si>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</si>
  <si>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</si>
  <si>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</si>
  <si>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</si>
  <si>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</si>
  <si>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</si>
  <si>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</si>
  <si>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</si>
  <si>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</si>
  <si>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</si>
  <si>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</si>
  <si>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</si>
  <si>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</si>
  <si>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</si>
  <si>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</si>
  <si>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</si>
  <si>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</si>
  <si>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</si>
  <si>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</si>
  <si>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</si>
  <si>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</si>
  <si>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</si>
  <si>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</si>
  <si>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</si>
  <si>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</si>
  <si>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</si>
  <si>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</si>
  <si>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 DECORATIVO PARA JARDIM EM ACO TUBULAR, SEM LUMINARIA,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</si>
  <si>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</si>
  <si>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</si>
  <si>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</si>
  <si>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</si>
  <si>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</si>
  <si>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</si>
  <si>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</si>
  <si>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</si>
  <si>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</si>
  <si>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</si>
  <si>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</si>
  <si>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</si>
  <si>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</si>
  <si>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</si>
  <si>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</si>
  <si>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</si>
  <si>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</si>
  <si>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</si>
  <si>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</si>
  <si>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</si>
  <si>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</si>
  <si>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</si>
  <si>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</si>
  <si>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</si>
  <si>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</si>
  <si>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</si>
  <si>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</si>
  <si>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</si>
  <si>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</si>
  <si>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</si>
  <si>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</si>
  <si>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</si>
  <si>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</si>
  <si>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</si>
  <si>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</si>
  <si>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</si>
  <si>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</si>
  <si>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</si>
  <si>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</si>
  <si>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</si>
  <si>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</si>
  <si>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</si>
  <si>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</si>
  <si>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</si>
  <si>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</si>
  <si>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</si>
  <si>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</si>
  <si>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</si>
  <si>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</si>
  <si>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</si>
  <si>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</si>
  <si>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</si>
  <si>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</si>
  <si>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</si>
  <si>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</si>
  <si>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</si>
  <si>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</si>
  <si>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</si>
  <si>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</si>
  <si>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</si>
  <si>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</si>
  <si>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</si>
  <si>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</si>
  <si>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</si>
  <si>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</si>
  <si>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</si>
  <si>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</si>
  <si>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</si>
  <si>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</si>
  <si>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</si>
  <si>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</si>
  <si>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</si>
  <si>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</si>
  <si>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</si>
  <si>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</si>
  <si>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</si>
  <si>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</si>
  <si>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</si>
  <si>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</si>
  <si>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</si>
  <si>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</si>
  <si>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</si>
  <si>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</si>
  <si>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</si>
  <si>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</si>
  <si>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</si>
  <si>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</si>
  <si>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</si>
  <si>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</si>
  <si>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</si>
  <si>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</si>
  <si>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</si>
  <si>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RACK DE PISO PARA SERVIDOR, ABERTO, EM COLUNA, 44U X *570* MM</t>
  </si>
  <si>
    <t>RACK DE PISO PARA SERVIDOR, FECHADO, 44U, COM PORTA, 44U X *570* MM</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</si>
  <si>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</si>
  <si>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</si>
  <si>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</si>
  <si>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</si>
  <si>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</si>
  <si>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</si>
  <si>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</si>
  <si>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</si>
  <si>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</si>
  <si>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</si>
  <si>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</si>
  <si>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</si>
  <si>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</si>
  <si>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</si>
  <si>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</si>
  <si>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 (MENSALISTA)</t>
  </si>
  <si>
    <t>RASTELEIRO HORISTA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</si>
  <si>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</si>
  <si>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</si>
  <si>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</si>
  <si>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</si>
  <si>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</si>
  <si>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</si>
  <si>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</si>
  <si>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</si>
  <si>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</si>
  <si>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</si>
  <si>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</si>
  <si>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 DIAMETRO X ALTURA)</t>
  </si>
  <si>
    <t>REBOLO ABRASIVO RETO DE USO GERAL GRAO 36, DE 6 X 3/4 " (DIAMETRO X ALTURA)</t>
  </si>
  <si>
    <t>RECICLADORA DE ASFALTO A FRIO SOBRE RODAS, LARG. FRESAGEM 2,00 M, POT. 315 KW/422 HP</t>
  </si>
  <si>
    <t>REDUCAO EXCENTRICA PVC, DN 100 X 50 MM, PARA ESGOTO PREDIAL</t>
  </si>
  <si>
    <t>REDUCAO EXCENTRICA PVC, DN 100 X 75 MM, PARA ESGOTO PREDIAL</t>
  </si>
  <si>
    <t>REDUCAO EXCENTRICA PVC, DN 75 X 50 MM, PARA ESGOTO PREDIAL</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</si>
  <si>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</si>
  <si>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</si>
  <si>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</si>
  <si>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</si>
  <si>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</si>
  <si>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</si>
  <si>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</si>
  <si>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</si>
  <si>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</si>
  <si>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</si>
  <si>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</si>
  <si>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</si>
  <si>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</si>
  <si>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</si>
  <si>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</si>
  <si>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</si>
  <si>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</si>
  <si>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</si>
  <si>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</si>
  <si>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</si>
  <si>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</si>
  <si>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</si>
  <si>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</si>
  <si>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</si>
  <si>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</si>
  <si>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</si>
  <si>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</si>
  <si>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</si>
  <si>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</si>
  <si>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</si>
  <si>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</si>
  <si>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</si>
  <si>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</si>
  <si>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</si>
  <si>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</si>
  <si>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</si>
  <si>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</si>
  <si>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</si>
  <si>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</si>
  <si>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</si>
  <si>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</si>
  <si>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</si>
  <si>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</si>
  <si>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</si>
  <si>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</si>
  <si>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</si>
  <si>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</si>
  <si>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</si>
  <si>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</si>
  <si>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</si>
  <si>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</si>
  <si>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</si>
  <si>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</si>
  <si>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</si>
  <si>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</si>
  <si>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</si>
  <si>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RESINA ACRILICA PREMIUM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</si>
  <si>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</si>
  <si>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</si>
  <si>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</si>
  <si>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</si>
  <si>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</si>
  <si>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</si>
  <si>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</si>
  <si>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</si>
  <si>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</si>
  <si>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</si>
  <si>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</si>
  <si>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</si>
  <si>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</si>
  <si>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</si>
  <si>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</si>
  <si>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</si>
  <si>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</si>
  <si>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</si>
  <si>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</si>
  <si>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</si>
  <si>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</si>
  <si>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</si>
  <si>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</si>
  <si>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</si>
  <si>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</si>
  <si>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</si>
  <si>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</si>
  <si>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</si>
  <si>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</si>
  <si>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</si>
  <si>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</si>
  <si>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</si>
  <si>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</si>
  <si>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</si>
  <si>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</si>
  <si>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</si>
  <si>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</si>
  <si>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</si>
  <si>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</si>
  <si>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</si>
  <si>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</si>
  <si>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</si>
  <si>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</si>
  <si>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</si>
  <si>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</si>
  <si>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</si>
  <si>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</si>
  <si>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</si>
  <si>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</si>
  <si>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</si>
  <si>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</si>
  <si>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</si>
  <si>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</si>
  <si>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</si>
  <si>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</si>
  <si>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</si>
  <si>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</si>
  <si>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</si>
  <si>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</si>
  <si>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</si>
  <si>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</si>
  <si>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</si>
  <si>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</si>
  <si>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</si>
  <si>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</si>
  <si>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</si>
  <si>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</si>
  <si>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 - ENCARGOS COMPLEMENTARES)</t>
  </si>
  <si>
    <t>SEGURO - MENSALISTA (COLETADO CAIXA - ENCARGOS COMPLEMENTARES)</t>
  </si>
  <si>
    <t>SEIXO ROLADO PARA APLICACAO EM CONCRETO (POSTO PEDREIRA/FORNECEDOR, SEM FRETE)</t>
  </si>
  <si>
    <t>SELADOR ACRILICO OPACO PREMIUM INTERIOR/EXTERIOR</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</si>
  <si>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</si>
  <si>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</si>
  <si>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</si>
  <si>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</si>
  <si>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</si>
  <si>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SELANTE MONOCOMPONENTE A BASE DE SILICONE DE BAIXO MODULO, PARA JUNTAS DE PAVIMENTACAO</t>
  </si>
  <si>
    <t>SELANTE TIPO VEDA CALHA PARA METAL E FIBROCIMENTO</t>
  </si>
  <si>
    <t>SELIM PVC, COM TRAVA, JE, 90 GRAUS, DN 125 X 100 MM OU 150 X 100 MM, PARA REDE COLETORA ESGOTO</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</si>
  <si>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</si>
  <si>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</si>
  <si>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</si>
  <si>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</si>
  <si>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</si>
  <si>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</si>
  <si>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</si>
  <si>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</si>
  <si>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</si>
  <si>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</si>
  <si>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(HORISTA)</t>
  </si>
  <si>
    <t>SERRALHEIRO (MENSALISTA)</t>
  </si>
  <si>
    <t>SERVENTE DE OBRAS</t>
  </si>
  <si>
    <t>SERVENTE DE OBRAS (MENSALISTA)</t>
  </si>
  <si>
    <t>SERVICO DE BOMBEAMENTO DE CONCRETO COM CONSUMO MINIMO DE 40  M3</t>
  </si>
  <si>
    <t>SIFAO / TUBO SINFONADO EXTENSIVEL/SANFONADO, UNIVERSAL/ SIMPLES, ENTRE *50 A 70* CM, DE PLASTICO BRANCO</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</si>
  <si>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</si>
  <si>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</si>
  <si>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</si>
  <si>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</si>
  <si>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</si>
  <si>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</si>
  <si>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</si>
  <si>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</si>
  <si>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</si>
  <si>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</si>
  <si>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</si>
  <si>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</si>
  <si>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SINALIZADOR NOTURNO SIMPLES PARA PARA-RAIOS, SEM RELE FOTOELETRICO</t>
  </si>
  <si>
    <t>SISAL EM FIBRA / ESTOPA SISAL PARA GESSO</t>
  </si>
  <si>
    <t>SOLDA EM BARRA DE ESTANHO-CHUMBO 50/50</t>
  </si>
  <si>
    <t>SOLDA EM VARETA FOSCOPER, D = *2,5* MM  X COMPRIMENTO 500 MM</t>
  </si>
  <si>
    <t>SOLDA ESTANHO/COBRE PARA CONEXOES DE COBRE, FIO 2,5 MM, CARRETEL 500 GR (SEM CHUMBO)</t>
  </si>
  <si>
    <t>SOLDADOR (HORISTA)</t>
  </si>
  <si>
    <t>SOLDADOR (MENSALISTA)</t>
  </si>
  <si>
    <t>SOLDADOR ELETRICO (PARA SOLDA A SER TESTADA COM RAIOS "X") (HORISTA)</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</si>
  <si>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</si>
  <si>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</si>
  <si>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</si>
  <si>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</si>
  <si>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</si>
  <si>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</si>
  <si>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</si>
  <si>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</si>
  <si>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</si>
  <si>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</si>
  <si>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</si>
  <si>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</si>
  <si>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</si>
  <si>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BULBO AMARELO DE RESPOSTA RAPIDA, 79 GRAUS CELSIUS, ACABAMENTO CROMADO, D = 20 MM (3/4")</t>
  </si>
  <si>
    <t>SPRINKLER TIPO PENDENTE, BULBO AMARELO DE RESPOSTA RAPIDA, 79 GRAUS CELSIUS, ACABAMENTO NATURAL OU CROMADO, D = 15 MM (1/2")</t>
  </si>
  <si>
    <t>SPRINKLER TIPO PENDENTE, BULBO AMARELO DE RESPOSTA RAPIDA, 79 GRAUS CELSIUS, ACABAMENTO NATURAL, D = 20 MM (3/4")</t>
  </si>
  <si>
    <t>SPRINKLER TIPO PENDENTE, BULBO VERMELHO DE RESPOSTA RAPIDA, 68 GRAUS CELSIUS, ACABAMENTO CROMADO, D = 15 MM (1/2")</t>
  </si>
  <si>
    <t>SPRINKLER TIPO PENDENTE, BULBO VERMELHO DE RESPOSTA RAPIDA, 68 GRAUS CELSIUS, ACABAMENTO CROMADO, D = 20 MM (3/4")</t>
  </si>
  <si>
    <t>SPRINKLER TIPO PENDENTE, BULBO VERMELHO DE RESPOSTA RAPIDA, 68 GRAUS CELSIUS, ACABAMENTO NATURAL, D = 20 MM (3/4")</t>
  </si>
  <si>
    <t>SPRINKLER TIPO PENDENTE, BULBO VERMELHO RESPOSTA RAPIDA, 68 GRAUS CELSIUS, ACABAMENTO NATURAL, D = 15 MM (1/2")</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</si>
  <si>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</si>
  <si>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</si>
  <si>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</si>
  <si>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</si>
  <si>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</si>
  <si>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</si>
  <si>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</si>
  <si>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</si>
  <si>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</si>
  <si>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PLUVIAL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</si>
  <si>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</si>
  <si>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</si>
  <si>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</si>
  <si>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</si>
  <si>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</si>
  <si>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</si>
  <si>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</si>
  <si>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</si>
  <si>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</si>
  <si>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</si>
  <si>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</si>
  <si>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</si>
  <si>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</si>
  <si>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</si>
  <si>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</si>
  <si>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</si>
  <si>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</si>
  <si>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</si>
  <si>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</si>
  <si>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</si>
  <si>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</si>
  <si>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</si>
  <si>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</si>
  <si>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</si>
  <si>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</si>
  <si>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</si>
  <si>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</si>
  <si>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</si>
  <si>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</si>
  <si>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</si>
  <si>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</si>
  <si>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</si>
  <si>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</si>
  <si>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</si>
  <si>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</si>
  <si>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</si>
  <si>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</si>
  <si>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</si>
  <si>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</si>
  <si>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</si>
  <si>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CAP, ROSCA MACHO, DN 1", PARA TUBO PEX PARA INST. AGUA QUENTE/FRIA</t>
  </si>
  <si>
    <t>TAMPAO / CAP, ROSCA MACHO, DN 3/4", PARA TUBO PEX PARA INST. AGUA QUENTE/FRIA</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</si>
  <si>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</si>
  <si>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</si>
  <si>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</si>
  <si>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</si>
  <si>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</si>
  <si>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</si>
  <si>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CLASSE A15 CARGA MAX 1,5 T, *200 X 200* MM</t>
  </si>
  <si>
    <t>TAMPAO FOFO ARTICULADO P/ REGISTRO, CLASSE A15 CARGA MAXIMA 1,5 T, *400 X 400* MM</t>
  </si>
  <si>
    <t>TAMPAO FOFO ARTICULADO, CLASSE B125 CARGA MAX 12,5 T, REDONDO, TAMPA 600 MM (COM INSCRICAO EM RELEVO DO TIPO DE REDE)</t>
  </si>
  <si>
    <t>TAMPAO FOFO ARTICULADO, CLASSE D400 CARGA MAX 40 T, REDONDO, TAMPA 600 MM (COM INSCRICAO EM RELEVO DO TIPO DE REDE)</t>
  </si>
  <si>
    <t>TAMPAO FOFO SIMPLES COM BASE, CLASSE A15 CARGA MAX 1,5 T, 300 X 300 MM (COM INSCRICAO EM RELEVO DO TIPO DE REDE)</t>
  </si>
  <si>
    <t>TAMPAO FOFO SIMPLES COM BASE, CLASSE A15 CARGA MAX 1,5 T, 400 X 400 MM (COM INSCRICAO EM RELEVO DO TIPO DE REDE)</t>
  </si>
  <si>
    <t>TAMPAO FOFO SIMPLES COM BASE, CLASSE A15 CARGA MAX 1,5 T, 400 X 600 MM (COM INSCRICAO EM RELEVO DO TIPO DE REDE)</t>
  </si>
  <si>
    <t>TAMPAO FOFO SIMPLES COM BASE, CLASSE B125 CARGA MAX 12,5 T, REDONDO, TAMPA 500 MM (COM INSCRICAO EM RELEVO DO TIPO DE REDE)</t>
  </si>
  <si>
    <t>TAMPAO FOFO SIMPLES COM BASE, CLASSE B125 CARGA MAX 12,5 T, REDONDO, TAMPA 600 MM (COM INSCRICAO EM RELEVO DO TIPO DE REDE)</t>
  </si>
  <si>
    <t>TAMPAO FOFO SIMPLES COM BASE, CLASSE D400 CARGA MAX 40 T, REDONDO, TAMPA 600 MM, REDE PLUVIAL/ESGOTO (COM INSCRICAO EM RELEVO DO TIPO DE REDE)</t>
  </si>
  <si>
    <t>TAMPAO FOFO SIMPLES COM BASE, CLASSE D400 CARGA MAX 40 T, REDONDO, TAMPA 900 MM (COM INSCRICAO EM RELEVO DO TIPO DE REDE)</t>
  </si>
  <si>
    <t>TAMPAO FOFO SIMPLES, CLASSE A15 CARGA MAX 1,5 T, 550 X 1100 MM (COM INSCRICAO EM RELEVO DO TIPO DE REDE)</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</si>
  <si>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</si>
  <si>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</si>
  <si>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</si>
  <si>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</si>
  <si>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</si>
  <si>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</si>
  <si>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</si>
  <si>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</si>
  <si>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</si>
  <si>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</si>
  <si>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</si>
  <si>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</si>
  <si>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</si>
  <si>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</si>
  <si>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</si>
  <si>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 (HORISTA)</t>
  </si>
  <si>
    <t>TAQUEADOR OU TAQUEIRO (MENSALISTA)</t>
  </si>
  <si>
    <t>TARIFA "A" ENTRE  0 E 20M3 FORNECIMENTO  D'AGUA</t>
  </si>
  <si>
    <t>TARJETA LIVRE / OCUPADO PARA PORTA DE BANHEIRO, CORPO EM ZAMAC E ESPELHO EM LATAO</t>
  </si>
  <si>
    <t>TARUGO DELIMITADOR DE PROFUNDIDADE EM ESPUMA DE POLIETILENO DE BAIXA DENSIDADE 10 MM, CINZA</t>
  </si>
  <si>
    <t>TE CPVC, SOLDAVEL, 90 GRAUS, 114 MM, PARA AGUA QUENTE PREDIAL</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</si>
  <si>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</si>
  <si>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</si>
  <si>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</si>
  <si>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</si>
  <si>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</si>
  <si>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</si>
  <si>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</si>
  <si>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</si>
  <si>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</si>
  <si>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</si>
  <si>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</si>
  <si>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</si>
  <si>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</si>
  <si>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</si>
  <si>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</si>
  <si>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</si>
  <si>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</si>
  <si>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</si>
  <si>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</si>
  <si>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</si>
  <si>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</si>
  <si>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</si>
  <si>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</si>
  <si>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</si>
  <si>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</si>
  <si>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</si>
  <si>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</si>
  <si>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</si>
  <si>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</si>
  <si>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</si>
  <si>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</si>
  <si>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</si>
  <si>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</si>
  <si>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1.1/2" X 3/4",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</si>
  <si>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</si>
  <si>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</si>
  <si>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</si>
  <si>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</si>
  <si>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</si>
  <si>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</si>
  <si>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</si>
  <si>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</si>
  <si>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</si>
  <si>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</si>
  <si>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</si>
  <si>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</si>
  <si>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</si>
  <si>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</si>
  <si>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</si>
  <si>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</si>
  <si>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</si>
  <si>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</si>
  <si>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</si>
  <si>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</si>
  <si>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</si>
  <si>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CPVC, 22 X 15 MM, PARA AGUA QUENTE PREDIAL</t>
  </si>
  <si>
    <t>TE DE REDUCAO, CPVC, 28 X 22 MM, PARA AGUA QUENTE PREDIAL</t>
  </si>
  <si>
    <t>TE DE REDUCAO, CPVC, 35 X 28 MM, PARA AGUA QUENTE PREDIAL</t>
  </si>
  <si>
    <t>TE DE REDUCAO, CPVC, 42 X 35 MM, PARA AGUA QUENTE PREDIAL</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</si>
  <si>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</si>
  <si>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</si>
  <si>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</si>
  <si>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</si>
  <si>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</si>
  <si>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</si>
  <si>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</si>
  <si>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</si>
  <si>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</si>
  <si>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</si>
  <si>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</si>
  <si>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</si>
  <si>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</si>
  <si>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</si>
  <si>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</si>
  <si>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</si>
  <si>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</si>
  <si>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</si>
  <si>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</si>
  <si>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</si>
  <si>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</si>
  <si>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</si>
  <si>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</si>
  <si>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</si>
  <si>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</si>
  <si>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</si>
  <si>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</si>
  <si>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</si>
  <si>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</si>
  <si>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DN 16 MM, EM TUBO PEX PARA INST. AGUA QUENTE/FRIA</t>
  </si>
  <si>
    <t>TE METALICO, PARA CONEXAO COM ANEL DESLIZANTE, DN 20 MM, EM TUBO PEX PARA INST. AGUA QUENTE/FRIA</t>
  </si>
  <si>
    <t>TE METALICO, PARA CONEXAO COM ANEL DESLIZANTE, DN 25 MM, EM TUBO PEX PARA INST. AGUA QUENTE/FRIA</t>
  </si>
  <si>
    <t>TE METALICO, PARA CONEXAO COM ANEL DESLIZANTE, DN 32 MM, EM TUBO PEX PARA INST. AGUA QUENTE/FRIA</t>
  </si>
  <si>
    <t>TE MISTURADOR COM INSERTO METALICO, FEMEA, PPR, DN 25 MM X 3/4", PARA AGUA QUENTE E FRIA PREDIAL</t>
  </si>
  <si>
    <t>TE MISTURADOR DE TRANSICAO, CPVC, COM ROSCA, 22 MM X 3/4", PARA AGUA QUENTE</t>
  </si>
  <si>
    <t>TE MISTURADOR, CPVC, SOLDAVEL, 15 MM, PARA AGUA QUENTE</t>
  </si>
  <si>
    <t>TE MISTURADOR, CPVC, SOLDAVEL, 22 MM, PARA AGUA QUENTE</t>
  </si>
  <si>
    <t>TE MISTURADOR, PPR, F/M/M, DN 20 X 20 MM, PARA AGUA QUENTE PREDIAL</t>
  </si>
  <si>
    <t>TE MISTURADOR, PPR, F/M/M, DN 25 X 25 MM, PARA AGUA QUENTE PREDIAL</t>
  </si>
  <si>
    <t>TE NORMAL, PPR, F/F/F, SOLDAVEL, 90 GRAUS, DN 110 X 110 X 110 MM, PARA AGUA QUENTE PREDIAL</t>
  </si>
  <si>
    <t>TE NORMAL, PPR, F/F/F, SOLDAVEL, 90 GRAUS, DN 20 X 20 X 20 MM, PARA AGUA QUENTE PREDIAL</t>
  </si>
  <si>
    <t>TE NORMAL, PPR, F/F/F, SOLDAVEL, 90 GRAUS, DN 25 X 25 X 25 MM, PARA AGUA QUENTE PREDIAL</t>
  </si>
  <si>
    <t>TE NORMAL, PPR, F/F/F, SOLDAVEL, 90 GRAUS, DN 32 X 32 X 32 MM, PARA AGUA QUENTE PREDIAL</t>
  </si>
  <si>
    <t>TE NORMAL, PPR, F/F/F, SOLDAVEL, 90 GRAUS, DN 40 X 40 X 40 MM, PARA AGUA QUENTE PREDIAL</t>
  </si>
  <si>
    <t>TE NORMAL, PPR, F/F/F, SOLDAVEL, 90 GRAUS, DN 50 X 50 X 50 MM, PARA AGUA QUENTE PREDIAL</t>
  </si>
  <si>
    <t>TE NORMAL, PPR, F/F/F, SOLDAVEL, 90 GRAUS, DN 63 X 63 X 63 MM, PARA AGUA QUENTE PREDIAL</t>
  </si>
  <si>
    <t>TE NORMAL, PPR, F/F/F, SOLDAVEL, 90 GRAUS, DN 75 X 75 X 75 MM, PARA AGUA QUENTE PREDIAL</t>
  </si>
  <si>
    <t>TE NORMAL, PPR, F/F/F,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</si>
  <si>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</si>
  <si>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</si>
  <si>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</si>
  <si>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</si>
  <si>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</si>
  <si>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</si>
  <si>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</si>
  <si>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</si>
  <si>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</si>
  <si>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</si>
  <si>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</si>
  <si>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</si>
  <si>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</si>
  <si>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</si>
  <si>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</si>
  <si>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</si>
  <si>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</si>
  <si>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ROSCA FEMEA, METALICO, PARA CONEXAO COM ANEL DESLIZANTE, DN 16 MM X 1/2", EM TUBO PEX PARA INST. AGUA QUENTE/FRIA</t>
  </si>
  <si>
    <t>TE ROSCA FEMEA, METALICO, PARA CONEXAO COM ANEL DESLIZANTE, DN 20 MM X 1/2", EM TUBO PEX PARA INST. AGUA QUENTE/FRIA</t>
  </si>
  <si>
    <t>TE ROSCA FEMEA, METALICO, PARA CONEXAO COM ANEL DESLIZANTE, DN 25 MM X 3/4", EM TUBO PEX PARA INST. AGUA QUENTE/FRIA</t>
  </si>
  <si>
    <t>TE SANITARIO DE REDUCAO, PVC, DN 100 X 50 MM, SERIE NORMAL, PARA ESGOTO PREDIAL</t>
  </si>
  <si>
    <t>TE SANITARIO DE REDUCAO, PVC, DN 100 X 75 MM, SERIE NORMAL PARA ESGOTO PREDIAL</t>
  </si>
  <si>
    <t>TE SANITARIO, PVC, DN 100 X 100 MM, SERIE NORMAL, PARA ESGOTO PREDIAL</t>
  </si>
  <si>
    <t>TE SANITARIO, PVC, DN 40 X 40 MM, SERIE NORMAL, PARA ESGOTO PREDIAL</t>
  </si>
  <si>
    <t>TE SANITARIO, PVC, DN 50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</si>
  <si>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</si>
  <si>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</si>
  <si>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</si>
  <si>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</si>
  <si>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</si>
  <si>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</si>
  <si>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</si>
  <si>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</si>
  <si>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</si>
  <si>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</si>
  <si>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</si>
  <si>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</si>
  <si>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</si>
  <si>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</si>
  <si>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</si>
  <si>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</si>
  <si>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</si>
  <si>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</si>
  <si>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</si>
  <si>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</si>
  <si>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</si>
  <si>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</si>
  <si>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</si>
  <si>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</si>
  <si>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</si>
  <si>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</si>
  <si>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</si>
  <si>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</si>
  <si>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 PARA INST. AGUA QUENTE/FRIA</t>
  </si>
  <si>
    <t>TE, PLASTICO, DN 25 MM, PARA CONEXAO COM CRIMPAGEM, EM TUBO PEX PARA INST. AGUA QUENTE/FRIA</t>
  </si>
  <si>
    <t>TE, PLASTICO, DN 32 MM, PARA CONEXAO COM CRIMPAGEM, EM TUBO PEX PARA INST. AGUA QUENTE/FRIA</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</si>
  <si>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</si>
  <si>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</si>
  <si>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</si>
  <si>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</si>
  <si>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</si>
  <si>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</si>
  <si>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</si>
  <si>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</si>
  <si>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200 MM, PARA REDE COLETORA ESGOTO</t>
  </si>
  <si>
    <t>TECNICO DE EDIFICACOES (HORISTA)</t>
  </si>
  <si>
    <t>TECNICO DE EDIFICACOES (MENSALISTA)</t>
  </si>
  <si>
    <t>TECNICO EM LABORATORIO E CAMPO DE CONSTRUCAO CIVIL (HORISTA)</t>
  </si>
  <si>
    <t>TECNICO EM LABORATORIO E CAMPO DE CONSTRUCAO CIVIL (MENSALISTA)</t>
  </si>
  <si>
    <t>TECNICO EM SEGURANCA DO TRABALHO (HORISTA)</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</si>
  <si>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</si>
  <si>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</si>
  <si>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</si>
  <si>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</si>
  <si>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</si>
  <si>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</si>
  <si>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</si>
  <si>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</si>
  <si>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</si>
  <si>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</si>
  <si>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</si>
  <si>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</si>
  <si>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</si>
  <si>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</si>
  <si>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</si>
  <si>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</si>
  <si>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</si>
  <si>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</si>
  <si>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</si>
  <si>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</si>
  <si>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</si>
  <si>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</si>
  <si>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</si>
  <si>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</si>
  <si>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</si>
  <si>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</si>
  <si>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</si>
  <si>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</si>
  <si>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</si>
  <si>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</si>
  <si>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</si>
  <si>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</si>
  <si>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</si>
  <si>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</si>
  <si>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</si>
  <si>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</si>
  <si>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</si>
  <si>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</si>
  <si>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</si>
  <si>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</si>
  <si>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</si>
  <si>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</si>
  <si>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</si>
  <si>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</si>
  <si>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</si>
  <si>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</si>
  <si>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</si>
  <si>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</si>
  <si>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</si>
  <si>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</si>
  <si>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</si>
  <si>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</si>
  <si>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</si>
  <si>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</si>
  <si>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</si>
  <si>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</si>
  <si>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</si>
  <si>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</si>
  <si>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</si>
  <si>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</si>
  <si>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</si>
  <si>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</si>
  <si>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</si>
  <si>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</si>
  <si>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</si>
  <si>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</si>
  <si>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</si>
  <si>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</si>
  <si>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</si>
  <si>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</si>
  <si>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</si>
  <si>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</si>
  <si>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</si>
  <si>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</si>
  <si>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</si>
  <si>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</si>
  <si>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</si>
  <si>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</si>
  <si>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</si>
  <si>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</si>
  <si>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</si>
  <si>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</si>
  <si>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</si>
  <si>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</si>
  <si>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  (MENSALISTA)</t>
  </si>
  <si>
    <t>TELHADOR (HORISTA)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</si>
  <si>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</si>
  <si>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</si>
  <si>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</si>
  <si>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</si>
  <si>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</si>
  <si>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</si>
  <si>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</si>
  <si>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</si>
  <si>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</si>
  <si>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</si>
  <si>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</si>
  <si>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</si>
  <si>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</si>
  <si>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</si>
  <si>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</si>
  <si>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</si>
  <si>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</si>
  <si>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</si>
  <si>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</si>
  <si>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</si>
  <si>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</si>
  <si>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</si>
  <si>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</si>
  <si>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</si>
  <si>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</si>
  <si>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</si>
  <si>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</si>
  <si>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</si>
  <si>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</si>
  <si>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</si>
  <si>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</si>
  <si>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</si>
  <si>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</si>
  <si>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</si>
  <si>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</si>
  <si>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</si>
  <si>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</si>
  <si>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</si>
  <si>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</si>
  <si>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</si>
  <si>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</si>
  <si>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</si>
  <si>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</si>
  <si>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CONDOMINIAL, PVC, DN 100 X 100 MM, PARA REDE COLETORA DE ESGOTO</t>
  </si>
  <si>
    <t>TIL PARA LIGACAO PREDIAL, EM PVC, JE, BBB, DN 100 X 100 MM, PARA REDE COLETORA ESGOTO</t>
  </si>
  <si>
    <t>TIL RADIAL, PVC, JE, BBB, DN 300 X 200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</si>
  <si>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</si>
  <si>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</si>
  <si>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</si>
  <si>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</si>
  <si>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</si>
  <si>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</si>
  <si>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</si>
  <si>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</si>
  <si>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</si>
  <si>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</si>
  <si>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</si>
  <si>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</si>
  <si>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</si>
  <si>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</si>
  <si>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</si>
  <si>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</si>
  <si>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</si>
  <si>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</si>
  <si>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</si>
  <si>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</si>
  <si>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</si>
  <si>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</si>
  <si>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</si>
  <si>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</si>
  <si>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</si>
  <si>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</si>
  <si>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</si>
  <si>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</si>
  <si>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</si>
  <si>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</si>
  <si>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</si>
  <si>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</si>
  <si>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</si>
  <si>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</si>
  <si>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</si>
  <si>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</si>
  <si>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</si>
  <si>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</si>
  <si>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</si>
  <si>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</si>
  <si>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</si>
  <si>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</si>
  <si>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 (HORISTA)</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</si>
  <si>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</si>
  <si>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</si>
  <si>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</si>
  <si>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</si>
  <si>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</si>
  <si>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</si>
  <si>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</si>
  <si>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</si>
  <si>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</si>
  <si>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VAZAO TOTAL PARA CAIXA D'AGUA, AGUA FRIA, BITOLA 1/2", COM HASTE E TORNEIRA METALICOS E BALAO PLASTICO</t>
  </si>
  <si>
    <t>TORNEIRA DE BOIA VAZAO TOTAL PARA CAIXA D'AGUA, AGUA FRIA, BITOLA 1", COM HASTE E TORNEIRA METALICOS E BALAO PLASTICO</t>
  </si>
  <si>
    <t>TORNEIRA DE BOIA VAZAO TOTAL PARA CAIXA D'AGUA, AGUA FRIA, BITOLA 3/4", COM HASTE E TORNEIRA METALICOS E BALAO PLASTICO</t>
  </si>
  <si>
    <t>TORNEIRA DE MESA PARA LAVATORIO, METALICA CROMADA, COM MISTURADOR MONOCOMANDO, BICA BAIXA (REF 2875)</t>
  </si>
  <si>
    <t>TORNEIRA DE MESA PARA LAVATORIO, METALICA CROMADA, COM SENSOR DE APROXIMACAO ELETRICO, BIVOLT</t>
  </si>
  <si>
    <t>TORNEIRA DE MESA/BANCADA, PARA LAVATORIO, FIXA, METALICA CROMADA, PADRAO POPULAR, 1/2 " OU 3/4 " (REF 1193)</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</si>
  <si>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</si>
  <si>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</si>
  <si>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ELETRICA DE PAREDE, BICA ALTA, PARA COZINHA, 5500 W (110/220 V)</t>
  </si>
  <si>
    <t>TORNEIRA METALICA CROMADA CANO CURTO, SEM BICO, SEM AREJADOR, DE PAREDE, PARA TANQUE E USO GERAL, 1/2 " OU 3/4 " (REF 1143)</t>
  </si>
  <si>
    <t>TORNEIRA METALICA CROMADA DE MESA PARA LAVATORIO, BICA ALTA, COM AREJADOR (REF 1195)</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</si>
  <si>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</si>
  <si>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</si>
  <si>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 (REF 1178)</t>
  </si>
  <si>
    <t>TORNEIRA METALICA CROMADA DE PAREDE, PARA COZINHA, BICA MOVEL, COM AREJADOR, 1/2 " OU 3/4 " (REF 1167 / 1168)</t>
  </si>
  <si>
    <t>TORNEIRA METALICA CROMADA PARA JARDIM / TANQUE, COM BICO PLASTICO, CANO LONGO, DE PAREDE, PADRAO POPULAR / USO GERAL , 1/2 " OU 3/4 " (REF 1153 / 1130)</t>
  </si>
  <si>
    <t>TORNEIRA METALICA CROMADA PARA TANQUE / JARDIM, SEM BICO , CANO LONGO, DE PAREDE, PADRAO POPULAR / USO GERAL, 1/2 " OU 3/4 " (REF 1126)</t>
  </si>
  <si>
    <t>TORNEIRA METALICA CROMADA, CANO CURTO, COM AREJADOR, SEM BICO PLASTICO, DE PAREDE, PARA USO GERAL, 1/2 " OU 3/4 " (REF 1152 / 1154)</t>
  </si>
  <si>
    <t>TORNEIRA METALICA CROMADA, DE MESA/BANCADA, PARA COZINHA, BICA MOVEL, COM AREJADOR, 1/2 " OU 3/4 " (REF 1167 / 1168)</t>
  </si>
  <si>
    <t>TORNEIRA METALICA CROMADA, RETA, DE PAREDE, PARA COZINHA, COM AREJADOR, PADRAO POPULAR, 1/2 " OU 3/4 " (REF 1159 / 1160)</t>
  </si>
  <si>
    <t>TORNEIRA METALICA CROMADA, RETA, DE PAREDE, PARA COZINHA, SEM BICO, SEM AREJADOR, PADRAO POPULAR, 1/2 " OU 3/4 " (REF 1158)</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</si>
  <si>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</si>
  <si>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</si>
  <si>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</si>
  <si>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</si>
  <si>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</si>
  <si>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</si>
  <si>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</si>
  <si>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</si>
  <si>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</si>
  <si>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</si>
  <si>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</si>
  <si>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</si>
  <si>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</si>
  <si>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</si>
  <si>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</si>
  <si>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</si>
  <si>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 - ENCARGOS COMPLEMENTARES)</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</si>
  <si>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</si>
  <si>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</si>
  <si>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</si>
  <si>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</si>
  <si>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</si>
  <si>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</si>
  <si>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</si>
  <si>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</si>
  <si>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</si>
  <si>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</si>
  <si>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</si>
  <si>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</si>
  <si>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</si>
  <si>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</si>
  <si>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</si>
  <si>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</si>
  <si>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</si>
  <si>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</si>
  <si>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</si>
  <si>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</si>
  <si>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</si>
  <si>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</si>
  <si>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</si>
  <si>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</si>
  <si>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</si>
  <si>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</si>
  <si>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</si>
  <si>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</si>
  <si>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</si>
  <si>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</si>
  <si>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</si>
  <si>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</si>
  <si>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</si>
  <si>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</si>
  <si>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</si>
  <si>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</si>
  <si>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</si>
  <si>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</si>
  <si>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</si>
  <si>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</si>
  <si>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</si>
  <si>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</si>
  <si>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</si>
  <si>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</si>
  <si>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</si>
  <si>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</si>
  <si>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</si>
  <si>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</si>
  <si>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</si>
  <si>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</si>
  <si>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</si>
  <si>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</si>
  <si>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</si>
  <si>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</si>
  <si>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</si>
  <si>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</si>
  <si>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</si>
  <si>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</si>
  <si>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</si>
  <si>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</si>
  <si>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</si>
  <si>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</si>
  <si>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</si>
  <si>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</si>
  <si>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</si>
  <si>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</si>
  <si>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</si>
  <si>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</si>
  <si>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</si>
  <si>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</si>
  <si>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</si>
  <si>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</si>
  <si>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</si>
  <si>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</si>
  <si>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</si>
  <si>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</si>
  <si>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</si>
  <si>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</si>
  <si>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</si>
  <si>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</si>
  <si>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500 MM (DRENAGEM/ESGOTO)</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</si>
  <si>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</si>
  <si>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</si>
  <si>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</si>
  <si>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</si>
  <si>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</si>
  <si>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</si>
  <si>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</si>
  <si>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</si>
  <si>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114 MM, AGUA QUENTE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</si>
  <si>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</si>
  <si>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</si>
  <si>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</si>
  <si>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</si>
  <si>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</si>
  <si>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</si>
  <si>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</si>
  <si>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</si>
  <si>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</si>
  <si>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</si>
  <si>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</si>
  <si>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</si>
  <si>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</si>
  <si>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</si>
  <si>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</si>
  <si>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</si>
  <si>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</si>
  <si>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</si>
  <si>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</si>
  <si>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</si>
  <si>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</si>
  <si>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</si>
  <si>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</si>
  <si>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</si>
  <si>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</si>
  <si>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</si>
  <si>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</si>
  <si>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</si>
  <si>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</si>
  <si>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</si>
  <si>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</si>
  <si>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</si>
  <si>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</si>
  <si>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</si>
  <si>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</si>
  <si>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</si>
  <si>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</si>
  <si>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</si>
  <si>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</si>
  <si>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</si>
  <si>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</si>
  <si>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</si>
  <si>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</si>
  <si>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</si>
  <si>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</si>
  <si>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</si>
  <si>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</si>
  <si>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</si>
  <si>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</si>
  <si>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</si>
  <si>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</si>
  <si>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</si>
  <si>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</si>
  <si>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</si>
  <si>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</si>
  <si>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</si>
  <si>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</si>
  <si>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</si>
  <si>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</si>
  <si>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</si>
  <si>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</si>
  <si>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</si>
  <si>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</si>
  <si>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</si>
  <si>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</si>
  <si>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</si>
  <si>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</si>
  <si>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</si>
  <si>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</si>
  <si>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</si>
  <si>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</si>
  <si>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</si>
  <si>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</si>
  <si>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</si>
  <si>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</si>
  <si>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</si>
  <si>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</si>
  <si>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</si>
  <si>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</si>
  <si>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</si>
  <si>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</si>
  <si>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</si>
  <si>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</si>
  <si>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</si>
  <si>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</si>
  <si>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</si>
  <si>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</si>
  <si>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</si>
  <si>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</si>
  <si>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</si>
  <si>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</si>
  <si>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</si>
  <si>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</si>
  <si>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</si>
  <si>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</si>
  <si>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</si>
  <si>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</si>
  <si>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</si>
  <si>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</si>
  <si>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</si>
  <si>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</si>
  <si>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</si>
  <si>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</si>
  <si>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</si>
  <si>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</si>
  <si>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</si>
  <si>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</si>
  <si>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</si>
  <si>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</si>
  <si>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</si>
  <si>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</si>
  <si>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</si>
  <si>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</si>
  <si>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</si>
  <si>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</si>
  <si>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</si>
  <si>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</si>
  <si>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</si>
  <si>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</si>
  <si>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</si>
  <si>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</si>
  <si>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</si>
  <si>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</si>
  <si>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</si>
  <si>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</si>
  <si>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</si>
  <si>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</si>
  <si>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</si>
  <si>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</si>
  <si>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</si>
  <si>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</si>
  <si>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</si>
  <si>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</si>
  <si>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</si>
  <si>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</si>
  <si>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</si>
  <si>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</si>
  <si>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 NBR 15561)</t>
  </si>
  <si>
    <t>TUBO DE POLIETILENO DE ALTA DENSIDADE, PEAD, PE-80, DE = 110 MM X 10,0 MM PAREDE, ( SDR 11 - PN 12,5 ) PARA REDE DE AGUA OU ESGOTO ( NBR 15561)</t>
  </si>
  <si>
    <t>TUBO DE POLIETILENO DE ALTA DENSIDADE, PEAD, PE-80, DE = 1200 MM X 37,2 MM PAREDE ( SDR 32,25 - PN 04 ) PARA REDE DE AGUA OU ESGOTO ( NBR 15561)</t>
  </si>
  <si>
    <t>TUBO DE POLIETILENO DE ALTA DENSIDADE, PEAD, PE-80, DE = 1400 MM X 42,9 MM PAREDE, (SDR 32,25 - PN 04 ) PARA REDE DE AGUA OU ESGOTO ( NBR 15561)</t>
  </si>
  <si>
    <t>TUBO DE POLIETILENO DE ALTA DENSIDADE, PEAD, PE-80, DE = 160 MM X 14,6 MM PAREDE, (SDR 11 - PN 12,5 ) PARA REDE DE AGUA OU ESGOTO ( NBR 15561)</t>
  </si>
  <si>
    <t>TUBO DE POLIETILENO DE ALTA DENSIDADE, PEAD, PE-80, DE = 1600 MM X 49,0 MM PAREDE, ( SDR 32,25 - PN 04 ) PARA REDE DE AGUA OU ESGOTO ( NBR 15561)</t>
  </si>
  <si>
    <t>TUBO DE POLIETILENO DE ALTA DENSIDADE, PEAD, PE-80, DE = 900 MM X 34,7 MM PAREDE, ( SDR 26 - PN 05 ) PARA REDE DE AGUA OU ESGOTO ( NBR 15561)</t>
  </si>
  <si>
    <t>TUBO DE POLIETILENO DE ALTA DENSIDADE, PEAD, PE-80, DE= 200 MM X 18,2 MM PAREDE, ( SDR 11 - PN 12,5 ) PARA REDE DE AGUA OU ESGOTO ( NBR 15561)</t>
  </si>
  <si>
    <t>TUBO DE POLIETILENO DE ALTA DENSIDADE, PEAD, PE-80, DE= 315 MM X 28,7 MM PAREDE, ( SDR 11 - PN 12,5 ) PARA REDE DE AGUA OU ESGOTO ( NBR 15561)</t>
  </si>
  <si>
    <t>TUBO DE POLIETILENO DE ALTA DENSIDADE, PEAD, PE-80, DE= 400 MM X 36,4 MM PAREDE, ( SDR 11 - PN 12,5 ) PARA REDE DE AGUA OU ESGOTO ( NBR 15561)</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</si>
  <si>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</si>
  <si>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</si>
  <si>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TUBO DE POLIETILENO DE ALTA DENSIDADE, PEAD, PE-80, DE= 630 MM X 57,3 MM PAREDE (SDR 11 - PN 12,5 ) PARA REDE DE AGUA OU ESGOTO ( NBR 15561)</t>
  </si>
  <si>
    <t>TUBO DE POLIETILENO DE ALTA DENSIDADE, PEAD, PE-80, DE= 730 MM X 34,1 MM PAREDE, ( SDR 21 - PN 06 ) PARA REDE DE AGUA OU ESGOTO ( NBR 15561)</t>
  </si>
  <si>
    <t>TUBO DE POLIETILENO DE ALTA DENSIDADE, PEAD, PE-80, DE= 75 MM X 6,9 MM PAREDE, ( SRD 11 - PN 12,5 ) PARA REDE DE AGUA OU ESGOTO ( NBR 15561)</t>
  </si>
  <si>
    <t>TUBO DE POLIETILENO DE ALTA DENSIDADE, PEAD, PE-80, DE= 800 MM X 30,8 MM PAREDE, ( SDR 26 - PN 05 ) PARA REDE DE AGUA OU ESGOTO ( NBR 15561)</t>
  </si>
  <si>
    <t>TUBO DE PVC, PBL, TIPO LEVE, DN = 250 MM,  PARA VENTILACAO</t>
  </si>
  <si>
    <t>TUBO DE PVC, PBL, TIPO LEVE, DN = 300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</si>
  <si>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</si>
  <si>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</si>
  <si>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</si>
  <si>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</si>
  <si>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</si>
  <si>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</si>
  <si>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</si>
  <si>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</si>
  <si>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</si>
  <si>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</si>
  <si>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</si>
  <si>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 PARA AGUA QUENTE E FRIA</t>
  </si>
  <si>
    <t>TUBO MONOCAMADA PEX, DN 20 MM, PARA AGUA QUENTE E FRIA</t>
  </si>
  <si>
    <t>TUBO MONOCAMADA PEX, DN 25 MM, PARA AGUA QUENTE E FRIA</t>
  </si>
  <si>
    <t>TUBO MONOCAMADA PEX, DN 32 MM, PARA AGUA QUENTE E FRIA</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</si>
  <si>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</si>
  <si>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</si>
  <si>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</si>
  <si>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</si>
  <si>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</si>
  <si>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</si>
  <si>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</si>
  <si>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</si>
  <si>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</si>
  <si>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</si>
  <si>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</si>
  <si>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</si>
  <si>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</si>
  <si>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20, SOLDAVEL, DN 32 MM PARA AGUA FRIA OU QUENTE PREDIAL</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</si>
  <si>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</si>
  <si>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</si>
  <si>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</si>
  <si>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</si>
  <si>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</si>
  <si>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</si>
  <si>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</si>
  <si>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</si>
  <si>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</si>
  <si>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</si>
  <si>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</si>
  <si>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</si>
  <si>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DE 160 MM, REDE COLETORA ESGOTO</t>
  </si>
  <si>
    <t>TUBO PVC CORRUGADO, PAREDE DUPLA, JE, DN 200 MM/ DE 200 MM, REDE COLETORA ESGOTO</t>
  </si>
  <si>
    <t>TUBO PVC CORRUGADO, PAREDE DUPLA, JE, DN 250 MM/ DE 250 MM, REDE COLETORA ESGOTO</t>
  </si>
  <si>
    <t>TUBO PVC CORRUGADO, PAREDE DUPLA, JE, DN 300 MM/ DE 315 MM , REDE COLETORA ESGOTO</t>
  </si>
  <si>
    <t>TUBO PVC CORRUGADO, PAREDE DUPLA, JE, DN 350 MM/ DE 355 MM, REDE COLETORA ESGOTO</t>
  </si>
  <si>
    <t>TUBO PVC CORRUGADO, PAREDE DUPLA, JE, DN 400 MM/ DE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</si>
  <si>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</si>
  <si>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</si>
  <si>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</si>
  <si>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</si>
  <si>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</si>
  <si>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</si>
  <si>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</si>
  <si>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</si>
  <si>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</si>
  <si>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</si>
  <si>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</si>
  <si>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</si>
  <si>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</si>
  <si>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</si>
  <si>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</si>
  <si>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</si>
  <si>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</si>
  <si>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</si>
  <si>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</si>
  <si>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</si>
  <si>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</si>
  <si>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</si>
  <si>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RIGIDO, CORRUGADO, PERFURADO DN 100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</si>
  <si>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</si>
  <si>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</si>
  <si>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</si>
  <si>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</si>
  <si>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</si>
  <si>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</si>
  <si>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</si>
  <si>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</si>
  <si>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</si>
  <si>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</si>
  <si>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</si>
  <si>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DE 110 MM, AGUA FRIA (NBR-5648)</t>
  </si>
  <si>
    <t>TUBO PVC, SOLDAVEL, DE 20 MM, AGUA FRIA (NBR-5648)</t>
  </si>
  <si>
    <t>TUBO PVC, SOLDAVEL, DE 25 MM, AGUA FRIA (NBR-5648)</t>
  </si>
  <si>
    <t>TUBO PVC, SOLDAVEL, DE 32 MM, AGUA FRIA (NBR-5648)</t>
  </si>
  <si>
    <t>TUBO PVC, SOLDAVEL, DE 40 MM, AGUA FRIA (NBR-5648)</t>
  </si>
  <si>
    <t>TUBO PVC, SOLDAVEL, DE 50 MM, AGUA FRIA (NBR-5648)</t>
  </si>
  <si>
    <t>TUBO PVC, SOLDAVEL, DE 60 MM, AGUA FRIA (NBR-5648)</t>
  </si>
  <si>
    <t>TUBO PVC, SOLDAVEL, DE 75 MM, AGUA FRIA (NBR-5648)</t>
  </si>
  <si>
    <t>TUBO PVC, SOLDAVEL, DE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</si>
  <si>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</si>
  <si>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</si>
  <si>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</si>
  <si>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</si>
  <si>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</si>
  <si>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</si>
  <si>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</si>
  <si>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</si>
  <si>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</si>
  <si>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</si>
  <si>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</si>
  <si>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</si>
  <si>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</si>
  <si>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</si>
  <si>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</si>
  <si>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</si>
  <si>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</si>
  <si>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</si>
  <si>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</si>
  <si>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</si>
  <si>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</si>
  <si>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</si>
  <si>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</si>
  <si>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</si>
  <si>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</si>
  <si>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</si>
  <si>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</si>
  <si>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</si>
  <si>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</si>
  <si>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</si>
  <si>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</si>
  <si>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</si>
  <si>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</si>
  <si>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</si>
  <si>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PVC, ROSCAVEL 1/2",  AGUA FRIA PREDIAL</t>
  </si>
  <si>
    <t>UNIAO PVC, ROSCAVEL, 1 1/2",  AGUA FRIA PREDIAL</t>
  </si>
  <si>
    <t>UNIAO PVC, ROSCAVEL, 1",  AGUA FRIA PREDIAL</t>
  </si>
  <si>
    <t>UNIAO PVC, ROSCAVEL, 3/4",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</si>
  <si>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</si>
  <si>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</si>
  <si>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</si>
  <si>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</si>
  <si>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</si>
  <si>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</si>
  <si>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</si>
  <si>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</si>
  <si>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</si>
  <si>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</si>
  <si>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</si>
  <si>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</si>
  <si>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</si>
  <si>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</si>
  <si>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</si>
  <si>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</si>
  <si>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</si>
  <si>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</si>
  <si>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</si>
  <si>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</si>
  <si>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</si>
  <si>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</si>
  <si>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</si>
  <si>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</si>
  <si>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</si>
  <si>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</si>
  <si>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</si>
  <si>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</si>
  <si>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</si>
  <si>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</si>
  <si>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</si>
  <si>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</si>
  <si>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</si>
  <si>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ESCOAMENTO PARA TANQUE, EM METAL CROMADO, 1.1/2 ", SEM LADRAO, COM TAMPAO PLASTICO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</si>
  <si>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</si>
  <si>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</si>
  <si>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</si>
  <si>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</si>
  <si>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</si>
  <si>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</si>
  <si>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</si>
  <si>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</si>
  <si>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</si>
  <si>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</si>
  <si>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</si>
  <si>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</si>
  <si>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</si>
  <si>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</si>
  <si>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</si>
  <si>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</si>
  <si>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</si>
  <si>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</si>
  <si>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</si>
  <si>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</si>
  <si>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</si>
  <si>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</si>
  <si>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</si>
  <si>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</si>
  <si>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</si>
  <si>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</si>
  <si>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</si>
  <si>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</si>
  <si>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</si>
  <si>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</si>
  <si>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</si>
  <si>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</si>
  <si>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</si>
  <si>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</si>
  <si>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</si>
  <si>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</si>
  <si>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</si>
  <si>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</si>
  <si>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</si>
  <si>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</si>
  <si>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</si>
  <si>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</si>
  <si>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</si>
  <si>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</si>
  <si>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</si>
  <si>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</si>
  <si>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</si>
  <si>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</si>
  <si>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</si>
  <si>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</si>
  <si>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</si>
  <si>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</si>
  <si>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VERGALHAO ZINCADO ROSCA TOTAL, 1/4 "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</si>
  <si>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</si>
  <si>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</si>
  <si>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</si>
  <si>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</si>
  <si>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</si>
  <si>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</si>
  <si>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</si>
  <si>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</si>
  <si>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</si>
  <si>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</si>
  <si>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</si>
  <si>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</si>
  <si>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</si>
  <si>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</si>
  <si>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</si>
  <si>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</si>
  <si>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 (HORISTA)</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</si>
  <si>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</si>
  <si>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</si>
  <si>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</si>
  <si>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</si>
  <si>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</si>
  <si>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</si>
  <si>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</si>
  <si>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</si>
  <si>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</si>
  <si>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</si>
  <si>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</si>
  <si>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</si>
  <si>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</si>
  <si>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</si>
  <si>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</si>
  <si>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</si>
  <si>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</si>
  <si>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</si>
  <si>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</si>
  <si>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</si>
  <si>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</si>
  <si>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</si>
  <si>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</si>
  <si>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</si>
  <si>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</si>
  <si>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</si>
  <si>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</si>
  <si>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</si>
  <si>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</si>
  <si>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</si>
  <si>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</si>
  <si>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</si>
  <si>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</si>
  <si>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</si>
  <si>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</si>
  <si>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</si>
  <si>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</si>
  <si>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VIGIA DIURNO</t>
  </si>
  <si>
    <t>VIGIA DIURNO (MENSALISTA)</t>
  </si>
  <si>
    <t>VIGIA NOTURNO, HORA EFETIVAMENTE TRABALHADA DE 22 H AS 5 H (COM ADICIONAL NOTURNO)</t>
  </si>
  <si>
    <t xml:space="preserve">**COMPOSIÇÃO BASEADA NO BOLETIM SINAPI (MAIO/2022) CÓD "95750" </t>
  </si>
  <si>
    <t>ELETRODUTO DE AÇO GALVANIZADO, CLASSE LEVE, DN 25 MM (1 ), APARENTE, INSTALADO EM
PAREDE - FORNECIMENTO E INSTALAÇÃO. AF_11/2016_P</t>
  </si>
  <si>
    <t>LUVA DE EMENDA PARA ELETRODUTO, AÇO GALVANIZADO, DN 25 MM (1''), APARENTE, INSTALADA EM PAREDE - FORNECIMENTO E INSTALAÇÃO. AF_11/2016_P</t>
  </si>
  <si>
    <t xml:space="preserve">**COMPOSIÇÃO BASEADA NO BOLETIM SINAPI (MAIO/2022) CÓD "95758" </t>
  </si>
  <si>
    <t>PROPR.:</t>
  </si>
  <si>
    <t>PREÇO MÉDIO MENSAL PONDERADO PRATICADO PELOS DISTRIBUIDORES DE PRODUTOS ASFÁLTICOS (R$/KG) - (RR-2C)</t>
  </si>
  <si>
    <t>Agência Nacional do Petróleo, Gás Natural e Biocombustíveis</t>
  </si>
  <si>
    <t>Superintendência de Defesa da Concorrência, Estudos e Regulação Econômica</t>
  </si>
  <si>
    <t>DATA BASE:</t>
  </si>
  <si>
    <t>Mês</t>
  </si>
  <si>
    <t>Produto</t>
  </si>
  <si>
    <t>Estado</t>
  </si>
  <si>
    <t>EMULSÕES ASFÁLTICAS RR-2C</t>
  </si>
  <si>
    <t>Acre</t>
  </si>
  <si>
    <t>Alagoas</t>
  </si>
  <si>
    <t>Amapá</t>
  </si>
  <si>
    <t>Amazonas</t>
  </si>
  <si>
    <t>Bahia</t>
  </si>
  <si>
    <t>Ceará</t>
  </si>
  <si>
    <t>Distrito Federal</t>
  </si>
  <si>
    <t>Espírito Santo</t>
  </si>
  <si>
    <t>Goiás</t>
  </si>
  <si>
    <t>Maranhão</t>
  </si>
  <si>
    <t>Mato Grosso do Sul</t>
  </si>
  <si>
    <t>Minas Gerais</t>
  </si>
  <si>
    <t>Pará</t>
  </si>
  <si>
    <t>Paraíba</t>
  </si>
  <si>
    <t>Paraná</t>
  </si>
  <si>
    <t>Pernambuco</t>
  </si>
  <si>
    <t>Piauí</t>
  </si>
  <si>
    <t>Rio de Janeiro</t>
  </si>
  <si>
    <t>Rio Grande do Norte</t>
  </si>
  <si>
    <t>Rio Grande do Sul</t>
  </si>
  <si>
    <t>Rondônia</t>
  </si>
  <si>
    <t>Roraima</t>
  </si>
  <si>
    <t>Santa Catarina</t>
  </si>
  <si>
    <t>São Paulo</t>
  </si>
  <si>
    <t>Sergipe</t>
  </si>
  <si>
    <t>Tocantins</t>
  </si>
  <si>
    <t>VALOR MATO-GROSSO</t>
  </si>
  <si>
    <t>CONFINS</t>
  </si>
  <si>
    <t>PIS</t>
  </si>
  <si>
    <t>Está sendo feita a adição do pis e confins no valor da emulsão, devido ao fato que a ANP, cota o valor do material das empresas, sem os referidos impostos (Portaria DNIT Nº 1977 DE 25/10/2017, Art. 2º)</t>
  </si>
  <si>
    <t>EMULSAO ASFALTICA CATIONICA RR-2C PARA USO EM PAVIMENTACAO ASFALTICA</t>
  </si>
  <si>
    <t>COMPOSIÇÕES PAVIMENTAÇÃO</t>
  </si>
  <si>
    <t>AMM PAV 002</t>
  </si>
  <si>
    <t>AMM PAV 003</t>
  </si>
  <si>
    <t>AMM PAV 004</t>
  </si>
  <si>
    <t>AMM PAV 005</t>
  </si>
  <si>
    <t>AMM PAV 006</t>
  </si>
  <si>
    <t>AMM PAV 007</t>
  </si>
  <si>
    <t>AMM PAV 008</t>
  </si>
  <si>
    <t>AMM PAV 009</t>
  </si>
  <si>
    <t>AMM PAV 010</t>
  </si>
  <si>
    <t>AMM PAV 011</t>
  </si>
  <si>
    <t>AMM PAV 012</t>
  </si>
  <si>
    <t>AMM PAV 013</t>
  </si>
  <si>
    <t>AMM PAV 014</t>
  </si>
  <si>
    <t>AMM PAV 015</t>
  </si>
  <si>
    <t>AMM PAV 016</t>
  </si>
  <si>
    <t>AMM PAV 017</t>
  </si>
  <si>
    <t>AMM PAV 018</t>
  </si>
  <si>
    <t>AMM PAV 019</t>
  </si>
  <si>
    <t>AMM PAV 020</t>
  </si>
  <si>
    <t>AMM PAV 021</t>
  </si>
  <si>
    <t>AMM PAV 022</t>
  </si>
  <si>
    <t>AMM PAV 023</t>
  </si>
  <si>
    <t>AMM PAV 024</t>
  </si>
  <si>
    <t>AMM PAV 025</t>
  </si>
  <si>
    <t>AMM PAV 026</t>
  </si>
  <si>
    <t>KIT CAVALETE PARA MEDIÇÃO DE ÁGUA COM TUBETE - ENTRADA PRINCIPAL, EM PVC SOLDÁVEL DN 25 (¾")   FORNECIMENTO E INSTALAÇÃO (EXCLUSIVE HIDRÔMETRO). AF_11/2016</t>
  </si>
  <si>
    <t xml:space="preserve">**COMPOSIÇÃO SIMILAR AO SERVIÇO DO BOLETIM SINAPI - CÓDIGO "95635"  (JANEIRO/2023)
</t>
  </si>
  <si>
    <t>HIDRÔMETRO DN 25 (¾ ), QMÁX 3,5 M³/H - FORNECIMENTO E INSTALAÇÃO</t>
  </si>
  <si>
    <t>COTAÇÃO 079</t>
  </si>
  <si>
    <t>**COMPOSIÇÃO SIMILAR AO SERVIÇO DO BOLETIM SINAPI - CÓDIGO "95675"  (JANEIRO/2023)</t>
  </si>
  <si>
    <t>HIDROREADER SISTEMAS DE MEDICAO LTDA</t>
  </si>
  <si>
    <t>32.503.371/0001-82</t>
  </si>
  <si>
    <t>(11) 3223-5454</t>
  </si>
  <si>
    <t>JAMILE</t>
  </si>
  <si>
    <t>04.719.395/0001-38</t>
  </si>
  <si>
    <t>ANDREY</t>
  </si>
  <si>
    <t>(65) 98471-3084</t>
  </si>
  <si>
    <t>HIDROMETRO UNIJATO / MEDIDOR DE AGUA, DN 3/4", VAZAO MAXIMA DE 5 M3/H, PARA AGUA POTAVEL FRIA, RELOJOARIA INCLINADA, CLASSE B, HORIZONTAL (SEM CONEXOES)</t>
  </si>
  <si>
    <t>IGOR</t>
  </si>
  <si>
    <t>PLÍNIO</t>
  </si>
  <si>
    <t>PILAR</t>
  </si>
  <si>
    <t xml:space="preserve">E S T A C A </t>
  </si>
  <si>
    <t>E S T R U T U R A</t>
  </si>
  <si>
    <t>M O B I L I Z A Ç Ã O  E  D E S M O B I L I Z A Ç Ã O</t>
  </si>
  <si>
    <t>APIACÁS</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</si>
  <si>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</si>
  <si>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</si>
  <si>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</si>
  <si>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</si>
  <si>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</si>
  <si>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</si>
  <si>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</si>
  <si>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</si>
  <si>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</si>
  <si>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</si>
  <si>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</si>
  <si>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</si>
  <si>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</si>
  <si>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</si>
  <si>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</si>
  <si>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</si>
  <si>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</si>
  <si>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</si>
  <si>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</si>
  <si>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</si>
  <si>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</si>
  <si>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</si>
  <si>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</si>
  <si>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</si>
  <si>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</si>
  <si>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</si>
  <si>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</si>
  <si>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</si>
  <si>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</si>
  <si>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</si>
  <si>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</si>
  <si>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</si>
  <si>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</si>
  <si>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</si>
  <si>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</si>
  <si>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</si>
  <si>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</si>
  <si>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</si>
  <si>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</si>
  <si>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</si>
  <si>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</si>
  <si>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</si>
  <si>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</si>
  <si>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</si>
  <si>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</si>
  <si>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</si>
  <si>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</si>
  <si>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</si>
  <si>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</si>
  <si>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</si>
  <si>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</si>
  <si>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</si>
  <si>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</si>
  <si>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</si>
  <si>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</si>
  <si>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</si>
  <si>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</si>
  <si>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</si>
  <si>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</si>
  <si>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</si>
  <si>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</si>
  <si>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</si>
  <si>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</si>
  <si>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</si>
  <si>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</si>
  <si>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</si>
  <si>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</si>
  <si>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</si>
  <si>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</si>
  <si>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</si>
  <si>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</si>
  <si>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</si>
  <si>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</si>
  <si>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</si>
  <si>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25 MM, CONEXÃO POR CRIMPAGEM  FORNECIMENTO E INSTALAÇÃO. AF_06/2015</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</si>
  <si>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</si>
  <si>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</si>
  <si>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</si>
  <si>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</si>
  <si>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</si>
  <si>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</si>
  <si>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</si>
  <si>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</si>
  <si>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</si>
  <si>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</si>
  <si>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</si>
  <si>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</si>
  <si>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</si>
  <si>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</si>
  <si>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</si>
  <si>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</si>
  <si>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</si>
  <si>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</si>
  <si>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</si>
  <si>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</si>
  <si>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</si>
  <si>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</si>
  <si>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</si>
  <si>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</si>
  <si>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</si>
  <si>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</si>
  <si>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</si>
  <si>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</si>
  <si>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</si>
  <si>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</si>
  <si>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</si>
  <si>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</si>
  <si>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</si>
  <si>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</si>
  <si>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</si>
  <si>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</si>
  <si>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</si>
  <si>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</si>
  <si>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</si>
  <si>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MAIOR QUE 5 M2 A MEIA ALTURA DAS PAREDES.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</si>
  <si>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</si>
  <si>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</si>
  <si>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</si>
  <si>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</si>
  <si>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</si>
  <si>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</si>
  <si>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</si>
  <si>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</si>
  <si>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</si>
  <si>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</si>
  <si>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ALIMENTACAO - MENSALISTA (COLETADO CAIXA - ENCARGOS COMPLEMENTARES</t>
  </si>
  <si>
    <t>CIMENTO BRANCO</t>
  </si>
  <si>
    <t>CONJUNTO PARA FUTSAL COM TRAVES OFICIAIS DE 3,00 X 2,00 M EM TUBO DE ACO GALVANIZADO 3" COM REQUADRO EM TUBO DE 1", PINTURA EM PRIMER COM TINTA ESMALTE SINTETICO E REDES DE POLIETILENO FIO 4 MM</t>
  </si>
  <si>
    <t>JANELA BASCULANTE, EM ALUMINIO PERFIL 20, 80 X 60 CM (A X L), 4 FLS (1 FIXA E 3 MOVEIS), ACABAMENTO BRANCO OU BRILHANTE, BATENTE DE 3 A 4 CM, COM VIDRO, SEM GUARNICAO</t>
  </si>
  <si>
    <t>JANELA DE CORRER,  EM ALUMINIO PERFIL 25, 120 X 150 CM (A X L), 4 FLS, BANDEIRA COM BASCULA,  ACABAMENTO BRANCO OU BRILHANTE, BATENTE/REQUADRO DE 6 A 14 CM, COM VIDRO, SEM GUARNICAO/ALIZAR</t>
  </si>
  <si>
    <t>JANELA DE CORRER, EM ALUMINIO PEFIL 25, 100 X 200 CM (A X L), 4 FLS, SEM BANDEIRA, ACABAMENTO BRANCO OU BRILHANTE, BATENTE DE 6 A 7 CM, COM VIDRO, SEM GUARNICAO/ALIZAR</t>
  </si>
  <si>
    <t>JANELA DE CORRER, EM ALUMINIO PERFIL 25, 100 X 120 CM (A X L), 2 FLS MOVEIS,  SEM BANDEIRA, ACABAMENTO BRANCO OU BRILHANTE, BATENTE DE 6 A 7 CM, COM VIDRO, SEM GUARNICAO</t>
  </si>
  <si>
    <t>JANELA DE CORRER, EM ALUMINIO PERFIL 25, 100 X 150 CM (A X L), 2 FLS MOVEIS,  SEM BANDEIRA, ACABAMENTO BRANCO OU BRILHANTE, BATENTE DE 6 A 7 CM, COM VIDRO, SEM GUARNICAO</t>
  </si>
  <si>
    <t>JANELA DE CORRER, EM ALUMINIO PERFIL 25, 100 X 150 CM (A X L), 4 FLS MOVEIS, SEM BANDEIRA, ACABAMENTO BRANCO OU BRILHANTE, BATENTE DE 6 A 7 CM, COM VIDRO, SEM GUARNICAO/ALIZAR</t>
  </si>
  <si>
    <t>JANELA INTEGRADA VENEZIANA EM ALUMINIO  PERFIL 25, 120 X 120 CM (A X L), 2 FLS ( 2 VIDROS) E VENEZIANA COM ACIONAMENTO MANUAL, SEM BANDEIRA, ACABAMENTO BRILHANTE, BATENTE DE 11,50 A 12,50 CM, COM VIDRO, INCLUSO GUARNICAO</t>
  </si>
  <si>
    <t>JANELA MAXIM AR, EM ALUMINIO PERFIL 25, 60 X 80 CM (A X L), ACABAMENTO BRANCO OU BRILHANTE, BATENTE DE 4 A 5 CM, COM VIDRO, SEM GUARNICAO/ALIZAR</t>
  </si>
  <si>
    <t>JANELA VENEZIANA DE CORRER, EM ALUMINIO PERFIL 25, 100 X 120 CM (A X L), 3 FLS (2 VENEZIANAS E 1 VIDRO), SEM BANDEIRA, ACABAMENTO BRANCO OU BRILHANTE, BATENTE DE 8 A 9 CM, COM VIDRO, SEM GUARNICAO/ALIZAR</t>
  </si>
  <si>
    <t>JANELA VENEZIANA DE CORRER, EM ALUMINIO PERFIL 25, 100 X 150 CM (A X L), 6 FLS (4 VENEZIANAS E 2 VIDROS), SEM BANDEIRA, ACABAMENTO BRANCO OU BRILHANTE, BATENTE DE 8 A 9 CM, COM VIDRO, SEM GUARNICAO / ALIZAR</t>
  </si>
  <si>
    <t>JOELHO 90 GRAUS, ROSCA FEMEA TERMINAL, PLASTICO, PARA CONEXAO COM CRIMPAGEM EM TUBO PEX, DN 32 MM X 1"</t>
  </si>
  <si>
    <t>TRANSPORTE - MENSALISTA (COLETADO CAIXA - ENCARGOS COMPLEMENTARES)</t>
  </si>
  <si>
    <t xml:space="preserve">VALVULA DE RETENCAO VERTICAL, DE BRONZE (PN-16), 4", 200 PSI, EXTREMIDADES COM ROSCA                                                                                                                                                                                                                                                                                                                                                                                                                      </t>
  </si>
  <si>
    <t>TOTAL DE INSUMOS : 4937</t>
  </si>
  <si>
    <t xml:space="preserve">VALVULA EM METAL CROMADO PARA LAVATORIO, 1 " SEM LADRAO                                                                                                                                                                                                                                                                                                                                                                                                                                                   </t>
  </si>
  <si>
    <t xml:space="preserve">VALVULA EM METAL CROMADO PARA PIA AMERICANA 3.1/2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</si>
  <si>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</si>
  <si>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</si>
  <si>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</si>
  <si>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</si>
  <si>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</si>
  <si>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</si>
  <si>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</si>
  <si>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</si>
  <si>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</si>
  <si>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</si>
  <si>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</si>
  <si>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</si>
  <si>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</si>
  <si>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</si>
  <si>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</si>
  <si>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</si>
  <si>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</si>
  <si>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</si>
  <si>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VERGALHAO ZINCADO ROSCA TOTAL, 1/4 " (6,3 MM)                                                                                                                                                                                                                                                                                                                                                                                                                                                             </t>
  </si>
  <si>
    <t xml:space="preserve">VERNIZ A BASE RESINA ALQUIDICA COM POLIURETANO PARA MADEIRA, COM FILTRO SOLAR, BRILHANTE, USO INTERNO E EXTERNO                                                                                                                                                                                                                                                                                                                                                                                           </t>
  </si>
  <si>
    <t xml:space="preserve">VERNIZ MARITIMO PREMIUM PARA MADEIRA, COM FILTRO SOLAR, BRILHANTE, USO INTERNO E EXTERNO                                                                                                                                                                                                                                                                                                                                                                                                                  </t>
  </si>
  <si>
    <t xml:space="preserve">VERNIZ TIPO COPAL PARA MADEIRA, BRILHANTE, USO INTERNO                                                                                                                                                                                                                                                                                                                                                                                                                                                    </t>
  </si>
  <si>
    <t xml:space="preserve">VEU DE VIDRO/VEU DE SUPERFICIE 30 A 35 G/M2                                                                                                                                                                                                                                                                                                                                                                                                                                                               </t>
  </si>
  <si>
    <t xml:space="preserve">VEU POLIESTER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</si>
  <si>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</si>
  <si>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</si>
  <si>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</si>
  <si>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</si>
  <si>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</si>
  <si>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</si>
  <si>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</si>
  <si>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</si>
  <si>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</si>
  <si>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</si>
  <si>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</si>
  <si>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(HORISTA)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</si>
  <si>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</si>
  <si>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</si>
  <si>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</si>
  <si>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</si>
  <si>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</si>
  <si>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</si>
  <si>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</si>
  <si>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</si>
  <si>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</si>
  <si>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</si>
  <si>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</si>
  <si>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</si>
  <si>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</si>
  <si>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</si>
  <si>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</si>
  <si>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</si>
  <si>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</si>
  <si>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</si>
  <si>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</si>
  <si>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</si>
  <si>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</si>
  <si>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</si>
  <si>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</si>
  <si>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</si>
  <si>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</si>
  <si>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</si>
  <si>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</si>
  <si>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</si>
  <si>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</si>
  <si>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</si>
  <si>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 xml:space="preserve">VIGA APARELHADA  *6 X 12* CM, EM MACARANDUBA, ANGELIM OU EQUIVALENTE DA REGIAO                                                                                                                                                                                                                                                                                                                                                                                                                            </t>
  </si>
  <si>
    <t xml:space="preserve">VIGA APARELHADA *6 X 16* CM, EM MACARANDUBA, ANGELIM OU EQUIVALENTE DA REGIAO                                                                                                                                                                                                                                                                                                                                                                                                                             </t>
  </si>
  <si>
    <t xml:space="preserve">VIGA DE ESCORAMAENTO H20, DE MADEIRA, PESO DE 5,00 A 5,20 KG/M, COM EXTREMIDADES PLASTICAS                                                                                                                                                                                                                                                                                                                                                                                                                </t>
  </si>
  <si>
    <t xml:space="preserve">VIGA NAO APARELHADA  *6 X 12* CM, EM MACARANDUBA, ANGELIM OU EQUIVALENTE DA REGIAO - BRUTA                                                                                                                                                                                                                                                                                                                                                                                                                </t>
  </si>
  <si>
    <t xml:space="preserve">VIGA NAO APARELHADA *6 X 16* CM, EM MACARANDUBA, ANGELIM OU EQUIVALENTE DA REGIAO -  BRUTA                                                                                                                                                                                                                                                                                                                                                                                                                </t>
  </si>
  <si>
    <t xml:space="preserve">VIGA NAO APARELHADA *6 X 20* CM, EM MACARANDUBA, ANGELIM OU EQUIVALENTE DA REGIAO - BRUTA                                                                                                                                                                                                                                                                                                                                                                                                                 </t>
  </si>
  <si>
    <t xml:space="preserve">VIGA NAO APARELHADA *8 X 16* CM EM MACARANDUBA, ANGELIM OU EQUIVALENTE DA REGIAO -  BRUTA                                                                                                                                                                                                                                                                                                                                                                                                                 </t>
  </si>
  <si>
    <t xml:space="preserve">VIGIA DIURNO                                                                                                                                                                                                                                                                                                                                                                                                                                                                                              </t>
  </si>
  <si>
    <t xml:space="preserve">VIGIA DIURNO (MENSALISTA)                                                                                                                                                                                                                                                                                                                                                                                                                                                                                 </t>
  </si>
  <si>
    <t xml:space="preserve">VIGIA NOTURNO, HORA EFETIVAMENTE TRABALHADA DE 22 H AS 5 H (COM ADICIONAL NOTURNO)                                                                                                                                                                                                                                                                                                                                                                                                                        </t>
  </si>
  <si>
    <t>TOTAL DE INSUMOS : 5018</t>
  </si>
  <si>
    <t xml:space="preserve">Ref.: Tabela de Serviços
SINAPI (JAN/2023) 
e/ou composições PiniTCPO                                                                              
</t>
  </si>
  <si>
    <t>ENCARGOS SOCIAIS SOBRE A MÃO DE OBRA - VIGENTE APARTIR DE 12/2022</t>
  </si>
  <si>
    <t>REDE SANEAMENTO</t>
  </si>
  <si>
    <t>34.086.617/0001-93</t>
  </si>
  <si>
    <t>(31) 99976-6781</t>
  </si>
  <si>
    <t>12HR*5DIAS*4SEMANAS*6MESES</t>
  </si>
  <si>
    <t>13 670 664 /0001-00</t>
  </si>
  <si>
    <t>(019) 3295-0733</t>
  </si>
  <si>
    <t>SOLUÇÕES PRÁTICAS MT</t>
  </si>
  <si>
    <t>IRMÃOS SALFATIS</t>
  </si>
  <si>
    <t>60.418.480/0001-37</t>
  </si>
  <si>
    <t>(11) 3312-8544</t>
  </si>
  <si>
    <t>LUCAS</t>
  </si>
  <si>
    <t>VOLUME DE ESCAVAÇÃO 2.785,11 M3 -  VOLUME DO TUBO DE 150MM ( 82,92 M³) - VOLUME DA BASE E SUBBASE DO PAVIMENTO (1.716,00 M³) = 986,19 M3</t>
  </si>
  <si>
    <t>CRUZETA DE REDUÇÃO, PVC PBA, DN 100 x 50 MM</t>
  </si>
  <si>
    <t>COORDENAÇÃO DE INFRAESTRUTURA E CAPACITAÇÃO</t>
  </si>
  <si>
    <t>SITE: amm.org.br   -   E-mail: centraldeprojetos@amm.org.br</t>
  </si>
  <si>
    <t>PLANILHA PARA CÁCULO DE REMOÇÃO DE PAVIMENTO (ADUTORA)</t>
  </si>
  <si>
    <t>LOGRADOURO</t>
  </si>
  <si>
    <t>EXTENSÃO</t>
  </si>
  <si>
    <t>LARGURA</t>
  </si>
  <si>
    <t xml:space="preserve">ÁREA </t>
  </si>
  <si>
    <t>T1</t>
  </si>
  <si>
    <t>T2</t>
  </si>
  <si>
    <t>T3</t>
  </si>
  <si>
    <t>T10</t>
  </si>
  <si>
    <t>TOTAL &gt;&gt;&gt;</t>
  </si>
  <si>
    <t>CÁLCULO QUANTITATIVO DE BASE E TRANSPORTE PARA RECOMPOSIÇÃO DE PAVIMENTO (ADUTORA)</t>
  </si>
  <si>
    <t>ÁREA</t>
  </si>
  <si>
    <t>ESPESSURA DA CAMADA</t>
  </si>
  <si>
    <t>VOLUME</t>
  </si>
  <si>
    <t>FATOR EMPOLAMENTO</t>
  </si>
  <si>
    <t>TRANSPORTE PAV.</t>
  </si>
  <si>
    <t>TRANSPORTE Ñ PAV.</t>
  </si>
  <si>
    <t>DMT</t>
  </si>
  <si>
    <t>MOM. DE TRANSP.</t>
  </si>
  <si>
    <t>(m³)</t>
  </si>
  <si>
    <t>(km)</t>
  </si>
  <si>
    <t>(m³.km)</t>
  </si>
  <si>
    <t>T4</t>
  </si>
  <si>
    <t>T5</t>
  </si>
  <si>
    <t>T6</t>
  </si>
  <si>
    <t>T7</t>
  </si>
  <si>
    <t>T8</t>
  </si>
  <si>
    <t>T9</t>
  </si>
  <si>
    <t>T11</t>
  </si>
  <si>
    <t>T12</t>
  </si>
  <si>
    <t>T13</t>
  </si>
  <si>
    <t>¹ Transporte com caminhao basculante 14 m3, em via urbana pavimentada</t>
  </si>
  <si>
    <t>² Transporte com caminhao basculante 14 m3, em via urbana em revestimento primário</t>
  </si>
  <si>
    <t>LOCALIZAÇÃO DE JAZIDA</t>
  </si>
  <si>
    <t xml:space="preserve">DMT: </t>
  </si>
  <si>
    <t>2,81 KM</t>
  </si>
  <si>
    <t>TRECHO PAVIMENTADO</t>
  </si>
  <si>
    <t>33,00 KM</t>
  </si>
  <si>
    <t>TRECHO NÃO PAVIMENTADO</t>
  </si>
  <si>
    <t>COORDENADA:</t>
  </si>
  <si>
    <t>9°27'32.16"S</t>
  </si>
  <si>
    <t>57°22'0.53"O</t>
  </si>
  <si>
    <t>CÁLCULO QUANTITATIVO DE SUB-BASE E TRANSPORTE PARA RECOMPOSIÇÃO DE PAVIMENTO (ADUTORA)</t>
  </si>
  <si>
    <t>TRANSPORTE NPAV.</t>
  </si>
  <si>
    <t>PLANILHA PARA CÁCULO DE IMPRIMAÇÃO E CM-30 PARA RECOMPOSIÇÃO DE PAVIMENTO (ADUTORA)</t>
  </si>
  <si>
    <t>TAXA DE APLIC.</t>
  </si>
  <si>
    <t>QUANT. CM-30</t>
  </si>
  <si>
    <t>(t/m²)</t>
  </si>
  <si>
    <t>(t)</t>
  </si>
  <si>
    <t>PLANILHA PARA CÁLCULO DE RR-2C PARA RECOMPOSIÇÃO DE PAVIMENTO (ADUTORA)</t>
  </si>
  <si>
    <t>QUANT. RR-2C</t>
  </si>
  <si>
    <t>PLANILHA PARA CÁLCULO DE TRANSPORTE DE MATERIAIS DE PAVIMENTAÇÃO PARA RECOMPOSIÇÃO DE PAVIMENTO (ADUTORA)</t>
  </si>
  <si>
    <t>TRANSPORTE DE BRITA PARA TSD</t>
  </si>
  <si>
    <t>QUANT. TRABALHO</t>
  </si>
  <si>
    <t>BRITA 0</t>
  </si>
  <si>
    <t>BRITA 1</t>
  </si>
  <si>
    <t>TRECHO PAVIMENTADO           ATÉ 30 KM</t>
  </si>
  <si>
    <t>TRECHO PAVIMENTADO EXCEDENTE Á 30 KM</t>
  </si>
  <si>
    <t>MOMENTO DE TRANSP*.</t>
  </si>
  <si>
    <t>FATOR</t>
  </si>
  <si>
    <t xml:space="preserve"> ( m³.km )</t>
  </si>
  <si>
    <t>DMT:</t>
  </si>
  <si>
    <t>168,00 KM</t>
  </si>
  <si>
    <t>COORDENADAS:</t>
  </si>
  <si>
    <t>9°52'43.90"S</t>
  </si>
  <si>
    <t>56° 9'50.06"O</t>
  </si>
  <si>
    <t>PLANILHA PARA CÁLCULO DE TRANPORTE DE MATERIAL BETUMINOSO PARA RECOMPOSIÇÃO DE PAVIMENTO (ADUTORA)</t>
  </si>
  <si>
    <t>CM-30</t>
  </si>
  <si>
    <t>F. UTILIZAÇÃO</t>
  </si>
  <si>
    <t>PESO ( t ) A</t>
  </si>
  <si>
    <t>TRECHO PAVIMENTADO ATÉ 30 KM</t>
  </si>
  <si>
    <t>TRECHO PAVIMENTADO                                    EXCEDENTE ATÉ 30 KM</t>
  </si>
  <si>
    <t>MOMENTO DE TRANSPORTE</t>
  </si>
  <si>
    <t>TRANSPORTAR</t>
  </si>
  <si>
    <t xml:space="preserve"> ( t.km )</t>
  </si>
  <si>
    <t>t</t>
  </si>
  <si>
    <t>* TRANSPORTE COM CAMINHÃO TANQUE DE TRANSPORTE DE MATERIAL ASFÁLTICO DE 30000 L, EM VIA URBANA PAVIMENTADA, DMT ATÉ 30KM (UNIDADE: TXKM). AF_07/2020</t>
  </si>
  <si>
    <t>* TRANSPORTE COM CAMINHÃO TANQUE DE TRANSPORTE DE MATERIAL ASFÁLTICO DE 30000 L, EM VIA URBANA PAVIMENTADA, ADICIONAL PARA DMT EXCEDENTE A 30 KM (UNIDADE: TXKM). AF_07/2020</t>
  </si>
  <si>
    <t>RR-2C</t>
  </si>
  <si>
    <t>972,00 KM</t>
  </si>
  <si>
    <t>COORDENADAS</t>
  </si>
  <si>
    <t>15°39'12.99"S</t>
  </si>
  <si>
    <t>55°59'20.53"O</t>
  </si>
  <si>
    <t>PREÇO MÉDIO MENSAL PONDERADO PRATICADO PELOS DISTRIBUIDORES DE PRODUTOS ASFÁLTICOS (R$/KG) - (CM 30)</t>
  </si>
  <si>
    <t>* ACESSADA DIA 31/03/2022</t>
  </si>
  <si>
    <t>ASFALTOS DILUÍDOS CM-30</t>
  </si>
  <si>
    <t>COMPOSIÇÃO</t>
  </si>
  <si>
    <t xml:space="preserve">OBRA: </t>
  </si>
  <si>
    <t>PROP.:</t>
  </si>
  <si>
    <t>COMPOSIÇÃO DE PREÇO UNITÁRIO</t>
  </si>
  <si>
    <t>SERVIÇO:</t>
  </si>
  <si>
    <t>EXECUÇÃO DE IMPRIMAÇÃO COM ASFALTO DILUÍDO CM-30. AF_11/2019</t>
  </si>
  <si>
    <t>UNIDADE:</t>
  </si>
  <si>
    <t>CÓDIGO:</t>
  </si>
  <si>
    <t>COMP PAV 001</t>
  </si>
  <si>
    <t>CÓDIGO REFERÊNCIA:                                           (SINAPI JANEIRO/2023)</t>
  </si>
  <si>
    <t>COEFICIENTE</t>
  </si>
  <si>
    <t>CUSTO</t>
  </si>
  <si>
    <t>HORÁRIO (R$)</t>
  </si>
  <si>
    <t>HORÁRIO TOTAL (R$)</t>
  </si>
  <si>
    <t>ASFALTO DILUIDO DE PETROLEO CM-30</t>
  </si>
  <si>
    <t>CUSTO UNITÁRIO TOTAL  :</t>
  </si>
  <si>
    <t>* Valores das emulsões asfálticas adotados pela tabela da ANP</t>
  </si>
  <si>
    <t>PAVIMENTO COM TRATAMENTO SUPERFICIAL DUPLO, COM EMULSÃO ASFÁLTICA RR-2C, COM BANHO DILUÍDO. AF_01/2020</t>
  </si>
  <si>
    <t>COMP PAV 002</t>
  </si>
  <si>
    <t>m³</t>
  </si>
  <si>
    <t>Kg</t>
  </si>
  <si>
    <t>PEDRA BRITADA N. 0, OU PEDRISCO (4,8 A 9,5 MM)</t>
  </si>
  <si>
    <t>DATA DA COTAÇÃO</t>
  </si>
  <si>
    <t>DADOS DA COTAÇÃO</t>
  </si>
  <si>
    <t>PRODUTO</t>
  </si>
  <si>
    <t>DADOS DA EMPRESA</t>
  </si>
  <si>
    <t>PREÇO</t>
  </si>
  <si>
    <t>EMPRESA</t>
  </si>
  <si>
    <t>LOCALIZAÇÃO</t>
  </si>
  <si>
    <t>ITACARÉ COMÉRCIO DE PEDRAS</t>
  </si>
  <si>
    <t>ALTA FLORESTA-MT</t>
  </si>
  <si>
    <t>(66) 3521-1514</t>
  </si>
  <si>
    <t>FRANCIELE</t>
  </si>
  <si>
    <t>45.408.594/0001-02</t>
  </si>
  <si>
    <t>ALMEIDA'S MINERAÇÃO E TERRAPLENAGEM</t>
  </si>
  <si>
    <t>NOVA SANTA HELENA-MT</t>
  </si>
  <si>
    <t>(66) 3531-0116</t>
  </si>
  <si>
    <t>07.803.838/0002-43</t>
  </si>
  <si>
    <t>TRANSPEDRA MINERAÇÃO EIRELLI EPP</t>
  </si>
  <si>
    <t>MATUPA-MT</t>
  </si>
  <si>
    <t>(66) 3511-4800</t>
  </si>
  <si>
    <t>Kauã Queiroz</t>
  </si>
  <si>
    <t>70.494.802/0001-80</t>
  </si>
  <si>
    <t>VALOR ADOTADO &gt;&gt;&gt;</t>
  </si>
  <si>
    <t>* Para o cálculo dos valores em M³, foi-se adotado um peso específico 1,5 t/m³ (Execeto para valores de peso específico informados)</t>
  </si>
  <si>
    <t xml:space="preserve">Pesquisa de Mercado: </t>
  </si>
  <si>
    <t xml:space="preserve">Na cotação direta com os fornecedores somente serão admitidos os preços cujas datas não se diferenciem em mais de 180 (cento e oitenta) dias, ou seja, nenhuma proposta direta de fornecedor deve conter diferença de data maior que 180 dias quando comparadas às demais em um grupo de pesquisa de preços junto a fornecedores no mesmo processo. </t>
  </si>
  <si>
    <t xml:space="preserve">A partir das cotações obtidas, deve-se realizar algum tratamento estatístico sobre os valores coletados para se obter um custo referencial. Entre outros critérios, pode ser utilizada a média, mediana, moda, primeiro quartil ou valor mínimo dos dados pesquisados. Nesse aspecto, a Instrução Normativa SLTI/MPOG nº 7/2014 dispõe que o resultado da pesquisa de preços será a média ou o menor dos preços obtidos, podendo o gestor adotar a forma que melhor atenda ao objeto a ser contratado e à realidade local. </t>
  </si>
  <si>
    <t xml:space="preserve">O TCU no Acórdão 7.290/2013 –  Segunda Câmara entendeu que, quando da pesquisa de preços de mercado para definição de valores referenciais de licitações, devem ser adotadas as cotações mínimas encontradas sempre que se tratar de insumo ou equipamento fornecido exclusivamente por um conjunto restrito de empresas. </t>
  </si>
  <si>
    <t>Fonte: TCU - ORIENTAÇÕES PARA ELABORAÇÃO DE PLANILHAS ORÇAMENTÁRIAS  DE OBRAS PÚBLICAS</t>
  </si>
  <si>
    <t>PEDRA BRITADA N. 1 (9,5 a 19 MM)</t>
  </si>
  <si>
    <r>
      <t>LOCAL:</t>
    </r>
    <r>
      <rPr>
        <sz val="10"/>
        <rFont val="Arial"/>
        <family val="2"/>
      </rPr>
      <t/>
    </r>
  </si>
  <si>
    <t>PROPRIETÁRIO:</t>
  </si>
  <si>
    <t>PLANILHA PARA CÁLCULO DE VALOR DE TRANSPORTE DE BRITA PARA SERVIÇOS DE PAVIMENTAÇÃO E CALÇADA</t>
  </si>
  <si>
    <t>PEDREIRA</t>
  </si>
  <si>
    <t>QUANT. DE BRITA PARA TSD (BRITA Nº0)</t>
  </si>
  <si>
    <t>QUANT. DE BRITA PARA TSD (BRITA Nº1)</t>
  </si>
  <si>
    <t>QUANT. DE BRITA PARA CALÇADAS (BRITA Nº1)</t>
  </si>
  <si>
    <t>PREÇO DE AQUISIÇÃO DE BRITA Nº0</t>
  </si>
  <si>
    <t>PREÇO DE AQUISIÇÃO DE BRITA Nº1</t>
  </si>
  <si>
    <t>PREÇO TOTAL DE BRITA Nº0</t>
  </si>
  <si>
    <t>PREÇO TOTAL DE BRITA Nº1 (PAVIMENTO + CALÇADA)</t>
  </si>
  <si>
    <t>QUANT. DE TRANSPORTE ATÉ A OBRA</t>
  </si>
  <si>
    <t>VALOR DO TRANSPORTE DE BRITA</t>
  </si>
  <si>
    <t>TOTAL DE TRANSPORTE DE BRITA</t>
  </si>
  <si>
    <t>PREÇO TOTAL (AQUISIÇÃO DE BRITA Nº0 E Nº + TRANSPORTE)</t>
  </si>
  <si>
    <t>(Km)</t>
  </si>
  <si>
    <t>(R$ por m³)</t>
  </si>
  <si>
    <t>(R$)</t>
  </si>
  <si>
    <t>(m³xKm)</t>
  </si>
  <si>
    <t>(R$ por m³xKm)</t>
  </si>
  <si>
    <t>Obs¹: Para Cálculo do valor de transporte foi utilizado o serviço 5915321 da tabela de composição da SICRO OUTUBRO/2022 (TRANSPORTE COM CAMINHÃO BASCULANTE DE 14 M³ - RODOVIA PAVIMENTADA)</t>
  </si>
  <si>
    <t>Obs²: Para Cálculo do quantitativo de de brita para calçada foi utilizado (volume de concreto de calçada 129,951 (ver memoria de cálculo de calçadas) x coeficiente de consumo de concreto para calçada 1,213 x coeficiente de consumo de brita nº1 para concreto 0,587)</t>
  </si>
  <si>
    <t>Obs³: Para conferencia dos coeficientes de consumo, ver pagina da composição do serviço 94990 execução de passeio (calçada) ou piso de concreto com concreto moldado in loco, feito em obra, acabamento convencional, não armado. af_07/2016</t>
  </si>
  <si>
    <t>Obs⁴: Para conferencia dos coeficientes de consumo, ver pagina da composição do serviço 94964 concreto fck = 20mpa, traço 1:2,7:3 (cimento/ areia média/ brita 1)  - preparo mecânico com betoneira 400 l. af_07/2016</t>
  </si>
  <si>
    <t>AMM PAV</t>
  </si>
  <si>
    <t>PLANILHA PARA CÁCULO DE REMOÇÃO DE PAVIMENTO (REDE)</t>
  </si>
  <si>
    <t>T19</t>
  </si>
  <si>
    <t>T20</t>
  </si>
  <si>
    <t>T21</t>
  </si>
  <si>
    <t>T22</t>
  </si>
  <si>
    <t>T26</t>
  </si>
  <si>
    <t>T27</t>
  </si>
  <si>
    <t>T28</t>
  </si>
  <si>
    <t>T29</t>
  </si>
  <si>
    <t>T30</t>
  </si>
  <si>
    <t>T31</t>
  </si>
  <si>
    <t>T32</t>
  </si>
  <si>
    <t>T47</t>
  </si>
  <si>
    <t>T48</t>
  </si>
  <si>
    <t>T49</t>
  </si>
  <si>
    <t>T50</t>
  </si>
  <si>
    <t>T51</t>
  </si>
  <si>
    <t>T52</t>
  </si>
  <si>
    <t>T62</t>
  </si>
  <si>
    <t>T63</t>
  </si>
  <si>
    <t>T74</t>
  </si>
  <si>
    <t>T75</t>
  </si>
  <si>
    <t>T76</t>
  </si>
  <si>
    <t>T77</t>
  </si>
  <si>
    <t>T78</t>
  </si>
  <si>
    <t>T79</t>
  </si>
  <si>
    <t>T80</t>
  </si>
  <si>
    <t>T81</t>
  </si>
  <si>
    <t>T82</t>
  </si>
  <si>
    <t>T83</t>
  </si>
  <si>
    <t>T84</t>
  </si>
  <si>
    <t>T85</t>
  </si>
  <si>
    <t>T86</t>
  </si>
  <si>
    <t>T87</t>
  </si>
  <si>
    <t>T88</t>
  </si>
  <si>
    <t>T99</t>
  </si>
  <si>
    <t>T101</t>
  </si>
  <si>
    <t>T102</t>
  </si>
  <si>
    <t>T105</t>
  </si>
  <si>
    <t>T106</t>
  </si>
  <si>
    <t>T107</t>
  </si>
  <si>
    <t>T108</t>
  </si>
  <si>
    <t>T109</t>
  </si>
  <si>
    <t>T115</t>
  </si>
  <si>
    <t>T116</t>
  </si>
  <si>
    <t>T117</t>
  </si>
  <si>
    <t>T118</t>
  </si>
  <si>
    <t>T119</t>
  </si>
  <si>
    <t>T124</t>
  </si>
  <si>
    <t>T125</t>
  </si>
  <si>
    <t>T126</t>
  </si>
  <si>
    <t>CÁLCULO QUANTITATIVO DE BASE E TRANSPORTE PARA RECOMPOSIÇÃO DE PAVIMENTO (REDE)</t>
  </si>
  <si>
    <t>0,00KM</t>
  </si>
  <si>
    <t>33,60 KM</t>
  </si>
  <si>
    <t>CÁLCULO QUANTITATIVO DE SUB-BASE E TRANSPORTE PARA RECOMPOSIÇÃO DE PAVIMENTO (REDE)</t>
  </si>
  <si>
    <t>PLANILHA PARA CÁCULO DE IMPRIMAÇÃO E CM-30 PARA RECOMPOSIÇÃO DE PAVIMENTO (REDE)</t>
  </si>
  <si>
    <t>PLANILHA PARA CÁLCULO DE RR-2C PARA RECOMPOSIÇÃO DE PAVIMENTO (REDE)</t>
  </si>
  <si>
    <t>PLANILHA PARA CÁLCULO DE TRANSPORTE DE MATERIAIS DE PAVIMENTAÇÃO PARA RECOMPOSIÇÃO DE PAVIMENTO (REDE)</t>
  </si>
  <si>
    <t>PLANILHA PARA CÁLCULO DE TRANPORTE DE MATERIAL BETUMINOSO PARA RECOMPOSIÇÃO DE PAVIMENTO (REDE)</t>
  </si>
  <si>
    <t>CONFORME PROJETO DE PAVIMENTAÇÃO</t>
  </si>
  <si>
    <t>SERÁ REALIZADA LOCAÇÃO DA ADUTORA COM EXTENSÃO DE 3.655,00 METROS DE REDE</t>
  </si>
  <si>
    <t>SERÁ EXECUTADO O CADASTRO DOS 3.655,00 METROS DA ADUTORA</t>
  </si>
  <si>
    <t>INSTALAÇÃO DOS GABARITOS PARA LOCAÇÃO DO RESERVATÓRIO</t>
  </si>
  <si>
    <t>EXTENSÃO DA REDE (3.655,00M) X [PROFUNDIDADE DO RECOBRIMENTO (1,00 M)+ DIÂMETRO EXTERNO DO TUBO (0,17M) + CAMADA DE AREIA (0,10M)] X LARGURA DA VALA (0,60 M) = 2.785,11 M3</t>
  </si>
  <si>
    <t>* As cotações fornecidas pelas empresas seguem em anexo (Foi Utilizada a ITACARÉ, pois é a mais próxima e benefica ao Município de Apiacás - MT)</t>
  </si>
  <si>
    <t>VOLUME DE ESCAVAÇÃO (9.952,56 M3) - VOLUME DE REATERRO (8.077,51 M3) * DISTÂNCIA = 9.375,25 M3</t>
  </si>
  <si>
    <t>EXTENSÃO DA REDE (12.125,84 M) X LARGURA DA VALA (0,60 M) X ALTURA DO LASTRO (0,1 M)  = 727,55 M3</t>
  </si>
  <si>
    <t>MULT-HIDRO</t>
  </si>
  <si>
    <t>00.639.844/0003-49</t>
  </si>
  <si>
    <t>(11) 2082-9800</t>
  </si>
  <si>
    <t>DANTE</t>
  </si>
  <si>
    <t>8HR*5DIAS*4SEMANAS*6MESES</t>
  </si>
  <si>
    <t>GRÁFICA PRINT</t>
  </si>
  <si>
    <t>73.783.649/0001-08</t>
  </si>
  <si>
    <t>(65) 3617-7600</t>
  </si>
  <si>
    <t>ARACELLI</t>
  </si>
  <si>
    <t>Ref.: Tabela de Serviços
SINAPI (JAN/2023)                                                                               
e/ou composições PiniTCPO (DESONERADO)</t>
  </si>
</sst>
</file>

<file path=xl/styles.xml><?xml version="1.0" encoding="utf-8"?>
<styleSheet xmlns="http://schemas.openxmlformats.org/spreadsheetml/2006/main">
  <numFmts count="43">
    <numFmt numFmtId="44" formatCode="_-&quot;R$&quot;\ * #,##0.00_-;\-&quot;R$&quot;\ * #,##0.00_-;_-&quot;R$&quot;\ * &quot;-&quot;??_-;_-@_-"/>
    <numFmt numFmtId="43" formatCode="_-* #,##0.00_-;\-* #,##0.00_-;_-* &quot;-&quot;??_-;_-@_-"/>
    <numFmt numFmtId="164" formatCode="_-&quot;R$&quot;* #,##0.00_-;\-&quot;R$&quot;* #,##0.00_-;_-&quot;R$&quot;* &quot;-&quot;??_-;_-@_-"/>
    <numFmt numFmtId="165" formatCode="_(&quot;R$ &quot;* #,##0.00_);_(&quot;R$ &quot;* \(#,##0.00\);_(&quot;R$ &quot;* &quot;-&quot;??_);_(@_)"/>
    <numFmt numFmtId="166" formatCode="_(* #,##0.00_);_(* \(#,##0.00\);_(* &quot;-&quot;??_);_(@_)"/>
    <numFmt numFmtId="167" formatCode="0.000"/>
    <numFmt numFmtId="168" formatCode="0.0000"/>
    <numFmt numFmtId="169" formatCode="0.0000000"/>
    <numFmt numFmtId="170" formatCode="_-* #,##0.00\ _€_-;\-* #,##0.00\ _€_-;_-* &quot;-&quot;??\ _€_-;_-@_-"/>
    <numFmt numFmtId="171" formatCode="#\,##0."/>
    <numFmt numFmtId="172" formatCode="_(&quot;$&quot;* #,##0_);_(&quot;$&quot;* \(#,##0\);_(&quot;$&quot;* &quot;-&quot;_);_(@_)"/>
    <numFmt numFmtId="173" formatCode="_(&quot;$&quot;* #,##0.00_);_(&quot;$&quot;* \(#,##0.00\);_(&quot;$&quot;* &quot;-&quot;??_);_(@_)"/>
    <numFmt numFmtId="174" formatCode="\$#."/>
    <numFmt numFmtId="175" formatCode="#,##0.00&quot; &quot;;&quot; (&quot;#,##0.00&quot;)&quot;;&quot; -&quot;#&quot; &quot;;@&quot; &quot;"/>
    <numFmt numFmtId="176" formatCode="#,##0.00&quot; &quot;;&quot;-&quot;#,##0.00&quot; &quot;;&quot; -&quot;#&quot; &quot;;@&quot; &quot;"/>
    <numFmt numFmtId="177" formatCode="#.00"/>
    <numFmt numFmtId="178" formatCode="0.00_)"/>
    <numFmt numFmtId="179" formatCode="%#.00"/>
    <numFmt numFmtId="180" formatCode="#\,##0.00"/>
    <numFmt numFmtId="181" formatCode="[$R$-416]&quot; &quot;#,##0.00;[Red]&quot;-&quot;[$R$-416]&quot; &quot;#,##0.00"/>
    <numFmt numFmtId="182" formatCode="#,"/>
    <numFmt numFmtId="183" formatCode="_(* #,##0_);_(* \(#,##0\);_(* &quot;-&quot;_);_(@_)"/>
    <numFmt numFmtId="184" formatCode="_(* #,##0.000_);_(* \(#,##0.000\);_(* &quot;-&quot;??_);_(@_)"/>
    <numFmt numFmtId="185" formatCode="_([$€-2]* #,##0.00_);_([$€-2]* \(#,##0.00\);_([$€-2]* &quot;-&quot;??_)"/>
    <numFmt numFmtId="186" formatCode="&quot;Verdadeiro&quot;;&quot;Verdadeiro&quot;;&quot;Falso&quot;"/>
    <numFmt numFmtId="187" formatCode="[$€]#,##0.00_);[Red]\([$€]#,##0.00\)"/>
    <numFmt numFmtId="188" formatCode="#,##0.000_);\(#,##0.000\)"/>
    <numFmt numFmtId="189" formatCode="[$R$ -416]#,##0.00"/>
    <numFmt numFmtId="190" formatCode="&quot;R$ &quot;#,##0.00"/>
    <numFmt numFmtId="191" formatCode="_(* #,##0.00_);_(* \(#,##0.00\);_(* \-??_);_(@_)"/>
    <numFmt numFmtId="192" formatCode="_-&quot;$&quot;\ * #,##0.00_-;\-&quot;$&quot;\ * #,##0.00_-;_-&quot;$&quot;\ * &quot;-&quot;??_-;_-@_-"/>
    <numFmt numFmtId="193" formatCode="&quot;R$&quot;#,##0.00"/>
    <numFmt numFmtId="194" formatCode="_-[$R$-416]\ * #,##0.00_-;\-[$R$-416]\ * #,##0.00_-;_-[$R$-416]\ * &quot;-&quot;??_-;_-@_-"/>
    <numFmt numFmtId="195" formatCode="#,###\ &quot;dias&quot;"/>
    <numFmt numFmtId="196" formatCode="#,##0.000"/>
    <numFmt numFmtId="197" formatCode="[$-416]mmmm\-yy;@"/>
    <numFmt numFmtId="198" formatCode="#,##0.000000"/>
    <numFmt numFmtId="199" formatCode="0.00000"/>
    <numFmt numFmtId="200" formatCode="#,##0.00000"/>
    <numFmt numFmtId="201" formatCode="#,##0.0000"/>
    <numFmt numFmtId="202" formatCode="#,##0.00\ "/>
    <numFmt numFmtId="203" formatCode="0.000000"/>
    <numFmt numFmtId="204" formatCode="&quot;Cr$&quot;#,##0_);\(&quot;Cr$&quot;#,##0\)"/>
  </numFmts>
  <fonts count="179">
    <font>
      <sz val="11"/>
      <color theme="1"/>
      <name val="Calibri"/>
      <family val="2"/>
      <scheme val="minor"/>
    </font>
    <font>
      <sz val="11"/>
      <color theme="1"/>
      <name val="Calibri"/>
      <family val="2"/>
      <scheme val="minor"/>
    </font>
    <font>
      <sz val="12"/>
      <color theme="1"/>
      <name val="Arial"/>
      <family val="2"/>
    </font>
    <font>
      <b/>
      <sz val="12"/>
      <name val="Arial"/>
      <family val="2"/>
    </font>
    <font>
      <sz val="12"/>
      <name val="Arial"/>
      <family val="2"/>
    </font>
    <font>
      <sz val="10"/>
      <name val="Arial"/>
      <family val="2"/>
    </font>
    <font>
      <sz val="11"/>
      <color indexed="8"/>
      <name val="Calibri"/>
      <family val="2"/>
    </font>
    <font>
      <sz val="10"/>
      <name val="Arial"/>
      <family val="2"/>
    </font>
    <font>
      <sz val="9"/>
      <color indexed="10"/>
      <name val="Geneva"/>
      <family val="2"/>
    </font>
    <font>
      <u/>
      <sz val="10"/>
      <color indexed="12"/>
      <name val="Arial"/>
      <family val="2"/>
    </font>
    <font>
      <u/>
      <sz val="10"/>
      <color theme="10"/>
      <name val="Arial"/>
      <family val="2"/>
    </font>
    <font>
      <sz val="1"/>
      <name val="Arial"/>
      <family val="2"/>
    </font>
    <font>
      <b/>
      <sz val="20"/>
      <name val="Arial"/>
      <family val="2"/>
    </font>
    <font>
      <sz val="14"/>
      <name val="Arial"/>
      <family val="2"/>
    </font>
    <font>
      <b/>
      <sz val="14"/>
      <name val="Arial"/>
      <family val="2"/>
    </font>
    <font>
      <sz val="3"/>
      <name val="Arial"/>
      <family val="2"/>
    </font>
    <font>
      <b/>
      <sz val="21.5"/>
      <name val="Arial"/>
      <family val="2"/>
    </font>
    <font>
      <b/>
      <sz val="11"/>
      <name val="Arial"/>
      <family val="2"/>
    </font>
    <font>
      <b/>
      <sz val="10"/>
      <name val="Arial"/>
      <family val="2"/>
    </font>
    <font>
      <b/>
      <sz val="8"/>
      <name val="Arial"/>
      <family val="2"/>
    </font>
    <font>
      <sz val="30"/>
      <name val="Arial"/>
      <family val="2"/>
    </font>
    <font>
      <b/>
      <sz val="30"/>
      <color rgb="FFFF0000"/>
      <name val="Arial"/>
      <family val="2"/>
    </font>
    <font>
      <b/>
      <sz val="30"/>
      <name val="Arial"/>
      <family val="2"/>
    </font>
    <font>
      <b/>
      <sz val="9"/>
      <name val="Arial"/>
      <family val="2"/>
    </font>
    <font>
      <b/>
      <sz val="3"/>
      <name val="Arial"/>
      <family val="2"/>
    </font>
    <font>
      <b/>
      <sz val="18"/>
      <name val="Arial"/>
      <family val="2"/>
    </font>
    <font>
      <sz val="10"/>
      <color indexed="10"/>
      <name val="Arial"/>
      <family val="2"/>
    </font>
    <font>
      <b/>
      <sz val="1"/>
      <name val="Arial"/>
      <family val="2"/>
    </font>
    <font>
      <b/>
      <sz val="14"/>
      <color theme="0"/>
      <name val="Arial"/>
      <family val="2"/>
    </font>
    <font>
      <b/>
      <sz val="12"/>
      <color theme="1"/>
      <name val="Calibri"/>
      <family val="2"/>
      <scheme val="minor"/>
    </font>
    <font>
      <sz val="48"/>
      <name val="Arial"/>
      <family val="2"/>
    </font>
    <font>
      <sz val="11"/>
      <name val="Arial"/>
      <family val="2"/>
    </font>
    <font>
      <sz val="10"/>
      <color rgb="FFFF0000"/>
      <name val="Arial"/>
      <family val="2"/>
    </font>
    <font>
      <b/>
      <sz val="1.5"/>
      <name val="Arial"/>
      <family val="2"/>
    </font>
    <font>
      <sz val="1.5"/>
      <color theme="1"/>
      <name val="Calibri"/>
      <family val="2"/>
      <scheme val="minor"/>
    </font>
    <font>
      <sz val="12"/>
      <color indexed="8"/>
      <name val="Arial"/>
      <family val="2"/>
    </font>
    <font>
      <sz val="8"/>
      <name val="Arial"/>
      <family val="2"/>
    </font>
    <font>
      <sz val="10"/>
      <color indexed="8"/>
      <name val="Arial"/>
      <family val="2"/>
    </font>
    <font>
      <u/>
      <sz val="11"/>
      <color theme="10"/>
      <name val="Calibri"/>
      <family val="2"/>
      <scheme val="minor"/>
    </font>
    <font>
      <sz val="10"/>
      <color indexed="8"/>
      <name val="MS Sans Serif"/>
      <family val="2"/>
    </font>
    <font>
      <sz val="10"/>
      <color rgb="FF000000"/>
      <name val="Arial1"/>
    </font>
    <font>
      <sz val="1"/>
      <color indexed="8"/>
      <name val="Courier"/>
      <family val="3"/>
    </font>
    <font>
      <sz val="11"/>
      <color rgb="FF000000"/>
      <name val="Calibri"/>
      <family val="2"/>
    </font>
    <font>
      <u/>
      <sz val="6"/>
      <color indexed="36"/>
      <name val="MS Sans Serif"/>
      <family val="2"/>
    </font>
    <font>
      <b/>
      <i/>
      <sz val="16"/>
      <color rgb="FF000000"/>
      <name val="Arial"/>
      <family val="2"/>
    </font>
    <font>
      <u/>
      <sz val="11"/>
      <color indexed="12"/>
      <name val="Arial"/>
      <family val="2"/>
    </font>
    <font>
      <sz val="10"/>
      <name val="Courier"/>
      <family val="3"/>
    </font>
    <font>
      <sz val="12"/>
      <name val="Times New Roman"/>
      <family val="1"/>
    </font>
    <font>
      <sz val="11"/>
      <color rgb="FF000000"/>
      <name val="Arial"/>
      <family val="2"/>
    </font>
    <font>
      <sz val="11"/>
      <color indexed="8"/>
      <name val="Arial"/>
      <family val="2"/>
    </font>
    <font>
      <b/>
      <i/>
      <sz val="16"/>
      <name val="Helv"/>
    </font>
    <font>
      <sz val="10"/>
      <name val="Times New Roman"/>
      <family val="1"/>
    </font>
    <font>
      <b/>
      <i/>
      <u/>
      <sz val="11"/>
      <color rgb="FF000000"/>
      <name val="Arial"/>
      <family val="2"/>
    </font>
    <font>
      <sz val="10"/>
      <name val="MS Sans Serif"/>
      <family val="2"/>
    </font>
    <font>
      <sz val="1"/>
      <color indexed="18"/>
      <name val="Courier"/>
      <family val="3"/>
    </font>
    <font>
      <b/>
      <sz val="1"/>
      <color indexed="8"/>
      <name val="Courier"/>
      <family val="3"/>
    </font>
    <font>
      <b/>
      <sz val="11"/>
      <color theme="1"/>
      <name val="Calibri"/>
      <family val="2"/>
      <scheme val="minor"/>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u/>
      <sz val="8.5"/>
      <color theme="10"/>
      <name val="Arial"/>
      <family val="2"/>
    </font>
    <font>
      <sz val="20"/>
      <color rgb="FFFF0000"/>
      <name val="Arial"/>
      <family val="2"/>
    </font>
    <font>
      <b/>
      <sz val="16"/>
      <name val="Arial"/>
      <family val="2"/>
    </font>
    <font>
      <b/>
      <sz val="22"/>
      <name val="Arial"/>
      <family val="2"/>
    </font>
    <font>
      <b/>
      <sz val="12"/>
      <color indexed="8"/>
      <name val="Arial"/>
      <family val="2"/>
    </font>
    <font>
      <sz val="4"/>
      <name val="Arial"/>
      <family val="2"/>
    </font>
    <font>
      <sz val="4"/>
      <color indexed="50"/>
      <name val="Arial"/>
      <family val="2"/>
    </font>
    <font>
      <b/>
      <sz val="12"/>
      <color indexed="8"/>
      <name val="Calibri"/>
      <family val="2"/>
    </font>
    <font>
      <sz val="18"/>
      <name val="Arial"/>
      <family val="2"/>
    </font>
    <font>
      <sz val="12"/>
      <color rgb="FF333333"/>
      <name val="Arial"/>
      <family val="2"/>
    </font>
    <font>
      <b/>
      <sz val="12"/>
      <color rgb="FFFF0000"/>
      <name val="Arial"/>
      <family val="2"/>
    </font>
    <font>
      <b/>
      <sz val="12"/>
      <color theme="1"/>
      <name val="Arial"/>
      <family val="2"/>
    </font>
    <font>
      <sz val="12"/>
      <color rgb="FF000000"/>
      <name val="Arial"/>
      <family val="2"/>
    </font>
    <font>
      <b/>
      <sz val="16"/>
      <color rgb="FFFFFFFF"/>
      <name val="Arial"/>
      <family val="2"/>
    </font>
    <font>
      <b/>
      <sz val="12"/>
      <color rgb="FF000000"/>
      <name val="Arial"/>
      <family val="2"/>
    </font>
    <font>
      <b/>
      <sz val="12"/>
      <color rgb="FFFFFFFF"/>
      <name val="Arial"/>
      <family val="2"/>
    </font>
    <font>
      <sz val="10"/>
      <name val="Arial"/>
      <family val="2"/>
    </font>
    <font>
      <sz val="10"/>
      <color theme="1"/>
      <name val="Arial"/>
      <family val="2"/>
    </font>
    <font>
      <b/>
      <i/>
      <sz val="10"/>
      <name val="Arial"/>
      <family val="2"/>
    </font>
    <font>
      <sz val="12"/>
      <color indexed="8"/>
      <name val="Times New Roman"/>
      <family val="2"/>
    </font>
    <font>
      <sz val="12"/>
      <color indexed="9"/>
      <name val="Times New Roman"/>
      <family val="2"/>
    </font>
    <font>
      <sz val="12"/>
      <color indexed="17"/>
      <name val="Times New Roman"/>
      <family val="2"/>
    </font>
    <font>
      <b/>
      <sz val="12"/>
      <color indexed="52"/>
      <name val="Times New Roman"/>
      <family val="2"/>
    </font>
    <font>
      <b/>
      <sz val="12"/>
      <color indexed="9"/>
      <name val="Times New Roman"/>
      <family val="2"/>
    </font>
    <font>
      <sz val="12"/>
      <color indexed="52"/>
      <name val="Times New Roman"/>
      <family val="2"/>
    </font>
    <font>
      <sz val="12"/>
      <color indexed="62"/>
      <name val="Times New Roman"/>
      <family val="2"/>
    </font>
    <font>
      <u/>
      <sz val="7.5"/>
      <color indexed="12"/>
      <name val="Courier"/>
      <family val="3"/>
    </font>
    <font>
      <sz val="12"/>
      <color indexed="20"/>
      <name val="Times New Roman"/>
      <family val="2"/>
    </font>
    <font>
      <sz val="12"/>
      <color indexed="60"/>
      <name val="Times New Roman"/>
      <family val="2"/>
    </font>
    <font>
      <sz val="11"/>
      <color rgb="FF000000"/>
      <name val="Calibri"/>
      <family val="2"/>
      <charset val="204"/>
    </font>
    <font>
      <sz val="11"/>
      <color indexed="8"/>
      <name val="Calibri"/>
      <family val="2"/>
      <charset val="204"/>
    </font>
    <font>
      <b/>
      <sz val="12"/>
      <color indexed="63"/>
      <name val="Times New Roman"/>
      <family val="2"/>
    </font>
    <font>
      <sz val="12"/>
      <color indexed="10"/>
      <name val="Times New Roman"/>
      <family val="2"/>
    </font>
    <font>
      <i/>
      <sz val="12"/>
      <color indexed="23"/>
      <name val="Times New Roman"/>
      <family val="2"/>
    </font>
    <font>
      <b/>
      <sz val="15"/>
      <color indexed="56"/>
      <name val="Times New Roman"/>
      <family val="2"/>
    </font>
    <font>
      <b/>
      <sz val="13"/>
      <color indexed="56"/>
      <name val="Times New Roman"/>
      <family val="2"/>
    </font>
    <font>
      <b/>
      <sz val="11"/>
      <color indexed="56"/>
      <name val="Times New Roman"/>
      <family val="2"/>
    </font>
    <font>
      <b/>
      <sz val="12"/>
      <color indexed="8"/>
      <name val="Times New Roman"/>
      <family val="2"/>
    </font>
    <font>
      <sz val="10"/>
      <name val="Arial"/>
      <family val="2"/>
    </font>
    <font>
      <sz val="12"/>
      <color theme="1"/>
      <name val="Calibri"/>
      <family val="2"/>
      <scheme val="minor"/>
    </font>
    <font>
      <b/>
      <sz val="10"/>
      <color rgb="FFFF0000"/>
      <name val="Arial"/>
      <family val="2"/>
    </font>
    <font>
      <sz val="11"/>
      <color theme="1"/>
      <name val="Arial"/>
      <family val="2"/>
    </font>
    <font>
      <b/>
      <sz val="14"/>
      <color rgb="FFFF0000"/>
      <name val="Arial"/>
      <family val="2"/>
    </font>
    <font>
      <b/>
      <sz val="16"/>
      <color rgb="FFFF0000"/>
      <name val="Arial"/>
      <family val="2"/>
    </font>
    <font>
      <u/>
      <sz val="11"/>
      <color theme="10"/>
      <name val="Calibri"/>
      <family val="2"/>
    </font>
    <font>
      <b/>
      <sz val="13"/>
      <name val="Arial"/>
      <family val="2"/>
    </font>
    <font>
      <b/>
      <sz val="11"/>
      <color theme="1"/>
      <name val="Arial"/>
      <family val="2"/>
    </font>
    <font>
      <sz val="30"/>
      <color rgb="FFFF0000"/>
      <name val="Arial"/>
      <family val="2"/>
    </font>
    <font>
      <b/>
      <sz val="14"/>
      <name val="Cambria"/>
      <family val="1"/>
      <scheme val="major"/>
    </font>
    <font>
      <b/>
      <sz val="11"/>
      <name val="Cambria"/>
      <family val="1"/>
      <scheme val="major"/>
    </font>
    <font>
      <sz val="8"/>
      <name val="Cambria"/>
      <family val="1"/>
      <scheme val="major"/>
    </font>
    <font>
      <sz val="10"/>
      <name val="Cambria"/>
      <family val="1"/>
      <scheme val="major"/>
    </font>
    <font>
      <b/>
      <sz val="12"/>
      <name val="Cambria"/>
      <family val="1"/>
      <scheme val="major"/>
    </font>
    <font>
      <b/>
      <sz val="20"/>
      <color theme="1"/>
      <name val="Arial"/>
      <family val="2"/>
    </font>
    <font>
      <b/>
      <sz val="18"/>
      <name val="Cambria"/>
      <family val="1"/>
      <scheme val="major"/>
    </font>
    <font>
      <sz val="12"/>
      <name val="Arial Rounded MT Bold"/>
      <family val="2"/>
    </font>
    <font>
      <b/>
      <sz val="10"/>
      <color indexed="8"/>
      <name val="Arial"/>
      <family val="2"/>
    </font>
    <font>
      <b/>
      <sz val="28"/>
      <name val="Arial"/>
      <family val="2"/>
    </font>
    <font>
      <sz val="10"/>
      <name val="Arial"/>
      <family val="2"/>
    </font>
    <font>
      <sz val="10"/>
      <name val="Arial"/>
      <family val="2"/>
    </font>
    <font>
      <b/>
      <sz val="36"/>
      <name val="Arial"/>
      <family val="2"/>
    </font>
    <font>
      <sz val="10"/>
      <name val="Arial"/>
      <family val="2"/>
    </font>
    <font>
      <b/>
      <sz val="14"/>
      <name val="Cambria"/>
      <family val="1"/>
    </font>
    <font>
      <sz val="8"/>
      <name val="Cambria"/>
      <family val="1"/>
    </font>
    <font>
      <sz val="11"/>
      <color theme="1"/>
      <name val="Calibri"/>
      <family val="2"/>
    </font>
    <font>
      <sz val="10"/>
      <name val="Arial"/>
      <family val="2"/>
    </font>
    <font>
      <sz val="12"/>
      <color rgb="FFFF0000"/>
      <name val="Arial"/>
      <family val="2"/>
    </font>
    <font>
      <sz val="11"/>
      <name val="Calibri"/>
      <family val="2"/>
      <scheme val="minor"/>
    </font>
    <font>
      <b/>
      <sz val="12"/>
      <name val="Times New Roman"/>
      <family val="1"/>
    </font>
    <font>
      <sz val="12"/>
      <color theme="1"/>
      <name val="Times New Roman"/>
      <family val="1"/>
    </font>
    <font>
      <sz val="11"/>
      <name val="Times New Roman"/>
      <family val="1"/>
    </font>
    <font>
      <sz val="12"/>
      <color indexed="8"/>
      <name val="Times New Roman"/>
      <family val="1"/>
    </font>
    <font>
      <sz val="12"/>
      <color rgb="FFFF0000"/>
      <name val="Times New Roman"/>
      <family val="1"/>
    </font>
    <font>
      <b/>
      <sz val="12"/>
      <color rgb="FF000000"/>
      <name val="Times New Roman"/>
      <family val="1"/>
    </font>
    <font>
      <sz val="12"/>
      <color rgb="FF000000"/>
      <name val="Times New Roman"/>
      <family val="1"/>
    </font>
    <font>
      <b/>
      <sz val="12"/>
      <color indexed="8"/>
      <name val="Times New Roman"/>
      <family val="1"/>
    </font>
    <font>
      <b/>
      <sz val="12"/>
      <color theme="1"/>
      <name val="Times New Roman"/>
      <family val="1"/>
    </font>
    <font>
      <sz val="12"/>
      <color rgb="FF00000A"/>
      <name val="Times New Roman"/>
      <family val="1"/>
    </font>
    <font>
      <sz val="11"/>
      <color theme="1"/>
      <name val="Times"/>
      <family val="1"/>
    </font>
    <font>
      <b/>
      <sz val="12"/>
      <color rgb="FF00000A"/>
      <name val="Times New Roman"/>
      <family val="1"/>
    </font>
    <font>
      <b/>
      <sz val="11"/>
      <color rgb="FF00000A"/>
      <name val="Times New Roman"/>
      <family val="1"/>
    </font>
    <font>
      <sz val="12"/>
      <color theme="8" tint="-0.499984740745262"/>
      <name val="Times New Roman"/>
      <family val="1"/>
    </font>
    <font>
      <sz val="11"/>
      <color theme="1"/>
      <name val="Times New Roman"/>
      <family val="1"/>
    </font>
    <font>
      <sz val="11"/>
      <color rgb="FF000000"/>
      <name val="Times New Roman"/>
      <family val="1"/>
    </font>
    <font>
      <sz val="12"/>
      <color theme="9" tint="-0.249977111117893"/>
      <name val="Times New Roman"/>
      <family val="1"/>
    </font>
    <font>
      <sz val="11"/>
      <color rgb="FFFF0000"/>
      <name val="Calibri"/>
      <family val="2"/>
      <scheme val="minor"/>
    </font>
    <font>
      <b/>
      <sz val="12"/>
      <color rgb="FFFF0000"/>
      <name val="Times New Roman"/>
      <family val="1"/>
    </font>
    <font>
      <i/>
      <sz val="12"/>
      <name val="Times New Roman"/>
      <family val="1"/>
    </font>
    <font>
      <sz val="12"/>
      <color rgb="FF222222"/>
      <name val="Arial"/>
      <family val="2"/>
    </font>
    <font>
      <sz val="9"/>
      <name val="Cambria"/>
      <family val="1"/>
      <scheme val="major"/>
    </font>
    <font>
      <sz val="9"/>
      <name val="Arial"/>
      <family val="2"/>
    </font>
    <font>
      <b/>
      <sz val="11"/>
      <color indexed="8"/>
      <name val="Cambria"/>
      <family val="1"/>
    </font>
    <font>
      <b/>
      <sz val="10"/>
      <name val="Cambria"/>
      <family val="1"/>
    </font>
    <font>
      <sz val="10"/>
      <name val="Cambria"/>
      <family val="1"/>
    </font>
    <font>
      <sz val="10"/>
      <color indexed="8"/>
      <name val="Cambria"/>
      <family val="1"/>
    </font>
    <font>
      <i/>
      <sz val="10"/>
      <color indexed="8"/>
      <name val="Cambria"/>
      <family val="1"/>
    </font>
    <font>
      <b/>
      <sz val="8"/>
      <name val="Verdana"/>
      <family val="2"/>
    </font>
    <font>
      <sz val="8"/>
      <name val="Verdana"/>
      <family val="2"/>
    </font>
    <font>
      <b/>
      <sz val="8"/>
      <name val="Tahoma"/>
      <family val="2"/>
    </font>
    <font>
      <sz val="8"/>
      <name val="Tahoma"/>
      <family val="2"/>
    </font>
  </fonts>
  <fills count="86">
    <fill>
      <patternFill patternType="none"/>
    </fill>
    <fill>
      <patternFill patternType="gray125"/>
    </fill>
    <fill>
      <patternFill patternType="solid">
        <fgColor theme="0" tint="-0.249977111117893"/>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499984740745262"/>
        <bgColor indexed="64"/>
      </patternFill>
    </fill>
    <fill>
      <patternFill patternType="solid">
        <fgColor rgb="FFFFFF00"/>
        <bgColor indexed="64"/>
      </patternFill>
    </fill>
    <fill>
      <patternFill patternType="solid">
        <fgColor rgb="FF0070C0"/>
        <bgColor indexed="64"/>
      </patternFill>
    </fill>
    <fill>
      <patternFill patternType="solid">
        <fgColor indexed="22"/>
        <bgColor indexed="64"/>
      </patternFill>
    </fill>
    <fill>
      <patternFill patternType="solid">
        <fgColor theme="0" tint="-0.14996795556505021"/>
        <bgColor indexed="64"/>
      </patternFill>
    </fill>
    <fill>
      <patternFill patternType="solid">
        <fgColor theme="2" tint="-0.249977111117893"/>
        <bgColor indexed="64"/>
      </patternFill>
    </fill>
    <fill>
      <patternFill patternType="solid">
        <fgColor theme="8" tint="0.79998168889431442"/>
        <bgColor indexed="64"/>
      </patternFill>
    </fill>
    <fill>
      <patternFill patternType="solid">
        <fgColor rgb="FF00B0F0"/>
        <bgColor indexed="64"/>
      </patternFill>
    </fill>
    <fill>
      <patternFill patternType="solid">
        <fgColor indexed="9"/>
        <bgColor indexed="64"/>
      </patternFill>
    </fill>
    <fill>
      <patternFill patternType="solid">
        <fgColor indexed="52"/>
        <bgColor indexed="64"/>
      </patternFill>
    </fill>
    <fill>
      <patternFill patternType="solid">
        <fgColor indexed="26"/>
        <bgColor indexed="64"/>
      </patternFill>
    </fill>
    <fill>
      <patternFill patternType="solid">
        <fgColor rgb="FFFFFF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54"/>
      </patternFill>
    </fill>
    <fill>
      <patternFill patternType="solid">
        <fgColor indexed="40"/>
        <bgColor indexed="64"/>
      </patternFill>
    </fill>
    <fill>
      <patternFill patternType="solid">
        <fgColor theme="4" tint="0.79998168889431442"/>
        <bgColor indexed="64"/>
      </patternFill>
    </fill>
    <fill>
      <patternFill patternType="solid">
        <fgColor indexed="47"/>
        <bgColor indexed="64"/>
      </patternFill>
    </fill>
    <fill>
      <patternFill patternType="solid">
        <fgColor rgb="FF5075B7"/>
      </patternFill>
    </fill>
    <fill>
      <patternFill patternType="solid">
        <fgColor rgb="FF7C6362"/>
      </patternFill>
    </fill>
    <fill>
      <patternFill patternType="solid">
        <fgColor rgb="FFB9C8DC"/>
      </patternFill>
    </fill>
    <fill>
      <patternFill patternType="solid">
        <fgColor theme="9" tint="0.59999389629810485"/>
        <bgColor indexed="64"/>
      </patternFill>
    </fill>
    <fill>
      <patternFill patternType="solid">
        <fgColor indexed="31"/>
        <bgColor indexed="41"/>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2"/>
      </patternFill>
    </fill>
    <fill>
      <patternFill patternType="solid">
        <fgColor indexed="47"/>
        <bgColor indexed="4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22"/>
        <bgColor indexed="41"/>
      </patternFill>
    </fill>
    <fill>
      <patternFill patternType="solid">
        <fgColor indexed="55"/>
        <bgColor indexed="23"/>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26"/>
        <bgColor indexed="9"/>
      </patternFill>
    </fill>
    <fill>
      <patternFill patternType="solid">
        <fgColor theme="3" tint="0.79998168889431442"/>
        <bgColor indexed="64"/>
      </patternFill>
    </fill>
    <fill>
      <patternFill patternType="solid">
        <fgColor theme="6" tint="0.79998168889431442"/>
        <bgColor indexed="64"/>
      </patternFill>
    </fill>
    <fill>
      <patternFill patternType="solid">
        <fgColor rgb="FFFFFFFF"/>
        <bgColor rgb="FF000000"/>
      </patternFill>
    </fill>
    <fill>
      <patternFill patternType="solid">
        <fgColor rgb="FFDCE6F1"/>
        <bgColor rgb="FF000000"/>
      </patternFill>
    </fill>
    <fill>
      <patternFill patternType="solid">
        <fgColor theme="3" tint="0.79998168889431442"/>
        <bgColor rgb="FF000000"/>
      </patternFill>
    </fill>
    <fill>
      <patternFill patternType="solid">
        <fgColor rgb="FFC4BD97"/>
        <bgColor indexed="64"/>
      </patternFill>
    </fill>
    <fill>
      <patternFill patternType="solid">
        <fgColor rgb="FFDAEEF3"/>
        <bgColor indexed="64"/>
      </patternFill>
    </fill>
    <fill>
      <patternFill patternType="solid">
        <fgColor rgb="FFFF0000"/>
        <bgColor indexed="64"/>
      </patternFill>
    </fill>
    <fill>
      <patternFill patternType="solid">
        <fgColor rgb="FFD9D9D9"/>
        <bgColor indexed="64"/>
      </patternFill>
    </fill>
    <fill>
      <patternFill patternType="solid">
        <fgColor theme="7" tint="0.59999389629810485"/>
        <bgColor indexed="64"/>
      </patternFill>
    </fill>
    <fill>
      <patternFill patternType="solid">
        <fgColor theme="8" tint="0.39997558519241921"/>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5" tint="0.39997558519241921"/>
        <bgColor indexed="64"/>
      </patternFill>
    </fill>
  </fills>
  <borders count="246">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style="medium">
        <color indexed="64"/>
      </bottom>
      <diagonal/>
    </border>
    <border>
      <left style="medium">
        <color indexed="64"/>
      </left>
      <right/>
      <top style="thin">
        <color indexed="64"/>
      </top>
      <bottom style="medium">
        <color indexed="64"/>
      </bottom>
      <diagonal/>
    </border>
    <border>
      <left/>
      <right style="thin">
        <color indexed="64"/>
      </right>
      <top/>
      <bottom style="medium">
        <color indexed="64"/>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62"/>
      </top>
      <bottom style="double">
        <color indexed="62"/>
      </bottom>
      <diagonal/>
    </border>
    <border>
      <left style="medium">
        <color indexed="64"/>
      </left>
      <right style="medium">
        <color indexed="64"/>
      </right>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double">
        <color indexed="17"/>
      </bottom>
      <diagonal/>
    </border>
    <border>
      <left/>
      <right style="double">
        <color indexed="17"/>
      </right>
      <top/>
      <bottom/>
      <diagonal/>
    </border>
    <border>
      <left style="double">
        <color indexed="17"/>
      </left>
      <right style="double">
        <color indexed="17"/>
      </right>
      <top style="double">
        <color indexed="17"/>
      </top>
      <bottom/>
      <diagonal/>
    </border>
    <border>
      <left style="double">
        <color indexed="17"/>
      </left>
      <right style="double">
        <color indexed="17"/>
      </right>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thin">
        <color rgb="FF7590BF"/>
      </left>
      <right style="thin">
        <color rgb="FF7590BF"/>
      </right>
      <top/>
      <bottom style="thin">
        <color rgb="FF7590BF"/>
      </bottom>
      <diagonal/>
    </border>
    <border>
      <left style="thin">
        <color rgb="FF7590BF"/>
      </left>
      <right style="thin">
        <color rgb="FF7590BF"/>
      </right>
      <top style="thin">
        <color rgb="FF7590BF"/>
      </top>
      <bottom style="thin">
        <color rgb="FF7590BF"/>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double">
        <color indexed="64"/>
      </top>
      <bottom style="hair">
        <color indexed="64"/>
      </bottom>
      <diagonal/>
    </border>
    <border>
      <left style="thin">
        <color rgb="FF7590BF"/>
      </left>
      <right style="medium">
        <color indexed="64"/>
      </right>
      <top style="thin">
        <color rgb="FF7590BF"/>
      </top>
      <bottom style="thin">
        <color rgb="FF7590BF"/>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style="thin">
        <color auto="1"/>
      </top>
      <bottom style="thin">
        <color auto="1"/>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style="medium">
        <color indexed="64"/>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rgb="FF7590BF"/>
      </right>
      <top/>
      <bottom style="thin">
        <color rgb="FF7590BF"/>
      </bottom>
      <diagonal/>
    </border>
    <border>
      <left style="thin">
        <color rgb="FF7590BF"/>
      </left>
      <right style="medium">
        <color indexed="64"/>
      </right>
      <top/>
      <bottom style="thin">
        <color rgb="FF7590BF"/>
      </bottom>
      <diagonal/>
    </border>
    <border>
      <left style="medium">
        <color indexed="64"/>
      </left>
      <right style="thin">
        <color rgb="FF7590BF"/>
      </right>
      <top style="thin">
        <color rgb="FF7590BF"/>
      </top>
      <bottom style="thin">
        <color rgb="FF7590BF"/>
      </bottom>
      <diagonal/>
    </border>
    <border>
      <left style="medium">
        <color indexed="64"/>
      </left>
      <right style="thin">
        <color rgb="FF7590BF"/>
      </right>
      <top style="thin">
        <color rgb="FF7590BF"/>
      </top>
      <bottom style="medium">
        <color indexed="64"/>
      </bottom>
      <diagonal/>
    </border>
    <border>
      <left style="thin">
        <color rgb="FF7590BF"/>
      </left>
      <right style="thin">
        <color rgb="FF7590BF"/>
      </right>
      <top style="thin">
        <color rgb="FF7590BF"/>
      </top>
      <bottom style="medium">
        <color indexed="64"/>
      </bottom>
      <diagonal/>
    </border>
    <border>
      <left style="thin">
        <color rgb="FF7590BF"/>
      </left>
      <right style="medium">
        <color indexed="64"/>
      </right>
      <top style="thin">
        <color rgb="FF7590BF"/>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auto="1"/>
      </right>
      <top style="thin">
        <color auto="1"/>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medium">
        <color indexed="64"/>
      </right>
      <top style="thin">
        <color auto="1"/>
      </top>
      <bottom style="thin">
        <color auto="1"/>
      </bottom>
      <diagonal/>
    </border>
    <border>
      <left style="medium">
        <color indexed="64"/>
      </left>
      <right/>
      <top style="thin">
        <color auto="1"/>
      </top>
      <bottom style="thin">
        <color auto="1"/>
      </bottom>
      <diagonal/>
    </border>
    <border>
      <left/>
      <right style="medium">
        <color indexed="64"/>
      </right>
      <top style="thin">
        <color indexed="64"/>
      </top>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top style="thin">
        <color indexed="64"/>
      </top>
      <bottom/>
      <diagonal/>
    </border>
    <border>
      <left/>
      <right/>
      <top style="thin">
        <color auto="1"/>
      </top>
      <bottom style="thin">
        <color indexed="64"/>
      </bottom>
      <diagonal/>
    </border>
    <border>
      <left/>
      <right/>
      <top style="thin">
        <color indexed="64"/>
      </top>
      <bottom/>
      <diagonal/>
    </border>
    <border>
      <left style="medium">
        <color indexed="64"/>
      </left>
      <right style="medium">
        <color indexed="64"/>
      </right>
      <top/>
      <bottom/>
      <diagonal/>
    </border>
    <border>
      <left style="medium">
        <color indexed="64"/>
      </left>
      <right/>
      <top style="thin">
        <color auto="1"/>
      </top>
      <bottom style="medium">
        <color indexed="64"/>
      </bottom>
      <diagonal/>
    </border>
    <border>
      <left/>
      <right/>
      <top/>
      <bottom style="medium">
        <color auto="1"/>
      </bottom>
      <diagonal/>
    </border>
    <border>
      <left/>
      <right style="medium">
        <color auto="1"/>
      </right>
      <top/>
      <bottom style="medium">
        <color auto="1"/>
      </bottom>
      <diagonal/>
    </border>
    <border>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medium">
        <color theme="0" tint="-0.499984740745262"/>
      </left>
      <right style="hair">
        <color indexed="64"/>
      </right>
      <top style="medium">
        <color theme="0" tint="-0.499984740745262"/>
      </top>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hair">
        <color indexed="64"/>
      </right>
      <top style="medium">
        <color theme="0" tint="-0.499984740745262"/>
      </top>
      <bottom/>
      <diagonal/>
    </border>
    <border>
      <left style="medium">
        <color theme="0" tint="-0.499984740745262"/>
      </left>
      <right style="hair">
        <color indexed="64"/>
      </right>
      <top/>
      <bottom style="hair">
        <color indexed="64"/>
      </bottom>
      <diagonal/>
    </border>
    <border>
      <left style="medium">
        <color theme="0" tint="-0.499984740745262"/>
      </left>
      <right/>
      <top/>
      <bottom style="hair">
        <color theme="0" tint="-0.499984740745262"/>
      </bottom>
      <diagonal/>
    </border>
    <border>
      <left/>
      <right/>
      <top/>
      <bottom style="hair">
        <color theme="0" tint="-0.499984740745262"/>
      </bottom>
      <diagonal/>
    </border>
    <border>
      <left/>
      <right style="hair">
        <color indexed="64"/>
      </right>
      <top/>
      <bottom style="hair">
        <color theme="0" tint="-0.499984740745262"/>
      </bottom>
      <diagonal/>
    </border>
    <border>
      <left style="medium">
        <color theme="0" tint="-0.499984740745262"/>
      </left>
      <right/>
      <top/>
      <bottom style="hair">
        <color indexed="64"/>
      </bottom>
      <diagonal/>
    </border>
    <border>
      <left/>
      <right style="hair">
        <color indexed="64"/>
      </right>
      <top/>
      <bottom style="hair">
        <color indexed="64"/>
      </bottom>
      <diagonal/>
    </border>
    <border>
      <left style="medium">
        <color theme="0" tint="-0.499984740745262"/>
      </left>
      <right style="hair">
        <color indexed="64"/>
      </right>
      <top style="medium">
        <color theme="0" tint="-0.499984740745262"/>
      </top>
      <bottom style="hair">
        <color theme="0" tint="-0.499984740745262"/>
      </bottom>
      <diagonal/>
    </border>
    <border>
      <left style="medium">
        <color theme="0" tint="-0.499984740745262"/>
      </left>
      <right/>
      <top style="medium">
        <color theme="0" tint="-0.499984740745262"/>
      </top>
      <bottom style="hair">
        <color theme="0" tint="-0.499984740745262"/>
      </bottom>
      <diagonal/>
    </border>
    <border>
      <left/>
      <right/>
      <top style="medium">
        <color theme="0" tint="-0.499984740745262"/>
      </top>
      <bottom style="hair">
        <color theme="0" tint="-0.499984740745262"/>
      </bottom>
      <diagonal/>
    </border>
    <border>
      <left/>
      <right style="hair">
        <color theme="0" tint="-0.499984740745262"/>
      </right>
      <top style="medium">
        <color theme="0" tint="-0.499984740745262"/>
      </top>
      <bottom style="hair">
        <color theme="0" tint="-0.499984740745262"/>
      </bottom>
      <diagonal/>
    </border>
    <border>
      <left style="hair">
        <color theme="0" tint="-0.499984740745262"/>
      </left>
      <right/>
      <top/>
      <bottom/>
      <diagonal/>
    </border>
    <border>
      <left style="medium">
        <color theme="0" tint="-0.499984740745262"/>
      </left>
      <right/>
      <top style="medium">
        <color theme="0" tint="-0.499984740745262"/>
      </top>
      <bottom style="hair">
        <color indexed="64"/>
      </bottom>
      <diagonal/>
    </border>
    <border>
      <left/>
      <right/>
      <top style="medium">
        <color theme="0" tint="-0.499984740745262"/>
      </top>
      <bottom style="hair">
        <color indexed="64"/>
      </bottom>
      <diagonal/>
    </border>
    <border>
      <left/>
      <right style="hair">
        <color indexed="64"/>
      </right>
      <top style="medium">
        <color theme="0" tint="-0.499984740745262"/>
      </top>
      <bottom style="hair">
        <color indexed="64"/>
      </bottom>
      <diagonal/>
    </border>
    <border>
      <left/>
      <right/>
      <top style="hair">
        <color theme="0" tint="-0.499984740745262"/>
      </top>
      <bottom style="thin">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top style="hair">
        <color indexed="64"/>
      </top>
      <bottom/>
      <diagonal/>
    </border>
    <border>
      <left/>
      <right/>
      <top style="hair">
        <color indexed="64"/>
      </top>
      <bottom/>
      <diagonal/>
    </border>
    <border>
      <left/>
      <right style="medium">
        <color indexed="64"/>
      </right>
      <top style="hair">
        <color indexed="64"/>
      </top>
      <bottom/>
      <diagonal/>
    </border>
    <border>
      <left/>
      <right style="thin">
        <color indexed="64"/>
      </right>
      <top style="thin">
        <color indexed="64"/>
      </top>
      <bottom/>
      <diagonal/>
    </border>
    <border>
      <left/>
      <right/>
      <top style="thin">
        <color indexed="64"/>
      </top>
      <bottom/>
      <diagonal/>
    </border>
  </borders>
  <cellStyleXfs count="15848">
    <xf numFmtId="0" fontId="0" fillId="0" borderId="0"/>
    <xf numFmtId="0" fontId="5" fillId="0" borderId="0"/>
    <xf numFmtId="0" fontId="8" fillId="0" borderId="0"/>
    <xf numFmtId="0" fontId="8" fillId="0" borderId="0"/>
    <xf numFmtId="0" fontId="6" fillId="0" borderId="0"/>
    <xf numFmtId="0" fontId="10" fillId="0" borderId="0" applyNumberFormat="0" applyFill="0" applyBorder="0" applyAlignment="0" applyProtection="0"/>
    <xf numFmtId="0" fontId="9" fillId="0" borderId="0" applyNumberFormat="0" applyFill="0" applyBorder="0" applyAlignment="0" applyProtection="0">
      <alignment vertical="top"/>
      <protection locked="0"/>
    </xf>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 fontId="7" fillId="0" borderId="0"/>
    <xf numFmtId="0" fontId="7" fillId="0" borderId="0"/>
    <xf numFmtId="0" fontId="7" fillId="0" borderId="0"/>
    <xf numFmtId="0" fontId="7" fillId="0" borderId="0"/>
    <xf numFmtId="0" fontId="7" fillId="0" borderId="0"/>
    <xf numFmtId="0" fontId="7" fillId="0" borderId="0"/>
    <xf numFmtId="4" fontId="7" fillId="0" borderId="0"/>
    <xf numFmtId="0" fontId="7" fillId="0" borderId="0"/>
    <xf numFmtId="0" fontId="7" fillId="0" borderId="0"/>
    <xf numFmtId="0" fontId="2" fillId="0" borderId="0"/>
    <xf numFmtId="0" fontId="7" fillId="0" borderId="0"/>
    <xf numFmtId="0" fontId="1"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2"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166" fontId="7" fillId="0" borderId="0" applyFont="0" applyFill="0" applyBorder="0" applyAlignment="0" applyProtection="0"/>
    <xf numFmtId="43" fontId="1" fillId="0" borderId="0" applyFont="0" applyFill="0" applyBorder="0" applyAlignment="0" applyProtection="0"/>
    <xf numFmtId="4" fontId="7" fillId="0" borderId="0"/>
    <xf numFmtId="0" fontId="7" fillId="0" borderId="0"/>
    <xf numFmtId="0" fontId="7" fillId="0" borderId="0"/>
    <xf numFmtId="0" fontId="1" fillId="0" borderId="0"/>
    <xf numFmtId="166" fontId="7" fillId="0" borderId="0" applyFont="0" applyFill="0" applyBorder="0" applyAlignment="0" applyProtection="0"/>
    <xf numFmtId="0" fontId="7" fillId="0" borderId="0"/>
    <xf numFmtId="165" fontId="7" fillId="0" borderId="0" applyFont="0" applyFill="0" applyBorder="0" applyAlignment="0" applyProtection="0"/>
    <xf numFmtId="165" fontId="7" fillId="0" borderId="0" applyFont="0" applyFill="0" applyBorder="0" applyAlignment="0" applyProtection="0"/>
    <xf numFmtId="9"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7" fillId="0" borderId="0"/>
    <xf numFmtId="4" fontId="7" fillId="0" borderId="0"/>
    <xf numFmtId="0" fontId="7" fillId="0" borderId="0"/>
    <xf numFmtId="4" fontId="7" fillId="0" borderId="0"/>
    <xf numFmtId="4"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7" fillId="0" borderId="0"/>
    <xf numFmtId="0" fontId="1"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35" fillId="0" borderId="0" applyFont="0" applyFill="0" applyBorder="0" applyAlignment="0" applyProtection="0"/>
    <xf numFmtId="166" fontId="2"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6"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0" fontId="6" fillId="0" borderId="0"/>
    <xf numFmtId="0" fontId="5" fillId="0" borderId="0"/>
    <xf numFmtId="0" fontId="7" fillId="0" borderId="0"/>
    <xf numFmtId="0" fontId="38" fillId="0" borderId="0" applyNumberFormat="0" applyFill="0" applyBorder="0" applyAlignment="0" applyProtection="0"/>
    <xf numFmtId="0" fontId="39" fillId="0" borderId="0"/>
    <xf numFmtId="0" fontId="40" fillId="0" borderId="0" applyNumberFormat="0" applyBorder="0" applyProtection="0"/>
    <xf numFmtId="0" fontId="40" fillId="0" borderId="0" applyNumberFormat="0" applyBorder="0" applyProtection="0"/>
    <xf numFmtId="170" fontId="7" fillId="0" borderId="0" applyFont="0" applyFill="0" applyBorder="0" applyAlignment="0" applyProtection="0"/>
    <xf numFmtId="171" fontId="41" fillId="0" borderId="0">
      <protection locked="0"/>
    </xf>
    <xf numFmtId="0" fontId="18" fillId="15" borderId="40" applyFill="0" applyBorder="0" applyAlignment="0" applyProtection="0">
      <alignment vertical="center"/>
      <protection locked="0"/>
    </xf>
    <xf numFmtId="172" fontId="7" fillId="0" borderId="0" applyFont="0" applyFill="0" applyBorder="0" applyAlignment="0" applyProtection="0"/>
    <xf numFmtId="173" fontId="7" fillId="0" borderId="0" applyFont="0" applyFill="0" applyBorder="0" applyAlignment="0" applyProtection="0"/>
    <xf numFmtId="174" fontId="41" fillId="0" borderId="0">
      <protection locked="0"/>
    </xf>
    <xf numFmtId="0" fontId="41" fillId="0" borderId="0">
      <protection locked="0"/>
    </xf>
    <xf numFmtId="0" fontId="41" fillId="0" borderId="0">
      <protection locked="0"/>
    </xf>
    <xf numFmtId="175" fontId="40" fillId="0" borderId="0" applyBorder="0" applyProtection="0"/>
    <xf numFmtId="175" fontId="40" fillId="0" borderId="0" applyBorder="0" applyProtection="0"/>
    <xf numFmtId="0" fontId="40" fillId="0" borderId="0" applyNumberFormat="0" applyBorder="0" applyProtection="0"/>
    <xf numFmtId="0" fontId="42" fillId="0" borderId="0" applyNumberFormat="0" applyBorder="0" applyProtection="0"/>
    <xf numFmtId="0" fontId="6" fillId="0" borderId="0"/>
    <xf numFmtId="0" fontId="42" fillId="0" borderId="0" applyNumberFormat="0" applyBorder="0" applyProtection="0"/>
    <xf numFmtId="176" fontId="42" fillId="0" borderId="0" applyBorder="0" applyProtection="0"/>
    <xf numFmtId="177" fontId="41" fillId="0" borderId="0">
      <protection locked="0"/>
    </xf>
    <xf numFmtId="177" fontId="41" fillId="0" borderId="0">
      <protection locked="0"/>
    </xf>
    <xf numFmtId="0" fontId="43" fillId="0" borderId="0" applyNumberFormat="0" applyFill="0" applyBorder="0" applyAlignment="0" applyProtection="0">
      <alignment vertical="top"/>
      <protection locked="0"/>
    </xf>
    <xf numFmtId="38" fontId="36" fillId="9" borderId="0" applyNumberFormat="0" applyBorder="0" applyAlignment="0" applyProtection="0"/>
    <xf numFmtId="0" fontId="44" fillId="0" borderId="0" applyNumberFormat="0" applyBorder="0" applyProtection="0">
      <alignment horizontal="center"/>
    </xf>
    <xf numFmtId="0" fontId="41" fillId="0" borderId="0">
      <protection locked="0"/>
    </xf>
    <xf numFmtId="0" fontId="41" fillId="0" borderId="0">
      <protection locked="0"/>
    </xf>
    <xf numFmtId="0" fontId="44" fillId="0" borderId="0" applyNumberFormat="0" applyBorder="0" applyProtection="0">
      <alignment horizontal="center" textRotation="90"/>
    </xf>
    <xf numFmtId="0" fontId="45" fillId="0" borderId="0" applyNumberFormat="0" applyFill="0" applyBorder="0" applyAlignment="0" applyProtection="0">
      <alignment vertical="top"/>
      <protection locked="0"/>
    </xf>
    <xf numFmtId="0" fontId="10" fillId="0" borderId="0" applyNumberFormat="0" applyFill="0" applyBorder="0" applyAlignment="0" applyProtection="0"/>
    <xf numFmtId="0" fontId="46" fillId="0" borderId="0"/>
    <xf numFmtId="10" fontId="36" fillId="16" borderId="13" applyNumberFormat="0" applyBorder="0" applyAlignment="0" applyProtection="0"/>
    <xf numFmtId="0" fontId="7" fillId="0" borderId="0">
      <alignment horizontal="centerContinuous" vertical="justify"/>
    </xf>
    <xf numFmtId="0" fontId="47" fillId="0" borderId="0" applyAlignment="0">
      <alignment horizontal="center"/>
    </xf>
    <xf numFmtId="165" fontId="7" fillId="0" borderId="0" applyFont="0" applyFill="0" applyBorder="0" applyAlignment="0" applyProtection="0"/>
    <xf numFmtId="44" fontId="48" fillId="0" borderId="0" applyFont="0" applyFill="0" applyBorder="0" applyAlignment="0" applyProtection="0"/>
    <xf numFmtId="165" fontId="7" fillId="0" borderId="0" applyFont="0" applyFill="0" applyBorder="0" applyAlignment="0" applyProtection="0"/>
    <xf numFmtId="44" fontId="49" fillId="0" borderId="0" applyFont="0" applyFill="0" applyBorder="0" applyAlignment="0" applyProtection="0"/>
    <xf numFmtId="44" fontId="7" fillId="0" borderId="0" applyFont="0" applyFill="0" applyBorder="0" applyAlignment="0" applyProtection="0"/>
    <xf numFmtId="178" fontId="50" fillId="0" borderId="0"/>
    <xf numFmtId="0" fontId="7" fillId="0" borderId="0"/>
    <xf numFmtId="0" fontId="1" fillId="0" borderId="0"/>
    <xf numFmtId="0" fontId="48" fillId="0" borderId="0"/>
    <xf numFmtId="0" fontId="1" fillId="0" borderId="0"/>
    <xf numFmtId="0" fontId="48" fillId="0" borderId="0"/>
    <xf numFmtId="0" fontId="1" fillId="0" borderId="0"/>
    <xf numFmtId="0" fontId="48" fillId="0" borderId="0"/>
    <xf numFmtId="0" fontId="1" fillId="0" borderId="0"/>
    <xf numFmtId="0" fontId="48" fillId="0" borderId="0"/>
    <xf numFmtId="0" fontId="1" fillId="0" borderId="0"/>
    <xf numFmtId="0" fontId="48" fillId="0" borderId="0"/>
    <xf numFmtId="0" fontId="7" fillId="0" borderId="0"/>
    <xf numFmtId="0" fontId="7" fillId="0" borderId="0"/>
    <xf numFmtId="0" fontId="1" fillId="0" borderId="0"/>
    <xf numFmtId="0" fontId="48" fillId="0" borderId="0"/>
    <xf numFmtId="0" fontId="1" fillId="0" borderId="0"/>
    <xf numFmtId="0" fontId="48" fillId="0" borderId="0"/>
    <xf numFmtId="0" fontId="1" fillId="0" borderId="0"/>
    <xf numFmtId="0" fontId="48" fillId="0" borderId="0"/>
    <xf numFmtId="0" fontId="1" fillId="0" borderId="0"/>
    <xf numFmtId="0" fontId="48" fillId="0" borderId="0"/>
    <xf numFmtId="0" fontId="48" fillId="0" borderId="0"/>
    <xf numFmtId="0" fontId="1" fillId="0" borderId="0"/>
    <xf numFmtId="0" fontId="7" fillId="0" borderId="0"/>
    <xf numFmtId="0" fontId="7" fillId="0" borderId="0"/>
    <xf numFmtId="0" fontId="48"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1" fillId="0" borderId="0"/>
    <xf numFmtId="0" fontId="51" fillId="0" borderId="0"/>
    <xf numFmtId="0" fontId="51" fillId="0" borderId="0"/>
    <xf numFmtId="0" fontId="1"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4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7" fillId="0" borderId="0"/>
    <xf numFmtId="0" fontId="48" fillId="0" borderId="0"/>
    <xf numFmtId="0" fontId="48" fillId="0" borderId="0"/>
    <xf numFmtId="0" fontId="7" fillId="0" borderId="0"/>
    <xf numFmtId="0" fontId="1" fillId="0" borderId="0"/>
    <xf numFmtId="0" fontId="48" fillId="0" borderId="0"/>
    <xf numFmtId="0" fontId="1" fillId="0" borderId="0"/>
    <xf numFmtId="0" fontId="48" fillId="0" borderId="0"/>
    <xf numFmtId="0" fontId="1" fillId="0" borderId="0"/>
    <xf numFmtId="0" fontId="1" fillId="0" borderId="0"/>
    <xf numFmtId="0" fontId="48" fillId="0" borderId="0"/>
    <xf numFmtId="0" fontId="1" fillId="0" borderId="0"/>
    <xf numFmtId="0" fontId="48" fillId="0" borderId="0"/>
    <xf numFmtId="0" fontId="1" fillId="0" borderId="0"/>
    <xf numFmtId="0" fontId="7" fillId="0" borderId="0"/>
    <xf numFmtId="0" fontId="1" fillId="0" borderId="0"/>
    <xf numFmtId="0" fontId="48" fillId="0" borderId="0"/>
    <xf numFmtId="0" fontId="48" fillId="0" borderId="0"/>
    <xf numFmtId="0" fontId="48" fillId="0" borderId="0"/>
    <xf numFmtId="0" fontId="1" fillId="0" borderId="0"/>
    <xf numFmtId="0" fontId="48"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0" fontId="48" fillId="0" borderId="0"/>
    <xf numFmtId="0" fontId="1" fillId="0" borderId="0"/>
    <xf numFmtId="0" fontId="48"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7" fillId="0" borderId="0"/>
    <xf numFmtId="0" fontId="48" fillId="0" borderId="0"/>
    <xf numFmtId="0" fontId="1" fillId="0" borderId="0"/>
    <xf numFmtId="0" fontId="1" fillId="0" borderId="0"/>
    <xf numFmtId="0" fontId="48" fillId="0" borderId="0"/>
    <xf numFmtId="0" fontId="1" fillId="0" borderId="0"/>
    <xf numFmtId="0" fontId="48" fillId="0" borderId="0"/>
    <xf numFmtId="0" fontId="1" fillId="0" borderId="0"/>
    <xf numFmtId="0" fontId="48" fillId="0" borderId="0"/>
    <xf numFmtId="0" fontId="1" fillId="0" borderId="0"/>
    <xf numFmtId="0" fontId="48" fillId="0" borderId="0"/>
    <xf numFmtId="0" fontId="7" fillId="0" borderId="0"/>
    <xf numFmtId="0" fontId="1" fillId="0" borderId="0"/>
    <xf numFmtId="0" fontId="48" fillId="0" borderId="0"/>
    <xf numFmtId="0" fontId="1" fillId="0" borderId="0"/>
    <xf numFmtId="0" fontId="48" fillId="0" borderId="0"/>
    <xf numFmtId="0" fontId="1" fillId="0" borderId="0"/>
    <xf numFmtId="0" fontId="48" fillId="0" borderId="0"/>
    <xf numFmtId="0" fontId="1" fillId="0" borderId="0"/>
    <xf numFmtId="0" fontId="1" fillId="0" borderId="0"/>
    <xf numFmtId="0" fontId="48" fillId="0" borderId="0"/>
    <xf numFmtId="0" fontId="1" fillId="0" borderId="0"/>
    <xf numFmtId="0" fontId="7" fillId="0" borderId="0"/>
    <xf numFmtId="0" fontId="48" fillId="0" borderId="0"/>
    <xf numFmtId="0" fontId="1" fillId="0" borderId="0"/>
    <xf numFmtId="0" fontId="48" fillId="0" borderId="0"/>
    <xf numFmtId="0" fontId="1" fillId="0" borderId="0"/>
    <xf numFmtId="0" fontId="1" fillId="0" borderId="0"/>
    <xf numFmtId="0" fontId="48" fillId="0" borderId="0"/>
    <xf numFmtId="0" fontId="1" fillId="0" borderId="0"/>
    <xf numFmtId="0" fontId="48" fillId="0" borderId="0"/>
    <xf numFmtId="0" fontId="1" fillId="0" borderId="0"/>
    <xf numFmtId="0" fontId="48" fillId="0" borderId="0"/>
    <xf numFmtId="0" fontId="14" fillId="0" borderId="0">
      <alignment horizontal="left" vertical="center" indent="12"/>
    </xf>
    <xf numFmtId="0" fontId="36" fillId="0" borderId="40" applyBorder="0">
      <alignment horizontal="left" vertical="center" wrapText="1" indent="2"/>
      <protection locked="0"/>
    </xf>
    <xf numFmtId="0" fontId="36" fillId="0" borderId="40" applyBorder="0">
      <alignment horizontal="left" vertical="center" wrapText="1" indent="3"/>
      <protection locked="0"/>
    </xf>
    <xf numFmtId="10" fontId="7" fillId="0" borderId="0" applyFont="0" applyFill="0" applyBorder="0" applyAlignment="0" applyProtection="0"/>
    <xf numFmtId="179" fontId="41" fillId="0" borderId="0">
      <protection locked="0"/>
    </xf>
    <xf numFmtId="179" fontId="41" fillId="0" borderId="0">
      <protection locked="0"/>
    </xf>
    <xf numFmtId="180" fontId="41" fillId="0" borderId="0">
      <protection locked="0"/>
    </xf>
    <xf numFmtId="9" fontId="48" fillId="0" borderId="0" applyFont="0" applyFill="0" applyBorder="0" applyAlignment="0" applyProtection="0"/>
    <xf numFmtId="9" fontId="7" fillId="0" borderId="0" applyFont="0" applyFill="0" applyBorder="0" applyAlignment="0" applyProtection="0"/>
    <xf numFmtId="9" fontId="4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48" fillId="0" borderId="0" applyFont="0" applyFill="0" applyBorder="0" applyAlignment="0" applyProtection="0"/>
    <xf numFmtId="0" fontId="52" fillId="0" borderId="0" applyNumberFormat="0" applyBorder="0" applyProtection="0"/>
    <xf numFmtId="181" fontId="52" fillId="0" borderId="0" applyBorder="0" applyProtection="0"/>
    <xf numFmtId="38" fontId="53" fillId="0" borderId="0" applyFont="0" applyFill="0" applyBorder="0" applyAlignment="0" applyProtection="0"/>
    <xf numFmtId="182" fontId="54" fillId="0" borderId="0">
      <protection locked="0"/>
    </xf>
    <xf numFmtId="166" fontId="49" fillId="0" borderId="0" applyFont="0" applyFill="0" applyBorder="0" applyAlignment="0" applyProtection="0"/>
    <xf numFmtId="166" fontId="2" fillId="0" borderId="0" applyFont="0" applyFill="0" applyBorder="0" applyAlignment="0" applyProtection="0"/>
    <xf numFmtId="175" fontId="40" fillId="0" borderId="0" applyBorder="0" applyProtection="0"/>
    <xf numFmtId="183" fontId="51" fillId="0" borderId="0" applyFont="0" applyFill="0" applyBorder="0" applyAlignment="0" applyProtection="0"/>
    <xf numFmtId="0" fontId="53" fillId="0" borderId="0"/>
    <xf numFmtId="0" fontId="55" fillId="0" borderId="0">
      <protection locked="0"/>
    </xf>
    <xf numFmtId="0" fontId="55" fillId="0" borderId="0">
      <protection locked="0"/>
    </xf>
    <xf numFmtId="43" fontId="1" fillId="0" borderId="0" applyFont="0" applyFill="0" applyBorder="0" applyAlignment="0" applyProtection="0"/>
    <xf numFmtId="43" fontId="1" fillId="0" borderId="0" applyFont="0" applyFill="0" applyBorder="0" applyAlignment="0" applyProtection="0"/>
    <xf numFmtId="173" fontId="7" fillId="0" borderId="0" applyFont="0" applyFill="0" applyBorder="0" applyAlignment="0" applyProtection="0"/>
    <xf numFmtId="166" fontId="49"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49" fillId="0" borderId="0" applyFont="0" applyFill="0" applyBorder="0" applyAlignment="0" applyProtection="0"/>
    <xf numFmtId="166"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51" fillId="0" borderId="0" applyFont="0" applyFill="0" applyBorder="0" applyAlignment="0" applyProtection="0"/>
    <xf numFmtId="0" fontId="7" fillId="0" borderId="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3"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7"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22"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57" fillId="30" borderId="0" applyNumberFormat="0" applyBorder="0" applyAlignment="0" applyProtection="0"/>
    <xf numFmtId="0" fontId="57" fillId="25" borderId="0" applyNumberFormat="0" applyBorder="0" applyAlignment="0" applyProtection="0"/>
    <xf numFmtId="0" fontId="57" fillId="27" borderId="0" applyNumberFormat="0" applyBorder="0" applyAlignment="0" applyProtection="0"/>
    <xf numFmtId="0" fontId="57" fillId="31" borderId="0" applyNumberFormat="0" applyBorder="0" applyAlignment="0" applyProtection="0"/>
    <xf numFmtId="0" fontId="57" fillId="32" borderId="0" applyNumberFormat="0" applyBorder="0" applyAlignment="0" applyProtection="0"/>
    <xf numFmtId="0" fontId="57" fillId="33" borderId="0" applyNumberFormat="0" applyBorder="0" applyAlignment="0" applyProtection="0"/>
    <xf numFmtId="0" fontId="57" fillId="22" borderId="0" applyNumberFormat="0" applyBorder="0" applyAlignment="0" applyProtection="0"/>
    <xf numFmtId="0" fontId="57" fillId="34" borderId="0" applyNumberFormat="0" applyBorder="0" applyAlignment="0" applyProtection="0"/>
    <xf numFmtId="0" fontId="57" fillId="28" borderId="0" applyNumberFormat="0" applyBorder="0" applyAlignment="0" applyProtection="0"/>
    <xf numFmtId="0" fontId="57" fillId="19" borderId="0" applyNumberFormat="0" applyBorder="0" applyAlignment="0" applyProtection="0"/>
    <xf numFmtId="0" fontId="57" fillId="22" borderId="0" applyNumberFormat="0" applyBorder="0" applyAlignment="0" applyProtection="0"/>
    <xf numFmtId="0" fontId="57" fillId="25" borderId="0" applyNumberFormat="0" applyBorder="0" applyAlignment="0" applyProtection="0"/>
    <xf numFmtId="0" fontId="57" fillId="35" borderId="0" applyNumberFormat="0" applyBorder="0" applyAlignment="0" applyProtection="0"/>
    <xf numFmtId="0" fontId="57" fillId="36" borderId="0" applyNumberFormat="0" applyBorder="0" applyAlignment="0" applyProtection="0"/>
    <xf numFmtId="0" fontId="57" fillId="37" borderId="0" applyNumberFormat="0" applyBorder="0" applyAlignment="0" applyProtection="0"/>
    <xf numFmtId="0" fontId="57" fillId="31" borderId="0" applyNumberFormat="0" applyBorder="0" applyAlignment="0" applyProtection="0"/>
    <xf numFmtId="0" fontId="57" fillId="32" borderId="0" applyNumberFormat="0" applyBorder="0" applyAlignment="0" applyProtection="0"/>
    <xf numFmtId="0" fontId="57" fillId="34" borderId="0" applyNumberFormat="0" applyBorder="0" applyAlignment="0" applyProtection="0"/>
    <xf numFmtId="0" fontId="63" fillId="19" borderId="0" applyNumberFormat="0" applyBorder="0" applyAlignment="0" applyProtection="0"/>
    <xf numFmtId="0" fontId="58" fillId="22" borderId="0" applyNumberFormat="0" applyBorder="0" applyAlignment="0" applyProtection="0"/>
    <xf numFmtId="0" fontId="59" fillId="38" borderId="47" applyNumberFormat="0" applyAlignment="0" applyProtection="0"/>
    <xf numFmtId="0" fontId="73" fillId="39" borderId="47" applyNumberFormat="0" applyAlignment="0" applyProtection="0"/>
    <xf numFmtId="0" fontId="60" fillId="40" borderId="48" applyNumberFormat="0" applyAlignment="0" applyProtection="0"/>
    <xf numFmtId="0" fontId="66" fillId="0" borderId="50" applyNumberFormat="0" applyFill="0" applyAlignment="0" applyProtection="0"/>
    <xf numFmtId="0" fontId="60" fillId="40" borderId="48" applyNumberFormat="0" applyAlignment="0" applyProtection="0"/>
    <xf numFmtId="0" fontId="57" fillId="41" borderId="0" applyNumberFormat="0" applyBorder="0" applyAlignment="0" applyProtection="0"/>
    <xf numFmtId="0" fontId="57" fillId="34" borderId="0" applyNumberFormat="0" applyBorder="0" applyAlignment="0" applyProtection="0"/>
    <xf numFmtId="0" fontId="57" fillId="28" borderId="0" applyNumberFormat="0" applyBorder="0" applyAlignment="0" applyProtection="0"/>
    <xf numFmtId="0" fontId="57" fillId="42" borderId="0" applyNumberFormat="0" applyBorder="0" applyAlignment="0" applyProtection="0"/>
    <xf numFmtId="0" fontId="57" fillId="32" borderId="0" applyNumberFormat="0" applyBorder="0" applyAlignment="0" applyProtection="0"/>
    <xf numFmtId="0" fontId="57" fillId="36" borderId="0" applyNumberFormat="0" applyBorder="0" applyAlignment="0" applyProtection="0"/>
    <xf numFmtId="0" fontId="62" fillId="29" borderId="47" applyNumberFormat="0" applyAlignment="0" applyProtection="0"/>
    <xf numFmtId="0" fontId="67" fillId="0" borderId="0" applyNumberFormat="0" applyFill="0" applyBorder="0" applyAlignment="0" applyProtection="0"/>
    <xf numFmtId="0" fontId="58" fillId="20" borderId="0" applyNumberFormat="0" applyBorder="0" applyAlignment="0" applyProtection="0"/>
    <xf numFmtId="0" fontId="69" fillId="0" borderId="51" applyNumberFormat="0" applyFill="0" applyAlignment="0" applyProtection="0"/>
    <xf numFmtId="0" fontId="70" fillId="0" borderId="52" applyNumberFormat="0" applyFill="0" applyAlignment="0" applyProtection="0"/>
    <xf numFmtId="0" fontId="71" fillId="0" borderId="53" applyNumberFormat="0" applyFill="0" applyAlignment="0" applyProtection="0"/>
    <xf numFmtId="0" fontId="71" fillId="0" borderId="0" applyNumberFormat="0" applyFill="0" applyBorder="0" applyAlignment="0" applyProtection="0"/>
    <xf numFmtId="0" fontId="79" fillId="0" borderId="0" applyNumberFormat="0" applyFill="0" applyBorder="0" applyAlignment="0" applyProtection="0">
      <alignment vertical="top"/>
      <protection locked="0"/>
    </xf>
    <xf numFmtId="0" fontId="63" fillId="21" borderId="0" applyNumberFormat="0" applyBorder="0" applyAlignment="0" applyProtection="0"/>
    <xf numFmtId="0" fontId="62" fillId="23" borderId="47" applyNumberFormat="0" applyAlignment="0" applyProtection="0"/>
    <xf numFmtId="0" fontId="61" fillId="0" borderId="49" applyNumberFormat="0" applyFill="0" applyAlignment="0" applyProtection="0"/>
    <xf numFmtId="165" fontId="7" fillId="0" borderId="0" applyFont="0" applyFill="0" applyBorder="0" applyAlignment="0" applyProtection="0"/>
    <xf numFmtId="0" fontId="74" fillId="29" borderId="0" applyNumberFormat="0" applyBorder="0" applyAlignment="0" applyProtection="0"/>
    <xf numFmtId="0" fontId="64" fillId="29" borderId="0" applyNumberFormat="0" applyBorder="0" applyAlignment="0" applyProtection="0"/>
    <xf numFmtId="0" fontId="7" fillId="26" borderId="54" applyNumberFormat="0" applyFont="0" applyAlignment="0" applyProtection="0"/>
    <xf numFmtId="0" fontId="6" fillId="26" borderId="54" applyNumberFormat="0" applyFont="0" applyAlignment="0" applyProtection="0"/>
    <xf numFmtId="0" fontId="65" fillId="38" borderId="55" applyNumberFormat="0" applyAlignment="0" applyProtection="0"/>
    <xf numFmtId="0" fontId="65" fillId="39" borderId="55" applyNumberFormat="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76" fillId="0" borderId="56" applyNumberFormat="0" applyFill="0" applyAlignment="0" applyProtection="0"/>
    <xf numFmtId="0" fontId="77" fillId="0" borderId="57" applyNumberFormat="0" applyFill="0" applyAlignment="0" applyProtection="0"/>
    <xf numFmtId="0" fontId="78" fillId="0" borderId="58" applyNumberFormat="0" applyFill="0" applyAlignment="0" applyProtection="0"/>
    <xf numFmtId="0" fontId="78" fillId="0" borderId="0" applyNumberFormat="0" applyFill="0" applyBorder="0" applyAlignment="0" applyProtection="0"/>
    <xf numFmtId="0" fontId="75" fillId="0" borderId="0" applyNumberFormat="0" applyFill="0" applyBorder="0" applyAlignment="0" applyProtection="0"/>
    <xf numFmtId="0" fontId="72" fillId="0" borderId="59" applyNumberFormat="0" applyFill="0" applyAlignment="0" applyProtection="0"/>
    <xf numFmtId="0" fontId="7" fillId="0" borderId="0"/>
    <xf numFmtId="0" fontId="66" fillId="0" borderId="0" applyNumberFormat="0" applyFill="0" applyBorder="0" applyAlignment="0" applyProtection="0"/>
    <xf numFmtId="0" fontId="7"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66" fontId="7" fillId="0" borderId="0" applyFont="0" applyFill="0" applyBorder="0" applyAlignment="0" applyProtection="0"/>
    <xf numFmtId="43" fontId="1" fillId="0" borderId="0" applyFont="0" applyFill="0" applyBorder="0" applyAlignment="0" applyProtection="0"/>
    <xf numFmtId="44" fontId="49"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7" fillId="0" borderId="0"/>
    <xf numFmtId="0" fontId="7" fillId="0" borderId="0"/>
    <xf numFmtId="0" fontId="1" fillId="0" borderId="0"/>
    <xf numFmtId="0" fontId="7" fillId="0" borderId="0"/>
    <xf numFmtId="0" fontId="7" fillId="0" borderId="0"/>
    <xf numFmtId="0" fontId="5" fillId="0" borderId="0"/>
    <xf numFmtId="0" fontId="7" fillId="0" borderId="0"/>
    <xf numFmtId="0" fontId="7" fillId="0" borderId="0"/>
    <xf numFmtId="9" fontId="4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6" fontId="35" fillId="0" borderId="0" applyFont="0" applyFill="0" applyBorder="0" applyAlignment="0" applyProtection="0"/>
    <xf numFmtId="166" fontId="49"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49"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5"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7" fillId="0" borderId="0" applyFont="0" applyFill="0" applyBorder="0" applyAlignment="0" applyProtection="0"/>
    <xf numFmtId="166" fontId="5" fillId="0" borderId="0" applyFont="0" applyFill="0" applyBorder="0" applyAlignment="0" applyProtection="0"/>
    <xf numFmtId="166" fontId="7" fillId="0" borderId="0" applyFont="0" applyFill="0" applyBorder="0" applyAlignment="0" applyProtection="0"/>
    <xf numFmtId="166" fontId="5"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5" fillId="0" borderId="0"/>
    <xf numFmtId="0" fontId="5" fillId="0" borderId="0"/>
    <xf numFmtId="166" fontId="5" fillId="0" borderId="0" applyFont="0" applyFill="0" applyBorder="0" applyAlignment="0" applyProtection="0"/>
    <xf numFmtId="165" fontId="5" fillId="0" borderId="0" applyFont="0" applyFill="0" applyBorder="0" applyAlignment="0" applyProtection="0"/>
    <xf numFmtId="9" fontId="5" fillId="0" borderId="0" applyFont="0" applyFill="0" applyBorder="0" applyAlignment="0" applyProtection="0"/>
    <xf numFmtId="0" fontId="5" fillId="0" borderId="0"/>
    <xf numFmtId="166"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5"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38" fillId="0" borderId="0" applyNumberForma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 fontId="5" fillId="0" borderId="0"/>
    <xf numFmtId="0" fontId="5" fillId="0" borderId="0"/>
    <xf numFmtId="4"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4" fontId="5" fillId="0" borderId="0"/>
    <xf numFmtId="0" fontId="5" fillId="0" borderId="0"/>
    <xf numFmtId="0" fontId="5" fillId="0" borderId="0"/>
    <xf numFmtId="165"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4" fontId="5" fillId="0" borderId="0"/>
    <xf numFmtId="0" fontId="5" fillId="0" borderId="0"/>
    <xf numFmtId="4" fontId="5" fillId="0" borderId="0"/>
    <xf numFmtId="4"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alignment horizontal="centerContinuous" vertical="justify"/>
    </xf>
    <xf numFmtId="165"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0"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73"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5" fillId="0" borderId="0"/>
    <xf numFmtId="165" fontId="5" fillId="0" borderId="0" applyFont="0" applyFill="0" applyBorder="0" applyAlignment="0" applyProtection="0"/>
    <xf numFmtId="0" fontId="5" fillId="26" borderId="54" applyNumberFormat="0" applyFont="0" applyAlignment="0" applyProtection="0"/>
    <xf numFmtId="0" fontId="5"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4" fontId="1" fillId="0" borderId="0" applyFont="0" applyFill="0" applyBorder="0" applyAlignment="0" applyProtection="0"/>
    <xf numFmtId="0" fontId="5" fillId="0" borderId="0"/>
    <xf numFmtId="44" fontId="49" fillId="0" borderId="0" applyFont="0" applyFill="0" applyBorder="0" applyAlignment="0" applyProtection="0"/>
    <xf numFmtId="44" fontId="48" fillId="0" borderId="0" applyFont="0" applyFill="0" applyBorder="0" applyAlignment="0" applyProtection="0"/>
    <xf numFmtId="44" fontId="49"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185" fontId="5" fillId="0" borderId="0" applyFont="0" applyFill="0" applyBorder="0" applyAlignment="0" applyProtection="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6" borderId="54" applyNumberFormat="0" applyFont="0" applyAlignment="0" applyProtection="0"/>
    <xf numFmtId="0" fontId="5" fillId="26" borderId="54" applyNumberFormat="0" applyFont="0" applyAlignment="0" applyProtection="0"/>
    <xf numFmtId="166" fontId="5"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0" fontId="5" fillId="0" borderId="0"/>
    <xf numFmtId="0" fontId="38" fillId="0" borderId="0" applyNumberFormat="0" applyFill="0" applyBorder="0" applyAlignment="0" applyProtection="0"/>
    <xf numFmtId="165" fontId="5" fillId="0" borderId="0" applyFont="0" applyFill="0" applyBorder="0" applyAlignment="0" applyProtection="0"/>
    <xf numFmtId="4" fontId="5" fillId="0" borderId="0"/>
    <xf numFmtId="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8"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48" fillId="0" borderId="0" applyFont="0" applyFill="0" applyBorder="0" applyAlignment="0" applyProtection="0"/>
    <xf numFmtId="166" fontId="35"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166"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0" fontId="5" fillId="0" borderId="0"/>
    <xf numFmtId="0" fontId="95" fillId="0" borderId="0"/>
    <xf numFmtId="0" fontId="79" fillId="0" borderId="0" applyNumberFormat="0" applyFill="0" applyBorder="0" applyAlignment="0" applyProtection="0">
      <alignment vertical="top"/>
      <protection locked="0"/>
    </xf>
    <xf numFmtId="0" fontId="38" fillId="0" borderId="0" applyNumberForma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165" fontId="5" fillId="0" borderId="0" applyFont="0" applyFill="0" applyBorder="0" applyAlignment="0" applyProtection="0"/>
    <xf numFmtId="44" fontId="49"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95" fillId="0" borderId="0" applyFont="0" applyFill="0" applyBorder="0" applyAlignment="0" applyProtection="0"/>
    <xf numFmtId="165" fontId="95" fillId="0" borderId="0" applyFont="0" applyFill="0" applyBorder="0" applyAlignment="0" applyProtection="0"/>
    <xf numFmtId="165" fontId="9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95" fillId="0" borderId="0" applyFont="0" applyFill="0" applyBorder="0" applyAlignment="0" applyProtection="0"/>
    <xf numFmtId="165" fontId="95" fillId="0" borderId="0" applyFont="0" applyFill="0" applyBorder="0" applyAlignment="0" applyProtection="0"/>
    <xf numFmtId="165" fontId="95" fillId="0" borderId="0" applyFont="0" applyFill="0" applyBorder="0" applyAlignment="0" applyProtection="0"/>
    <xf numFmtId="165" fontId="95" fillId="0" borderId="0" applyFont="0" applyFill="0" applyBorder="0" applyAlignment="0" applyProtection="0"/>
    <xf numFmtId="165" fontId="95" fillId="0" borderId="0" applyFont="0" applyFill="0" applyBorder="0" applyAlignment="0" applyProtection="0"/>
    <xf numFmtId="165" fontId="95" fillId="0" borderId="0" applyFont="0" applyFill="0" applyBorder="0" applyAlignment="0" applyProtection="0"/>
    <xf numFmtId="165" fontId="95" fillId="0" borderId="0" applyFont="0" applyFill="0" applyBorder="0" applyAlignment="0" applyProtection="0"/>
    <xf numFmtId="165" fontId="9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95" fillId="0" borderId="0" applyFont="0" applyFill="0" applyBorder="0" applyAlignment="0" applyProtection="0"/>
    <xf numFmtId="165" fontId="5" fillId="0" borderId="0" applyFont="0" applyFill="0" applyBorder="0" applyAlignment="0" applyProtection="0"/>
    <xf numFmtId="165" fontId="9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95" fillId="0" borderId="0" applyFont="0" applyFill="0" applyBorder="0" applyAlignment="0" applyProtection="0"/>
    <xf numFmtId="165" fontId="95" fillId="0" borderId="0" applyFont="0" applyFill="0" applyBorder="0" applyAlignment="0" applyProtection="0"/>
    <xf numFmtId="165" fontId="9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95" fillId="0" borderId="0" applyFont="0" applyFill="0" applyBorder="0" applyAlignment="0" applyProtection="0"/>
    <xf numFmtId="165" fontId="95" fillId="0" borderId="0" applyFont="0" applyFill="0" applyBorder="0" applyAlignment="0" applyProtection="0"/>
    <xf numFmtId="165" fontId="95" fillId="0" borderId="0" applyFont="0" applyFill="0" applyBorder="0" applyAlignment="0" applyProtection="0"/>
    <xf numFmtId="165" fontId="95" fillId="0" borderId="0" applyFont="0" applyFill="0" applyBorder="0" applyAlignment="0" applyProtection="0"/>
    <xf numFmtId="165" fontId="95" fillId="0" borderId="0" applyFont="0" applyFill="0" applyBorder="0" applyAlignment="0" applyProtection="0"/>
    <xf numFmtId="165" fontId="95" fillId="0" borderId="0" applyFont="0" applyFill="0" applyBorder="0" applyAlignment="0" applyProtection="0"/>
    <xf numFmtId="165" fontId="95" fillId="0" borderId="0" applyFont="0" applyFill="0" applyBorder="0" applyAlignment="0" applyProtection="0"/>
    <xf numFmtId="165" fontId="95" fillId="0" borderId="0" applyFont="0" applyFill="0" applyBorder="0" applyAlignment="0" applyProtection="0"/>
    <xf numFmtId="165"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95" fillId="0" borderId="0" applyFont="0" applyFill="0" applyBorder="0" applyAlignment="0" applyProtection="0"/>
    <xf numFmtId="165" fontId="5" fillId="0" borderId="0" applyFont="0" applyFill="0" applyBorder="0" applyAlignment="0" applyProtection="0"/>
    <xf numFmtId="165" fontId="95" fillId="0" borderId="0" applyFont="0" applyFill="0" applyBorder="0" applyAlignment="0" applyProtection="0"/>
    <xf numFmtId="9" fontId="5" fillId="0" borderId="0" applyFont="0" applyFill="0" applyBorder="0" applyAlignment="0" applyProtection="0"/>
    <xf numFmtId="0" fontId="1" fillId="0" borderId="0"/>
    <xf numFmtId="0" fontId="1" fillId="0" borderId="0"/>
    <xf numFmtId="0" fontId="1" fillId="0" borderId="0"/>
    <xf numFmtId="9" fontId="5" fillId="0" borderId="0" applyFont="0" applyFill="0" applyBorder="0" applyAlignment="0" applyProtection="0"/>
    <xf numFmtId="0" fontId="1" fillId="0" borderId="0"/>
    <xf numFmtId="0" fontId="1" fillId="0" borderId="0"/>
    <xf numFmtId="0" fontId="1" fillId="0" borderId="0"/>
    <xf numFmtId="9" fontId="5" fillId="0" borderId="0" applyFont="0" applyFill="0" applyBorder="0" applyAlignment="0" applyProtection="0"/>
    <xf numFmtId="0" fontId="95" fillId="0" borderId="0"/>
    <xf numFmtId="0" fontId="95" fillId="0" borderId="0"/>
    <xf numFmtId="0" fontId="95" fillId="0" borderId="0"/>
    <xf numFmtId="0" fontId="1" fillId="0" borderId="0"/>
    <xf numFmtId="0" fontId="1" fillId="0" borderId="0"/>
    <xf numFmtId="0" fontId="5" fillId="0" borderId="0"/>
    <xf numFmtId="0" fontId="1" fillId="0" borderId="0"/>
    <xf numFmtId="0" fontId="1" fillId="0" borderId="0"/>
    <xf numFmtId="0" fontId="1"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95" fillId="0" borderId="0"/>
    <xf numFmtId="0" fontId="5" fillId="0" borderId="0"/>
    <xf numFmtId="0" fontId="1" fillId="0" borderId="0"/>
    <xf numFmtId="0" fontId="5" fillId="0" borderId="0"/>
    <xf numFmtId="0" fontId="5" fillId="0" borderId="0"/>
    <xf numFmtId="0" fontId="1" fillId="0" borderId="0"/>
    <xf numFmtId="0" fontId="95" fillId="0" borderId="0"/>
    <xf numFmtId="0" fontId="9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95" fillId="0" borderId="0"/>
    <xf numFmtId="0" fontId="1" fillId="0" borderId="0"/>
    <xf numFmtId="0" fontId="5" fillId="0" borderId="0"/>
    <xf numFmtId="0" fontId="95" fillId="0" borderId="0"/>
    <xf numFmtId="0" fontId="95"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95" fillId="0" borderId="0"/>
    <xf numFmtId="0" fontId="1" fillId="0" borderId="0"/>
    <xf numFmtId="0" fontId="1" fillId="0" borderId="0"/>
    <xf numFmtId="0" fontId="1" fillId="0" borderId="0"/>
    <xf numFmtId="0" fontId="95" fillId="0" borderId="0"/>
    <xf numFmtId="0" fontId="1"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95" fillId="0" borderId="0"/>
    <xf numFmtId="0" fontId="1" fillId="0" borderId="0"/>
    <xf numFmtId="0" fontId="1" fillId="0" borderId="0"/>
    <xf numFmtId="0" fontId="1" fillId="0" borderId="0"/>
    <xf numFmtId="0" fontId="95" fillId="0" borderId="0"/>
    <xf numFmtId="0" fontId="1" fillId="0" borderId="0"/>
    <xf numFmtId="0" fontId="5" fillId="0" borderId="0"/>
    <xf numFmtId="0" fontId="5" fillId="0" borderId="0"/>
    <xf numFmtId="0" fontId="95" fillId="0" borderId="0"/>
    <xf numFmtId="0" fontId="5" fillId="0" borderId="0"/>
    <xf numFmtId="0" fontId="1" fillId="0" borderId="0"/>
    <xf numFmtId="0" fontId="1" fillId="0" borderId="0"/>
    <xf numFmtId="0" fontId="95" fillId="0" borderId="0"/>
    <xf numFmtId="0" fontId="1" fillId="0" borderId="0"/>
    <xf numFmtId="0" fontId="1" fillId="0" borderId="0"/>
    <xf numFmtId="0" fontId="1" fillId="0" borderId="0"/>
    <xf numFmtId="0" fontId="95" fillId="0" borderId="0"/>
    <xf numFmtId="0" fontId="1" fillId="0" borderId="0"/>
    <xf numFmtId="0" fontId="5" fillId="0" borderId="0"/>
    <xf numFmtId="0" fontId="5" fillId="0" borderId="0"/>
    <xf numFmtId="0" fontId="95" fillId="0" borderId="0"/>
    <xf numFmtId="0" fontId="5" fillId="0" borderId="0"/>
    <xf numFmtId="0" fontId="51" fillId="0" borderId="0"/>
    <xf numFmtId="0" fontId="95" fillId="0" borderId="0"/>
    <xf numFmtId="0" fontId="5" fillId="0" borderId="0"/>
    <xf numFmtId="0" fontId="5" fillId="0" borderId="0"/>
    <xf numFmtId="0" fontId="1" fillId="0" borderId="0"/>
    <xf numFmtId="0" fontId="1" fillId="0" borderId="0"/>
    <xf numFmtId="0" fontId="95" fillId="0" borderId="0"/>
    <xf numFmtId="0" fontId="1" fillId="0" borderId="0"/>
    <xf numFmtId="0" fontId="1" fillId="0" borderId="0"/>
    <xf numFmtId="0" fontId="1" fillId="0" borderId="0"/>
    <xf numFmtId="0" fontId="95" fillId="0" borderId="0"/>
    <xf numFmtId="0" fontId="1" fillId="0" borderId="0"/>
    <xf numFmtId="0" fontId="5" fillId="0" borderId="0"/>
    <xf numFmtId="0" fontId="5" fillId="0" borderId="0"/>
    <xf numFmtId="0" fontId="95" fillId="0" borderId="0"/>
    <xf numFmtId="0" fontId="5" fillId="0" borderId="0"/>
    <xf numFmtId="0" fontId="1" fillId="0" borderId="0"/>
    <xf numFmtId="0" fontId="1" fillId="0" borderId="0"/>
    <xf numFmtId="0" fontId="95" fillId="0" borderId="0"/>
    <xf numFmtId="0" fontId="1" fillId="0" borderId="0"/>
    <xf numFmtId="0" fontId="1" fillId="0" borderId="0"/>
    <xf numFmtId="0" fontId="1" fillId="0" borderId="0"/>
    <xf numFmtId="0" fontId="95" fillId="0" borderId="0"/>
    <xf numFmtId="0" fontId="1" fillId="0" borderId="0"/>
    <xf numFmtId="0" fontId="1" fillId="0" borderId="0"/>
    <xf numFmtId="0" fontId="1" fillId="0" borderId="0"/>
    <xf numFmtId="0" fontId="5" fillId="0" borderId="0"/>
    <xf numFmtId="0" fontId="1" fillId="0" borderId="0"/>
    <xf numFmtId="0" fontId="95" fillId="0" borderId="0"/>
    <xf numFmtId="0" fontId="1" fillId="0" borderId="0"/>
    <xf numFmtId="0" fontId="1" fillId="0" borderId="0"/>
    <xf numFmtId="0" fontId="1" fillId="0" borderId="0"/>
    <xf numFmtId="0" fontId="95" fillId="0" borderId="0"/>
    <xf numFmtId="0" fontId="1" fillId="0" borderId="0"/>
    <xf numFmtId="0" fontId="5" fillId="0" borderId="0"/>
    <xf numFmtId="0" fontId="95" fillId="0" borderId="0"/>
    <xf numFmtId="0" fontId="5" fillId="0" borderId="0"/>
    <xf numFmtId="0" fontId="5" fillId="0" borderId="0"/>
    <xf numFmtId="0" fontId="95" fillId="0" borderId="0"/>
    <xf numFmtId="0" fontId="5" fillId="0" borderId="0"/>
    <xf numFmtId="0" fontId="1" fillId="0" borderId="0"/>
    <xf numFmtId="0" fontId="1" fillId="0" borderId="0"/>
    <xf numFmtId="0" fontId="95" fillId="0" borderId="0"/>
    <xf numFmtId="0" fontId="1" fillId="0" borderId="0"/>
    <xf numFmtId="0" fontId="1" fillId="0" borderId="0"/>
    <xf numFmtId="0" fontId="1" fillId="0" borderId="0"/>
    <xf numFmtId="0" fontId="95" fillId="0" borderId="0"/>
    <xf numFmtId="0" fontId="1" fillId="0" borderId="0"/>
    <xf numFmtId="0" fontId="1" fillId="0" borderId="0"/>
    <xf numFmtId="0" fontId="1" fillId="0" borderId="0"/>
    <xf numFmtId="0" fontId="95" fillId="0" borderId="0"/>
    <xf numFmtId="0" fontId="1" fillId="0" borderId="0"/>
    <xf numFmtId="0" fontId="1" fillId="0" borderId="0"/>
    <xf numFmtId="0" fontId="1" fillId="0" borderId="0"/>
    <xf numFmtId="0" fontId="95" fillId="0" borderId="0"/>
    <xf numFmtId="0" fontId="1" fillId="0" borderId="0"/>
    <xf numFmtId="0" fontId="1" fillId="0" borderId="0"/>
    <xf numFmtId="0" fontId="1" fillId="0" borderId="0"/>
    <xf numFmtId="0" fontId="95" fillId="0" borderId="0"/>
    <xf numFmtId="0" fontId="1" fillId="0" borderId="0"/>
    <xf numFmtId="0" fontId="5" fillId="0" borderId="0"/>
    <xf numFmtId="0" fontId="5" fillId="0" borderId="0"/>
    <xf numFmtId="0" fontId="95" fillId="0" borderId="0"/>
    <xf numFmtId="0" fontId="5" fillId="0" borderId="0"/>
    <xf numFmtId="0" fontId="5" fillId="0" borderId="0"/>
    <xf numFmtId="0" fontId="5" fillId="0" borderId="0"/>
    <xf numFmtId="0" fontId="95" fillId="0" borderId="0"/>
    <xf numFmtId="0" fontId="5" fillId="0" borderId="0"/>
    <xf numFmtId="0" fontId="1" fillId="0" borderId="0"/>
    <xf numFmtId="0" fontId="1" fillId="0" borderId="0"/>
    <xf numFmtId="0" fontId="95" fillId="0" borderId="0"/>
    <xf numFmtId="0" fontId="1" fillId="0" borderId="0"/>
    <xf numFmtId="0" fontId="1" fillId="0" borderId="0"/>
    <xf numFmtId="0" fontId="1" fillId="0" borderId="0"/>
    <xf numFmtId="0" fontId="95" fillId="0" borderId="0"/>
    <xf numFmtId="0" fontId="1" fillId="0" borderId="0"/>
    <xf numFmtId="0" fontId="5" fillId="0" borderId="0"/>
    <xf numFmtId="0" fontId="5" fillId="0" borderId="0"/>
    <xf numFmtId="0" fontId="95" fillId="0" borderId="0"/>
    <xf numFmtId="0" fontId="5" fillId="0" borderId="0"/>
    <xf numFmtId="0" fontId="1" fillId="0" borderId="0"/>
    <xf numFmtId="0" fontId="1" fillId="0" borderId="0"/>
    <xf numFmtId="0" fontId="95" fillId="0" borderId="0"/>
    <xf numFmtId="0" fontId="1" fillId="0" borderId="0"/>
    <xf numFmtId="0" fontId="5" fillId="0" borderId="0"/>
    <xf numFmtId="0" fontId="5" fillId="0" borderId="0"/>
    <xf numFmtId="0" fontId="95" fillId="0" borderId="0"/>
    <xf numFmtId="0" fontId="5" fillId="0" borderId="0"/>
    <xf numFmtId="0" fontId="1" fillId="0" borderId="0"/>
    <xf numFmtId="0" fontId="1" fillId="0" borderId="0"/>
    <xf numFmtId="0" fontId="95" fillId="0" borderId="0"/>
    <xf numFmtId="0" fontId="1" fillId="0" borderId="0"/>
    <xf numFmtId="0" fontId="5" fillId="0" borderId="0"/>
    <xf numFmtId="0" fontId="5" fillId="0" borderId="0"/>
    <xf numFmtId="0" fontId="95" fillId="0" borderId="0"/>
    <xf numFmtId="0" fontId="5" fillId="0" borderId="0"/>
    <xf numFmtId="0" fontId="1" fillId="0" borderId="0"/>
    <xf numFmtId="0" fontId="1" fillId="0" borderId="0"/>
    <xf numFmtId="0" fontId="95" fillId="0" borderId="0"/>
    <xf numFmtId="0" fontId="1" fillId="0" borderId="0"/>
    <xf numFmtId="0" fontId="5" fillId="0" borderId="0"/>
    <xf numFmtId="0" fontId="5" fillId="0" borderId="0"/>
    <xf numFmtId="0" fontId="95" fillId="0" borderId="0"/>
    <xf numFmtId="0" fontId="5" fillId="0" borderId="0"/>
    <xf numFmtId="0" fontId="5" fillId="0" borderId="0"/>
    <xf numFmtId="0" fontId="5" fillId="0" borderId="0"/>
    <xf numFmtId="0" fontId="95" fillId="0" borderId="0"/>
    <xf numFmtId="0" fontId="5" fillId="0" borderId="0"/>
    <xf numFmtId="0" fontId="1" fillId="0" borderId="0"/>
    <xf numFmtId="0" fontId="1" fillId="0" borderId="0"/>
    <xf numFmtId="0" fontId="95" fillId="0" borderId="0"/>
    <xf numFmtId="0" fontId="1" fillId="0" borderId="0"/>
    <xf numFmtId="0" fontId="1" fillId="0" borderId="0"/>
    <xf numFmtId="0" fontId="1" fillId="0" borderId="0"/>
    <xf numFmtId="0" fontId="95" fillId="0" borderId="0"/>
    <xf numFmtId="0" fontId="1" fillId="0" borderId="0"/>
    <xf numFmtId="0" fontId="5" fillId="0" borderId="0"/>
    <xf numFmtId="0" fontId="5" fillId="0" borderId="0"/>
    <xf numFmtId="0" fontId="95" fillId="0" borderId="0"/>
    <xf numFmtId="0" fontId="5" fillId="0" borderId="0"/>
    <xf numFmtId="0" fontId="1" fillId="0" borderId="0"/>
    <xf numFmtId="0" fontId="1" fillId="0" borderId="0"/>
    <xf numFmtId="0" fontId="95" fillId="0" borderId="0"/>
    <xf numFmtId="0" fontId="1" fillId="0" borderId="0"/>
    <xf numFmtId="0" fontId="1" fillId="0" borderId="0"/>
    <xf numFmtId="0" fontId="1" fillId="0" borderId="0"/>
    <xf numFmtId="0" fontId="95" fillId="0" borderId="0"/>
    <xf numFmtId="0" fontId="1" fillId="0" borderId="0"/>
    <xf numFmtId="0" fontId="5" fillId="0" borderId="0"/>
    <xf numFmtId="0" fontId="5" fillId="0" borderId="0"/>
    <xf numFmtId="0" fontId="95" fillId="0" borderId="0"/>
    <xf numFmtId="0" fontId="5" fillId="0" borderId="0"/>
    <xf numFmtId="0" fontId="1" fillId="0" borderId="0"/>
    <xf numFmtId="0" fontId="1" fillId="0" borderId="0"/>
    <xf numFmtId="0" fontId="95" fillId="0" borderId="0"/>
    <xf numFmtId="0" fontId="1" fillId="0" borderId="0"/>
    <xf numFmtId="0" fontId="5" fillId="0" borderId="0"/>
    <xf numFmtId="0" fontId="5" fillId="0" borderId="0"/>
    <xf numFmtId="0" fontId="95" fillId="0" borderId="0"/>
    <xf numFmtId="0" fontId="5" fillId="0" borderId="0"/>
    <xf numFmtId="0" fontId="1" fillId="0" borderId="0"/>
    <xf numFmtId="0" fontId="1" fillId="0" borderId="0"/>
    <xf numFmtId="0" fontId="95" fillId="0" borderId="0"/>
    <xf numFmtId="0" fontId="1" fillId="0" borderId="0"/>
    <xf numFmtId="0" fontId="5" fillId="0" borderId="0"/>
    <xf numFmtId="0" fontId="5" fillId="0" borderId="0"/>
    <xf numFmtId="0" fontId="95"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95" fillId="0" borderId="0"/>
    <xf numFmtId="0" fontId="1"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95" fillId="0" borderId="0"/>
    <xf numFmtId="0" fontId="1"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95" fillId="0" borderId="0"/>
    <xf numFmtId="0" fontId="1" fillId="0" borderId="0"/>
    <xf numFmtId="0" fontId="5" fillId="0" borderId="0"/>
    <xf numFmtId="0" fontId="5" fillId="0" borderId="0"/>
    <xf numFmtId="0" fontId="1" fillId="0" borderId="0"/>
    <xf numFmtId="0" fontId="5" fillId="0" borderId="0"/>
    <xf numFmtId="0" fontId="1" fillId="0" borderId="0"/>
    <xf numFmtId="4" fontId="5" fillId="0" borderId="0"/>
    <xf numFmtId="4"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0"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0" fontId="5" fillId="0" borderId="0"/>
    <xf numFmtId="4"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0" fontId="95" fillId="0" borderId="0"/>
    <xf numFmtId="0" fontId="1" fillId="0" borderId="0"/>
    <xf numFmtId="0" fontId="9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5" fillId="0" borderId="0"/>
    <xf numFmtId="0" fontId="1" fillId="0" borderId="0"/>
    <xf numFmtId="0" fontId="95" fillId="0" borderId="0"/>
    <xf numFmtId="0" fontId="1" fillId="0" borderId="0"/>
    <xf numFmtId="0" fontId="95" fillId="0" borderId="0"/>
    <xf numFmtId="0" fontId="1" fillId="0" borderId="0"/>
    <xf numFmtId="0" fontId="95" fillId="0" borderId="0"/>
    <xf numFmtId="0" fontId="1" fillId="0" borderId="0"/>
    <xf numFmtId="0" fontId="95" fillId="0" borderId="0"/>
    <xf numFmtId="0" fontId="1" fillId="0" borderId="0"/>
    <xf numFmtId="0" fontId="1" fillId="0" borderId="0"/>
    <xf numFmtId="0" fontId="1" fillId="0" borderId="0"/>
    <xf numFmtId="0" fontId="95" fillId="0" borderId="0"/>
    <xf numFmtId="0" fontId="1" fillId="0" borderId="0"/>
    <xf numFmtId="0" fontId="1" fillId="0" borderId="0"/>
    <xf numFmtId="0" fontId="1" fillId="0" borderId="0"/>
    <xf numFmtId="0" fontId="1" fillId="0" borderId="0"/>
    <xf numFmtId="0" fontId="95" fillId="0" borderId="0"/>
    <xf numFmtId="0" fontId="1" fillId="0" borderId="0"/>
    <xf numFmtId="0" fontId="5" fillId="0" borderId="0"/>
    <xf numFmtId="0" fontId="5" fillId="0" borderId="0"/>
    <xf numFmtId="0" fontId="5" fillId="0" borderId="0"/>
    <xf numFmtId="0" fontId="5" fillId="0" borderId="0"/>
    <xf numFmtId="0" fontId="48" fillId="0" borderId="0"/>
    <xf numFmtId="0" fontId="5" fillId="0" borderId="0"/>
    <xf numFmtId="0" fontId="5" fillId="0" borderId="0"/>
    <xf numFmtId="0" fontId="48"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8" fillId="0" borderId="0"/>
    <xf numFmtId="0" fontId="5" fillId="0" borderId="0"/>
    <xf numFmtId="0" fontId="5" fillId="0" borderId="0"/>
    <xf numFmtId="0" fontId="48"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95" fillId="0" borderId="0"/>
    <xf numFmtId="0" fontId="1" fillId="0" borderId="0"/>
    <xf numFmtId="0" fontId="95" fillId="0" borderId="0"/>
    <xf numFmtId="0" fontId="95" fillId="0" borderId="0"/>
    <xf numFmtId="0" fontId="5" fillId="0" borderId="0"/>
    <xf numFmtId="0" fontId="95" fillId="0" borderId="0"/>
    <xf numFmtId="0" fontId="95" fillId="0" borderId="0"/>
    <xf numFmtId="0" fontId="95" fillId="0" borderId="0"/>
    <xf numFmtId="0" fontId="5" fillId="0" borderId="0"/>
    <xf numFmtId="0" fontId="9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5" fillId="0" borderId="0" applyFont="0" applyFill="0" applyBorder="0" applyAlignment="0" applyProtection="0"/>
    <xf numFmtId="9" fontId="5" fillId="0" borderId="0" applyFont="0" applyFill="0" applyBorder="0" applyAlignment="0" applyProtection="0"/>
    <xf numFmtId="9" fontId="9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49" fillId="0" borderId="0" applyFont="0" applyFill="0" applyBorder="0" applyAlignment="0" applyProtection="0"/>
    <xf numFmtId="9" fontId="9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5" fillId="0" borderId="0" applyFont="0" applyFill="0" applyBorder="0" applyAlignment="0" applyProtection="0"/>
    <xf numFmtId="9" fontId="5" fillId="0" borderId="0" applyFont="0" applyFill="0" applyBorder="0" applyAlignment="0" applyProtection="0"/>
    <xf numFmtId="9" fontId="9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49"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49" fillId="0" borderId="0" applyFont="0" applyFill="0" applyBorder="0" applyAlignment="0" applyProtection="0"/>
    <xf numFmtId="166" fontId="35" fillId="0" borderId="0" applyFont="0" applyFill="0" applyBorder="0" applyAlignment="0" applyProtection="0"/>
    <xf numFmtId="166" fontId="49" fillId="0" borderId="0" applyFont="0" applyFill="0" applyBorder="0" applyAlignment="0" applyProtection="0"/>
    <xf numFmtId="166" fontId="49" fillId="0" borderId="0" applyFont="0" applyFill="0" applyBorder="0" applyAlignment="0" applyProtection="0"/>
    <xf numFmtId="166" fontId="35" fillId="0" borderId="0" applyFont="0" applyFill="0" applyBorder="0" applyAlignment="0" applyProtection="0"/>
    <xf numFmtId="166" fontId="49"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5" fillId="0" borderId="0" applyFont="0" applyFill="0" applyBorder="0" applyAlignment="0" applyProtection="0"/>
    <xf numFmtId="43" fontId="6"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49"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49"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49" fillId="0" borderId="0" applyFont="0" applyFill="0" applyBorder="0" applyAlignment="0" applyProtection="0"/>
    <xf numFmtId="166" fontId="49"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95" fillId="0" borderId="0" applyFont="0" applyFill="0" applyBorder="0" applyAlignment="0" applyProtection="0"/>
    <xf numFmtId="166" fontId="5" fillId="0" borderId="0" applyFont="0" applyFill="0" applyBorder="0" applyAlignment="0" applyProtection="0"/>
    <xf numFmtId="166" fontId="9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9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95" fillId="0" borderId="0" applyFont="0" applyFill="0" applyBorder="0" applyAlignment="0" applyProtection="0"/>
    <xf numFmtId="166"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9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9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9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3" fontId="6"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5" fillId="0" borderId="0" applyFont="0" applyFill="0" applyBorder="0" applyAlignment="0" applyProtection="0"/>
    <xf numFmtId="166" fontId="9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9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95" fillId="0" borderId="0" applyFont="0" applyFill="0" applyBorder="0" applyAlignment="0" applyProtection="0"/>
    <xf numFmtId="166"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9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3" fontId="6" fillId="0" borderId="0" applyFont="0" applyFill="0" applyBorder="0" applyAlignment="0" applyProtection="0"/>
    <xf numFmtId="166" fontId="5" fillId="0" borderId="0" applyFont="0" applyFill="0" applyBorder="0" applyAlignment="0" applyProtection="0"/>
    <xf numFmtId="166" fontId="95" fillId="0" borderId="0" applyFont="0" applyFill="0" applyBorder="0" applyAlignment="0" applyProtection="0"/>
    <xf numFmtId="43" fontId="6"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5" fillId="0" borderId="0" applyFont="0" applyFill="0" applyBorder="0" applyAlignment="0" applyProtection="0"/>
    <xf numFmtId="166" fontId="9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95" fillId="0" borderId="0"/>
    <xf numFmtId="43" fontId="6" fillId="0" borderId="0" applyFont="0" applyFill="0" applyBorder="0" applyAlignment="0" applyProtection="0"/>
    <xf numFmtId="43" fontId="6" fillId="0" borderId="0" applyFont="0" applyFill="0" applyBorder="0" applyAlignment="0" applyProtection="0"/>
    <xf numFmtId="166" fontId="5" fillId="0" borderId="0" applyFont="0" applyFill="0" applyBorder="0" applyAlignment="0" applyProtection="0"/>
    <xf numFmtId="43" fontId="6"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1"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5" fillId="0" borderId="0"/>
    <xf numFmtId="44" fontId="5" fillId="0" borderId="0" applyFont="0" applyFill="0" applyBorder="0" applyAlignment="0" applyProtection="0"/>
    <xf numFmtId="186" fontId="5" fillId="0" borderId="0" applyFont="0" applyBorder="0">
      <alignment horizontal="center"/>
    </xf>
    <xf numFmtId="169" fontId="5" fillId="0" borderId="0">
      <alignment horizontal="center" vertical="top"/>
    </xf>
    <xf numFmtId="166" fontId="36" fillId="0" borderId="0"/>
    <xf numFmtId="0" fontId="98" fillId="18" borderId="0" applyNumberFormat="0" applyBorder="0" applyAlignment="0" applyProtection="0"/>
    <xf numFmtId="0" fontId="98" fillId="19" borderId="0" applyNumberFormat="0" applyBorder="0" applyAlignment="0" applyProtection="0"/>
    <xf numFmtId="0" fontId="98" fillId="20" borderId="0" applyNumberFormat="0" applyBorder="0" applyAlignment="0" applyProtection="0"/>
    <xf numFmtId="0" fontId="98" fillId="21" borderId="0" applyNumberFormat="0" applyBorder="0" applyAlignment="0" applyProtection="0"/>
    <xf numFmtId="0" fontId="98" fillId="22" borderId="0" applyNumberFormat="0" applyBorder="0" applyAlignment="0" applyProtection="0"/>
    <xf numFmtId="0" fontId="98" fillId="23" borderId="0" applyNumberFormat="0" applyBorder="0" applyAlignment="0" applyProtection="0"/>
    <xf numFmtId="0" fontId="98" fillId="24" borderId="0" applyNumberFormat="0" applyBorder="0" applyAlignment="0" applyProtection="0"/>
    <xf numFmtId="0" fontId="98" fillId="25" borderId="0" applyNumberFormat="0" applyBorder="0" applyAlignment="0" applyProtection="0"/>
    <xf numFmtId="0" fontId="98" fillId="27" borderId="0" applyNumberFormat="0" applyBorder="0" applyAlignment="0" applyProtection="0"/>
    <xf numFmtId="0" fontId="98" fillId="21" borderId="0" applyNumberFormat="0" applyBorder="0" applyAlignment="0" applyProtection="0"/>
    <xf numFmtId="0" fontId="98" fillId="24" borderId="0" applyNumberFormat="0" applyBorder="0" applyAlignment="0" applyProtection="0"/>
    <xf numFmtId="0" fontId="98" fillId="28" borderId="0" applyNumberFormat="0" applyBorder="0" applyAlignment="0" applyProtection="0"/>
    <xf numFmtId="0" fontId="99" fillId="30" borderId="0" applyNumberFormat="0" applyBorder="0" applyAlignment="0" applyProtection="0"/>
    <xf numFmtId="0" fontId="99" fillId="25" borderId="0" applyNumberFormat="0" applyBorder="0" applyAlignment="0" applyProtection="0"/>
    <xf numFmtId="0" fontId="99" fillId="27" borderId="0" applyNumberFormat="0" applyBorder="0" applyAlignment="0" applyProtection="0"/>
    <xf numFmtId="0" fontId="99" fillId="31" borderId="0" applyNumberFormat="0" applyBorder="0" applyAlignment="0" applyProtection="0"/>
    <xf numFmtId="0" fontId="99" fillId="32" borderId="0" applyNumberFormat="0" applyBorder="0" applyAlignment="0" applyProtection="0"/>
    <xf numFmtId="0" fontId="99" fillId="33" borderId="0" applyNumberFormat="0" applyBorder="0" applyAlignment="0" applyProtection="0"/>
    <xf numFmtId="0" fontId="100" fillId="20" borderId="0" applyNumberFormat="0" applyBorder="0" applyAlignment="0" applyProtection="0"/>
    <xf numFmtId="0" fontId="101" fillId="38" borderId="47" applyNumberFormat="0" applyAlignment="0" applyProtection="0"/>
    <xf numFmtId="0" fontId="102" fillId="40" borderId="48" applyNumberFormat="0" applyAlignment="0" applyProtection="0"/>
    <xf numFmtId="0" fontId="103" fillId="0" borderId="49" applyNumberFormat="0" applyFill="0" applyAlignment="0" applyProtection="0"/>
    <xf numFmtId="0" fontId="99" fillId="35" borderId="0" applyNumberFormat="0" applyBorder="0" applyAlignment="0" applyProtection="0"/>
    <xf numFmtId="0" fontId="99" fillId="36" borderId="0" applyNumberFormat="0" applyBorder="0" applyAlignment="0" applyProtection="0"/>
    <xf numFmtId="0" fontId="99" fillId="37" borderId="0" applyNumberFormat="0" applyBorder="0" applyAlignment="0" applyProtection="0"/>
    <xf numFmtId="0" fontId="99" fillId="31" borderId="0" applyNumberFormat="0" applyBorder="0" applyAlignment="0" applyProtection="0"/>
    <xf numFmtId="0" fontId="99" fillId="32" borderId="0" applyNumberFormat="0" applyBorder="0" applyAlignment="0" applyProtection="0"/>
    <xf numFmtId="0" fontId="99" fillId="34" borderId="0" applyNumberFormat="0" applyBorder="0" applyAlignment="0" applyProtection="0"/>
    <xf numFmtId="0" fontId="104" fillId="23" borderId="47" applyNumberFormat="0" applyAlignment="0" applyProtection="0"/>
    <xf numFmtId="187" fontId="46" fillId="0" borderId="0" applyFont="0" applyFill="0" applyBorder="0" applyAlignment="0" applyProtection="0"/>
    <xf numFmtId="187" fontId="46" fillId="0" borderId="0" applyFont="0" applyFill="0" applyBorder="0" applyAlignment="0" applyProtection="0"/>
    <xf numFmtId="187" fontId="46" fillId="0" borderId="0" applyFont="0" applyFill="0" applyBorder="0" applyAlignment="0" applyProtection="0"/>
    <xf numFmtId="187" fontId="46" fillId="0" borderId="0" applyFont="0" applyFill="0" applyBorder="0" applyAlignment="0" applyProtection="0"/>
    <xf numFmtId="187" fontId="46" fillId="0" borderId="0" applyFont="0" applyFill="0" applyBorder="0" applyAlignment="0" applyProtection="0"/>
    <xf numFmtId="187" fontId="46" fillId="0" borderId="0" applyFont="0" applyFill="0" applyBorder="0" applyAlignment="0" applyProtection="0"/>
    <xf numFmtId="187" fontId="46" fillId="0" borderId="0" applyFont="0" applyFill="0" applyBorder="0" applyAlignment="0" applyProtection="0"/>
    <xf numFmtId="0" fontId="105" fillId="0" borderId="0" applyNumberFormat="0" applyFill="0" applyBorder="0" applyAlignment="0" applyProtection="0">
      <alignment vertical="top"/>
      <protection locked="0"/>
    </xf>
    <xf numFmtId="0" fontId="106" fillId="19" borderId="0" applyNumberFormat="0" applyBorder="0" applyAlignment="0" applyProtection="0"/>
    <xf numFmtId="0" fontId="5" fillId="0" borderId="0"/>
    <xf numFmtId="165" fontId="6"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107" fillId="29" borderId="0" applyNumberFormat="0" applyBorder="0" applyAlignment="0" applyProtection="0"/>
    <xf numFmtId="188" fontId="46" fillId="0" borderId="0"/>
    <xf numFmtId="188" fontId="46" fillId="0" borderId="0"/>
    <xf numFmtId="188" fontId="46" fillId="0" borderId="0"/>
    <xf numFmtId="188" fontId="46" fillId="0" borderId="0"/>
    <xf numFmtId="188" fontId="46" fillId="0" borderId="0"/>
    <xf numFmtId="188" fontId="46" fillId="0" borderId="0"/>
    <xf numFmtId="188" fontId="46" fillId="0" borderId="0"/>
    <xf numFmtId="188" fontId="46" fillId="0" borderId="0"/>
    <xf numFmtId="0" fontId="5" fillId="0" borderId="0"/>
    <xf numFmtId="0" fontId="5" fillId="0" borderId="0"/>
    <xf numFmtId="0" fontId="5" fillId="0" borderId="0"/>
    <xf numFmtId="0" fontId="53" fillId="0" borderId="0"/>
    <xf numFmtId="0" fontId="5" fillId="0" borderId="0" applyNumberFormat="0" applyFont="0" applyFill="0" applyBorder="0" applyAlignment="0" applyProtection="0">
      <alignment vertical="top"/>
    </xf>
    <xf numFmtId="0" fontId="5" fillId="0" borderId="0" applyNumberFormat="0" applyFont="0" applyFill="0" applyBorder="0" applyAlignment="0" applyProtection="0">
      <alignment vertical="top"/>
    </xf>
    <xf numFmtId="0" fontId="1" fillId="0" borderId="0"/>
    <xf numFmtId="0" fontId="53" fillId="0" borderId="0"/>
    <xf numFmtId="0" fontId="1" fillId="0" borderId="0"/>
    <xf numFmtId="188" fontId="46" fillId="0" borderId="0"/>
    <xf numFmtId="188" fontId="46" fillId="0" borderId="0"/>
    <xf numFmtId="188" fontId="46" fillId="0" borderId="0"/>
    <xf numFmtId="188" fontId="46" fillId="0" borderId="0"/>
    <xf numFmtId="188" fontId="46" fillId="0" borderId="0"/>
    <xf numFmtId="188" fontId="46" fillId="0" borderId="0"/>
    <xf numFmtId="188" fontId="46" fillId="0" borderId="0"/>
    <xf numFmtId="188" fontId="46" fillId="0" borderId="0"/>
    <xf numFmtId="0" fontId="5" fillId="0" borderId="0"/>
    <xf numFmtId="0" fontId="108" fillId="0" borderId="0"/>
    <xf numFmtId="0" fontId="5" fillId="26" borderId="54" applyNumberFormat="0" applyFont="0" applyAlignment="0" applyProtection="0"/>
    <xf numFmtId="9" fontId="5" fillId="0" borderId="39" applyNumberFormat="0" applyBorder="0">
      <alignment horizontal="center" vertical="center"/>
    </xf>
    <xf numFmtId="9" fontId="5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09" fillId="0" borderId="0" applyFont="0" applyFill="0" applyBorder="0" applyAlignment="0" applyProtection="0"/>
    <xf numFmtId="9" fontId="6" fillId="0" borderId="0" applyFont="0" applyFill="0" applyBorder="0" applyAlignment="0" applyProtection="0"/>
    <xf numFmtId="0" fontId="110" fillId="38" borderId="55" applyNumberFormat="0" applyAlignment="0" applyProtection="0"/>
    <xf numFmtId="173" fontId="5" fillId="0" borderId="0" applyFont="0" applyFill="0" applyBorder="0" applyAlignment="0" applyProtection="0"/>
    <xf numFmtId="40" fontId="53" fillId="0" borderId="0" applyFont="0" applyFill="0" applyBorder="0" applyAlignment="0" applyProtection="0"/>
    <xf numFmtId="166" fontId="6" fillId="0" borderId="0" applyFill="0" applyBorder="0" applyAlignment="0" applyProtection="0"/>
    <xf numFmtId="0"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89" fontId="5" fillId="0" borderId="0" applyFont="0" applyFill="0" applyBorder="0" applyAlignment="0" applyProtection="0"/>
    <xf numFmtId="40" fontId="53" fillId="0" borderId="0" applyFont="0" applyFill="0" applyBorder="0" applyAlignment="0" applyProtection="0"/>
    <xf numFmtId="43"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3" fillId="0" borderId="0" applyFont="0" applyFill="0" applyBorder="0" applyAlignment="0" applyProtection="0"/>
    <xf numFmtId="0" fontId="5" fillId="0" borderId="0" applyFont="0" applyFill="0" applyBorder="0" applyAlignment="0" applyProtection="0"/>
    <xf numFmtId="40" fontId="53"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73" fontId="5" fillId="0" borderId="0" applyFont="0" applyFill="0" applyBorder="0" applyAlignment="0" applyProtection="0"/>
    <xf numFmtId="43" fontId="97" fillId="0" borderId="83"/>
    <xf numFmtId="0" fontId="111" fillId="0" borderId="0" applyNumberFormat="0" applyFill="0" applyBorder="0" applyAlignment="0" applyProtection="0"/>
    <xf numFmtId="0" fontId="112" fillId="0" borderId="0" applyNumberFormat="0" applyFill="0" applyBorder="0" applyAlignment="0" applyProtection="0"/>
    <xf numFmtId="0" fontId="69" fillId="0" borderId="51" applyNumberFormat="0" applyFill="0" applyAlignment="0" applyProtection="0"/>
    <xf numFmtId="0" fontId="113" fillId="0" borderId="51" applyNumberFormat="0" applyFill="0" applyAlignment="0" applyProtection="0"/>
    <xf numFmtId="0" fontId="114" fillId="0" borderId="52" applyNumberFormat="0" applyFill="0" applyAlignment="0" applyProtection="0"/>
    <xf numFmtId="0" fontId="115" fillId="0" borderId="53" applyNumberFormat="0" applyFill="0" applyAlignment="0" applyProtection="0"/>
    <xf numFmtId="0" fontId="115" fillId="0" borderId="0" applyNumberFormat="0" applyFill="0" applyBorder="0" applyAlignment="0" applyProtection="0"/>
    <xf numFmtId="0" fontId="68" fillId="0" borderId="0" applyNumberFormat="0" applyFill="0" applyBorder="0" applyAlignment="0" applyProtection="0"/>
    <xf numFmtId="0" fontId="116" fillId="0" borderId="59" applyNumberFormat="0" applyFill="0" applyAlignment="0" applyProtection="0"/>
    <xf numFmtId="40" fontId="53"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09"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0" fontId="5" fillId="0" borderId="0"/>
    <xf numFmtId="0" fontId="117" fillId="0" borderId="0"/>
    <xf numFmtId="0" fontId="5" fillId="0" borderId="0"/>
    <xf numFmtId="0" fontId="5" fillId="0" borderId="0"/>
    <xf numFmtId="0" fontId="5" fillId="0" borderId="0"/>
    <xf numFmtId="44"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xf numFmtId="43" fontId="6"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97" fillId="0" borderId="83"/>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0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4" fontId="48" fillId="0" borderId="0" applyFont="0" applyFill="0" applyBorder="0" applyAlignment="0" applyProtection="0"/>
    <xf numFmtId="44" fontId="49"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49" fillId="0" borderId="0" applyFont="0" applyFill="0" applyBorder="0" applyAlignment="0" applyProtection="0"/>
    <xf numFmtId="0" fontId="5" fillId="0" borderId="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1" fillId="0" borderId="0" applyFont="0" applyFill="0" applyBorder="0" applyAlignment="0" applyProtection="0"/>
    <xf numFmtId="44" fontId="49" fillId="0" borderId="0" applyFont="0" applyFill="0" applyBorder="0" applyAlignment="0" applyProtection="0"/>
    <xf numFmtId="44" fontId="48" fillId="0" borderId="0" applyFont="0" applyFill="0" applyBorder="0" applyAlignment="0" applyProtection="0"/>
    <xf numFmtId="44" fontId="49"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49" fillId="0" borderId="0" applyFont="0" applyFill="0" applyBorder="0" applyAlignment="0" applyProtection="0"/>
    <xf numFmtId="43"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9"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0" fontId="1" fillId="0" borderId="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9"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4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97" fillId="0" borderId="83"/>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09" fillId="0" borderId="0" applyFont="0" applyFill="0" applyBorder="0" applyAlignment="0" applyProtection="0"/>
    <xf numFmtId="44"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 fontId="5" fillId="0" borderId="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0" fontId="5" fillId="0" borderId="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xf numFmtId="43" fontId="6"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97" fillId="0" borderId="83"/>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09" fillId="0" borderId="0" applyFont="0" applyFill="0" applyBorder="0" applyAlignment="0" applyProtection="0"/>
    <xf numFmtId="0" fontId="73" fillId="39" borderId="88" applyNumberFormat="0" applyAlignment="0" applyProtection="0"/>
    <xf numFmtId="0" fontId="116" fillId="0" borderId="91" applyNumberFormat="0" applyFill="0" applyAlignment="0" applyProtection="0"/>
    <xf numFmtId="0" fontId="62" fillId="29" borderId="88" applyNumberFormat="0" applyAlignment="0" applyProtection="0"/>
    <xf numFmtId="0" fontId="5" fillId="26" borderId="89" applyNumberFormat="0" applyFont="0" applyAlignment="0" applyProtection="0"/>
    <xf numFmtId="0" fontId="6" fillId="26" borderId="89" applyNumberFormat="0" applyFont="0" applyAlignment="0" applyProtection="0"/>
    <xf numFmtId="10" fontId="36" fillId="16" borderId="86" applyNumberFormat="0" applyBorder="0" applyAlignment="0" applyProtection="0"/>
    <xf numFmtId="0" fontId="62" fillId="23" borderId="88" applyNumberFormat="0" applyAlignment="0" applyProtection="0"/>
    <xf numFmtId="0" fontId="101" fillId="38" borderId="88" applyNumberFormat="0" applyAlignment="0" applyProtection="0"/>
    <xf numFmtId="0" fontId="65" fillId="39" borderId="90" applyNumberFormat="0" applyAlignment="0" applyProtection="0"/>
    <xf numFmtId="0" fontId="5" fillId="26" borderId="89" applyNumberFormat="0" applyFont="0" applyAlignment="0" applyProtection="0"/>
    <xf numFmtId="0" fontId="65" fillId="38" borderId="90" applyNumberFormat="0" applyAlignment="0" applyProtection="0"/>
    <xf numFmtId="0" fontId="36" fillId="0" borderId="87" applyBorder="0">
      <alignment horizontal="left" vertical="center" wrapText="1" indent="2"/>
      <protection locked="0"/>
    </xf>
    <xf numFmtId="0" fontId="18" fillId="15" borderId="87" applyFill="0" applyBorder="0" applyAlignment="0" applyProtection="0">
      <alignment vertical="center"/>
      <protection locked="0"/>
    </xf>
    <xf numFmtId="0" fontId="104" fillId="23" borderId="88" applyNumberFormat="0" applyAlignment="0" applyProtection="0"/>
    <xf numFmtId="0" fontId="59" fillId="38" borderId="88" applyNumberFormat="0" applyAlignment="0" applyProtection="0"/>
    <xf numFmtId="0" fontId="5" fillId="26" borderId="89" applyNumberFormat="0" applyFont="0" applyAlignment="0" applyProtection="0"/>
    <xf numFmtId="0" fontId="5" fillId="26" borderId="89" applyNumberFormat="0" applyFont="0" applyAlignment="0" applyProtection="0"/>
    <xf numFmtId="0" fontId="5" fillId="26" borderId="89" applyNumberFormat="0" applyFont="0" applyAlignment="0" applyProtection="0"/>
    <xf numFmtId="0" fontId="72" fillId="0" borderId="91" applyNumberFormat="0" applyFill="0" applyAlignment="0" applyProtection="0"/>
    <xf numFmtId="0" fontId="62" fillId="23" borderId="88" applyNumberFormat="0" applyAlignment="0" applyProtection="0"/>
    <xf numFmtId="0" fontId="110" fillId="38" borderId="90" applyNumberFormat="0" applyAlignment="0" applyProtection="0"/>
    <xf numFmtId="0" fontId="36" fillId="0" borderId="87" applyBorder="0">
      <alignment horizontal="left" vertical="center" wrapText="1" indent="3"/>
      <protection locked="0"/>
    </xf>
    <xf numFmtId="43" fontId="1" fillId="0" borderId="0" applyFont="0" applyFill="0" applyBorder="0" applyAlignment="0" applyProtection="0"/>
    <xf numFmtId="43" fontId="6" fillId="0" borderId="0" applyFont="0" applyFill="0" applyBorder="0" applyAlignment="0" applyProtection="0"/>
    <xf numFmtId="44" fontId="48" fillId="0" borderId="0" applyFont="0" applyFill="0" applyBorder="0" applyAlignment="0" applyProtection="0"/>
    <xf numFmtId="44" fontId="49"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2" fillId="23" borderId="88" applyNumberFormat="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4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49" fillId="0" borderId="0" applyFont="0" applyFill="0" applyBorder="0" applyAlignment="0" applyProtection="0"/>
    <xf numFmtId="44" fontId="48" fillId="0" borderId="0" applyFont="0" applyFill="0" applyBorder="0" applyAlignment="0" applyProtection="0"/>
    <xf numFmtId="44"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97" fillId="0" borderId="83"/>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09" fillId="0" borderId="0" applyFont="0" applyFill="0" applyBorder="0" applyAlignment="0" applyProtection="0"/>
    <xf numFmtId="44"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xf numFmtId="43" fontId="6"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97" fillId="0" borderId="83"/>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09" fillId="0" borderId="0" applyFont="0" applyFill="0" applyBorder="0" applyAlignment="0" applyProtection="0"/>
    <xf numFmtId="44" fontId="48" fillId="0" borderId="0" applyFont="0" applyFill="0" applyBorder="0" applyAlignment="0" applyProtection="0"/>
    <xf numFmtId="44" fontId="49"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49"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4" fontId="49"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1" fillId="0" borderId="0" applyFont="0" applyFill="0" applyBorder="0" applyAlignment="0" applyProtection="0"/>
    <xf numFmtId="44" fontId="49" fillId="0" borderId="0" applyFont="0" applyFill="0" applyBorder="0" applyAlignment="0" applyProtection="0"/>
    <xf numFmtId="44" fontId="48" fillId="0" borderId="0" applyFont="0" applyFill="0" applyBorder="0" applyAlignment="0" applyProtection="0"/>
    <xf numFmtId="44"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4" fontId="48" fillId="0" borderId="0" applyFont="0" applyFill="0" applyBorder="0" applyAlignment="0" applyProtection="0"/>
    <xf numFmtId="44" fontId="49"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4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49" fillId="0" borderId="0" applyFont="0" applyFill="0" applyBorder="0" applyAlignment="0" applyProtection="0"/>
    <xf numFmtId="44" fontId="48" fillId="0" borderId="0" applyFont="0" applyFill="0" applyBorder="0" applyAlignment="0" applyProtection="0"/>
    <xf numFmtId="44"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97" fillId="0" borderId="83"/>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09" fillId="0" borderId="0" applyFont="0" applyFill="0" applyBorder="0" applyAlignment="0" applyProtection="0"/>
    <xf numFmtId="0" fontId="36" fillId="0" borderId="114" applyBorder="0">
      <alignment horizontal="left" vertical="center" wrapText="1" indent="3"/>
      <protection locked="0"/>
    </xf>
    <xf numFmtId="0" fontId="5" fillId="26" borderId="135" applyNumberFormat="0" applyFont="0" applyAlignment="0" applyProtection="0"/>
    <xf numFmtId="0" fontId="65" fillId="38" borderId="105" applyNumberFormat="0" applyAlignment="0" applyProtection="0"/>
    <xf numFmtId="0" fontId="5" fillId="26" borderId="122" applyNumberFormat="0" applyFont="0" applyAlignment="0" applyProtection="0"/>
    <xf numFmtId="0" fontId="116" fillId="0" borderId="103" applyNumberFormat="0" applyFill="0" applyAlignment="0" applyProtection="0"/>
    <xf numFmtId="0" fontId="73" fillId="39" borderId="115" applyNumberFormat="0" applyAlignment="0" applyProtection="0"/>
    <xf numFmtId="10" fontId="36" fillId="16" borderId="113" applyNumberFormat="0" applyBorder="0" applyAlignment="0" applyProtection="0"/>
    <xf numFmtId="0" fontId="5" fillId="26" borderId="135" applyNumberFormat="0" applyFont="0" applyAlignment="0" applyProtection="0"/>
    <xf numFmtId="0" fontId="65" fillId="39" borderId="111" applyNumberFormat="0" applyAlignment="0" applyProtection="0"/>
    <xf numFmtId="0" fontId="65" fillId="39" borderId="117" applyNumberFormat="0" applyAlignment="0" applyProtection="0"/>
    <xf numFmtId="0" fontId="110" fillId="38" borderId="132" applyNumberFormat="0" applyAlignment="0" applyProtection="0"/>
    <xf numFmtId="0" fontId="18" fillId="15" borderId="93" applyFill="0" applyBorder="0" applyAlignment="0" applyProtection="0">
      <alignment vertical="center"/>
      <protection locked="0"/>
    </xf>
    <xf numFmtId="10" fontId="36" fillId="16" borderId="92" applyNumberFormat="0" applyBorder="0" applyAlignment="0" applyProtection="0"/>
    <xf numFmtId="0" fontId="62" fillId="29" borderId="130" applyNumberFormat="0" applyAlignment="0" applyProtection="0"/>
    <xf numFmtId="0" fontId="62" fillId="23" borderId="109" applyNumberFormat="0" applyAlignment="0" applyProtection="0"/>
    <xf numFmtId="0" fontId="72" fillId="0" borderId="137" applyNumberFormat="0" applyFill="0" applyAlignment="0" applyProtection="0"/>
    <xf numFmtId="0" fontId="5" fillId="26" borderId="116" applyNumberFormat="0" applyFont="0" applyAlignment="0" applyProtection="0"/>
    <xf numFmtId="0" fontId="104" fillId="23" borderId="134" applyNumberFormat="0" applyAlignment="0" applyProtection="0"/>
    <xf numFmtId="0" fontId="36" fillId="0" borderId="93" applyBorder="0">
      <alignment horizontal="left" vertical="center" wrapText="1" indent="2"/>
      <protection locked="0"/>
    </xf>
    <xf numFmtId="0" fontId="36" fillId="0" borderId="93" applyBorder="0">
      <alignment horizontal="left" vertical="center" wrapText="1" indent="3"/>
      <protection locked="0"/>
    </xf>
    <xf numFmtId="0" fontId="59" fillId="38" borderId="94" applyNumberFormat="0" applyAlignment="0" applyProtection="0"/>
    <xf numFmtId="0" fontId="73" fillId="39" borderId="94" applyNumberFormat="0" applyAlignment="0" applyProtection="0"/>
    <xf numFmtId="0" fontId="62" fillId="29" borderId="94" applyNumberFormat="0" applyAlignment="0" applyProtection="0"/>
    <xf numFmtId="0" fontId="62" fillId="23" borderId="94" applyNumberFormat="0" applyAlignment="0" applyProtection="0"/>
    <xf numFmtId="0" fontId="5" fillId="26" borderId="95" applyNumberFormat="0" applyFont="0" applyAlignment="0" applyProtection="0"/>
    <xf numFmtId="0" fontId="6" fillId="26" borderId="95" applyNumberFormat="0" applyFont="0" applyAlignment="0" applyProtection="0"/>
    <xf numFmtId="0" fontId="65" fillId="38" borderId="96" applyNumberFormat="0" applyAlignment="0" applyProtection="0"/>
    <xf numFmtId="0" fontId="65" fillId="39" borderId="96" applyNumberFormat="0" applyAlignment="0" applyProtection="0"/>
    <xf numFmtId="0" fontId="72" fillId="0" borderId="97" applyNumberFormat="0" applyFill="0" applyAlignment="0" applyProtection="0"/>
    <xf numFmtId="0" fontId="5" fillId="26" borderId="101" applyNumberFormat="0" applyFont="0" applyAlignment="0" applyProtection="0"/>
    <xf numFmtId="0" fontId="104" fillId="23" borderId="121" applyNumberFormat="0" applyAlignment="0" applyProtection="0"/>
    <xf numFmtId="0" fontId="101" fillId="38" borderId="134" applyNumberFormat="0" applyAlignment="0" applyProtection="0"/>
    <xf numFmtId="0" fontId="62" fillId="29" borderId="134" applyNumberFormat="0" applyAlignment="0" applyProtection="0"/>
    <xf numFmtId="0" fontId="101" fillId="38" borderId="121" applyNumberFormat="0" applyAlignment="0" applyProtection="0"/>
    <xf numFmtId="0" fontId="5" fillId="26" borderId="116" applyNumberFormat="0" applyFont="0" applyAlignment="0" applyProtection="0"/>
    <xf numFmtId="0" fontId="110" fillId="38" borderId="117" applyNumberFormat="0" applyAlignment="0" applyProtection="0"/>
    <xf numFmtId="0" fontId="36" fillId="0" borderId="120" applyBorder="0">
      <alignment horizontal="left" vertical="center" wrapText="1" indent="3"/>
      <protection locked="0"/>
    </xf>
    <xf numFmtId="0" fontId="104" fillId="23" borderId="134" applyNumberFormat="0" applyAlignment="0" applyProtection="0"/>
    <xf numFmtId="0" fontId="5" fillId="26" borderId="131" applyNumberFormat="0" applyFont="0" applyAlignment="0" applyProtection="0"/>
    <xf numFmtId="0" fontId="5" fillId="26" borderId="95" applyNumberFormat="0" applyFont="0" applyAlignment="0" applyProtection="0"/>
    <xf numFmtId="0" fontId="65" fillId="39" borderId="123" applyNumberFormat="0" applyAlignment="0" applyProtection="0"/>
    <xf numFmtId="0" fontId="59" fillId="38" borderId="134" applyNumberFormat="0" applyAlignment="0" applyProtection="0"/>
    <xf numFmtId="0" fontId="36" fillId="0" borderId="114" applyBorder="0">
      <alignment horizontal="left" vertical="center" wrapText="1" indent="2"/>
      <protection locked="0"/>
    </xf>
    <xf numFmtId="0" fontId="5" fillId="26" borderId="131" applyNumberFormat="0" applyFont="0" applyAlignment="0" applyProtection="0"/>
    <xf numFmtId="0" fontId="5" fillId="26" borderId="95" applyNumberFormat="0" applyFont="0" applyAlignment="0" applyProtection="0"/>
    <xf numFmtId="0" fontId="5" fillId="26" borderId="95" applyNumberFormat="0" applyFont="0" applyAlignment="0" applyProtection="0"/>
    <xf numFmtId="0" fontId="73" fillId="39" borderId="134" applyNumberFormat="0" applyAlignment="0" applyProtection="0"/>
    <xf numFmtId="10" fontId="36" fillId="16" borderId="128" applyNumberFormat="0" applyBorder="0" applyAlignment="0" applyProtection="0"/>
    <xf numFmtId="0" fontId="62" fillId="23" borderId="130" applyNumberFormat="0" applyAlignment="0" applyProtection="0"/>
    <xf numFmtId="0" fontId="59" fillId="38" borderId="130" applyNumberFormat="0" applyAlignment="0" applyProtection="0"/>
    <xf numFmtId="0" fontId="72" fillId="0" borderId="118" applyNumberFormat="0" applyFill="0" applyAlignment="0" applyProtection="0"/>
    <xf numFmtId="0" fontId="36" fillId="0" borderId="120" applyBorder="0">
      <alignment horizontal="left" vertical="center" wrapText="1" indent="2"/>
      <protection locked="0"/>
    </xf>
    <xf numFmtId="0" fontId="5" fillId="26" borderId="122" applyNumberFormat="0" applyFont="0" applyAlignment="0" applyProtection="0"/>
    <xf numFmtId="0" fontId="72" fillId="0" borderId="112" applyNumberFormat="0" applyFill="0" applyAlignment="0" applyProtection="0"/>
    <xf numFmtId="0" fontId="5" fillId="26" borderId="116" applyNumberFormat="0" applyFont="0" applyAlignment="0" applyProtection="0"/>
    <xf numFmtId="0" fontId="5" fillId="26" borderId="116" applyNumberFormat="0" applyFont="0" applyAlignment="0" applyProtection="0"/>
    <xf numFmtId="0" fontId="5" fillId="26" borderId="101" applyNumberFormat="0" applyFont="0" applyAlignment="0" applyProtection="0"/>
    <xf numFmtId="0" fontId="104" fillId="23" borderId="109" applyNumberFormat="0" applyAlignment="0" applyProtection="0"/>
    <xf numFmtId="0" fontId="73" fillId="39" borderId="134" applyNumberFormat="0" applyAlignment="0" applyProtection="0"/>
    <xf numFmtId="0" fontId="5" fillId="26" borderId="116" applyNumberFormat="0" applyFont="0" applyAlignment="0" applyProtection="0"/>
    <xf numFmtId="0" fontId="6" fillId="26" borderId="116" applyNumberFormat="0" applyFont="0" applyAlignment="0" applyProtection="0"/>
    <xf numFmtId="0" fontId="59" fillId="38" borderId="115" applyNumberFormat="0" applyAlignment="0" applyProtection="0"/>
    <xf numFmtId="0" fontId="73" fillId="39" borderId="121" applyNumberFormat="0" applyAlignment="0" applyProtection="0"/>
    <xf numFmtId="0" fontId="65" fillId="38" borderId="132" applyNumberFormat="0" applyAlignment="0" applyProtection="0"/>
    <xf numFmtId="0" fontId="5" fillId="26" borderId="131" applyNumberFormat="0" applyFont="0" applyAlignment="0" applyProtection="0"/>
    <xf numFmtId="0" fontId="65" fillId="38" borderId="102" applyNumberFormat="0" applyAlignment="0" applyProtection="0"/>
    <xf numFmtId="0" fontId="110" fillId="38" borderId="111" applyNumberFormat="0" applyAlignment="0" applyProtection="0"/>
    <xf numFmtId="0" fontId="5" fillId="26" borderId="101" applyNumberFormat="0" applyFont="0" applyAlignment="0" applyProtection="0"/>
    <xf numFmtId="0" fontId="65" fillId="39" borderId="105" applyNumberFormat="0" applyAlignment="0" applyProtection="0"/>
    <xf numFmtId="0" fontId="65" fillId="38" borderId="136" applyNumberFormat="0" applyAlignment="0" applyProtection="0"/>
    <xf numFmtId="0" fontId="62" fillId="23" borderId="88" applyNumberFormat="0" applyAlignment="0" applyProtection="0"/>
    <xf numFmtId="0" fontId="36" fillId="0" borderId="108" applyBorder="0">
      <alignment horizontal="left" vertical="center" wrapText="1" indent="3"/>
      <protection locked="0"/>
    </xf>
    <xf numFmtId="0" fontId="5" fillId="26" borderId="116" applyNumberFormat="0" applyFont="0" applyAlignment="0" applyProtection="0"/>
    <xf numFmtId="0" fontId="73" fillId="39" borderId="115" applyNumberFormat="0" applyAlignment="0" applyProtection="0"/>
    <xf numFmtId="0" fontId="5" fillId="26" borderId="101" applyNumberFormat="0" applyFont="0" applyAlignment="0" applyProtection="0"/>
    <xf numFmtId="0" fontId="6" fillId="26" borderId="101" applyNumberFormat="0" applyFont="0" applyAlignment="0" applyProtection="0"/>
    <xf numFmtId="0" fontId="5" fillId="26" borderId="135" applyNumberFormat="0" applyFont="0" applyAlignment="0" applyProtection="0"/>
    <xf numFmtId="0" fontId="62" fillId="29" borderId="109" applyNumberFormat="0" applyAlignment="0" applyProtection="0"/>
    <xf numFmtId="0" fontId="5" fillId="26" borderId="104" applyNumberFormat="0" applyFont="0" applyAlignment="0" applyProtection="0"/>
    <xf numFmtId="0" fontId="5" fillId="26" borderId="122" applyNumberFormat="0" applyFont="0" applyAlignment="0" applyProtection="0"/>
    <xf numFmtId="0" fontId="5" fillId="26" borderId="110" applyNumberFormat="0" applyFont="0" applyAlignment="0" applyProtection="0"/>
    <xf numFmtId="0" fontId="72" fillId="0" borderId="133" applyNumberFormat="0" applyFill="0" applyAlignment="0" applyProtection="0"/>
    <xf numFmtId="0" fontId="116" fillId="0" borderId="133" applyNumberFormat="0" applyFill="0" applyAlignment="0" applyProtection="0"/>
    <xf numFmtId="0" fontId="5" fillId="26" borderId="116" applyNumberFormat="0" applyFont="0" applyAlignment="0" applyProtection="0"/>
    <xf numFmtId="0" fontId="59" fillId="38" borderId="115" applyNumberFormat="0" applyAlignment="0" applyProtection="0"/>
    <xf numFmtId="0" fontId="6" fillId="26" borderId="110" applyNumberFormat="0" applyFont="0" applyAlignment="0" applyProtection="0"/>
    <xf numFmtId="0" fontId="5" fillId="26" borderId="110" applyNumberFormat="0" applyFont="0" applyAlignment="0" applyProtection="0"/>
    <xf numFmtId="0" fontId="62" fillId="23" borderId="134" applyNumberFormat="0" applyAlignment="0" applyProtection="0"/>
    <xf numFmtId="0" fontId="59" fillId="38" borderId="109" applyNumberFormat="0" applyAlignment="0" applyProtection="0"/>
    <xf numFmtId="0" fontId="116" fillId="0" borderId="137" applyNumberFormat="0" applyFill="0" applyAlignment="0" applyProtection="0"/>
    <xf numFmtId="0" fontId="72" fillId="0" borderId="103" applyNumberFormat="0" applyFill="0" applyAlignment="0" applyProtection="0"/>
    <xf numFmtId="0" fontId="18" fillId="15" borderId="114" applyFill="0" applyBorder="0" applyAlignment="0" applyProtection="0">
      <alignment vertical="center"/>
      <protection locked="0"/>
    </xf>
    <xf numFmtId="0" fontId="62" fillId="23" borderId="115" applyNumberFormat="0" applyAlignment="0" applyProtection="0"/>
    <xf numFmtId="0" fontId="104" fillId="23" borderId="115" applyNumberFormat="0" applyAlignment="0" applyProtection="0"/>
    <xf numFmtId="0" fontId="73" fillId="39" borderId="109" applyNumberFormat="0" applyAlignment="0" applyProtection="0"/>
    <xf numFmtId="0" fontId="72" fillId="0" borderId="137" applyNumberFormat="0" applyFill="0" applyAlignment="0" applyProtection="0"/>
    <xf numFmtId="0" fontId="6" fillId="26" borderId="104" applyNumberFormat="0" applyFont="0" applyAlignment="0" applyProtection="0"/>
    <xf numFmtId="0" fontId="62" fillId="23" borderId="115" applyNumberFormat="0" applyAlignment="0" applyProtection="0"/>
    <xf numFmtId="0" fontId="5" fillId="26" borderId="122" applyNumberFormat="0" applyFont="0" applyAlignment="0" applyProtection="0"/>
    <xf numFmtId="0" fontId="116" fillId="0" borderId="112" applyNumberFormat="0" applyFill="0" applyAlignment="0" applyProtection="0"/>
    <xf numFmtId="0" fontId="110" fillId="38" borderId="123" applyNumberFormat="0" applyAlignment="0" applyProtection="0"/>
    <xf numFmtId="0" fontId="59" fillId="38" borderId="134" applyNumberFormat="0" applyAlignment="0" applyProtection="0"/>
    <xf numFmtId="0" fontId="65" fillId="39" borderId="102" applyNumberFormat="0" applyAlignment="0" applyProtection="0"/>
    <xf numFmtId="0" fontId="62" fillId="23" borderId="134" applyNumberFormat="0" applyAlignment="0" applyProtection="0"/>
    <xf numFmtId="0" fontId="5" fillId="26" borderId="135" applyNumberFormat="0" applyFont="0" applyAlignment="0" applyProtection="0"/>
    <xf numFmtId="0" fontId="116" fillId="0" borderId="118" applyNumberFormat="0" applyFill="0" applyAlignment="0" applyProtection="0"/>
    <xf numFmtId="0" fontId="73" fillId="39" borderId="130" applyNumberFormat="0" applyAlignment="0" applyProtection="0"/>
    <xf numFmtId="0" fontId="5" fillId="26" borderId="110" applyNumberFormat="0" applyFont="0" applyAlignment="0" applyProtection="0"/>
    <xf numFmtId="0" fontId="18" fillId="15" borderId="120" applyFill="0" applyBorder="0" applyAlignment="0" applyProtection="0">
      <alignment vertical="center"/>
      <protection locked="0"/>
    </xf>
    <xf numFmtId="0" fontId="36" fillId="0" borderId="114" applyBorder="0">
      <alignment horizontal="left" vertical="center" wrapText="1" indent="2"/>
      <protection locked="0"/>
    </xf>
    <xf numFmtId="0" fontId="65" fillId="39" borderId="136" applyNumberFormat="0" applyAlignment="0" applyProtection="0"/>
    <xf numFmtId="0" fontId="65" fillId="39" borderId="117" applyNumberFormat="0" applyAlignment="0" applyProtection="0"/>
    <xf numFmtId="0" fontId="72" fillId="0" borderId="124" applyNumberFormat="0" applyFill="0" applyAlignment="0" applyProtection="0"/>
    <xf numFmtId="0" fontId="104" fillId="23" borderId="115" applyNumberFormat="0" applyAlignment="0" applyProtection="0"/>
    <xf numFmtId="0" fontId="62" fillId="29" borderId="121" applyNumberFormat="0" applyAlignment="0" applyProtection="0"/>
    <xf numFmtId="0" fontId="5" fillId="26" borderId="116" applyNumberFormat="0" applyFont="0" applyAlignment="0" applyProtection="0"/>
    <xf numFmtId="0" fontId="6" fillId="26" borderId="135" applyNumberFormat="0" applyFont="0" applyAlignment="0" applyProtection="0"/>
    <xf numFmtId="0" fontId="101" fillId="38" borderId="94" applyNumberFormat="0" applyAlignment="0" applyProtection="0"/>
    <xf numFmtId="0" fontId="104" fillId="23" borderId="94" applyNumberFormat="0" applyAlignment="0" applyProtection="0"/>
    <xf numFmtId="0" fontId="5" fillId="26" borderId="95" applyNumberFormat="0" applyFont="0" applyAlignment="0" applyProtection="0"/>
    <xf numFmtId="0" fontId="110" fillId="38" borderId="96" applyNumberFormat="0" applyAlignment="0" applyProtection="0"/>
    <xf numFmtId="0" fontId="5" fillId="26" borderId="135" applyNumberFormat="0" applyFont="0" applyAlignment="0" applyProtection="0"/>
    <xf numFmtId="0" fontId="116" fillId="0" borderId="97" applyNumberFormat="0" applyFill="0" applyAlignment="0" applyProtection="0"/>
    <xf numFmtId="0" fontId="62" fillId="23" borderId="130" applyNumberFormat="0" applyAlignment="0" applyProtection="0"/>
    <xf numFmtId="0" fontId="6" fillId="26" borderId="116" applyNumberFormat="0" applyFont="0" applyAlignment="0" applyProtection="0"/>
    <xf numFmtId="0" fontId="65" fillId="38" borderId="117" applyNumberFormat="0" applyAlignment="0" applyProtection="0"/>
    <xf numFmtId="0" fontId="62" fillId="23" borderId="130" applyNumberFormat="0" applyAlignment="0" applyProtection="0"/>
    <xf numFmtId="0" fontId="62" fillId="29" borderId="134" applyNumberFormat="0" applyAlignment="0" applyProtection="0"/>
    <xf numFmtId="0" fontId="62" fillId="23" borderId="94" applyNumberFormat="0" applyAlignment="0" applyProtection="0"/>
    <xf numFmtId="0" fontId="62" fillId="23" borderId="130" applyNumberFormat="0" applyAlignment="0" applyProtection="0"/>
    <xf numFmtId="0" fontId="62" fillId="23" borderId="115" applyNumberFormat="0" applyAlignment="0" applyProtection="0"/>
    <xf numFmtId="0" fontId="65" fillId="39" borderId="136" applyNumberFormat="0" applyAlignment="0" applyProtection="0"/>
    <xf numFmtId="0" fontId="36" fillId="0" borderId="129" applyBorder="0">
      <alignment horizontal="left" vertical="center" wrapText="1" indent="3"/>
      <protection locked="0"/>
    </xf>
    <xf numFmtId="0" fontId="59" fillId="38" borderId="121" applyNumberFormat="0" applyAlignment="0" applyProtection="0"/>
    <xf numFmtId="0" fontId="116" fillId="0" borderId="118" applyNumberFormat="0" applyFill="0" applyAlignment="0" applyProtection="0"/>
    <xf numFmtId="0" fontId="62" fillId="23" borderId="109" applyNumberFormat="0" applyAlignment="0" applyProtection="0"/>
    <xf numFmtId="0" fontId="65" fillId="38" borderId="136" applyNumberFormat="0" applyAlignment="0" applyProtection="0"/>
    <xf numFmtId="0" fontId="5" fillId="26" borderId="131" applyNumberFormat="0" applyFont="0" applyAlignment="0" applyProtection="0"/>
    <xf numFmtId="0" fontId="116" fillId="0" borderId="106" applyNumberFormat="0" applyFill="0" applyAlignment="0" applyProtection="0"/>
    <xf numFmtId="0" fontId="62" fillId="29" borderId="115" applyNumberFormat="0" applyAlignment="0" applyProtection="0"/>
    <xf numFmtId="0" fontId="18" fillId="15" borderId="108" applyFill="0" applyBorder="0" applyAlignment="0" applyProtection="0">
      <alignment vertical="center"/>
      <protection locked="0"/>
    </xf>
    <xf numFmtId="0" fontId="5" fillId="26" borderId="135" applyNumberFormat="0" applyFont="0" applyAlignment="0" applyProtection="0"/>
    <xf numFmtId="0" fontId="5" fillId="26" borderId="135" applyNumberFormat="0" applyFont="0" applyAlignment="0" applyProtection="0"/>
    <xf numFmtId="10" fontId="36" fillId="16" borderId="113" applyNumberFormat="0" applyBorder="0" applyAlignment="0" applyProtection="0"/>
    <xf numFmtId="0" fontId="36" fillId="0" borderId="108" applyBorder="0">
      <alignment horizontal="left" vertical="center" wrapText="1" indent="2"/>
      <protection locked="0"/>
    </xf>
    <xf numFmtId="0" fontId="6" fillId="26" borderId="122" applyNumberFormat="0" applyFont="0" applyAlignment="0" applyProtection="0"/>
    <xf numFmtId="0" fontId="72" fillId="0" borderId="118" applyNumberFormat="0" applyFill="0" applyAlignment="0" applyProtection="0"/>
    <xf numFmtId="0" fontId="101" fillId="38" borderId="115" applyNumberFormat="0" applyAlignment="0" applyProtection="0"/>
    <xf numFmtId="0" fontId="62" fillId="23" borderId="121" applyNumberFormat="0" applyAlignment="0" applyProtection="0"/>
    <xf numFmtId="0" fontId="5" fillId="26" borderId="104" applyNumberFormat="0" applyFont="0" applyAlignment="0" applyProtection="0"/>
    <xf numFmtId="0" fontId="110" fillId="38" borderId="136" applyNumberFormat="0" applyAlignment="0" applyProtection="0"/>
    <xf numFmtId="0" fontId="110" fillId="38" borderId="102" applyNumberFormat="0" applyAlignment="0" applyProtection="0"/>
    <xf numFmtId="10" fontId="36" fillId="16" borderId="119" applyNumberFormat="0" applyBorder="0" applyAlignment="0" applyProtection="0"/>
    <xf numFmtId="0" fontId="101" fillId="38" borderId="134" applyNumberFormat="0" applyAlignment="0" applyProtection="0"/>
    <xf numFmtId="0" fontId="116" fillId="0" borderId="124" applyNumberFormat="0" applyFill="0" applyAlignment="0" applyProtection="0"/>
    <xf numFmtId="0" fontId="18" fillId="15" borderId="114" applyFill="0" applyBorder="0" applyAlignment="0" applyProtection="0">
      <alignment vertical="center"/>
      <protection locked="0"/>
    </xf>
    <xf numFmtId="0" fontId="104" fillId="23" borderId="130" applyNumberFormat="0" applyAlignment="0" applyProtection="0"/>
    <xf numFmtId="0" fontId="101" fillId="38" borderId="115" applyNumberFormat="0" applyAlignment="0" applyProtection="0"/>
    <xf numFmtId="0" fontId="6" fillId="26" borderId="131" applyNumberFormat="0" applyFont="0" applyAlignment="0" applyProtection="0"/>
    <xf numFmtId="0" fontId="62" fillId="29" borderId="115" applyNumberFormat="0" applyAlignment="0" applyProtection="0"/>
    <xf numFmtId="0" fontId="110" fillId="38" borderId="117" applyNumberFormat="0" applyAlignment="0" applyProtection="0"/>
    <xf numFmtId="0" fontId="5" fillId="26" borderId="135" applyNumberFormat="0" applyFont="0" applyAlignment="0" applyProtection="0"/>
    <xf numFmtId="0" fontId="5" fillId="26" borderId="116" applyNumberFormat="0" applyFont="0" applyAlignment="0" applyProtection="0"/>
    <xf numFmtId="0" fontId="65" fillId="38" borderId="111" applyNumberFormat="0" applyAlignment="0" applyProtection="0"/>
    <xf numFmtId="0" fontId="101" fillId="38" borderId="130" applyNumberFormat="0" applyAlignment="0" applyProtection="0"/>
    <xf numFmtId="0" fontId="5" fillId="26" borderId="135" applyNumberFormat="0" applyFont="0" applyAlignment="0" applyProtection="0"/>
    <xf numFmtId="0" fontId="36" fillId="0" borderId="129" applyBorder="0">
      <alignment horizontal="left" vertical="center" wrapText="1" indent="2"/>
      <protection locked="0"/>
    </xf>
    <xf numFmtId="0" fontId="5" fillId="26" borderId="110" applyNumberFormat="0" applyFont="0" applyAlignment="0" applyProtection="0"/>
    <xf numFmtId="0" fontId="5" fillId="26" borderId="110" applyNumberFormat="0" applyFont="0" applyAlignment="0" applyProtection="0"/>
    <xf numFmtId="0" fontId="65" fillId="39" borderId="132" applyNumberFormat="0" applyAlignment="0" applyProtection="0"/>
    <xf numFmtId="10" fontId="36" fillId="16" borderId="107" applyNumberFormat="0" applyBorder="0" applyAlignment="0" applyProtection="0"/>
    <xf numFmtId="0" fontId="18" fillId="15" borderId="129" applyFill="0" applyBorder="0" applyAlignment="0" applyProtection="0">
      <alignment vertical="center"/>
      <protection locked="0"/>
    </xf>
    <xf numFmtId="0" fontId="65" fillId="38" borderId="123" applyNumberFormat="0" applyAlignment="0" applyProtection="0"/>
    <xf numFmtId="0" fontId="101" fillId="38" borderId="109" applyNumberFormat="0" applyAlignment="0" applyProtection="0"/>
    <xf numFmtId="0" fontId="62" fillId="23" borderId="134" applyNumberFormat="0" applyAlignment="0" applyProtection="0"/>
    <xf numFmtId="0" fontId="5" fillId="26" borderId="101" applyNumberFormat="0" applyFont="0" applyAlignment="0" applyProtection="0"/>
    <xf numFmtId="0" fontId="5" fillId="26" borderId="135" applyNumberFormat="0" applyFont="0" applyAlignment="0" applyProtection="0"/>
    <xf numFmtId="0" fontId="65" fillId="38" borderId="117" applyNumberFormat="0" applyAlignment="0" applyProtection="0"/>
    <xf numFmtId="0" fontId="62" fillId="23" borderId="134" applyNumberFormat="0" applyAlignment="0" applyProtection="0"/>
    <xf numFmtId="0" fontId="5" fillId="26" borderId="122" applyNumberFormat="0" applyFont="0" applyAlignment="0" applyProtection="0"/>
    <xf numFmtId="0" fontId="73" fillId="39" borderId="94" applyNumberFormat="0" applyAlignment="0" applyProtection="0"/>
    <xf numFmtId="0" fontId="116" fillId="0" borderId="100" applyNumberFormat="0" applyFill="0" applyAlignment="0" applyProtection="0"/>
    <xf numFmtId="0" fontId="62" fillId="29" borderId="94" applyNumberFormat="0" applyAlignment="0" applyProtection="0"/>
    <xf numFmtId="0" fontId="5" fillId="26" borderId="98" applyNumberFormat="0" applyFont="0" applyAlignment="0" applyProtection="0"/>
    <xf numFmtId="0" fontId="6" fillId="26" borderId="98" applyNumberFormat="0" applyFont="0" applyAlignment="0" applyProtection="0"/>
    <xf numFmtId="10" fontId="36" fillId="16" borderId="92" applyNumberFormat="0" applyBorder="0" applyAlignment="0" applyProtection="0"/>
    <xf numFmtId="0" fontId="62" fillId="23" borderId="94" applyNumberFormat="0" applyAlignment="0" applyProtection="0"/>
    <xf numFmtId="0" fontId="101" fillId="38" borderId="94" applyNumberFormat="0" applyAlignment="0" applyProtection="0"/>
    <xf numFmtId="0" fontId="65" fillId="39" borderId="99" applyNumberFormat="0" applyAlignment="0" applyProtection="0"/>
    <xf numFmtId="0" fontId="5" fillId="26" borderId="98" applyNumberFormat="0" applyFont="0" applyAlignment="0" applyProtection="0"/>
    <xf numFmtId="0" fontId="65" fillId="38" borderId="99" applyNumberFormat="0" applyAlignment="0" applyProtection="0"/>
    <xf numFmtId="0" fontId="36" fillId="0" borderId="93" applyBorder="0">
      <alignment horizontal="left" vertical="center" wrapText="1" indent="2"/>
      <protection locked="0"/>
    </xf>
    <xf numFmtId="0" fontId="18" fillId="15" borderId="93" applyFill="0" applyBorder="0" applyAlignment="0" applyProtection="0">
      <alignment vertical="center"/>
      <protection locked="0"/>
    </xf>
    <xf numFmtId="0" fontId="104" fillId="23" borderId="94" applyNumberFormat="0" applyAlignment="0" applyProtection="0"/>
    <xf numFmtId="0" fontId="59" fillId="38" borderId="94" applyNumberFormat="0" applyAlignment="0" applyProtection="0"/>
    <xf numFmtId="0" fontId="5" fillId="26" borderId="98" applyNumberFormat="0" applyFont="0" applyAlignment="0" applyProtection="0"/>
    <xf numFmtId="0" fontId="5" fillId="26" borderId="98" applyNumberFormat="0" applyFont="0" applyAlignment="0" applyProtection="0"/>
    <xf numFmtId="0" fontId="5" fillId="26" borderId="98" applyNumberFormat="0" applyFont="0" applyAlignment="0" applyProtection="0"/>
    <xf numFmtId="0" fontId="72" fillId="0" borderId="100" applyNumberFormat="0" applyFill="0" applyAlignment="0" applyProtection="0"/>
    <xf numFmtId="0" fontId="62" fillId="23" borderId="94" applyNumberFormat="0" applyAlignment="0" applyProtection="0"/>
    <xf numFmtId="0" fontId="110" fillId="38" borderId="99" applyNumberFormat="0" applyAlignment="0" applyProtection="0"/>
    <xf numFmtId="0" fontId="36" fillId="0" borderId="93" applyBorder="0">
      <alignment horizontal="left" vertical="center" wrapText="1" indent="3"/>
      <protection locked="0"/>
    </xf>
    <xf numFmtId="0" fontId="6" fillId="26" borderId="135" applyNumberFormat="0" applyFont="0" applyAlignment="0" applyProtection="0"/>
    <xf numFmtId="0" fontId="116" fillId="0" borderId="97" applyNumberFormat="0" applyFill="0" applyAlignment="0" applyProtection="0"/>
    <xf numFmtId="0" fontId="65" fillId="39" borderId="96" applyNumberFormat="0" applyAlignment="0" applyProtection="0"/>
    <xf numFmtId="0" fontId="65" fillId="38" borderId="96" applyNumberFormat="0" applyAlignment="0" applyProtection="0"/>
    <xf numFmtId="0" fontId="72" fillId="0" borderId="97" applyNumberFormat="0" applyFill="0" applyAlignment="0" applyProtection="0"/>
    <xf numFmtId="0" fontId="110" fillId="38" borderId="96" applyNumberFormat="0" applyAlignment="0" applyProtection="0"/>
    <xf numFmtId="0" fontId="5" fillId="26" borderId="104" applyNumberFormat="0" applyFont="0" applyAlignment="0" applyProtection="0"/>
    <xf numFmtId="0" fontId="5" fillId="26" borderId="104" applyNumberFormat="0" applyFont="0" applyAlignment="0" applyProtection="0"/>
    <xf numFmtId="0" fontId="5" fillId="26" borderId="104" applyNumberFormat="0" applyFont="0" applyAlignment="0" applyProtection="0"/>
    <xf numFmtId="0" fontId="72" fillId="0" borderId="106" applyNumberFormat="0" applyFill="0" applyAlignment="0" applyProtection="0"/>
    <xf numFmtId="0" fontId="110" fillId="38" borderId="105" applyNumberFormat="0" applyAlignment="0" applyProtection="0"/>
    <xf numFmtId="0" fontId="73" fillId="39" borderId="109" applyNumberFormat="0" applyAlignment="0" applyProtection="0"/>
    <xf numFmtId="0" fontId="116" fillId="0" borderId="112" applyNumberFormat="0" applyFill="0" applyAlignment="0" applyProtection="0"/>
    <xf numFmtId="0" fontId="62" fillId="29" borderId="109" applyNumberFormat="0" applyAlignment="0" applyProtection="0"/>
    <xf numFmtId="0" fontId="5" fillId="26" borderId="110" applyNumberFormat="0" applyFont="0" applyAlignment="0" applyProtection="0"/>
    <xf numFmtId="0" fontId="6" fillId="26" borderId="110" applyNumberFormat="0" applyFont="0" applyAlignment="0" applyProtection="0"/>
    <xf numFmtId="10" fontId="36" fillId="16" borderId="107" applyNumberFormat="0" applyBorder="0" applyAlignment="0" applyProtection="0"/>
    <xf numFmtId="0" fontId="62" fillId="23" borderId="109" applyNumberFormat="0" applyAlignment="0" applyProtection="0"/>
    <xf numFmtId="0" fontId="101" fillId="38" borderId="109" applyNumberFormat="0" applyAlignment="0" applyProtection="0"/>
    <xf numFmtId="0" fontId="65" fillId="39" borderId="111" applyNumberFormat="0" applyAlignment="0" applyProtection="0"/>
    <xf numFmtId="0" fontId="5" fillId="26" borderId="110" applyNumberFormat="0" applyFont="0" applyAlignment="0" applyProtection="0"/>
    <xf numFmtId="0" fontId="65" fillId="38" borderId="111" applyNumberFormat="0" applyAlignment="0" applyProtection="0"/>
    <xf numFmtId="0" fontId="36" fillId="0" borderId="108" applyBorder="0">
      <alignment horizontal="left" vertical="center" wrapText="1" indent="2"/>
      <protection locked="0"/>
    </xf>
    <xf numFmtId="0" fontId="18" fillId="15" borderId="108" applyFill="0" applyBorder="0" applyAlignment="0" applyProtection="0">
      <alignment vertical="center"/>
      <protection locked="0"/>
    </xf>
    <xf numFmtId="0" fontId="104" fillId="23" borderId="109" applyNumberFormat="0" applyAlignment="0" applyProtection="0"/>
    <xf numFmtId="0" fontId="59" fillId="38" borderId="109" applyNumberFormat="0" applyAlignment="0" applyProtection="0"/>
    <xf numFmtId="0" fontId="5" fillId="26" borderId="110" applyNumberFormat="0" applyFont="0" applyAlignment="0" applyProtection="0"/>
    <xf numFmtId="0" fontId="5" fillId="26" borderId="110" applyNumberFormat="0" applyFont="0" applyAlignment="0" applyProtection="0"/>
    <xf numFmtId="0" fontId="5" fillId="26" borderId="110" applyNumberFormat="0" applyFont="0" applyAlignment="0" applyProtection="0"/>
    <xf numFmtId="0" fontId="72" fillId="0" borderId="112" applyNumberFormat="0" applyFill="0" applyAlignment="0" applyProtection="0"/>
    <xf numFmtId="0" fontId="62" fillId="23" borderId="109" applyNumberFormat="0" applyAlignment="0" applyProtection="0"/>
    <xf numFmtId="0" fontId="110" fillId="38" borderId="111" applyNumberFormat="0" applyAlignment="0" applyProtection="0"/>
    <xf numFmtId="0" fontId="36" fillId="0" borderId="108" applyBorder="0">
      <alignment horizontal="left" vertical="center" wrapText="1" indent="3"/>
      <protection locked="0"/>
    </xf>
    <xf numFmtId="0" fontId="5" fillId="26" borderId="116" applyNumberFormat="0" applyFont="0" applyAlignment="0" applyProtection="0"/>
    <xf numFmtId="0" fontId="5" fillId="26" borderId="131" applyNumberFormat="0" applyFont="0" applyAlignment="0" applyProtection="0"/>
    <xf numFmtId="0" fontId="36" fillId="0" borderId="114" applyBorder="0">
      <alignment horizontal="left" vertical="center" wrapText="1" indent="3"/>
      <protection locked="0"/>
    </xf>
    <xf numFmtId="0" fontId="73" fillId="39" borderId="121" applyNumberFormat="0" applyAlignment="0" applyProtection="0"/>
    <xf numFmtId="0" fontId="116" fillId="0" borderId="127" applyNumberFormat="0" applyFill="0" applyAlignment="0" applyProtection="0"/>
    <xf numFmtId="0" fontId="62" fillId="29" borderId="121" applyNumberFormat="0" applyAlignment="0" applyProtection="0"/>
    <xf numFmtId="0" fontId="5" fillId="26" borderId="125" applyNumberFormat="0" applyFont="0" applyAlignment="0" applyProtection="0"/>
    <xf numFmtId="0" fontId="6" fillId="26" borderId="125" applyNumberFormat="0" applyFont="0" applyAlignment="0" applyProtection="0"/>
    <xf numFmtId="10" fontId="36" fillId="16" borderId="119" applyNumberFormat="0" applyBorder="0" applyAlignment="0" applyProtection="0"/>
    <xf numFmtId="0" fontId="62" fillId="23" borderId="121" applyNumberFormat="0" applyAlignment="0" applyProtection="0"/>
    <xf numFmtId="0" fontId="101" fillId="38" borderId="121" applyNumberFormat="0" applyAlignment="0" applyProtection="0"/>
    <xf numFmtId="0" fontId="65" fillId="39" borderId="126" applyNumberFormat="0" applyAlignment="0" applyProtection="0"/>
    <xf numFmtId="0" fontId="5" fillId="26" borderId="125" applyNumberFormat="0" applyFont="0" applyAlignment="0" applyProtection="0"/>
    <xf numFmtId="0" fontId="65" fillId="38" borderId="126" applyNumberFormat="0" applyAlignment="0" applyProtection="0"/>
    <xf numFmtId="0" fontId="36" fillId="0" borderId="120" applyBorder="0">
      <alignment horizontal="left" vertical="center" wrapText="1" indent="2"/>
      <protection locked="0"/>
    </xf>
    <xf numFmtId="0" fontId="18" fillId="15" borderId="120" applyFill="0" applyBorder="0" applyAlignment="0" applyProtection="0">
      <alignment vertical="center"/>
      <protection locked="0"/>
    </xf>
    <xf numFmtId="0" fontId="104" fillId="23" borderId="121" applyNumberFormat="0" applyAlignment="0" applyProtection="0"/>
    <xf numFmtId="0" fontId="59" fillId="38" borderId="121" applyNumberFormat="0" applyAlignment="0" applyProtection="0"/>
    <xf numFmtId="0" fontId="5" fillId="26" borderId="125" applyNumberFormat="0" applyFont="0" applyAlignment="0" applyProtection="0"/>
    <xf numFmtId="0" fontId="5" fillId="26" borderId="125" applyNumberFormat="0" applyFont="0" applyAlignment="0" applyProtection="0"/>
    <xf numFmtId="0" fontId="5" fillId="26" borderId="125" applyNumberFormat="0" applyFont="0" applyAlignment="0" applyProtection="0"/>
    <xf numFmtId="0" fontId="72" fillId="0" borderId="127" applyNumberFormat="0" applyFill="0" applyAlignment="0" applyProtection="0"/>
    <xf numFmtId="0" fontId="62" fillId="23" borderId="121" applyNumberFormat="0" applyAlignment="0" applyProtection="0"/>
    <xf numFmtId="0" fontId="110" fillId="38" borderId="126" applyNumberFormat="0" applyAlignment="0" applyProtection="0"/>
    <xf numFmtId="0" fontId="36" fillId="0" borderId="120" applyBorder="0">
      <alignment horizontal="left" vertical="center" wrapText="1" indent="3"/>
      <protection locked="0"/>
    </xf>
    <xf numFmtId="0" fontId="73" fillId="39" borderId="130" applyNumberFormat="0" applyAlignment="0" applyProtection="0"/>
    <xf numFmtId="0" fontId="116" fillId="0" borderId="133" applyNumberFormat="0" applyFill="0" applyAlignment="0" applyProtection="0"/>
    <xf numFmtId="0" fontId="62" fillId="29" borderId="130" applyNumberFormat="0" applyAlignment="0" applyProtection="0"/>
    <xf numFmtId="0" fontId="5" fillId="26" borderId="131" applyNumberFormat="0" applyFont="0" applyAlignment="0" applyProtection="0"/>
    <xf numFmtId="0" fontId="6" fillId="26" borderId="131" applyNumberFormat="0" applyFont="0" applyAlignment="0" applyProtection="0"/>
    <xf numFmtId="10" fontId="36" fillId="16" borderId="128" applyNumberFormat="0" applyBorder="0" applyAlignment="0" applyProtection="0"/>
    <xf numFmtId="0" fontId="62" fillId="23" borderId="130" applyNumberFormat="0" applyAlignment="0" applyProtection="0"/>
    <xf numFmtId="0" fontId="101" fillId="38" borderId="130" applyNumberFormat="0" applyAlignment="0" applyProtection="0"/>
    <xf numFmtId="0" fontId="65" fillId="39" borderId="132" applyNumberFormat="0" applyAlignment="0" applyProtection="0"/>
    <xf numFmtId="0" fontId="5" fillId="26" borderId="131" applyNumberFormat="0" applyFont="0" applyAlignment="0" applyProtection="0"/>
    <xf numFmtId="0" fontId="65" fillId="38" borderId="132" applyNumberFormat="0" applyAlignment="0" applyProtection="0"/>
    <xf numFmtId="0" fontId="36" fillId="0" borderId="129" applyBorder="0">
      <alignment horizontal="left" vertical="center" wrapText="1" indent="2"/>
      <protection locked="0"/>
    </xf>
    <xf numFmtId="0" fontId="18" fillId="15" borderId="129" applyFill="0" applyBorder="0" applyAlignment="0" applyProtection="0">
      <alignment vertical="center"/>
      <protection locked="0"/>
    </xf>
    <xf numFmtId="0" fontId="104" fillId="23" borderId="130" applyNumberFormat="0" applyAlignment="0" applyProtection="0"/>
    <xf numFmtId="0" fontId="59" fillId="38" borderId="130" applyNumberFormat="0" applyAlignment="0" applyProtection="0"/>
    <xf numFmtId="0" fontId="5" fillId="26" borderId="131" applyNumberFormat="0" applyFont="0" applyAlignment="0" applyProtection="0"/>
    <xf numFmtId="0" fontId="5" fillId="26" borderId="131" applyNumberFormat="0" applyFont="0" applyAlignment="0" applyProtection="0"/>
    <xf numFmtId="0" fontId="5" fillId="26" borderId="131" applyNumberFormat="0" applyFont="0" applyAlignment="0" applyProtection="0"/>
    <xf numFmtId="0" fontId="72" fillId="0" borderId="133" applyNumberFormat="0" applyFill="0" applyAlignment="0" applyProtection="0"/>
    <xf numFmtId="0" fontId="62" fillId="23" borderId="130" applyNumberFormat="0" applyAlignment="0" applyProtection="0"/>
    <xf numFmtId="0" fontId="110" fillId="38" borderId="132" applyNumberFormat="0" applyAlignment="0" applyProtection="0"/>
    <xf numFmtId="0" fontId="36" fillId="0" borderId="129" applyBorder="0">
      <alignment horizontal="left" vertical="center" wrapText="1" indent="3"/>
      <protection locked="0"/>
    </xf>
    <xf numFmtId="0" fontId="116" fillId="0" borderId="137" applyNumberFormat="0" applyFill="0" applyAlignment="0" applyProtection="0"/>
    <xf numFmtId="0" fontId="110" fillId="38" borderId="136" applyNumberFormat="0" applyAlignment="0" applyProtection="0"/>
    <xf numFmtId="0" fontId="5" fillId="0" borderId="0"/>
    <xf numFmtId="166" fontId="5" fillId="0" borderId="0" applyFont="0" applyFill="0" applyBorder="0" applyAlignment="0" applyProtection="0"/>
    <xf numFmtId="186" fontId="5" fillId="0" borderId="0" applyFont="0" applyBorder="0">
      <alignment horizontal="center"/>
    </xf>
    <xf numFmtId="169" fontId="5" fillId="0" borderId="0">
      <alignment horizontal="center" vertical="top"/>
    </xf>
    <xf numFmtId="43" fontId="36" fillId="0" borderId="0"/>
    <xf numFmtId="0" fontId="41" fillId="0" borderId="0">
      <protection locked="0"/>
    </xf>
    <xf numFmtId="0" fontId="41" fillId="0" borderId="0">
      <protection locked="0"/>
    </xf>
    <xf numFmtId="0" fontId="38" fillId="0" borderId="0" applyNumberFormat="0" applyFill="0" applyBorder="0" applyAlignment="0" applyProtection="0"/>
    <xf numFmtId="0" fontId="5" fillId="0" borderId="0">
      <alignment horizontal="centerContinuous" vertical="justify"/>
    </xf>
    <xf numFmtId="0" fontId="5" fillId="0" borderId="0">
      <alignment horizontal="centerContinuous" vertical="justify"/>
    </xf>
    <xf numFmtId="0" fontId="5" fillId="0" borderId="0">
      <alignment horizontal="centerContinuous" vertical="justify"/>
    </xf>
    <xf numFmtId="0" fontId="5" fillId="0" borderId="0">
      <alignment horizontal="centerContinuous" vertical="justify"/>
    </xf>
    <xf numFmtId="0" fontId="5" fillId="0" borderId="0">
      <alignment horizontal="centerContinuous" vertical="justify"/>
    </xf>
    <xf numFmtId="0" fontId="5" fillId="0" borderId="0">
      <alignment horizontal="centerContinuous" vertical="justify"/>
    </xf>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8" fillId="0" borderId="0" applyFont="0" applyFill="0" applyBorder="0" applyAlignment="0" applyProtection="0"/>
    <xf numFmtId="44" fontId="49"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4" fontId="49"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8" fontId="46" fillId="0" borderId="0"/>
    <xf numFmtId="188"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4" fontId="5" fillId="0" borderId="0"/>
    <xf numFmtId="0" fontId="5" fillId="0" borderId="0"/>
    <xf numFmtId="0" fontId="5" fillId="0" borderId="0"/>
    <xf numFmtId="4" fontId="5" fillId="0" borderId="0"/>
    <xf numFmtId="4" fontId="5" fillId="0" borderId="0"/>
    <xf numFmtId="4" fontId="5" fillId="0" borderId="0"/>
    <xf numFmtId="4" fontId="5" fillId="0" borderId="0"/>
    <xf numFmtId="4" fontId="5" fillId="0" borderId="0"/>
    <xf numFmtId="0"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1" fillId="0" borderId="0"/>
    <xf numFmtId="0" fontId="5"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5" fillId="0" borderId="0"/>
    <xf numFmtId="0" fontId="1"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5" fillId="0" borderId="0"/>
    <xf numFmtId="0" fontId="1"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5" fillId="0" borderId="0"/>
    <xf numFmtId="0" fontId="5"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1" fillId="0" borderId="0"/>
    <xf numFmtId="0" fontId="5" fillId="0" borderId="0"/>
    <xf numFmtId="0" fontId="1" fillId="0" borderId="0"/>
    <xf numFmtId="0" fontId="5"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ont="0" applyFill="0" applyBorder="0" applyAlignment="0" applyProtection="0">
      <alignment vertical="top"/>
    </xf>
    <xf numFmtId="0" fontId="5" fillId="0" borderId="0" applyNumberFormat="0" applyFont="0" applyFill="0" applyBorder="0" applyAlignment="0" applyProtection="0">
      <alignment vertical="top"/>
    </xf>
    <xf numFmtId="0" fontId="5" fillId="0" borderId="0" applyNumberFormat="0" applyFont="0" applyFill="0" applyBorder="0" applyAlignment="0" applyProtection="0">
      <alignment vertical="top"/>
    </xf>
    <xf numFmtId="0" fontId="5" fillId="0" borderId="0"/>
    <xf numFmtId="0" fontId="5" fillId="0" borderId="0"/>
    <xf numFmtId="0" fontId="5" fillId="0" borderId="0"/>
    <xf numFmtId="0" fontId="5" fillId="0" borderId="0"/>
    <xf numFmtId="0" fontId="5" fillId="0" borderId="0"/>
    <xf numFmtId="0" fontId="5" fillId="0" borderId="0" applyNumberFormat="0" applyFont="0" applyFill="0" applyBorder="0" applyAlignment="0" applyProtection="0">
      <alignment vertical="top"/>
    </xf>
    <xf numFmtId="0" fontId="5" fillId="0" borderId="0" applyNumberFormat="0" applyFont="0" applyFill="0" applyBorder="0" applyAlignment="0" applyProtection="0">
      <alignment vertical="top"/>
    </xf>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8" fontId="46" fillId="0" borderId="0"/>
    <xf numFmtId="188"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08" fillId="0" borderId="0"/>
    <xf numFmtId="0" fontId="1" fillId="0" borderId="0"/>
    <xf numFmtId="0" fontId="5" fillId="0" borderId="0"/>
    <xf numFmtId="0" fontId="108" fillId="0" borderId="0"/>
    <xf numFmtId="0" fontId="5" fillId="0" borderId="0"/>
    <xf numFmtId="0" fontId="108" fillId="0" borderId="0"/>
    <xf numFmtId="0" fontId="1" fillId="0" borderId="0"/>
    <xf numFmtId="0" fontId="1" fillId="0" borderId="0"/>
    <xf numFmtId="0" fontId="1" fillId="0" borderId="0"/>
    <xf numFmtId="0" fontId="1" fillId="0" borderId="0"/>
    <xf numFmtId="9" fontId="5" fillId="0" borderId="39" applyNumberFormat="0" applyBorder="0">
      <alignment horizontal="center" vertical="center"/>
    </xf>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8"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8"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ill="0" applyBorder="0" applyAlignment="0" applyProtection="0"/>
    <xf numFmtId="0"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0" fontId="53"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applyFont="0" applyFill="0" applyBorder="0" applyAlignment="0" applyProtection="0"/>
    <xf numFmtId="43" fontId="5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0" fontId="18" fillId="15" borderId="141" applyFill="0" applyBorder="0" applyAlignment="0" applyProtection="0">
      <alignment vertical="center"/>
      <protection locked="0"/>
    </xf>
    <xf numFmtId="10" fontId="36" fillId="16" borderId="140" applyNumberFormat="0" applyBorder="0" applyAlignment="0" applyProtection="0"/>
    <xf numFmtId="0" fontId="36" fillId="0" borderId="141" applyBorder="0">
      <alignment horizontal="left" vertical="center" wrapText="1" indent="2"/>
      <protection locked="0"/>
    </xf>
    <xf numFmtId="0" fontId="36" fillId="0" borderId="141" applyBorder="0">
      <alignment horizontal="left" vertical="center" wrapText="1" indent="3"/>
      <protection locked="0"/>
    </xf>
    <xf numFmtId="0" fontId="62" fillId="23" borderId="134" applyNumberFormat="0" applyAlignment="0" applyProtection="0"/>
    <xf numFmtId="10" fontId="36" fillId="16" borderId="140" applyNumberFormat="0" applyBorder="0" applyAlignment="0" applyProtection="0"/>
    <xf numFmtId="0" fontId="36" fillId="0" borderId="141" applyBorder="0">
      <alignment horizontal="left" vertical="center" wrapText="1" indent="2"/>
      <protection locked="0"/>
    </xf>
    <xf numFmtId="0" fontId="18" fillId="15" borderId="141" applyFill="0" applyBorder="0" applyAlignment="0" applyProtection="0">
      <alignment vertical="center"/>
      <protection locked="0"/>
    </xf>
    <xf numFmtId="0" fontId="36" fillId="0" borderId="141" applyBorder="0">
      <alignment horizontal="left" vertical="center" wrapText="1" indent="3"/>
      <protection locked="0"/>
    </xf>
    <xf numFmtId="0" fontId="62" fillId="23" borderId="134" applyNumberFormat="0" applyAlignment="0" applyProtection="0"/>
    <xf numFmtId="0" fontId="36" fillId="0" borderId="141" applyBorder="0">
      <alignment horizontal="left" vertical="center" wrapText="1" indent="3"/>
      <protection locked="0"/>
    </xf>
    <xf numFmtId="0" fontId="65" fillId="38" borderId="136" applyNumberFormat="0" applyAlignment="0" applyProtection="0"/>
    <xf numFmtId="0" fontId="5" fillId="26" borderId="135" applyNumberFormat="0" applyFont="0" applyAlignment="0" applyProtection="0"/>
    <xf numFmtId="0" fontId="116" fillId="0" borderId="137" applyNumberFormat="0" applyFill="0" applyAlignment="0" applyProtection="0"/>
    <xf numFmtId="0" fontId="73" fillId="39" borderId="134" applyNumberFormat="0" applyAlignment="0" applyProtection="0"/>
    <xf numFmtId="10" fontId="36" fillId="16" borderId="140" applyNumberFormat="0" applyBorder="0" applyAlignment="0" applyProtection="0"/>
    <xf numFmtId="0" fontId="65" fillId="39" borderId="136" applyNumberFormat="0" applyAlignment="0" applyProtection="0"/>
    <xf numFmtId="0" fontId="65" fillId="39" borderId="136" applyNumberFormat="0" applyAlignment="0" applyProtection="0"/>
    <xf numFmtId="0" fontId="110" fillId="38" borderId="136" applyNumberFormat="0" applyAlignment="0" applyProtection="0"/>
    <xf numFmtId="0" fontId="18" fillId="15" borderId="141" applyFill="0" applyBorder="0" applyAlignment="0" applyProtection="0">
      <alignment vertical="center"/>
      <protection locked="0"/>
    </xf>
    <xf numFmtId="10" fontId="36" fillId="16" borderId="140" applyNumberFormat="0" applyBorder="0" applyAlignment="0" applyProtection="0"/>
    <xf numFmtId="0" fontId="62" fillId="29" borderId="134" applyNumberFormat="0" applyAlignment="0" applyProtection="0"/>
    <xf numFmtId="0" fontId="62" fillId="23" borderId="134" applyNumberFormat="0" applyAlignment="0" applyProtection="0"/>
    <xf numFmtId="0" fontId="5" fillId="26" borderId="135" applyNumberFormat="0" applyFont="0" applyAlignment="0" applyProtection="0"/>
    <xf numFmtId="0" fontId="36" fillId="0" borderId="141" applyBorder="0">
      <alignment horizontal="left" vertical="center" wrapText="1" indent="2"/>
      <protection locked="0"/>
    </xf>
    <xf numFmtId="0" fontId="36" fillId="0" borderId="141" applyBorder="0">
      <alignment horizontal="left" vertical="center" wrapText="1" indent="3"/>
      <protection locked="0"/>
    </xf>
    <xf numFmtId="0" fontId="59" fillId="38" borderId="134" applyNumberFormat="0" applyAlignment="0" applyProtection="0"/>
    <xf numFmtId="0" fontId="73" fillId="39" borderId="134" applyNumberFormat="0" applyAlignment="0" applyProtection="0"/>
    <xf numFmtId="0" fontId="62" fillId="29" borderId="134" applyNumberFormat="0" applyAlignment="0" applyProtection="0"/>
    <xf numFmtId="0" fontId="62" fillId="23" borderId="134" applyNumberFormat="0" applyAlignment="0" applyProtection="0"/>
    <xf numFmtId="0" fontId="5" fillId="26" borderId="135" applyNumberFormat="0" applyFont="0" applyAlignment="0" applyProtection="0"/>
    <xf numFmtId="0" fontId="6" fillId="26" borderId="135" applyNumberFormat="0" applyFont="0" applyAlignment="0" applyProtection="0"/>
    <xf numFmtId="0" fontId="65" fillId="38" borderId="136" applyNumberFormat="0" applyAlignment="0" applyProtection="0"/>
    <xf numFmtId="0" fontId="65" fillId="39" borderId="136" applyNumberFormat="0" applyAlignment="0" applyProtection="0"/>
    <xf numFmtId="0" fontId="72" fillId="0" borderId="137" applyNumberFormat="0" applyFill="0" applyAlignment="0" applyProtection="0"/>
    <xf numFmtId="0" fontId="5" fillId="26" borderId="135" applyNumberFormat="0" applyFont="0" applyAlignment="0" applyProtection="0"/>
    <xf numFmtId="0" fontId="104" fillId="23" borderId="134" applyNumberFormat="0" applyAlignment="0" applyProtection="0"/>
    <xf numFmtId="0" fontId="101" fillId="38" borderId="134" applyNumberFormat="0" applyAlignment="0" applyProtection="0"/>
    <xf numFmtId="0" fontId="5" fillId="26" borderId="135" applyNumberFormat="0" applyFont="0" applyAlignment="0" applyProtection="0"/>
    <xf numFmtId="0" fontId="110" fillId="38" borderId="136" applyNumberFormat="0" applyAlignment="0" applyProtection="0"/>
    <xf numFmtId="0" fontId="36" fillId="0" borderId="141" applyBorder="0">
      <alignment horizontal="left" vertical="center" wrapText="1" indent="3"/>
      <protection locked="0"/>
    </xf>
    <xf numFmtId="0" fontId="5" fillId="26" borderId="135" applyNumberFormat="0" applyFont="0" applyAlignment="0" applyProtection="0"/>
    <xf numFmtId="0" fontId="5" fillId="26" borderId="135" applyNumberFormat="0" applyFont="0" applyAlignment="0" applyProtection="0"/>
    <xf numFmtId="0" fontId="65" fillId="39" borderId="136" applyNumberFormat="0" applyAlignment="0" applyProtection="0"/>
    <xf numFmtId="0" fontId="36" fillId="0" borderId="141" applyBorder="0">
      <alignment horizontal="left" vertical="center" wrapText="1" indent="2"/>
      <protection locked="0"/>
    </xf>
    <xf numFmtId="0" fontId="5" fillId="26" borderId="135" applyNumberFormat="0" applyFont="0" applyAlignment="0" applyProtection="0"/>
    <xf numFmtId="0" fontId="5" fillId="26" borderId="135" applyNumberFormat="0" applyFont="0" applyAlignment="0" applyProtection="0"/>
    <xf numFmtId="0" fontId="5" fillId="26" borderId="135" applyNumberFormat="0" applyFont="0" applyAlignment="0" applyProtection="0"/>
    <xf numFmtId="10" fontId="36" fillId="16" borderId="140" applyNumberFormat="0" applyBorder="0" applyAlignment="0" applyProtection="0"/>
    <xf numFmtId="0" fontId="62" fillId="23" borderId="134" applyNumberFormat="0" applyAlignment="0" applyProtection="0"/>
    <xf numFmtId="0" fontId="59" fillId="38" borderId="134" applyNumberFormat="0" applyAlignment="0" applyProtection="0"/>
    <xf numFmtId="0" fontId="72" fillId="0" borderId="137" applyNumberFormat="0" applyFill="0" applyAlignment="0" applyProtection="0"/>
    <xf numFmtId="0" fontId="36" fillId="0" borderId="141" applyBorder="0">
      <alignment horizontal="left" vertical="center" wrapText="1" indent="2"/>
      <protection locked="0"/>
    </xf>
    <xf numFmtId="0" fontId="5" fillId="26" borderId="135" applyNumberFormat="0" applyFont="0" applyAlignment="0" applyProtection="0"/>
    <xf numFmtId="0" fontId="72" fillId="0" borderId="137" applyNumberFormat="0" applyFill="0" applyAlignment="0" applyProtection="0"/>
    <xf numFmtId="0" fontId="5" fillId="26" borderId="135" applyNumberFormat="0" applyFont="0" applyAlignment="0" applyProtection="0"/>
    <xf numFmtId="0" fontId="5" fillId="26" borderId="135" applyNumberFormat="0" applyFont="0" applyAlignment="0" applyProtection="0"/>
    <xf numFmtId="0" fontId="5" fillId="26" borderId="135" applyNumberFormat="0" applyFont="0" applyAlignment="0" applyProtection="0"/>
    <xf numFmtId="0" fontId="104" fillId="23" borderId="134" applyNumberFormat="0" applyAlignment="0" applyProtection="0"/>
    <xf numFmtId="0" fontId="5" fillId="26" borderId="135" applyNumberFormat="0" applyFont="0" applyAlignment="0" applyProtection="0"/>
    <xf numFmtId="0" fontId="6" fillId="26" borderId="135" applyNumberFormat="0" applyFont="0" applyAlignment="0" applyProtection="0"/>
    <xf numFmtId="0" fontId="59" fillId="38" borderId="134" applyNumberFormat="0" applyAlignment="0" applyProtection="0"/>
    <xf numFmtId="0" fontId="73" fillId="39" borderId="134" applyNumberFormat="0" applyAlignment="0" applyProtection="0"/>
    <xf numFmtId="0" fontId="65" fillId="38" borderId="136" applyNumberFormat="0" applyAlignment="0" applyProtection="0"/>
    <xf numFmtId="0" fontId="5" fillId="26" borderId="135" applyNumberFormat="0" applyFont="0" applyAlignment="0" applyProtection="0"/>
    <xf numFmtId="0" fontId="65" fillId="38" borderId="136" applyNumberFormat="0" applyAlignment="0" applyProtection="0"/>
    <xf numFmtId="0" fontId="110" fillId="38" borderId="136" applyNumberFormat="0" applyAlignment="0" applyProtection="0"/>
    <xf numFmtId="0" fontId="5" fillId="26" borderId="135" applyNumberFormat="0" applyFont="0" applyAlignment="0" applyProtection="0"/>
    <xf numFmtId="0" fontId="65" fillId="39" borderId="136" applyNumberFormat="0" applyAlignment="0" applyProtection="0"/>
    <xf numFmtId="0" fontId="62" fillId="23" borderId="134" applyNumberFormat="0" applyAlignment="0" applyProtection="0"/>
    <xf numFmtId="0" fontId="36" fillId="0" borderId="141" applyBorder="0">
      <alignment horizontal="left" vertical="center" wrapText="1" indent="3"/>
      <protection locked="0"/>
    </xf>
    <xf numFmtId="0" fontId="5" fillId="26" borderId="135" applyNumberFormat="0" applyFont="0" applyAlignment="0" applyProtection="0"/>
    <xf numFmtId="0" fontId="73" fillId="39" borderId="134" applyNumberFormat="0" applyAlignment="0" applyProtection="0"/>
    <xf numFmtId="0" fontId="5" fillId="26" borderId="135" applyNumberFormat="0" applyFont="0" applyAlignment="0" applyProtection="0"/>
    <xf numFmtId="0" fontId="6" fillId="26" borderId="135" applyNumberFormat="0" applyFont="0" applyAlignment="0" applyProtection="0"/>
    <xf numFmtId="0" fontId="62" fillId="29" borderId="134" applyNumberFormat="0" applyAlignment="0" applyProtection="0"/>
    <xf numFmtId="0" fontId="5" fillId="26" borderId="135" applyNumberFormat="0" applyFont="0" applyAlignment="0" applyProtection="0"/>
    <xf numFmtId="0" fontId="5" fillId="26" borderId="135" applyNumberFormat="0" applyFont="0" applyAlignment="0" applyProtection="0"/>
    <xf numFmtId="0" fontId="5" fillId="26" borderId="135" applyNumberFormat="0" applyFont="0" applyAlignment="0" applyProtection="0"/>
    <xf numFmtId="0" fontId="72" fillId="0" borderId="137" applyNumberFormat="0" applyFill="0" applyAlignment="0" applyProtection="0"/>
    <xf numFmtId="0" fontId="116" fillId="0" borderId="137" applyNumberFormat="0" applyFill="0" applyAlignment="0" applyProtection="0"/>
    <xf numFmtId="0" fontId="5" fillId="26" borderId="135" applyNumberFormat="0" applyFont="0" applyAlignment="0" applyProtection="0"/>
    <xf numFmtId="0" fontId="59" fillId="38" borderId="134" applyNumberFormat="0" applyAlignment="0" applyProtection="0"/>
    <xf numFmtId="0" fontId="6" fillId="26" borderId="135" applyNumberFormat="0" applyFont="0" applyAlignment="0" applyProtection="0"/>
    <xf numFmtId="0" fontId="5" fillId="26" borderId="135" applyNumberFormat="0" applyFont="0" applyAlignment="0" applyProtection="0"/>
    <xf numFmtId="0" fontId="59" fillId="38" borderId="134" applyNumberFormat="0" applyAlignment="0" applyProtection="0"/>
    <xf numFmtId="0" fontId="72" fillId="0" borderId="137" applyNumberFormat="0" applyFill="0" applyAlignment="0" applyProtection="0"/>
    <xf numFmtId="0" fontId="18" fillId="15" borderId="141" applyFill="0" applyBorder="0" applyAlignment="0" applyProtection="0">
      <alignment vertical="center"/>
      <protection locked="0"/>
    </xf>
    <xf numFmtId="0" fontId="62" fillId="23" borderId="134" applyNumberFormat="0" applyAlignment="0" applyProtection="0"/>
    <xf numFmtId="0" fontId="104" fillId="23" borderId="134" applyNumberFormat="0" applyAlignment="0" applyProtection="0"/>
    <xf numFmtId="0" fontId="73" fillId="39" borderId="134" applyNumberFormat="0" applyAlignment="0" applyProtection="0"/>
    <xf numFmtId="0" fontId="6" fillId="26" borderId="135" applyNumberFormat="0" applyFont="0" applyAlignment="0" applyProtection="0"/>
    <xf numFmtId="0" fontId="62" fillId="23" borderId="134" applyNumberFormat="0" applyAlignment="0" applyProtection="0"/>
    <xf numFmtId="0" fontId="5" fillId="26" borderId="135" applyNumberFormat="0" applyFont="0" applyAlignment="0" applyProtection="0"/>
    <xf numFmtId="0" fontId="116" fillId="0" borderId="137" applyNumberFormat="0" applyFill="0" applyAlignment="0" applyProtection="0"/>
    <xf numFmtId="0" fontId="110" fillId="38" borderId="136" applyNumberFormat="0" applyAlignment="0" applyProtection="0"/>
    <xf numFmtId="0" fontId="65" fillId="39" borderId="136" applyNumberFormat="0" applyAlignment="0" applyProtection="0"/>
    <xf numFmtId="0" fontId="116" fillId="0" borderId="137" applyNumberFormat="0" applyFill="0" applyAlignment="0" applyProtection="0"/>
    <xf numFmtId="0" fontId="73" fillId="39" borderId="134" applyNumberFormat="0" applyAlignment="0" applyProtection="0"/>
    <xf numFmtId="0" fontId="5" fillId="26" borderId="135" applyNumberFormat="0" applyFont="0" applyAlignment="0" applyProtection="0"/>
    <xf numFmtId="0" fontId="18" fillId="15" borderId="141" applyFill="0" applyBorder="0" applyAlignment="0" applyProtection="0">
      <alignment vertical="center"/>
      <protection locked="0"/>
    </xf>
    <xf numFmtId="0" fontId="36" fillId="0" borderId="141" applyBorder="0">
      <alignment horizontal="left" vertical="center" wrapText="1" indent="2"/>
      <protection locked="0"/>
    </xf>
    <xf numFmtId="0" fontId="65" fillId="39" borderId="136" applyNumberFormat="0" applyAlignment="0" applyProtection="0"/>
    <xf numFmtId="0" fontId="72" fillId="0" borderId="137" applyNumberFormat="0" applyFill="0" applyAlignment="0" applyProtection="0"/>
    <xf numFmtId="0" fontId="104" fillId="23" borderId="134" applyNumberFormat="0" applyAlignment="0" applyProtection="0"/>
    <xf numFmtId="0" fontId="62" fillId="29" borderId="134" applyNumberFormat="0" applyAlignment="0" applyProtection="0"/>
    <xf numFmtId="0" fontId="5" fillId="26" borderId="135" applyNumberFormat="0" applyFont="0" applyAlignment="0" applyProtection="0"/>
    <xf numFmtId="0" fontId="101" fillId="38" borderId="134" applyNumberFormat="0" applyAlignment="0" applyProtection="0"/>
    <xf numFmtId="0" fontId="104" fillId="23" borderId="134" applyNumberFormat="0" applyAlignment="0" applyProtection="0"/>
    <xf numFmtId="0" fontId="5" fillId="26" borderId="135" applyNumberFormat="0" applyFont="0" applyAlignment="0" applyProtection="0"/>
    <xf numFmtId="0" fontId="110" fillId="38" borderId="136" applyNumberFormat="0" applyAlignment="0" applyProtection="0"/>
    <xf numFmtId="0" fontId="116" fillId="0" borderId="137" applyNumberFormat="0" applyFill="0" applyAlignment="0" applyProtection="0"/>
    <xf numFmtId="0" fontId="62" fillId="23" borderId="134" applyNumberFormat="0" applyAlignment="0" applyProtection="0"/>
    <xf numFmtId="0" fontId="6" fillId="26" borderId="135" applyNumberFormat="0" applyFont="0" applyAlignment="0" applyProtection="0"/>
    <xf numFmtId="0" fontId="65" fillId="38" borderId="136" applyNumberFormat="0" applyAlignment="0" applyProtection="0"/>
    <xf numFmtId="0" fontId="62" fillId="23" borderId="134" applyNumberFormat="0" applyAlignment="0" applyProtection="0"/>
    <xf numFmtId="0" fontId="62" fillId="23" borderId="134" applyNumberFormat="0" applyAlignment="0" applyProtection="0"/>
    <xf numFmtId="0" fontId="62" fillId="23" borderId="134" applyNumberFormat="0" applyAlignment="0" applyProtection="0"/>
    <xf numFmtId="0" fontId="62" fillId="23" borderId="134" applyNumberFormat="0" applyAlignment="0" applyProtection="0"/>
    <xf numFmtId="0" fontId="36" fillId="0" borderId="141" applyBorder="0">
      <alignment horizontal="left" vertical="center" wrapText="1" indent="3"/>
      <protection locked="0"/>
    </xf>
    <xf numFmtId="0" fontId="59" fillId="38" borderId="134" applyNumberFormat="0" applyAlignment="0" applyProtection="0"/>
    <xf numFmtId="0" fontId="116" fillId="0" borderId="137" applyNumberFormat="0" applyFill="0" applyAlignment="0" applyProtection="0"/>
    <xf numFmtId="0" fontId="62" fillId="23" borderId="134" applyNumberFormat="0" applyAlignment="0" applyProtection="0"/>
    <xf numFmtId="0" fontId="5" fillId="26" borderId="135" applyNumberFormat="0" applyFont="0" applyAlignment="0" applyProtection="0"/>
    <xf numFmtId="0" fontId="116" fillId="0" borderId="137" applyNumberFormat="0" applyFill="0" applyAlignment="0" applyProtection="0"/>
    <xf numFmtId="0" fontId="62" fillId="29" borderId="134" applyNumberFormat="0" applyAlignment="0" applyProtection="0"/>
    <xf numFmtId="0" fontId="18" fillId="15" borderId="141" applyFill="0" applyBorder="0" applyAlignment="0" applyProtection="0">
      <alignment vertical="center"/>
      <protection locked="0"/>
    </xf>
    <xf numFmtId="10" fontId="36" fillId="16" borderId="140" applyNumberFormat="0" applyBorder="0" applyAlignment="0" applyProtection="0"/>
    <xf numFmtId="0" fontId="36" fillId="0" borderId="141" applyBorder="0">
      <alignment horizontal="left" vertical="center" wrapText="1" indent="2"/>
      <protection locked="0"/>
    </xf>
    <xf numFmtId="0" fontId="6" fillId="26" borderId="135" applyNumberFormat="0" applyFont="0" applyAlignment="0" applyProtection="0"/>
    <xf numFmtId="0" fontId="72" fillId="0" borderId="137" applyNumberFormat="0" applyFill="0" applyAlignment="0" applyProtection="0"/>
    <xf numFmtId="0" fontId="101" fillId="38" borderId="134" applyNumberFormat="0" applyAlignment="0" applyProtection="0"/>
    <xf numFmtId="0" fontId="62" fillId="23" borderId="134" applyNumberFormat="0" applyAlignment="0" applyProtection="0"/>
    <xf numFmtId="0" fontId="5" fillId="26" borderId="135" applyNumberFormat="0" applyFont="0" applyAlignment="0" applyProtection="0"/>
    <xf numFmtId="0" fontId="110" fillId="38" borderId="136" applyNumberFormat="0" applyAlignment="0" applyProtection="0"/>
    <xf numFmtId="10" fontId="36" fillId="16" borderId="140" applyNumberFormat="0" applyBorder="0" applyAlignment="0" applyProtection="0"/>
    <xf numFmtId="0" fontId="116" fillId="0" borderId="137" applyNumberFormat="0" applyFill="0" applyAlignment="0" applyProtection="0"/>
    <xf numFmtId="0" fontId="18" fillId="15" borderId="141" applyFill="0" applyBorder="0" applyAlignment="0" applyProtection="0">
      <alignment vertical="center"/>
      <protection locked="0"/>
    </xf>
    <xf numFmtId="0" fontId="104" fillId="23" borderId="134" applyNumberFormat="0" applyAlignment="0" applyProtection="0"/>
    <xf numFmtId="0" fontId="101" fillId="38" borderId="134" applyNumberFormat="0" applyAlignment="0" applyProtection="0"/>
    <xf numFmtId="0" fontId="6" fillId="26" borderId="135" applyNumberFormat="0" applyFont="0" applyAlignment="0" applyProtection="0"/>
    <xf numFmtId="0" fontId="62" fillId="29" borderId="134" applyNumberFormat="0" applyAlignment="0" applyProtection="0"/>
    <xf numFmtId="0" fontId="110" fillId="38" borderId="136" applyNumberFormat="0" applyAlignment="0" applyProtection="0"/>
    <xf numFmtId="0" fontId="5" fillId="26" borderId="135" applyNumberFormat="0" applyFont="0" applyAlignment="0" applyProtection="0"/>
    <xf numFmtId="0" fontId="65" fillId="38" borderId="136" applyNumberFormat="0" applyAlignment="0" applyProtection="0"/>
    <xf numFmtId="0" fontId="101" fillId="38" borderId="134" applyNumberFormat="0" applyAlignment="0" applyProtection="0"/>
    <xf numFmtId="0" fontId="36" fillId="0" borderId="141" applyBorder="0">
      <alignment horizontal="left" vertical="center" wrapText="1" indent="2"/>
      <protection locked="0"/>
    </xf>
    <xf numFmtId="0" fontId="5" fillId="26" borderId="135" applyNumberFormat="0" applyFont="0" applyAlignment="0" applyProtection="0"/>
    <xf numFmtId="0" fontId="5" fillId="26" borderId="135" applyNumberFormat="0" applyFont="0" applyAlignment="0" applyProtection="0"/>
    <xf numFmtId="0" fontId="65" fillId="39" borderId="136" applyNumberFormat="0" applyAlignment="0" applyProtection="0"/>
    <xf numFmtId="10" fontId="36" fillId="16" borderId="140" applyNumberFormat="0" applyBorder="0" applyAlignment="0" applyProtection="0"/>
    <xf numFmtId="0" fontId="18" fillId="15" borderId="141" applyFill="0" applyBorder="0" applyAlignment="0" applyProtection="0">
      <alignment vertical="center"/>
      <protection locked="0"/>
    </xf>
    <xf numFmtId="0" fontId="65" fillId="38" borderId="136" applyNumberFormat="0" applyAlignment="0" applyProtection="0"/>
    <xf numFmtId="0" fontId="101" fillId="38" borderId="134" applyNumberFormat="0" applyAlignment="0" applyProtection="0"/>
    <xf numFmtId="0" fontId="5" fillId="26" borderId="135" applyNumberFormat="0" applyFont="0" applyAlignment="0" applyProtection="0"/>
    <xf numFmtId="0" fontId="65" fillId="38" borderId="136" applyNumberFormat="0" applyAlignment="0" applyProtection="0"/>
    <xf numFmtId="0" fontId="5" fillId="26" borderId="135" applyNumberFormat="0" applyFont="0" applyAlignment="0" applyProtection="0"/>
    <xf numFmtId="0" fontId="73" fillId="39" borderId="134" applyNumberFormat="0" applyAlignment="0" applyProtection="0"/>
    <xf numFmtId="0" fontId="116" fillId="0" borderId="137" applyNumberFormat="0" applyFill="0" applyAlignment="0" applyProtection="0"/>
    <xf numFmtId="0" fontId="62" fillId="29" borderId="134" applyNumberFormat="0" applyAlignment="0" applyProtection="0"/>
    <xf numFmtId="0" fontId="5" fillId="26" borderId="135" applyNumberFormat="0" applyFont="0" applyAlignment="0" applyProtection="0"/>
    <xf numFmtId="0" fontId="6" fillId="26" borderId="135" applyNumberFormat="0" applyFont="0" applyAlignment="0" applyProtection="0"/>
    <xf numFmtId="10" fontId="36" fillId="16" borderId="140" applyNumberFormat="0" applyBorder="0" applyAlignment="0" applyProtection="0"/>
    <xf numFmtId="0" fontId="62" fillId="23" borderId="134" applyNumberFormat="0" applyAlignment="0" applyProtection="0"/>
    <xf numFmtId="0" fontId="101" fillId="38" borderId="134" applyNumberFormat="0" applyAlignment="0" applyProtection="0"/>
    <xf numFmtId="0" fontId="65" fillId="39" borderId="136" applyNumberFormat="0" applyAlignment="0" applyProtection="0"/>
    <xf numFmtId="0" fontId="5" fillId="26" borderId="135" applyNumberFormat="0" applyFont="0" applyAlignment="0" applyProtection="0"/>
    <xf numFmtId="0" fontId="65" fillId="38" borderId="136" applyNumberFormat="0" applyAlignment="0" applyProtection="0"/>
    <xf numFmtId="0" fontId="36" fillId="0" borderId="141" applyBorder="0">
      <alignment horizontal="left" vertical="center" wrapText="1" indent="2"/>
      <protection locked="0"/>
    </xf>
    <xf numFmtId="0" fontId="18" fillId="15" borderId="141" applyFill="0" applyBorder="0" applyAlignment="0" applyProtection="0">
      <alignment vertical="center"/>
      <protection locked="0"/>
    </xf>
    <xf numFmtId="0" fontId="104" fillId="23" borderId="134" applyNumberFormat="0" applyAlignment="0" applyProtection="0"/>
    <xf numFmtId="0" fontId="59" fillId="38" borderId="134" applyNumberFormat="0" applyAlignment="0" applyProtection="0"/>
    <xf numFmtId="0" fontId="5" fillId="26" borderId="135" applyNumberFormat="0" applyFont="0" applyAlignment="0" applyProtection="0"/>
    <xf numFmtId="0" fontId="5" fillId="26" borderId="135" applyNumberFormat="0" applyFont="0" applyAlignment="0" applyProtection="0"/>
    <xf numFmtId="0" fontId="5" fillId="26" borderId="135" applyNumberFormat="0" applyFont="0" applyAlignment="0" applyProtection="0"/>
    <xf numFmtId="0" fontId="72" fillId="0" borderId="137" applyNumberFormat="0" applyFill="0" applyAlignment="0" applyProtection="0"/>
    <xf numFmtId="0" fontId="62" fillId="23" borderId="134" applyNumberFormat="0" applyAlignment="0" applyProtection="0"/>
    <xf numFmtId="0" fontId="110" fillId="38" borderId="136" applyNumberFormat="0" applyAlignment="0" applyProtection="0"/>
    <xf numFmtId="0" fontId="36" fillId="0" borderId="141" applyBorder="0">
      <alignment horizontal="left" vertical="center" wrapText="1" indent="3"/>
      <protection locked="0"/>
    </xf>
    <xf numFmtId="0" fontId="116" fillId="0" borderId="137" applyNumberFormat="0" applyFill="0" applyAlignment="0" applyProtection="0"/>
    <xf numFmtId="0" fontId="65" fillId="39" borderId="136" applyNumberFormat="0" applyAlignment="0" applyProtection="0"/>
    <xf numFmtId="0" fontId="65" fillId="38" borderId="136" applyNumberFormat="0" applyAlignment="0" applyProtection="0"/>
    <xf numFmtId="0" fontId="72" fillId="0" borderId="137" applyNumberFormat="0" applyFill="0" applyAlignment="0" applyProtection="0"/>
    <xf numFmtId="0" fontId="110" fillId="38" borderId="136" applyNumberFormat="0" applyAlignment="0" applyProtection="0"/>
    <xf numFmtId="0" fontId="5" fillId="26" borderId="135" applyNumberFormat="0" applyFont="0" applyAlignment="0" applyProtection="0"/>
    <xf numFmtId="0" fontId="5" fillId="26" borderId="135" applyNumberFormat="0" applyFont="0" applyAlignment="0" applyProtection="0"/>
    <xf numFmtId="0" fontId="5" fillId="26" borderId="135" applyNumberFormat="0" applyFont="0" applyAlignment="0" applyProtection="0"/>
    <xf numFmtId="0" fontId="72" fillId="0" borderId="137" applyNumberFormat="0" applyFill="0" applyAlignment="0" applyProtection="0"/>
    <xf numFmtId="0" fontId="110" fillId="38" borderId="136" applyNumberFormat="0" applyAlignment="0" applyProtection="0"/>
    <xf numFmtId="0" fontId="73" fillId="39" borderId="134" applyNumberFormat="0" applyAlignment="0" applyProtection="0"/>
    <xf numFmtId="0" fontId="116" fillId="0" borderId="137" applyNumberFormat="0" applyFill="0" applyAlignment="0" applyProtection="0"/>
    <xf numFmtId="0" fontId="62" fillId="29" borderId="134" applyNumberFormat="0" applyAlignment="0" applyProtection="0"/>
    <xf numFmtId="0" fontId="5" fillId="26" borderId="135" applyNumberFormat="0" applyFont="0" applyAlignment="0" applyProtection="0"/>
    <xf numFmtId="0" fontId="6" fillId="26" borderId="135" applyNumberFormat="0" applyFont="0" applyAlignment="0" applyProtection="0"/>
    <xf numFmtId="10" fontId="36" fillId="16" borderId="140" applyNumberFormat="0" applyBorder="0" applyAlignment="0" applyProtection="0"/>
    <xf numFmtId="0" fontId="62" fillId="23" borderId="134" applyNumberFormat="0" applyAlignment="0" applyProtection="0"/>
    <xf numFmtId="0" fontId="101" fillId="38" borderId="134" applyNumberFormat="0" applyAlignment="0" applyProtection="0"/>
    <xf numFmtId="0" fontId="65" fillId="39" borderId="136" applyNumberFormat="0" applyAlignment="0" applyProtection="0"/>
    <xf numFmtId="0" fontId="5" fillId="26" borderId="135" applyNumberFormat="0" applyFont="0" applyAlignment="0" applyProtection="0"/>
    <xf numFmtId="0" fontId="65" fillId="38" borderId="136" applyNumberFormat="0" applyAlignment="0" applyProtection="0"/>
    <xf numFmtId="0" fontId="36" fillId="0" borderId="141" applyBorder="0">
      <alignment horizontal="left" vertical="center" wrapText="1" indent="2"/>
      <protection locked="0"/>
    </xf>
    <xf numFmtId="0" fontId="18" fillId="15" borderId="141" applyFill="0" applyBorder="0" applyAlignment="0" applyProtection="0">
      <alignment vertical="center"/>
      <protection locked="0"/>
    </xf>
    <xf numFmtId="0" fontId="104" fillId="23" borderId="134" applyNumberFormat="0" applyAlignment="0" applyProtection="0"/>
    <xf numFmtId="0" fontId="59" fillId="38" borderId="134" applyNumberFormat="0" applyAlignment="0" applyProtection="0"/>
    <xf numFmtId="0" fontId="5" fillId="26" borderId="135" applyNumberFormat="0" applyFont="0" applyAlignment="0" applyProtection="0"/>
    <xf numFmtId="0" fontId="5" fillId="26" borderId="135" applyNumberFormat="0" applyFont="0" applyAlignment="0" applyProtection="0"/>
    <xf numFmtId="0" fontId="5" fillId="26" borderId="135" applyNumberFormat="0" applyFont="0" applyAlignment="0" applyProtection="0"/>
    <xf numFmtId="0" fontId="72" fillId="0" borderId="137" applyNumberFormat="0" applyFill="0" applyAlignment="0" applyProtection="0"/>
    <xf numFmtId="0" fontId="62" fillId="23" borderId="134" applyNumberFormat="0" applyAlignment="0" applyProtection="0"/>
    <xf numFmtId="0" fontId="110" fillId="38" borderId="136" applyNumberFormat="0" applyAlignment="0" applyProtection="0"/>
    <xf numFmtId="0" fontId="36" fillId="0" borderId="141" applyBorder="0">
      <alignment horizontal="left" vertical="center" wrapText="1" indent="3"/>
      <protection locked="0"/>
    </xf>
    <xf numFmtId="0" fontId="5" fillId="26" borderId="135" applyNumberFormat="0" applyFont="0" applyAlignment="0" applyProtection="0"/>
    <xf numFmtId="0" fontId="5" fillId="26" borderId="135" applyNumberFormat="0" applyFont="0" applyAlignment="0" applyProtection="0"/>
    <xf numFmtId="0" fontId="36" fillId="0" borderId="141" applyBorder="0">
      <alignment horizontal="left" vertical="center" wrapText="1" indent="3"/>
      <protection locked="0"/>
    </xf>
    <xf numFmtId="0" fontId="73" fillId="39" borderId="134" applyNumberFormat="0" applyAlignment="0" applyProtection="0"/>
    <xf numFmtId="0" fontId="116" fillId="0" borderId="137" applyNumberFormat="0" applyFill="0" applyAlignment="0" applyProtection="0"/>
    <xf numFmtId="0" fontId="62" fillId="29" borderId="134" applyNumberFormat="0" applyAlignment="0" applyProtection="0"/>
    <xf numFmtId="0" fontId="5" fillId="26" borderId="135" applyNumberFormat="0" applyFont="0" applyAlignment="0" applyProtection="0"/>
    <xf numFmtId="0" fontId="6" fillId="26" borderId="135" applyNumberFormat="0" applyFont="0" applyAlignment="0" applyProtection="0"/>
    <xf numFmtId="10" fontId="36" fillId="16" borderId="140" applyNumberFormat="0" applyBorder="0" applyAlignment="0" applyProtection="0"/>
    <xf numFmtId="0" fontId="62" fillId="23" borderId="134" applyNumberFormat="0" applyAlignment="0" applyProtection="0"/>
    <xf numFmtId="0" fontId="101" fillId="38" borderId="134" applyNumberFormat="0" applyAlignment="0" applyProtection="0"/>
    <xf numFmtId="0" fontId="65" fillId="39" borderId="136" applyNumberFormat="0" applyAlignment="0" applyProtection="0"/>
    <xf numFmtId="0" fontId="5" fillId="26" borderId="135" applyNumberFormat="0" applyFont="0" applyAlignment="0" applyProtection="0"/>
    <xf numFmtId="0" fontId="65" fillId="38" borderId="136" applyNumberFormat="0" applyAlignment="0" applyProtection="0"/>
    <xf numFmtId="0" fontId="36" fillId="0" borderId="141" applyBorder="0">
      <alignment horizontal="left" vertical="center" wrapText="1" indent="2"/>
      <protection locked="0"/>
    </xf>
    <xf numFmtId="0" fontId="18" fillId="15" borderId="141" applyFill="0" applyBorder="0" applyAlignment="0" applyProtection="0">
      <alignment vertical="center"/>
      <protection locked="0"/>
    </xf>
    <xf numFmtId="0" fontId="104" fillId="23" borderId="134" applyNumberFormat="0" applyAlignment="0" applyProtection="0"/>
    <xf numFmtId="0" fontId="59" fillId="38" borderId="134" applyNumberFormat="0" applyAlignment="0" applyProtection="0"/>
    <xf numFmtId="0" fontId="5" fillId="26" borderId="135" applyNumberFormat="0" applyFont="0" applyAlignment="0" applyProtection="0"/>
    <xf numFmtId="0" fontId="5" fillId="26" borderId="135" applyNumberFormat="0" applyFont="0" applyAlignment="0" applyProtection="0"/>
    <xf numFmtId="0" fontId="5" fillId="26" borderId="135" applyNumberFormat="0" applyFont="0" applyAlignment="0" applyProtection="0"/>
    <xf numFmtId="0" fontId="72" fillId="0" borderId="137" applyNumberFormat="0" applyFill="0" applyAlignment="0" applyProtection="0"/>
    <xf numFmtId="0" fontId="62" fillId="23" borderId="134" applyNumberFormat="0" applyAlignment="0" applyProtection="0"/>
    <xf numFmtId="0" fontId="110" fillId="38" borderId="136" applyNumberFormat="0" applyAlignment="0" applyProtection="0"/>
    <xf numFmtId="0" fontId="36" fillId="0" borderId="141" applyBorder="0">
      <alignment horizontal="left" vertical="center" wrapText="1" indent="3"/>
      <protection locked="0"/>
    </xf>
    <xf numFmtId="0" fontId="73" fillId="39" borderId="134" applyNumberFormat="0" applyAlignment="0" applyProtection="0"/>
    <xf numFmtId="0" fontId="116" fillId="0" borderId="137" applyNumberFormat="0" applyFill="0" applyAlignment="0" applyProtection="0"/>
    <xf numFmtId="0" fontId="62" fillId="29" borderId="134" applyNumberFormat="0" applyAlignment="0" applyProtection="0"/>
    <xf numFmtId="0" fontId="5" fillId="26" borderId="135" applyNumberFormat="0" applyFont="0" applyAlignment="0" applyProtection="0"/>
    <xf numFmtId="0" fontId="6" fillId="26" borderId="135" applyNumberFormat="0" applyFont="0" applyAlignment="0" applyProtection="0"/>
    <xf numFmtId="10" fontId="36" fillId="16" borderId="140" applyNumberFormat="0" applyBorder="0" applyAlignment="0" applyProtection="0"/>
    <xf numFmtId="0" fontId="62" fillId="23" borderId="134" applyNumberFormat="0" applyAlignment="0" applyProtection="0"/>
    <xf numFmtId="0" fontId="101" fillId="38" borderId="134" applyNumberFormat="0" applyAlignment="0" applyProtection="0"/>
    <xf numFmtId="0" fontId="65" fillId="39" borderId="136" applyNumberFormat="0" applyAlignment="0" applyProtection="0"/>
    <xf numFmtId="0" fontId="5" fillId="26" borderId="135" applyNumberFormat="0" applyFont="0" applyAlignment="0" applyProtection="0"/>
    <xf numFmtId="0" fontId="65" fillId="38" borderId="136" applyNumberFormat="0" applyAlignment="0" applyProtection="0"/>
    <xf numFmtId="0" fontId="36" fillId="0" borderId="141" applyBorder="0">
      <alignment horizontal="left" vertical="center" wrapText="1" indent="2"/>
      <protection locked="0"/>
    </xf>
    <xf numFmtId="0" fontId="18" fillId="15" borderId="141" applyFill="0" applyBorder="0" applyAlignment="0" applyProtection="0">
      <alignment vertical="center"/>
      <protection locked="0"/>
    </xf>
    <xf numFmtId="0" fontId="104" fillId="23" borderId="134" applyNumberFormat="0" applyAlignment="0" applyProtection="0"/>
    <xf numFmtId="0" fontId="59" fillId="38" borderId="134" applyNumberFormat="0" applyAlignment="0" applyProtection="0"/>
    <xf numFmtId="0" fontId="5" fillId="26" borderId="135" applyNumberFormat="0" applyFont="0" applyAlignment="0" applyProtection="0"/>
    <xf numFmtId="0" fontId="5" fillId="26" borderId="135" applyNumberFormat="0" applyFont="0" applyAlignment="0" applyProtection="0"/>
    <xf numFmtId="0" fontId="5" fillId="26" borderId="135" applyNumberFormat="0" applyFont="0" applyAlignment="0" applyProtection="0"/>
    <xf numFmtId="0" fontId="72" fillId="0" borderId="137" applyNumberFormat="0" applyFill="0" applyAlignment="0" applyProtection="0"/>
    <xf numFmtId="0" fontId="62" fillId="23" borderId="134" applyNumberFormat="0" applyAlignment="0" applyProtection="0"/>
    <xf numFmtId="0" fontId="110" fillId="38" borderId="136" applyNumberFormat="0" applyAlignment="0" applyProtection="0"/>
    <xf numFmtId="0" fontId="36" fillId="0" borderId="141" applyBorder="0">
      <alignment horizontal="left" vertical="center" wrapText="1" indent="3"/>
      <protection locked="0"/>
    </xf>
    <xf numFmtId="0" fontId="48" fillId="0" borderId="0"/>
    <xf numFmtId="10" fontId="36" fillId="16" borderId="138" applyNumberFormat="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5"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5" fillId="0" borderId="0"/>
    <xf numFmtId="0" fontId="37"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 fillId="0" borderId="0"/>
    <xf numFmtId="0" fontId="1" fillId="0" borderId="0"/>
    <xf numFmtId="43" fontId="1" fillId="0" borderId="0" applyFont="0" applyFill="0" applyBorder="0" applyAlignment="0" applyProtection="0"/>
    <xf numFmtId="0" fontId="1" fillId="0" borderId="0"/>
    <xf numFmtId="0" fontId="5" fillId="0" borderId="0"/>
    <xf numFmtId="0" fontId="1" fillId="0" borderId="0"/>
    <xf numFmtId="0" fontId="1" fillId="0" borderId="0"/>
    <xf numFmtId="166" fontId="49" fillId="0" borderId="0" applyFont="0" applyFill="0" applyBorder="0" applyAlignment="0" applyProtection="0"/>
    <xf numFmtId="43" fontId="1" fillId="0" borderId="0" applyFont="0" applyFill="0" applyBorder="0" applyAlignment="0" applyProtection="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9" fontId="49"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5"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5" fillId="0" borderId="0"/>
    <xf numFmtId="0" fontId="5" fillId="0" borderId="0"/>
    <xf numFmtId="0" fontId="1" fillId="0" borderId="0"/>
    <xf numFmtId="0" fontId="1" fillId="0" borderId="0"/>
    <xf numFmtId="43" fontId="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5" fillId="0" borderId="0" applyFont="0" applyFill="0" applyBorder="0" applyAlignment="0" applyProtection="0"/>
    <xf numFmtId="9" fontId="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5" fillId="0" borderId="0"/>
    <xf numFmtId="0" fontId="37" fillId="0" borderId="0"/>
    <xf numFmtId="166"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5" fillId="0" borderId="0">
      <alignment horizontal="centerContinuous" vertical="justify"/>
    </xf>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0" fontId="5" fillId="0" borderId="0" applyFont="0" applyFill="0" applyBorder="0" applyAlignment="0" applyProtection="0"/>
    <xf numFmtId="173" fontId="5" fillId="0" borderId="0" applyFont="0" applyFill="0" applyBorder="0" applyAlignment="0" applyProtection="0"/>
    <xf numFmtId="166" fontId="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3" fillId="0" borderId="0"/>
    <xf numFmtId="0" fontId="1" fillId="0" borderId="0"/>
    <xf numFmtId="43" fontId="1" fillId="0" borderId="0" applyFont="0" applyFill="0" applyBorder="0" applyAlignment="0" applyProtection="0"/>
    <xf numFmtId="0" fontId="53" fillId="0" borderId="0"/>
    <xf numFmtId="0" fontId="6" fillId="50"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58"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57" fillId="60" borderId="0" applyNumberFormat="0" applyBorder="0" applyAlignment="0" applyProtection="0"/>
    <xf numFmtId="0" fontId="57" fillId="57" borderId="0" applyNumberFormat="0" applyBorder="0" applyAlignment="0" applyProtection="0"/>
    <xf numFmtId="0" fontId="57" fillId="58" borderId="0" applyNumberFormat="0" applyBorder="0" applyAlignment="0" applyProtection="0"/>
    <xf numFmtId="0" fontId="57" fillId="61" borderId="0" applyNumberFormat="0" applyBorder="0" applyAlignment="0" applyProtection="0"/>
    <xf numFmtId="0" fontId="57" fillId="62" borderId="0" applyNumberFormat="0" applyBorder="0" applyAlignment="0" applyProtection="0"/>
    <xf numFmtId="0" fontId="57" fillId="63" borderId="0" applyNumberFormat="0" applyBorder="0" applyAlignment="0" applyProtection="0"/>
    <xf numFmtId="0" fontId="58" fillId="52" borderId="0" applyNumberFormat="0" applyBorder="0" applyAlignment="0" applyProtection="0"/>
    <xf numFmtId="0" fontId="59" fillId="64" borderId="149" applyNumberFormat="0" applyAlignment="0" applyProtection="0"/>
    <xf numFmtId="0" fontId="60" fillId="65" borderId="48" applyNumberFormat="0" applyAlignment="0" applyProtection="0"/>
    <xf numFmtId="0" fontId="61" fillId="0" borderId="49" applyNumberFormat="0" applyFill="0" applyAlignment="0" applyProtection="0"/>
    <xf numFmtId="0" fontId="57" fillId="66" borderId="0" applyNumberFormat="0" applyBorder="0" applyAlignment="0" applyProtection="0"/>
    <xf numFmtId="0" fontId="57" fillId="67" borderId="0" applyNumberFormat="0" applyBorder="0" applyAlignment="0" applyProtection="0"/>
    <xf numFmtId="0" fontId="57" fillId="68" borderId="0" applyNumberFormat="0" applyBorder="0" applyAlignment="0" applyProtection="0"/>
    <xf numFmtId="0" fontId="57" fillId="61" borderId="0" applyNumberFormat="0" applyBorder="0" applyAlignment="0" applyProtection="0"/>
    <xf numFmtId="0" fontId="57" fillId="62" borderId="0" applyNumberFormat="0" applyBorder="0" applyAlignment="0" applyProtection="0"/>
    <xf numFmtId="0" fontId="57" fillId="69" borderId="0" applyNumberFormat="0" applyBorder="0" applyAlignment="0" applyProtection="0"/>
    <xf numFmtId="0" fontId="62" fillId="55" borderId="149" applyNumberFormat="0" applyAlignment="0" applyProtection="0"/>
    <xf numFmtId="0" fontId="63" fillId="51" borderId="0" applyNumberFormat="0" applyBorder="0" applyAlignment="0" applyProtection="0"/>
    <xf numFmtId="0" fontId="64" fillId="70" borderId="0" applyNumberFormat="0" applyBorder="0" applyAlignment="0" applyProtection="0"/>
    <xf numFmtId="0" fontId="1" fillId="0" borderId="0"/>
    <xf numFmtId="0" fontId="53" fillId="0" borderId="0"/>
    <xf numFmtId="0" fontId="5" fillId="71" borderId="150" applyNumberFormat="0" applyAlignment="0" applyProtection="0"/>
    <xf numFmtId="0" fontId="65" fillId="64" borderId="151" applyNumberFormat="0" applyAlignment="0" applyProtection="0"/>
    <xf numFmtId="0" fontId="69" fillId="0" borderId="51" applyNumberFormat="0" applyFill="0" applyAlignment="0" applyProtection="0"/>
    <xf numFmtId="0" fontId="70" fillId="0" borderId="52" applyNumberFormat="0" applyFill="0" applyAlignment="0" applyProtection="0"/>
    <xf numFmtId="0" fontId="71" fillId="0" borderId="53" applyNumberFormat="0" applyFill="0" applyAlignment="0" applyProtection="0"/>
    <xf numFmtId="0" fontId="71" fillId="0" borderId="0" applyNumberFormat="0" applyFill="0" applyBorder="0" applyAlignment="0" applyProtection="0"/>
    <xf numFmtId="191" fontId="5" fillId="0" borderId="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9" fontId="48" fillId="0" borderId="0" applyFont="0" applyFill="0" applyBorder="0" applyAlignment="0" applyProtection="0"/>
    <xf numFmtId="0" fontId="48" fillId="0" borderId="0"/>
    <xf numFmtId="0" fontId="48" fillId="0" borderId="0"/>
    <xf numFmtId="0" fontId="5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62" fillId="29" borderId="156" applyNumberFormat="0" applyAlignment="0" applyProtection="0"/>
    <xf numFmtId="0" fontId="65" fillId="38" borderId="158" applyNumberFormat="0" applyAlignment="0" applyProtection="0"/>
    <xf numFmtId="0" fontId="5" fillId="26" borderId="157" applyNumberFormat="0" applyFont="0" applyAlignment="0" applyProtection="0"/>
    <xf numFmtId="0" fontId="62" fillId="29" borderId="156" applyNumberForma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101" fillId="38" borderId="156" applyNumberFormat="0" applyAlignment="0" applyProtection="0"/>
    <xf numFmtId="0" fontId="5" fillId="0" borderId="0"/>
    <xf numFmtId="0" fontId="5" fillId="26" borderId="150" applyNumberFormat="0" applyFont="0" applyAlignment="0" applyProtection="0"/>
    <xf numFmtId="43" fontId="5" fillId="0" borderId="0" applyFont="0" applyFill="0" applyBorder="0" applyAlignment="0" applyProtection="0"/>
    <xf numFmtId="0" fontId="101" fillId="38" borderId="156" applyNumberFormat="0" applyAlignment="0" applyProtection="0"/>
    <xf numFmtId="0" fontId="5" fillId="0" borderId="0"/>
    <xf numFmtId="0" fontId="5" fillId="0" borderId="0"/>
    <xf numFmtId="0" fontId="5" fillId="0" borderId="0"/>
    <xf numFmtId="0" fontId="5" fillId="0" borderId="0"/>
    <xf numFmtId="0" fontId="65" fillId="38" borderId="158" applyNumberFormat="0" applyAlignment="0" applyProtection="0"/>
    <xf numFmtId="0" fontId="5" fillId="26" borderId="150" applyNumberFormat="0" applyFont="0" applyAlignment="0" applyProtection="0"/>
    <xf numFmtId="166" fontId="5" fillId="0" borderId="0" applyFont="0" applyFill="0" applyBorder="0" applyAlignment="0" applyProtection="0"/>
    <xf numFmtId="0" fontId="5" fillId="26" borderId="150" applyNumberFormat="0" applyFont="0" applyAlignment="0" applyProtection="0"/>
    <xf numFmtId="43"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2" fillId="23" borderId="156"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6" fontId="35" fillId="0" borderId="0" applyFont="0" applyFill="0" applyBorder="0" applyAlignment="0" applyProtection="0"/>
    <xf numFmtId="0" fontId="5" fillId="26" borderId="157" applyNumberFormat="0" applyFont="0" applyAlignment="0" applyProtection="0"/>
    <xf numFmtId="0" fontId="6" fillId="26" borderId="157" applyNumberFormat="0" applyFont="0" applyAlignment="0" applyProtection="0"/>
    <xf numFmtId="43" fontId="5" fillId="0" borderId="0" applyFont="0" applyFill="0" applyBorder="0" applyAlignment="0" applyProtection="0"/>
    <xf numFmtId="43" fontId="1" fillId="0" borderId="0" applyFont="0" applyFill="0" applyBorder="0" applyAlignment="0" applyProtection="0"/>
    <xf numFmtId="0" fontId="104" fillId="23" borderId="156" applyNumberFormat="0" applyAlignment="0" applyProtection="0"/>
    <xf numFmtId="166" fontId="5" fillId="0" borderId="0" applyFont="0" applyFill="0" applyBorder="0" applyAlignment="0" applyProtection="0"/>
    <xf numFmtId="0" fontId="5" fillId="26" borderId="150" applyNumberFormat="0" applyFont="0" applyAlignment="0" applyProtection="0"/>
    <xf numFmtId="0" fontId="5" fillId="26" borderId="150" applyNumberFormat="0" applyFont="0" applyAlignment="0" applyProtection="0"/>
    <xf numFmtId="166"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0" fontId="116" fillId="0" borderId="159" applyNumberFormat="0" applyFill="0" applyAlignment="0" applyProtection="0"/>
    <xf numFmtId="0" fontId="62" fillId="29" borderId="156" applyNumberFormat="0" applyAlignment="0" applyProtection="0"/>
    <xf numFmtId="0" fontId="6" fillId="26" borderId="157" applyNumberFormat="0" applyFont="0" applyAlignment="0" applyProtection="0"/>
    <xf numFmtId="166" fontId="5" fillId="0" borderId="0" applyFont="0" applyFill="0" applyBorder="0" applyAlignment="0" applyProtection="0"/>
    <xf numFmtId="166" fontId="5" fillId="0" borderId="0" applyFont="0" applyFill="0" applyBorder="0" applyAlignment="0" applyProtection="0"/>
    <xf numFmtId="0" fontId="62" fillId="23" borderId="156" applyNumberFormat="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3" fontId="1"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3" fontId="1"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9" fillId="38" borderId="152" applyNumberFormat="0" applyAlignment="0" applyProtection="0"/>
    <xf numFmtId="0" fontId="73" fillId="39" borderId="152"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2" fillId="29" borderId="152" applyNumberFormat="0" applyAlignment="0" applyProtection="0"/>
    <xf numFmtId="0" fontId="5" fillId="0" borderId="0"/>
    <xf numFmtId="0" fontId="5" fillId="0" borderId="0"/>
    <xf numFmtId="0" fontId="62" fillId="23" borderId="152" applyNumberFormat="0" applyAlignment="0" applyProtection="0"/>
    <xf numFmtId="43" fontId="35" fillId="0" borderId="0" applyFont="0" applyFill="0" applyBorder="0" applyAlignment="0" applyProtection="0"/>
    <xf numFmtId="166" fontId="5" fillId="0" borderId="0" applyFont="0" applyFill="0" applyBorder="0" applyAlignment="0" applyProtection="0"/>
    <xf numFmtId="0" fontId="5" fillId="26" borderId="153" applyNumberFormat="0" applyFont="0" applyAlignment="0" applyProtection="0"/>
    <xf numFmtId="0" fontId="6" fillId="26" borderId="153" applyNumberFormat="0" applyFont="0" applyAlignment="0" applyProtection="0"/>
    <xf numFmtId="0" fontId="65" fillId="38" borderId="154" applyNumberFormat="0" applyAlignment="0" applyProtection="0"/>
    <xf numFmtId="0" fontId="65" fillId="39" borderId="154" applyNumberFormat="0" applyAlignment="0" applyProtection="0"/>
    <xf numFmtId="0" fontId="72" fillId="0" borderId="155" applyNumberFormat="0" applyFill="0" applyAlignment="0" applyProtection="0"/>
    <xf numFmtId="0" fontId="5" fillId="26" borderId="157" applyNumberFormat="0" applyFont="0" applyAlignment="0" applyProtection="0"/>
    <xf numFmtId="0" fontId="65" fillId="38" borderId="158"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0" fontId="6" fillId="26" borderId="150" applyNumberFormat="0" applyFont="0" applyAlignment="0" applyProtection="0"/>
    <xf numFmtId="0" fontId="5" fillId="26" borderId="150" applyNumberFormat="0" applyFont="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16" fillId="0" borderId="159" applyNumberFormat="0" applyFill="0" applyAlignment="0" applyProtection="0"/>
    <xf numFmtId="166" fontId="5" fillId="0" borderId="0" applyFont="0" applyFill="0" applyBorder="0" applyAlignment="0" applyProtection="0"/>
    <xf numFmtId="166" fontId="5" fillId="0" borderId="0" applyFont="0" applyFill="0" applyBorder="0" applyAlignment="0" applyProtection="0"/>
    <xf numFmtId="0" fontId="110" fillId="38" borderId="158" applyNumberFormat="0" applyAlignment="0" applyProtection="0"/>
    <xf numFmtId="43" fontId="5" fillId="0" borderId="0" applyFont="0" applyFill="0" applyBorder="0" applyAlignment="0" applyProtection="0"/>
    <xf numFmtId="0" fontId="116" fillId="0" borderId="159" applyNumberFormat="0" applyFill="0" applyAlignment="0" applyProtection="0"/>
    <xf numFmtId="0" fontId="110" fillId="38" borderId="158" applyNumberFormat="0" applyAlignment="0" applyProtection="0"/>
    <xf numFmtId="0" fontId="5" fillId="0" borderId="0"/>
    <xf numFmtId="9" fontId="6" fillId="0" borderId="0" applyFont="0" applyFill="0" applyBorder="0" applyAlignment="0" applyProtection="0"/>
    <xf numFmtId="166" fontId="5" fillId="0" borderId="0" applyFont="0" applyFill="0" applyBorder="0" applyAlignment="0" applyProtection="0"/>
    <xf numFmtId="43" fontId="6" fillId="0" borderId="0" applyFont="0" applyFill="0" applyBorder="0" applyAlignment="0" applyProtection="0"/>
    <xf numFmtId="166" fontId="35" fillId="0" borderId="0" applyFont="0" applyFill="0" applyBorder="0" applyAlignment="0" applyProtection="0"/>
    <xf numFmtId="0" fontId="62" fillId="23" borderId="156" applyNumberFormat="0" applyAlignment="0" applyProtection="0"/>
    <xf numFmtId="166" fontId="5" fillId="0" borderId="0" applyFont="0" applyFill="0" applyBorder="0" applyAlignment="0" applyProtection="0"/>
    <xf numFmtId="166" fontId="35" fillId="0" borderId="0" applyFont="0" applyFill="0" applyBorder="0" applyAlignment="0" applyProtection="0"/>
    <xf numFmtId="0" fontId="5" fillId="0" borderId="0"/>
    <xf numFmtId="43" fontId="35" fillId="0" borderId="0" applyFont="0" applyFill="0" applyBorder="0" applyAlignment="0" applyProtection="0"/>
    <xf numFmtId="0" fontId="5" fillId="26" borderId="150" applyNumberFormat="0" applyFont="0" applyAlignment="0" applyProtection="0"/>
    <xf numFmtId="0" fontId="5" fillId="26" borderId="150" applyNumberFormat="0" applyFont="0" applyAlignment="0" applyProtection="0"/>
    <xf numFmtId="0" fontId="5" fillId="26" borderId="150" applyNumberFormat="0" applyFont="0" applyAlignment="0" applyProtection="0"/>
    <xf numFmtId="0" fontId="5" fillId="26" borderId="150" applyNumberFormat="0" applyFont="0" applyAlignment="0" applyProtection="0"/>
    <xf numFmtId="0" fontId="5" fillId="26" borderId="150" applyNumberFormat="0" applyFont="0" applyAlignment="0" applyProtection="0"/>
    <xf numFmtId="0" fontId="5" fillId="26" borderId="150" applyNumberFormat="0" applyFont="0" applyAlignment="0" applyProtection="0"/>
    <xf numFmtId="0" fontId="5" fillId="0" borderId="0"/>
    <xf numFmtId="166" fontId="5" fillId="0" borderId="0" applyFont="0" applyFill="0" applyBorder="0" applyAlignment="0" applyProtection="0"/>
    <xf numFmtId="0" fontId="73" fillId="39" borderId="156" applyNumberFormat="0" applyAlignment="0" applyProtection="0"/>
    <xf numFmtId="0" fontId="72" fillId="0" borderId="159" applyNumberFormat="0" applyFill="0" applyAlignment="0" applyProtection="0"/>
    <xf numFmtId="43" fontId="1"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4" fontId="49" fillId="0" borderId="0" applyFont="0" applyFill="0" applyBorder="0" applyAlignment="0" applyProtection="0"/>
    <xf numFmtId="166" fontId="5" fillId="0" borderId="0" applyFont="0" applyFill="0" applyBorder="0" applyAlignment="0" applyProtection="0"/>
    <xf numFmtId="0" fontId="62" fillId="23" borderId="156" applyNumberFormat="0" applyAlignment="0" applyProtection="0"/>
    <xf numFmtId="43" fontId="1" fillId="0" borderId="0" applyFont="0" applyFill="0" applyBorder="0" applyAlignment="0" applyProtection="0"/>
    <xf numFmtId="0" fontId="73" fillId="39" borderId="156" applyNumberFormat="0" applyAlignment="0" applyProtection="0"/>
    <xf numFmtId="166" fontId="5" fillId="0" borderId="0" applyFont="0" applyFill="0" applyBorder="0" applyAlignment="0" applyProtection="0"/>
    <xf numFmtId="43" fontId="5" fillId="0" borderId="0" applyFont="0" applyFill="0" applyBorder="0" applyAlignment="0" applyProtection="0"/>
    <xf numFmtId="166" fontId="5" fillId="0" borderId="0" applyFont="0" applyFill="0" applyBorder="0" applyAlignment="0" applyProtection="0"/>
    <xf numFmtId="0" fontId="6" fillId="26" borderId="150" applyNumberFormat="0" applyFont="0" applyAlignment="0" applyProtection="0"/>
    <xf numFmtId="0" fontId="104" fillId="23" borderId="156" applyNumberFormat="0" applyAlignment="0" applyProtection="0"/>
    <xf numFmtId="0" fontId="59" fillId="38" borderId="156"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0" fontId="62" fillId="23" borderId="156" applyNumberFormat="0" applyAlignment="0" applyProtection="0"/>
    <xf numFmtId="0" fontId="5" fillId="26" borderId="157" applyNumberFormat="0" applyFont="0" applyAlignment="0" applyProtection="0"/>
    <xf numFmtId="43" fontId="1" fillId="0" borderId="0" applyFont="0" applyFill="0" applyBorder="0" applyAlignment="0" applyProtection="0"/>
    <xf numFmtId="44" fontId="5" fillId="0" borderId="0" applyFont="0" applyFill="0" applyBorder="0" applyAlignment="0" applyProtection="0"/>
    <xf numFmtId="0" fontId="101" fillId="38" borderId="156" applyNumberFormat="0" applyAlignment="0" applyProtection="0"/>
    <xf numFmtId="43" fontId="6" fillId="0" borderId="0" applyFont="0" applyFill="0" applyBorder="0" applyAlignment="0" applyProtection="0"/>
    <xf numFmtId="43" fontId="5" fillId="0" borderId="0" applyFont="0" applyFill="0" applyBorder="0" applyAlignment="0" applyProtection="0"/>
    <xf numFmtId="0" fontId="5" fillId="0" borderId="0"/>
    <xf numFmtId="0" fontId="72" fillId="0" borderId="159" applyNumberFormat="0" applyFill="0" applyAlignment="0" applyProtection="0"/>
    <xf numFmtId="0" fontId="5" fillId="0" borderId="0"/>
    <xf numFmtId="0" fontId="5" fillId="0" borderId="0"/>
    <xf numFmtId="166" fontId="5" fillId="0" borderId="0" applyFont="0" applyFill="0" applyBorder="0" applyAlignment="0" applyProtection="0"/>
    <xf numFmtId="0" fontId="5" fillId="0" borderId="0"/>
    <xf numFmtId="43" fontId="1" fillId="0" borderId="0" applyFont="0" applyFill="0" applyBorder="0" applyAlignment="0" applyProtection="0"/>
    <xf numFmtId="0" fontId="6" fillId="26" borderId="150" applyNumberFormat="0" applyFont="0" applyAlignment="0" applyProtection="0"/>
    <xf numFmtId="166"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0" fontId="5" fillId="0" borderId="0"/>
    <xf numFmtId="43" fontId="35" fillId="0" borderId="0" applyFont="0" applyFill="0" applyBorder="0" applyAlignment="0" applyProtection="0"/>
    <xf numFmtId="166" fontId="35" fillId="0" borderId="0" applyFont="0" applyFill="0" applyBorder="0" applyAlignment="0" applyProtection="0"/>
    <xf numFmtId="166"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6" fillId="26" borderId="150" applyNumberFormat="0" applyFont="0" applyAlignment="0" applyProtection="0"/>
    <xf numFmtId="166" fontId="5" fillId="0" borderId="0" applyFont="0" applyFill="0" applyBorder="0" applyAlignment="0" applyProtection="0"/>
    <xf numFmtId="0" fontId="5" fillId="26" borderId="153" applyNumberFormat="0" applyFont="0" applyAlignment="0" applyProtection="0"/>
    <xf numFmtId="0" fontId="5" fillId="26" borderId="157" applyNumberFormat="0" applyFont="0" applyAlignment="0" applyProtection="0"/>
    <xf numFmtId="0" fontId="5" fillId="0" borderId="0"/>
    <xf numFmtId="43" fontId="5" fillId="0" borderId="0" applyFont="0" applyFill="0" applyBorder="0" applyAlignment="0" applyProtection="0"/>
    <xf numFmtId="166" fontId="35" fillId="0" borderId="0" applyFont="0" applyFill="0" applyBorder="0" applyAlignment="0" applyProtection="0"/>
    <xf numFmtId="166" fontId="5" fillId="0" borderId="0" applyFont="0" applyFill="0" applyBorder="0" applyAlignment="0" applyProtection="0"/>
    <xf numFmtId="0" fontId="110" fillId="38" borderId="158" applyNumberFormat="0" applyAlignment="0" applyProtection="0"/>
    <xf numFmtId="191" fontId="5"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62" fillId="29" borderId="156" applyNumberFormat="0" applyAlignment="0" applyProtection="0"/>
    <xf numFmtId="0" fontId="5" fillId="0" borderId="0"/>
    <xf numFmtId="166"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5" fillId="0" borderId="0"/>
    <xf numFmtId="43" fontId="1" fillId="0" borderId="0" applyFont="0" applyFill="0" applyBorder="0" applyAlignment="0" applyProtection="0"/>
    <xf numFmtId="0" fontId="5" fillId="26" borderId="157" applyNumberFormat="0" applyFont="0" applyAlignment="0" applyProtection="0"/>
    <xf numFmtId="0" fontId="1" fillId="0" borderId="0"/>
    <xf numFmtId="43" fontId="109" fillId="0" borderId="0" applyFont="0" applyFill="0" applyBorder="0" applyAlignment="0" applyProtection="0"/>
    <xf numFmtId="166" fontId="5" fillId="0" borderId="0" applyFont="0" applyFill="0" applyBorder="0" applyAlignment="0" applyProtection="0"/>
    <xf numFmtId="0" fontId="1" fillId="0" borderId="0"/>
    <xf numFmtId="165" fontId="5" fillId="0" borderId="0" applyFont="0" applyFill="0" applyBorder="0" applyAlignment="0" applyProtection="0"/>
    <xf numFmtId="0" fontId="5" fillId="0" borderId="0"/>
    <xf numFmtId="0" fontId="5" fillId="0" borderId="0"/>
    <xf numFmtId="0" fontId="5" fillId="0" borderId="0"/>
    <xf numFmtId="43" fontId="3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72" fillId="0" borderId="159" applyNumberFormat="0" applyFill="0" applyAlignment="0" applyProtection="0"/>
    <xf numFmtId="166"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5" fillId="26" borderId="153" applyNumberFormat="0" applyFont="0" applyAlignment="0" applyProtection="0"/>
    <xf numFmtId="0" fontId="5" fillId="26" borderId="153" applyNumberFormat="0" applyFont="0" applyAlignment="0" applyProtection="0"/>
    <xf numFmtId="43" fontId="5" fillId="0" borderId="0" applyFont="0" applyFill="0" applyBorder="0" applyAlignment="0" applyProtection="0"/>
    <xf numFmtId="9" fontId="109" fillId="0" borderId="0" applyFont="0" applyFill="0" applyBorder="0" applyAlignment="0" applyProtection="0"/>
    <xf numFmtId="166"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88" fontId="46" fillId="0" borderId="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166" fontId="5" fillId="0" borderId="0" applyFont="0" applyFill="0" applyBorder="0" applyAlignment="0" applyProtection="0"/>
    <xf numFmtId="43" fontId="10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0" fontId="5" fillId="26" borderId="157" applyNumberFormat="0" applyFont="0" applyAlignment="0" applyProtection="0"/>
    <xf numFmtId="0" fontId="110" fillId="38" borderId="158" applyNumberFormat="0" applyAlignment="0" applyProtection="0"/>
    <xf numFmtId="0" fontId="104" fillId="23" borderId="156" applyNumberFormat="0" applyAlignment="0" applyProtection="0"/>
    <xf numFmtId="0" fontId="5" fillId="26" borderId="157" applyNumberFormat="0" applyFont="0" applyAlignment="0" applyProtection="0"/>
    <xf numFmtId="0" fontId="73" fillId="39" borderId="156" applyNumberFormat="0" applyAlignment="0" applyProtection="0"/>
    <xf numFmtId="0" fontId="59" fillId="38" borderId="156" applyNumberFormat="0" applyAlignment="0" applyProtection="0"/>
    <xf numFmtId="0" fontId="73" fillId="39" borderId="156" applyNumberFormat="0" applyAlignment="0" applyProtection="0"/>
    <xf numFmtId="0" fontId="5" fillId="26" borderId="157" applyNumberFormat="0" applyFont="0" applyAlignment="0" applyProtection="0"/>
    <xf numFmtId="0" fontId="62" fillId="23" borderId="156" applyNumberFormat="0" applyAlignment="0" applyProtection="0"/>
    <xf numFmtId="0" fontId="65" fillId="38" borderId="158" applyNumberFormat="0" applyAlignment="0" applyProtection="0"/>
    <xf numFmtId="0" fontId="59" fillId="38" borderId="156" applyNumberFormat="0" applyAlignment="0" applyProtection="0"/>
    <xf numFmtId="0" fontId="110" fillId="38" borderId="158" applyNumberFormat="0" applyAlignment="0" applyProtection="0"/>
    <xf numFmtId="0" fontId="116" fillId="0" borderId="159" applyNumberFormat="0" applyFill="0" applyAlignment="0" applyProtection="0"/>
    <xf numFmtId="0" fontId="101" fillId="38" borderId="156" applyNumberFormat="0" applyAlignment="0" applyProtection="0"/>
    <xf numFmtId="0" fontId="62" fillId="29" borderId="156" applyNumberFormat="0" applyAlignment="0" applyProtection="0"/>
    <xf numFmtId="0" fontId="6"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110" fillId="38" borderId="158" applyNumberFormat="0" applyAlignment="0" applyProtection="0"/>
    <xf numFmtId="0" fontId="5" fillId="26" borderId="157" applyNumberFormat="0" applyFont="0" applyAlignment="0" applyProtection="0"/>
    <xf numFmtId="0" fontId="62" fillId="23" borderId="156" applyNumberFormat="0" applyAlignment="0" applyProtection="0"/>
    <xf numFmtId="0" fontId="62" fillId="23" borderId="156" applyNumberFormat="0" applyAlignment="0" applyProtection="0"/>
    <xf numFmtId="0" fontId="65" fillId="38" borderId="158" applyNumberFormat="0" applyAlignment="0" applyProtection="0"/>
    <xf numFmtId="0" fontId="72" fillId="0" borderId="159" applyNumberFormat="0" applyFill="0" applyAlignment="0" applyProtection="0"/>
    <xf numFmtId="0" fontId="110" fillId="38" borderId="158" applyNumberFormat="0" applyAlignment="0" applyProtection="0"/>
    <xf numFmtId="0" fontId="72" fillId="0" borderId="159" applyNumberFormat="0" applyFill="0" applyAlignment="0" applyProtection="0"/>
    <xf numFmtId="0" fontId="6" fillId="26" borderId="157" applyNumberFormat="0" applyFont="0" applyAlignment="0" applyProtection="0"/>
    <xf numFmtId="0" fontId="5" fillId="26" borderId="157" applyNumberFormat="0" applyFont="0" applyAlignment="0" applyProtection="0"/>
    <xf numFmtId="0" fontId="65" fillId="39" borderId="158" applyNumberFormat="0" applyAlignment="0" applyProtection="0"/>
    <xf numFmtId="0" fontId="104" fillId="23" borderId="156" applyNumberFormat="0" applyAlignment="0" applyProtection="0"/>
    <xf numFmtId="0" fontId="73" fillId="39" borderId="156" applyNumberFormat="0" applyAlignment="0" applyProtection="0"/>
    <xf numFmtId="0" fontId="5" fillId="26" borderId="157" applyNumberFormat="0" applyFont="0" applyAlignment="0" applyProtection="0"/>
    <xf numFmtId="0" fontId="6" fillId="26" borderId="157" applyNumberFormat="0" applyFont="0" applyAlignment="0" applyProtection="0"/>
    <xf numFmtId="0" fontId="65" fillId="39" borderId="158" applyNumberFormat="0" applyAlignment="0" applyProtection="0"/>
    <xf numFmtId="0" fontId="59" fillId="38" borderId="156" applyNumberFormat="0" applyAlignment="0" applyProtection="0"/>
    <xf numFmtId="0" fontId="5" fillId="26" borderId="157" applyNumberFormat="0" applyFont="0" applyAlignment="0" applyProtection="0"/>
    <xf numFmtId="0" fontId="104" fillId="23" borderId="156" applyNumberFormat="0" applyAlignment="0" applyProtection="0"/>
    <xf numFmtId="0" fontId="5" fillId="26" borderId="157"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62" fillId="23" borderId="156" applyNumberFormat="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166"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72" fillId="0" borderId="159" applyNumberFormat="0" applyFill="0" applyAlignment="0" applyProtection="0"/>
    <xf numFmtId="166" fontId="5" fillId="0" borderId="0" applyFont="0" applyFill="0" applyBorder="0" applyAlignment="0" applyProtection="0"/>
    <xf numFmtId="0" fontId="6" fillId="26" borderId="157" applyNumberFormat="0" applyFont="0" applyAlignment="0" applyProtection="0"/>
    <xf numFmtId="0" fontId="65" fillId="38" borderId="158" applyNumberFormat="0" applyAlignment="0" applyProtection="0"/>
    <xf numFmtId="166" fontId="5" fillId="0" borderId="0" applyFont="0" applyFill="0" applyBorder="0" applyAlignment="0" applyProtection="0"/>
    <xf numFmtId="0" fontId="5" fillId="0" borderId="0"/>
    <xf numFmtId="0" fontId="5" fillId="0" borderId="0"/>
    <xf numFmtId="0" fontId="5" fillId="0" borderId="0"/>
    <xf numFmtId="0" fontId="5" fillId="0" borderId="0"/>
    <xf numFmtId="0" fontId="101" fillId="38" borderId="156" applyNumberFormat="0" applyAlignment="0" applyProtection="0"/>
    <xf numFmtId="0" fontId="5" fillId="0" borderId="0"/>
    <xf numFmtId="166" fontId="3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6" fontId="36" fillId="0" borderId="0"/>
    <xf numFmtId="43" fontId="5" fillId="0" borderId="0" applyFont="0" applyFill="0" applyBorder="0" applyAlignment="0" applyProtection="0"/>
    <xf numFmtId="0" fontId="5" fillId="26" borderId="157" applyNumberFormat="0" applyFont="0" applyAlignment="0" applyProtection="0"/>
    <xf numFmtId="166"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166" fontId="5" fillId="0" borderId="0" applyFont="0" applyFill="0" applyBorder="0" applyAlignment="0" applyProtection="0"/>
    <xf numFmtId="0" fontId="5" fillId="0" borderId="0"/>
    <xf numFmtId="0" fontId="5" fillId="0" borderId="0"/>
    <xf numFmtId="43" fontId="1" fillId="0" borderId="0" applyFont="0" applyFill="0" applyBorder="0" applyAlignment="0" applyProtection="0"/>
    <xf numFmtId="0" fontId="104" fillId="23" borderId="156" applyNumberFormat="0" applyAlignment="0" applyProtection="0"/>
    <xf numFmtId="0" fontId="5" fillId="26" borderId="157" applyNumberFormat="0" applyFont="0" applyAlignment="0" applyProtection="0"/>
    <xf numFmtId="0" fontId="65" fillId="39" borderId="158" applyNumberFormat="0" applyAlignment="0" applyProtection="0"/>
    <xf numFmtId="0" fontId="65" fillId="39" borderId="158" applyNumberFormat="0" applyAlignment="0" applyProtection="0"/>
    <xf numFmtId="43" fontId="3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73" fillId="39" borderId="156" applyNumberFormat="0" applyAlignment="0" applyProtection="0"/>
    <xf numFmtId="0" fontId="5" fillId="0" borderId="0"/>
    <xf numFmtId="0" fontId="5" fillId="0" borderId="0"/>
    <xf numFmtId="0" fontId="5" fillId="0" borderId="0"/>
    <xf numFmtId="0" fontId="5" fillId="0" borderId="0"/>
    <xf numFmtId="0" fontId="5" fillId="0" borderId="0"/>
    <xf numFmtId="0" fontId="1" fillId="0" borderId="0"/>
    <xf numFmtId="43" fontId="6" fillId="0" borderId="0" applyFont="0" applyFill="0" applyBorder="0" applyAlignment="0" applyProtection="0"/>
    <xf numFmtId="9" fontId="6" fillId="0" borderId="0" applyFont="0" applyFill="0" applyBorder="0" applyAlignment="0" applyProtection="0"/>
    <xf numFmtId="0" fontId="5" fillId="26" borderId="150" applyNumberFormat="0" applyFont="0" applyAlignment="0" applyProtection="0"/>
    <xf numFmtId="0" fontId="5" fillId="26" borderId="150" applyNumberFormat="0" applyFont="0" applyAlignment="0" applyProtection="0"/>
    <xf numFmtId="0" fontId="5" fillId="26" borderId="150" applyNumberFormat="0" applyFont="0" applyAlignment="0" applyProtection="0"/>
    <xf numFmtId="0" fontId="5" fillId="26" borderId="150" applyNumberFormat="0" applyFont="0" applyAlignment="0" applyProtection="0"/>
    <xf numFmtId="0" fontId="5" fillId="26" borderId="150" applyNumberFormat="0" applyFont="0" applyAlignment="0" applyProtection="0"/>
    <xf numFmtId="0" fontId="6" fillId="26" borderId="150" applyNumberFormat="0" applyFont="0" applyAlignment="0" applyProtection="0"/>
    <xf numFmtId="0" fontId="5" fillId="26" borderId="150" applyNumberFormat="0" applyFont="0" applyAlignment="0" applyProtection="0"/>
    <xf numFmtId="0" fontId="5" fillId="26" borderId="150" applyNumberFormat="0" applyFont="0" applyAlignment="0" applyProtection="0"/>
    <xf numFmtId="0" fontId="5" fillId="26" borderId="150" applyNumberFormat="0" applyFont="0" applyAlignment="0" applyProtection="0"/>
    <xf numFmtId="0" fontId="5" fillId="26" borderId="150" applyNumberFormat="0" applyFont="0" applyAlignment="0" applyProtection="0"/>
    <xf numFmtId="0" fontId="5" fillId="26" borderId="150" applyNumberFormat="0" applyFont="0" applyAlignment="0" applyProtection="0"/>
    <xf numFmtId="0" fontId="5" fillId="26" borderId="150" applyNumberFormat="0" applyFont="0" applyAlignment="0" applyProtection="0"/>
    <xf numFmtId="0" fontId="6" fillId="26" borderId="150" applyNumberFormat="0" applyFont="0" applyAlignment="0" applyProtection="0"/>
    <xf numFmtId="0" fontId="5" fillId="26" borderId="150" applyNumberFormat="0" applyFont="0" applyAlignment="0" applyProtection="0"/>
    <xf numFmtId="0" fontId="5" fillId="26" borderId="150" applyNumberFormat="0" applyFont="0" applyAlignment="0" applyProtection="0"/>
    <xf numFmtId="0" fontId="5" fillId="26" borderId="150" applyNumberFormat="0" applyFont="0" applyAlignment="0" applyProtection="0"/>
    <xf numFmtId="0" fontId="6" fillId="26" borderId="150" applyNumberFormat="0" applyFont="0" applyAlignment="0" applyProtection="0"/>
    <xf numFmtId="0" fontId="6" fillId="26" borderId="150" applyNumberFormat="0" applyFont="0" applyAlignment="0" applyProtection="0"/>
    <xf numFmtId="0" fontId="5" fillId="26" borderId="150" applyNumberFormat="0" applyFont="0" applyAlignment="0" applyProtection="0"/>
    <xf numFmtId="0" fontId="6" fillId="26" borderId="150" applyNumberFormat="0" applyFont="0" applyAlignment="0" applyProtection="0"/>
    <xf numFmtId="0" fontId="6" fillId="26" borderId="150" applyNumberFormat="0" applyFont="0" applyAlignment="0" applyProtection="0"/>
    <xf numFmtId="0" fontId="5" fillId="26" borderId="150" applyNumberFormat="0" applyFont="0" applyAlignment="0" applyProtection="0"/>
    <xf numFmtId="0" fontId="5" fillId="26" borderId="150" applyNumberFormat="0" applyFont="0" applyAlignment="0" applyProtection="0"/>
    <xf numFmtId="0" fontId="5" fillId="26" borderId="150" applyNumberFormat="0" applyFont="0" applyAlignment="0" applyProtection="0"/>
    <xf numFmtId="0" fontId="6" fillId="26" borderId="150" applyNumberFormat="0" applyFont="0" applyAlignment="0" applyProtection="0"/>
    <xf numFmtId="0" fontId="5" fillId="26" borderId="150" applyNumberFormat="0" applyFont="0" applyAlignment="0" applyProtection="0"/>
    <xf numFmtId="0" fontId="6" fillId="26" borderId="150" applyNumberFormat="0" applyFont="0" applyAlignment="0" applyProtection="0"/>
    <xf numFmtId="0" fontId="5" fillId="26" borderId="150" applyNumberFormat="0" applyFont="0" applyAlignment="0" applyProtection="0"/>
    <xf numFmtId="165" fontId="5" fillId="0" borderId="0" applyFont="0" applyFill="0" applyBorder="0" applyAlignment="0" applyProtection="0"/>
    <xf numFmtId="0" fontId="5" fillId="0" borderId="0"/>
    <xf numFmtId="0" fontId="5" fillId="0" borderId="0"/>
    <xf numFmtId="166" fontId="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5" fillId="0" borderId="0" applyFont="0" applyFill="0" applyBorder="0" applyAlignment="0" applyProtection="0"/>
    <xf numFmtId="43" fontId="6"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0" fontId="6" fillId="26" borderId="157" applyNumberFormat="0" applyFont="0" applyAlignment="0" applyProtection="0"/>
    <xf numFmtId="0" fontId="101" fillId="38" borderId="156" applyNumberFormat="0" applyAlignment="0" applyProtection="0"/>
    <xf numFmtId="0" fontId="5" fillId="26" borderId="157" applyNumberFormat="0" applyFont="0" applyAlignment="0" applyProtection="0"/>
    <xf numFmtId="44" fontId="5" fillId="0" borderId="0" applyFont="0" applyFill="0" applyBorder="0" applyAlignment="0" applyProtection="0"/>
    <xf numFmtId="43" fontId="1" fillId="0" borderId="0" applyFont="0" applyFill="0" applyBorder="0" applyAlignment="0" applyProtection="0"/>
    <xf numFmtId="0" fontId="62" fillId="23" borderId="156" applyNumberFormat="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65" fillId="39" borderId="158" applyNumberFormat="0" applyAlignment="0" applyProtection="0"/>
    <xf numFmtId="0" fontId="5" fillId="26" borderId="157" applyNumberFormat="0" applyFont="0" applyAlignment="0" applyProtection="0"/>
    <xf numFmtId="0" fontId="65" fillId="39" borderId="158" applyNumberFormat="0" applyAlignment="0" applyProtection="0"/>
    <xf numFmtId="0" fontId="65" fillId="38" borderId="158" applyNumberFormat="0" applyAlignment="0" applyProtection="0"/>
    <xf numFmtId="0" fontId="62" fillId="23" borderId="156" applyNumberFormat="0" applyAlignment="0" applyProtection="0"/>
    <xf numFmtId="0" fontId="65" fillId="39" borderId="158" applyNumberFormat="0" applyAlignment="0" applyProtection="0"/>
    <xf numFmtId="0" fontId="5" fillId="26" borderId="157" applyNumberFormat="0" applyFont="0" applyAlignment="0" applyProtection="0"/>
    <xf numFmtId="0" fontId="65" fillId="38" borderId="158" applyNumberFormat="0" applyAlignment="0" applyProtection="0"/>
    <xf numFmtId="0" fontId="5" fillId="26" borderId="150" applyNumberFormat="0" applyFont="0" applyAlignment="0" applyProtection="0"/>
    <xf numFmtId="0" fontId="5" fillId="26" borderId="150" applyNumberFormat="0" applyFont="0" applyAlignment="0" applyProtection="0"/>
    <xf numFmtId="0" fontId="5" fillId="26" borderId="150" applyNumberFormat="0" applyFont="0" applyAlignment="0" applyProtection="0"/>
    <xf numFmtId="0" fontId="5" fillId="26" borderId="150" applyNumberFormat="0" applyFont="0" applyAlignment="0" applyProtection="0"/>
    <xf numFmtId="0" fontId="5" fillId="26" borderId="150" applyNumberFormat="0" applyFont="0" applyAlignment="0" applyProtection="0"/>
    <xf numFmtId="0" fontId="5" fillId="26" borderId="150" applyNumberFormat="0" applyFont="0" applyAlignment="0" applyProtection="0"/>
    <xf numFmtId="0" fontId="5" fillId="26" borderId="150" applyNumberFormat="0" applyFont="0" applyAlignment="0" applyProtection="0"/>
    <xf numFmtId="0" fontId="5" fillId="26" borderId="150" applyNumberFormat="0" applyFont="0" applyAlignment="0" applyProtection="0"/>
    <xf numFmtId="0" fontId="5" fillId="26" borderId="150" applyNumberFormat="0" applyFont="0" applyAlignment="0" applyProtection="0"/>
    <xf numFmtId="0" fontId="5" fillId="26" borderId="150" applyNumberFormat="0" applyFont="0" applyAlignment="0" applyProtection="0"/>
    <xf numFmtId="0" fontId="5" fillId="26" borderId="150" applyNumberFormat="0" applyFont="0" applyAlignment="0" applyProtection="0"/>
    <xf numFmtId="0" fontId="5" fillId="26" borderId="150" applyNumberFormat="0" applyFont="0" applyAlignment="0" applyProtection="0"/>
    <xf numFmtId="0" fontId="101" fillId="38" borderId="156" applyNumberFormat="0" applyAlignment="0" applyProtection="0"/>
    <xf numFmtId="165" fontId="5" fillId="0" borderId="0" applyFont="0" applyFill="0" applyBorder="0" applyAlignment="0" applyProtection="0"/>
    <xf numFmtId="0" fontId="5" fillId="26" borderId="150" applyNumberFormat="0" applyFont="0" applyAlignment="0" applyProtection="0"/>
    <xf numFmtId="166" fontId="49" fillId="0" borderId="0" applyFont="0" applyFill="0" applyBorder="0" applyAlignment="0" applyProtection="0"/>
    <xf numFmtId="0" fontId="5" fillId="26" borderId="157" applyNumberFormat="0" applyFont="0" applyAlignment="0" applyProtection="0"/>
    <xf numFmtId="0" fontId="5" fillId="26" borderId="157" applyNumberFormat="0" applyFont="0" applyAlignment="0" applyProtection="0"/>
    <xf numFmtId="0" fontId="110" fillId="38" borderId="158" applyNumberFormat="0" applyAlignment="0" applyProtection="0"/>
    <xf numFmtId="0" fontId="5" fillId="26" borderId="157" applyNumberFormat="0" applyFont="0" applyAlignment="0" applyProtection="0"/>
    <xf numFmtId="166" fontId="5" fillId="0" borderId="0" applyFont="0" applyFill="0" applyBorder="0" applyAlignment="0" applyProtection="0"/>
    <xf numFmtId="166" fontId="35" fillId="0" borderId="0" applyFont="0" applyFill="0" applyBorder="0" applyAlignment="0" applyProtection="0"/>
    <xf numFmtId="0" fontId="5" fillId="26" borderId="157" applyNumberFormat="0" applyFont="0" applyAlignment="0" applyProtection="0"/>
    <xf numFmtId="0" fontId="62" fillId="29" borderId="156" applyNumberFormat="0" applyAlignment="0" applyProtection="0"/>
    <xf numFmtId="0" fontId="6" fillId="26" borderId="157" applyNumberFormat="0" applyFont="0" applyAlignment="0" applyProtection="0"/>
    <xf numFmtId="0" fontId="116" fillId="0" borderId="159" applyNumberFormat="0" applyFill="0" applyAlignment="0" applyProtection="0"/>
    <xf numFmtId="0" fontId="65" fillId="38" borderId="158" applyNumberFormat="0" applyAlignment="0" applyProtection="0"/>
    <xf numFmtId="0" fontId="72" fillId="0" borderId="159" applyNumberFormat="0" applyFill="0" applyAlignment="0" applyProtection="0"/>
    <xf numFmtId="0" fontId="101" fillId="38" borderId="156" applyNumberFormat="0" applyAlignment="0" applyProtection="0"/>
    <xf numFmtId="0" fontId="5" fillId="26" borderId="157" applyNumberFormat="0" applyFont="0" applyAlignment="0" applyProtection="0"/>
    <xf numFmtId="0" fontId="59" fillId="38" borderId="156" applyNumberFormat="0" applyAlignment="0" applyProtection="0"/>
    <xf numFmtId="0" fontId="5" fillId="0" borderId="0"/>
    <xf numFmtId="0" fontId="5" fillId="26" borderId="157" applyNumberFormat="0" applyFont="0" applyAlignment="0" applyProtection="0"/>
    <xf numFmtId="0" fontId="5" fillId="26" borderId="157" applyNumberFormat="0" applyFont="0" applyAlignment="0" applyProtection="0"/>
    <xf numFmtId="0" fontId="5" fillId="0" borderId="0"/>
    <xf numFmtId="166" fontId="5" fillId="0" borderId="0" applyFont="0" applyFill="0" applyBorder="0" applyAlignment="0" applyProtection="0"/>
    <xf numFmtId="166" fontId="5" fillId="0" borderId="0" applyFont="0" applyFill="0" applyBorder="0" applyAlignment="0" applyProtection="0"/>
    <xf numFmtId="166" fontId="51" fillId="0" borderId="0" applyFont="0" applyFill="0" applyBorder="0" applyAlignment="0" applyProtection="0"/>
    <xf numFmtId="43" fontId="35" fillId="0" borderId="0" applyFont="0" applyFill="0" applyBorder="0" applyAlignment="0" applyProtection="0"/>
    <xf numFmtId="43" fontId="51" fillId="0" borderId="0" applyFont="0" applyFill="0" applyBorder="0" applyAlignment="0" applyProtection="0"/>
    <xf numFmtId="0" fontId="62" fillId="23" borderId="156" applyNumberFormat="0" applyAlignment="0" applyProtection="0"/>
    <xf numFmtId="0" fontId="101" fillId="38" borderId="156" applyNumberFormat="0" applyAlignment="0" applyProtection="0"/>
    <xf numFmtId="0" fontId="62" fillId="23" borderId="156" applyNumberFormat="0" applyAlignment="0" applyProtection="0"/>
    <xf numFmtId="0" fontId="73" fillId="39" borderId="156" applyNumberFormat="0" applyAlignment="0" applyProtection="0"/>
    <xf numFmtId="0" fontId="5" fillId="26" borderId="150" applyNumberFormat="0" applyFont="0" applyAlignment="0" applyProtection="0"/>
    <xf numFmtId="43" fontId="5" fillId="0" borderId="0" applyFont="0" applyFill="0" applyBorder="0" applyAlignment="0" applyProtection="0"/>
    <xf numFmtId="166" fontId="5" fillId="0" borderId="0" applyFont="0" applyFill="0" applyBorder="0" applyAlignment="0" applyProtection="0"/>
    <xf numFmtId="0" fontId="5" fillId="26" borderId="157" applyNumberFormat="0" applyFont="0" applyAlignment="0" applyProtection="0"/>
    <xf numFmtId="0" fontId="5" fillId="0" borderId="0"/>
    <xf numFmtId="0" fontId="5" fillId="26" borderId="150" applyNumberFormat="0" applyFont="0" applyAlignment="0" applyProtection="0"/>
    <xf numFmtId="0" fontId="5" fillId="26" borderId="150" applyNumberFormat="0" applyFont="0" applyAlignment="0" applyProtection="0"/>
    <xf numFmtId="0" fontId="5" fillId="26" borderId="150" applyNumberFormat="0" applyFont="0" applyAlignment="0" applyProtection="0"/>
    <xf numFmtId="0" fontId="5" fillId="26" borderId="150" applyNumberFormat="0" applyFont="0" applyAlignment="0" applyProtection="0"/>
    <xf numFmtId="0" fontId="5" fillId="0" borderId="0"/>
    <xf numFmtId="0" fontId="62" fillId="23" borderId="156" applyNumberFormat="0" applyAlignment="0" applyProtection="0"/>
    <xf numFmtId="0" fontId="5" fillId="0" borderId="0"/>
    <xf numFmtId="0" fontId="5" fillId="0" borderId="0"/>
    <xf numFmtId="43" fontId="5" fillId="0" borderId="0" applyFont="0" applyFill="0" applyBorder="0" applyAlignment="0" applyProtection="0"/>
    <xf numFmtId="0" fontId="73" fillId="39" borderId="156" applyNumberFormat="0" applyAlignment="0" applyProtection="0"/>
    <xf numFmtId="166" fontId="5" fillId="0" borderId="0" applyFont="0" applyFill="0" applyBorder="0" applyAlignment="0" applyProtection="0"/>
    <xf numFmtId="0" fontId="5" fillId="0" borderId="0"/>
    <xf numFmtId="0" fontId="5" fillId="26" borderId="150" applyNumberFormat="0" applyFont="0" applyAlignment="0" applyProtection="0"/>
    <xf numFmtId="0" fontId="59" fillId="38" borderId="156" applyNumberFormat="0" applyAlignment="0" applyProtection="0"/>
    <xf numFmtId="0" fontId="5" fillId="0" borderId="0"/>
    <xf numFmtId="166" fontId="49" fillId="0" borderId="0" applyFont="0" applyFill="0" applyBorder="0" applyAlignment="0" applyProtection="0"/>
    <xf numFmtId="43" fontId="6" fillId="0" borderId="0" applyFont="0" applyFill="0" applyBorder="0" applyAlignment="0" applyProtection="0"/>
    <xf numFmtId="0" fontId="5" fillId="0" borderId="0"/>
    <xf numFmtId="166"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0" fontId="5" fillId="0" borderId="0"/>
    <xf numFmtId="43" fontId="6" fillId="0" borderId="0" applyFont="0" applyFill="0" applyBorder="0" applyAlignment="0" applyProtection="0"/>
    <xf numFmtId="0" fontId="104" fillId="23" borderId="156" applyNumberFormat="0" applyAlignment="0" applyProtection="0"/>
    <xf numFmtId="43" fontId="49" fillId="0" borderId="0" applyFont="0" applyFill="0" applyBorder="0" applyAlignment="0" applyProtection="0"/>
    <xf numFmtId="43" fontId="1" fillId="0" borderId="0" applyFont="0" applyFill="0" applyBorder="0" applyAlignment="0" applyProtection="0"/>
    <xf numFmtId="0" fontId="5" fillId="26" borderId="157" applyNumberFormat="0" applyFont="0" applyAlignment="0" applyProtection="0"/>
    <xf numFmtId="0" fontId="5" fillId="26" borderId="157" applyNumberFormat="0" applyFont="0" applyAlignment="0" applyProtection="0"/>
    <xf numFmtId="0" fontId="5" fillId="0" borderId="0"/>
    <xf numFmtId="166"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43" fontId="5" fillId="0" borderId="0" applyFont="0" applyFill="0" applyBorder="0" applyAlignment="0" applyProtection="0"/>
    <xf numFmtId="0" fontId="5" fillId="26" borderId="157" applyNumberFormat="0" applyFont="0" applyAlignment="0" applyProtection="0"/>
    <xf numFmtId="0" fontId="5" fillId="0" borderId="0"/>
    <xf numFmtId="166" fontId="5" fillId="0" borderId="0" applyFont="0" applyFill="0" applyBorder="0" applyAlignment="0" applyProtection="0"/>
    <xf numFmtId="0" fontId="65" fillId="38" borderId="158" applyNumberFormat="0" applyAlignment="0" applyProtection="0"/>
    <xf numFmtId="0" fontId="5" fillId="26" borderId="157" applyNumberFormat="0" applyFont="0" applyAlignment="0" applyProtection="0"/>
    <xf numFmtId="0" fontId="62" fillId="23" borderId="156" applyNumberFormat="0" applyAlignment="0" applyProtection="0"/>
    <xf numFmtId="0" fontId="62" fillId="23" borderId="156" applyNumberFormat="0" applyAlignment="0" applyProtection="0"/>
    <xf numFmtId="43" fontId="6" fillId="0" borderId="0" applyFont="0" applyFill="0" applyBorder="0" applyAlignment="0" applyProtection="0"/>
    <xf numFmtId="43" fontId="35" fillId="0" borderId="0" applyFont="0" applyFill="0" applyBorder="0" applyAlignment="0" applyProtection="0"/>
    <xf numFmtId="0" fontId="5" fillId="0" borderId="0"/>
    <xf numFmtId="0" fontId="5" fillId="0" borderId="0"/>
    <xf numFmtId="0" fontId="5" fillId="0" borderId="0"/>
    <xf numFmtId="166" fontId="5"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0" fontId="5" fillId="0" borderId="0"/>
    <xf numFmtId="166" fontId="5" fillId="0" borderId="0" applyFont="0" applyFill="0" applyBorder="0" applyAlignment="0" applyProtection="0"/>
    <xf numFmtId="166" fontId="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43" fontId="6" fillId="0" borderId="0" applyFont="0" applyFill="0" applyBorder="0" applyAlignment="0" applyProtection="0"/>
    <xf numFmtId="0" fontId="5" fillId="0" borderId="0"/>
    <xf numFmtId="0" fontId="1" fillId="0" borderId="0"/>
    <xf numFmtId="0" fontId="5" fillId="26" borderId="157" applyNumberFormat="0" applyFont="0" applyAlignment="0" applyProtection="0"/>
    <xf numFmtId="43" fontId="49" fillId="0" borderId="0" applyFont="0" applyFill="0" applyBorder="0" applyAlignment="0" applyProtection="0"/>
    <xf numFmtId="0" fontId="62" fillId="29" borderId="156" applyNumberFormat="0" applyAlignment="0" applyProtection="0"/>
    <xf numFmtId="44" fontId="49" fillId="0" borderId="0" applyFont="0" applyFill="0" applyBorder="0" applyAlignment="0" applyProtection="0"/>
    <xf numFmtId="0" fontId="5" fillId="0" borderId="0"/>
    <xf numFmtId="166" fontId="5" fillId="0" borderId="0" applyFont="0" applyFill="0" applyBorder="0" applyAlignment="0" applyProtection="0"/>
    <xf numFmtId="43" fontId="6" fillId="0" borderId="0" applyFont="0" applyFill="0" applyBorder="0" applyAlignment="0" applyProtection="0"/>
    <xf numFmtId="0" fontId="5" fillId="0" borderId="0"/>
    <xf numFmtId="166" fontId="3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5" fillId="0" borderId="0" applyFont="0" applyFill="0" applyBorder="0" applyAlignment="0" applyProtection="0"/>
    <xf numFmtId="0" fontId="1" fillId="0" borderId="0"/>
    <xf numFmtId="0" fontId="5" fillId="26" borderId="157" applyNumberFormat="0" applyFont="0" applyAlignment="0" applyProtection="0"/>
    <xf numFmtId="0" fontId="5" fillId="0" borderId="0"/>
    <xf numFmtId="0" fontId="62" fillId="29" borderId="156" applyNumberFormat="0" applyAlignment="0" applyProtection="0"/>
    <xf numFmtId="166" fontId="5" fillId="0" borderId="0" applyFont="0" applyFill="0" applyBorder="0" applyAlignment="0" applyProtection="0"/>
    <xf numFmtId="0" fontId="59" fillId="38" borderId="156" applyNumberFormat="0" applyAlignment="0" applyProtection="0"/>
    <xf numFmtId="43" fontId="6" fillId="0" borderId="0" applyFont="0" applyFill="0" applyBorder="0" applyAlignment="0" applyProtection="0"/>
    <xf numFmtId="0" fontId="65" fillId="39" borderId="158" applyNumberFormat="0" applyAlignment="0" applyProtection="0"/>
    <xf numFmtId="44" fontId="1" fillId="0" borderId="0" applyFont="0" applyFill="0" applyBorder="0" applyAlignment="0" applyProtection="0"/>
    <xf numFmtId="0" fontId="62" fillId="23" borderId="156" applyNumberFormat="0" applyAlignment="0" applyProtection="0"/>
    <xf numFmtId="0" fontId="65" fillId="38" borderId="158" applyNumberFormat="0" applyAlignment="0" applyProtection="0"/>
    <xf numFmtId="43" fontId="1" fillId="0" borderId="0" applyFont="0" applyFill="0" applyBorder="0" applyAlignment="0" applyProtection="0"/>
    <xf numFmtId="166" fontId="5" fillId="0" borderId="0" applyFont="0" applyFill="0" applyBorder="0" applyAlignment="0" applyProtection="0"/>
    <xf numFmtId="43" fontId="6" fillId="0" borderId="0" applyFont="0" applyFill="0" applyBorder="0" applyAlignment="0" applyProtection="0"/>
    <xf numFmtId="166" fontId="5" fillId="0" borderId="0" applyFont="0" applyFill="0" applyBorder="0" applyAlignment="0" applyProtection="0"/>
    <xf numFmtId="43" fontId="6"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3" fontId="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3" fillId="0" borderId="0" applyNumberFormat="0" applyFill="0" applyBorder="0" applyAlignment="0" applyProtection="0">
      <alignment vertical="top"/>
      <protection locked="0"/>
    </xf>
    <xf numFmtId="0" fontId="5" fillId="0" borderId="0"/>
    <xf numFmtId="0" fontId="5" fillId="0" borderId="0"/>
    <xf numFmtId="0" fontId="101" fillId="38" borderId="152"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4" fillId="23" borderId="152"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2" fillId="23" borderId="156" applyNumberFormat="0" applyAlignment="0" applyProtection="0"/>
    <xf numFmtId="0" fontId="101" fillId="38" borderId="156" applyNumberFormat="0" applyAlignment="0" applyProtection="0"/>
    <xf numFmtId="0" fontId="110" fillId="38" borderId="158" applyNumberFormat="0" applyAlignment="0" applyProtection="0"/>
    <xf numFmtId="0" fontId="5" fillId="26" borderId="153" applyNumberFormat="0" applyFont="0" applyAlignment="0" applyProtection="0"/>
    <xf numFmtId="0" fontId="110" fillId="38" borderId="154" applyNumberFormat="0" applyAlignment="0" applyProtection="0"/>
    <xf numFmtId="0" fontId="65" fillId="38" borderId="158" applyNumberFormat="0" applyAlignment="0" applyProtection="0"/>
    <xf numFmtId="0" fontId="116" fillId="0" borderId="155" applyNumberFormat="0" applyFill="0" applyAlignment="0" applyProtection="0"/>
    <xf numFmtId="0" fontId="72" fillId="0" borderId="159" applyNumberFormat="0" applyFill="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35" fillId="0" borderId="0" applyFont="0" applyFill="0" applyBorder="0" applyAlignment="0" applyProtection="0"/>
    <xf numFmtId="0" fontId="5" fillId="0" borderId="0"/>
    <xf numFmtId="166" fontId="49" fillId="0" borderId="0" applyFont="0" applyFill="0" applyBorder="0" applyAlignment="0" applyProtection="0"/>
    <xf numFmtId="43" fontId="53" fillId="0" borderId="0" applyFont="0" applyFill="0" applyBorder="0" applyAlignment="0" applyProtection="0"/>
    <xf numFmtId="166" fontId="5" fillId="0" borderId="0" applyFont="0" applyFill="0" applyBorder="0" applyAlignment="0" applyProtection="0"/>
    <xf numFmtId="43" fontId="5" fillId="0" borderId="0" applyFont="0" applyFill="0" applyBorder="0" applyAlignment="0" applyProtection="0"/>
    <xf numFmtId="0" fontId="6" fillId="26" borderId="157" applyNumberFormat="0" applyFont="0" applyAlignment="0" applyProtection="0"/>
    <xf numFmtId="43" fontId="5" fillId="0" borderId="0" applyFont="0" applyFill="0" applyBorder="0" applyAlignment="0" applyProtection="0"/>
    <xf numFmtId="166" fontId="2" fillId="0" borderId="0" applyFont="0" applyFill="0" applyBorder="0" applyAlignment="0" applyProtection="0"/>
    <xf numFmtId="166" fontId="5" fillId="0" borderId="0" applyFont="0" applyFill="0" applyBorder="0" applyAlignment="0" applyProtection="0"/>
    <xf numFmtId="0" fontId="116" fillId="0" borderId="159" applyNumberFormat="0" applyFill="0" applyAlignment="0" applyProtection="0"/>
    <xf numFmtId="0" fontId="5" fillId="26" borderId="150" applyNumberFormat="0" applyFont="0" applyAlignment="0" applyProtection="0"/>
    <xf numFmtId="0" fontId="5" fillId="26" borderId="157" applyNumberFormat="0" applyFont="0" applyAlignment="0" applyProtection="0"/>
    <xf numFmtId="43" fontId="6" fillId="0" borderId="0" applyFont="0" applyFill="0" applyBorder="0" applyAlignment="0" applyProtection="0"/>
    <xf numFmtId="0" fontId="65" fillId="38" borderId="158" applyNumberFormat="0" applyAlignment="0" applyProtection="0"/>
    <xf numFmtId="43" fontId="5" fillId="0" borderId="0" applyFont="0" applyFill="0" applyBorder="0" applyAlignment="0" applyProtection="0"/>
    <xf numFmtId="43" fontId="51" fillId="0" borderId="0" applyFont="0" applyFill="0" applyBorder="0" applyAlignment="0" applyProtection="0"/>
    <xf numFmtId="0" fontId="62" fillId="23" borderId="152" applyNumberFormat="0" applyAlignment="0" applyProtection="0"/>
    <xf numFmtId="166" fontId="5" fillId="0" borderId="0" applyFont="0" applyFill="0" applyBorder="0" applyAlignment="0" applyProtection="0"/>
    <xf numFmtId="43" fontId="5" fillId="0" borderId="0" applyFont="0" applyFill="0" applyBorder="0" applyAlignment="0" applyProtection="0"/>
    <xf numFmtId="166" fontId="5" fillId="0" borderId="0" applyFont="0" applyFill="0" applyBorder="0" applyAlignment="0" applyProtection="0"/>
    <xf numFmtId="0" fontId="5" fillId="26" borderId="150" applyNumberFormat="0" applyFont="0" applyAlignment="0" applyProtection="0"/>
    <xf numFmtId="0" fontId="5" fillId="26" borderId="150" applyNumberFormat="0" applyFont="0" applyAlignment="0" applyProtection="0"/>
    <xf numFmtId="0" fontId="5" fillId="26" borderId="157" applyNumberFormat="0" applyFont="0" applyAlignment="0" applyProtection="0"/>
    <xf numFmtId="0" fontId="116" fillId="0" borderId="159" applyNumberFormat="0" applyFill="0" applyAlignment="0" applyProtection="0"/>
    <xf numFmtId="0" fontId="5" fillId="26" borderId="157" applyNumberFormat="0" applyFont="0" applyAlignment="0" applyProtection="0"/>
    <xf numFmtId="166" fontId="5" fillId="0" borderId="0" applyFont="0" applyFill="0" applyBorder="0" applyAlignment="0" applyProtection="0"/>
    <xf numFmtId="166" fontId="49" fillId="0" borderId="0" applyFont="0" applyFill="0" applyBorder="0" applyAlignment="0" applyProtection="0"/>
    <xf numFmtId="44" fontId="48" fillId="0" borderId="0" applyFont="0" applyFill="0" applyBorder="0" applyAlignment="0" applyProtection="0"/>
    <xf numFmtId="166" fontId="5" fillId="0" borderId="0" applyFont="0" applyFill="0" applyBorder="0" applyAlignment="0" applyProtection="0"/>
    <xf numFmtId="0" fontId="65" fillId="39" borderId="158" applyNumberFormat="0" applyAlignment="0" applyProtection="0"/>
    <xf numFmtId="0" fontId="116" fillId="0" borderId="159" applyNumberFormat="0" applyFill="0" applyAlignment="0" applyProtection="0"/>
    <xf numFmtId="0" fontId="6" fillId="26" borderId="157" applyNumberFormat="0" applyFont="0" applyAlignment="0" applyProtection="0"/>
    <xf numFmtId="0" fontId="5" fillId="26" borderId="157" applyNumberFormat="0" applyFont="0" applyAlignment="0" applyProtection="0"/>
    <xf numFmtId="0" fontId="5" fillId="0" borderId="0"/>
    <xf numFmtId="166" fontId="5" fillId="0" borderId="0" applyFont="0" applyFill="0" applyBorder="0" applyAlignment="0" applyProtection="0"/>
    <xf numFmtId="166" fontId="5" fillId="0" borderId="0" applyFont="0" applyFill="0" applyBorder="0" applyAlignment="0" applyProtection="0"/>
    <xf numFmtId="0" fontId="5" fillId="0" borderId="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110" fillId="38" borderId="158" applyNumberFormat="0" applyAlignment="0" applyProtection="0"/>
    <xf numFmtId="0" fontId="62" fillId="23" borderId="156" applyNumberFormat="0" applyAlignment="0" applyProtection="0"/>
    <xf numFmtId="0" fontId="110" fillId="38" borderId="158" applyNumberFormat="0" applyAlignment="0" applyProtection="0"/>
    <xf numFmtId="0" fontId="110" fillId="38" borderId="158" applyNumberFormat="0" applyAlignment="0" applyProtection="0"/>
    <xf numFmtId="0" fontId="5" fillId="26" borderId="157" applyNumberFormat="0" applyFont="0" applyAlignment="0" applyProtection="0"/>
    <xf numFmtId="166" fontId="5" fillId="0" borderId="0" applyFont="0" applyFill="0" applyBorder="0" applyAlignment="0" applyProtection="0"/>
    <xf numFmtId="0" fontId="5" fillId="26" borderId="157" applyNumberFormat="0" applyFont="0" applyAlignment="0" applyProtection="0"/>
    <xf numFmtId="0" fontId="62" fillId="23" borderId="156" applyNumberFormat="0" applyAlignment="0" applyProtection="0"/>
    <xf numFmtId="43" fontId="5" fillId="0" borderId="0" applyFont="0" applyFill="0" applyBorder="0" applyAlignment="0" applyProtection="0"/>
    <xf numFmtId="0" fontId="5" fillId="26" borderId="150" applyNumberFormat="0" applyFont="0" applyAlignment="0" applyProtection="0"/>
    <xf numFmtId="0" fontId="116" fillId="0" borderId="159" applyNumberFormat="0" applyFill="0" applyAlignment="0" applyProtection="0"/>
    <xf numFmtId="0" fontId="65" fillId="39" borderId="158" applyNumberFormat="0" applyAlignment="0" applyProtection="0"/>
    <xf numFmtId="0" fontId="72" fillId="0" borderId="159" applyNumberFormat="0" applyFill="0" applyAlignment="0" applyProtection="0"/>
    <xf numFmtId="166" fontId="5" fillId="0" borderId="0" applyFont="0" applyFill="0" applyBorder="0" applyAlignment="0" applyProtection="0"/>
    <xf numFmtId="0" fontId="5" fillId="26" borderId="157" applyNumberFormat="0" applyFont="0" applyAlignment="0" applyProtection="0"/>
    <xf numFmtId="0" fontId="101" fillId="38" borderId="156" applyNumberFormat="0" applyAlignment="0" applyProtection="0"/>
    <xf numFmtId="43" fontId="6" fillId="0" borderId="0" applyFont="0" applyFill="0" applyBorder="0" applyAlignment="0" applyProtection="0"/>
    <xf numFmtId="0" fontId="72" fillId="0" borderId="159" applyNumberFormat="0" applyFill="0" applyAlignment="0" applyProtection="0"/>
    <xf numFmtId="0" fontId="5" fillId="26" borderId="157" applyNumberFormat="0" applyFont="0" applyAlignment="0" applyProtection="0"/>
    <xf numFmtId="0" fontId="116" fillId="0" borderId="159" applyNumberFormat="0" applyFill="0" applyAlignment="0" applyProtection="0"/>
    <xf numFmtId="0" fontId="5" fillId="26" borderId="157" applyNumberFormat="0" applyFont="0" applyAlignment="0" applyProtection="0"/>
    <xf numFmtId="43" fontId="35" fillId="0" borderId="0" applyFont="0" applyFill="0" applyBorder="0" applyAlignment="0" applyProtection="0"/>
    <xf numFmtId="43" fontId="1" fillId="0" borderId="0" applyFont="0" applyFill="0" applyBorder="0" applyAlignment="0" applyProtection="0"/>
    <xf numFmtId="0" fontId="73" fillId="39" borderId="156" applyNumberFormat="0" applyAlignment="0" applyProtection="0"/>
    <xf numFmtId="0" fontId="5" fillId="26" borderId="157" applyNumberFormat="0" applyFont="0" applyAlignment="0" applyProtection="0"/>
    <xf numFmtId="0" fontId="5" fillId="26" borderId="157" applyNumberFormat="0" applyFont="0" applyAlignment="0" applyProtection="0"/>
    <xf numFmtId="0" fontId="65" fillId="38" borderId="158" applyNumberFormat="0" applyAlignment="0" applyProtection="0"/>
    <xf numFmtId="0" fontId="108" fillId="0" borderId="0"/>
    <xf numFmtId="0" fontId="5" fillId="26" borderId="157" applyNumberFormat="0" applyFont="0" applyAlignment="0" applyProtection="0"/>
    <xf numFmtId="0" fontId="65" fillId="38" borderId="158" applyNumberFormat="0" applyAlignment="0" applyProtection="0"/>
    <xf numFmtId="43" fontId="5" fillId="0" borderId="0" applyFont="0" applyFill="0" applyBorder="0" applyAlignment="0" applyProtection="0"/>
    <xf numFmtId="166"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166" fontId="5" fillId="0" borderId="0" applyFont="0" applyFill="0" applyBorder="0" applyAlignment="0" applyProtection="0"/>
    <xf numFmtId="0" fontId="5" fillId="0" borderId="0"/>
    <xf numFmtId="43" fontId="5" fillId="0" borderId="0" applyFont="0" applyFill="0" applyBorder="0" applyAlignment="0" applyProtection="0"/>
    <xf numFmtId="43" fontId="49" fillId="0" borderId="0" applyFont="0" applyFill="0" applyBorder="0" applyAlignment="0" applyProtection="0"/>
    <xf numFmtId="0" fontId="5" fillId="26" borderId="157" applyNumberFormat="0" applyFont="0" applyAlignment="0" applyProtection="0"/>
    <xf numFmtId="0" fontId="1" fillId="0" borderId="0"/>
    <xf numFmtId="0" fontId="5" fillId="26" borderId="15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0" fontId="5" fillId="26" borderId="150" applyNumberFormat="0" applyFont="0" applyAlignment="0" applyProtection="0"/>
    <xf numFmtId="0" fontId="5" fillId="0" borderId="0"/>
    <xf numFmtId="166" fontId="5" fillId="0" borderId="0" applyFont="0" applyFill="0" applyBorder="0" applyAlignment="0" applyProtection="0"/>
    <xf numFmtId="0" fontId="116" fillId="0" borderId="159" applyNumberFormat="0" applyFill="0" applyAlignment="0" applyProtection="0"/>
    <xf numFmtId="0" fontId="62" fillId="29" borderId="156"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0" fontId="1" fillId="0" borderId="0"/>
    <xf numFmtId="0" fontId="62" fillId="29" borderId="156"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0" fontId="5" fillId="26" borderId="157" applyNumberFormat="0" applyFont="0" applyAlignment="0" applyProtection="0"/>
    <xf numFmtId="0" fontId="5" fillId="26" borderId="157" applyNumberFormat="0" applyFont="0" applyAlignment="0" applyProtection="0"/>
    <xf numFmtId="0" fontId="5" fillId="0" borderId="0"/>
    <xf numFmtId="43" fontId="5" fillId="0" borderId="0" applyFont="0" applyFill="0" applyBorder="0" applyAlignment="0" applyProtection="0"/>
    <xf numFmtId="0" fontId="62" fillId="23" borderId="156" applyNumberFormat="0" applyAlignment="0" applyProtection="0"/>
    <xf numFmtId="166" fontId="2" fillId="0" borderId="0" applyFont="0" applyFill="0" applyBorder="0" applyAlignment="0" applyProtection="0"/>
    <xf numFmtId="43" fontId="5" fillId="0" borderId="0" applyFont="0" applyFill="0" applyBorder="0" applyAlignment="0" applyProtection="0"/>
    <xf numFmtId="0" fontId="62" fillId="29" borderId="156" applyNumberFormat="0" applyAlignment="0" applyProtection="0"/>
    <xf numFmtId="166"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16" fillId="0" borderId="159" applyNumberFormat="0" applyFill="0" applyAlignment="0" applyProtection="0"/>
    <xf numFmtId="0" fontId="6" fillId="26" borderId="157" applyNumberFormat="0" applyFont="0" applyAlignment="0" applyProtection="0"/>
    <xf numFmtId="43" fontId="6" fillId="0" borderId="0" applyFont="0" applyFill="0" applyBorder="0" applyAlignment="0" applyProtection="0"/>
    <xf numFmtId="43" fontId="5" fillId="0" borderId="0" applyFont="0" applyFill="0" applyBorder="0" applyAlignment="0" applyProtection="0"/>
    <xf numFmtId="0" fontId="65" fillId="39" borderId="158" applyNumberFormat="0" applyAlignment="0" applyProtection="0"/>
    <xf numFmtId="9" fontId="6" fillId="0" borderId="0" applyFont="0" applyFill="0" applyBorder="0" applyAlignment="0" applyProtection="0"/>
    <xf numFmtId="0" fontId="65" fillId="38" borderId="158" applyNumberFormat="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166" fontId="5" fillId="0" borderId="0" applyFont="0" applyFill="0" applyBorder="0" applyAlignment="0" applyProtection="0"/>
    <xf numFmtId="166" fontId="35" fillId="0" borderId="0" applyFont="0" applyFill="0" applyBorder="0" applyAlignment="0" applyProtection="0"/>
    <xf numFmtId="0" fontId="5" fillId="0" borderId="0"/>
    <xf numFmtId="43" fontId="49" fillId="0" borderId="0" applyFont="0" applyFill="0" applyBorder="0" applyAlignment="0" applyProtection="0"/>
    <xf numFmtId="0" fontId="5" fillId="0" borderId="0"/>
    <xf numFmtId="0" fontId="59" fillId="38" borderId="156" applyNumberFormat="0" applyAlignment="0" applyProtection="0"/>
    <xf numFmtId="43" fontId="1" fillId="0" borderId="0" applyFont="0" applyFill="0" applyBorder="0" applyAlignment="0" applyProtection="0"/>
    <xf numFmtId="0" fontId="65" fillId="39" borderId="158" applyNumberFormat="0" applyAlignment="0" applyProtection="0"/>
    <xf numFmtId="0" fontId="62" fillId="23" borderId="156" applyNumberFormat="0" applyAlignment="0" applyProtection="0"/>
    <xf numFmtId="0" fontId="73" fillId="39" borderId="156" applyNumberFormat="0" applyAlignment="0" applyProtection="0"/>
    <xf numFmtId="0" fontId="62" fillId="23" borderId="156" applyNumberFormat="0" applyAlignment="0" applyProtection="0"/>
    <xf numFmtId="43" fontId="5" fillId="0" borderId="0" applyFont="0" applyFill="0" applyBorder="0" applyAlignment="0" applyProtection="0"/>
    <xf numFmtId="0" fontId="5" fillId="26" borderId="157" applyNumberFormat="0" applyFont="0" applyAlignment="0" applyProtection="0"/>
    <xf numFmtId="166" fontId="5" fillId="0" borderId="0" applyFont="0" applyFill="0" applyBorder="0" applyAlignment="0" applyProtection="0"/>
    <xf numFmtId="43" fontId="5" fillId="0" borderId="0" applyFont="0" applyFill="0" applyBorder="0" applyAlignment="0" applyProtection="0"/>
    <xf numFmtId="0" fontId="5" fillId="26" borderId="157" applyNumberFormat="0" applyFont="0" applyAlignment="0" applyProtection="0"/>
    <xf numFmtId="166" fontId="5" fillId="0" borderId="0" applyFont="0" applyFill="0" applyBorder="0" applyAlignment="0" applyProtection="0"/>
    <xf numFmtId="0" fontId="101" fillId="38" borderId="156" applyNumberFormat="0" applyAlignment="0" applyProtection="0"/>
    <xf numFmtId="166" fontId="5" fillId="0" borderId="0" applyFont="0" applyFill="0" applyBorder="0" applyAlignment="0" applyProtection="0"/>
    <xf numFmtId="166" fontId="2" fillId="0" borderId="0" applyFont="0" applyFill="0" applyBorder="0" applyAlignment="0" applyProtection="0"/>
    <xf numFmtId="166" fontId="5" fillId="0" borderId="0" applyFont="0" applyFill="0" applyBorder="0" applyAlignment="0" applyProtection="0"/>
    <xf numFmtId="0" fontId="5" fillId="26" borderId="157" applyNumberFormat="0" applyFont="0" applyAlignment="0" applyProtection="0"/>
    <xf numFmtId="0" fontId="72" fillId="0" borderId="159"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0" fontId="5" fillId="26" borderId="157" applyNumberFormat="0" applyFont="0" applyAlignment="0" applyProtection="0"/>
    <xf numFmtId="43" fontId="5" fillId="0" borderId="0" applyFont="0" applyFill="0" applyBorder="0" applyAlignment="0" applyProtection="0"/>
    <xf numFmtId="0" fontId="5" fillId="26" borderId="157" applyNumberFormat="0" applyFont="0" applyAlignment="0" applyProtection="0"/>
    <xf numFmtId="0" fontId="5" fillId="0" borderId="0"/>
    <xf numFmtId="166" fontId="5" fillId="0" borderId="0" applyFont="0" applyFill="0" applyBorder="0" applyAlignment="0" applyProtection="0"/>
    <xf numFmtId="166" fontId="5" fillId="0" borderId="0" applyFont="0" applyFill="0" applyBorder="0" applyAlignment="0" applyProtection="0"/>
    <xf numFmtId="0" fontId="65" fillId="39" borderId="158" applyNumberFormat="0" applyAlignment="0" applyProtection="0"/>
    <xf numFmtId="0" fontId="62" fillId="29" borderId="156" applyNumberFormat="0" applyAlignment="0" applyProtection="0"/>
    <xf numFmtId="0" fontId="6" fillId="26" borderId="157" applyNumberFormat="0" applyFont="0" applyAlignment="0" applyProtection="0"/>
    <xf numFmtId="0" fontId="59" fillId="38" borderId="156" applyNumberFormat="0" applyAlignment="0" applyProtection="0"/>
    <xf numFmtId="0" fontId="5" fillId="26" borderId="157" applyNumberFormat="0" applyFont="0" applyAlignment="0" applyProtection="0"/>
    <xf numFmtId="166" fontId="5" fillId="0" borderId="0" applyFont="0" applyFill="0" applyBorder="0" applyAlignment="0" applyProtection="0"/>
    <xf numFmtId="166" fontId="5" fillId="0" borderId="0" applyFont="0" applyFill="0" applyBorder="0" applyAlignment="0" applyProtection="0"/>
    <xf numFmtId="0" fontId="59" fillId="38" borderId="156" applyNumberFormat="0" applyAlignment="0" applyProtection="0"/>
    <xf numFmtId="0" fontId="6" fillId="26" borderId="157" applyNumberFormat="0" applyFont="0" applyAlignment="0" applyProtection="0"/>
    <xf numFmtId="166" fontId="5" fillId="0" borderId="0" applyFont="0" applyFill="0" applyBorder="0" applyAlignment="0" applyProtection="0"/>
    <xf numFmtId="0" fontId="5" fillId="0" borderId="0"/>
    <xf numFmtId="43" fontId="5" fillId="0" borderId="0" applyFont="0" applyFill="0" applyBorder="0" applyAlignment="0" applyProtection="0"/>
    <xf numFmtId="0" fontId="62" fillId="23" borderId="156" applyNumberFormat="0" applyAlignment="0" applyProtection="0"/>
    <xf numFmtId="0" fontId="104" fillId="23" borderId="156" applyNumberFormat="0" applyAlignment="0" applyProtection="0"/>
    <xf numFmtId="0" fontId="72" fillId="0" borderId="159" applyNumberFormat="0" applyFill="0" applyAlignment="0" applyProtection="0"/>
    <xf numFmtId="0" fontId="62" fillId="23" borderId="156" applyNumberFormat="0" applyAlignment="0" applyProtection="0"/>
    <xf numFmtId="0" fontId="110" fillId="38" borderId="158" applyNumberFormat="0" applyAlignment="0" applyProtection="0"/>
    <xf numFmtId="0" fontId="5" fillId="0" borderId="0"/>
    <xf numFmtId="43" fontId="6" fillId="0" borderId="0" applyFont="0" applyFill="0" applyBorder="0" applyAlignment="0" applyProtection="0"/>
    <xf numFmtId="0" fontId="5" fillId="0" borderId="0"/>
    <xf numFmtId="43" fontId="35" fillId="0" borderId="0" applyFont="0" applyFill="0" applyBorder="0" applyAlignment="0" applyProtection="0"/>
    <xf numFmtId="0" fontId="65" fillId="38" borderId="158" applyNumberFormat="0" applyAlignment="0" applyProtection="0"/>
    <xf numFmtId="0" fontId="5" fillId="26" borderId="157" applyNumberFormat="0" applyFont="0" applyAlignment="0" applyProtection="0"/>
    <xf numFmtId="166" fontId="5" fillId="0" borderId="0" applyFont="0" applyFill="0" applyBorder="0" applyAlignment="0" applyProtection="0"/>
    <xf numFmtId="166" fontId="5" fillId="0" borderId="0" applyFont="0" applyFill="0" applyBorder="0" applyAlignment="0" applyProtection="0"/>
    <xf numFmtId="166" fontId="35" fillId="0" borderId="0" applyFont="0" applyFill="0" applyBorder="0" applyAlignment="0" applyProtection="0"/>
    <xf numFmtId="43" fontId="1" fillId="0" borderId="0" applyFont="0" applyFill="0" applyBorder="0" applyAlignment="0" applyProtection="0"/>
    <xf numFmtId="0" fontId="5" fillId="0" borderId="0"/>
    <xf numFmtId="0" fontId="72" fillId="0" borderId="159" applyNumberFormat="0" applyFill="0" applyAlignment="0" applyProtection="0"/>
    <xf numFmtId="0" fontId="62" fillId="23" borderId="156" applyNumberFormat="0" applyAlignment="0" applyProtection="0"/>
    <xf numFmtId="0" fontId="73" fillId="39" borderId="156" applyNumberFormat="0" applyAlignment="0" applyProtection="0"/>
    <xf numFmtId="0" fontId="110" fillId="38" borderId="158" applyNumberFormat="0" applyAlignment="0" applyProtection="0"/>
    <xf numFmtId="0" fontId="5" fillId="26" borderId="157" applyNumberFormat="0" applyFont="0" applyAlignment="0" applyProtection="0"/>
    <xf numFmtId="0" fontId="110" fillId="38" borderId="158" applyNumberFormat="0" applyAlignment="0" applyProtection="0"/>
    <xf numFmtId="0" fontId="6" fillId="26" borderId="157" applyNumberFormat="0" applyFont="0" applyAlignment="0" applyProtection="0"/>
    <xf numFmtId="0" fontId="101" fillId="38" borderId="156" applyNumberFormat="0" applyAlignment="0" applyProtection="0"/>
    <xf numFmtId="44" fontId="48" fillId="0" borderId="0" applyFont="0" applyFill="0" applyBorder="0" applyAlignment="0" applyProtection="0"/>
    <xf numFmtId="0" fontId="116" fillId="0" borderId="159" applyNumberFormat="0" applyFill="0" applyAlignment="0" applyProtection="0"/>
    <xf numFmtId="0" fontId="73" fillId="39" borderId="156" applyNumberFormat="0" applyAlignment="0" applyProtection="0"/>
    <xf numFmtId="43" fontId="5" fillId="0" borderId="0" applyFont="0" applyFill="0" applyBorder="0" applyAlignment="0" applyProtection="0"/>
    <xf numFmtId="173" fontId="5" fillId="0" borderId="0" applyFont="0" applyFill="0" applyBorder="0" applyAlignment="0" applyProtection="0"/>
    <xf numFmtId="0" fontId="62" fillId="23" borderId="156" applyNumberFormat="0" applyAlignment="0" applyProtection="0"/>
    <xf numFmtId="0" fontId="73" fillId="39" borderId="152" applyNumberFormat="0" applyAlignment="0" applyProtection="0"/>
    <xf numFmtId="0" fontId="116" fillId="0" borderId="155" applyNumberFormat="0" applyFill="0" applyAlignment="0" applyProtection="0"/>
    <xf numFmtId="0" fontId="62" fillId="29" borderId="152" applyNumberFormat="0" applyAlignment="0" applyProtection="0"/>
    <xf numFmtId="0" fontId="5" fillId="26" borderId="153" applyNumberFormat="0" applyFont="0" applyAlignment="0" applyProtection="0"/>
    <xf numFmtId="0" fontId="6" fillId="26" borderId="153" applyNumberFormat="0" applyFont="0" applyAlignment="0" applyProtection="0"/>
    <xf numFmtId="10" fontId="36" fillId="16" borderId="138" applyNumberFormat="0" applyBorder="0" applyAlignment="0" applyProtection="0"/>
    <xf numFmtId="0" fontId="62" fillId="23" borderId="152" applyNumberFormat="0" applyAlignment="0" applyProtection="0"/>
    <xf numFmtId="0" fontId="101" fillId="38" borderId="152" applyNumberFormat="0" applyAlignment="0" applyProtection="0"/>
    <xf numFmtId="0" fontId="65" fillId="39" borderId="154" applyNumberFormat="0" applyAlignment="0" applyProtection="0"/>
    <xf numFmtId="0" fontId="5" fillId="26" borderId="153" applyNumberFormat="0" applyFont="0" applyAlignment="0" applyProtection="0"/>
    <xf numFmtId="0" fontId="65" fillId="38" borderId="154" applyNumberFormat="0" applyAlignment="0" applyProtection="0"/>
    <xf numFmtId="0" fontId="5" fillId="0" borderId="0"/>
    <xf numFmtId="0" fontId="104" fillId="23" borderId="152" applyNumberFormat="0" applyAlignment="0" applyProtection="0"/>
    <xf numFmtId="0" fontId="59" fillId="38" borderId="152" applyNumberFormat="0" applyAlignment="0" applyProtection="0"/>
    <xf numFmtId="0" fontId="5" fillId="26" borderId="153" applyNumberFormat="0" applyFont="0" applyAlignment="0" applyProtection="0"/>
    <xf numFmtId="0" fontId="5" fillId="26" borderId="153" applyNumberFormat="0" applyFont="0" applyAlignment="0" applyProtection="0"/>
    <xf numFmtId="0" fontId="5" fillId="26" borderId="153" applyNumberFormat="0" applyFont="0" applyAlignment="0" applyProtection="0"/>
    <xf numFmtId="0" fontId="72" fillId="0" borderId="155" applyNumberFormat="0" applyFill="0" applyAlignment="0" applyProtection="0"/>
    <xf numFmtId="0" fontId="62" fillId="23" borderId="152" applyNumberFormat="0" applyAlignment="0" applyProtection="0"/>
    <xf numFmtId="0" fontId="110" fillId="38" borderId="154" applyNumberFormat="0" applyAlignment="0" applyProtection="0"/>
    <xf numFmtId="43" fontId="5" fillId="0" borderId="0" applyFont="0" applyFill="0" applyBorder="0" applyAlignment="0" applyProtection="0"/>
    <xf numFmtId="0" fontId="5" fillId="26" borderId="157" applyNumberFormat="0" applyFont="0" applyAlignment="0" applyProtection="0"/>
    <xf numFmtId="0" fontId="5" fillId="0" borderId="0"/>
    <xf numFmtId="166" fontId="5" fillId="0" borderId="0" applyFont="0" applyFill="0" applyBorder="0" applyAlignment="0" applyProtection="0"/>
    <xf numFmtId="0" fontId="62" fillId="23" borderId="152" applyNumberFormat="0" applyAlignment="0" applyProtection="0"/>
    <xf numFmtId="43" fontId="109"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0" fontId="101" fillId="38" borderId="156" applyNumberFormat="0" applyAlignment="0" applyProtection="0"/>
    <xf numFmtId="0" fontId="1" fillId="0" borderId="0"/>
    <xf numFmtId="43" fontId="5" fillId="0" borderId="0" applyFont="0" applyFill="0" applyBorder="0" applyAlignment="0" applyProtection="0"/>
    <xf numFmtId="43" fontId="5" fillId="0" borderId="0" applyFont="0" applyFill="0" applyBorder="0" applyAlignment="0" applyProtection="0"/>
    <xf numFmtId="0" fontId="110" fillId="38" borderId="158" applyNumberFormat="0" applyAlignment="0" applyProtection="0"/>
    <xf numFmtId="0" fontId="5" fillId="26" borderId="15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0" fontId="104" fillId="23" borderId="156" applyNumberFormat="0" applyAlignment="0" applyProtection="0"/>
    <xf numFmtId="0" fontId="5" fillId="0" borderId="0"/>
    <xf numFmtId="0" fontId="110" fillId="38" borderId="158" applyNumberFormat="0" applyAlignment="0" applyProtection="0"/>
    <xf numFmtId="166" fontId="5" fillId="0" borderId="0" applyFont="0" applyFill="0" applyBorder="0" applyAlignment="0" applyProtection="0"/>
    <xf numFmtId="0" fontId="5" fillId="26" borderId="157" applyNumberFormat="0" applyFont="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166" fontId="5" fillId="0" borderId="0" applyFont="0" applyFill="0" applyBorder="0" applyAlignment="0" applyProtection="0"/>
    <xf numFmtId="0" fontId="5" fillId="26" borderId="157" applyNumberFormat="0" applyFont="0" applyAlignment="0" applyProtection="0"/>
    <xf numFmtId="0" fontId="65" fillId="38" borderId="158" applyNumberFormat="0" applyAlignment="0" applyProtection="0"/>
    <xf numFmtId="0" fontId="5" fillId="26" borderId="157" applyNumberFormat="0" applyFont="0" applyAlignment="0" applyProtection="0"/>
    <xf numFmtId="166" fontId="3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0" fontId="65" fillId="39" borderId="158" applyNumberFormat="0" applyAlignment="0" applyProtection="0"/>
    <xf numFmtId="0" fontId="116" fillId="0" borderId="159" applyNumberFormat="0" applyFill="0" applyAlignment="0" applyProtection="0"/>
    <xf numFmtId="0" fontId="65" fillId="39" borderId="158" applyNumberFormat="0" applyAlignment="0" applyProtection="0"/>
    <xf numFmtId="43" fontId="5" fillId="0" borderId="0" applyFont="0" applyFill="0" applyBorder="0" applyAlignment="0" applyProtection="0"/>
    <xf numFmtId="0" fontId="62" fillId="29" borderId="156" applyNumberFormat="0" applyAlignment="0" applyProtection="0"/>
    <xf numFmtId="0" fontId="72" fillId="0" borderId="159" applyNumberFormat="0" applyFill="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5" fillId="0" borderId="0"/>
    <xf numFmtId="43" fontId="5" fillId="0" borderId="0" applyFont="0" applyFill="0" applyBorder="0" applyAlignment="0" applyProtection="0"/>
    <xf numFmtId="166"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0" fontId="65" fillId="39" borderId="158" applyNumberFormat="0" applyAlignment="0" applyProtection="0"/>
    <xf numFmtId="0" fontId="6" fillId="26" borderId="150" applyNumberFormat="0" applyFont="0" applyAlignment="0" applyProtection="0"/>
    <xf numFmtId="0" fontId="5" fillId="0" borderId="0"/>
    <xf numFmtId="0" fontId="5" fillId="26" borderId="157" applyNumberFormat="0" applyFont="0" applyAlignment="0" applyProtection="0"/>
    <xf numFmtId="43" fontId="1" fillId="0" borderId="0" applyFont="0" applyFill="0" applyBorder="0" applyAlignment="0" applyProtection="0"/>
    <xf numFmtId="0" fontId="5" fillId="26" borderId="15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26" borderId="157" applyNumberFormat="0" applyFont="0" applyAlignment="0" applyProtection="0"/>
    <xf numFmtId="0" fontId="6" fillId="26" borderId="157" applyNumberFormat="0" applyFont="0" applyAlignment="0" applyProtection="0"/>
    <xf numFmtId="0" fontId="72" fillId="0" borderId="159" applyNumberFormat="0" applyFill="0" applyAlignment="0" applyProtection="0"/>
    <xf numFmtId="0" fontId="6" fillId="26" borderId="157" applyNumberFormat="0" applyFont="0" applyAlignment="0" applyProtection="0"/>
    <xf numFmtId="166" fontId="35" fillId="0" borderId="0" applyFont="0" applyFill="0" applyBorder="0" applyAlignment="0" applyProtection="0"/>
    <xf numFmtId="0" fontId="101" fillId="38" borderId="156" applyNumberFormat="0" applyAlignment="0" applyProtection="0"/>
    <xf numFmtId="166" fontId="5" fillId="0" borderId="0" applyFont="0" applyFill="0" applyBorder="0" applyAlignment="0" applyProtection="0"/>
    <xf numFmtId="0" fontId="59" fillId="38" borderId="156" applyNumberFormat="0" applyAlignment="0" applyProtection="0"/>
    <xf numFmtId="0" fontId="110" fillId="38" borderId="158" applyNumberFormat="0" applyAlignment="0" applyProtection="0"/>
    <xf numFmtId="0" fontId="6" fillId="26" borderId="157" applyNumberFormat="0" applyFont="0" applyAlignment="0" applyProtection="0"/>
    <xf numFmtId="0" fontId="5" fillId="26" borderId="157" applyNumberFormat="0" applyFont="0" applyAlignment="0" applyProtection="0"/>
    <xf numFmtId="0" fontId="5" fillId="26" borderId="150" applyNumberFormat="0" applyFont="0" applyAlignment="0" applyProtection="0"/>
    <xf numFmtId="166" fontId="3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166" fontId="5" fillId="0" borderId="0" applyFont="0" applyFill="0" applyBorder="0" applyAlignment="0" applyProtection="0"/>
    <xf numFmtId="0" fontId="62" fillId="23" borderId="156" applyNumberFormat="0" applyAlignment="0" applyProtection="0"/>
    <xf numFmtId="0" fontId="104" fillId="23" borderId="156" applyNumberFormat="0" applyAlignment="0" applyProtection="0"/>
    <xf numFmtId="0" fontId="5" fillId="26" borderId="157" applyNumberFormat="0" applyFont="0" applyAlignment="0" applyProtection="0"/>
    <xf numFmtId="165" fontId="5" fillId="0" borderId="0" applyFont="0" applyFill="0" applyBorder="0" applyAlignment="0" applyProtection="0"/>
    <xf numFmtId="0" fontId="5" fillId="26" borderId="157" applyNumberFormat="0" applyFont="0" applyAlignment="0" applyProtection="0"/>
    <xf numFmtId="0" fontId="5" fillId="0" borderId="0"/>
    <xf numFmtId="43" fontId="1" fillId="0" borderId="0" applyFont="0" applyFill="0" applyBorder="0" applyAlignment="0" applyProtection="0"/>
    <xf numFmtId="43" fontId="6" fillId="0" borderId="0" applyFont="0" applyFill="0" applyBorder="0" applyAlignment="0" applyProtection="0"/>
    <xf numFmtId="0" fontId="5" fillId="0" borderId="0"/>
    <xf numFmtId="43" fontId="5" fillId="0" borderId="0" applyFont="0" applyFill="0" applyBorder="0" applyAlignment="0" applyProtection="0"/>
    <xf numFmtId="166" fontId="5" fillId="0" borderId="0" applyFont="0" applyFill="0" applyBorder="0" applyAlignment="0" applyProtection="0"/>
    <xf numFmtId="43" fontId="35" fillId="0" borderId="0" applyFont="0" applyFill="0" applyBorder="0" applyAlignment="0" applyProtection="0"/>
    <xf numFmtId="44" fontId="49" fillId="0" borderId="0" applyFont="0" applyFill="0" applyBorder="0" applyAlignment="0" applyProtection="0"/>
    <xf numFmtId="0" fontId="6" fillId="26" borderId="157" applyNumberFormat="0" applyFont="0" applyAlignment="0" applyProtection="0"/>
    <xf numFmtId="43" fontId="5" fillId="0" borderId="0" applyFont="0" applyFill="0" applyBorder="0" applyAlignment="0" applyProtection="0"/>
    <xf numFmtId="43" fontId="6" fillId="0" borderId="0" applyFont="0" applyFill="0" applyBorder="0" applyAlignment="0" applyProtection="0"/>
    <xf numFmtId="0" fontId="72" fillId="0" borderId="159" applyNumberFormat="0" applyFill="0" applyAlignment="0" applyProtection="0"/>
    <xf numFmtId="0" fontId="65" fillId="39" borderId="158" applyNumberFormat="0" applyAlignment="0" applyProtection="0"/>
    <xf numFmtId="166" fontId="35" fillId="0" borderId="0" applyFont="0" applyFill="0" applyBorder="0" applyAlignment="0" applyProtection="0"/>
    <xf numFmtId="0" fontId="5" fillId="0" borderId="0"/>
    <xf numFmtId="0" fontId="116" fillId="0" borderId="159" applyNumberFormat="0" applyFill="0" applyAlignment="0" applyProtection="0"/>
    <xf numFmtId="166" fontId="5" fillId="0" borderId="0" applyFont="0" applyFill="0" applyBorder="0" applyAlignment="0" applyProtection="0"/>
    <xf numFmtId="43" fontId="5" fillId="0" borderId="0" applyFont="0" applyFill="0" applyBorder="0" applyAlignment="0" applyProtection="0"/>
    <xf numFmtId="44" fontId="48" fillId="0" borderId="0" applyFont="0" applyFill="0" applyBorder="0" applyAlignment="0" applyProtection="0"/>
    <xf numFmtId="0" fontId="5" fillId="26" borderId="157" applyNumberFormat="0" applyFont="0" applyAlignment="0" applyProtection="0"/>
    <xf numFmtId="0" fontId="5" fillId="26" borderId="157" applyNumberFormat="0" applyFont="0" applyAlignment="0" applyProtection="0"/>
    <xf numFmtId="0" fontId="110" fillId="38" borderId="158" applyNumberFormat="0" applyAlignment="0" applyProtection="0"/>
    <xf numFmtId="0" fontId="62" fillId="23" borderId="156" applyNumberFormat="0" applyAlignment="0" applyProtection="0"/>
    <xf numFmtId="0" fontId="59" fillId="38" borderId="156" applyNumberFormat="0" applyAlignment="0" applyProtection="0"/>
    <xf numFmtId="0" fontId="5" fillId="0" borderId="0"/>
    <xf numFmtId="0" fontId="59" fillId="38" borderId="156" applyNumberFormat="0" applyAlignment="0" applyProtection="0"/>
    <xf numFmtId="0" fontId="62" fillId="29" borderId="156" applyNumberFormat="0" applyAlignment="0" applyProtection="0"/>
    <xf numFmtId="0" fontId="5" fillId="26" borderId="157" applyNumberFormat="0" applyFont="0" applyAlignment="0" applyProtection="0"/>
    <xf numFmtId="0" fontId="62" fillId="23" borderId="156" applyNumberFormat="0" applyAlignment="0" applyProtection="0"/>
    <xf numFmtId="43" fontId="5" fillId="0" borderId="0" applyFont="0" applyFill="0" applyBorder="0" applyAlignment="0" applyProtection="0"/>
    <xf numFmtId="0" fontId="104" fillId="23" borderId="156" applyNumberFormat="0" applyAlignment="0" applyProtection="0"/>
    <xf numFmtId="166" fontId="5" fillId="0" borderId="0" applyFont="0" applyFill="0" applyBorder="0" applyAlignment="0" applyProtection="0"/>
    <xf numFmtId="43" fontId="5" fillId="0" borderId="0" applyFont="0" applyFill="0" applyBorder="0" applyAlignment="0" applyProtection="0"/>
    <xf numFmtId="0" fontId="65" fillId="39" borderId="158" applyNumberFormat="0" applyAlignment="0" applyProtection="0"/>
    <xf numFmtId="166" fontId="5" fillId="0" borderId="0" applyFont="0" applyFill="0" applyBorder="0" applyAlignment="0" applyProtection="0"/>
    <xf numFmtId="43" fontId="5" fillId="0" borderId="0" applyFont="0" applyFill="0" applyBorder="0" applyAlignment="0" applyProtection="0"/>
    <xf numFmtId="166" fontId="49" fillId="0" borderId="0" applyFont="0" applyFill="0" applyBorder="0" applyAlignment="0" applyProtection="0"/>
    <xf numFmtId="0" fontId="65" fillId="38" borderId="158" applyNumberFormat="0" applyAlignment="0" applyProtection="0"/>
    <xf numFmtId="0" fontId="5" fillId="0" borderId="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65" fillId="39" borderId="158" applyNumberFormat="0" applyAlignment="0" applyProtection="0"/>
    <xf numFmtId="0" fontId="59" fillId="38" borderId="156" applyNumberFormat="0" applyAlignment="0" applyProtection="0"/>
    <xf numFmtId="0" fontId="65" fillId="38" borderId="158" applyNumberFormat="0" applyAlignment="0" applyProtection="0"/>
    <xf numFmtId="166" fontId="5" fillId="0" borderId="0" applyFont="0" applyFill="0" applyBorder="0" applyAlignment="0" applyProtection="0"/>
    <xf numFmtId="43" fontId="5" fillId="0" borderId="0" applyFont="0" applyFill="0" applyBorder="0" applyAlignment="0" applyProtection="0"/>
    <xf numFmtId="0" fontId="65" fillId="39" borderId="158" applyNumberFormat="0" applyAlignment="0" applyProtection="0"/>
    <xf numFmtId="0" fontId="59" fillId="38" borderId="156" applyNumberFormat="0" applyAlignment="0" applyProtection="0"/>
    <xf numFmtId="0" fontId="116" fillId="0" borderId="159" applyNumberFormat="0" applyFill="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0" fontId="5" fillId="26" borderId="157" applyNumberFormat="0" applyFont="0" applyAlignment="0" applyProtection="0"/>
    <xf numFmtId="0" fontId="101" fillId="38" borderId="156" applyNumberFormat="0" applyAlignment="0" applyProtection="0"/>
    <xf numFmtId="0" fontId="5" fillId="26" borderId="157" applyNumberFormat="0" applyFont="0" applyAlignment="0" applyProtection="0"/>
    <xf numFmtId="0" fontId="5" fillId="0" borderId="0"/>
    <xf numFmtId="166"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9" fillId="38" borderId="156" applyNumberFormat="0" applyAlignment="0" applyProtection="0"/>
    <xf numFmtId="43" fontId="6" fillId="0" borderId="0" applyFont="0" applyFill="0" applyBorder="0" applyAlignment="0" applyProtection="0"/>
    <xf numFmtId="0" fontId="5" fillId="26" borderId="150"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62" fillId="23" borderId="156" applyNumberFormat="0" applyAlignment="0" applyProtection="0"/>
    <xf numFmtId="0" fontId="5" fillId="26" borderId="157" applyNumberFormat="0" applyFont="0" applyAlignment="0" applyProtection="0"/>
    <xf numFmtId="0" fontId="5" fillId="26" borderId="157" applyNumberFormat="0" applyFont="0" applyAlignment="0" applyProtection="0"/>
    <xf numFmtId="166" fontId="35" fillId="0" borderId="0" applyFont="0" applyFill="0" applyBorder="0" applyAlignment="0" applyProtection="0"/>
    <xf numFmtId="0" fontId="1" fillId="0" borderId="0"/>
    <xf numFmtId="0" fontId="116" fillId="0" borderId="159" applyNumberFormat="0" applyFill="0" applyAlignment="0" applyProtection="0"/>
    <xf numFmtId="0" fontId="5" fillId="26" borderId="157" applyNumberFormat="0" applyFont="0" applyAlignment="0" applyProtection="0"/>
    <xf numFmtId="165" fontId="5" fillId="0" borderId="0" applyFont="0" applyFill="0" applyBorder="0" applyAlignment="0" applyProtection="0"/>
    <xf numFmtId="0" fontId="5" fillId="26" borderId="157" applyNumberFormat="0" applyFont="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43" fontId="5" fillId="0" borderId="0" applyFont="0" applyFill="0" applyBorder="0" applyAlignment="0" applyProtection="0"/>
    <xf numFmtId="166" fontId="5" fillId="0" borderId="0" applyFont="0" applyFill="0" applyBorder="0" applyAlignment="0" applyProtection="0"/>
    <xf numFmtId="43" fontId="36" fillId="0" borderId="0"/>
    <xf numFmtId="0" fontId="104" fillId="23" borderId="156" applyNumberFormat="0" applyAlignment="0" applyProtection="0"/>
    <xf numFmtId="0" fontId="62" fillId="23" borderId="156" applyNumberFormat="0" applyAlignment="0" applyProtection="0"/>
    <xf numFmtId="0" fontId="62" fillId="23" borderId="156" applyNumberFormat="0" applyAlignment="0" applyProtection="0"/>
    <xf numFmtId="0" fontId="73" fillId="39" borderId="156" applyNumberFormat="0" applyAlignment="0" applyProtection="0"/>
    <xf numFmtId="43" fontId="35" fillId="0" borderId="0" applyFont="0" applyFill="0" applyBorder="0" applyAlignment="0" applyProtection="0"/>
    <xf numFmtId="0" fontId="116" fillId="0" borderId="159" applyNumberFormat="0" applyFill="0" applyAlignment="0" applyProtection="0"/>
    <xf numFmtId="0" fontId="5" fillId="0" borderId="0"/>
    <xf numFmtId="43" fontId="5" fillId="0" borderId="0" applyFont="0" applyFill="0" applyBorder="0" applyAlignment="0" applyProtection="0"/>
    <xf numFmtId="166" fontId="5" fillId="0" borderId="0" applyFont="0" applyFill="0" applyBorder="0" applyAlignment="0" applyProtection="0"/>
    <xf numFmtId="0" fontId="5" fillId="26" borderId="157" applyNumberFormat="0" applyFont="0" applyAlignment="0" applyProtection="0"/>
    <xf numFmtId="43" fontId="2"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26" borderId="15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0" fontId="5" fillId="26" borderId="157" applyNumberFormat="0" applyFont="0" applyAlignment="0" applyProtection="0"/>
    <xf numFmtId="0" fontId="62" fillId="29" borderId="156" applyNumberFormat="0" applyAlignment="0" applyProtection="0"/>
    <xf numFmtId="43" fontId="5"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5" fillId="26" borderId="157" applyNumberFormat="0" applyFont="0" applyAlignment="0" applyProtection="0"/>
    <xf numFmtId="0" fontId="5" fillId="26" borderId="157" applyNumberFormat="0" applyFont="0" applyAlignment="0" applyProtection="0"/>
    <xf numFmtId="166" fontId="35" fillId="0" borderId="0" applyFont="0" applyFill="0" applyBorder="0" applyAlignment="0" applyProtection="0"/>
    <xf numFmtId="43" fontId="6" fillId="0" borderId="0" applyFont="0" applyFill="0" applyBorder="0" applyAlignment="0" applyProtection="0"/>
    <xf numFmtId="166" fontId="53" fillId="0" borderId="0" applyFont="0" applyFill="0" applyBorder="0" applyAlignment="0" applyProtection="0"/>
    <xf numFmtId="0" fontId="5" fillId="26" borderId="157" applyNumberFormat="0" applyFont="0" applyAlignment="0" applyProtection="0"/>
    <xf numFmtId="43" fontId="6" fillId="0" borderId="0" applyFont="0" applyFill="0" applyBorder="0" applyAlignment="0" applyProtection="0"/>
    <xf numFmtId="43" fontId="5" fillId="0" borderId="0" applyFont="0" applyFill="0" applyBorder="0" applyAlignment="0" applyProtection="0"/>
    <xf numFmtId="0" fontId="73" fillId="39" borderId="156" applyNumberFormat="0" applyAlignment="0" applyProtection="0"/>
    <xf numFmtId="0" fontId="5" fillId="26" borderId="157" applyNumberFormat="0" applyFont="0" applyAlignment="0" applyProtection="0"/>
    <xf numFmtId="0" fontId="62" fillId="29" borderId="156" applyNumberFormat="0" applyAlignment="0" applyProtection="0"/>
    <xf numFmtId="0" fontId="72" fillId="0" borderId="159" applyNumberFormat="0" applyFill="0" applyAlignment="0" applyProtection="0"/>
    <xf numFmtId="0" fontId="104" fillId="23" borderId="156" applyNumberFormat="0" applyAlignment="0" applyProtection="0"/>
    <xf numFmtId="166" fontId="6" fillId="0" borderId="0" applyFill="0" applyBorder="0" applyAlignment="0" applyProtection="0"/>
    <xf numFmtId="0" fontId="5" fillId="0" borderId="0"/>
    <xf numFmtId="43" fontId="1" fillId="0" borderId="0" applyFont="0" applyFill="0" applyBorder="0" applyAlignment="0" applyProtection="0"/>
    <xf numFmtId="43" fontId="5" fillId="0" borderId="0" applyFont="0" applyFill="0" applyBorder="0" applyAlignment="0" applyProtection="0"/>
    <xf numFmtId="0" fontId="73" fillId="39" borderId="156" applyNumberFormat="0" applyAlignment="0" applyProtection="0"/>
    <xf numFmtId="0" fontId="59" fillId="38" borderId="156" applyNumberFormat="0" applyAlignment="0" applyProtection="0"/>
    <xf numFmtId="0" fontId="6" fillId="0" borderId="0"/>
    <xf numFmtId="43" fontId="49" fillId="0" borderId="0" applyFont="0" applyFill="0" applyBorder="0" applyAlignment="0" applyProtection="0"/>
    <xf numFmtId="43" fontId="5" fillId="0" borderId="0" applyFont="0" applyFill="0" applyBorder="0" applyAlignment="0" applyProtection="0"/>
    <xf numFmtId="0" fontId="59" fillId="38" borderId="156"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0" fontId="62" fillId="23" borderId="156" applyNumberFormat="0" applyAlignment="0" applyProtection="0"/>
    <xf numFmtId="43" fontId="2" fillId="0" borderId="0" applyFont="0" applyFill="0" applyBorder="0" applyAlignment="0" applyProtection="0"/>
    <xf numFmtId="43" fontId="49" fillId="0" borderId="0" applyFont="0" applyFill="0" applyBorder="0" applyAlignment="0" applyProtection="0"/>
    <xf numFmtId="0" fontId="5" fillId="26" borderId="157" applyNumberFormat="0" applyFont="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6" fillId="26" borderId="157" applyNumberFormat="0" applyFont="0" applyAlignment="0" applyProtection="0"/>
    <xf numFmtId="0" fontId="5" fillId="26" borderId="157" applyNumberFormat="0" applyFont="0" applyAlignment="0" applyProtection="0"/>
    <xf numFmtId="166" fontId="5"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0" fontId="101" fillId="38" borderId="156" applyNumberFormat="0" applyAlignment="0" applyProtection="0"/>
    <xf numFmtId="0" fontId="5" fillId="0" borderId="0"/>
    <xf numFmtId="43" fontId="5" fillId="0" borderId="0" applyFont="0" applyFill="0" applyBorder="0" applyAlignment="0" applyProtection="0"/>
    <xf numFmtId="0" fontId="5" fillId="26" borderId="157" applyNumberFormat="0" applyFont="0" applyAlignment="0" applyProtection="0"/>
    <xf numFmtId="0" fontId="5" fillId="26" borderId="153" applyNumberFormat="0" applyFont="0" applyAlignment="0" applyProtection="0"/>
    <xf numFmtId="0" fontId="65" fillId="38" borderId="154" applyNumberFormat="0" applyAlignment="0" applyProtection="0"/>
    <xf numFmtId="0" fontId="5" fillId="26" borderId="153" applyNumberFormat="0" applyFont="0" applyAlignment="0" applyProtection="0"/>
    <xf numFmtId="0" fontId="116" fillId="0" borderId="155" applyNumberFormat="0" applyFill="0" applyAlignment="0" applyProtection="0"/>
    <xf numFmtId="0" fontId="73" fillId="39" borderId="152" applyNumberFormat="0" applyAlignment="0" applyProtection="0"/>
    <xf numFmtId="10" fontId="36" fillId="16" borderId="138" applyNumberFormat="0" applyBorder="0" applyAlignment="0" applyProtection="0"/>
    <xf numFmtId="0" fontId="5" fillId="26" borderId="153" applyNumberFormat="0" applyFont="0" applyAlignment="0" applyProtection="0"/>
    <xf numFmtId="0" fontId="65" fillId="39" borderId="154" applyNumberFormat="0" applyAlignment="0" applyProtection="0"/>
    <xf numFmtId="0" fontId="65" fillId="39" borderId="154" applyNumberFormat="0" applyAlignment="0" applyProtection="0"/>
    <xf numFmtId="0" fontId="110" fillId="38" borderId="154" applyNumberFormat="0" applyAlignment="0" applyProtection="0"/>
    <xf numFmtId="0" fontId="5" fillId="0" borderId="0"/>
    <xf numFmtId="10" fontId="36" fillId="16" borderId="138" applyNumberFormat="0" applyBorder="0" applyAlignment="0" applyProtection="0"/>
    <xf numFmtId="0" fontId="62" fillId="29" borderId="152" applyNumberFormat="0" applyAlignment="0" applyProtection="0"/>
    <xf numFmtId="0" fontId="62" fillId="23" borderId="152" applyNumberFormat="0" applyAlignment="0" applyProtection="0"/>
    <xf numFmtId="0" fontId="72" fillId="0" borderId="155" applyNumberFormat="0" applyFill="0" applyAlignment="0" applyProtection="0"/>
    <xf numFmtId="0" fontId="5" fillId="26" borderId="153" applyNumberFormat="0" applyFont="0" applyAlignment="0" applyProtection="0"/>
    <xf numFmtId="0" fontId="104" fillId="23" borderId="152" applyNumberFormat="0" applyAlignment="0" applyProtection="0"/>
    <xf numFmtId="0" fontId="59" fillId="38" borderId="152" applyNumberFormat="0" applyAlignment="0" applyProtection="0"/>
    <xf numFmtId="0" fontId="73" fillId="39" borderId="152" applyNumberFormat="0" applyAlignment="0" applyProtection="0"/>
    <xf numFmtId="0" fontId="62" fillId="29" borderId="152" applyNumberFormat="0" applyAlignment="0" applyProtection="0"/>
    <xf numFmtId="0" fontId="62" fillId="23" borderId="152" applyNumberFormat="0" applyAlignment="0" applyProtection="0"/>
    <xf numFmtId="0" fontId="5" fillId="26" borderId="153" applyNumberFormat="0" applyFont="0" applyAlignment="0" applyProtection="0"/>
    <xf numFmtId="0" fontId="6" fillId="26" borderId="153" applyNumberFormat="0" applyFont="0" applyAlignment="0" applyProtection="0"/>
    <xf numFmtId="0" fontId="65" fillId="38" borderId="154" applyNumberFormat="0" applyAlignment="0" applyProtection="0"/>
    <xf numFmtId="0" fontId="65" fillId="39" borderId="154" applyNumberFormat="0" applyAlignment="0" applyProtection="0"/>
    <xf numFmtId="0" fontId="72" fillId="0" borderId="155" applyNumberFormat="0" applyFill="0" applyAlignment="0" applyProtection="0"/>
    <xf numFmtId="0" fontId="5" fillId="26" borderId="153" applyNumberFormat="0" applyFont="0" applyAlignment="0" applyProtection="0"/>
    <xf numFmtId="0" fontId="104" fillId="23" borderId="152" applyNumberFormat="0" applyAlignment="0" applyProtection="0"/>
    <xf numFmtId="0" fontId="101" fillId="38" borderId="152" applyNumberFormat="0" applyAlignment="0" applyProtection="0"/>
    <xf numFmtId="0" fontId="62" fillId="29" borderId="152" applyNumberFormat="0" applyAlignment="0" applyProtection="0"/>
    <xf numFmtId="0" fontId="101" fillId="38" borderId="152" applyNumberFormat="0" applyAlignment="0" applyProtection="0"/>
    <xf numFmtId="0" fontId="5" fillId="26" borderId="153" applyNumberFormat="0" applyFont="0" applyAlignment="0" applyProtection="0"/>
    <xf numFmtId="0" fontId="110" fillId="38" borderId="154" applyNumberFormat="0" applyAlignment="0" applyProtection="0"/>
    <xf numFmtId="0" fontId="104" fillId="23" borderId="152" applyNumberFormat="0" applyAlignment="0" applyProtection="0"/>
    <xf numFmtId="0" fontId="5" fillId="26" borderId="153" applyNumberFormat="0" applyFont="0" applyAlignment="0" applyProtection="0"/>
    <xf numFmtId="0" fontId="5" fillId="26" borderId="153" applyNumberFormat="0" applyFont="0" applyAlignment="0" applyProtection="0"/>
    <xf numFmtId="0" fontId="65" fillId="39" borderId="154" applyNumberFormat="0" applyAlignment="0" applyProtection="0"/>
    <xf numFmtId="0" fontId="59" fillId="38" borderId="152" applyNumberFormat="0" applyAlignment="0" applyProtection="0"/>
    <xf numFmtId="0" fontId="5" fillId="26" borderId="153" applyNumberFormat="0" applyFont="0" applyAlignment="0" applyProtection="0"/>
    <xf numFmtId="0" fontId="5" fillId="26" borderId="153" applyNumberFormat="0" applyFont="0" applyAlignment="0" applyProtection="0"/>
    <xf numFmtId="0" fontId="5" fillId="26" borderId="153" applyNumberFormat="0" applyFont="0" applyAlignment="0" applyProtection="0"/>
    <xf numFmtId="0" fontId="73" fillId="39" borderId="152" applyNumberFormat="0" applyAlignment="0" applyProtection="0"/>
    <xf numFmtId="10" fontId="36" fillId="16" borderId="138" applyNumberFormat="0" applyBorder="0" applyAlignment="0" applyProtection="0"/>
    <xf numFmtId="0" fontId="62" fillId="23" borderId="152" applyNumberFormat="0" applyAlignment="0" applyProtection="0"/>
    <xf numFmtId="0" fontId="59" fillId="38" borderId="152" applyNumberFormat="0" applyAlignment="0" applyProtection="0"/>
    <xf numFmtId="0" fontId="72" fillId="0" borderId="155" applyNumberFormat="0" applyFill="0" applyAlignment="0" applyProtection="0"/>
    <xf numFmtId="0" fontId="5" fillId="26" borderId="153" applyNumberFormat="0" applyFont="0" applyAlignment="0" applyProtection="0"/>
    <xf numFmtId="0" fontId="72" fillId="0" borderId="155" applyNumberFormat="0" applyFill="0" applyAlignment="0" applyProtection="0"/>
    <xf numFmtId="0" fontId="5" fillId="26" borderId="153" applyNumberFormat="0" applyFont="0" applyAlignment="0" applyProtection="0"/>
    <xf numFmtId="0" fontId="5" fillId="26" borderId="153" applyNumberFormat="0" applyFont="0" applyAlignment="0" applyProtection="0"/>
    <xf numFmtId="0" fontId="5" fillId="26" borderId="153" applyNumberFormat="0" applyFont="0" applyAlignment="0" applyProtection="0"/>
    <xf numFmtId="0" fontId="104" fillId="23" borderId="152" applyNumberFormat="0" applyAlignment="0" applyProtection="0"/>
    <xf numFmtId="0" fontId="73" fillId="39" borderId="152" applyNumberFormat="0" applyAlignment="0" applyProtection="0"/>
    <xf numFmtId="0" fontId="5" fillId="26" borderId="153" applyNumberFormat="0" applyFont="0" applyAlignment="0" applyProtection="0"/>
    <xf numFmtId="0" fontId="6" fillId="26" borderId="153" applyNumberFormat="0" applyFont="0" applyAlignment="0" applyProtection="0"/>
    <xf numFmtId="0" fontId="59" fillId="38" borderId="152" applyNumberFormat="0" applyAlignment="0" applyProtection="0"/>
    <xf numFmtId="0" fontId="73" fillId="39" borderId="152" applyNumberFormat="0" applyAlignment="0" applyProtection="0"/>
    <xf numFmtId="0" fontId="65" fillId="38" borderId="154" applyNumberFormat="0" applyAlignment="0" applyProtection="0"/>
    <xf numFmtId="0" fontId="5" fillId="26" borderId="153" applyNumberFormat="0" applyFont="0" applyAlignment="0" applyProtection="0"/>
    <xf numFmtId="0" fontId="65" fillId="38" borderId="154" applyNumberFormat="0" applyAlignment="0" applyProtection="0"/>
    <xf numFmtId="0" fontId="110" fillId="38" borderId="154" applyNumberFormat="0" applyAlignment="0" applyProtection="0"/>
    <xf numFmtId="0" fontId="5" fillId="26" borderId="153" applyNumberFormat="0" applyFont="0" applyAlignment="0" applyProtection="0"/>
    <xf numFmtId="0" fontId="65" fillId="39" borderId="154" applyNumberFormat="0" applyAlignment="0" applyProtection="0"/>
    <xf numFmtId="0" fontId="65" fillId="38" borderId="154" applyNumberFormat="0" applyAlignment="0" applyProtection="0"/>
    <xf numFmtId="0" fontId="62" fillId="23" borderId="152" applyNumberFormat="0" applyAlignment="0" applyProtection="0"/>
    <xf numFmtId="0" fontId="5" fillId="26" borderId="153" applyNumberFormat="0" applyFont="0" applyAlignment="0" applyProtection="0"/>
    <xf numFmtId="0" fontId="73" fillId="39" borderId="152" applyNumberFormat="0" applyAlignment="0" applyProtection="0"/>
    <xf numFmtId="0" fontId="5" fillId="26" borderId="153" applyNumberFormat="0" applyFont="0" applyAlignment="0" applyProtection="0"/>
    <xf numFmtId="0" fontId="6" fillId="26" borderId="153" applyNumberFormat="0" applyFont="0" applyAlignment="0" applyProtection="0"/>
    <xf numFmtId="0" fontId="5" fillId="26" borderId="153" applyNumberFormat="0" applyFont="0" applyAlignment="0" applyProtection="0"/>
    <xf numFmtId="0" fontId="62" fillId="29" borderId="152" applyNumberFormat="0" applyAlignment="0" applyProtection="0"/>
    <xf numFmtId="0" fontId="5" fillId="26" borderId="153" applyNumberFormat="0" applyFont="0" applyAlignment="0" applyProtection="0"/>
    <xf numFmtId="0" fontId="5" fillId="26" borderId="153" applyNumberFormat="0" applyFont="0" applyAlignment="0" applyProtection="0"/>
    <xf numFmtId="0" fontId="5" fillId="26" borderId="153" applyNumberFormat="0" applyFont="0" applyAlignment="0" applyProtection="0"/>
    <xf numFmtId="0" fontId="72" fillId="0" borderId="155" applyNumberFormat="0" applyFill="0" applyAlignment="0" applyProtection="0"/>
    <xf numFmtId="0" fontId="116" fillId="0" borderId="155" applyNumberFormat="0" applyFill="0" applyAlignment="0" applyProtection="0"/>
    <xf numFmtId="0" fontId="5" fillId="26" borderId="153" applyNumberFormat="0" applyFont="0" applyAlignment="0" applyProtection="0"/>
    <xf numFmtId="0" fontId="59" fillId="38" borderId="152" applyNumberFormat="0" applyAlignment="0" applyProtection="0"/>
    <xf numFmtId="0" fontId="6" fillId="26" borderId="153" applyNumberFormat="0" applyFont="0" applyAlignment="0" applyProtection="0"/>
    <xf numFmtId="0" fontId="5" fillId="26" borderId="153" applyNumberFormat="0" applyFont="0" applyAlignment="0" applyProtection="0"/>
    <xf numFmtId="0" fontId="62" fillId="23" borderId="152" applyNumberFormat="0" applyAlignment="0" applyProtection="0"/>
    <xf numFmtId="0" fontId="59" fillId="38" borderId="152" applyNumberFormat="0" applyAlignment="0" applyProtection="0"/>
    <xf numFmtId="0" fontId="116" fillId="0" borderId="155" applyNumberFormat="0" applyFill="0" applyAlignment="0" applyProtection="0"/>
    <xf numFmtId="0" fontId="72" fillId="0" borderId="155" applyNumberFormat="0" applyFill="0" applyAlignment="0" applyProtection="0"/>
    <xf numFmtId="0" fontId="5" fillId="0" borderId="0"/>
    <xf numFmtId="0" fontId="62" fillId="23" borderId="152" applyNumberFormat="0" applyAlignment="0" applyProtection="0"/>
    <xf numFmtId="0" fontId="104" fillId="23" borderId="152" applyNumberFormat="0" applyAlignment="0" applyProtection="0"/>
    <xf numFmtId="0" fontId="73" fillId="39" borderId="152" applyNumberFormat="0" applyAlignment="0" applyProtection="0"/>
    <xf numFmtId="0" fontId="72" fillId="0" borderId="155" applyNumberFormat="0" applyFill="0" applyAlignment="0" applyProtection="0"/>
    <xf numFmtId="0" fontId="6" fillId="26" borderId="153" applyNumberFormat="0" applyFont="0" applyAlignment="0" applyProtection="0"/>
    <xf numFmtId="0" fontId="62" fillId="23" borderId="152" applyNumberFormat="0" applyAlignment="0" applyProtection="0"/>
    <xf numFmtId="0" fontId="5" fillId="26" borderId="153" applyNumberFormat="0" applyFont="0" applyAlignment="0" applyProtection="0"/>
    <xf numFmtId="0" fontId="116" fillId="0" borderId="155" applyNumberFormat="0" applyFill="0" applyAlignment="0" applyProtection="0"/>
    <xf numFmtId="0" fontId="110" fillId="38" borderId="154" applyNumberFormat="0" applyAlignment="0" applyProtection="0"/>
    <xf numFmtId="0" fontId="59" fillId="38" borderId="152" applyNumberFormat="0" applyAlignment="0" applyProtection="0"/>
    <xf numFmtId="0" fontId="65" fillId="39" borderId="154" applyNumberFormat="0" applyAlignment="0" applyProtection="0"/>
    <xf numFmtId="0" fontId="62" fillId="23" borderId="152" applyNumberFormat="0" applyAlignment="0" applyProtection="0"/>
    <xf numFmtId="0" fontId="5" fillId="26" borderId="153" applyNumberFormat="0" applyFont="0" applyAlignment="0" applyProtection="0"/>
    <xf numFmtId="0" fontId="116" fillId="0" borderId="155" applyNumberFormat="0" applyFill="0" applyAlignment="0" applyProtection="0"/>
    <xf numFmtId="0" fontId="73" fillId="39" borderId="152" applyNumberFormat="0" applyAlignment="0" applyProtection="0"/>
    <xf numFmtId="0" fontId="5" fillId="26" borderId="153" applyNumberFormat="0" applyFont="0" applyAlignment="0" applyProtection="0"/>
    <xf numFmtId="0" fontId="5" fillId="0" borderId="0"/>
    <xf numFmtId="0" fontId="65" fillId="39" borderId="154" applyNumberFormat="0" applyAlignment="0" applyProtection="0"/>
    <xf numFmtId="0" fontId="65" fillId="39" borderId="154" applyNumberFormat="0" applyAlignment="0" applyProtection="0"/>
    <xf numFmtId="0" fontId="72" fillId="0" borderId="155" applyNumberFormat="0" applyFill="0" applyAlignment="0" applyProtection="0"/>
    <xf numFmtId="0" fontId="104" fillId="23" borderId="152" applyNumberFormat="0" applyAlignment="0" applyProtection="0"/>
    <xf numFmtId="0" fontId="62" fillId="29" borderId="152" applyNumberFormat="0" applyAlignment="0" applyProtection="0"/>
    <xf numFmtId="0" fontId="5" fillId="26" borderId="153" applyNumberFormat="0" applyFont="0" applyAlignment="0" applyProtection="0"/>
    <xf numFmtId="0" fontId="6" fillId="26" borderId="153" applyNumberFormat="0" applyFont="0" applyAlignment="0" applyProtection="0"/>
    <xf numFmtId="0" fontId="101" fillId="38" borderId="152" applyNumberFormat="0" applyAlignment="0" applyProtection="0"/>
    <xf numFmtId="0" fontId="104" fillId="23" borderId="152" applyNumberFormat="0" applyAlignment="0" applyProtection="0"/>
    <xf numFmtId="0" fontId="5" fillId="26" borderId="153" applyNumberFormat="0" applyFont="0" applyAlignment="0" applyProtection="0"/>
    <xf numFmtId="0" fontId="110" fillId="38" borderId="154" applyNumberFormat="0" applyAlignment="0" applyProtection="0"/>
    <xf numFmtId="0" fontId="5" fillId="26" borderId="153" applyNumberFormat="0" applyFont="0" applyAlignment="0" applyProtection="0"/>
    <xf numFmtId="0" fontId="116" fillId="0" borderId="155" applyNumberFormat="0" applyFill="0" applyAlignment="0" applyProtection="0"/>
    <xf numFmtId="0" fontId="62" fillId="23" borderId="152" applyNumberFormat="0" applyAlignment="0" applyProtection="0"/>
    <xf numFmtId="0" fontId="6" fillId="26" borderId="153" applyNumberFormat="0" applyFont="0" applyAlignment="0" applyProtection="0"/>
    <xf numFmtId="0" fontId="65" fillId="38" borderId="154" applyNumberFormat="0" applyAlignment="0" applyProtection="0"/>
    <xf numFmtId="0" fontId="62" fillId="23" borderId="152" applyNumberFormat="0" applyAlignment="0" applyProtection="0"/>
    <xf numFmtId="0" fontId="62" fillId="29" borderId="152" applyNumberFormat="0" applyAlignment="0" applyProtection="0"/>
    <xf numFmtId="0" fontId="62" fillId="23" borderId="152" applyNumberFormat="0" applyAlignment="0" applyProtection="0"/>
    <xf numFmtId="0" fontId="62" fillId="23" borderId="152" applyNumberFormat="0" applyAlignment="0" applyProtection="0"/>
    <xf numFmtId="0" fontId="62" fillId="23" borderId="152" applyNumberFormat="0" applyAlignment="0" applyProtection="0"/>
    <xf numFmtId="0" fontId="65" fillId="39" borderId="154" applyNumberFormat="0" applyAlignment="0" applyProtection="0"/>
    <xf numFmtId="0" fontId="59" fillId="38" borderId="152" applyNumberFormat="0" applyAlignment="0" applyProtection="0"/>
    <xf numFmtId="0" fontId="116" fillId="0" borderId="155" applyNumberFormat="0" applyFill="0" applyAlignment="0" applyProtection="0"/>
    <xf numFmtId="0" fontId="62" fillId="23" borderId="152" applyNumberFormat="0" applyAlignment="0" applyProtection="0"/>
    <xf numFmtId="0" fontId="65" fillId="38" borderId="154" applyNumberFormat="0" applyAlignment="0" applyProtection="0"/>
    <xf numFmtId="0" fontId="5" fillId="26" borderId="153" applyNumberFormat="0" applyFont="0" applyAlignment="0" applyProtection="0"/>
    <xf numFmtId="0" fontId="116" fillId="0" borderId="155" applyNumberFormat="0" applyFill="0" applyAlignment="0" applyProtection="0"/>
    <xf numFmtId="0" fontId="62" fillId="29" borderId="152" applyNumberFormat="0" applyAlignment="0" applyProtection="0"/>
    <xf numFmtId="0" fontId="5" fillId="0" borderId="0"/>
    <xf numFmtId="0" fontId="5" fillId="26" borderId="153" applyNumberFormat="0" applyFont="0" applyAlignment="0" applyProtection="0"/>
    <xf numFmtId="0" fontId="5" fillId="26" borderId="153" applyNumberFormat="0" applyFont="0" applyAlignment="0" applyProtection="0"/>
    <xf numFmtId="10" fontId="36" fillId="16" borderId="138" applyNumberFormat="0" applyBorder="0" applyAlignment="0" applyProtection="0"/>
    <xf numFmtId="0" fontId="6" fillId="26" borderId="153" applyNumberFormat="0" applyFont="0" applyAlignment="0" applyProtection="0"/>
    <xf numFmtId="0" fontId="72" fillId="0" borderId="155" applyNumberFormat="0" applyFill="0" applyAlignment="0" applyProtection="0"/>
    <xf numFmtId="0" fontId="101" fillId="38" borderId="152" applyNumberFormat="0" applyAlignment="0" applyProtection="0"/>
    <xf numFmtId="0" fontId="62" fillId="23" borderId="152" applyNumberFormat="0" applyAlignment="0" applyProtection="0"/>
    <xf numFmtId="0" fontId="5" fillId="26" borderId="153" applyNumberFormat="0" applyFont="0" applyAlignment="0" applyProtection="0"/>
    <xf numFmtId="0" fontId="110" fillId="38" borderId="154" applyNumberFormat="0" applyAlignment="0" applyProtection="0"/>
    <xf numFmtId="0" fontId="110" fillId="38" borderId="154" applyNumberFormat="0" applyAlignment="0" applyProtection="0"/>
    <xf numFmtId="10" fontId="36" fillId="16" borderId="138" applyNumberFormat="0" applyBorder="0" applyAlignment="0" applyProtection="0"/>
    <xf numFmtId="0" fontId="101" fillId="38" borderId="152" applyNumberFormat="0" applyAlignment="0" applyProtection="0"/>
    <xf numFmtId="0" fontId="116" fillId="0" borderId="155" applyNumberFormat="0" applyFill="0" applyAlignment="0" applyProtection="0"/>
    <xf numFmtId="0" fontId="104" fillId="23" borderId="152" applyNumberFormat="0" applyAlignment="0" applyProtection="0"/>
    <xf numFmtId="0" fontId="101" fillId="38" borderId="152" applyNumberFormat="0" applyAlignment="0" applyProtection="0"/>
    <xf numFmtId="0" fontId="6" fillId="26" borderId="153" applyNumberFormat="0" applyFont="0" applyAlignment="0" applyProtection="0"/>
    <xf numFmtId="0" fontId="62" fillId="29" borderId="152" applyNumberFormat="0" applyAlignment="0" applyProtection="0"/>
    <xf numFmtId="0" fontId="110" fillId="38" borderId="154" applyNumberFormat="0" applyAlignment="0" applyProtection="0"/>
    <xf numFmtId="0" fontId="5" fillId="26" borderId="153" applyNumberFormat="0" applyFont="0" applyAlignment="0" applyProtection="0"/>
    <xf numFmtId="0" fontId="5" fillId="26" borderId="153" applyNumberFormat="0" applyFont="0" applyAlignment="0" applyProtection="0"/>
    <xf numFmtId="0" fontId="65" fillId="38" borderId="154" applyNumberFormat="0" applyAlignment="0" applyProtection="0"/>
    <xf numFmtId="0" fontId="101" fillId="38" borderId="152" applyNumberFormat="0" applyAlignment="0" applyProtection="0"/>
    <xf numFmtId="0" fontId="5" fillId="26" borderId="153" applyNumberFormat="0" applyFont="0" applyAlignment="0" applyProtection="0"/>
    <xf numFmtId="0" fontId="5" fillId="26" borderId="153" applyNumberFormat="0" applyFont="0" applyAlignment="0" applyProtection="0"/>
    <xf numFmtId="0" fontId="5" fillId="26" borderId="153" applyNumberFormat="0" applyFont="0" applyAlignment="0" applyProtection="0"/>
    <xf numFmtId="0" fontId="65" fillId="39" borderId="154" applyNumberFormat="0" applyAlignment="0" applyProtection="0"/>
    <xf numFmtId="10" fontId="36" fillId="16" borderId="138" applyNumberFormat="0" applyBorder="0" applyAlignment="0" applyProtection="0"/>
    <xf numFmtId="0" fontId="5" fillId="0" borderId="0"/>
    <xf numFmtId="0" fontId="65" fillId="38" borderId="154" applyNumberFormat="0" applyAlignment="0" applyProtection="0"/>
    <xf numFmtId="0" fontId="101" fillId="38" borderId="152" applyNumberFormat="0" applyAlignment="0" applyProtection="0"/>
    <xf numFmtId="0" fontId="62" fillId="23" borderId="152" applyNumberFormat="0" applyAlignment="0" applyProtection="0"/>
    <xf numFmtId="0" fontId="5" fillId="26" borderId="153" applyNumberFormat="0" applyFont="0" applyAlignment="0" applyProtection="0"/>
    <xf numFmtId="0" fontId="5" fillId="26" borderId="153" applyNumberFormat="0" applyFont="0" applyAlignment="0" applyProtection="0"/>
    <xf numFmtId="0" fontId="65" fillId="38" borderId="154" applyNumberFormat="0" applyAlignment="0" applyProtection="0"/>
    <xf numFmtId="0" fontId="62" fillId="23" borderId="152" applyNumberFormat="0" applyAlignment="0" applyProtection="0"/>
    <xf numFmtId="0" fontId="5" fillId="26" borderId="153" applyNumberFormat="0" applyFont="0" applyAlignment="0" applyProtection="0"/>
    <xf numFmtId="0" fontId="73" fillId="39" borderId="152" applyNumberFormat="0" applyAlignment="0" applyProtection="0"/>
    <xf numFmtId="0" fontId="116" fillId="0" borderId="155" applyNumberFormat="0" applyFill="0" applyAlignment="0" applyProtection="0"/>
    <xf numFmtId="0" fontId="62" fillId="29" borderId="152" applyNumberFormat="0" applyAlignment="0" applyProtection="0"/>
    <xf numFmtId="0" fontId="5" fillId="26" borderId="153" applyNumberFormat="0" applyFont="0" applyAlignment="0" applyProtection="0"/>
    <xf numFmtId="0" fontId="6" fillId="26" borderId="153" applyNumberFormat="0" applyFont="0" applyAlignment="0" applyProtection="0"/>
    <xf numFmtId="10" fontId="36" fillId="16" borderId="138" applyNumberFormat="0" applyBorder="0" applyAlignment="0" applyProtection="0"/>
    <xf numFmtId="0" fontId="62" fillId="23" borderId="152" applyNumberFormat="0" applyAlignment="0" applyProtection="0"/>
    <xf numFmtId="0" fontId="101" fillId="38" borderId="152" applyNumberFormat="0" applyAlignment="0" applyProtection="0"/>
    <xf numFmtId="0" fontId="65" fillId="39" borderId="154" applyNumberFormat="0" applyAlignment="0" applyProtection="0"/>
    <xf numFmtId="0" fontId="5" fillId="26" borderId="153" applyNumberFormat="0" applyFont="0" applyAlignment="0" applyProtection="0"/>
    <xf numFmtId="0" fontId="65" fillId="38" borderId="154" applyNumberFormat="0" applyAlignment="0" applyProtection="0"/>
    <xf numFmtId="0" fontId="5" fillId="0" borderId="0"/>
    <xf numFmtId="0" fontId="104" fillId="23" borderId="152" applyNumberFormat="0" applyAlignment="0" applyProtection="0"/>
    <xf numFmtId="0" fontId="59" fillId="38" borderId="152" applyNumberFormat="0" applyAlignment="0" applyProtection="0"/>
    <xf numFmtId="0" fontId="5" fillId="26" borderId="153" applyNumberFormat="0" applyFont="0" applyAlignment="0" applyProtection="0"/>
    <xf numFmtId="0" fontId="5" fillId="26" borderId="153" applyNumberFormat="0" applyFont="0" applyAlignment="0" applyProtection="0"/>
    <xf numFmtId="0" fontId="5" fillId="26" borderId="153" applyNumberFormat="0" applyFont="0" applyAlignment="0" applyProtection="0"/>
    <xf numFmtId="0" fontId="72" fillId="0" borderId="155" applyNumberFormat="0" applyFill="0" applyAlignment="0" applyProtection="0"/>
    <xf numFmtId="0" fontId="62" fillId="23" borderId="152" applyNumberFormat="0" applyAlignment="0" applyProtection="0"/>
    <xf numFmtId="0" fontId="110" fillId="38" borderId="154" applyNumberFormat="0" applyAlignment="0" applyProtection="0"/>
    <xf numFmtId="0" fontId="6" fillId="26" borderId="153" applyNumberFormat="0" applyFont="0" applyAlignment="0" applyProtection="0"/>
    <xf numFmtId="0" fontId="116" fillId="0" borderId="155" applyNumberFormat="0" applyFill="0" applyAlignment="0" applyProtection="0"/>
    <xf numFmtId="0" fontId="65" fillId="39" borderId="154" applyNumberFormat="0" applyAlignment="0" applyProtection="0"/>
    <xf numFmtId="0" fontId="65" fillId="38" borderId="154" applyNumberFormat="0" applyAlignment="0" applyProtection="0"/>
    <xf numFmtId="0" fontId="72" fillId="0" borderId="155" applyNumberFormat="0" applyFill="0" applyAlignment="0" applyProtection="0"/>
    <xf numFmtId="0" fontId="110" fillId="38" borderId="154" applyNumberFormat="0" applyAlignment="0" applyProtection="0"/>
    <xf numFmtId="0" fontId="5" fillId="26" borderId="153" applyNumberFormat="0" applyFont="0" applyAlignment="0" applyProtection="0"/>
    <xf numFmtId="0" fontId="5" fillId="26" borderId="153" applyNumberFormat="0" applyFont="0" applyAlignment="0" applyProtection="0"/>
    <xf numFmtId="0" fontId="5" fillId="26" borderId="153" applyNumberFormat="0" applyFont="0" applyAlignment="0" applyProtection="0"/>
    <xf numFmtId="0" fontId="72" fillId="0" borderId="155" applyNumberFormat="0" applyFill="0" applyAlignment="0" applyProtection="0"/>
    <xf numFmtId="0" fontId="110" fillId="38" borderId="154" applyNumberFormat="0" applyAlignment="0" applyProtection="0"/>
    <xf numFmtId="0" fontId="73" fillId="39" borderId="152" applyNumberFormat="0" applyAlignment="0" applyProtection="0"/>
    <xf numFmtId="0" fontId="116" fillId="0" borderId="155" applyNumberFormat="0" applyFill="0" applyAlignment="0" applyProtection="0"/>
    <xf numFmtId="0" fontId="62" fillId="29" borderId="152" applyNumberFormat="0" applyAlignment="0" applyProtection="0"/>
    <xf numFmtId="0" fontId="5" fillId="26" borderId="153" applyNumberFormat="0" applyFont="0" applyAlignment="0" applyProtection="0"/>
    <xf numFmtId="0" fontId="6" fillId="26" borderId="153" applyNumberFormat="0" applyFont="0" applyAlignment="0" applyProtection="0"/>
    <xf numFmtId="10" fontId="36" fillId="16" borderId="138" applyNumberFormat="0" applyBorder="0" applyAlignment="0" applyProtection="0"/>
    <xf numFmtId="0" fontId="62" fillId="23" borderId="152" applyNumberFormat="0" applyAlignment="0" applyProtection="0"/>
    <xf numFmtId="0" fontId="101" fillId="38" borderId="152" applyNumberFormat="0" applyAlignment="0" applyProtection="0"/>
    <xf numFmtId="0" fontId="65" fillId="39" borderId="154" applyNumberFormat="0" applyAlignment="0" applyProtection="0"/>
    <xf numFmtId="0" fontId="5" fillId="26" borderId="153" applyNumberFormat="0" applyFont="0" applyAlignment="0" applyProtection="0"/>
    <xf numFmtId="0" fontId="65" fillId="38" borderId="154" applyNumberFormat="0" applyAlignment="0" applyProtection="0"/>
    <xf numFmtId="0" fontId="104" fillId="23" borderId="152" applyNumberFormat="0" applyAlignment="0" applyProtection="0"/>
    <xf numFmtId="0" fontId="59" fillId="38" borderId="152" applyNumberFormat="0" applyAlignment="0" applyProtection="0"/>
    <xf numFmtId="0" fontId="5" fillId="26" borderId="153" applyNumberFormat="0" applyFont="0" applyAlignment="0" applyProtection="0"/>
    <xf numFmtId="0" fontId="5" fillId="26" borderId="153" applyNumberFormat="0" applyFont="0" applyAlignment="0" applyProtection="0"/>
    <xf numFmtId="0" fontId="5" fillId="26" borderId="153" applyNumberFormat="0" applyFont="0" applyAlignment="0" applyProtection="0"/>
    <xf numFmtId="0" fontId="72" fillId="0" borderId="155" applyNumberFormat="0" applyFill="0" applyAlignment="0" applyProtection="0"/>
    <xf numFmtId="0" fontId="62" fillId="23" borderId="152" applyNumberFormat="0" applyAlignment="0" applyProtection="0"/>
    <xf numFmtId="0" fontId="110" fillId="38" borderId="154" applyNumberFormat="0" applyAlignment="0" applyProtection="0"/>
    <xf numFmtId="0" fontId="5" fillId="26" borderId="153" applyNumberFormat="0" applyFont="0" applyAlignment="0" applyProtection="0"/>
    <xf numFmtId="0" fontId="5" fillId="26" borderId="153" applyNumberFormat="0" applyFont="0" applyAlignment="0" applyProtection="0"/>
    <xf numFmtId="0" fontId="73" fillId="39" borderId="152" applyNumberFormat="0" applyAlignment="0" applyProtection="0"/>
    <xf numFmtId="0" fontId="116" fillId="0" borderId="155" applyNumberFormat="0" applyFill="0" applyAlignment="0" applyProtection="0"/>
    <xf numFmtId="0" fontId="62" fillId="29" borderId="152" applyNumberFormat="0" applyAlignment="0" applyProtection="0"/>
    <xf numFmtId="0" fontId="5" fillId="26" borderId="153" applyNumberFormat="0" applyFont="0" applyAlignment="0" applyProtection="0"/>
    <xf numFmtId="0" fontId="6" fillId="26" borderId="153" applyNumberFormat="0" applyFont="0" applyAlignment="0" applyProtection="0"/>
    <xf numFmtId="10" fontId="36" fillId="16" borderId="138" applyNumberFormat="0" applyBorder="0" applyAlignment="0" applyProtection="0"/>
    <xf numFmtId="0" fontId="62" fillId="23" borderId="152" applyNumberFormat="0" applyAlignment="0" applyProtection="0"/>
    <xf numFmtId="0" fontId="101" fillId="38" borderId="152" applyNumberFormat="0" applyAlignment="0" applyProtection="0"/>
    <xf numFmtId="0" fontId="65" fillId="39" borderId="154" applyNumberFormat="0" applyAlignment="0" applyProtection="0"/>
    <xf numFmtId="0" fontId="5" fillId="26" borderId="153" applyNumberFormat="0" applyFont="0" applyAlignment="0" applyProtection="0"/>
    <xf numFmtId="0" fontId="65" fillId="38" borderId="154" applyNumberFormat="0" applyAlignment="0" applyProtection="0"/>
    <xf numFmtId="0" fontId="5" fillId="26" borderId="157" applyNumberFormat="0" applyFont="0" applyAlignment="0" applyProtection="0"/>
    <xf numFmtId="0" fontId="104" fillId="23" borderId="152" applyNumberFormat="0" applyAlignment="0" applyProtection="0"/>
    <xf numFmtId="0" fontId="59" fillId="38" borderId="152" applyNumberFormat="0" applyAlignment="0" applyProtection="0"/>
    <xf numFmtId="0" fontId="5" fillId="26" borderId="153" applyNumberFormat="0" applyFont="0" applyAlignment="0" applyProtection="0"/>
    <xf numFmtId="0" fontId="5" fillId="26" borderId="153" applyNumberFormat="0" applyFont="0" applyAlignment="0" applyProtection="0"/>
    <xf numFmtId="0" fontId="5" fillId="26" borderId="153" applyNumberFormat="0" applyFont="0" applyAlignment="0" applyProtection="0"/>
    <xf numFmtId="0" fontId="72" fillId="0" borderId="155" applyNumberFormat="0" applyFill="0" applyAlignment="0" applyProtection="0"/>
    <xf numFmtId="0" fontId="62" fillId="23" borderId="152" applyNumberFormat="0" applyAlignment="0" applyProtection="0"/>
    <xf numFmtId="0" fontId="110" fillId="38" borderId="154" applyNumberFormat="0" applyAlignment="0" applyProtection="0"/>
    <xf numFmtId="0" fontId="73" fillId="39" borderId="152" applyNumberFormat="0" applyAlignment="0" applyProtection="0"/>
    <xf numFmtId="0" fontId="116" fillId="0" borderId="155" applyNumberFormat="0" applyFill="0" applyAlignment="0" applyProtection="0"/>
    <xf numFmtId="0" fontId="62" fillId="29" borderId="152" applyNumberFormat="0" applyAlignment="0" applyProtection="0"/>
    <xf numFmtId="0" fontId="5" fillId="26" borderId="153" applyNumberFormat="0" applyFont="0" applyAlignment="0" applyProtection="0"/>
    <xf numFmtId="0" fontId="6" fillId="26" borderId="153" applyNumberFormat="0" applyFont="0" applyAlignment="0" applyProtection="0"/>
    <xf numFmtId="10" fontId="36" fillId="16" borderId="138" applyNumberFormat="0" applyBorder="0" applyAlignment="0" applyProtection="0"/>
    <xf numFmtId="0" fontId="62" fillId="23" borderId="152" applyNumberFormat="0" applyAlignment="0" applyProtection="0"/>
    <xf numFmtId="0" fontId="101" fillId="38" borderId="152" applyNumberFormat="0" applyAlignment="0" applyProtection="0"/>
    <xf numFmtId="0" fontId="65" fillId="39" borderId="154" applyNumberFormat="0" applyAlignment="0" applyProtection="0"/>
    <xf numFmtId="0" fontId="5" fillId="26" borderId="153" applyNumberFormat="0" applyFont="0" applyAlignment="0" applyProtection="0"/>
    <xf numFmtId="0" fontId="65" fillId="38" borderId="154" applyNumberFormat="0" applyAlignment="0" applyProtection="0"/>
    <xf numFmtId="0" fontId="5" fillId="0" borderId="0"/>
    <xf numFmtId="0" fontId="104" fillId="23" borderId="152" applyNumberFormat="0" applyAlignment="0" applyProtection="0"/>
    <xf numFmtId="0" fontId="59" fillId="38" borderId="152" applyNumberFormat="0" applyAlignment="0" applyProtection="0"/>
    <xf numFmtId="0" fontId="5" fillId="26" borderId="153" applyNumberFormat="0" applyFont="0" applyAlignment="0" applyProtection="0"/>
    <xf numFmtId="0" fontId="5" fillId="26" borderId="153" applyNumberFormat="0" applyFont="0" applyAlignment="0" applyProtection="0"/>
    <xf numFmtId="0" fontId="5" fillId="26" borderId="153" applyNumberFormat="0" applyFont="0" applyAlignment="0" applyProtection="0"/>
    <xf numFmtId="0" fontId="72" fillId="0" borderId="155" applyNumberFormat="0" applyFill="0" applyAlignment="0" applyProtection="0"/>
    <xf numFmtId="0" fontId="62" fillId="23" borderId="152" applyNumberFormat="0" applyAlignment="0" applyProtection="0"/>
    <xf numFmtId="0" fontId="110" fillId="38" borderId="154" applyNumberFormat="0" applyAlignment="0" applyProtection="0"/>
    <xf numFmtId="0" fontId="116" fillId="0" borderId="155" applyNumberFormat="0" applyFill="0" applyAlignment="0" applyProtection="0"/>
    <xf numFmtId="0" fontId="110" fillId="38" borderId="154" applyNumberFormat="0" applyAlignment="0" applyProtection="0"/>
    <xf numFmtId="43" fontId="6"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88" fontId="46" fillId="0" borderId="0"/>
    <xf numFmtId="166"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1" fillId="38" borderId="156" applyNumberFormat="0" applyAlignment="0" applyProtection="0"/>
    <xf numFmtId="0" fontId="110" fillId="38" borderId="158" applyNumberFormat="0" applyAlignment="0" applyProtection="0"/>
    <xf numFmtId="0" fontId="104" fillId="23" borderId="156" applyNumberFormat="0" applyAlignment="0" applyProtection="0"/>
    <xf numFmtId="0" fontId="65" fillId="39" borderId="158" applyNumberFormat="0" applyAlignment="0" applyProtection="0"/>
    <xf numFmtId="0" fontId="62" fillId="29" borderId="156" applyNumberFormat="0" applyAlignment="0" applyProtection="0"/>
    <xf numFmtId="0" fontId="116" fillId="0" borderId="159" applyNumberFormat="0" applyFill="0" applyAlignment="0" applyProtection="0"/>
    <xf numFmtId="0" fontId="5" fillId="26" borderId="157" applyNumberFormat="0" applyFont="0" applyAlignment="0" applyProtection="0"/>
    <xf numFmtId="0" fontId="116" fillId="0" borderId="159" applyNumberFormat="0" applyFill="0" applyAlignment="0" applyProtection="0"/>
    <xf numFmtId="0" fontId="5" fillId="26" borderId="157" applyNumberFormat="0" applyFont="0" applyAlignment="0" applyProtection="0"/>
    <xf numFmtId="0" fontId="101" fillId="38" borderId="156" applyNumberFormat="0" applyAlignment="0" applyProtection="0"/>
    <xf numFmtId="0" fontId="62" fillId="23" borderId="156" applyNumberFormat="0" applyAlignment="0" applyProtection="0"/>
    <xf numFmtId="0" fontId="72" fillId="0" borderId="159" applyNumberFormat="0" applyFill="0" applyAlignment="0" applyProtection="0"/>
    <xf numFmtId="0" fontId="116" fillId="0" borderId="159" applyNumberFormat="0" applyFill="0" applyAlignment="0" applyProtection="0"/>
    <xf numFmtId="43" fontId="6" fillId="0" borderId="0" applyFont="0" applyFill="0" applyBorder="0" applyAlignment="0" applyProtection="0"/>
    <xf numFmtId="0" fontId="62" fillId="23" borderId="156" applyNumberFormat="0" applyAlignment="0" applyProtection="0"/>
    <xf numFmtId="43"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166" fontId="5" fillId="0" borderId="0" applyFont="0" applyFill="0" applyBorder="0" applyAlignment="0" applyProtection="0"/>
    <xf numFmtId="166" fontId="49" fillId="0" borderId="0" applyFont="0" applyFill="0" applyBorder="0" applyAlignment="0" applyProtection="0"/>
    <xf numFmtId="0" fontId="65" fillId="39" borderId="158" applyNumberFormat="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9" fillId="38" borderId="156" applyNumberFormat="0" applyAlignment="0" applyProtection="0"/>
    <xf numFmtId="0" fontId="1" fillId="0" borderId="0"/>
    <xf numFmtId="0" fontId="1" fillId="0" borderId="0"/>
    <xf numFmtId="0" fontId="1" fillId="0" borderId="0"/>
    <xf numFmtId="0" fontId="1" fillId="0" borderId="0"/>
    <xf numFmtId="43" fontId="49" fillId="0" borderId="0" applyFont="0" applyFill="0" applyBorder="0" applyAlignment="0" applyProtection="0"/>
    <xf numFmtId="0" fontId="5" fillId="0" borderId="0"/>
    <xf numFmtId="0" fontId="5" fillId="0" borderId="0"/>
    <xf numFmtId="43" fontId="6" fillId="0" borderId="0" applyFont="0" applyFill="0" applyBorder="0" applyAlignment="0" applyProtection="0"/>
    <xf numFmtId="0" fontId="6" fillId="26" borderId="157" applyNumberFormat="0" applyFont="0" applyAlignment="0" applyProtection="0"/>
    <xf numFmtId="166"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26" borderId="157" applyNumberFormat="0" applyFont="0" applyAlignment="0" applyProtection="0"/>
    <xf numFmtId="166" fontId="5" fillId="0" borderId="0" applyFont="0" applyFill="0" applyBorder="0" applyAlignment="0" applyProtection="0"/>
    <xf numFmtId="0" fontId="5" fillId="26" borderId="157" applyNumberFormat="0" applyFont="0" applyAlignment="0" applyProtection="0"/>
    <xf numFmtId="0" fontId="5" fillId="0" borderId="0"/>
    <xf numFmtId="0" fontId="5" fillId="0" borderId="0"/>
    <xf numFmtId="0" fontId="5" fillId="0" borderId="0"/>
    <xf numFmtId="0" fontId="5" fillId="0" borderId="0"/>
    <xf numFmtId="166"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0" fontId="5" fillId="26" borderId="157"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35" fillId="0" borderId="0" applyFont="0" applyFill="0" applyBorder="0" applyAlignment="0" applyProtection="0"/>
    <xf numFmtId="43" fontId="10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0" fontId="53" fillId="0" borderId="0" applyFont="0" applyFill="0" applyBorder="0" applyAlignment="0" applyProtection="0"/>
    <xf numFmtId="43"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0" borderId="0"/>
    <xf numFmtId="0" fontId="5" fillId="26" borderId="157" applyNumberFormat="0" applyFont="0" applyAlignment="0" applyProtection="0"/>
    <xf numFmtId="166" fontId="5" fillId="0" borderId="0" applyFont="0" applyFill="0" applyBorder="0" applyAlignment="0" applyProtection="0"/>
    <xf numFmtId="43" fontId="5" fillId="0" borderId="0" applyFont="0" applyFill="0" applyBorder="0" applyAlignment="0" applyProtection="0"/>
    <xf numFmtId="166" fontId="5" fillId="0" borderId="0" applyFont="0" applyFill="0" applyBorder="0" applyAlignment="0" applyProtection="0"/>
    <xf numFmtId="0" fontId="5" fillId="26" borderId="157" applyNumberFormat="0" applyFont="0" applyAlignment="0" applyProtection="0"/>
    <xf numFmtId="166" fontId="5" fillId="0" borderId="0" applyFont="0" applyFill="0" applyBorder="0" applyAlignment="0" applyProtection="0"/>
    <xf numFmtId="0" fontId="1" fillId="0" borderId="0"/>
    <xf numFmtId="43" fontId="5" fillId="0" borderId="0" applyFont="0" applyFill="0" applyBorder="0" applyAlignment="0" applyProtection="0"/>
    <xf numFmtId="43" fontId="6" fillId="0" borderId="0" applyFont="0" applyFill="0" applyBorder="0" applyAlignment="0" applyProtection="0"/>
    <xf numFmtId="0" fontId="110" fillId="38" borderId="158" applyNumberFormat="0" applyAlignment="0" applyProtection="0"/>
    <xf numFmtId="166" fontId="5" fillId="0" borderId="0" applyFont="0" applyFill="0" applyBorder="0" applyAlignment="0" applyProtection="0"/>
    <xf numFmtId="0" fontId="1" fillId="0" borderId="0"/>
    <xf numFmtId="0" fontId="72" fillId="0" borderId="159" applyNumberFormat="0" applyFill="0" applyAlignment="0" applyProtection="0"/>
    <xf numFmtId="0" fontId="5" fillId="26" borderId="150" applyNumberFormat="0" applyFont="0" applyAlignment="0" applyProtection="0"/>
    <xf numFmtId="0" fontId="5" fillId="26" borderId="150" applyNumberFormat="0" applyFont="0" applyAlignment="0" applyProtection="0"/>
    <xf numFmtId="0" fontId="5" fillId="26" borderId="150" applyNumberFormat="0" applyFont="0" applyAlignment="0" applyProtection="0"/>
    <xf numFmtId="0" fontId="6" fillId="26" borderId="150" applyNumberFormat="0" applyFont="0" applyAlignment="0" applyProtection="0"/>
    <xf numFmtId="0" fontId="5" fillId="26" borderId="150" applyNumberFormat="0" applyFont="0" applyAlignment="0" applyProtection="0"/>
    <xf numFmtId="0" fontId="5" fillId="26" borderId="150" applyNumberFormat="0" applyFont="0" applyAlignment="0" applyProtection="0"/>
    <xf numFmtId="0" fontId="5" fillId="26" borderId="150" applyNumberFormat="0" applyFont="0" applyAlignment="0" applyProtection="0"/>
    <xf numFmtId="0" fontId="6" fillId="26" borderId="150" applyNumberFormat="0" applyFont="0" applyAlignment="0" applyProtection="0"/>
    <xf numFmtId="0" fontId="5" fillId="26" borderId="150" applyNumberFormat="0" applyFont="0" applyAlignment="0" applyProtection="0"/>
    <xf numFmtId="0" fontId="5" fillId="26" borderId="150" applyNumberFormat="0" applyFont="0" applyAlignment="0" applyProtection="0"/>
    <xf numFmtId="0" fontId="5" fillId="26" borderId="150" applyNumberFormat="0" applyFont="0" applyAlignment="0" applyProtection="0"/>
    <xf numFmtId="0" fontId="5" fillId="26" borderId="150" applyNumberFormat="0" applyFont="0" applyAlignment="0" applyProtection="0"/>
    <xf numFmtId="0" fontId="5" fillId="26" borderId="150" applyNumberFormat="0" applyFont="0" applyAlignment="0" applyProtection="0"/>
    <xf numFmtId="0" fontId="5" fillId="26" borderId="150" applyNumberFormat="0" applyFont="0" applyAlignment="0" applyProtection="0"/>
    <xf numFmtId="0" fontId="5" fillId="26" borderId="150" applyNumberFormat="0" applyFont="0" applyAlignment="0" applyProtection="0"/>
    <xf numFmtId="0" fontId="6" fillId="26" borderId="150" applyNumberFormat="0" applyFont="0" applyAlignment="0" applyProtection="0"/>
    <xf numFmtId="0" fontId="5" fillId="26" borderId="150" applyNumberFormat="0" applyFont="0" applyAlignment="0" applyProtection="0"/>
    <xf numFmtId="0" fontId="5" fillId="0" borderId="0"/>
    <xf numFmtId="166" fontId="5" fillId="0" borderId="0" applyFont="0" applyFill="0" applyBorder="0" applyAlignment="0" applyProtection="0"/>
    <xf numFmtId="166" fontId="2"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3" fontId="6" fillId="0" borderId="0" applyFont="0" applyFill="0" applyBorder="0" applyAlignment="0" applyProtection="0"/>
    <xf numFmtId="166" fontId="5" fillId="0" borderId="0" applyFont="0" applyFill="0" applyBorder="0" applyAlignment="0" applyProtection="0"/>
    <xf numFmtId="43" fontId="6"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0" fontId="5" fillId="26" borderId="157" applyNumberFormat="0" applyFont="0" applyAlignment="0" applyProtection="0"/>
    <xf numFmtId="0" fontId="59" fillId="38" borderId="156" applyNumberFormat="0" applyAlignment="0" applyProtection="0"/>
    <xf numFmtId="0" fontId="5" fillId="26" borderId="157" applyNumberFormat="0" applyFont="0" applyAlignment="0" applyProtection="0"/>
    <xf numFmtId="0" fontId="62" fillId="23" borderId="156" applyNumberFormat="0" applyAlignment="0" applyProtection="0"/>
    <xf numFmtId="0" fontId="116" fillId="0" borderId="159" applyNumberFormat="0" applyFill="0" applyAlignment="0" applyProtection="0"/>
    <xf numFmtId="0" fontId="62" fillId="29" borderId="156" applyNumberFormat="0" applyAlignment="0" applyProtection="0"/>
    <xf numFmtId="0" fontId="59" fillId="38" borderId="156" applyNumberFormat="0" applyAlignment="0" applyProtection="0"/>
    <xf numFmtId="0" fontId="72" fillId="0" borderId="159" applyNumberFormat="0" applyFill="0" applyAlignment="0" applyProtection="0"/>
    <xf numFmtId="0" fontId="110" fillId="38" borderId="158" applyNumberFormat="0" applyAlignment="0" applyProtection="0"/>
    <xf numFmtId="0" fontId="65" fillId="38" borderId="158" applyNumberFormat="0" applyAlignment="0" applyProtection="0"/>
    <xf numFmtId="0" fontId="5" fillId="26" borderId="157" applyNumberFormat="0" applyFont="0" applyAlignment="0" applyProtection="0"/>
    <xf numFmtId="0" fontId="110" fillId="38" borderId="158" applyNumberFormat="0" applyAlignment="0" applyProtection="0"/>
    <xf numFmtId="0" fontId="5" fillId="26" borderId="157" applyNumberFormat="0" applyFont="0" applyAlignment="0" applyProtection="0"/>
    <xf numFmtId="0" fontId="73" fillId="39" borderId="156" applyNumberFormat="0" applyAlignment="0" applyProtection="0"/>
    <xf numFmtId="0" fontId="5" fillId="26" borderId="157" applyNumberFormat="0" applyFont="0" applyAlignment="0" applyProtection="0"/>
    <xf numFmtId="0" fontId="6" fillId="26" borderId="157" applyNumberFormat="0" applyFont="0" applyAlignment="0" applyProtection="0"/>
    <xf numFmtId="0" fontId="62" fillId="29" borderId="156" applyNumberFormat="0" applyAlignment="0" applyProtection="0"/>
    <xf numFmtId="0" fontId="5" fillId="26" borderId="157" applyNumberFormat="0" applyFont="0" applyAlignment="0" applyProtection="0"/>
    <xf numFmtId="0" fontId="6" fillId="26" borderId="157" applyNumberFormat="0" applyFont="0" applyAlignment="0" applyProtection="0"/>
    <xf numFmtId="0" fontId="72" fillId="0" borderId="159" applyNumberFormat="0" applyFill="0" applyAlignment="0" applyProtection="0"/>
    <xf numFmtId="0" fontId="101" fillId="38" borderId="156" applyNumberFormat="0" applyAlignment="0" applyProtection="0"/>
    <xf numFmtId="0" fontId="6" fillId="26" borderId="157" applyNumberFormat="0" applyFont="0" applyAlignment="0" applyProtection="0"/>
    <xf numFmtId="0" fontId="62" fillId="29" borderId="156" applyNumberFormat="0" applyAlignment="0" applyProtection="0"/>
    <xf numFmtId="0" fontId="110" fillId="38" borderId="158" applyNumberFormat="0" applyAlignment="0" applyProtection="0"/>
    <xf numFmtId="0" fontId="5" fillId="26" borderId="157" applyNumberFormat="0" applyFont="0" applyAlignment="0" applyProtection="0"/>
    <xf numFmtId="0" fontId="65" fillId="38" borderId="158" applyNumberFormat="0" applyAlignment="0" applyProtection="0"/>
    <xf numFmtId="0" fontId="5" fillId="26" borderId="157" applyNumberFormat="0" applyFont="0" applyAlignment="0" applyProtection="0"/>
    <xf numFmtId="0" fontId="73" fillId="39" borderId="156" applyNumberFormat="0" applyAlignment="0" applyProtection="0"/>
    <xf numFmtId="0" fontId="116" fillId="0" borderId="159" applyNumberFormat="0" applyFill="0" applyAlignment="0" applyProtection="0"/>
    <xf numFmtId="0" fontId="6"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72" fillId="0" borderId="159" applyNumberFormat="0" applyFill="0" applyAlignment="0" applyProtection="0"/>
    <xf numFmtId="0" fontId="110" fillId="38" borderId="158" applyNumberFormat="0" applyAlignment="0" applyProtection="0"/>
    <xf numFmtId="0" fontId="104" fillId="23" borderId="156" applyNumberFormat="0" applyAlignment="0" applyProtection="0"/>
    <xf numFmtId="0" fontId="5" fillId="26" borderId="150" applyNumberFormat="0" applyFont="0" applyAlignment="0" applyProtection="0"/>
    <xf numFmtId="0" fontId="5" fillId="26" borderId="150" applyNumberFormat="0" applyFont="0" applyAlignment="0" applyProtection="0"/>
    <xf numFmtId="0" fontId="5" fillId="26" borderId="150" applyNumberFormat="0" applyFont="0" applyAlignment="0" applyProtection="0"/>
    <xf numFmtId="0" fontId="5" fillId="26" borderId="150" applyNumberFormat="0" applyFont="0" applyAlignment="0" applyProtection="0"/>
    <xf numFmtId="0" fontId="5" fillId="26" borderId="150" applyNumberFormat="0" applyFont="0" applyAlignment="0" applyProtection="0"/>
    <xf numFmtId="0" fontId="6" fillId="26" borderId="150" applyNumberFormat="0" applyFont="0" applyAlignment="0" applyProtection="0"/>
    <xf numFmtId="0" fontId="5" fillId="26" borderId="150" applyNumberFormat="0" applyFont="0" applyAlignment="0" applyProtection="0"/>
    <xf numFmtId="0" fontId="6" fillId="26" borderId="150" applyNumberFormat="0" applyFont="0" applyAlignment="0" applyProtection="0"/>
    <xf numFmtId="0" fontId="6" fillId="26" borderId="150" applyNumberFormat="0" applyFont="0" applyAlignment="0" applyProtection="0"/>
    <xf numFmtId="0" fontId="5" fillId="26" borderId="150" applyNumberFormat="0" applyFont="0" applyAlignment="0" applyProtection="0"/>
    <xf numFmtId="0" fontId="72" fillId="0" borderId="159" applyNumberFormat="0" applyFill="0" applyAlignment="0" applyProtection="0"/>
    <xf numFmtId="0" fontId="65" fillId="39" borderId="158" applyNumberFormat="0" applyAlignment="0" applyProtection="0"/>
    <xf numFmtId="0" fontId="116" fillId="0" borderId="159" applyNumberFormat="0" applyFill="0" applyAlignment="0" applyProtection="0"/>
    <xf numFmtId="0" fontId="101" fillId="38" borderId="156" applyNumberFormat="0" applyAlignment="0" applyProtection="0"/>
    <xf numFmtId="0" fontId="104" fillId="23" borderId="156" applyNumberFormat="0" applyAlignment="0" applyProtection="0"/>
    <xf numFmtId="0" fontId="62" fillId="23" borderId="156" applyNumberFormat="0" applyAlignment="0" applyProtection="0"/>
    <xf numFmtId="165" fontId="5" fillId="0" borderId="0" applyFont="0" applyFill="0" applyBorder="0" applyAlignment="0" applyProtection="0"/>
    <xf numFmtId="0" fontId="104" fillId="23" borderId="156" applyNumberFormat="0" applyAlignment="0" applyProtection="0"/>
    <xf numFmtId="0" fontId="65" fillId="39" borderId="158" applyNumberFormat="0" applyAlignment="0" applyProtection="0"/>
    <xf numFmtId="0" fontId="62" fillId="29" borderId="156" applyNumberFormat="0" applyAlignment="0" applyProtection="0"/>
    <xf numFmtId="0" fontId="104" fillId="23" borderId="156" applyNumberFormat="0" applyAlignment="0" applyProtection="0"/>
    <xf numFmtId="0" fontId="62" fillId="23" borderId="156" applyNumberFormat="0" applyAlignment="0" applyProtection="0"/>
    <xf numFmtId="44" fontId="49" fillId="0" borderId="0" applyFont="0" applyFill="0" applyBorder="0" applyAlignment="0" applyProtection="0"/>
    <xf numFmtId="0" fontId="5" fillId="26" borderId="157" applyNumberFormat="0" applyFont="0" applyAlignment="0" applyProtection="0"/>
    <xf numFmtId="166" fontId="5" fillId="0" borderId="0" applyFont="0" applyFill="0" applyBorder="0" applyAlignment="0" applyProtection="0"/>
    <xf numFmtId="166"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65" fillId="38" borderId="158" applyNumberFormat="0" applyAlignment="0" applyProtection="0"/>
    <xf numFmtId="43"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applyNumberFormat="0" applyFont="0" applyFill="0" applyBorder="0" applyAlignment="0" applyProtection="0">
      <alignment vertical="top"/>
    </xf>
    <xf numFmtId="166" fontId="5" fillId="0" borderId="0" applyFont="0" applyFill="0" applyBorder="0" applyAlignment="0" applyProtection="0"/>
    <xf numFmtId="0" fontId="65" fillId="38" borderId="158" applyNumberFormat="0" applyAlignment="0" applyProtection="0"/>
    <xf numFmtId="0" fontId="116" fillId="0" borderId="159" applyNumberFormat="0" applyFill="0" applyAlignment="0" applyProtection="0"/>
    <xf numFmtId="0" fontId="5" fillId="0" borderId="0"/>
    <xf numFmtId="10" fontId="36" fillId="16" borderId="138" applyNumberFormat="0" applyBorder="0" applyAlignment="0" applyProtection="0"/>
    <xf numFmtId="0" fontId="62" fillId="23" borderId="152" applyNumberFormat="0" applyAlignment="0" applyProtection="0"/>
    <xf numFmtId="10" fontId="36" fillId="16" borderId="138" applyNumberFormat="0" applyBorder="0" applyAlignment="0" applyProtection="0"/>
    <xf numFmtId="0" fontId="5" fillId="0" borderId="0"/>
    <xf numFmtId="0" fontId="62" fillId="23" borderId="152" applyNumberFormat="0" applyAlignment="0" applyProtection="0"/>
    <xf numFmtId="0" fontId="65" fillId="38" borderId="154" applyNumberFormat="0" applyAlignment="0" applyProtection="0"/>
    <xf numFmtId="0" fontId="5" fillId="26" borderId="153" applyNumberFormat="0" applyFont="0" applyAlignment="0" applyProtection="0"/>
    <xf numFmtId="0" fontId="116" fillId="0" borderId="155" applyNumberFormat="0" applyFill="0" applyAlignment="0" applyProtection="0"/>
    <xf numFmtId="0" fontId="73" fillId="39" borderId="152" applyNumberFormat="0" applyAlignment="0" applyProtection="0"/>
    <xf numFmtId="10" fontId="36" fillId="16" borderId="138" applyNumberFormat="0" applyBorder="0" applyAlignment="0" applyProtection="0"/>
    <xf numFmtId="0" fontId="65" fillId="39" borderId="154" applyNumberFormat="0" applyAlignment="0" applyProtection="0"/>
    <xf numFmtId="0" fontId="65" fillId="39" borderId="154" applyNumberFormat="0" applyAlignment="0" applyProtection="0"/>
    <xf numFmtId="0" fontId="110" fillId="38" borderId="154" applyNumberFormat="0" applyAlignment="0" applyProtection="0"/>
    <xf numFmtId="0" fontId="5" fillId="0" borderId="0"/>
    <xf numFmtId="10" fontId="36" fillId="16" borderId="138" applyNumberFormat="0" applyBorder="0" applyAlignment="0" applyProtection="0"/>
    <xf numFmtId="0" fontId="62" fillId="29" borderId="152" applyNumberFormat="0" applyAlignment="0" applyProtection="0"/>
    <xf numFmtId="0" fontId="62" fillId="23" borderId="152" applyNumberFormat="0" applyAlignment="0" applyProtection="0"/>
    <xf numFmtId="0" fontId="5" fillId="26" borderId="153" applyNumberFormat="0" applyFont="0" applyAlignment="0" applyProtection="0"/>
    <xf numFmtId="0" fontId="59" fillId="38" borderId="152" applyNumberFormat="0" applyAlignment="0" applyProtection="0"/>
    <xf numFmtId="0" fontId="73" fillId="39" borderId="152" applyNumberFormat="0" applyAlignment="0" applyProtection="0"/>
    <xf numFmtId="0" fontId="62" fillId="29" borderId="152" applyNumberFormat="0" applyAlignment="0" applyProtection="0"/>
    <xf numFmtId="0" fontId="62" fillId="23" borderId="152" applyNumberFormat="0" applyAlignment="0" applyProtection="0"/>
    <xf numFmtId="0" fontId="5" fillId="26" borderId="153" applyNumberFormat="0" applyFont="0" applyAlignment="0" applyProtection="0"/>
    <xf numFmtId="0" fontId="6" fillId="26" borderId="153" applyNumberFormat="0" applyFont="0" applyAlignment="0" applyProtection="0"/>
    <xf numFmtId="0" fontId="65" fillId="38" borderId="154" applyNumberFormat="0" applyAlignment="0" applyProtection="0"/>
    <xf numFmtId="0" fontId="65" fillId="39" borderId="154" applyNumberFormat="0" applyAlignment="0" applyProtection="0"/>
    <xf numFmtId="0" fontId="72" fillId="0" borderId="155" applyNumberFormat="0" applyFill="0" applyAlignment="0" applyProtection="0"/>
    <xf numFmtId="0" fontId="5" fillId="26" borderId="153" applyNumberFormat="0" applyFont="0" applyAlignment="0" applyProtection="0"/>
    <xf numFmtId="0" fontId="104" fillId="23" borderId="152" applyNumberFormat="0" applyAlignment="0" applyProtection="0"/>
    <xf numFmtId="0" fontId="101" fillId="38" borderId="152" applyNumberFormat="0" applyAlignment="0" applyProtection="0"/>
    <xf numFmtId="0" fontId="5" fillId="26" borderId="153" applyNumberFormat="0" applyFont="0" applyAlignment="0" applyProtection="0"/>
    <xf numFmtId="0" fontId="110" fillId="38" borderId="154" applyNumberFormat="0" applyAlignment="0" applyProtection="0"/>
    <xf numFmtId="0" fontId="5" fillId="26" borderId="153" applyNumberFormat="0" applyFont="0" applyAlignment="0" applyProtection="0"/>
    <xf numFmtId="0" fontId="5" fillId="26" borderId="153" applyNumberFormat="0" applyFont="0" applyAlignment="0" applyProtection="0"/>
    <xf numFmtId="0" fontId="65" fillId="39" borderId="154" applyNumberFormat="0" applyAlignment="0" applyProtection="0"/>
    <xf numFmtId="0" fontId="1" fillId="0" borderId="0"/>
    <xf numFmtId="0" fontId="5" fillId="26" borderId="153" applyNumberFormat="0" applyFont="0" applyAlignment="0" applyProtection="0"/>
    <xf numFmtId="0" fontId="5" fillId="26" borderId="153" applyNumberFormat="0" applyFont="0" applyAlignment="0" applyProtection="0"/>
    <xf numFmtId="0" fontId="5" fillId="26" borderId="153" applyNumberFormat="0" applyFont="0" applyAlignment="0" applyProtection="0"/>
    <xf numFmtId="10" fontId="36" fillId="16" borderId="138" applyNumberFormat="0" applyBorder="0" applyAlignment="0" applyProtection="0"/>
    <xf numFmtId="0" fontId="62" fillId="23" borderId="152" applyNumberFormat="0" applyAlignment="0" applyProtection="0"/>
    <xf numFmtId="0" fontId="59" fillId="38" borderId="152" applyNumberFormat="0" applyAlignment="0" applyProtection="0"/>
    <xf numFmtId="0" fontId="72" fillId="0" borderId="155" applyNumberFormat="0" applyFill="0" applyAlignment="0" applyProtection="0"/>
    <xf numFmtId="0" fontId="5" fillId="26" borderId="153" applyNumberFormat="0" applyFont="0" applyAlignment="0" applyProtection="0"/>
    <xf numFmtId="0" fontId="72" fillId="0" borderId="155" applyNumberFormat="0" applyFill="0" applyAlignment="0" applyProtection="0"/>
    <xf numFmtId="0" fontId="5" fillId="26" borderId="153" applyNumberFormat="0" applyFont="0" applyAlignment="0" applyProtection="0"/>
    <xf numFmtId="0" fontId="5" fillId="26" borderId="153" applyNumberFormat="0" applyFont="0" applyAlignment="0" applyProtection="0"/>
    <xf numFmtId="0" fontId="5" fillId="26" borderId="153" applyNumberFormat="0" applyFont="0" applyAlignment="0" applyProtection="0"/>
    <xf numFmtId="0" fontId="104" fillId="23" borderId="152" applyNumberFormat="0" applyAlignment="0" applyProtection="0"/>
    <xf numFmtId="0" fontId="5" fillId="26" borderId="153" applyNumberFormat="0" applyFont="0" applyAlignment="0" applyProtection="0"/>
    <xf numFmtId="0" fontId="6" fillId="26" borderId="153" applyNumberFormat="0" applyFont="0" applyAlignment="0" applyProtection="0"/>
    <xf numFmtId="0" fontId="59" fillId="38" borderId="152" applyNumberFormat="0" applyAlignment="0" applyProtection="0"/>
    <xf numFmtId="0" fontId="73" fillId="39" borderId="152" applyNumberFormat="0" applyAlignment="0" applyProtection="0"/>
    <xf numFmtId="0" fontId="65" fillId="38" borderId="154" applyNumberFormat="0" applyAlignment="0" applyProtection="0"/>
    <xf numFmtId="0" fontId="5" fillId="26" borderId="153" applyNumberFormat="0" applyFont="0" applyAlignment="0" applyProtection="0"/>
    <xf numFmtId="0" fontId="65" fillId="38" borderId="154" applyNumberFormat="0" applyAlignment="0" applyProtection="0"/>
    <xf numFmtId="0" fontId="110" fillId="38" borderId="154" applyNumberFormat="0" applyAlignment="0" applyProtection="0"/>
    <xf numFmtId="0" fontId="5" fillId="26" borderId="153" applyNumberFormat="0" applyFont="0" applyAlignment="0" applyProtection="0"/>
    <xf numFmtId="0" fontId="65" fillId="39" borderId="154" applyNumberFormat="0" applyAlignment="0" applyProtection="0"/>
    <xf numFmtId="0" fontId="62" fillId="23" borderId="152" applyNumberFormat="0" applyAlignment="0" applyProtection="0"/>
    <xf numFmtId="0" fontId="5" fillId="26" borderId="153" applyNumberFormat="0" applyFont="0" applyAlignment="0" applyProtection="0"/>
    <xf numFmtId="0" fontId="73" fillId="39" borderId="152" applyNumberFormat="0" applyAlignment="0" applyProtection="0"/>
    <xf numFmtId="0" fontId="5" fillId="26" borderId="153" applyNumberFormat="0" applyFont="0" applyAlignment="0" applyProtection="0"/>
    <xf numFmtId="0" fontId="6" fillId="26" borderId="153" applyNumberFormat="0" applyFont="0" applyAlignment="0" applyProtection="0"/>
    <xf numFmtId="0" fontId="62" fillId="29" borderId="152" applyNumberFormat="0" applyAlignment="0" applyProtection="0"/>
    <xf numFmtId="0" fontId="5" fillId="26" borderId="153" applyNumberFormat="0" applyFont="0" applyAlignment="0" applyProtection="0"/>
    <xf numFmtId="0" fontId="5" fillId="26" borderId="153" applyNumberFormat="0" applyFont="0" applyAlignment="0" applyProtection="0"/>
    <xf numFmtId="0" fontId="5" fillId="26" borderId="153" applyNumberFormat="0" applyFont="0" applyAlignment="0" applyProtection="0"/>
    <xf numFmtId="0" fontId="72" fillId="0" borderId="155" applyNumberFormat="0" applyFill="0" applyAlignment="0" applyProtection="0"/>
    <xf numFmtId="0" fontId="116" fillId="0" borderId="155" applyNumberFormat="0" applyFill="0" applyAlignment="0" applyProtection="0"/>
    <xf numFmtId="0" fontId="5" fillId="26" borderId="153" applyNumberFormat="0" applyFont="0" applyAlignment="0" applyProtection="0"/>
    <xf numFmtId="0" fontId="59" fillId="38" borderId="152" applyNumberFormat="0" applyAlignment="0" applyProtection="0"/>
    <xf numFmtId="0" fontId="6" fillId="26" borderId="153" applyNumberFormat="0" applyFont="0" applyAlignment="0" applyProtection="0"/>
    <xf numFmtId="0" fontId="5" fillId="26" borderId="153" applyNumberFormat="0" applyFont="0" applyAlignment="0" applyProtection="0"/>
    <xf numFmtId="0" fontId="59" fillId="38" borderId="152" applyNumberFormat="0" applyAlignment="0" applyProtection="0"/>
    <xf numFmtId="0" fontId="72" fillId="0" borderId="155" applyNumberFormat="0" applyFill="0" applyAlignment="0" applyProtection="0"/>
    <xf numFmtId="0" fontId="5" fillId="0" borderId="0"/>
    <xf numFmtId="0" fontId="62" fillId="23" borderId="152" applyNumberFormat="0" applyAlignment="0" applyProtection="0"/>
    <xf numFmtId="0" fontId="104" fillId="23" borderId="152" applyNumberFormat="0" applyAlignment="0" applyProtection="0"/>
    <xf numFmtId="0" fontId="73" fillId="39" borderId="152" applyNumberFormat="0" applyAlignment="0" applyProtection="0"/>
    <xf numFmtId="0" fontId="6" fillId="26" borderId="153" applyNumberFormat="0" applyFont="0" applyAlignment="0" applyProtection="0"/>
    <xf numFmtId="0" fontId="62" fillId="23" borderId="152" applyNumberFormat="0" applyAlignment="0" applyProtection="0"/>
    <xf numFmtId="0" fontId="5" fillId="26" borderId="153" applyNumberFormat="0" applyFont="0" applyAlignment="0" applyProtection="0"/>
    <xf numFmtId="0" fontId="116" fillId="0" borderId="155" applyNumberFormat="0" applyFill="0" applyAlignment="0" applyProtection="0"/>
    <xf numFmtId="0" fontId="110" fillId="38" borderId="154" applyNumberFormat="0" applyAlignment="0" applyProtection="0"/>
    <xf numFmtId="0" fontId="65" fillId="39" borderId="154" applyNumberFormat="0" applyAlignment="0" applyProtection="0"/>
    <xf numFmtId="0" fontId="116" fillId="0" borderId="155" applyNumberFormat="0" applyFill="0" applyAlignment="0" applyProtection="0"/>
    <xf numFmtId="0" fontId="73" fillId="39" borderId="152" applyNumberFormat="0" applyAlignment="0" applyProtection="0"/>
    <xf numFmtId="0" fontId="5" fillId="26" borderId="153" applyNumberFormat="0" applyFont="0" applyAlignment="0" applyProtection="0"/>
    <xf numFmtId="0" fontId="5" fillId="0" borderId="0"/>
    <xf numFmtId="0" fontId="65" fillId="39" borderId="154" applyNumberFormat="0" applyAlignment="0" applyProtection="0"/>
    <xf numFmtId="0" fontId="72" fillId="0" borderId="155" applyNumberFormat="0" applyFill="0" applyAlignment="0" applyProtection="0"/>
    <xf numFmtId="0" fontId="104" fillId="23" borderId="152" applyNumberFormat="0" applyAlignment="0" applyProtection="0"/>
    <xf numFmtId="0" fontId="62" fillId="29" borderId="152" applyNumberFormat="0" applyAlignment="0" applyProtection="0"/>
    <xf numFmtId="0" fontId="5" fillId="26" borderId="153" applyNumberFormat="0" applyFont="0" applyAlignment="0" applyProtection="0"/>
    <xf numFmtId="0" fontId="101" fillId="38" borderId="152" applyNumberFormat="0" applyAlignment="0" applyProtection="0"/>
    <xf numFmtId="0" fontId="104" fillId="23" borderId="152" applyNumberFormat="0" applyAlignment="0" applyProtection="0"/>
    <xf numFmtId="0" fontId="5" fillId="26" borderId="153" applyNumberFormat="0" applyFont="0" applyAlignment="0" applyProtection="0"/>
    <xf numFmtId="0" fontId="110" fillId="38" borderId="154" applyNumberFormat="0" applyAlignment="0" applyProtection="0"/>
    <xf numFmtId="0" fontId="116" fillId="0" borderId="155" applyNumberFormat="0" applyFill="0" applyAlignment="0" applyProtection="0"/>
    <xf numFmtId="0" fontId="62" fillId="23" borderId="152" applyNumberFormat="0" applyAlignment="0" applyProtection="0"/>
    <xf numFmtId="0" fontId="6" fillId="26" borderId="153" applyNumberFormat="0" applyFont="0" applyAlignment="0" applyProtection="0"/>
    <xf numFmtId="0" fontId="65" fillId="38" borderId="154" applyNumberFormat="0" applyAlignment="0" applyProtection="0"/>
    <xf numFmtId="0" fontId="62" fillId="23" borderId="152" applyNumberFormat="0" applyAlignment="0" applyProtection="0"/>
    <xf numFmtId="0" fontId="62" fillId="23" borderId="152" applyNumberFormat="0" applyAlignment="0" applyProtection="0"/>
    <xf numFmtId="0" fontId="62" fillId="23" borderId="152" applyNumberFormat="0" applyAlignment="0" applyProtection="0"/>
    <xf numFmtId="0" fontId="62" fillId="23" borderId="152" applyNumberFormat="0" applyAlignment="0" applyProtection="0"/>
    <xf numFmtId="0" fontId="59" fillId="38" borderId="152" applyNumberFormat="0" applyAlignment="0" applyProtection="0"/>
    <xf numFmtId="0" fontId="116" fillId="0" borderId="155" applyNumberFormat="0" applyFill="0" applyAlignment="0" applyProtection="0"/>
    <xf numFmtId="0" fontId="62" fillId="23" borderId="152" applyNumberFormat="0" applyAlignment="0" applyProtection="0"/>
    <xf numFmtId="0" fontId="5" fillId="26" borderId="153" applyNumberFormat="0" applyFont="0" applyAlignment="0" applyProtection="0"/>
    <xf numFmtId="0" fontId="116" fillId="0" borderId="155" applyNumberFormat="0" applyFill="0" applyAlignment="0" applyProtection="0"/>
    <xf numFmtId="0" fontId="62" fillId="29" borderId="152" applyNumberFormat="0" applyAlignment="0" applyProtection="0"/>
    <xf numFmtId="0" fontId="5" fillId="0" borderId="0"/>
    <xf numFmtId="10" fontId="36" fillId="16" borderId="138" applyNumberFormat="0" applyBorder="0" applyAlignment="0" applyProtection="0"/>
    <xf numFmtId="0" fontId="6" fillId="26" borderId="153" applyNumberFormat="0" applyFont="0" applyAlignment="0" applyProtection="0"/>
    <xf numFmtId="0" fontId="72" fillId="0" borderId="155" applyNumberFormat="0" applyFill="0" applyAlignment="0" applyProtection="0"/>
    <xf numFmtId="0" fontId="101" fillId="38" borderId="152" applyNumberFormat="0" applyAlignment="0" applyProtection="0"/>
    <xf numFmtId="0" fontId="62" fillId="23" borderId="152" applyNumberFormat="0" applyAlignment="0" applyProtection="0"/>
    <xf numFmtId="0" fontId="5" fillId="26" borderId="153" applyNumberFormat="0" applyFont="0" applyAlignment="0" applyProtection="0"/>
    <xf numFmtId="0" fontId="110" fillId="38" borderId="154" applyNumberFormat="0" applyAlignment="0" applyProtection="0"/>
    <xf numFmtId="10" fontId="36" fillId="16" borderId="138" applyNumberFormat="0" applyBorder="0" applyAlignment="0" applyProtection="0"/>
    <xf numFmtId="0" fontId="116" fillId="0" borderId="155" applyNumberFormat="0" applyFill="0" applyAlignment="0" applyProtection="0"/>
    <xf numFmtId="43" fontId="5" fillId="0" borderId="0" applyFont="0" applyFill="0" applyBorder="0" applyAlignment="0" applyProtection="0"/>
    <xf numFmtId="0" fontId="104" fillId="23" borderId="152" applyNumberFormat="0" applyAlignment="0" applyProtection="0"/>
    <xf numFmtId="0" fontId="101" fillId="38" borderId="152" applyNumberFormat="0" applyAlignment="0" applyProtection="0"/>
    <xf numFmtId="0" fontId="6" fillId="26" borderId="153" applyNumberFormat="0" applyFont="0" applyAlignment="0" applyProtection="0"/>
    <xf numFmtId="0" fontId="62" fillId="29" borderId="152" applyNumberFormat="0" applyAlignment="0" applyProtection="0"/>
    <xf numFmtId="0" fontId="110" fillId="38" borderId="154" applyNumberFormat="0" applyAlignment="0" applyProtection="0"/>
    <xf numFmtId="0" fontId="5" fillId="26" borderId="153" applyNumberFormat="0" applyFont="0" applyAlignment="0" applyProtection="0"/>
    <xf numFmtId="0" fontId="65" fillId="38" borderId="154" applyNumberFormat="0" applyAlignment="0" applyProtection="0"/>
    <xf numFmtId="0" fontId="101" fillId="38" borderId="152" applyNumberFormat="0" applyAlignment="0" applyProtection="0"/>
    <xf numFmtId="0" fontId="5" fillId="26" borderId="153" applyNumberFormat="0" applyFont="0" applyAlignment="0" applyProtection="0"/>
    <xf numFmtId="0" fontId="5" fillId="26" borderId="153" applyNumberFormat="0" applyFont="0" applyAlignment="0" applyProtection="0"/>
    <xf numFmtId="0" fontId="65" fillId="39" borderId="154" applyNumberFormat="0" applyAlignment="0" applyProtection="0"/>
    <xf numFmtId="10" fontId="36" fillId="16" borderId="138" applyNumberFormat="0" applyBorder="0" applyAlignment="0" applyProtection="0"/>
    <xf numFmtId="0" fontId="5" fillId="0" borderId="0"/>
    <xf numFmtId="0" fontId="65" fillId="38" borderId="154" applyNumberFormat="0" applyAlignment="0" applyProtection="0"/>
    <xf numFmtId="0" fontId="101" fillId="38" borderId="152" applyNumberFormat="0" applyAlignment="0" applyProtection="0"/>
    <xf numFmtId="0" fontId="5" fillId="26" borderId="153" applyNumberFormat="0" applyFont="0" applyAlignment="0" applyProtection="0"/>
    <xf numFmtId="0" fontId="65" fillId="38" borderId="154" applyNumberFormat="0" applyAlignment="0" applyProtection="0"/>
    <xf numFmtId="0" fontId="5" fillId="26" borderId="153" applyNumberFormat="0" applyFont="0" applyAlignment="0" applyProtection="0"/>
    <xf numFmtId="0" fontId="73" fillId="39" borderId="152" applyNumberFormat="0" applyAlignment="0" applyProtection="0"/>
    <xf numFmtId="0" fontId="116" fillId="0" borderId="155" applyNumberFormat="0" applyFill="0" applyAlignment="0" applyProtection="0"/>
    <xf numFmtId="0" fontId="62" fillId="29" borderId="152" applyNumberFormat="0" applyAlignment="0" applyProtection="0"/>
    <xf numFmtId="0" fontId="5" fillId="26" borderId="153" applyNumberFormat="0" applyFont="0" applyAlignment="0" applyProtection="0"/>
    <xf numFmtId="0" fontId="6" fillId="26" borderId="153" applyNumberFormat="0" applyFont="0" applyAlignment="0" applyProtection="0"/>
    <xf numFmtId="10" fontId="36" fillId="16" borderId="138" applyNumberFormat="0" applyBorder="0" applyAlignment="0" applyProtection="0"/>
    <xf numFmtId="0" fontId="62" fillId="23" borderId="152" applyNumberFormat="0" applyAlignment="0" applyProtection="0"/>
    <xf numFmtId="0" fontId="101" fillId="38" borderId="152" applyNumberFormat="0" applyAlignment="0" applyProtection="0"/>
    <xf numFmtId="0" fontId="65" fillId="39" borderId="154" applyNumberFormat="0" applyAlignment="0" applyProtection="0"/>
    <xf numFmtId="0" fontId="5" fillId="26" borderId="153" applyNumberFormat="0" applyFont="0" applyAlignment="0" applyProtection="0"/>
    <xf numFmtId="0" fontId="65" fillId="38" borderId="154" applyNumberFormat="0" applyAlignment="0" applyProtection="0"/>
    <xf numFmtId="0" fontId="5" fillId="0" borderId="0"/>
    <xf numFmtId="0" fontId="104" fillId="23" borderId="152" applyNumberFormat="0" applyAlignment="0" applyProtection="0"/>
    <xf numFmtId="0" fontId="59" fillId="38" borderId="152" applyNumberFormat="0" applyAlignment="0" applyProtection="0"/>
    <xf numFmtId="0" fontId="5" fillId="26" borderId="153" applyNumberFormat="0" applyFont="0" applyAlignment="0" applyProtection="0"/>
    <xf numFmtId="0" fontId="5" fillId="26" borderId="153" applyNumberFormat="0" applyFont="0" applyAlignment="0" applyProtection="0"/>
    <xf numFmtId="0" fontId="5" fillId="26" borderId="153" applyNumberFormat="0" applyFont="0" applyAlignment="0" applyProtection="0"/>
    <xf numFmtId="0" fontId="72" fillId="0" borderId="155" applyNumberFormat="0" applyFill="0" applyAlignment="0" applyProtection="0"/>
    <xf numFmtId="0" fontId="62" fillId="23" borderId="152" applyNumberFormat="0" applyAlignment="0" applyProtection="0"/>
    <xf numFmtId="0" fontId="110" fillId="38" borderId="154" applyNumberFormat="0" applyAlignment="0" applyProtection="0"/>
    <xf numFmtId="0" fontId="116" fillId="0" borderId="155" applyNumberFormat="0" applyFill="0" applyAlignment="0" applyProtection="0"/>
    <xf numFmtId="0" fontId="65" fillId="39" borderId="154" applyNumberFormat="0" applyAlignment="0" applyProtection="0"/>
    <xf numFmtId="0" fontId="65" fillId="38" borderId="154" applyNumberFormat="0" applyAlignment="0" applyProtection="0"/>
    <xf numFmtId="0" fontId="72" fillId="0" borderId="155" applyNumberFormat="0" applyFill="0" applyAlignment="0" applyProtection="0"/>
    <xf numFmtId="0" fontId="110" fillId="38" borderId="154" applyNumberFormat="0" applyAlignment="0" applyProtection="0"/>
    <xf numFmtId="0" fontId="5" fillId="26" borderId="153" applyNumberFormat="0" applyFont="0" applyAlignment="0" applyProtection="0"/>
    <xf numFmtId="0" fontId="5" fillId="26" borderId="153" applyNumberFormat="0" applyFont="0" applyAlignment="0" applyProtection="0"/>
    <xf numFmtId="0" fontId="5" fillId="26" borderId="153" applyNumberFormat="0" applyFont="0" applyAlignment="0" applyProtection="0"/>
    <xf numFmtId="0" fontId="72" fillId="0" borderId="155" applyNumberFormat="0" applyFill="0" applyAlignment="0" applyProtection="0"/>
    <xf numFmtId="0" fontId="110" fillId="38" borderId="154" applyNumberFormat="0" applyAlignment="0" applyProtection="0"/>
    <xf numFmtId="0" fontId="73" fillId="39" borderId="152" applyNumberFormat="0" applyAlignment="0" applyProtection="0"/>
    <xf numFmtId="0" fontId="116" fillId="0" borderId="155" applyNumberFormat="0" applyFill="0" applyAlignment="0" applyProtection="0"/>
    <xf numFmtId="0" fontId="62" fillId="29" borderId="152" applyNumberFormat="0" applyAlignment="0" applyProtection="0"/>
    <xf numFmtId="0" fontId="5" fillId="26" borderId="153" applyNumberFormat="0" applyFont="0" applyAlignment="0" applyProtection="0"/>
    <xf numFmtId="0" fontId="6" fillId="26" borderId="153" applyNumberFormat="0" applyFont="0" applyAlignment="0" applyProtection="0"/>
    <xf numFmtId="10" fontId="36" fillId="16" borderId="138" applyNumberFormat="0" applyBorder="0" applyAlignment="0" applyProtection="0"/>
    <xf numFmtId="0" fontId="62" fillId="23" borderId="152" applyNumberFormat="0" applyAlignment="0" applyProtection="0"/>
    <xf numFmtId="0" fontId="101" fillId="38" borderId="152" applyNumberFormat="0" applyAlignment="0" applyProtection="0"/>
    <xf numFmtId="0" fontId="65" fillId="39" borderId="154" applyNumberFormat="0" applyAlignment="0" applyProtection="0"/>
    <xf numFmtId="0" fontId="5" fillId="26" borderId="153" applyNumberFormat="0" applyFont="0" applyAlignment="0" applyProtection="0"/>
    <xf numFmtId="0" fontId="65" fillId="38" borderId="154" applyNumberFormat="0" applyAlignment="0" applyProtection="0"/>
    <xf numFmtId="0" fontId="104" fillId="23" borderId="152" applyNumberFormat="0" applyAlignment="0" applyProtection="0"/>
    <xf numFmtId="0" fontId="59" fillId="38" borderId="152" applyNumberFormat="0" applyAlignment="0" applyProtection="0"/>
    <xf numFmtId="0" fontId="5" fillId="26" borderId="153" applyNumberFormat="0" applyFont="0" applyAlignment="0" applyProtection="0"/>
    <xf numFmtId="0" fontId="5" fillId="26" borderId="153" applyNumberFormat="0" applyFont="0" applyAlignment="0" applyProtection="0"/>
    <xf numFmtId="0" fontId="5" fillId="26" borderId="153" applyNumberFormat="0" applyFont="0" applyAlignment="0" applyProtection="0"/>
    <xf numFmtId="0" fontId="72" fillId="0" borderId="155" applyNumberFormat="0" applyFill="0" applyAlignment="0" applyProtection="0"/>
    <xf numFmtId="0" fontId="62" fillId="23" borderId="152" applyNumberFormat="0" applyAlignment="0" applyProtection="0"/>
    <xf numFmtId="0" fontId="110" fillId="38" borderId="154" applyNumberFormat="0" applyAlignment="0" applyProtection="0"/>
    <xf numFmtId="0" fontId="5" fillId="26" borderId="153" applyNumberFormat="0" applyFont="0" applyAlignment="0" applyProtection="0"/>
    <xf numFmtId="0" fontId="5" fillId="26" borderId="153" applyNumberFormat="0" applyFont="0" applyAlignment="0" applyProtection="0"/>
    <xf numFmtId="0" fontId="73" fillId="39" borderId="152" applyNumberFormat="0" applyAlignment="0" applyProtection="0"/>
    <xf numFmtId="0" fontId="116" fillId="0" borderId="155" applyNumberFormat="0" applyFill="0" applyAlignment="0" applyProtection="0"/>
    <xf numFmtId="0" fontId="62" fillId="29" borderId="152" applyNumberFormat="0" applyAlignment="0" applyProtection="0"/>
    <xf numFmtId="0" fontId="5" fillId="26" borderId="153" applyNumberFormat="0" applyFont="0" applyAlignment="0" applyProtection="0"/>
    <xf numFmtId="0" fontId="6" fillId="26" borderId="153" applyNumberFormat="0" applyFont="0" applyAlignment="0" applyProtection="0"/>
    <xf numFmtId="10" fontId="36" fillId="16" borderId="138" applyNumberFormat="0" applyBorder="0" applyAlignment="0" applyProtection="0"/>
    <xf numFmtId="0" fontId="62" fillId="23" borderId="152" applyNumberFormat="0" applyAlignment="0" applyProtection="0"/>
    <xf numFmtId="0" fontId="101" fillId="38" borderId="152" applyNumberFormat="0" applyAlignment="0" applyProtection="0"/>
    <xf numFmtId="0" fontId="65" fillId="39" borderId="154" applyNumberFormat="0" applyAlignment="0" applyProtection="0"/>
    <xf numFmtId="0" fontId="5" fillId="26" borderId="153" applyNumberFormat="0" applyFont="0" applyAlignment="0" applyProtection="0"/>
    <xf numFmtId="0" fontId="65" fillId="38" borderId="154" applyNumberFormat="0" applyAlignment="0" applyProtection="0"/>
    <xf numFmtId="0" fontId="5" fillId="0" borderId="0"/>
    <xf numFmtId="0" fontId="104" fillId="23" borderId="152" applyNumberFormat="0" applyAlignment="0" applyProtection="0"/>
    <xf numFmtId="0" fontId="59" fillId="38" borderId="152" applyNumberFormat="0" applyAlignment="0" applyProtection="0"/>
    <xf numFmtId="0" fontId="5" fillId="26" borderId="153" applyNumberFormat="0" applyFont="0" applyAlignment="0" applyProtection="0"/>
    <xf numFmtId="0" fontId="5" fillId="26" borderId="153" applyNumberFormat="0" applyFont="0" applyAlignment="0" applyProtection="0"/>
    <xf numFmtId="0" fontId="5" fillId="26" borderId="153" applyNumberFormat="0" applyFont="0" applyAlignment="0" applyProtection="0"/>
    <xf numFmtId="0" fontId="72" fillId="0" borderId="155" applyNumberFormat="0" applyFill="0" applyAlignment="0" applyProtection="0"/>
    <xf numFmtId="0" fontId="62" fillId="23" borderId="152" applyNumberFormat="0" applyAlignment="0" applyProtection="0"/>
    <xf numFmtId="0" fontId="110" fillId="38" borderId="154" applyNumberFormat="0" applyAlignment="0" applyProtection="0"/>
    <xf numFmtId="0" fontId="73" fillId="39" borderId="152" applyNumberFormat="0" applyAlignment="0" applyProtection="0"/>
    <xf numFmtId="0" fontId="116" fillId="0" borderId="155" applyNumberFormat="0" applyFill="0" applyAlignment="0" applyProtection="0"/>
    <xf numFmtId="0" fontId="62" fillId="29" borderId="152" applyNumberFormat="0" applyAlignment="0" applyProtection="0"/>
    <xf numFmtId="0" fontId="5" fillId="26" borderId="153" applyNumberFormat="0" applyFont="0" applyAlignment="0" applyProtection="0"/>
    <xf numFmtId="0" fontId="6" fillId="26" borderId="153" applyNumberFormat="0" applyFont="0" applyAlignment="0" applyProtection="0"/>
    <xf numFmtId="10" fontId="36" fillId="16" borderId="138" applyNumberFormat="0" applyBorder="0" applyAlignment="0" applyProtection="0"/>
    <xf numFmtId="0" fontId="62" fillId="23" borderId="152" applyNumberFormat="0" applyAlignment="0" applyProtection="0"/>
    <xf numFmtId="0" fontId="101" fillId="38" borderId="152" applyNumberFormat="0" applyAlignment="0" applyProtection="0"/>
    <xf numFmtId="0" fontId="65" fillId="39" borderId="154" applyNumberFormat="0" applyAlignment="0" applyProtection="0"/>
    <xf numFmtId="0" fontId="5" fillId="26" borderId="153" applyNumberFormat="0" applyFont="0" applyAlignment="0" applyProtection="0"/>
    <xf numFmtId="0" fontId="65" fillId="38" borderId="154" applyNumberFormat="0" applyAlignment="0" applyProtection="0"/>
    <xf numFmtId="0" fontId="5" fillId="0" borderId="0"/>
    <xf numFmtId="0" fontId="104" fillId="23" borderId="152" applyNumberFormat="0" applyAlignment="0" applyProtection="0"/>
    <xf numFmtId="0" fontId="59" fillId="38" borderId="152" applyNumberFormat="0" applyAlignment="0" applyProtection="0"/>
    <xf numFmtId="0" fontId="5" fillId="26" borderId="153" applyNumberFormat="0" applyFont="0" applyAlignment="0" applyProtection="0"/>
    <xf numFmtId="0" fontId="5" fillId="26" borderId="153" applyNumberFormat="0" applyFont="0" applyAlignment="0" applyProtection="0"/>
    <xf numFmtId="0" fontId="5" fillId="26" borderId="153" applyNumberFormat="0" applyFont="0" applyAlignment="0" applyProtection="0"/>
    <xf numFmtId="0" fontId="72" fillId="0" borderId="155" applyNumberFormat="0" applyFill="0" applyAlignment="0" applyProtection="0"/>
    <xf numFmtId="0" fontId="62" fillId="23" borderId="152" applyNumberFormat="0" applyAlignment="0" applyProtection="0"/>
    <xf numFmtId="0" fontId="110" fillId="38" borderId="154" applyNumberFormat="0" applyAlignment="0" applyProtection="0"/>
    <xf numFmtId="0" fontId="5" fillId="26" borderId="150" applyNumberFormat="0" applyFont="0" applyAlignment="0" applyProtection="0"/>
    <xf numFmtId="0" fontId="73" fillId="39" borderId="156" applyNumberFormat="0" applyAlignment="0" applyProtection="0"/>
    <xf numFmtId="0" fontId="116" fillId="0" borderId="159" applyNumberFormat="0" applyFill="0" applyAlignment="0" applyProtection="0"/>
    <xf numFmtId="0" fontId="5" fillId="26" borderId="150" applyNumberFormat="0" applyFont="0" applyAlignment="0" applyProtection="0"/>
    <xf numFmtId="0" fontId="5" fillId="26" borderId="150" applyNumberFormat="0" applyFont="0" applyAlignment="0" applyProtection="0"/>
    <xf numFmtId="0" fontId="116" fillId="0" borderId="159" applyNumberFormat="0" applyFill="0" applyAlignment="0" applyProtection="0"/>
    <xf numFmtId="166" fontId="5" fillId="0" borderId="0" applyFont="0" applyFill="0" applyBorder="0" applyAlignment="0" applyProtection="0"/>
    <xf numFmtId="0" fontId="116" fillId="0" borderId="159" applyNumberFormat="0" applyFill="0" applyAlignment="0" applyProtection="0"/>
    <xf numFmtId="0" fontId="1" fillId="0" borderId="0"/>
    <xf numFmtId="0" fontId="5" fillId="26" borderId="150" applyNumberFormat="0" applyFont="0" applyAlignment="0" applyProtection="0"/>
    <xf numFmtId="0" fontId="73" fillId="39" borderId="156" applyNumberFormat="0" applyAlignment="0" applyProtection="0"/>
    <xf numFmtId="0" fontId="5" fillId="26" borderId="150" applyNumberFormat="0" applyFont="0" applyAlignment="0" applyProtection="0"/>
    <xf numFmtId="0" fontId="5" fillId="26" borderId="150" applyNumberFormat="0" applyFont="0" applyAlignment="0" applyProtection="0"/>
    <xf numFmtId="0" fontId="1" fillId="0" borderId="0"/>
    <xf numFmtId="0" fontId="5" fillId="26" borderId="157" applyNumberFormat="0" applyFont="0" applyAlignment="0" applyProtection="0"/>
    <xf numFmtId="0" fontId="62" fillId="23" borderId="156" applyNumberFormat="0" applyAlignment="0" applyProtection="0"/>
    <xf numFmtId="0" fontId="110" fillId="38" borderId="158" applyNumberFormat="0" applyAlignment="0" applyProtection="0"/>
    <xf numFmtId="0" fontId="5" fillId="26" borderId="150" applyNumberFormat="0" applyFont="0" applyAlignment="0" applyProtection="0"/>
    <xf numFmtId="0" fontId="5" fillId="26" borderId="157" applyNumberFormat="0" applyFont="0" applyAlignment="0" applyProtection="0"/>
    <xf numFmtId="43" fontId="6" fillId="0" borderId="0" applyFont="0" applyFill="0" applyBorder="0" applyAlignment="0" applyProtection="0"/>
    <xf numFmtId="166" fontId="5" fillId="0" borderId="0" applyFont="0" applyFill="0" applyBorder="0" applyAlignment="0" applyProtection="0"/>
    <xf numFmtId="0" fontId="5" fillId="26" borderId="150" applyNumberFormat="0" applyFont="0" applyAlignment="0" applyProtection="0"/>
    <xf numFmtId="0" fontId="72" fillId="0" borderId="159" applyNumberFormat="0" applyFill="0" applyAlignment="0" applyProtection="0"/>
    <xf numFmtId="0" fontId="65" fillId="39" borderId="158" applyNumberFormat="0" applyAlignment="0" applyProtection="0"/>
    <xf numFmtId="0" fontId="5" fillId="26" borderId="150" applyNumberFormat="0" applyFont="0" applyAlignment="0" applyProtection="0"/>
    <xf numFmtId="0" fontId="6" fillId="26" borderId="150" applyNumberFormat="0" applyFont="0" applyAlignment="0" applyProtection="0"/>
    <xf numFmtId="0" fontId="62" fillId="23" borderId="156" applyNumberFormat="0" applyAlignment="0" applyProtection="0"/>
    <xf numFmtId="43" fontId="6" fillId="0" borderId="0" applyFont="0" applyFill="0" applyBorder="0" applyAlignment="0" applyProtection="0"/>
    <xf numFmtId="0" fontId="5" fillId="26" borderId="157" applyNumberFormat="0" applyFont="0" applyAlignment="0" applyProtection="0"/>
    <xf numFmtId="0" fontId="5" fillId="26" borderId="157" applyNumberFormat="0" applyFont="0" applyAlignment="0" applyProtection="0"/>
    <xf numFmtId="0" fontId="73" fillId="39" borderId="156" applyNumberFormat="0" applyAlignment="0" applyProtection="0"/>
    <xf numFmtId="166" fontId="5" fillId="0" borderId="0" applyFont="0" applyFill="0" applyBorder="0" applyAlignment="0" applyProtection="0"/>
    <xf numFmtId="0" fontId="1" fillId="0" borderId="0"/>
    <xf numFmtId="43" fontId="6" fillId="0" borderId="0" applyFont="0" applyFill="0" applyBorder="0" applyAlignment="0" applyProtection="0"/>
    <xf numFmtId="43" fontId="5" fillId="0" borderId="0" applyFont="0" applyFill="0" applyBorder="0" applyAlignment="0" applyProtection="0"/>
    <xf numFmtId="0" fontId="6" fillId="26" borderId="150" applyNumberFormat="0" applyFont="0" applyAlignment="0" applyProtection="0"/>
    <xf numFmtId="44"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0" fontId="5" fillId="26" borderId="150" applyNumberFormat="0" applyFont="0" applyAlignment="0" applyProtection="0"/>
    <xf numFmtId="0" fontId="62" fillId="29" borderId="156" applyNumberFormat="0" applyAlignment="0" applyProtection="0"/>
    <xf numFmtId="0" fontId="5" fillId="26" borderId="157" applyNumberFormat="0" applyFont="0" applyAlignment="0" applyProtection="0"/>
    <xf numFmtId="0" fontId="1" fillId="0" borderId="0"/>
    <xf numFmtId="0" fontId="72" fillId="0" borderId="159" applyNumberFormat="0" applyFill="0" applyAlignment="0" applyProtection="0"/>
    <xf numFmtId="0" fontId="5" fillId="0" borderId="0"/>
    <xf numFmtId="44" fontId="48" fillId="0" borderId="0" applyFont="0" applyFill="0" applyBorder="0" applyAlignment="0" applyProtection="0"/>
    <xf numFmtId="43" fontId="5" fillId="0" borderId="0" applyFont="0" applyFill="0" applyBorder="0" applyAlignment="0" applyProtection="0"/>
    <xf numFmtId="166" fontId="5" fillId="0" borderId="0" applyFont="0" applyFill="0" applyBorder="0" applyAlignment="0" applyProtection="0"/>
    <xf numFmtId="43" fontId="35" fillId="0" borderId="0" applyFont="0" applyFill="0" applyBorder="0" applyAlignment="0" applyProtection="0"/>
    <xf numFmtId="0" fontId="5" fillId="26" borderId="150" applyNumberFormat="0" applyFont="0" applyAlignment="0" applyProtection="0"/>
    <xf numFmtId="43" fontId="49" fillId="0" borderId="0" applyFont="0" applyFill="0" applyBorder="0" applyAlignment="0" applyProtection="0"/>
    <xf numFmtId="0" fontId="5" fillId="26" borderId="157" applyNumberFormat="0" applyFont="0" applyAlignment="0" applyProtection="0"/>
    <xf numFmtId="0" fontId="5" fillId="0" borderId="0"/>
    <xf numFmtId="0" fontId="1" fillId="0" borderId="0"/>
    <xf numFmtId="166" fontId="5" fillId="0" borderId="0" applyFont="0" applyFill="0" applyBorder="0" applyAlignment="0" applyProtection="0"/>
    <xf numFmtId="0" fontId="5" fillId="26" borderId="157" applyNumberFormat="0" applyFont="0" applyAlignment="0" applyProtection="0"/>
    <xf numFmtId="43" fontId="6" fillId="0" borderId="0" applyFont="0" applyFill="0" applyBorder="0" applyAlignment="0" applyProtection="0"/>
    <xf numFmtId="0" fontId="110" fillId="38" borderId="158" applyNumberFormat="0" applyAlignment="0" applyProtection="0"/>
    <xf numFmtId="0" fontId="62" fillId="29" borderId="156" applyNumberFormat="0" applyAlignment="0" applyProtection="0"/>
    <xf numFmtId="43" fontId="5" fillId="0" borderId="0" applyFont="0" applyFill="0" applyBorder="0" applyAlignment="0" applyProtection="0"/>
    <xf numFmtId="0" fontId="5" fillId="0" borderId="0"/>
    <xf numFmtId="0" fontId="5" fillId="0" borderId="0"/>
    <xf numFmtId="0" fontId="65" fillId="39" borderId="158" applyNumberFormat="0" applyAlignment="0" applyProtection="0"/>
    <xf numFmtId="0" fontId="5" fillId="0" borderId="0"/>
    <xf numFmtId="166" fontId="5" fillId="0" borderId="0" applyFont="0" applyFill="0" applyBorder="0" applyAlignment="0" applyProtection="0"/>
    <xf numFmtId="0" fontId="5" fillId="26" borderId="157" applyNumberFormat="0" applyFont="0" applyAlignment="0" applyProtection="0"/>
    <xf numFmtId="0" fontId="5" fillId="0" borderId="0"/>
    <xf numFmtId="43" fontId="5" fillId="0" borderId="0" applyFont="0" applyFill="0" applyBorder="0" applyAlignment="0" applyProtection="0"/>
    <xf numFmtId="0" fontId="1" fillId="0" borderId="0"/>
    <xf numFmtId="43" fontId="5" fillId="0" borderId="0" applyFont="0" applyFill="0" applyBorder="0" applyAlignment="0" applyProtection="0"/>
    <xf numFmtId="0" fontId="5" fillId="26" borderId="150" applyNumberFormat="0" applyFont="0" applyAlignment="0" applyProtection="0"/>
    <xf numFmtId="0" fontId="5" fillId="26" borderId="150" applyNumberFormat="0" applyFont="0" applyAlignment="0" applyProtection="0"/>
    <xf numFmtId="0" fontId="5" fillId="26" borderId="157" applyNumberFormat="0" applyFont="0" applyAlignment="0" applyProtection="0"/>
    <xf numFmtId="43" fontId="1" fillId="0" borderId="0" applyFont="0" applyFill="0" applyBorder="0" applyAlignment="0" applyProtection="0"/>
    <xf numFmtId="44" fontId="49" fillId="0" borderId="0" applyFont="0" applyFill="0" applyBorder="0" applyAlignment="0" applyProtection="0"/>
    <xf numFmtId="166" fontId="5" fillId="0" borderId="0" applyFont="0" applyFill="0" applyBorder="0" applyAlignment="0" applyProtection="0"/>
    <xf numFmtId="0" fontId="1" fillId="0" borderId="0"/>
    <xf numFmtId="43" fontId="6" fillId="0" borderId="0" applyFont="0" applyFill="0" applyBorder="0" applyAlignment="0" applyProtection="0"/>
    <xf numFmtId="43" fontId="6" fillId="0" borderId="0" applyFont="0" applyFill="0" applyBorder="0" applyAlignment="0" applyProtection="0"/>
    <xf numFmtId="0" fontId="65" fillId="38" borderId="158" applyNumberFormat="0" applyAlignment="0" applyProtection="0"/>
    <xf numFmtId="0" fontId="5" fillId="26" borderId="157" applyNumberFormat="0" applyFont="0" applyAlignment="0" applyProtection="0"/>
    <xf numFmtId="0" fontId="5" fillId="26" borderId="150" applyNumberFormat="0" applyFont="0" applyAlignment="0" applyProtection="0"/>
    <xf numFmtId="0" fontId="5" fillId="26" borderId="150" applyNumberFormat="0" applyFont="0" applyAlignment="0" applyProtection="0"/>
    <xf numFmtId="0" fontId="5" fillId="26" borderId="157" applyNumberFormat="0" applyFont="0" applyAlignment="0" applyProtection="0"/>
    <xf numFmtId="43" fontId="35" fillId="0" borderId="0" applyFont="0" applyFill="0" applyBorder="0" applyAlignment="0" applyProtection="0"/>
    <xf numFmtId="43" fontId="109" fillId="0" borderId="0" applyFont="0" applyFill="0" applyBorder="0" applyAlignment="0" applyProtection="0"/>
    <xf numFmtId="0" fontId="5" fillId="0" borderId="0"/>
    <xf numFmtId="0" fontId="5" fillId="0" borderId="0"/>
    <xf numFmtId="43" fontId="6" fillId="0" borderId="0" applyFont="0" applyFill="0" applyBorder="0" applyAlignment="0" applyProtection="0"/>
    <xf numFmtId="0" fontId="6" fillId="26" borderId="157" applyNumberFormat="0" applyFont="0" applyAlignment="0" applyProtection="0"/>
    <xf numFmtId="0" fontId="5" fillId="0" borderId="0"/>
    <xf numFmtId="0" fontId="5" fillId="26" borderId="150" applyNumberFormat="0" applyFont="0" applyAlignment="0" applyProtection="0"/>
    <xf numFmtId="0" fontId="5" fillId="26" borderId="150" applyNumberFormat="0" applyFont="0" applyAlignment="0" applyProtection="0"/>
    <xf numFmtId="0" fontId="5" fillId="26" borderId="150" applyNumberFormat="0" applyFont="0" applyAlignment="0" applyProtection="0"/>
    <xf numFmtId="0" fontId="5" fillId="0" borderId="0"/>
    <xf numFmtId="0" fontId="59" fillId="38" borderId="156" applyNumberFormat="0" applyAlignment="0" applyProtection="0"/>
    <xf numFmtId="166" fontId="5" fillId="0" borderId="0" applyFont="0" applyFill="0" applyBorder="0" applyAlignment="0" applyProtection="0"/>
    <xf numFmtId="0" fontId="1" fillId="0" borderId="0"/>
    <xf numFmtId="0" fontId="62" fillId="23" borderId="156" applyNumberFormat="0" applyAlignment="0" applyProtection="0"/>
    <xf numFmtId="0" fontId="5" fillId="26" borderId="157" applyNumberFormat="0" applyFont="0" applyAlignment="0" applyProtection="0"/>
    <xf numFmtId="43" fontId="35" fillId="0" borderId="0" applyFont="0" applyFill="0" applyBorder="0" applyAlignment="0" applyProtection="0"/>
    <xf numFmtId="166" fontId="5" fillId="0" borderId="0" applyFont="0" applyFill="0" applyBorder="0" applyAlignment="0" applyProtection="0"/>
    <xf numFmtId="0" fontId="62" fillId="23" borderId="156" applyNumberFormat="0" applyAlignment="0" applyProtection="0"/>
    <xf numFmtId="40" fontId="53" fillId="0" borderId="0" applyFont="0" applyFill="0" applyBorder="0" applyAlignment="0" applyProtection="0"/>
    <xf numFmtId="0" fontId="1" fillId="0" borderId="0"/>
    <xf numFmtId="166" fontId="5" fillId="0" borderId="0" applyFont="0" applyFill="0" applyBorder="0" applyAlignment="0" applyProtection="0"/>
    <xf numFmtId="166" fontId="5" fillId="0" borderId="0" applyFont="0" applyFill="0" applyBorder="0" applyAlignment="0" applyProtection="0"/>
    <xf numFmtId="0" fontId="73" fillId="39" borderId="156" applyNumberFormat="0" applyAlignment="0" applyProtection="0"/>
    <xf numFmtId="0" fontId="62" fillId="23" borderId="156" applyNumberFormat="0" applyAlignment="0" applyProtection="0"/>
    <xf numFmtId="165" fontId="5" fillId="0" borderId="0" applyFont="0" applyFill="0" applyBorder="0" applyAlignment="0" applyProtection="0"/>
    <xf numFmtId="0" fontId="65" fillId="38" borderId="158" applyNumberFormat="0" applyAlignment="0" applyProtection="0"/>
    <xf numFmtId="0" fontId="72" fillId="0" borderId="159" applyNumberFormat="0" applyFill="0" applyAlignment="0" applyProtection="0"/>
    <xf numFmtId="0" fontId="110" fillId="38" borderId="158" applyNumberFormat="0" applyAlignment="0" applyProtection="0"/>
    <xf numFmtId="0" fontId="1" fillId="0" borderId="0"/>
    <xf numFmtId="43" fontId="6" fillId="0" borderId="0" applyFont="0" applyFill="0" applyBorder="0" applyAlignment="0" applyProtection="0"/>
    <xf numFmtId="0" fontId="5" fillId="26" borderId="150" applyNumberFormat="0" applyFont="0" applyAlignment="0" applyProtection="0"/>
    <xf numFmtId="0" fontId="5" fillId="26" borderId="157" applyNumberFormat="0" applyFont="0" applyAlignment="0" applyProtection="0"/>
    <xf numFmtId="0" fontId="73" fillId="39" borderId="156" applyNumberFormat="0" applyAlignment="0" applyProtection="0"/>
    <xf numFmtId="0" fontId="5" fillId="26" borderId="150" applyNumberFormat="0" applyFont="0" applyAlignment="0" applyProtection="0"/>
    <xf numFmtId="43" fontId="5" fillId="0" borderId="0" applyFont="0" applyFill="0" applyBorder="0" applyAlignment="0" applyProtection="0"/>
    <xf numFmtId="0" fontId="5" fillId="26" borderId="157" applyNumberFormat="0" applyFont="0" applyAlignment="0" applyProtection="0"/>
    <xf numFmtId="43" fontId="3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4" fillId="23" borderId="156" applyNumberFormat="0" applyAlignment="0" applyProtection="0"/>
    <xf numFmtId="0" fontId="62" fillId="23" borderId="156" applyNumberFormat="0" applyAlignment="0" applyProtection="0"/>
    <xf numFmtId="165" fontId="5" fillId="0" borderId="0" applyFont="0" applyFill="0" applyBorder="0" applyAlignment="0" applyProtection="0"/>
    <xf numFmtId="0" fontId="5" fillId="0" borderId="0"/>
    <xf numFmtId="166" fontId="5" fillId="0" borderId="0" applyFont="0" applyFill="0" applyBorder="0" applyAlignment="0" applyProtection="0"/>
    <xf numFmtId="43" fontId="6" fillId="0" borderId="0" applyFont="0" applyFill="0" applyBorder="0" applyAlignment="0" applyProtection="0"/>
    <xf numFmtId="0" fontId="104" fillId="23" borderId="156" applyNumberFormat="0" applyAlignment="0" applyProtection="0"/>
    <xf numFmtId="0" fontId="62" fillId="23" borderId="156" applyNumberFormat="0" applyAlignment="0" applyProtection="0"/>
    <xf numFmtId="0" fontId="5" fillId="26" borderId="150" applyNumberFormat="0" applyFont="0" applyAlignment="0" applyProtection="0"/>
    <xf numFmtId="0" fontId="101" fillId="38" borderId="156" applyNumberFormat="0" applyAlignment="0" applyProtection="0"/>
    <xf numFmtId="165" fontId="5" fillId="0" borderId="0" applyFont="0" applyFill="0" applyBorder="0" applyAlignment="0" applyProtection="0"/>
    <xf numFmtId="43" fontId="49"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26" borderId="150" applyNumberFormat="0" applyFont="0" applyAlignment="0" applyProtection="0"/>
    <xf numFmtId="43" fontId="5" fillId="0" borderId="0" applyFont="0" applyFill="0" applyBorder="0" applyAlignment="0" applyProtection="0"/>
    <xf numFmtId="40" fontId="53"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166" fontId="35" fillId="0" borderId="0" applyFont="0" applyFill="0" applyBorder="0" applyAlignment="0" applyProtection="0"/>
    <xf numFmtId="0" fontId="1" fillId="0" borderId="0"/>
    <xf numFmtId="43" fontId="5" fillId="0" borderId="0" applyFont="0" applyFill="0" applyBorder="0" applyAlignment="0" applyProtection="0"/>
    <xf numFmtId="0" fontId="6" fillId="26" borderId="150" applyNumberFormat="0" applyFont="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 fillId="0" borderId="0"/>
    <xf numFmtId="43" fontId="5" fillId="0" borderId="0" applyFont="0" applyFill="0" applyBorder="0" applyAlignment="0" applyProtection="0"/>
    <xf numFmtId="0" fontId="5" fillId="26" borderId="157" applyNumberFormat="0" applyFont="0" applyAlignment="0" applyProtection="0"/>
    <xf numFmtId="0" fontId="1" fillId="0" borderId="0"/>
    <xf numFmtId="0" fontId="5" fillId="26" borderId="157" applyNumberFormat="0" applyFont="0" applyAlignment="0" applyProtection="0"/>
    <xf numFmtId="0" fontId="59" fillId="38" borderId="156" applyNumberFormat="0" applyAlignment="0" applyProtection="0"/>
    <xf numFmtId="0" fontId="6" fillId="26" borderId="150" applyNumberFormat="0" applyFont="0" applyAlignment="0" applyProtection="0"/>
    <xf numFmtId="0" fontId="5" fillId="26" borderId="150" applyNumberFormat="0" applyFont="0" applyAlignment="0" applyProtection="0"/>
    <xf numFmtId="0" fontId="5" fillId="26" borderId="150" applyNumberFormat="0" applyFont="0" applyAlignment="0" applyProtection="0"/>
    <xf numFmtId="0" fontId="73" fillId="39" borderId="156" applyNumberFormat="0" applyAlignment="0" applyProtection="0"/>
    <xf numFmtId="166"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62" fillId="23" borderId="156" applyNumberFormat="0" applyAlignment="0" applyProtection="0"/>
    <xf numFmtId="173"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0" borderId="0"/>
    <xf numFmtId="43" fontId="1" fillId="0" borderId="0" applyFont="0" applyFill="0" applyBorder="0" applyAlignment="0" applyProtection="0"/>
    <xf numFmtId="0" fontId="65" fillId="39" borderId="158" applyNumberFormat="0" applyAlignment="0" applyProtection="0"/>
    <xf numFmtId="166" fontId="5" fillId="0" borderId="0" applyFont="0" applyFill="0" applyBorder="0" applyAlignment="0" applyProtection="0"/>
    <xf numFmtId="0" fontId="5" fillId="0" borderId="0"/>
    <xf numFmtId="0" fontId="62" fillId="23" borderId="156" applyNumberFormat="0" applyAlignment="0" applyProtection="0"/>
    <xf numFmtId="0" fontId="1" fillId="0" borderId="0"/>
    <xf numFmtId="0" fontId="1" fillId="0" borderId="0"/>
    <xf numFmtId="0" fontId="116" fillId="0" borderId="159" applyNumberFormat="0" applyFill="0" applyAlignment="0" applyProtection="0"/>
    <xf numFmtId="0" fontId="59" fillId="38" borderId="156" applyNumberFormat="0" applyAlignment="0" applyProtection="0"/>
    <xf numFmtId="166" fontId="5" fillId="0" borderId="0" applyFont="0" applyFill="0" applyBorder="0" applyAlignment="0" applyProtection="0"/>
    <xf numFmtId="166" fontId="5" fillId="0" borderId="0" applyFont="0" applyFill="0" applyBorder="0" applyAlignment="0" applyProtection="0"/>
    <xf numFmtId="0" fontId="104" fillId="23" borderId="156" applyNumberFormat="0" applyAlignment="0" applyProtection="0"/>
    <xf numFmtId="0" fontId="5" fillId="0" borderId="0"/>
    <xf numFmtId="166"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26" borderId="157" applyNumberFormat="0" applyFont="0" applyAlignment="0" applyProtection="0"/>
    <xf numFmtId="0" fontId="1" fillId="0" borderId="0"/>
    <xf numFmtId="43" fontId="5" fillId="0" borderId="0" applyFont="0" applyFill="0" applyBorder="0" applyAlignment="0" applyProtection="0"/>
    <xf numFmtId="0" fontId="1" fillId="0" borderId="0"/>
    <xf numFmtId="43" fontId="6" fillId="0" borderId="0" applyFont="0" applyFill="0" applyBorder="0" applyAlignment="0" applyProtection="0"/>
    <xf numFmtId="166" fontId="5" fillId="0" borderId="0" applyFont="0" applyFill="0" applyBorder="0" applyAlignment="0" applyProtection="0"/>
    <xf numFmtId="0" fontId="110" fillId="38" borderId="158" applyNumberFormat="0" applyAlignment="0" applyProtection="0"/>
    <xf numFmtId="0" fontId="62" fillId="29" borderId="156" applyNumberFormat="0" applyAlignment="0" applyProtection="0"/>
    <xf numFmtId="165" fontId="5" fillId="0" borderId="0" applyFont="0" applyFill="0" applyBorder="0" applyAlignment="0" applyProtection="0"/>
    <xf numFmtId="0" fontId="1" fillId="0" borderId="0"/>
    <xf numFmtId="0" fontId="1" fillId="0" borderId="0"/>
    <xf numFmtId="166"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0" fontId="6" fillId="26" borderId="157" applyNumberFormat="0" applyFont="0" applyAlignment="0" applyProtection="0"/>
    <xf numFmtId="0" fontId="65" fillId="38" borderId="158" applyNumberFormat="0" applyAlignment="0" applyProtection="0"/>
    <xf numFmtId="166" fontId="5" fillId="0" borderId="0" applyFont="0" applyFill="0" applyBorder="0" applyAlignment="0" applyProtection="0"/>
    <xf numFmtId="166" fontId="5" fillId="0" borderId="0" applyFont="0" applyFill="0" applyBorder="0" applyAlignment="0" applyProtection="0"/>
    <xf numFmtId="0" fontId="1" fillId="0" borderId="0"/>
    <xf numFmtId="166" fontId="5" fillId="0" borderId="0" applyFont="0" applyFill="0" applyBorder="0" applyAlignment="0" applyProtection="0"/>
    <xf numFmtId="0" fontId="62" fillId="23" borderId="156" applyNumberFormat="0" applyAlignment="0" applyProtection="0"/>
    <xf numFmtId="0" fontId="1" fillId="0" borderId="0"/>
    <xf numFmtId="0" fontId="1" fillId="0" borderId="0"/>
    <xf numFmtId="43" fontId="1" fillId="0" borderId="0" applyFont="0" applyFill="0" applyBorder="0" applyAlignment="0" applyProtection="0"/>
    <xf numFmtId="0" fontId="5" fillId="26" borderId="150" applyNumberFormat="0" applyFont="0" applyAlignment="0" applyProtection="0"/>
    <xf numFmtId="0" fontId="5" fillId="26" borderId="150" applyNumberFormat="0" applyFont="0" applyAlignment="0" applyProtection="0"/>
    <xf numFmtId="0" fontId="5" fillId="26" borderId="150" applyNumberFormat="0" applyFont="0" applyAlignment="0" applyProtection="0"/>
    <xf numFmtId="0" fontId="5" fillId="26" borderId="150" applyNumberFormat="0" applyFont="0" applyAlignment="0" applyProtection="0"/>
    <xf numFmtId="43" fontId="6" fillId="0" borderId="0" applyFont="0" applyFill="0" applyBorder="0" applyAlignment="0" applyProtection="0"/>
    <xf numFmtId="43" fontId="1" fillId="0" borderId="0" applyFont="0" applyFill="0" applyBorder="0" applyAlignment="0" applyProtection="0"/>
    <xf numFmtId="0" fontId="65" fillId="39" borderId="158" applyNumberFormat="0" applyAlignment="0" applyProtection="0"/>
    <xf numFmtId="0" fontId="73" fillId="39" borderId="156" applyNumberFormat="0" applyAlignment="0" applyProtection="0"/>
    <xf numFmtId="0" fontId="65" fillId="39" borderId="158" applyNumberFormat="0" applyAlignment="0" applyProtection="0"/>
    <xf numFmtId="0" fontId="65" fillId="38" borderId="158" applyNumberFormat="0" applyAlignment="0" applyProtection="0"/>
    <xf numFmtId="0" fontId="62" fillId="23" borderId="156" applyNumberFormat="0" applyAlignment="0" applyProtection="0"/>
    <xf numFmtId="0" fontId="62" fillId="23" borderId="156" applyNumberFormat="0" applyAlignment="0" applyProtection="0"/>
    <xf numFmtId="0" fontId="116" fillId="0" borderId="159" applyNumberFormat="0" applyFill="0" applyAlignment="0" applyProtection="0"/>
    <xf numFmtId="0" fontId="110" fillId="38" borderId="158" applyNumberFormat="0" applyAlignment="0" applyProtection="0"/>
    <xf numFmtId="0" fontId="5" fillId="26" borderId="157" applyNumberFormat="0" applyFont="0" applyAlignment="0" applyProtection="0"/>
    <xf numFmtId="0" fontId="65" fillId="38" borderId="158" applyNumberFormat="0" applyAlignment="0" applyProtection="0"/>
    <xf numFmtId="0" fontId="6" fillId="26" borderId="157" applyNumberFormat="0" applyFont="0" applyAlignment="0" applyProtection="0"/>
    <xf numFmtId="0" fontId="5" fillId="26" borderId="157" applyNumberFormat="0" applyFont="0" applyAlignment="0" applyProtection="0"/>
    <xf numFmtId="0" fontId="5" fillId="26" borderId="150" applyNumberFormat="0" applyFont="0" applyAlignment="0" applyProtection="0"/>
    <xf numFmtId="0" fontId="5" fillId="26" borderId="150" applyNumberFormat="0" applyFont="0" applyAlignment="0" applyProtection="0"/>
    <xf numFmtId="0" fontId="6" fillId="26" borderId="150" applyNumberFormat="0" applyFont="0" applyAlignment="0" applyProtection="0"/>
    <xf numFmtId="0" fontId="5" fillId="26" borderId="150" applyNumberFormat="0" applyFont="0" applyAlignment="0" applyProtection="0"/>
    <xf numFmtId="0" fontId="5" fillId="26" borderId="150" applyNumberFormat="0" applyFont="0" applyAlignment="0" applyProtection="0"/>
    <xf numFmtId="0" fontId="5" fillId="26" borderId="150" applyNumberFormat="0" applyFont="0" applyAlignment="0" applyProtection="0"/>
    <xf numFmtId="0" fontId="5" fillId="26" borderId="150" applyNumberFormat="0" applyFont="0" applyAlignment="0" applyProtection="0"/>
    <xf numFmtId="0" fontId="5" fillId="26" borderId="150" applyNumberFormat="0" applyFont="0" applyAlignment="0" applyProtection="0"/>
    <xf numFmtId="0" fontId="5" fillId="26" borderId="150" applyNumberFormat="0" applyFont="0" applyAlignment="0" applyProtection="0"/>
    <xf numFmtId="0" fontId="5" fillId="26" borderId="150" applyNumberFormat="0" applyFont="0" applyAlignment="0" applyProtection="0"/>
    <xf numFmtId="0" fontId="5" fillId="26" borderId="150" applyNumberFormat="0" applyFont="0" applyAlignment="0" applyProtection="0"/>
    <xf numFmtId="0" fontId="5" fillId="26" borderId="150" applyNumberFormat="0" applyFont="0" applyAlignment="0" applyProtection="0"/>
    <xf numFmtId="0" fontId="5" fillId="26" borderId="150" applyNumberFormat="0" applyFont="0" applyAlignment="0" applyProtection="0"/>
    <xf numFmtId="0" fontId="5" fillId="26" borderId="150" applyNumberFormat="0" applyFont="0" applyAlignment="0" applyProtection="0"/>
    <xf numFmtId="0" fontId="5" fillId="26" borderId="150" applyNumberFormat="0" applyFont="0" applyAlignment="0" applyProtection="0"/>
    <xf numFmtId="0" fontId="5" fillId="26" borderId="150" applyNumberFormat="0" applyFont="0" applyAlignment="0" applyProtection="0"/>
    <xf numFmtId="0" fontId="6" fillId="26" borderId="150" applyNumberFormat="0" applyFont="0" applyAlignment="0" applyProtection="0"/>
    <xf numFmtId="0" fontId="5" fillId="26" borderId="150" applyNumberFormat="0" applyFont="0" applyAlignment="0" applyProtection="0"/>
    <xf numFmtId="0" fontId="5" fillId="26" borderId="150" applyNumberFormat="0" applyFont="0" applyAlignment="0" applyProtection="0"/>
    <xf numFmtId="0" fontId="5" fillId="26" borderId="150" applyNumberFormat="0" applyFont="0" applyAlignment="0" applyProtection="0"/>
    <xf numFmtId="0" fontId="5" fillId="26" borderId="150" applyNumberFormat="0" applyFont="0" applyAlignment="0" applyProtection="0"/>
    <xf numFmtId="0" fontId="5" fillId="26" borderId="150" applyNumberFormat="0" applyFont="0" applyAlignment="0" applyProtection="0"/>
    <xf numFmtId="165" fontId="5" fillId="0" borderId="0" applyFont="0" applyFill="0" applyBorder="0" applyAlignment="0" applyProtection="0"/>
    <xf numFmtId="43" fontId="5" fillId="0" borderId="0" applyFont="0" applyFill="0" applyBorder="0" applyAlignment="0" applyProtection="0"/>
    <xf numFmtId="0" fontId="5" fillId="0" borderId="0" applyNumberFormat="0" applyFont="0" applyFill="0" applyBorder="0" applyAlignment="0" applyProtection="0">
      <alignment vertical="top"/>
    </xf>
    <xf numFmtId="43" fontId="5" fillId="0" borderId="0" applyFont="0" applyFill="0" applyBorder="0" applyAlignment="0" applyProtection="0"/>
    <xf numFmtId="0" fontId="72" fillId="0" borderId="159" applyNumberFormat="0" applyFill="0" applyAlignment="0" applyProtection="0"/>
    <xf numFmtId="166" fontId="5" fillId="0" borderId="0" applyFont="0" applyFill="0" applyBorder="0" applyAlignment="0" applyProtection="0"/>
    <xf numFmtId="0" fontId="104" fillId="23" borderId="156" applyNumberFormat="0" applyAlignment="0" applyProtection="0"/>
    <xf numFmtId="0" fontId="5" fillId="26" borderId="157" applyNumberFormat="0" applyFont="0" applyAlignment="0" applyProtection="0"/>
    <xf numFmtId="166" fontId="5" fillId="0" borderId="0" applyFont="0" applyFill="0" applyBorder="0" applyAlignment="0" applyProtection="0"/>
    <xf numFmtId="166" fontId="35" fillId="0" borderId="0" applyFont="0" applyFill="0" applyBorder="0" applyAlignment="0" applyProtection="0"/>
    <xf numFmtId="0" fontId="5" fillId="0" borderId="0"/>
    <xf numFmtId="43" fontId="2" fillId="0" borderId="0" applyFont="0" applyFill="0" applyBorder="0" applyAlignment="0" applyProtection="0"/>
    <xf numFmtId="0" fontId="72" fillId="0" borderId="159" applyNumberFormat="0" applyFill="0" applyAlignment="0" applyProtection="0"/>
    <xf numFmtId="43" fontId="5" fillId="0" borderId="0" applyFont="0" applyFill="0" applyBorder="0" applyAlignment="0" applyProtection="0"/>
    <xf numFmtId="0" fontId="59" fillId="38" borderId="156" applyNumberFormat="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166" fontId="5" fillId="0" borderId="0" applyFont="0" applyFill="0" applyBorder="0" applyAlignment="0" applyProtection="0"/>
    <xf numFmtId="0" fontId="101" fillId="38" borderId="156" applyNumberFormat="0" applyAlignment="0" applyProtection="0"/>
    <xf numFmtId="0" fontId="62" fillId="23" borderId="156" applyNumberFormat="0" applyAlignment="0" applyProtection="0"/>
    <xf numFmtId="43" fontId="5" fillId="0" borderId="0" applyFont="0" applyFill="0" applyBorder="0" applyAlignment="0" applyProtection="0"/>
    <xf numFmtId="0" fontId="6" fillId="26" borderId="157" applyNumberFormat="0" applyFont="0" applyAlignment="0" applyProtection="0"/>
    <xf numFmtId="0" fontId="5" fillId="26" borderId="157" applyNumberFormat="0" applyFont="0" applyAlignment="0" applyProtection="0"/>
    <xf numFmtId="9" fontId="49" fillId="0" borderId="0" applyFont="0" applyFill="0" applyBorder="0" applyAlignment="0" applyProtection="0"/>
    <xf numFmtId="43" fontId="6" fillId="0" borderId="0" applyFont="0" applyFill="0" applyBorder="0" applyAlignment="0" applyProtection="0"/>
    <xf numFmtId="0" fontId="5" fillId="0" borderId="0"/>
    <xf numFmtId="43" fontId="5" fillId="0" borderId="0" applyFont="0" applyFill="0" applyBorder="0" applyAlignment="0" applyProtection="0"/>
    <xf numFmtId="166"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5" fillId="0" borderId="0"/>
    <xf numFmtId="0" fontId="5" fillId="26" borderId="157"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9" fillId="64" borderId="152"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2" fillId="55" borderId="152" applyNumberFormat="0" applyAlignment="0" applyProtection="0"/>
    <xf numFmtId="0" fontId="62" fillId="29" borderId="156" applyNumberFormat="0" applyAlignment="0" applyProtection="0"/>
    <xf numFmtId="0" fontId="5" fillId="71" borderId="153" applyNumberFormat="0" applyAlignment="0" applyProtection="0"/>
    <xf numFmtId="0" fontId="65" fillId="64" borderId="154" applyNumberFormat="0" applyAlignment="0" applyProtection="0"/>
    <xf numFmtId="43" fontId="5" fillId="0" borderId="0" applyFont="0" applyFill="0" applyBorder="0" applyAlignment="0" applyProtection="0"/>
    <xf numFmtId="0" fontId="5" fillId="26" borderId="150" applyNumberFormat="0" applyFont="0" applyAlignment="0" applyProtection="0"/>
    <xf numFmtId="0" fontId="5" fillId="26" borderId="150" applyNumberFormat="0" applyFont="0" applyAlignment="0" applyProtection="0"/>
    <xf numFmtId="0" fontId="5" fillId="26" borderId="150" applyNumberFormat="0" applyFont="0" applyAlignment="0" applyProtection="0"/>
    <xf numFmtId="0" fontId="62" fillId="29" borderId="156" applyNumberFormat="0" applyAlignment="0" applyProtection="0"/>
    <xf numFmtId="166"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166" fontId="5" fillId="0" borderId="0" applyFont="0" applyFill="0" applyBorder="0" applyAlignment="0" applyProtection="0"/>
    <xf numFmtId="0" fontId="6" fillId="26" borderId="150" applyNumberFormat="0" applyFont="0" applyAlignment="0" applyProtection="0"/>
    <xf numFmtId="0" fontId="5" fillId="26" borderId="150" applyNumberFormat="0" applyFont="0" applyAlignment="0" applyProtection="0"/>
    <xf numFmtId="0" fontId="62" fillId="23" borderId="156" applyNumberFormat="0" applyAlignment="0" applyProtection="0"/>
    <xf numFmtId="0" fontId="104" fillId="23" borderId="156" applyNumberFormat="0" applyAlignment="0" applyProtection="0"/>
    <xf numFmtId="166" fontId="5" fillId="0" borderId="0" applyFont="0" applyFill="0" applyBorder="0" applyAlignment="0" applyProtection="0"/>
    <xf numFmtId="0" fontId="62" fillId="23" borderId="156" applyNumberFormat="0" applyAlignment="0" applyProtection="0"/>
    <xf numFmtId="0" fontId="6" fillId="26" borderId="150" applyNumberFormat="0" applyFont="0" applyAlignment="0" applyProtection="0"/>
    <xf numFmtId="0" fontId="5" fillId="0" borderId="0"/>
    <xf numFmtId="43" fontId="5" fillId="0" borderId="0" applyFont="0" applyFill="0" applyBorder="0" applyAlignment="0" applyProtection="0"/>
    <xf numFmtId="166" fontId="5" fillId="0" borderId="0" applyFont="0" applyFill="0" applyBorder="0" applyAlignment="0" applyProtection="0"/>
    <xf numFmtId="43" fontId="5" fillId="0" borderId="0" applyFont="0" applyFill="0" applyBorder="0" applyAlignment="0" applyProtection="0"/>
    <xf numFmtId="0" fontId="5" fillId="26" borderId="150" applyNumberFormat="0" applyFont="0" applyAlignment="0" applyProtection="0"/>
    <xf numFmtId="43" fontId="2" fillId="0" borderId="0" applyFont="0" applyFill="0" applyBorder="0" applyAlignment="0" applyProtection="0"/>
    <xf numFmtId="0" fontId="5" fillId="26" borderId="150" applyNumberFormat="0" applyFont="0" applyAlignment="0" applyProtection="0"/>
    <xf numFmtId="0" fontId="6" fillId="26" borderId="150" applyNumberFormat="0" applyFont="0" applyAlignment="0" applyProtection="0"/>
    <xf numFmtId="0" fontId="5" fillId="26" borderId="150" applyNumberFormat="0" applyFont="0" applyAlignment="0" applyProtection="0"/>
    <xf numFmtId="166" fontId="5" fillId="0" borderId="0" applyFont="0" applyFill="0" applyBorder="0" applyAlignment="0" applyProtection="0"/>
    <xf numFmtId="166" fontId="5" fillId="0" borderId="0" applyFont="0" applyFill="0" applyBorder="0" applyAlignment="0" applyProtection="0"/>
    <xf numFmtId="0" fontId="5" fillId="0" borderId="0"/>
    <xf numFmtId="43" fontId="6" fillId="0" borderId="0" applyFont="0" applyFill="0" applyBorder="0" applyAlignment="0" applyProtection="0"/>
    <xf numFmtId="166" fontId="5" fillId="0" borderId="0" applyFont="0" applyFill="0" applyBorder="0" applyAlignment="0" applyProtection="0"/>
    <xf numFmtId="0" fontId="5" fillId="26" borderId="150" applyNumberFormat="0" applyFont="0" applyAlignment="0" applyProtection="0"/>
    <xf numFmtId="0" fontId="5" fillId="26" borderId="150" applyNumberFormat="0" applyFont="0" applyAlignment="0" applyProtection="0"/>
    <xf numFmtId="0" fontId="5" fillId="26" borderId="150" applyNumberFormat="0" applyFont="0" applyAlignment="0" applyProtection="0"/>
    <xf numFmtId="165" fontId="5" fillId="0" borderId="0" applyFont="0" applyFill="0" applyBorder="0" applyAlignment="0" applyProtection="0"/>
    <xf numFmtId="0" fontId="1" fillId="0" borderId="0"/>
    <xf numFmtId="0" fontId="6" fillId="26" borderId="157" applyNumberFormat="0" applyFont="0" applyAlignment="0" applyProtection="0"/>
    <xf numFmtId="166" fontId="5" fillId="0" borderId="0" applyFont="0" applyFill="0" applyBorder="0" applyAlignment="0" applyProtection="0"/>
    <xf numFmtId="43" fontId="6" fillId="0" borderId="0" applyFont="0" applyFill="0" applyBorder="0" applyAlignment="0" applyProtection="0"/>
    <xf numFmtId="0" fontId="65" fillId="38" borderId="158" applyNumberFormat="0" applyAlignment="0" applyProtection="0"/>
    <xf numFmtId="0" fontId="5" fillId="26" borderId="150" applyNumberFormat="0" applyFont="0" applyAlignment="0" applyProtection="0"/>
    <xf numFmtId="0" fontId="5" fillId="26" borderId="150" applyNumberFormat="0" applyFont="0" applyAlignment="0" applyProtection="0"/>
    <xf numFmtId="0" fontId="5" fillId="26" borderId="150" applyNumberFormat="0" applyFont="0" applyAlignment="0" applyProtection="0"/>
    <xf numFmtId="0" fontId="5" fillId="0" borderId="0"/>
    <xf numFmtId="0" fontId="18" fillId="15" borderId="141" applyFill="0" applyBorder="0" applyAlignment="0" applyProtection="0">
      <alignment vertical="center"/>
      <protection locked="0"/>
    </xf>
    <xf numFmtId="10" fontId="36" fillId="16" borderId="138" applyNumberFormat="0" applyBorder="0" applyAlignment="0" applyProtection="0"/>
    <xf numFmtId="0" fontId="36" fillId="0" borderId="141" applyBorder="0">
      <alignment horizontal="left" vertical="center" wrapText="1" indent="2"/>
      <protection locked="0"/>
    </xf>
    <xf numFmtId="0" fontId="36" fillId="0" borderId="141" applyBorder="0">
      <alignment horizontal="left" vertical="center" wrapText="1" indent="3"/>
      <protection locked="0"/>
    </xf>
    <xf numFmtId="0" fontId="59" fillId="38" borderId="152" applyNumberFormat="0" applyAlignment="0" applyProtection="0"/>
    <xf numFmtId="0" fontId="73" fillId="39" borderId="152" applyNumberFormat="0" applyAlignment="0" applyProtection="0"/>
    <xf numFmtId="0" fontId="62" fillId="29" borderId="152" applyNumberFormat="0" applyAlignment="0" applyProtection="0"/>
    <xf numFmtId="0" fontId="62" fillId="23" borderId="152" applyNumberFormat="0" applyAlignment="0" applyProtection="0"/>
    <xf numFmtId="0" fontId="5" fillId="26" borderId="153" applyNumberFormat="0" applyFont="0" applyAlignment="0" applyProtection="0"/>
    <xf numFmtId="0" fontId="6" fillId="26" borderId="153" applyNumberFormat="0" applyFont="0" applyAlignment="0" applyProtection="0"/>
    <xf numFmtId="0" fontId="65" fillId="38" borderId="154" applyNumberFormat="0" applyAlignment="0" applyProtection="0"/>
    <xf numFmtId="0" fontId="65" fillId="39" borderId="154" applyNumberFormat="0" applyAlignment="0" applyProtection="0"/>
    <xf numFmtId="0" fontId="72" fillId="0" borderId="155" applyNumberFormat="0" applyFill="0" applyAlignment="0" applyProtection="0"/>
    <xf numFmtId="0" fontId="5" fillId="26" borderId="153" applyNumberFormat="0" applyFont="0" applyAlignment="0" applyProtection="0"/>
    <xf numFmtId="0" fontId="5" fillId="26" borderId="153" applyNumberFormat="0" applyFont="0" applyAlignment="0" applyProtection="0"/>
    <xf numFmtId="0" fontId="5" fillId="26" borderId="153" applyNumberFormat="0" applyFont="0" applyAlignment="0" applyProtection="0"/>
    <xf numFmtId="0" fontId="101" fillId="38" borderId="152" applyNumberFormat="0" applyAlignment="0" applyProtection="0"/>
    <xf numFmtId="0" fontId="104" fillId="23" borderId="152" applyNumberFormat="0" applyAlignment="0" applyProtection="0"/>
    <xf numFmtId="0" fontId="5" fillId="26" borderId="153" applyNumberFormat="0" applyFont="0" applyAlignment="0" applyProtection="0"/>
    <xf numFmtId="0" fontId="110" fillId="38" borderId="154" applyNumberFormat="0" applyAlignment="0" applyProtection="0"/>
    <xf numFmtId="0" fontId="116" fillId="0" borderId="155" applyNumberFormat="0" applyFill="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35" fillId="0" borderId="0" applyFont="0" applyFill="0" applyBorder="0" applyAlignment="0" applyProtection="0"/>
    <xf numFmtId="166" fontId="2"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0" fontId="5" fillId="26" borderId="157" applyNumberFormat="0" applyFont="0" applyAlignment="0" applyProtection="0"/>
    <xf numFmtId="0" fontId="72" fillId="0" borderId="159" applyNumberFormat="0" applyFill="0" applyAlignment="0" applyProtection="0"/>
    <xf numFmtId="0" fontId="65" fillId="39" borderId="158" applyNumberFormat="0" applyAlignment="0" applyProtection="0"/>
    <xf numFmtId="0" fontId="62" fillId="23" borderId="156" applyNumberFormat="0" applyAlignment="0" applyProtection="0"/>
    <xf numFmtId="0" fontId="5" fillId="26" borderId="157" applyNumberFormat="0" applyFont="0" applyAlignment="0" applyProtection="0"/>
    <xf numFmtId="0" fontId="104" fillId="23" borderId="156" applyNumberFormat="0" applyAlignment="0" applyProtection="0"/>
    <xf numFmtId="0" fontId="5" fillId="26" borderId="157" applyNumberFormat="0" applyFont="0" applyAlignment="0" applyProtection="0"/>
    <xf numFmtId="0" fontId="5" fillId="26" borderId="157" applyNumberFormat="0" applyFont="0" applyAlignment="0" applyProtection="0"/>
    <xf numFmtId="0" fontId="65" fillId="39" borderId="158" applyNumberFormat="0" applyAlignment="0" applyProtection="0"/>
    <xf numFmtId="0" fontId="5"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6" fillId="26" borderId="157" applyNumberFormat="0" applyFont="0" applyAlignment="0" applyProtection="0"/>
    <xf numFmtId="43" fontId="6" fillId="0" borderId="0" applyFont="0" applyFill="0" applyBorder="0" applyAlignment="0" applyProtection="0"/>
    <xf numFmtId="43" fontId="5" fillId="0" borderId="0" applyFont="0" applyFill="0" applyBorder="0" applyAlignment="0" applyProtection="0"/>
    <xf numFmtId="0" fontId="73" fillId="39" borderId="156" applyNumberFormat="0" applyAlignment="0" applyProtection="0"/>
    <xf numFmtId="0" fontId="5" fillId="26" borderId="157" applyNumberFormat="0" applyFont="0" applyAlignment="0" applyProtection="0"/>
    <xf numFmtId="43" fontId="5"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6" fontId="5" fillId="0" borderId="0" applyFont="0" applyFill="0" applyBorder="0" applyAlignment="0" applyProtection="0"/>
    <xf numFmtId="166" fontId="35" fillId="0" borderId="0" applyFont="0" applyFill="0" applyBorder="0" applyAlignment="0" applyProtection="0"/>
    <xf numFmtId="0" fontId="72" fillId="0" borderId="159" applyNumberFormat="0" applyFill="0" applyAlignment="0" applyProtection="0"/>
    <xf numFmtId="166" fontId="5" fillId="0" borderId="0" applyFont="0" applyFill="0" applyBorder="0" applyAlignment="0" applyProtection="0"/>
    <xf numFmtId="166" fontId="5" fillId="0" borderId="0" applyFont="0" applyFill="0" applyBorder="0" applyAlignment="0" applyProtection="0"/>
    <xf numFmtId="166" fontId="35" fillId="0" borderId="0" applyFont="0" applyFill="0" applyBorder="0" applyAlignment="0" applyProtection="0"/>
    <xf numFmtId="0" fontId="62" fillId="23" borderId="156" applyNumberFormat="0" applyAlignment="0" applyProtection="0"/>
    <xf numFmtId="0" fontId="116" fillId="0" borderId="159" applyNumberFormat="0" applyFill="0" applyAlignment="0" applyProtection="0"/>
    <xf numFmtId="0" fontId="5" fillId="26" borderId="157" applyNumberFormat="0" applyFont="0" applyAlignment="0" applyProtection="0"/>
    <xf numFmtId="43" fontId="1" fillId="0" borderId="0" applyFont="0" applyFill="0" applyBorder="0" applyAlignment="0" applyProtection="0"/>
    <xf numFmtId="18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6"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6" fontId="5" fillId="0" borderId="0" applyFont="0" applyFill="0" applyBorder="0" applyAlignment="0" applyProtection="0"/>
    <xf numFmtId="0" fontId="110" fillId="38" borderId="158" applyNumberFormat="0" applyAlignment="0" applyProtection="0"/>
    <xf numFmtId="0" fontId="5" fillId="26" borderId="157" applyNumberFormat="0" applyFont="0" applyAlignment="0" applyProtection="0"/>
    <xf numFmtId="166" fontId="5" fillId="0" borderId="0" applyFont="0" applyFill="0" applyBorder="0" applyAlignment="0" applyProtection="0"/>
    <xf numFmtId="0" fontId="72" fillId="0" borderId="159" applyNumberFormat="0" applyFill="0" applyAlignment="0" applyProtection="0"/>
    <xf numFmtId="43" fontId="1" fillId="0" borderId="0" applyFont="0" applyFill="0" applyBorder="0" applyAlignment="0" applyProtection="0"/>
    <xf numFmtId="0" fontId="1" fillId="0" borderId="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96" fillId="0" borderId="0"/>
    <xf numFmtId="166" fontId="5" fillId="0" borderId="0" applyFont="0" applyFill="0" applyBorder="0" applyAlignment="0" applyProtection="0"/>
    <xf numFmtId="166" fontId="5" fillId="0" borderId="0" applyFont="0" applyFill="0" applyBorder="0" applyAlignment="0" applyProtection="0"/>
    <xf numFmtId="0" fontId="101" fillId="38" borderId="156" applyNumberFormat="0" applyAlignment="0" applyProtection="0"/>
    <xf numFmtId="166"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65" fillId="38" borderId="158" applyNumberFormat="0" applyAlignment="0" applyProtection="0"/>
    <xf numFmtId="0" fontId="104" fillId="23" borderId="156" applyNumberFormat="0" applyAlignment="0" applyProtection="0"/>
    <xf numFmtId="0" fontId="5" fillId="26" borderId="157" applyNumberFormat="0" applyFont="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6" fontId="5" fillId="0" borderId="0" applyFont="0" applyFill="0" applyBorder="0" applyAlignment="0" applyProtection="0"/>
    <xf numFmtId="0" fontId="5" fillId="26" borderId="157" applyNumberFormat="0" applyFont="0" applyAlignment="0" applyProtection="0"/>
    <xf numFmtId="40" fontId="53" fillId="0" borderId="0" applyFont="0" applyFill="0" applyBorder="0" applyAlignment="0" applyProtection="0"/>
    <xf numFmtId="40" fontId="53" fillId="0" borderId="0" applyFont="0" applyFill="0" applyBorder="0" applyAlignment="0" applyProtection="0"/>
    <xf numFmtId="166" fontId="35" fillId="0" borderId="0" applyFont="0" applyFill="0" applyBorder="0" applyAlignment="0" applyProtection="0"/>
    <xf numFmtId="0" fontId="101" fillId="38" borderId="156" applyNumberFormat="0" applyAlignment="0" applyProtection="0"/>
    <xf numFmtId="0" fontId="73" fillId="39" borderId="156" applyNumberFormat="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6"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4" fontId="48"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6" fontId="5" fillId="0" borderId="0" applyFont="0" applyFill="0" applyBorder="0" applyAlignment="0" applyProtection="0"/>
    <xf numFmtId="0" fontId="72" fillId="0" borderId="159" applyNumberFormat="0" applyFill="0" applyAlignment="0" applyProtection="0"/>
    <xf numFmtId="0" fontId="59" fillId="38" borderId="156" applyNumberFormat="0" applyAlignment="0" applyProtection="0"/>
    <xf numFmtId="166" fontId="5" fillId="0" borderId="0" applyFont="0" applyFill="0" applyBorder="0" applyAlignment="0" applyProtection="0"/>
    <xf numFmtId="0" fontId="65" fillId="39" borderId="158" applyNumberFormat="0" applyAlignment="0" applyProtection="0"/>
    <xf numFmtId="43" fontId="1" fillId="0" borderId="0" applyFont="0" applyFill="0" applyBorder="0" applyAlignment="0" applyProtection="0"/>
    <xf numFmtId="43" fontId="5" fillId="0" borderId="0" applyFont="0" applyFill="0" applyBorder="0" applyAlignment="0" applyProtection="0"/>
    <xf numFmtId="0" fontId="1" fillId="0" borderId="0"/>
    <xf numFmtId="0" fontId="1" fillId="0" borderId="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8" fontId="1" fillId="0" borderId="0" applyFont="0" applyFill="0" applyBorder="0" applyAlignment="0" applyProtection="0"/>
    <xf numFmtId="166" fontId="5" fillId="0" borderId="0" applyFont="0" applyFill="0" applyBorder="0" applyAlignment="0" applyProtection="0"/>
    <xf numFmtId="0" fontId="65" fillId="38" borderId="158" applyNumberFormat="0" applyAlignment="0" applyProtection="0"/>
    <xf numFmtId="0" fontId="5" fillId="26" borderId="150" applyNumberFormat="0" applyFont="0" applyAlignment="0" applyProtection="0"/>
    <xf numFmtId="0" fontId="6" fillId="26" borderId="150" applyNumberFormat="0" applyFont="0" applyAlignment="0" applyProtection="0"/>
    <xf numFmtId="0" fontId="5" fillId="26" borderId="150" applyNumberFormat="0" applyFont="0" applyAlignment="0" applyProtection="0"/>
    <xf numFmtId="0" fontId="5" fillId="26" borderId="150" applyNumberFormat="0" applyFont="0" applyAlignment="0" applyProtection="0"/>
    <xf numFmtId="0" fontId="5" fillId="26" borderId="150" applyNumberFormat="0" applyFont="0" applyAlignment="0" applyProtection="0"/>
    <xf numFmtId="0" fontId="5" fillId="26" borderId="150"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9" fillId="64" borderId="156" applyNumberFormat="0" applyAlignment="0" applyProtection="0"/>
    <xf numFmtId="0" fontId="62" fillId="55" borderId="156" applyNumberFormat="0" applyAlignment="0" applyProtection="0"/>
    <xf numFmtId="0" fontId="5" fillId="71" borderId="157" applyNumberFormat="0" applyAlignment="0" applyProtection="0"/>
    <xf numFmtId="0" fontId="65" fillId="64" borderId="158"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15" borderId="162" applyFill="0" applyBorder="0" applyAlignment="0" applyProtection="0">
      <alignment vertical="center"/>
      <protection locked="0"/>
    </xf>
    <xf numFmtId="10" fontId="36" fillId="16" borderId="160" applyNumberFormat="0" applyBorder="0" applyAlignment="0" applyProtection="0"/>
    <xf numFmtId="0" fontId="36" fillId="0" borderId="162" applyBorder="0">
      <alignment horizontal="left" vertical="center" wrapText="1" indent="2"/>
      <protection locked="0"/>
    </xf>
    <xf numFmtId="0" fontId="36" fillId="0" borderId="162" applyBorder="0">
      <alignment horizontal="left" vertical="center" wrapText="1" indent="3"/>
      <protection locked="0"/>
    </xf>
    <xf numFmtId="0" fontId="59" fillId="38" borderId="163" applyNumberFormat="0" applyAlignment="0" applyProtection="0"/>
    <xf numFmtId="0" fontId="73" fillId="39" borderId="163" applyNumberFormat="0" applyAlignment="0" applyProtection="0"/>
    <xf numFmtId="0" fontId="62" fillId="29" borderId="163" applyNumberFormat="0" applyAlignment="0" applyProtection="0"/>
    <xf numFmtId="0" fontId="62" fillId="23" borderId="163" applyNumberFormat="0" applyAlignment="0" applyProtection="0"/>
    <xf numFmtId="0" fontId="5" fillId="26" borderId="164" applyNumberFormat="0" applyFont="0" applyAlignment="0" applyProtection="0"/>
    <xf numFmtId="0" fontId="6" fillId="26" borderId="164" applyNumberFormat="0" applyFont="0" applyAlignment="0" applyProtection="0"/>
    <xf numFmtId="0" fontId="65" fillId="38" borderId="165" applyNumberFormat="0" applyAlignment="0" applyProtection="0"/>
    <xf numFmtId="0" fontId="65" fillId="39" borderId="165" applyNumberFormat="0" applyAlignment="0" applyProtection="0"/>
    <xf numFmtId="0" fontId="72" fillId="0" borderId="166" applyNumberFormat="0" applyFill="0" applyAlignment="0" applyProtection="0"/>
    <xf numFmtId="0" fontId="5" fillId="26" borderId="164" applyNumberFormat="0" applyFont="0" applyAlignment="0" applyProtection="0"/>
    <xf numFmtId="0" fontId="5" fillId="26" borderId="164" applyNumberFormat="0" applyFont="0" applyAlignment="0" applyProtection="0"/>
    <xf numFmtId="0" fontId="5" fillId="26" borderId="164" applyNumberFormat="0" applyFont="0" applyAlignment="0" applyProtection="0"/>
    <xf numFmtId="0" fontId="1" fillId="0" borderId="0"/>
    <xf numFmtId="166" fontId="2" fillId="0" borderId="0" applyFont="0" applyFill="0" applyBorder="0" applyAlignment="0" applyProtection="0"/>
    <xf numFmtId="166" fontId="35" fillId="0" borderId="0" applyFont="0" applyFill="0" applyBorder="0" applyAlignment="0" applyProtection="0"/>
    <xf numFmtId="166" fontId="5" fillId="0" borderId="0" applyFont="0" applyFill="0" applyBorder="0" applyAlignment="0" applyProtection="0"/>
    <xf numFmtId="0" fontId="101" fillId="38" borderId="163" applyNumberFormat="0" applyAlignment="0" applyProtection="0"/>
    <xf numFmtId="0" fontId="104" fillId="23" borderId="163" applyNumberFormat="0" applyAlignment="0" applyProtection="0"/>
    <xf numFmtId="165" fontId="5" fillId="0" borderId="0" applyFont="0" applyFill="0" applyBorder="0" applyAlignment="0" applyProtection="0"/>
    <xf numFmtId="0" fontId="1" fillId="0" borderId="0"/>
    <xf numFmtId="0" fontId="1" fillId="0" borderId="0"/>
    <xf numFmtId="0" fontId="1" fillId="0" borderId="0"/>
    <xf numFmtId="0" fontId="1" fillId="0" borderId="0"/>
    <xf numFmtId="0" fontId="5" fillId="26" borderId="164" applyNumberFormat="0" applyFont="0" applyAlignment="0" applyProtection="0"/>
    <xf numFmtId="0" fontId="5" fillId="26" borderId="164" applyNumberFormat="0" applyFont="0" applyAlignment="0" applyProtection="0"/>
    <xf numFmtId="0" fontId="5" fillId="26" borderId="164" applyNumberFormat="0" applyFont="0" applyAlignment="0" applyProtection="0"/>
    <xf numFmtId="0" fontId="5" fillId="26" borderId="164" applyNumberFormat="0" applyFont="0" applyAlignment="0" applyProtection="0"/>
    <xf numFmtId="0" fontId="5" fillId="26" borderId="164" applyNumberFormat="0" applyFont="0" applyAlignment="0" applyProtection="0"/>
    <xf numFmtId="0" fontId="5" fillId="26" borderId="164" applyNumberFormat="0" applyFont="0" applyAlignment="0" applyProtection="0"/>
    <xf numFmtId="0" fontId="5" fillId="26" borderId="164" applyNumberFormat="0" applyFont="0" applyAlignment="0" applyProtection="0"/>
    <xf numFmtId="0" fontId="5" fillId="26" borderId="164" applyNumberFormat="0" applyFont="0" applyAlignment="0" applyProtection="0"/>
    <xf numFmtId="0" fontId="5" fillId="26" borderId="164" applyNumberFormat="0" applyFont="0" applyAlignment="0" applyProtection="0"/>
    <xf numFmtId="0" fontId="5" fillId="26" borderId="164" applyNumberFormat="0" applyFont="0" applyAlignment="0" applyProtection="0"/>
    <xf numFmtId="0" fontId="5" fillId="26" borderId="164" applyNumberFormat="0" applyFont="0" applyAlignment="0" applyProtection="0"/>
    <xf numFmtId="9" fontId="5" fillId="0" borderId="0" applyFont="0" applyFill="0" applyBorder="0" applyAlignment="0" applyProtection="0"/>
    <xf numFmtId="0" fontId="110" fillId="38" borderId="165" applyNumberFormat="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5" fillId="0" borderId="0" applyFont="0" applyFill="0" applyBorder="0" applyAlignment="0" applyProtection="0"/>
    <xf numFmtId="0" fontId="116" fillId="0" borderId="166" applyNumberFormat="0" applyFill="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5" fillId="0" borderId="0"/>
    <xf numFmtId="44" fontId="49"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0" fontId="5" fillId="0" borderId="0"/>
    <xf numFmtId="4"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48" fillId="0" borderId="0"/>
    <xf numFmtId="0" fontId="48" fillId="0" borderId="0"/>
    <xf numFmtId="0" fontId="1" fillId="0" borderId="0"/>
    <xf numFmtId="0" fontId="5" fillId="0" borderId="0"/>
    <xf numFmtId="0" fontId="1" fillId="0" borderId="0"/>
    <xf numFmtId="0" fontId="1" fillId="0" borderId="0"/>
    <xf numFmtId="9" fontId="49"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5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166" fontId="49" fillId="0" borderId="0" applyFont="0" applyFill="0" applyBorder="0" applyAlignment="0" applyProtection="0"/>
    <xf numFmtId="166" fontId="49" fillId="0" borderId="0" applyFont="0" applyFill="0" applyBorder="0" applyAlignment="0" applyProtection="0"/>
    <xf numFmtId="166" fontId="35" fillId="0" borderId="0" applyFont="0" applyFill="0" applyBorder="0" applyAlignment="0" applyProtection="0"/>
    <xf numFmtId="43" fontId="6"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49"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49"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3" fontId="6"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3" fontId="6"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3" fontId="6" fillId="0" borderId="0" applyFont="0" applyFill="0" applyBorder="0" applyAlignment="0" applyProtection="0"/>
    <xf numFmtId="166" fontId="5" fillId="0" borderId="0" applyFont="0" applyFill="0" applyBorder="0" applyAlignment="0" applyProtection="0"/>
    <xf numFmtId="166" fontId="51" fillId="0" borderId="0" applyFont="0" applyFill="0" applyBorder="0" applyAlignment="0" applyProtection="0"/>
    <xf numFmtId="166" fontId="5" fillId="0" borderId="0" applyFont="0" applyFill="0" applyBorder="0" applyAlignment="0" applyProtection="0"/>
    <xf numFmtId="0" fontId="1" fillId="0" borderId="0"/>
    <xf numFmtId="44" fontId="5" fillId="0" borderId="0" applyFont="0" applyFill="0" applyBorder="0" applyAlignment="0" applyProtection="0"/>
    <xf numFmtId="188" fontId="46" fillId="0" borderId="0"/>
    <xf numFmtId="0" fontId="5" fillId="0" borderId="0" applyNumberFormat="0" applyFont="0" applyFill="0" applyBorder="0" applyAlignment="0" applyProtection="0">
      <alignment vertical="top"/>
    </xf>
    <xf numFmtId="0" fontId="5" fillId="0" borderId="0" applyNumberFormat="0" applyFont="0" applyFill="0" applyBorder="0" applyAlignment="0" applyProtection="0">
      <alignment vertical="top"/>
    </xf>
    <xf numFmtId="0" fontId="1" fillId="0" borderId="0"/>
    <xf numFmtId="0" fontId="1" fillId="0" borderId="0"/>
    <xf numFmtId="188" fontId="46" fillId="0" borderId="0"/>
    <xf numFmtId="0" fontId="108" fillId="0" borderId="0"/>
    <xf numFmtId="9" fontId="6"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0" fontId="53" fillId="0" borderId="0" applyFont="0" applyFill="0" applyBorder="0" applyAlignment="0" applyProtection="0"/>
    <xf numFmtId="40" fontId="53" fillId="0" borderId="0" applyFont="0" applyFill="0" applyBorder="0" applyAlignment="0" applyProtection="0"/>
    <xf numFmtId="43" fontId="6" fillId="0" borderId="0" applyFont="0" applyFill="0" applyBorder="0" applyAlignment="0" applyProtection="0"/>
    <xf numFmtId="43" fontId="109"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92" fontId="49" fillId="0" borderId="0" applyFont="0" applyFill="0" applyBorder="0" applyAlignment="0" applyProtection="0"/>
    <xf numFmtId="192" fontId="48" fillId="0" borderId="0" applyFont="0" applyFill="0" applyBorder="0" applyAlignment="0" applyProtection="0"/>
    <xf numFmtId="192" fontId="5" fillId="0" borderId="0" applyFont="0" applyFill="0" applyBorder="0" applyAlignment="0" applyProtection="0"/>
    <xf numFmtId="43" fontId="6" fillId="0" borderId="0" applyFont="0" applyFill="0" applyBorder="0" applyAlignment="0" applyProtection="0"/>
    <xf numFmtId="192" fontId="5" fillId="0" borderId="0" applyFont="0" applyFill="0" applyBorder="0" applyAlignment="0" applyProtection="0"/>
    <xf numFmtId="43" fontId="49"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1"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5" fillId="0" borderId="0" applyFont="0" applyFill="0" applyBorder="0" applyAlignment="0" applyProtection="0"/>
    <xf numFmtId="192" fontId="5" fillId="0" borderId="0" applyFont="0" applyFill="0" applyBorder="0" applyAlignment="0" applyProtection="0"/>
    <xf numFmtId="192" fontId="49" fillId="0" borderId="0" applyFont="0" applyFill="0" applyBorder="0" applyAlignment="0" applyProtection="0"/>
    <xf numFmtId="192" fontId="1" fillId="0" borderId="0" applyFont="0" applyFill="0" applyBorder="0" applyAlignment="0" applyProtection="0"/>
    <xf numFmtId="192" fontId="5" fillId="0" borderId="0" applyFont="0" applyFill="0" applyBorder="0" applyAlignment="0" applyProtection="0"/>
    <xf numFmtId="192" fontId="5" fillId="0" borderId="0" applyFont="0" applyFill="0" applyBorder="0" applyAlignment="0" applyProtection="0"/>
    <xf numFmtId="192" fontId="48" fillId="0" borderId="0" applyFont="0" applyFill="0" applyBorder="0" applyAlignment="0" applyProtection="0"/>
    <xf numFmtId="192" fontId="49"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4" fontId="49"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4"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4" fontId="1" fillId="0" borderId="0" applyFont="0" applyFill="0" applyBorder="0" applyAlignment="0" applyProtection="0"/>
    <xf numFmtId="44" fontId="49" fillId="0" borderId="0" applyFont="0" applyFill="0" applyBorder="0" applyAlignment="0" applyProtection="0"/>
    <xf numFmtId="44" fontId="48" fillId="0" borderId="0" applyFont="0" applyFill="0" applyBorder="0" applyAlignment="0" applyProtection="0"/>
    <xf numFmtId="44" fontId="49"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73" fillId="39" borderId="163" applyNumberFormat="0" applyAlignment="0" applyProtection="0"/>
    <xf numFmtId="0" fontId="116" fillId="0" borderId="166" applyNumberFormat="0" applyFill="0" applyAlignment="0" applyProtection="0"/>
    <xf numFmtId="0" fontId="62" fillId="29" borderId="163" applyNumberFormat="0" applyAlignment="0" applyProtection="0"/>
    <xf numFmtId="0" fontId="6" fillId="26" borderId="164" applyNumberFormat="0" applyFont="0" applyAlignment="0" applyProtection="0"/>
    <xf numFmtId="10" fontId="36" fillId="16" borderId="160" applyNumberFormat="0" applyBorder="0" applyAlignment="0" applyProtection="0"/>
    <xf numFmtId="0" fontId="62" fillId="23" borderId="163" applyNumberFormat="0" applyAlignment="0" applyProtection="0"/>
    <xf numFmtId="0" fontId="101" fillId="38" borderId="163" applyNumberFormat="0" applyAlignment="0" applyProtection="0"/>
    <xf numFmtId="0" fontId="65" fillId="39" borderId="165" applyNumberFormat="0" applyAlignment="0" applyProtection="0"/>
    <xf numFmtId="0" fontId="5" fillId="26" borderId="164" applyNumberFormat="0" applyFont="0" applyAlignment="0" applyProtection="0"/>
    <xf numFmtId="0" fontId="65" fillId="38" borderId="165" applyNumberFormat="0" applyAlignment="0" applyProtection="0"/>
    <xf numFmtId="0" fontId="36" fillId="0" borderId="162" applyBorder="0">
      <alignment horizontal="left" vertical="center" wrapText="1" indent="2"/>
      <protection locked="0"/>
    </xf>
    <xf numFmtId="0" fontId="18" fillId="15" borderId="162" applyFill="0" applyBorder="0" applyAlignment="0" applyProtection="0">
      <alignment vertical="center"/>
      <protection locked="0"/>
    </xf>
    <xf numFmtId="0" fontId="104" fillId="23" borderId="163" applyNumberFormat="0" applyAlignment="0" applyProtection="0"/>
    <xf numFmtId="0" fontId="59" fillId="38" borderId="163" applyNumberFormat="0" applyAlignment="0" applyProtection="0"/>
    <xf numFmtId="0" fontId="5" fillId="26" borderId="164" applyNumberFormat="0" applyFont="0" applyAlignment="0" applyProtection="0"/>
    <xf numFmtId="0" fontId="5" fillId="26" borderId="164" applyNumberFormat="0" applyFont="0" applyAlignment="0" applyProtection="0"/>
    <xf numFmtId="0" fontId="72" fillId="0" borderId="166" applyNumberFormat="0" applyFill="0" applyAlignment="0" applyProtection="0"/>
    <xf numFmtId="0" fontId="62" fillId="23" borderId="163" applyNumberFormat="0" applyAlignment="0" applyProtection="0"/>
    <xf numFmtId="0" fontId="110" fillId="38" borderId="165" applyNumberFormat="0" applyAlignment="0" applyProtection="0"/>
    <xf numFmtId="0" fontId="36" fillId="0" borderId="162" applyBorder="0">
      <alignment horizontal="left" vertical="center" wrapText="1" indent="3"/>
      <protection locked="0"/>
    </xf>
    <xf numFmtId="43" fontId="1" fillId="0" borderId="0" applyFont="0" applyFill="0" applyBorder="0" applyAlignment="0" applyProtection="0"/>
    <xf numFmtId="0" fontId="62" fillId="23" borderId="163"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2"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36" fillId="0" borderId="162" applyBorder="0">
      <alignment horizontal="left" vertical="center" wrapText="1" indent="3"/>
      <protection locked="0"/>
    </xf>
    <xf numFmtId="0" fontId="5" fillId="26" borderId="164" applyNumberFormat="0" applyFont="0" applyAlignment="0" applyProtection="0"/>
    <xf numFmtId="0" fontId="65" fillId="38" borderId="165" applyNumberFormat="0" applyAlignment="0" applyProtection="0"/>
    <xf numFmtId="0" fontId="5" fillId="26" borderId="164" applyNumberFormat="0" applyFont="0" applyAlignment="0" applyProtection="0"/>
    <xf numFmtId="0" fontId="116" fillId="0" borderId="166" applyNumberFormat="0" applyFill="0" applyAlignment="0" applyProtection="0"/>
    <xf numFmtId="0" fontId="73" fillId="39" borderId="163" applyNumberFormat="0" applyAlignment="0" applyProtection="0"/>
    <xf numFmtId="10" fontId="36" fillId="16" borderId="160" applyNumberFormat="0" applyBorder="0" applyAlignment="0" applyProtection="0"/>
    <xf numFmtId="0" fontId="5" fillId="26" borderId="164" applyNumberFormat="0" applyFont="0" applyAlignment="0" applyProtection="0"/>
    <xf numFmtId="0" fontId="65" fillId="39" borderId="165" applyNumberFormat="0" applyAlignment="0" applyProtection="0"/>
    <xf numFmtId="0" fontId="65" fillId="39" borderId="165" applyNumberFormat="0" applyAlignment="0" applyProtection="0"/>
    <xf numFmtId="0" fontId="110" fillId="38" borderId="165" applyNumberFormat="0" applyAlignment="0" applyProtection="0"/>
    <xf numFmtId="0" fontId="18" fillId="15" borderId="162" applyFill="0" applyBorder="0" applyAlignment="0" applyProtection="0">
      <alignment vertical="center"/>
      <protection locked="0"/>
    </xf>
    <xf numFmtId="10" fontId="36" fillId="16" borderId="160" applyNumberFormat="0" applyBorder="0" applyAlignment="0" applyProtection="0"/>
    <xf numFmtId="0" fontId="62" fillId="29" borderId="163" applyNumberFormat="0" applyAlignment="0" applyProtection="0"/>
    <xf numFmtId="0" fontId="62" fillId="23" borderId="163" applyNumberFormat="0" applyAlignment="0" applyProtection="0"/>
    <xf numFmtId="0" fontId="72" fillId="0" borderId="166" applyNumberFormat="0" applyFill="0" applyAlignment="0" applyProtection="0"/>
    <xf numFmtId="0" fontId="5" fillId="26" borderId="164" applyNumberFormat="0" applyFont="0" applyAlignment="0" applyProtection="0"/>
    <xf numFmtId="0" fontId="104" fillId="23" borderId="163" applyNumberFormat="0" applyAlignment="0" applyProtection="0"/>
    <xf numFmtId="0" fontId="36" fillId="0" borderId="162" applyBorder="0">
      <alignment horizontal="left" vertical="center" wrapText="1" indent="2"/>
      <protection locked="0"/>
    </xf>
    <xf numFmtId="0" fontId="36" fillId="0" borderId="162" applyBorder="0">
      <alignment horizontal="left" vertical="center" wrapText="1" indent="3"/>
      <protection locked="0"/>
    </xf>
    <xf numFmtId="0" fontId="59" fillId="38" borderId="163" applyNumberFormat="0" applyAlignment="0" applyProtection="0"/>
    <xf numFmtId="0" fontId="73" fillId="39" borderId="163" applyNumberFormat="0" applyAlignment="0" applyProtection="0"/>
    <xf numFmtId="0" fontId="62" fillId="29" borderId="163" applyNumberFormat="0" applyAlignment="0" applyProtection="0"/>
    <xf numFmtId="0" fontId="62" fillId="23" borderId="163" applyNumberFormat="0" applyAlignment="0" applyProtection="0"/>
    <xf numFmtId="0" fontId="6" fillId="26" borderId="164" applyNumberFormat="0" applyFont="0" applyAlignment="0" applyProtection="0"/>
    <xf numFmtId="0" fontId="65" fillId="38" borderId="165" applyNumberFormat="0" applyAlignment="0" applyProtection="0"/>
    <xf numFmtId="0" fontId="65" fillId="39" borderId="165" applyNumberFormat="0" applyAlignment="0" applyProtection="0"/>
    <xf numFmtId="0" fontId="72" fillId="0" borderId="166" applyNumberFormat="0" applyFill="0" applyAlignment="0" applyProtection="0"/>
    <xf numFmtId="0" fontId="104" fillId="23" borderId="163" applyNumberFormat="0" applyAlignment="0" applyProtection="0"/>
    <xf numFmtId="0" fontId="101" fillId="38" borderId="163" applyNumberFormat="0" applyAlignment="0" applyProtection="0"/>
    <xf numFmtId="0" fontId="62" fillId="29" borderId="163" applyNumberFormat="0" applyAlignment="0" applyProtection="0"/>
    <xf numFmtId="0" fontId="101" fillId="38" borderId="163" applyNumberFormat="0" applyAlignment="0" applyProtection="0"/>
    <xf numFmtId="0" fontId="5" fillId="26" borderId="164" applyNumberFormat="0" applyFont="0" applyAlignment="0" applyProtection="0"/>
    <xf numFmtId="0" fontId="110" fillId="38" borderId="165" applyNumberFormat="0" applyAlignment="0" applyProtection="0"/>
    <xf numFmtId="0" fontId="36" fillId="0" borderId="162" applyBorder="0">
      <alignment horizontal="left" vertical="center" wrapText="1" indent="3"/>
      <protection locked="0"/>
    </xf>
    <xf numFmtId="0" fontId="104" fillId="23" borderId="163" applyNumberFormat="0" applyAlignment="0" applyProtection="0"/>
    <xf numFmtId="0" fontId="5" fillId="26" borderId="164" applyNumberFormat="0" applyFont="0" applyAlignment="0" applyProtection="0"/>
    <xf numFmtId="0" fontId="5" fillId="26" borderId="164" applyNumberFormat="0" applyFont="0" applyAlignment="0" applyProtection="0"/>
    <xf numFmtId="0" fontId="65" fillId="39" borderId="165" applyNumberFormat="0" applyAlignment="0" applyProtection="0"/>
    <xf numFmtId="0" fontId="59" fillId="38" borderId="163" applyNumberFormat="0" applyAlignment="0" applyProtection="0"/>
    <xf numFmtId="0" fontId="36" fillId="0" borderId="162" applyBorder="0">
      <alignment horizontal="left" vertical="center" wrapText="1" indent="2"/>
      <protection locked="0"/>
    </xf>
    <xf numFmtId="0" fontId="5" fillId="26" borderId="164" applyNumberFormat="0" applyFont="0" applyAlignment="0" applyProtection="0"/>
    <xf numFmtId="0" fontId="5" fillId="26" borderId="164" applyNumberFormat="0" applyFont="0" applyAlignment="0" applyProtection="0"/>
    <xf numFmtId="0" fontId="5" fillId="26" borderId="164" applyNumberFormat="0" applyFont="0" applyAlignment="0" applyProtection="0"/>
    <xf numFmtId="0" fontId="73" fillId="39" borderId="163" applyNumberFormat="0" applyAlignment="0" applyProtection="0"/>
    <xf numFmtId="10" fontId="36" fillId="16" borderId="160" applyNumberFormat="0" applyBorder="0" applyAlignment="0" applyProtection="0"/>
    <xf numFmtId="0" fontId="62" fillId="23" borderId="163" applyNumberFormat="0" applyAlignment="0" applyProtection="0"/>
    <xf numFmtId="0" fontId="59" fillId="38" borderId="163" applyNumberFormat="0" applyAlignment="0" applyProtection="0"/>
    <xf numFmtId="0" fontId="72" fillId="0" borderId="166" applyNumberFormat="0" applyFill="0" applyAlignment="0" applyProtection="0"/>
    <xf numFmtId="0" fontId="36" fillId="0" borderId="162" applyBorder="0">
      <alignment horizontal="left" vertical="center" wrapText="1" indent="2"/>
      <protection locked="0"/>
    </xf>
    <xf numFmtId="0" fontId="5" fillId="26" borderId="164" applyNumberFormat="0" applyFont="0" applyAlignment="0" applyProtection="0"/>
    <xf numFmtId="0" fontId="72" fillId="0" borderId="166" applyNumberFormat="0" applyFill="0" applyAlignment="0" applyProtection="0"/>
    <xf numFmtId="0" fontId="5" fillId="26" borderId="164" applyNumberFormat="0" applyFont="0" applyAlignment="0" applyProtection="0"/>
    <xf numFmtId="0" fontId="5" fillId="26" borderId="164" applyNumberFormat="0" applyFont="0" applyAlignment="0" applyProtection="0"/>
    <xf numFmtId="0" fontId="5" fillId="26" borderId="164" applyNumberFormat="0" applyFont="0" applyAlignment="0" applyProtection="0"/>
    <xf numFmtId="0" fontId="104" fillId="23" borderId="163" applyNumberFormat="0" applyAlignment="0" applyProtection="0"/>
    <xf numFmtId="0" fontId="73" fillId="39" borderId="163" applyNumberFormat="0" applyAlignment="0" applyProtection="0"/>
    <xf numFmtId="0" fontId="6" fillId="26" borderId="164" applyNumberFormat="0" applyFont="0" applyAlignment="0" applyProtection="0"/>
    <xf numFmtId="0" fontId="59" fillId="38" borderId="163" applyNumberFormat="0" applyAlignment="0" applyProtection="0"/>
    <xf numFmtId="0" fontId="73" fillId="39" borderId="163" applyNumberFormat="0" applyAlignment="0" applyProtection="0"/>
    <xf numFmtId="0" fontId="65" fillId="38" borderId="165" applyNumberFormat="0" applyAlignment="0" applyProtection="0"/>
    <xf numFmtId="0" fontId="5" fillId="26" borderId="164" applyNumberFormat="0" applyFont="0" applyAlignment="0" applyProtection="0"/>
    <xf numFmtId="0" fontId="65" fillId="38" borderId="165" applyNumberFormat="0" applyAlignment="0" applyProtection="0"/>
    <xf numFmtId="0" fontId="110" fillId="38" borderId="165" applyNumberFormat="0" applyAlignment="0" applyProtection="0"/>
    <xf numFmtId="0" fontId="5" fillId="26" borderId="164" applyNumberFormat="0" applyFont="0" applyAlignment="0" applyProtection="0"/>
    <xf numFmtId="0" fontId="65" fillId="39" borderId="165" applyNumberFormat="0" applyAlignment="0" applyProtection="0"/>
    <xf numFmtId="0" fontId="65" fillId="38" borderId="165" applyNumberFormat="0" applyAlignment="0" applyProtection="0"/>
    <xf numFmtId="0" fontId="62" fillId="23" borderId="163" applyNumberFormat="0" applyAlignment="0" applyProtection="0"/>
    <xf numFmtId="0" fontId="36" fillId="0" borderId="162" applyBorder="0">
      <alignment horizontal="left" vertical="center" wrapText="1" indent="3"/>
      <protection locked="0"/>
    </xf>
    <xf numFmtId="0" fontId="5" fillId="26" borderId="164" applyNumberFormat="0" applyFont="0" applyAlignment="0" applyProtection="0"/>
    <xf numFmtId="0" fontId="73" fillId="39" borderId="163" applyNumberFormat="0" applyAlignment="0" applyProtection="0"/>
    <xf numFmtId="0" fontId="5" fillId="26" borderId="164" applyNumberFormat="0" applyFont="0" applyAlignment="0" applyProtection="0"/>
    <xf numFmtId="0" fontId="6" fillId="26" borderId="164" applyNumberFormat="0" applyFont="0" applyAlignment="0" applyProtection="0"/>
    <xf numFmtId="0" fontId="5" fillId="26" borderId="164" applyNumberFormat="0" applyFont="0" applyAlignment="0" applyProtection="0"/>
    <xf numFmtId="0" fontId="62" fillId="29" borderId="163" applyNumberFormat="0" applyAlignment="0" applyProtection="0"/>
    <xf numFmtId="0" fontId="5" fillId="26" borderId="164" applyNumberFormat="0" applyFont="0" applyAlignment="0" applyProtection="0"/>
    <xf numFmtId="0" fontId="72" fillId="0" borderId="166" applyNumberFormat="0" applyFill="0" applyAlignment="0" applyProtection="0"/>
    <xf numFmtId="0" fontId="116" fillId="0" borderId="166" applyNumberFormat="0" applyFill="0" applyAlignment="0" applyProtection="0"/>
    <xf numFmtId="0" fontId="5" fillId="26" borderId="164" applyNumberFormat="0" applyFont="0" applyAlignment="0" applyProtection="0"/>
    <xf numFmtId="0" fontId="59" fillId="38" borderId="163" applyNumberFormat="0" applyAlignment="0" applyProtection="0"/>
    <xf numFmtId="0" fontId="6" fillId="26" borderId="164" applyNumberFormat="0" applyFont="0" applyAlignment="0" applyProtection="0"/>
    <xf numFmtId="0" fontId="5" fillId="26" borderId="164" applyNumberFormat="0" applyFont="0" applyAlignment="0" applyProtection="0"/>
    <xf numFmtId="0" fontId="62" fillId="23" borderId="163" applyNumberFormat="0" applyAlignment="0" applyProtection="0"/>
    <xf numFmtId="0" fontId="59" fillId="38" borderId="163" applyNumberFormat="0" applyAlignment="0" applyProtection="0"/>
    <xf numFmtId="0" fontId="116" fillId="0" borderId="166" applyNumberFormat="0" applyFill="0" applyAlignment="0" applyProtection="0"/>
    <xf numFmtId="0" fontId="72" fillId="0" borderId="166" applyNumberFormat="0" applyFill="0" applyAlignment="0" applyProtection="0"/>
    <xf numFmtId="0" fontId="18" fillId="15" borderId="162" applyFill="0" applyBorder="0" applyAlignment="0" applyProtection="0">
      <alignment vertical="center"/>
      <protection locked="0"/>
    </xf>
    <xf numFmtId="0" fontId="62" fillId="23" borderId="163" applyNumberFormat="0" applyAlignment="0" applyProtection="0"/>
    <xf numFmtId="0" fontId="104" fillId="23" borderId="163" applyNumberFormat="0" applyAlignment="0" applyProtection="0"/>
    <xf numFmtId="0" fontId="73" fillId="39" borderId="163" applyNumberFormat="0" applyAlignment="0" applyProtection="0"/>
    <xf numFmtId="0" fontId="72" fillId="0" borderId="166" applyNumberFormat="0" applyFill="0" applyAlignment="0" applyProtection="0"/>
    <xf numFmtId="0" fontId="6" fillId="26" borderId="164" applyNumberFormat="0" applyFont="0" applyAlignment="0" applyProtection="0"/>
    <xf numFmtId="0" fontId="62" fillId="23" borderId="163" applyNumberFormat="0" applyAlignment="0" applyProtection="0"/>
    <xf numFmtId="0" fontId="5" fillId="26" borderId="164" applyNumberFormat="0" applyFont="0" applyAlignment="0" applyProtection="0"/>
    <xf numFmtId="0" fontId="116" fillId="0" borderId="166" applyNumberFormat="0" applyFill="0" applyAlignment="0" applyProtection="0"/>
    <xf numFmtId="0" fontId="110" fillId="38" borderId="165" applyNumberFormat="0" applyAlignment="0" applyProtection="0"/>
    <xf numFmtId="0" fontId="59" fillId="38" borderId="163" applyNumberFormat="0" applyAlignment="0" applyProtection="0"/>
    <xf numFmtId="0" fontId="65" fillId="39" borderId="165" applyNumberFormat="0" applyAlignment="0" applyProtection="0"/>
    <xf numFmtId="0" fontId="62" fillId="23" borderId="163" applyNumberFormat="0" applyAlignment="0" applyProtection="0"/>
    <xf numFmtId="0" fontId="5" fillId="26" borderId="164" applyNumberFormat="0" applyFont="0" applyAlignment="0" applyProtection="0"/>
    <xf numFmtId="0" fontId="116" fillId="0" borderId="166" applyNumberFormat="0" applyFill="0" applyAlignment="0" applyProtection="0"/>
    <xf numFmtId="0" fontId="73" fillId="39" borderId="163" applyNumberFormat="0" applyAlignment="0" applyProtection="0"/>
    <xf numFmtId="0" fontId="5" fillId="26" borderId="164" applyNumberFormat="0" applyFont="0" applyAlignment="0" applyProtection="0"/>
    <xf numFmtId="0" fontId="18" fillId="15" borderId="162" applyFill="0" applyBorder="0" applyAlignment="0" applyProtection="0">
      <alignment vertical="center"/>
      <protection locked="0"/>
    </xf>
    <xf numFmtId="0" fontId="36" fillId="0" borderId="162" applyBorder="0">
      <alignment horizontal="left" vertical="center" wrapText="1" indent="2"/>
      <protection locked="0"/>
    </xf>
    <xf numFmtId="0" fontId="65" fillId="39" borderId="165" applyNumberFormat="0" applyAlignment="0" applyProtection="0"/>
    <xf numFmtId="0" fontId="65" fillId="39" borderId="165" applyNumberFormat="0" applyAlignment="0" applyProtection="0"/>
    <xf numFmtId="0" fontId="72" fillId="0" borderId="166" applyNumberFormat="0" applyFill="0" applyAlignment="0" applyProtection="0"/>
    <xf numFmtId="0" fontId="104" fillId="23" borderId="163" applyNumberFormat="0" applyAlignment="0" applyProtection="0"/>
    <xf numFmtId="0" fontId="62" fillId="29" borderId="163" applyNumberFormat="0" applyAlignment="0" applyProtection="0"/>
    <xf numFmtId="0" fontId="5" fillId="26" borderId="164" applyNumberFormat="0" applyFont="0" applyAlignment="0" applyProtection="0"/>
    <xf numFmtId="0" fontId="6" fillId="26" borderId="164" applyNumberFormat="0" applyFont="0" applyAlignment="0" applyProtection="0"/>
    <xf numFmtId="0" fontId="101" fillId="38" borderId="163" applyNumberFormat="0" applyAlignment="0" applyProtection="0"/>
    <xf numFmtId="0" fontId="104" fillId="23" borderId="163" applyNumberFormat="0" applyAlignment="0" applyProtection="0"/>
    <xf numFmtId="0" fontId="5" fillId="26" borderId="164" applyNumberFormat="0" applyFont="0" applyAlignment="0" applyProtection="0"/>
    <xf numFmtId="0" fontId="110" fillId="38" borderId="165" applyNumberFormat="0" applyAlignment="0" applyProtection="0"/>
    <xf numFmtId="0" fontId="5" fillId="26" borderId="164" applyNumberFormat="0" applyFont="0" applyAlignment="0" applyProtection="0"/>
    <xf numFmtId="0" fontId="116" fillId="0" borderId="166" applyNumberFormat="0" applyFill="0" applyAlignment="0" applyProtection="0"/>
    <xf numFmtId="0" fontId="62" fillId="23" borderId="163" applyNumberFormat="0" applyAlignment="0" applyProtection="0"/>
    <xf numFmtId="0" fontId="6" fillId="26" borderId="164" applyNumberFormat="0" applyFont="0" applyAlignment="0" applyProtection="0"/>
    <xf numFmtId="0" fontId="65" fillId="38" borderId="165" applyNumberFormat="0" applyAlignment="0" applyProtection="0"/>
    <xf numFmtId="0" fontId="62" fillId="23" borderId="163" applyNumberFormat="0" applyAlignment="0" applyProtection="0"/>
    <xf numFmtId="0" fontId="62" fillId="29" borderId="163" applyNumberFormat="0" applyAlignment="0" applyProtection="0"/>
    <xf numFmtId="0" fontId="62" fillId="23" borderId="163" applyNumberFormat="0" applyAlignment="0" applyProtection="0"/>
    <xf numFmtId="0" fontId="62" fillId="23" borderId="163" applyNumberFormat="0" applyAlignment="0" applyProtection="0"/>
    <xf numFmtId="0" fontId="62" fillId="23" borderId="163" applyNumberFormat="0" applyAlignment="0" applyProtection="0"/>
    <xf numFmtId="0" fontId="65" fillId="39" borderId="165" applyNumberFormat="0" applyAlignment="0" applyProtection="0"/>
    <xf numFmtId="0" fontId="36" fillId="0" borderId="162" applyBorder="0">
      <alignment horizontal="left" vertical="center" wrapText="1" indent="3"/>
      <protection locked="0"/>
    </xf>
    <xf numFmtId="0" fontId="59" fillId="38" borderId="163" applyNumberFormat="0" applyAlignment="0" applyProtection="0"/>
    <xf numFmtId="0" fontId="116" fillId="0" borderId="166" applyNumberFormat="0" applyFill="0" applyAlignment="0" applyProtection="0"/>
    <xf numFmtId="0" fontId="62" fillId="23" borderId="163" applyNumberFormat="0" applyAlignment="0" applyProtection="0"/>
    <xf numFmtId="0" fontId="65" fillId="38" borderId="165" applyNumberFormat="0" applyAlignment="0" applyProtection="0"/>
    <xf numFmtId="0" fontId="5" fillId="26" borderId="164" applyNumberFormat="0" applyFont="0" applyAlignment="0" applyProtection="0"/>
    <xf numFmtId="0" fontId="116" fillId="0" borderId="166" applyNumberFormat="0" applyFill="0" applyAlignment="0" applyProtection="0"/>
    <xf numFmtId="0" fontId="62" fillId="29" borderId="163" applyNumberFormat="0" applyAlignment="0" applyProtection="0"/>
    <xf numFmtId="0" fontId="18" fillId="15" borderId="162" applyFill="0" applyBorder="0" applyAlignment="0" applyProtection="0">
      <alignment vertical="center"/>
      <protection locked="0"/>
    </xf>
    <xf numFmtId="0" fontId="5" fillId="26" borderId="164" applyNumberFormat="0" applyFont="0" applyAlignment="0" applyProtection="0"/>
    <xf numFmtId="0" fontId="5" fillId="26" borderId="164" applyNumberFormat="0" applyFont="0" applyAlignment="0" applyProtection="0"/>
    <xf numFmtId="10" fontId="36" fillId="16" borderId="160" applyNumberFormat="0" applyBorder="0" applyAlignment="0" applyProtection="0"/>
    <xf numFmtId="0" fontId="36" fillId="0" borderId="162" applyBorder="0">
      <alignment horizontal="left" vertical="center" wrapText="1" indent="2"/>
      <protection locked="0"/>
    </xf>
    <xf numFmtId="0" fontId="6" fillId="26" borderId="164" applyNumberFormat="0" applyFont="0" applyAlignment="0" applyProtection="0"/>
    <xf numFmtId="0" fontId="72" fillId="0" borderId="166" applyNumberFormat="0" applyFill="0" applyAlignment="0" applyProtection="0"/>
    <xf numFmtId="0" fontId="101" fillId="38" borderId="163" applyNumberFormat="0" applyAlignment="0" applyProtection="0"/>
    <xf numFmtId="0" fontId="62" fillId="23" borderId="163" applyNumberFormat="0" applyAlignment="0" applyProtection="0"/>
    <xf numFmtId="0" fontId="110" fillId="38" borderId="165" applyNumberFormat="0" applyAlignment="0" applyProtection="0"/>
    <xf numFmtId="0" fontId="110" fillId="38" borderId="165" applyNumberFormat="0" applyAlignment="0" applyProtection="0"/>
    <xf numFmtId="10" fontId="36" fillId="16" borderId="160" applyNumberFormat="0" applyBorder="0" applyAlignment="0" applyProtection="0"/>
    <xf numFmtId="0" fontId="101" fillId="38" borderId="163" applyNumberFormat="0" applyAlignment="0" applyProtection="0"/>
    <xf numFmtId="0" fontId="116" fillId="0" borderId="166" applyNumberFormat="0" applyFill="0" applyAlignment="0" applyProtection="0"/>
    <xf numFmtId="0" fontId="18" fillId="15" borderId="162" applyFill="0" applyBorder="0" applyAlignment="0" applyProtection="0">
      <alignment vertical="center"/>
      <protection locked="0"/>
    </xf>
    <xf numFmtId="0" fontId="104" fillId="23" borderId="163" applyNumberFormat="0" applyAlignment="0" applyProtection="0"/>
    <xf numFmtId="0" fontId="101" fillId="38" borderId="163" applyNumberFormat="0" applyAlignment="0" applyProtection="0"/>
    <xf numFmtId="0" fontId="6" fillId="26" borderId="164" applyNumberFormat="0" applyFont="0" applyAlignment="0" applyProtection="0"/>
    <xf numFmtId="0" fontId="62" fillId="29" borderId="163" applyNumberFormat="0" applyAlignment="0" applyProtection="0"/>
    <xf numFmtId="0" fontId="110" fillId="38" borderId="165" applyNumberFormat="0" applyAlignment="0" applyProtection="0"/>
    <xf numFmtId="0" fontId="5" fillId="26" borderId="164" applyNumberFormat="0" applyFont="0" applyAlignment="0" applyProtection="0"/>
    <xf numFmtId="0" fontId="5" fillId="26" borderId="164" applyNumberFormat="0" applyFont="0" applyAlignment="0" applyProtection="0"/>
    <xf numFmtId="0" fontId="65" fillId="38" borderId="165" applyNumberFormat="0" applyAlignment="0" applyProtection="0"/>
    <xf numFmtId="0" fontId="101" fillId="38" borderId="163" applyNumberFormat="0" applyAlignment="0" applyProtection="0"/>
    <xf numFmtId="0" fontId="5" fillId="26" borderId="164" applyNumberFormat="0" applyFont="0" applyAlignment="0" applyProtection="0"/>
    <xf numFmtId="0" fontId="36" fillId="0" borderId="162" applyBorder="0">
      <alignment horizontal="left" vertical="center" wrapText="1" indent="2"/>
      <protection locked="0"/>
    </xf>
    <xf numFmtId="0" fontId="5" fillId="26" borderId="164" applyNumberFormat="0" applyFont="0" applyAlignment="0" applyProtection="0"/>
    <xf numFmtId="0" fontId="5" fillId="26" borderId="164" applyNumberFormat="0" applyFont="0" applyAlignment="0" applyProtection="0"/>
    <xf numFmtId="0" fontId="65" fillId="39" borderId="165" applyNumberFormat="0" applyAlignment="0" applyProtection="0"/>
    <xf numFmtId="10" fontId="36" fillId="16" borderId="160" applyNumberFormat="0" applyBorder="0" applyAlignment="0" applyProtection="0"/>
    <xf numFmtId="0" fontId="18" fillId="15" borderId="162" applyFill="0" applyBorder="0" applyAlignment="0" applyProtection="0">
      <alignment vertical="center"/>
      <protection locked="0"/>
    </xf>
    <xf numFmtId="0" fontId="65" fillId="38" borderId="165" applyNumberFormat="0" applyAlignment="0" applyProtection="0"/>
    <xf numFmtId="0" fontId="101" fillId="38" borderId="163" applyNumberFormat="0" applyAlignment="0" applyProtection="0"/>
    <xf numFmtId="0" fontId="62" fillId="23" borderId="163" applyNumberFormat="0" applyAlignment="0" applyProtection="0"/>
    <xf numFmtId="0" fontId="5" fillId="26" borderId="164" applyNumberFormat="0" applyFont="0" applyAlignment="0" applyProtection="0"/>
    <xf numFmtId="0" fontId="5" fillId="26" borderId="164" applyNumberFormat="0" applyFont="0" applyAlignment="0" applyProtection="0"/>
    <xf numFmtId="0" fontId="65" fillId="38" borderId="165" applyNumberFormat="0" applyAlignment="0" applyProtection="0"/>
    <xf numFmtId="0" fontId="62" fillId="23" borderId="163" applyNumberFormat="0" applyAlignment="0" applyProtection="0"/>
    <xf numFmtId="0" fontId="5" fillId="26" borderId="164" applyNumberFormat="0" applyFont="0" applyAlignment="0" applyProtection="0"/>
    <xf numFmtId="0" fontId="73" fillId="39" borderId="163" applyNumberFormat="0" applyAlignment="0" applyProtection="0"/>
    <xf numFmtId="0" fontId="116" fillId="0" borderId="166" applyNumberFormat="0" applyFill="0" applyAlignment="0" applyProtection="0"/>
    <xf numFmtId="0" fontId="62" fillId="29" borderId="163" applyNumberFormat="0" applyAlignment="0" applyProtection="0"/>
    <xf numFmtId="0" fontId="6" fillId="26" borderId="164" applyNumberFormat="0" applyFont="0" applyAlignment="0" applyProtection="0"/>
    <xf numFmtId="10" fontId="36" fillId="16" borderId="160" applyNumberFormat="0" applyBorder="0" applyAlignment="0" applyProtection="0"/>
    <xf numFmtId="0" fontId="62" fillId="23" borderId="163" applyNumberFormat="0" applyAlignment="0" applyProtection="0"/>
    <xf numFmtId="0" fontId="101" fillId="38" borderId="163" applyNumberFormat="0" applyAlignment="0" applyProtection="0"/>
    <xf numFmtId="0" fontId="65" fillId="39" borderId="165" applyNumberFormat="0" applyAlignment="0" applyProtection="0"/>
    <xf numFmtId="0" fontId="5" fillId="26" borderId="164" applyNumberFormat="0" applyFont="0" applyAlignment="0" applyProtection="0"/>
    <xf numFmtId="0" fontId="65" fillId="38" borderId="165" applyNumberFormat="0" applyAlignment="0" applyProtection="0"/>
    <xf numFmtId="0" fontId="36" fillId="0" borderId="162" applyBorder="0">
      <alignment horizontal="left" vertical="center" wrapText="1" indent="2"/>
      <protection locked="0"/>
    </xf>
    <xf numFmtId="0" fontId="18" fillId="15" borderId="162" applyFill="0" applyBorder="0" applyAlignment="0" applyProtection="0">
      <alignment vertical="center"/>
      <protection locked="0"/>
    </xf>
    <xf numFmtId="0" fontId="104" fillId="23" borderId="163" applyNumberFormat="0" applyAlignment="0" applyProtection="0"/>
    <xf numFmtId="0" fontId="59" fillId="38" borderId="163" applyNumberFormat="0" applyAlignment="0" applyProtection="0"/>
    <xf numFmtId="0" fontId="5" fillId="26" borderId="164" applyNumberFormat="0" applyFont="0" applyAlignment="0" applyProtection="0"/>
    <xf numFmtId="0" fontId="5" fillId="26" borderId="164" applyNumberFormat="0" applyFont="0" applyAlignment="0" applyProtection="0"/>
    <xf numFmtId="0" fontId="5" fillId="26" borderId="164" applyNumberFormat="0" applyFont="0" applyAlignment="0" applyProtection="0"/>
    <xf numFmtId="0" fontId="72" fillId="0" borderId="166" applyNumberFormat="0" applyFill="0" applyAlignment="0" applyProtection="0"/>
    <xf numFmtId="0" fontId="62" fillId="23" borderId="163" applyNumberFormat="0" applyAlignment="0" applyProtection="0"/>
    <xf numFmtId="0" fontId="110" fillId="38" borderId="165" applyNumberFormat="0" applyAlignment="0" applyProtection="0"/>
    <xf numFmtId="0" fontId="36" fillId="0" borderId="162" applyBorder="0">
      <alignment horizontal="left" vertical="center" wrapText="1" indent="3"/>
      <protection locked="0"/>
    </xf>
    <xf numFmtId="0" fontId="6" fillId="26" borderId="164" applyNumberFormat="0" applyFont="0" applyAlignment="0" applyProtection="0"/>
    <xf numFmtId="0" fontId="116" fillId="0" borderId="166" applyNumberFormat="0" applyFill="0" applyAlignment="0" applyProtection="0"/>
    <xf numFmtId="0" fontId="65" fillId="39" borderId="165" applyNumberFormat="0" applyAlignment="0" applyProtection="0"/>
    <xf numFmtId="0" fontId="65" fillId="38" borderId="165" applyNumberFormat="0" applyAlignment="0" applyProtection="0"/>
    <xf numFmtId="0" fontId="72" fillId="0" borderId="166" applyNumberFormat="0" applyFill="0" applyAlignment="0" applyProtection="0"/>
    <xf numFmtId="0" fontId="110" fillId="38" borderId="165" applyNumberFormat="0" applyAlignment="0" applyProtection="0"/>
    <xf numFmtId="0" fontId="5" fillId="26" borderId="164" applyNumberFormat="0" applyFont="0" applyAlignment="0" applyProtection="0"/>
    <xf numFmtId="0" fontId="5" fillId="26" borderId="164" applyNumberFormat="0" applyFont="0" applyAlignment="0" applyProtection="0"/>
    <xf numFmtId="0" fontId="5" fillId="26" borderId="164" applyNumberFormat="0" applyFont="0" applyAlignment="0" applyProtection="0"/>
    <xf numFmtId="0" fontId="72" fillId="0" borderId="166" applyNumberFormat="0" applyFill="0" applyAlignment="0" applyProtection="0"/>
    <xf numFmtId="0" fontId="110" fillId="38" borderId="165" applyNumberFormat="0" applyAlignment="0" applyProtection="0"/>
    <xf numFmtId="0" fontId="73" fillId="39" borderId="163" applyNumberFormat="0" applyAlignment="0" applyProtection="0"/>
    <xf numFmtId="0" fontId="116" fillId="0" borderId="166" applyNumberFormat="0" applyFill="0" applyAlignment="0" applyProtection="0"/>
    <xf numFmtId="0" fontId="62" fillId="29" borderId="163" applyNumberFormat="0" applyAlignment="0" applyProtection="0"/>
    <xf numFmtId="0" fontId="5" fillId="26" borderId="164" applyNumberFormat="0" applyFont="0" applyAlignment="0" applyProtection="0"/>
    <xf numFmtId="0" fontId="6" fillId="26" borderId="164" applyNumberFormat="0" applyFont="0" applyAlignment="0" applyProtection="0"/>
    <xf numFmtId="10" fontId="36" fillId="16" borderId="160" applyNumberFormat="0" applyBorder="0" applyAlignment="0" applyProtection="0"/>
    <xf numFmtId="0" fontId="62" fillId="23" borderId="163" applyNumberFormat="0" applyAlignment="0" applyProtection="0"/>
    <xf numFmtId="0" fontId="101" fillId="38" borderId="163" applyNumberFormat="0" applyAlignment="0" applyProtection="0"/>
    <xf numFmtId="0" fontId="65" fillId="39" borderId="165" applyNumberFormat="0" applyAlignment="0" applyProtection="0"/>
    <xf numFmtId="0" fontId="5" fillId="26" borderId="164" applyNumberFormat="0" applyFont="0" applyAlignment="0" applyProtection="0"/>
    <xf numFmtId="0" fontId="65" fillId="38" borderId="165" applyNumberFormat="0" applyAlignment="0" applyProtection="0"/>
    <xf numFmtId="0" fontId="36" fillId="0" borderId="162" applyBorder="0">
      <alignment horizontal="left" vertical="center" wrapText="1" indent="2"/>
      <protection locked="0"/>
    </xf>
    <xf numFmtId="0" fontId="18" fillId="15" borderId="162" applyFill="0" applyBorder="0" applyAlignment="0" applyProtection="0">
      <alignment vertical="center"/>
      <protection locked="0"/>
    </xf>
    <xf numFmtId="0" fontId="104" fillId="23" borderId="163" applyNumberFormat="0" applyAlignment="0" applyProtection="0"/>
    <xf numFmtId="0" fontId="59" fillId="38" borderId="163" applyNumberFormat="0" applyAlignment="0" applyProtection="0"/>
    <xf numFmtId="0" fontId="5" fillId="26" borderId="164" applyNumberFormat="0" applyFont="0" applyAlignment="0" applyProtection="0"/>
    <xf numFmtId="0" fontId="5" fillId="26" borderId="164" applyNumberFormat="0" applyFont="0" applyAlignment="0" applyProtection="0"/>
    <xf numFmtId="0" fontId="5" fillId="26" borderId="164" applyNumberFormat="0" applyFont="0" applyAlignment="0" applyProtection="0"/>
    <xf numFmtId="0" fontId="72" fillId="0" borderId="166" applyNumberFormat="0" applyFill="0" applyAlignment="0" applyProtection="0"/>
    <xf numFmtId="0" fontId="62" fillId="23" borderId="163" applyNumberFormat="0" applyAlignment="0" applyProtection="0"/>
    <xf numFmtId="0" fontId="110" fillId="38" borderId="165" applyNumberFormat="0" applyAlignment="0" applyProtection="0"/>
    <xf numFmtId="0" fontId="36" fillId="0" borderId="162" applyBorder="0">
      <alignment horizontal="left" vertical="center" wrapText="1" indent="3"/>
      <protection locked="0"/>
    </xf>
    <xf numFmtId="0" fontId="5" fillId="26" borderId="164" applyNumberFormat="0" applyFont="0" applyAlignment="0" applyProtection="0"/>
    <xf numFmtId="0" fontId="5" fillId="26" borderId="164" applyNumberFormat="0" applyFont="0" applyAlignment="0" applyProtection="0"/>
    <xf numFmtId="0" fontId="36" fillId="0" borderId="162" applyBorder="0">
      <alignment horizontal="left" vertical="center" wrapText="1" indent="3"/>
      <protection locked="0"/>
    </xf>
    <xf numFmtId="0" fontId="73" fillId="39" borderId="163" applyNumberFormat="0" applyAlignment="0" applyProtection="0"/>
    <xf numFmtId="0" fontId="116" fillId="0" borderId="166" applyNumberFormat="0" applyFill="0" applyAlignment="0" applyProtection="0"/>
    <xf numFmtId="0" fontId="62" fillId="29" borderId="163" applyNumberFormat="0" applyAlignment="0" applyProtection="0"/>
    <xf numFmtId="0" fontId="5" fillId="26" borderId="164" applyNumberFormat="0" applyFont="0" applyAlignment="0" applyProtection="0"/>
    <xf numFmtId="0" fontId="6" fillId="26" borderId="164" applyNumberFormat="0" applyFont="0" applyAlignment="0" applyProtection="0"/>
    <xf numFmtId="10" fontId="36" fillId="16" borderId="160" applyNumberFormat="0" applyBorder="0" applyAlignment="0" applyProtection="0"/>
    <xf numFmtId="0" fontId="62" fillId="23" borderId="163" applyNumberFormat="0" applyAlignment="0" applyProtection="0"/>
    <xf numFmtId="0" fontId="101" fillId="38" borderId="163" applyNumberFormat="0" applyAlignment="0" applyProtection="0"/>
    <xf numFmtId="0" fontId="65" fillId="39" borderId="165" applyNumberFormat="0" applyAlignment="0" applyProtection="0"/>
    <xf numFmtId="0" fontId="5" fillId="26" borderId="164" applyNumberFormat="0" applyFont="0" applyAlignment="0" applyProtection="0"/>
    <xf numFmtId="0" fontId="65" fillId="38" borderId="165" applyNumberFormat="0" applyAlignment="0" applyProtection="0"/>
    <xf numFmtId="0" fontId="36" fillId="0" borderId="162" applyBorder="0">
      <alignment horizontal="left" vertical="center" wrapText="1" indent="2"/>
      <protection locked="0"/>
    </xf>
    <xf numFmtId="0" fontId="18" fillId="15" borderId="162" applyFill="0" applyBorder="0" applyAlignment="0" applyProtection="0">
      <alignment vertical="center"/>
      <protection locked="0"/>
    </xf>
    <xf numFmtId="0" fontId="104" fillId="23" borderId="163" applyNumberFormat="0" applyAlignment="0" applyProtection="0"/>
    <xf numFmtId="0" fontId="59" fillId="38" borderId="163" applyNumberFormat="0" applyAlignment="0" applyProtection="0"/>
    <xf numFmtId="0" fontId="5" fillId="26" borderId="164" applyNumberFormat="0" applyFont="0" applyAlignment="0" applyProtection="0"/>
    <xf numFmtId="0" fontId="5" fillId="26" borderId="164" applyNumberFormat="0" applyFont="0" applyAlignment="0" applyProtection="0"/>
    <xf numFmtId="0" fontId="5" fillId="26" borderId="164" applyNumberFormat="0" applyFont="0" applyAlignment="0" applyProtection="0"/>
    <xf numFmtId="0" fontId="72" fillId="0" borderId="166" applyNumberFormat="0" applyFill="0" applyAlignment="0" applyProtection="0"/>
    <xf numFmtId="0" fontId="62" fillId="23" borderId="163" applyNumberFormat="0" applyAlignment="0" applyProtection="0"/>
    <xf numFmtId="0" fontId="110" fillId="38" borderId="165" applyNumberFormat="0" applyAlignment="0" applyProtection="0"/>
    <xf numFmtId="0" fontId="36" fillId="0" borderId="162" applyBorder="0">
      <alignment horizontal="left" vertical="center" wrapText="1" indent="3"/>
      <protection locked="0"/>
    </xf>
    <xf numFmtId="0" fontId="73" fillId="39" borderId="163" applyNumberFormat="0" applyAlignment="0" applyProtection="0"/>
    <xf numFmtId="0" fontId="116" fillId="0" borderId="166" applyNumberFormat="0" applyFill="0" applyAlignment="0" applyProtection="0"/>
    <xf numFmtId="0" fontId="62" fillId="29" borderId="163" applyNumberFormat="0" applyAlignment="0" applyProtection="0"/>
    <xf numFmtId="0" fontId="5" fillId="26" borderId="164" applyNumberFormat="0" applyFont="0" applyAlignment="0" applyProtection="0"/>
    <xf numFmtId="0" fontId="6" fillId="26" borderId="164" applyNumberFormat="0" applyFont="0" applyAlignment="0" applyProtection="0"/>
    <xf numFmtId="10" fontId="36" fillId="16" borderId="160" applyNumberFormat="0" applyBorder="0" applyAlignment="0" applyProtection="0"/>
    <xf numFmtId="0" fontId="62" fillId="23" borderId="163" applyNumberFormat="0" applyAlignment="0" applyProtection="0"/>
    <xf numFmtId="0" fontId="101" fillId="38" borderId="163" applyNumberFormat="0" applyAlignment="0" applyProtection="0"/>
    <xf numFmtId="0" fontId="65" fillId="39" borderId="165" applyNumberFormat="0" applyAlignment="0" applyProtection="0"/>
    <xf numFmtId="0" fontId="5" fillId="26" borderId="164" applyNumberFormat="0" applyFont="0" applyAlignment="0" applyProtection="0"/>
    <xf numFmtId="0" fontId="65" fillId="38" borderId="165" applyNumberFormat="0" applyAlignment="0" applyProtection="0"/>
    <xf numFmtId="0" fontId="36" fillId="0" borderId="162" applyBorder="0">
      <alignment horizontal="left" vertical="center" wrapText="1" indent="2"/>
      <protection locked="0"/>
    </xf>
    <xf numFmtId="0" fontId="18" fillId="15" borderId="162" applyFill="0" applyBorder="0" applyAlignment="0" applyProtection="0">
      <alignment vertical="center"/>
      <protection locked="0"/>
    </xf>
    <xf numFmtId="0" fontId="104" fillId="23" borderId="163" applyNumberFormat="0" applyAlignment="0" applyProtection="0"/>
    <xf numFmtId="0" fontId="59" fillId="38" borderId="163" applyNumberFormat="0" applyAlignment="0" applyProtection="0"/>
    <xf numFmtId="0" fontId="5" fillId="26" borderId="164" applyNumberFormat="0" applyFont="0" applyAlignment="0" applyProtection="0"/>
    <xf numFmtId="0" fontId="5" fillId="26" borderId="164" applyNumberFormat="0" applyFont="0" applyAlignment="0" applyProtection="0"/>
    <xf numFmtId="0" fontId="5" fillId="26" borderId="164" applyNumberFormat="0" applyFont="0" applyAlignment="0" applyProtection="0"/>
    <xf numFmtId="0" fontId="72" fillId="0" borderId="166" applyNumberFormat="0" applyFill="0" applyAlignment="0" applyProtection="0"/>
    <xf numFmtId="0" fontId="62" fillId="23" borderId="163" applyNumberFormat="0" applyAlignment="0" applyProtection="0"/>
    <xf numFmtId="0" fontId="110" fillId="38" borderId="165" applyNumberFormat="0" applyAlignment="0" applyProtection="0"/>
    <xf numFmtId="0" fontId="36" fillId="0" borderId="162" applyBorder="0">
      <alignment horizontal="left" vertical="center" wrapText="1" indent="3"/>
      <protection locked="0"/>
    </xf>
    <xf numFmtId="0" fontId="116" fillId="0" borderId="166" applyNumberFormat="0" applyFill="0" applyAlignment="0" applyProtection="0"/>
    <xf numFmtId="0" fontId="110" fillId="38" borderId="165" applyNumberFormat="0" applyAlignment="0" applyProtection="0"/>
    <xf numFmtId="0" fontId="5" fillId="0" borderId="0"/>
    <xf numFmtId="43" fontId="2" fillId="0" borderId="0" applyFont="0" applyFill="0" applyBorder="0" applyAlignment="0" applyProtection="0"/>
    <xf numFmtId="43" fontId="35" fillId="0" borderId="0" applyFont="0" applyFill="0" applyBorder="0" applyAlignment="0" applyProtection="0"/>
    <xf numFmtId="0" fontId="18" fillId="15" borderId="162" applyFill="0" applyBorder="0" applyAlignment="0" applyProtection="0">
      <alignment vertical="center"/>
      <protection locked="0"/>
    </xf>
    <xf numFmtId="10" fontId="36" fillId="16" borderId="160" applyNumberFormat="0" applyBorder="0" applyAlignment="0" applyProtection="0"/>
    <xf numFmtId="0" fontId="36" fillId="0" borderId="162" applyBorder="0">
      <alignment horizontal="left" vertical="center" wrapText="1" indent="2"/>
      <protection locked="0"/>
    </xf>
    <xf numFmtId="0" fontId="36" fillId="0" borderId="162" applyBorder="0">
      <alignment horizontal="left" vertical="center" wrapText="1" indent="3"/>
      <protection locked="0"/>
    </xf>
    <xf numFmtId="0" fontId="62" fillId="23" borderId="163" applyNumberFormat="0" applyAlignment="0" applyProtection="0"/>
    <xf numFmtId="10" fontId="36" fillId="16" borderId="160" applyNumberFormat="0" applyBorder="0" applyAlignment="0" applyProtection="0"/>
    <xf numFmtId="0" fontId="36" fillId="0" borderId="162" applyBorder="0">
      <alignment horizontal="left" vertical="center" wrapText="1" indent="2"/>
      <protection locked="0"/>
    </xf>
    <xf numFmtId="0" fontId="18" fillId="15" borderId="162" applyFill="0" applyBorder="0" applyAlignment="0" applyProtection="0">
      <alignment vertical="center"/>
      <protection locked="0"/>
    </xf>
    <xf numFmtId="0" fontId="36" fillId="0" borderId="162" applyBorder="0">
      <alignment horizontal="left" vertical="center" wrapText="1" indent="3"/>
      <protection locked="0"/>
    </xf>
    <xf numFmtId="0" fontId="62" fillId="23" borderId="163" applyNumberFormat="0" applyAlignment="0" applyProtection="0"/>
    <xf numFmtId="0" fontId="36" fillId="0" borderId="162" applyBorder="0">
      <alignment horizontal="left" vertical="center" wrapText="1" indent="3"/>
      <protection locked="0"/>
    </xf>
    <xf numFmtId="0" fontId="65" fillId="38" borderId="165" applyNumberFormat="0" applyAlignment="0" applyProtection="0"/>
    <xf numFmtId="0" fontId="5" fillId="26" borderId="164" applyNumberFormat="0" applyFont="0" applyAlignment="0" applyProtection="0"/>
    <xf numFmtId="0" fontId="116" fillId="0" borderId="166" applyNumberFormat="0" applyFill="0" applyAlignment="0" applyProtection="0"/>
    <xf numFmtId="0" fontId="73" fillId="39" borderId="163" applyNumberFormat="0" applyAlignment="0" applyProtection="0"/>
    <xf numFmtId="10" fontId="36" fillId="16" borderId="160" applyNumberFormat="0" applyBorder="0" applyAlignment="0" applyProtection="0"/>
    <xf numFmtId="0" fontId="65" fillId="39" borderId="165" applyNumberFormat="0" applyAlignment="0" applyProtection="0"/>
    <xf numFmtId="0" fontId="65" fillId="39" borderId="165" applyNumberFormat="0" applyAlignment="0" applyProtection="0"/>
    <xf numFmtId="0" fontId="110" fillId="38" borderId="165" applyNumberFormat="0" applyAlignment="0" applyProtection="0"/>
    <xf numFmtId="0" fontId="18" fillId="15" borderId="162" applyFill="0" applyBorder="0" applyAlignment="0" applyProtection="0">
      <alignment vertical="center"/>
      <protection locked="0"/>
    </xf>
    <xf numFmtId="10" fontId="36" fillId="16" borderId="160" applyNumberFormat="0" applyBorder="0" applyAlignment="0" applyProtection="0"/>
    <xf numFmtId="0" fontId="62" fillId="29" borderId="163" applyNumberFormat="0" applyAlignment="0" applyProtection="0"/>
    <xf numFmtId="0" fontId="62" fillId="23" borderId="163" applyNumberFormat="0" applyAlignment="0" applyProtection="0"/>
    <xf numFmtId="0" fontId="5" fillId="26" borderId="164" applyNumberFormat="0" applyFont="0" applyAlignment="0" applyProtection="0"/>
    <xf numFmtId="0" fontId="36" fillId="0" borderId="162" applyBorder="0">
      <alignment horizontal="left" vertical="center" wrapText="1" indent="2"/>
      <protection locked="0"/>
    </xf>
    <xf numFmtId="0" fontId="36" fillId="0" borderId="162" applyBorder="0">
      <alignment horizontal="left" vertical="center" wrapText="1" indent="3"/>
      <protection locked="0"/>
    </xf>
    <xf numFmtId="0" fontId="59" fillId="38" borderId="163" applyNumberFormat="0" applyAlignment="0" applyProtection="0"/>
    <xf numFmtId="0" fontId="73" fillId="39" borderId="163" applyNumberFormat="0" applyAlignment="0" applyProtection="0"/>
    <xf numFmtId="0" fontId="62" fillId="29" borderId="163" applyNumberFormat="0" applyAlignment="0" applyProtection="0"/>
    <xf numFmtId="0" fontId="62" fillId="23" borderId="163" applyNumberFormat="0" applyAlignment="0" applyProtection="0"/>
    <xf numFmtId="0" fontId="5" fillId="26" borderId="164" applyNumberFormat="0" applyFont="0" applyAlignment="0" applyProtection="0"/>
    <xf numFmtId="0" fontId="6" fillId="26" borderId="164" applyNumberFormat="0" applyFont="0" applyAlignment="0" applyProtection="0"/>
    <xf numFmtId="0" fontId="65" fillId="38" borderId="165" applyNumberFormat="0" applyAlignment="0" applyProtection="0"/>
    <xf numFmtId="0" fontId="65" fillId="39" borderId="165" applyNumberFormat="0" applyAlignment="0" applyProtection="0"/>
    <xf numFmtId="0" fontId="72" fillId="0" borderId="166" applyNumberFormat="0" applyFill="0" applyAlignment="0" applyProtection="0"/>
    <xf numFmtId="0" fontId="5" fillId="26" borderId="164" applyNumberFormat="0" applyFont="0" applyAlignment="0" applyProtection="0"/>
    <xf numFmtId="0" fontId="104" fillId="23" borderId="163" applyNumberFormat="0" applyAlignment="0" applyProtection="0"/>
    <xf numFmtId="0" fontId="101" fillId="38" borderId="163" applyNumberFormat="0" applyAlignment="0" applyProtection="0"/>
    <xf numFmtId="0" fontId="5" fillId="26" borderId="164" applyNumberFormat="0" applyFont="0" applyAlignment="0" applyProtection="0"/>
    <xf numFmtId="0" fontId="110" fillId="38" borderId="165" applyNumberFormat="0" applyAlignment="0" applyProtection="0"/>
    <xf numFmtId="0" fontId="36" fillId="0" borderId="162" applyBorder="0">
      <alignment horizontal="left" vertical="center" wrapText="1" indent="3"/>
      <protection locked="0"/>
    </xf>
    <xf numFmtId="0" fontId="5" fillId="26" borderId="164" applyNumberFormat="0" applyFont="0" applyAlignment="0" applyProtection="0"/>
    <xf numFmtId="0" fontId="5" fillId="26" borderId="164" applyNumberFormat="0" applyFont="0" applyAlignment="0" applyProtection="0"/>
    <xf numFmtId="0" fontId="65" fillId="39" borderId="165" applyNumberFormat="0" applyAlignment="0" applyProtection="0"/>
    <xf numFmtId="0" fontId="36" fillId="0" borderId="162" applyBorder="0">
      <alignment horizontal="left" vertical="center" wrapText="1" indent="2"/>
      <protection locked="0"/>
    </xf>
    <xf numFmtId="0" fontId="5" fillId="26" borderId="164" applyNumberFormat="0" applyFont="0" applyAlignment="0" applyProtection="0"/>
    <xf numFmtId="0" fontId="5" fillId="26" borderId="164" applyNumberFormat="0" applyFont="0" applyAlignment="0" applyProtection="0"/>
    <xf numFmtId="0" fontId="5" fillId="26" borderId="164" applyNumberFormat="0" applyFont="0" applyAlignment="0" applyProtection="0"/>
    <xf numFmtId="10" fontId="36" fillId="16" borderId="160" applyNumberFormat="0" applyBorder="0" applyAlignment="0" applyProtection="0"/>
    <xf numFmtId="0" fontId="62" fillId="23" borderId="163" applyNumberFormat="0" applyAlignment="0" applyProtection="0"/>
    <xf numFmtId="0" fontId="59" fillId="38" borderId="163" applyNumberFormat="0" applyAlignment="0" applyProtection="0"/>
    <xf numFmtId="0" fontId="72" fillId="0" borderId="166" applyNumberFormat="0" applyFill="0" applyAlignment="0" applyProtection="0"/>
    <xf numFmtId="0" fontId="36" fillId="0" borderId="162" applyBorder="0">
      <alignment horizontal="left" vertical="center" wrapText="1" indent="2"/>
      <protection locked="0"/>
    </xf>
    <xf numFmtId="0" fontId="5" fillId="26" borderId="164" applyNumberFormat="0" applyFont="0" applyAlignment="0" applyProtection="0"/>
    <xf numFmtId="0" fontId="72" fillId="0" borderId="166" applyNumberFormat="0" applyFill="0" applyAlignment="0" applyProtection="0"/>
    <xf numFmtId="0" fontId="5" fillId="26" borderId="164" applyNumberFormat="0" applyFont="0" applyAlignment="0" applyProtection="0"/>
    <xf numFmtId="0" fontId="5" fillId="26" borderId="164" applyNumberFormat="0" applyFont="0" applyAlignment="0" applyProtection="0"/>
    <xf numFmtId="0" fontId="5" fillId="26" borderId="164" applyNumberFormat="0" applyFont="0" applyAlignment="0" applyProtection="0"/>
    <xf numFmtId="0" fontId="104" fillId="23" borderId="163" applyNumberFormat="0" applyAlignment="0" applyProtection="0"/>
    <xf numFmtId="0" fontId="5" fillId="26" borderId="164" applyNumberFormat="0" applyFont="0" applyAlignment="0" applyProtection="0"/>
    <xf numFmtId="0" fontId="6" fillId="26" borderId="164" applyNumberFormat="0" applyFont="0" applyAlignment="0" applyProtection="0"/>
    <xf numFmtId="0" fontId="59" fillId="38" borderId="163" applyNumberFormat="0" applyAlignment="0" applyProtection="0"/>
    <xf numFmtId="0" fontId="73" fillId="39" borderId="163" applyNumberFormat="0" applyAlignment="0" applyProtection="0"/>
    <xf numFmtId="0" fontId="65" fillId="38" borderId="165" applyNumberFormat="0" applyAlignment="0" applyProtection="0"/>
    <xf numFmtId="0" fontId="5" fillId="26" borderId="164" applyNumberFormat="0" applyFont="0" applyAlignment="0" applyProtection="0"/>
    <xf numFmtId="0" fontId="65" fillId="38" borderId="165" applyNumberFormat="0" applyAlignment="0" applyProtection="0"/>
    <xf numFmtId="0" fontId="110" fillId="38" borderId="165" applyNumberFormat="0" applyAlignment="0" applyProtection="0"/>
    <xf numFmtId="0" fontId="5" fillId="26" borderId="164" applyNumberFormat="0" applyFont="0" applyAlignment="0" applyProtection="0"/>
    <xf numFmtId="0" fontId="65" fillId="39" borderId="165" applyNumberFormat="0" applyAlignment="0" applyProtection="0"/>
    <xf numFmtId="0" fontId="62" fillId="23" borderId="163" applyNumberFormat="0" applyAlignment="0" applyProtection="0"/>
    <xf numFmtId="0" fontId="36" fillId="0" borderId="162" applyBorder="0">
      <alignment horizontal="left" vertical="center" wrapText="1" indent="3"/>
      <protection locked="0"/>
    </xf>
    <xf numFmtId="0" fontId="5" fillId="26" borderId="164" applyNumberFormat="0" applyFont="0" applyAlignment="0" applyProtection="0"/>
    <xf numFmtId="0" fontId="73" fillId="39" borderId="163" applyNumberFormat="0" applyAlignment="0" applyProtection="0"/>
    <xf numFmtId="0" fontId="5" fillId="26" borderId="164" applyNumberFormat="0" applyFont="0" applyAlignment="0" applyProtection="0"/>
    <xf numFmtId="0" fontId="6" fillId="26" borderId="164" applyNumberFormat="0" applyFont="0" applyAlignment="0" applyProtection="0"/>
    <xf numFmtId="0" fontId="62" fillId="29" borderId="163" applyNumberFormat="0" applyAlignment="0" applyProtection="0"/>
    <xf numFmtId="0" fontId="5" fillId="26" borderId="164" applyNumberFormat="0" applyFont="0" applyAlignment="0" applyProtection="0"/>
    <xf numFmtId="0" fontId="5" fillId="26" borderId="164" applyNumberFormat="0" applyFont="0" applyAlignment="0" applyProtection="0"/>
    <xf numFmtId="0" fontId="5" fillId="26" borderId="164" applyNumberFormat="0" applyFont="0" applyAlignment="0" applyProtection="0"/>
    <xf numFmtId="0" fontId="72" fillId="0" borderId="166" applyNumberFormat="0" applyFill="0" applyAlignment="0" applyProtection="0"/>
    <xf numFmtId="0" fontId="116" fillId="0" borderId="166" applyNumberFormat="0" applyFill="0" applyAlignment="0" applyProtection="0"/>
    <xf numFmtId="0" fontId="5" fillId="26" borderId="164" applyNumberFormat="0" applyFont="0" applyAlignment="0" applyProtection="0"/>
    <xf numFmtId="0" fontId="59" fillId="38" borderId="163" applyNumberFormat="0" applyAlignment="0" applyProtection="0"/>
    <xf numFmtId="0" fontId="6" fillId="26" borderId="164" applyNumberFormat="0" applyFont="0" applyAlignment="0" applyProtection="0"/>
    <xf numFmtId="0" fontId="5" fillId="26" borderId="164" applyNumberFormat="0" applyFont="0" applyAlignment="0" applyProtection="0"/>
    <xf numFmtId="0" fontId="59" fillId="38" borderId="163" applyNumberFormat="0" applyAlignment="0" applyProtection="0"/>
    <xf numFmtId="0" fontId="72" fillId="0" borderId="166" applyNumberFormat="0" applyFill="0" applyAlignment="0" applyProtection="0"/>
    <xf numFmtId="0" fontId="18" fillId="15" borderId="162" applyFill="0" applyBorder="0" applyAlignment="0" applyProtection="0">
      <alignment vertical="center"/>
      <protection locked="0"/>
    </xf>
    <xf numFmtId="0" fontId="62" fillId="23" borderId="163" applyNumberFormat="0" applyAlignment="0" applyProtection="0"/>
    <xf numFmtId="0" fontId="104" fillId="23" borderId="163" applyNumberFormat="0" applyAlignment="0" applyProtection="0"/>
    <xf numFmtId="0" fontId="73" fillId="39" borderId="163" applyNumberFormat="0" applyAlignment="0" applyProtection="0"/>
    <xf numFmtId="0" fontId="6" fillId="26" borderId="164" applyNumberFormat="0" applyFont="0" applyAlignment="0" applyProtection="0"/>
    <xf numFmtId="0" fontId="62" fillId="23" borderId="163" applyNumberFormat="0" applyAlignment="0" applyProtection="0"/>
    <xf numFmtId="0" fontId="5" fillId="26" borderId="164" applyNumberFormat="0" applyFont="0" applyAlignment="0" applyProtection="0"/>
    <xf numFmtId="0" fontId="116" fillId="0" borderId="166" applyNumberFormat="0" applyFill="0" applyAlignment="0" applyProtection="0"/>
    <xf numFmtId="0" fontId="110" fillId="38" borderId="165" applyNumberFormat="0" applyAlignment="0" applyProtection="0"/>
    <xf numFmtId="0" fontId="65" fillId="39" borderId="165" applyNumberFormat="0" applyAlignment="0" applyProtection="0"/>
    <xf numFmtId="0" fontId="116" fillId="0" borderId="166" applyNumberFormat="0" applyFill="0" applyAlignment="0" applyProtection="0"/>
    <xf numFmtId="0" fontId="73" fillId="39" borderId="163" applyNumberFormat="0" applyAlignment="0" applyProtection="0"/>
    <xf numFmtId="0" fontId="5" fillId="26" borderId="164" applyNumberFormat="0" applyFont="0" applyAlignment="0" applyProtection="0"/>
    <xf numFmtId="0" fontId="18" fillId="15" borderId="162" applyFill="0" applyBorder="0" applyAlignment="0" applyProtection="0">
      <alignment vertical="center"/>
      <protection locked="0"/>
    </xf>
    <xf numFmtId="0" fontId="36" fillId="0" borderId="162" applyBorder="0">
      <alignment horizontal="left" vertical="center" wrapText="1" indent="2"/>
      <protection locked="0"/>
    </xf>
    <xf numFmtId="0" fontId="65" fillId="39" borderId="165" applyNumberFormat="0" applyAlignment="0" applyProtection="0"/>
    <xf numFmtId="0" fontId="72" fillId="0" borderId="166" applyNumberFormat="0" applyFill="0" applyAlignment="0" applyProtection="0"/>
    <xf numFmtId="0" fontId="104" fillId="23" borderId="163" applyNumberFormat="0" applyAlignment="0" applyProtection="0"/>
    <xf numFmtId="0" fontId="62" fillId="29" borderId="163" applyNumberFormat="0" applyAlignment="0" applyProtection="0"/>
    <xf numFmtId="0" fontId="5" fillId="26" borderId="164" applyNumberFormat="0" applyFont="0" applyAlignment="0" applyProtection="0"/>
    <xf numFmtId="0" fontId="101" fillId="38" borderId="163" applyNumberFormat="0" applyAlignment="0" applyProtection="0"/>
    <xf numFmtId="0" fontId="104" fillId="23" borderId="163" applyNumberFormat="0" applyAlignment="0" applyProtection="0"/>
    <xf numFmtId="0" fontId="5" fillId="26" borderId="164" applyNumberFormat="0" applyFont="0" applyAlignment="0" applyProtection="0"/>
    <xf numFmtId="0" fontId="110" fillId="38" borderId="165" applyNumberFormat="0" applyAlignment="0" applyProtection="0"/>
    <xf numFmtId="0" fontId="116" fillId="0" borderId="166" applyNumberFormat="0" applyFill="0" applyAlignment="0" applyProtection="0"/>
    <xf numFmtId="0" fontId="62" fillId="23" borderId="163" applyNumberFormat="0" applyAlignment="0" applyProtection="0"/>
    <xf numFmtId="0" fontId="6" fillId="26" borderId="164" applyNumberFormat="0" applyFont="0" applyAlignment="0" applyProtection="0"/>
    <xf numFmtId="0" fontId="65" fillId="38" borderId="165" applyNumberFormat="0" applyAlignment="0" applyProtection="0"/>
    <xf numFmtId="0" fontId="62" fillId="23" borderId="163" applyNumberFormat="0" applyAlignment="0" applyProtection="0"/>
    <xf numFmtId="0" fontId="62" fillId="23" borderId="163" applyNumberFormat="0" applyAlignment="0" applyProtection="0"/>
    <xf numFmtId="0" fontId="62" fillId="23" borderId="163" applyNumberFormat="0" applyAlignment="0" applyProtection="0"/>
    <xf numFmtId="0" fontId="62" fillId="23" borderId="163" applyNumberFormat="0" applyAlignment="0" applyProtection="0"/>
    <xf numFmtId="0" fontId="36" fillId="0" borderId="162" applyBorder="0">
      <alignment horizontal="left" vertical="center" wrapText="1" indent="3"/>
      <protection locked="0"/>
    </xf>
    <xf numFmtId="0" fontId="59" fillId="38" borderId="163" applyNumberFormat="0" applyAlignment="0" applyProtection="0"/>
    <xf numFmtId="0" fontId="116" fillId="0" borderId="166" applyNumberFormat="0" applyFill="0" applyAlignment="0" applyProtection="0"/>
    <xf numFmtId="0" fontId="62" fillId="23" borderId="163" applyNumberFormat="0" applyAlignment="0" applyProtection="0"/>
    <xf numFmtId="0" fontId="5" fillId="26" borderId="164" applyNumberFormat="0" applyFont="0" applyAlignment="0" applyProtection="0"/>
    <xf numFmtId="0" fontId="116" fillId="0" borderId="166" applyNumberFormat="0" applyFill="0" applyAlignment="0" applyProtection="0"/>
    <xf numFmtId="0" fontId="62" fillId="29" borderId="163" applyNumberFormat="0" applyAlignment="0" applyProtection="0"/>
    <xf numFmtId="0" fontId="18" fillId="15" borderId="162" applyFill="0" applyBorder="0" applyAlignment="0" applyProtection="0">
      <alignment vertical="center"/>
      <protection locked="0"/>
    </xf>
    <xf numFmtId="10" fontId="36" fillId="16" borderId="160" applyNumberFormat="0" applyBorder="0" applyAlignment="0" applyProtection="0"/>
    <xf numFmtId="0" fontId="36" fillId="0" borderId="162" applyBorder="0">
      <alignment horizontal="left" vertical="center" wrapText="1" indent="2"/>
      <protection locked="0"/>
    </xf>
    <xf numFmtId="0" fontId="6" fillId="26" borderId="164" applyNumberFormat="0" applyFont="0" applyAlignment="0" applyProtection="0"/>
    <xf numFmtId="0" fontId="72" fillId="0" borderId="166" applyNumberFormat="0" applyFill="0" applyAlignment="0" applyProtection="0"/>
    <xf numFmtId="0" fontId="101" fillId="38" borderId="163" applyNumberFormat="0" applyAlignment="0" applyProtection="0"/>
    <xf numFmtId="0" fontId="62" fillId="23" borderId="163" applyNumberFormat="0" applyAlignment="0" applyProtection="0"/>
    <xf numFmtId="0" fontId="5" fillId="26" borderId="164" applyNumberFormat="0" applyFont="0" applyAlignment="0" applyProtection="0"/>
    <xf numFmtId="0" fontId="110" fillId="38" borderId="165" applyNumberFormat="0" applyAlignment="0" applyProtection="0"/>
    <xf numFmtId="10" fontId="36" fillId="16" borderId="160" applyNumberFormat="0" applyBorder="0" applyAlignment="0" applyProtection="0"/>
    <xf numFmtId="0" fontId="116" fillId="0" borderId="166" applyNumberFormat="0" applyFill="0" applyAlignment="0" applyProtection="0"/>
    <xf numFmtId="0" fontId="18" fillId="15" borderId="162" applyFill="0" applyBorder="0" applyAlignment="0" applyProtection="0">
      <alignment vertical="center"/>
      <protection locked="0"/>
    </xf>
    <xf numFmtId="0" fontId="104" fillId="23" borderId="163" applyNumberFormat="0" applyAlignment="0" applyProtection="0"/>
    <xf numFmtId="0" fontId="101" fillId="38" borderId="163" applyNumberFormat="0" applyAlignment="0" applyProtection="0"/>
    <xf numFmtId="0" fontId="6" fillId="26" borderId="164" applyNumberFormat="0" applyFont="0" applyAlignment="0" applyProtection="0"/>
    <xf numFmtId="0" fontId="62" fillId="29" borderId="163" applyNumberFormat="0" applyAlignment="0" applyProtection="0"/>
    <xf numFmtId="0" fontId="110" fillId="38" borderId="165" applyNumberFormat="0" applyAlignment="0" applyProtection="0"/>
    <xf numFmtId="0" fontId="5" fillId="26" borderId="164" applyNumberFormat="0" applyFont="0" applyAlignment="0" applyProtection="0"/>
    <xf numFmtId="0" fontId="65" fillId="38" borderId="165" applyNumberFormat="0" applyAlignment="0" applyProtection="0"/>
    <xf numFmtId="0" fontId="101" fillId="38" borderId="163" applyNumberFormat="0" applyAlignment="0" applyProtection="0"/>
    <xf numFmtId="0" fontId="36" fillId="0" borderId="162" applyBorder="0">
      <alignment horizontal="left" vertical="center" wrapText="1" indent="2"/>
      <protection locked="0"/>
    </xf>
    <xf numFmtId="0" fontId="5" fillId="26" borderId="164" applyNumberFormat="0" applyFont="0" applyAlignment="0" applyProtection="0"/>
    <xf numFmtId="0" fontId="5" fillId="26" borderId="164" applyNumberFormat="0" applyFont="0" applyAlignment="0" applyProtection="0"/>
    <xf numFmtId="0" fontId="65" fillId="39" borderId="165" applyNumberFormat="0" applyAlignment="0" applyProtection="0"/>
    <xf numFmtId="10" fontId="36" fillId="16" borderId="160" applyNumberFormat="0" applyBorder="0" applyAlignment="0" applyProtection="0"/>
    <xf numFmtId="0" fontId="18" fillId="15" borderId="162" applyFill="0" applyBorder="0" applyAlignment="0" applyProtection="0">
      <alignment vertical="center"/>
      <protection locked="0"/>
    </xf>
    <xf numFmtId="0" fontId="65" fillId="38" borderId="165" applyNumberFormat="0" applyAlignment="0" applyProtection="0"/>
    <xf numFmtId="0" fontId="101" fillId="38" borderId="163" applyNumberFormat="0" applyAlignment="0" applyProtection="0"/>
    <xf numFmtId="0" fontId="5" fillId="26" borderId="164" applyNumberFormat="0" applyFont="0" applyAlignment="0" applyProtection="0"/>
    <xf numFmtId="0" fontId="65" fillId="38" borderId="165" applyNumberFormat="0" applyAlignment="0" applyProtection="0"/>
    <xf numFmtId="0" fontId="5" fillId="26" borderId="164" applyNumberFormat="0" applyFont="0" applyAlignment="0" applyProtection="0"/>
    <xf numFmtId="0" fontId="73" fillId="39" borderId="163" applyNumberFormat="0" applyAlignment="0" applyProtection="0"/>
    <xf numFmtId="0" fontId="116" fillId="0" borderId="166" applyNumberFormat="0" applyFill="0" applyAlignment="0" applyProtection="0"/>
    <xf numFmtId="0" fontId="62" fillId="29" borderId="163" applyNumberFormat="0" applyAlignment="0" applyProtection="0"/>
    <xf numFmtId="0" fontId="5" fillId="26" borderId="164" applyNumberFormat="0" applyFont="0" applyAlignment="0" applyProtection="0"/>
    <xf numFmtId="0" fontId="6" fillId="26" borderId="164" applyNumberFormat="0" applyFont="0" applyAlignment="0" applyProtection="0"/>
    <xf numFmtId="10" fontId="36" fillId="16" borderId="160" applyNumberFormat="0" applyBorder="0" applyAlignment="0" applyProtection="0"/>
    <xf numFmtId="0" fontId="62" fillId="23" borderId="163" applyNumberFormat="0" applyAlignment="0" applyProtection="0"/>
    <xf numFmtId="0" fontId="101" fillId="38" borderId="163" applyNumberFormat="0" applyAlignment="0" applyProtection="0"/>
    <xf numFmtId="0" fontId="65" fillId="39" borderId="165" applyNumberFormat="0" applyAlignment="0" applyProtection="0"/>
    <xf numFmtId="0" fontId="5" fillId="26" borderId="164" applyNumberFormat="0" applyFont="0" applyAlignment="0" applyProtection="0"/>
    <xf numFmtId="0" fontId="65" fillId="38" borderId="165" applyNumberFormat="0" applyAlignment="0" applyProtection="0"/>
    <xf numFmtId="0" fontId="36" fillId="0" borderId="162" applyBorder="0">
      <alignment horizontal="left" vertical="center" wrapText="1" indent="2"/>
      <protection locked="0"/>
    </xf>
    <xf numFmtId="0" fontId="18" fillId="15" borderId="162" applyFill="0" applyBorder="0" applyAlignment="0" applyProtection="0">
      <alignment vertical="center"/>
      <protection locked="0"/>
    </xf>
    <xf numFmtId="0" fontId="104" fillId="23" borderId="163" applyNumberFormat="0" applyAlignment="0" applyProtection="0"/>
    <xf numFmtId="0" fontId="59" fillId="38" borderId="163" applyNumberFormat="0" applyAlignment="0" applyProtection="0"/>
    <xf numFmtId="0" fontId="5" fillId="26" borderId="164" applyNumberFormat="0" applyFont="0" applyAlignment="0" applyProtection="0"/>
    <xf numFmtId="0" fontId="5" fillId="26" borderId="164" applyNumberFormat="0" applyFont="0" applyAlignment="0" applyProtection="0"/>
    <xf numFmtId="0" fontId="5" fillId="26" borderId="164" applyNumberFormat="0" applyFont="0" applyAlignment="0" applyProtection="0"/>
    <xf numFmtId="0" fontId="72" fillId="0" borderId="166" applyNumberFormat="0" applyFill="0" applyAlignment="0" applyProtection="0"/>
    <xf numFmtId="0" fontId="62" fillId="23" borderId="163" applyNumberFormat="0" applyAlignment="0" applyProtection="0"/>
    <xf numFmtId="0" fontId="110" fillId="38" borderId="165" applyNumberFormat="0" applyAlignment="0" applyProtection="0"/>
    <xf numFmtId="0" fontId="36" fillId="0" borderId="162" applyBorder="0">
      <alignment horizontal="left" vertical="center" wrapText="1" indent="3"/>
      <protection locked="0"/>
    </xf>
    <xf numFmtId="0" fontId="116" fillId="0" borderId="166" applyNumberFormat="0" applyFill="0" applyAlignment="0" applyProtection="0"/>
    <xf numFmtId="0" fontId="65" fillId="39" borderId="165" applyNumberFormat="0" applyAlignment="0" applyProtection="0"/>
    <xf numFmtId="0" fontId="65" fillId="38" borderId="165" applyNumberFormat="0" applyAlignment="0" applyProtection="0"/>
    <xf numFmtId="0" fontId="72" fillId="0" borderId="166" applyNumberFormat="0" applyFill="0" applyAlignment="0" applyProtection="0"/>
    <xf numFmtId="0" fontId="110" fillId="38" borderId="165" applyNumberFormat="0" applyAlignment="0" applyProtection="0"/>
    <xf numFmtId="0" fontId="5" fillId="26" borderId="164" applyNumberFormat="0" applyFont="0" applyAlignment="0" applyProtection="0"/>
    <xf numFmtId="0" fontId="5" fillId="26" borderId="164" applyNumberFormat="0" applyFont="0" applyAlignment="0" applyProtection="0"/>
    <xf numFmtId="0" fontId="5" fillId="26" borderId="164" applyNumberFormat="0" applyFont="0" applyAlignment="0" applyProtection="0"/>
    <xf numFmtId="0" fontId="72" fillId="0" borderId="166" applyNumberFormat="0" applyFill="0" applyAlignment="0" applyProtection="0"/>
    <xf numFmtId="0" fontId="110" fillId="38" borderId="165" applyNumberFormat="0" applyAlignment="0" applyProtection="0"/>
    <xf numFmtId="0" fontId="73" fillId="39" borderId="163" applyNumberFormat="0" applyAlignment="0" applyProtection="0"/>
    <xf numFmtId="0" fontId="116" fillId="0" borderId="166" applyNumberFormat="0" applyFill="0" applyAlignment="0" applyProtection="0"/>
    <xf numFmtId="0" fontId="62" fillId="29" borderId="163" applyNumberFormat="0" applyAlignment="0" applyProtection="0"/>
    <xf numFmtId="0" fontId="5" fillId="26" borderId="164" applyNumberFormat="0" applyFont="0" applyAlignment="0" applyProtection="0"/>
    <xf numFmtId="0" fontId="6" fillId="26" borderId="164" applyNumberFormat="0" applyFont="0" applyAlignment="0" applyProtection="0"/>
    <xf numFmtId="10" fontId="36" fillId="16" borderId="160" applyNumberFormat="0" applyBorder="0" applyAlignment="0" applyProtection="0"/>
    <xf numFmtId="0" fontId="62" fillId="23" borderId="163" applyNumberFormat="0" applyAlignment="0" applyProtection="0"/>
    <xf numFmtId="0" fontId="101" fillId="38" borderId="163" applyNumberFormat="0" applyAlignment="0" applyProtection="0"/>
    <xf numFmtId="0" fontId="65" fillId="39" borderId="165" applyNumberFormat="0" applyAlignment="0" applyProtection="0"/>
    <xf numFmtId="0" fontId="5" fillId="26" borderId="164" applyNumberFormat="0" applyFont="0" applyAlignment="0" applyProtection="0"/>
    <xf numFmtId="0" fontId="65" fillId="38" borderId="165" applyNumberFormat="0" applyAlignment="0" applyProtection="0"/>
    <xf numFmtId="0" fontId="36" fillId="0" borderId="162" applyBorder="0">
      <alignment horizontal="left" vertical="center" wrapText="1" indent="2"/>
      <protection locked="0"/>
    </xf>
    <xf numFmtId="0" fontId="18" fillId="15" borderId="162" applyFill="0" applyBorder="0" applyAlignment="0" applyProtection="0">
      <alignment vertical="center"/>
      <protection locked="0"/>
    </xf>
    <xf numFmtId="0" fontId="104" fillId="23" borderId="163" applyNumberFormat="0" applyAlignment="0" applyProtection="0"/>
    <xf numFmtId="0" fontId="59" fillId="38" borderId="163" applyNumberFormat="0" applyAlignment="0" applyProtection="0"/>
    <xf numFmtId="0" fontId="5" fillId="26" borderId="164" applyNumberFormat="0" applyFont="0" applyAlignment="0" applyProtection="0"/>
    <xf numFmtId="0" fontId="5" fillId="26" borderId="164" applyNumberFormat="0" applyFont="0" applyAlignment="0" applyProtection="0"/>
    <xf numFmtId="0" fontId="5" fillId="26" borderId="164" applyNumberFormat="0" applyFont="0" applyAlignment="0" applyProtection="0"/>
    <xf numFmtId="0" fontId="72" fillId="0" borderId="166" applyNumberFormat="0" applyFill="0" applyAlignment="0" applyProtection="0"/>
    <xf numFmtId="0" fontId="62" fillId="23" borderId="163" applyNumberFormat="0" applyAlignment="0" applyProtection="0"/>
    <xf numFmtId="0" fontId="110" fillId="38" borderId="165" applyNumberFormat="0" applyAlignment="0" applyProtection="0"/>
    <xf numFmtId="0" fontId="36" fillId="0" borderId="162" applyBorder="0">
      <alignment horizontal="left" vertical="center" wrapText="1" indent="3"/>
      <protection locked="0"/>
    </xf>
    <xf numFmtId="0" fontId="5" fillId="26" borderId="164" applyNumberFormat="0" applyFont="0" applyAlignment="0" applyProtection="0"/>
    <xf numFmtId="0" fontId="5" fillId="26" borderId="164" applyNumberFormat="0" applyFont="0" applyAlignment="0" applyProtection="0"/>
    <xf numFmtId="0" fontId="36" fillId="0" borderId="162" applyBorder="0">
      <alignment horizontal="left" vertical="center" wrapText="1" indent="3"/>
      <protection locked="0"/>
    </xf>
    <xf numFmtId="0" fontId="73" fillId="39" borderId="163" applyNumberFormat="0" applyAlignment="0" applyProtection="0"/>
    <xf numFmtId="0" fontId="116" fillId="0" borderId="166" applyNumberFormat="0" applyFill="0" applyAlignment="0" applyProtection="0"/>
    <xf numFmtId="0" fontId="62" fillId="29" borderId="163" applyNumberFormat="0" applyAlignment="0" applyProtection="0"/>
    <xf numFmtId="0" fontId="5" fillId="26" borderId="164" applyNumberFormat="0" applyFont="0" applyAlignment="0" applyProtection="0"/>
    <xf numFmtId="0" fontId="6" fillId="26" borderId="164" applyNumberFormat="0" applyFont="0" applyAlignment="0" applyProtection="0"/>
    <xf numFmtId="10" fontId="36" fillId="16" borderId="160" applyNumberFormat="0" applyBorder="0" applyAlignment="0" applyProtection="0"/>
    <xf numFmtId="0" fontId="62" fillId="23" borderId="163" applyNumberFormat="0" applyAlignment="0" applyProtection="0"/>
    <xf numFmtId="0" fontId="101" fillId="38" borderId="163" applyNumberFormat="0" applyAlignment="0" applyProtection="0"/>
    <xf numFmtId="0" fontId="65" fillId="39" borderId="165" applyNumberFormat="0" applyAlignment="0" applyProtection="0"/>
    <xf numFmtId="0" fontId="5" fillId="26" borderId="164" applyNumberFormat="0" applyFont="0" applyAlignment="0" applyProtection="0"/>
    <xf numFmtId="0" fontId="65" fillId="38" borderId="165" applyNumberFormat="0" applyAlignment="0" applyProtection="0"/>
    <xf numFmtId="0" fontId="36" fillId="0" borderId="162" applyBorder="0">
      <alignment horizontal="left" vertical="center" wrapText="1" indent="2"/>
      <protection locked="0"/>
    </xf>
    <xf numFmtId="0" fontId="18" fillId="15" borderId="162" applyFill="0" applyBorder="0" applyAlignment="0" applyProtection="0">
      <alignment vertical="center"/>
      <protection locked="0"/>
    </xf>
    <xf numFmtId="0" fontId="104" fillId="23" borderId="163" applyNumberFormat="0" applyAlignment="0" applyProtection="0"/>
    <xf numFmtId="0" fontId="59" fillId="38" borderId="163" applyNumberFormat="0" applyAlignment="0" applyProtection="0"/>
    <xf numFmtId="0" fontId="5" fillId="26" borderId="164" applyNumberFormat="0" applyFont="0" applyAlignment="0" applyProtection="0"/>
    <xf numFmtId="0" fontId="5" fillId="26" borderId="164" applyNumberFormat="0" applyFont="0" applyAlignment="0" applyProtection="0"/>
    <xf numFmtId="0" fontId="5" fillId="26" borderId="164" applyNumberFormat="0" applyFont="0" applyAlignment="0" applyProtection="0"/>
    <xf numFmtId="0" fontId="72" fillId="0" borderId="166" applyNumberFormat="0" applyFill="0" applyAlignment="0" applyProtection="0"/>
    <xf numFmtId="0" fontId="62" fillId="23" borderId="163" applyNumberFormat="0" applyAlignment="0" applyProtection="0"/>
    <xf numFmtId="0" fontId="110" fillId="38" borderId="165" applyNumberFormat="0" applyAlignment="0" applyProtection="0"/>
    <xf numFmtId="0" fontId="36" fillId="0" borderId="162" applyBorder="0">
      <alignment horizontal="left" vertical="center" wrapText="1" indent="3"/>
      <protection locked="0"/>
    </xf>
    <xf numFmtId="0" fontId="73" fillId="39" borderId="163" applyNumberFormat="0" applyAlignment="0" applyProtection="0"/>
    <xf numFmtId="0" fontId="116" fillId="0" borderId="166" applyNumberFormat="0" applyFill="0" applyAlignment="0" applyProtection="0"/>
    <xf numFmtId="0" fontId="62" fillId="29" borderId="163" applyNumberFormat="0" applyAlignment="0" applyProtection="0"/>
    <xf numFmtId="0" fontId="5" fillId="26" borderId="164" applyNumberFormat="0" applyFont="0" applyAlignment="0" applyProtection="0"/>
    <xf numFmtId="0" fontId="6" fillId="26" borderId="164" applyNumberFormat="0" applyFont="0" applyAlignment="0" applyProtection="0"/>
    <xf numFmtId="10" fontId="36" fillId="16" borderId="160" applyNumberFormat="0" applyBorder="0" applyAlignment="0" applyProtection="0"/>
    <xf numFmtId="0" fontId="62" fillId="23" borderId="163" applyNumberFormat="0" applyAlignment="0" applyProtection="0"/>
    <xf numFmtId="0" fontId="101" fillId="38" borderId="163" applyNumberFormat="0" applyAlignment="0" applyProtection="0"/>
    <xf numFmtId="0" fontId="65" fillId="39" borderId="165" applyNumberFormat="0" applyAlignment="0" applyProtection="0"/>
    <xf numFmtId="0" fontId="5" fillId="26" borderId="164" applyNumberFormat="0" applyFont="0" applyAlignment="0" applyProtection="0"/>
    <xf numFmtId="0" fontId="65" fillId="38" borderId="165" applyNumberFormat="0" applyAlignment="0" applyProtection="0"/>
    <xf numFmtId="0" fontId="36" fillId="0" borderId="162" applyBorder="0">
      <alignment horizontal="left" vertical="center" wrapText="1" indent="2"/>
      <protection locked="0"/>
    </xf>
    <xf numFmtId="0" fontId="18" fillId="15" borderId="162" applyFill="0" applyBorder="0" applyAlignment="0" applyProtection="0">
      <alignment vertical="center"/>
      <protection locked="0"/>
    </xf>
    <xf numFmtId="0" fontId="104" fillId="23" borderId="163" applyNumberFormat="0" applyAlignment="0" applyProtection="0"/>
    <xf numFmtId="0" fontId="59" fillId="38" borderId="163" applyNumberFormat="0" applyAlignment="0" applyProtection="0"/>
    <xf numFmtId="0" fontId="5" fillId="26" borderId="164" applyNumberFormat="0" applyFont="0" applyAlignment="0" applyProtection="0"/>
    <xf numFmtId="0" fontId="5" fillId="26" borderId="164" applyNumberFormat="0" applyFont="0" applyAlignment="0" applyProtection="0"/>
    <xf numFmtId="0" fontId="5" fillId="26" borderId="164" applyNumberFormat="0" applyFont="0" applyAlignment="0" applyProtection="0"/>
    <xf numFmtId="0" fontId="72" fillId="0" borderId="166" applyNumberFormat="0" applyFill="0" applyAlignment="0" applyProtection="0"/>
    <xf numFmtId="0" fontId="62" fillId="23" borderId="163" applyNumberFormat="0" applyAlignment="0" applyProtection="0"/>
    <xf numFmtId="0" fontId="110" fillId="38" borderId="165" applyNumberFormat="0" applyAlignment="0" applyProtection="0"/>
    <xf numFmtId="0" fontId="36" fillId="0" borderId="162" applyBorder="0">
      <alignment horizontal="left" vertical="center" wrapText="1" indent="3"/>
      <protection locked="0"/>
    </xf>
    <xf numFmtId="0" fontId="36" fillId="0" borderId="129" applyBorder="0">
      <alignment horizontal="left" vertical="center" wrapText="1" indent="2"/>
      <protection locked="0"/>
    </xf>
    <xf numFmtId="0" fontId="65" fillId="38" borderId="136" applyNumberFormat="0" applyAlignment="0" applyProtection="0"/>
    <xf numFmtId="10" fontId="36" fillId="16" borderId="138" applyNumberFormat="0" applyBorder="0" applyAlignment="0" applyProtection="0"/>
    <xf numFmtId="0" fontId="72" fillId="0" borderId="137" applyNumberFormat="0" applyFill="0" applyAlignment="0" applyProtection="0"/>
    <xf numFmtId="0" fontId="18" fillId="15" borderId="129" applyFill="0" applyBorder="0" applyAlignment="0" applyProtection="0">
      <alignment vertical="center"/>
      <protection locked="0"/>
    </xf>
    <xf numFmtId="0" fontId="59" fillId="38" borderId="156" applyNumberFormat="0" applyAlignment="0" applyProtection="0"/>
    <xf numFmtId="0" fontId="59" fillId="38" borderId="156" applyNumberFormat="0" applyAlignment="0" applyProtection="0"/>
    <xf numFmtId="0" fontId="5" fillId="26" borderId="157" applyNumberFormat="0" applyFont="0" applyAlignment="0" applyProtection="0"/>
    <xf numFmtId="0" fontId="62" fillId="23" borderId="156" applyNumberFormat="0" applyAlignment="0" applyProtection="0"/>
    <xf numFmtId="0" fontId="62" fillId="29" borderId="156" applyNumberFormat="0" applyAlignment="0" applyProtection="0"/>
    <xf numFmtId="0" fontId="116" fillId="0" borderId="137" applyNumberFormat="0" applyFill="0" applyAlignment="0" applyProtection="0"/>
    <xf numFmtId="0" fontId="65" fillId="39" borderId="136" applyNumberFormat="0" applyAlignment="0" applyProtection="0"/>
    <xf numFmtId="0" fontId="65" fillId="38" borderId="136" applyNumberFormat="0" applyAlignment="0" applyProtection="0"/>
    <xf numFmtId="0" fontId="65" fillId="38" borderId="136" applyNumberFormat="0" applyAlignment="0" applyProtection="0"/>
    <xf numFmtId="0" fontId="62" fillId="29" borderId="156" applyNumberFormat="0" applyAlignment="0" applyProtection="0"/>
    <xf numFmtId="0" fontId="62" fillId="23" borderId="156" applyNumberFormat="0" applyAlignment="0" applyProtection="0"/>
    <xf numFmtId="0" fontId="104" fillId="23" borderId="156" applyNumberFormat="0" applyAlignment="0" applyProtection="0"/>
    <xf numFmtId="0" fontId="6" fillId="26" borderId="157" applyNumberFormat="0" applyFont="0" applyAlignment="0" applyProtection="0"/>
    <xf numFmtId="0" fontId="5" fillId="26" borderId="157" applyNumberFormat="0" applyFont="0" applyAlignment="0" applyProtection="0"/>
    <xf numFmtId="0" fontId="36" fillId="0" borderId="129" applyBorder="0">
      <alignment horizontal="left" vertical="center" wrapText="1" indent="2"/>
      <protection locked="0"/>
    </xf>
    <xf numFmtId="0" fontId="65" fillId="38" borderId="136" applyNumberFormat="0" applyAlignment="0" applyProtection="0"/>
    <xf numFmtId="0" fontId="5" fillId="26" borderId="157" applyNumberFormat="0" applyFont="0" applyAlignment="0" applyProtection="0"/>
    <xf numFmtId="0" fontId="6" fillId="26" borderId="157" applyNumberFormat="0" applyFont="0" applyAlignment="0" applyProtection="0"/>
    <xf numFmtId="0" fontId="36" fillId="0" borderId="129" applyBorder="0">
      <alignment horizontal="left" vertical="center" wrapText="1" indent="2"/>
      <protection locked="0"/>
    </xf>
    <xf numFmtId="0" fontId="18" fillId="15" borderId="129" applyFill="0" applyBorder="0" applyAlignment="0" applyProtection="0">
      <alignment vertical="center"/>
      <protection locked="0"/>
    </xf>
    <xf numFmtId="0" fontId="62" fillId="29" borderId="156" applyNumberFormat="0" applyAlignment="0" applyProtection="0"/>
    <xf numFmtId="0" fontId="5" fillId="26" borderId="157" applyNumberFormat="0" applyFont="0" applyAlignment="0" applyProtection="0"/>
    <xf numFmtId="0" fontId="62" fillId="23" borderId="156" applyNumberFormat="0" applyAlignment="0" applyProtection="0"/>
    <xf numFmtId="0" fontId="116" fillId="0" borderId="137" applyNumberFormat="0" applyFill="0" applyAlignment="0" applyProtection="0"/>
    <xf numFmtId="0" fontId="36" fillId="0" borderId="129" applyBorder="0">
      <alignment horizontal="left" vertical="center" wrapText="1" indent="3"/>
      <protection locked="0"/>
    </xf>
    <xf numFmtId="0" fontId="62" fillId="23" borderId="156" applyNumberFormat="0" applyAlignment="0" applyProtection="0"/>
    <xf numFmtId="0" fontId="62" fillId="23" borderId="156" applyNumberFormat="0" applyAlignment="0" applyProtection="0"/>
    <xf numFmtId="0" fontId="62" fillId="23" borderId="156" applyNumberFormat="0" applyAlignment="0" applyProtection="0"/>
    <xf numFmtId="0" fontId="65" fillId="38" borderId="136" applyNumberFormat="0" applyAlignment="0" applyProtection="0"/>
    <xf numFmtId="0" fontId="6" fillId="26" borderId="157" applyNumberFormat="0" applyFont="0" applyAlignment="0" applyProtection="0"/>
    <xf numFmtId="0" fontId="110" fillId="38" borderId="136" applyNumberFormat="0" applyAlignment="0" applyProtection="0"/>
    <xf numFmtId="0" fontId="62" fillId="29" borderId="156" applyNumberFormat="0" applyAlignment="0" applyProtection="0"/>
    <xf numFmtId="0" fontId="65" fillId="39" borderId="136" applyNumberFormat="0" applyAlignment="0" applyProtection="0"/>
    <xf numFmtId="0" fontId="36" fillId="0" borderId="129" applyBorder="0">
      <alignment horizontal="left" vertical="center" wrapText="1" indent="2"/>
      <protection locked="0"/>
    </xf>
    <xf numFmtId="0" fontId="73" fillId="39" borderId="156" applyNumberFormat="0" applyAlignment="0" applyProtection="0"/>
    <xf numFmtId="0" fontId="62" fillId="23" borderId="156" applyNumberFormat="0" applyAlignment="0" applyProtection="0"/>
    <xf numFmtId="0" fontId="36" fillId="0" borderId="129" applyBorder="0">
      <alignment horizontal="left" vertical="center" wrapText="1" indent="2"/>
      <protection locked="0"/>
    </xf>
    <xf numFmtId="0" fontId="65" fillId="39" borderId="136" applyNumberFormat="0" applyAlignment="0" applyProtection="0"/>
    <xf numFmtId="0" fontId="73" fillId="39" borderId="156" applyNumberFormat="0" applyAlignment="0" applyProtection="0"/>
    <xf numFmtId="0" fontId="36" fillId="0" borderId="129" applyBorder="0">
      <alignment horizontal="left" vertical="center" wrapText="1" indent="2"/>
      <protection locked="0"/>
    </xf>
    <xf numFmtId="0" fontId="62" fillId="23" borderId="156" applyNumberFormat="0" applyAlignment="0" applyProtection="0"/>
    <xf numFmtId="0" fontId="104" fillId="23" borderId="156" applyNumberFormat="0" applyAlignment="0" applyProtection="0"/>
    <xf numFmtId="0" fontId="5"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101" fillId="38" borderId="156" applyNumberFormat="0" applyAlignment="0" applyProtection="0"/>
    <xf numFmtId="10" fontId="36" fillId="16" borderId="138" applyNumberFormat="0" applyBorder="0" applyAlignment="0" applyProtection="0"/>
    <xf numFmtId="0" fontId="65" fillId="39" borderId="136" applyNumberFormat="0" applyAlignment="0" applyProtection="0"/>
    <xf numFmtId="0" fontId="62" fillId="23" borderId="156" applyNumberFormat="0" applyAlignment="0" applyProtection="0"/>
    <xf numFmtId="0" fontId="6" fillId="26" borderId="157" applyNumberFormat="0" applyFont="0" applyAlignment="0" applyProtection="0"/>
    <xf numFmtId="0" fontId="62" fillId="29" borderId="156" applyNumberFormat="0" applyAlignment="0" applyProtection="0"/>
    <xf numFmtId="0" fontId="73" fillId="39" borderId="156" applyNumberFormat="0" applyAlignment="0" applyProtection="0"/>
    <xf numFmtId="0" fontId="72" fillId="0" borderId="137" applyNumberFormat="0" applyFill="0" applyAlignment="0" applyProtection="0"/>
    <xf numFmtId="0" fontId="5" fillId="26" borderId="157" applyNumberFormat="0" applyFont="0" applyAlignment="0" applyProtection="0"/>
    <xf numFmtId="0" fontId="59" fillId="38" borderId="156" applyNumberFormat="0" applyAlignment="0" applyProtection="0"/>
    <xf numFmtId="0" fontId="62" fillId="23" borderId="156" applyNumberFormat="0" applyAlignment="0" applyProtection="0"/>
    <xf numFmtId="0" fontId="62" fillId="23" borderId="156" applyNumberFormat="0" applyAlignment="0" applyProtection="0"/>
    <xf numFmtId="0" fontId="5" fillId="26" borderId="157" applyNumberFormat="0" applyFont="0" applyAlignment="0" applyProtection="0"/>
    <xf numFmtId="0" fontId="101" fillId="38" borderId="156" applyNumberFormat="0" applyAlignment="0" applyProtection="0"/>
    <xf numFmtId="0" fontId="5" fillId="26" borderId="157" applyNumberFormat="0" applyFont="0" applyAlignment="0" applyProtection="0"/>
    <xf numFmtId="0" fontId="5" fillId="26" borderId="157" applyNumberFormat="0" applyFont="0" applyAlignment="0" applyProtection="0"/>
    <xf numFmtId="0" fontId="62" fillId="23" borderId="156" applyNumberFormat="0" applyAlignment="0" applyProtection="0"/>
    <xf numFmtId="0" fontId="104" fillId="23" borderId="156" applyNumberFormat="0" applyAlignment="0" applyProtection="0"/>
    <xf numFmtId="0" fontId="36" fillId="0" borderId="129" applyBorder="0">
      <alignment horizontal="left" vertical="center" wrapText="1" indent="3"/>
      <protection locked="0"/>
    </xf>
    <xf numFmtId="0" fontId="73" fillId="39" borderId="156" applyNumberFormat="0" applyAlignment="0" applyProtection="0"/>
    <xf numFmtId="0" fontId="65" fillId="39" borderId="136" applyNumberFormat="0" applyAlignment="0" applyProtection="0"/>
    <xf numFmtId="0" fontId="73" fillId="39" borderId="156" applyNumberFormat="0" applyAlignment="0" applyProtection="0"/>
    <xf numFmtId="0" fontId="73" fillId="39" borderId="156" applyNumberFormat="0" applyAlignment="0" applyProtection="0"/>
    <xf numFmtId="0" fontId="72" fillId="0" borderId="137" applyNumberFormat="0" applyFill="0" applyAlignment="0" applyProtection="0"/>
    <xf numFmtId="0" fontId="110" fillId="38" borderId="136" applyNumberFormat="0" applyAlignment="0" applyProtection="0"/>
    <xf numFmtId="0" fontId="5" fillId="26" borderId="157" applyNumberFormat="0" applyFont="0" applyAlignment="0" applyProtection="0"/>
    <xf numFmtId="0" fontId="6"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73" fillId="39" borderId="156" applyNumberFormat="0" applyAlignment="0" applyProtection="0"/>
    <xf numFmtId="0" fontId="6" fillId="26" borderId="157" applyNumberFormat="0" applyFont="0" applyAlignment="0" applyProtection="0"/>
    <xf numFmtId="0" fontId="5" fillId="26" borderId="157" applyNumberFormat="0" applyFont="0" applyAlignment="0" applyProtection="0"/>
    <xf numFmtId="0" fontId="72" fillId="0" borderId="137" applyNumberFormat="0" applyFill="0" applyAlignment="0" applyProtection="0"/>
    <xf numFmtId="0" fontId="65" fillId="39" borderId="136" applyNumberFormat="0" applyAlignment="0" applyProtection="0"/>
    <xf numFmtId="0" fontId="65" fillId="39" borderId="136" applyNumberFormat="0" applyAlignment="0" applyProtection="0"/>
    <xf numFmtId="0" fontId="101" fillId="38" borderId="156" applyNumberFormat="0" applyAlignment="0" applyProtection="0"/>
    <xf numFmtId="0" fontId="101" fillId="38" borderId="156" applyNumberFormat="0" applyAlignment="0" applyProtection="0"/>
    <xf numFmtId="0" fontId="110" fillId="38" borderId="136" applyNumberFormat="0" applyAlignment="0" applyProtection="0"/>
    <xf numFmtId="0" fontId="5" fillId="26" borderId="157" applyNumberFormat="0" applyFont="0" applyAlignment="0" applyProtection="0"/>
    <xf numFmtId="0" fontId="110" fillId="38" borderId="136" applyNumberFormat="0" applyAlignment="0" applyProtection="0"/>
    <xf numFmtId="0" fontId="5" fillId="26" borderId="157" applyNumberFormat="0" applyFont="0" applyAlignment="0" applyProtection="0"/>
    <xf numFmtId="0" fontId="116" fillId="0" borderId="137" applyNumberFormat="0" applyFill="0" applyAlignment="0" applyProtection="0"/>
    <xf numFmtId="0" fontId="73" fillId="39" borderId="156" applyNumberFormat="0" applyAlignment="0" applyProtection="0"/>
    <xf numFmtId="0" fontId="62" fillId="23" borderId="156" applyNumberFormat="0" applyAlignment="0" applyProtection="0"/>
    <xf numFmtId="0" fontId="72" fillId="0" borderId="137" applyNumberFormat="0" applyFill="0" applyAlignment="0" applyProtection="0"/>
    <xf numFmtId="0" fontId="62" fillId="23" borderId="156" applyNumberFormat="0" applyAlignment="0" applyProtection="0"/>
    <xf numFmtId="0" fontId="5" fillId="26" borderId="157" applyNumberFormat="0" applyFont="0" applyAlignment="0" applyProtection="0"/>
    <xf numFmtId="0" fontId="5" fillId="26" borderId="157" applyNumberFormat="0" applyFont="0" applyAlignment="0" applyProtection="0"/>
    <xf numFmtId="10" fontId="36" fillId="16" borderId="138" applyNumberFormat="0" applyBorder="0" applyAlignment="0" applyProtection="0"/>
    <xf numFmtId="0" fontId="73" fillId="39" borderId="156" applyNumberFormat="0" applyAlignment="0" applyProtection="0"/>
    <xf numFmtId="0" fontId="5" fillId="26" borderId="157" applyNumberFormat="0" applyFont="0" applyAlignment="0" applyProtection="0"/>
    <xf numFmtId="0" fontId="5" fillId="26" borderId="157" applyNumberFormat="0" applyFont="0" applyAlignment="0" applyProtection="0"/>
    <xf numFmtId="0" fontId="18" fillId="15" borderId="129" applyFill="0" applyBorder="0" applyAlignment="0" applyProtection="0">
      <alignment vertical="center"/>
      <protection locked="0"/>
    </xf>
    <xf numFmtId="0" fontId="116" fillId="0" borderId="137" applyNumberFormat="0" applyFill="0" applyAlignment="0" applyProtection="0"/>
    <xf numFmtId="0" fontId="5" fillId="26" borderId="157" applyNumberFormat="0" applyFont="0" applyAlignment="0" applyProtection="0"/>
    <xf numFmtId="0" fontId="5" fillId="26" borderId="157" applyNumberFormat="0" applyFont="0" applyAlignment="0" applyProtection="0"/>
    <xf numFmtId="0" fontId="110" fillId="38" borderId="136" applyNumberFormat="0" applyAlignment="0" applyProtection="0"/>
    <xf numFmtId="0" fontId="5" fillId="26" borderId="157" applyNumberFormat="0" applyFont="0" applyAlignment="0" applyProtection="0"/>
    <xf numFmtId="0" fontId="62" fillId="29" borderId="156" applyNumberFormat="0" applyAlignment="0" applyProtection="0"/>
    <xf numFmtId="0" fontId="101" fillId="38" borderId="156" applyNumberFormat="0" applyAlignment="0" applyProtection="0"/>
    <xf numFmtId="0" fontId="5" fillId="26" borderId="157" applyNumberFormat="0" applyFont="0" applyAlignment="0" applyProtection="0"/>
    <xf numFmtId="0" fontId="72" fillId="0" borderId="137" applyNumberFormat="0" applyFill="0" applyAlignment="0" applyProtection="0"/>
    <xf numFmtId="0" fontId="73" fillId="39" borderId="156" applyNumberFormat="0" applyAlignment="0" applyProtection="0"/>
    <xf numFmtId="0" fontId="59" fillId="38" borderId="156" applyNumberFormat="0" applyAlignment="0" applyProtection="0"/>
    <xf numFmtId="0" fontId="104" fillId="23" borderId="156" applyNumberFormat="0" applyAlignment="0" applyProtection="0"/>
    <xf numFmtId="0" fontId="72" fillId="0" borderId="137" applyNumberFormat="0" applyFill="0" applyAlignment="0" applyProtection="0"/>
    <xf numFmtId="0" fontId="62" fillId="23" borderId="156" applyNumberFormat="0" applyAlignment="0" applyProtection="0"/>
    <xf numFmtId="0" fontId="5" fillId="26" borderId="157" applyNumberFormat="0" applyFont="0" applyAlignment="0" applyProtection="0"/>
    <xf numFmtId="0" fontId="116" fillId="0" borderId="137" applyNumberFormat="0" applyFill="0" applyAlignment="0" applyProtection="0"/>
    <xf numFmtId="0" fontId="5" fillId="26" borderId="157" applyNumberFormat="0" applyFont="0" applyAlignment="0" applyProtection="0"/>
    <xf numFmtId="0" fontId="110" fillId="38" borderId="136" applyNumberFormat="0" applyAlignment="0" applyProtection="0"/>
    <xf numFmtId="0" fontId="6" fillId="26" borderId="157" applyNumberFormat="0" applyFont="0" applyAlignment="0" applyProtection="0"/>
    <xf numFmtId="0" fontId="6" fillId="26" borderId="157" applyNumberFormat="0" applyFont="0" applyAlignment="0" applyProtection="0"/>
    <xf numFmtId="0" fontId="59" fillId="38" borderId="156" applyNumberFormat="0" applyAlignment="0" applyProtection="0"/>
    <xf numFmtId="0" fontId="101" fillId="38" borderId="156" applyNumberFormat="0" applyAlignment="0" applyProtection="0"/>
    <xf numFmtId="0" fontId="65" fillId="39" borderId="136" applyNumberFormat="0" applyAlignment="0" applyProtection="0"/>
    <xf numFmtId="0" fontId="5" fillId="26" borderId="157" applyNumberFormat="0" applyFont="0" applyAlignment="0" applyProtection="0"/>
    <xf numFmtId="0" fontId="73" fillId="39" borderId="156" applyNumberFormat="0" applyAlignment="0" applyProtection="0"/>
    <xf numFmtId="0" fontId="116" fillId="0" borderId="137" applyNumberFormat="0" applyFill="0" applyAlignment="0" applyProtection="0"/>
    <xf numFmtId="0" fontId="65" fillId="39" borderId="136" applyNumberFormat="0" applyAlignment="0" applyProtection="0"/>
    <xf numFmtId="0" fontId="110" fillId="38" borderId="136" applyNumberFormat="0" applyAlignment="0" applyProtection="0"/>
    <xf numFmtId="0" fontId="62" fillId="23" borderId="156" applyNumberFormat="0" applyAlignment="0" applyProtection="0"/>
    <xf numFmtId="0" fontId="5" fillId="26" borderId="157" applyNumberFormat="0" applyFont="0" applyAlignment="0" applyProtection="0"/>
    <xf numFmtId="0" fontId="104" fillId="23" borderId="156" applyNumberFormat="0" applyAlignment="0" applyProtection="0"/>
    <xf numFmtId="0" fontId="62" fillId="23" borderId="156" applyNumberFormat="0" applyAlignment="0" applyProtection="0"/>
    <xf numFmtId="0" fontId="6" fillId="26" borderId="157" applyNumberFormat="0" applyFont="0" applyAlignment="0" applyProtection="0"/>
    <xf numFmtId="0" fontId="5" fillId="26" borderId="157" applyNumberFormat="0" applyFont="0" applyAlignment="0" applyProtection="0"/>
    <xf numFmtId="0" fontId="62" fillId="29" borderId="156" applyNumberFormat="0" applyAlignment="0" applyProtection="0"/>
    <xf numFmtId="0" fontId="116" fillId="0" borderId="137" applyNumberFormat="0" applyFill="0" applyAlignment="0" applyProtection="0"/>
    <xf numFmtId="0" fontId="73" fillId="39" borderId="156" applyNumberFormat="0" applyAlignment="0" applyProtection="0"/>
    <xf numFmtId="0" fontId="110" fillId="38" borderId="136" applyNumberFormat="0" applyAlignment="0" applyProtection="0"/>
    <xf numFmtId="0" fontId="62" fillId="23" borderId="156" applyNumberFormat="0" applyAlignment="0" applyProtection="0"/>
    <xf numFmtId="0" fontId="72" fillId="0" borderId="137" applyNumberFormat="0" applyFill="0" applyAlignment="0" applyProtection="0"/>
    <xf numFmtId="0" fontId="5"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104" fillId="23" borderId="156" applyNumberFormat="0" applyAlignment="0" applyProtection="0"/>
    <xf numFmtId="0" fontId="62" fillId="23" borderId="156" applyNumberFormat="0" applyAlignment="0" applyProtection="0"/>
    <xf numFmtId="0" fontId="6" fillId="26" borderId="157" applyNumberFormat="0" applyFont="0" applyAlignment="0" applyProtection="0"/>
    <xf numFmtId="0" fontId="5" fillId="26" borderId="157" applyNumberFormat="0" applyFont="0" applyAlignment="0" applyProtection="0"/>
    <xf numFmtId="0" fontId="62" fillId="29" borderId="156" applyNumberFormat="0" applyAlignment="0" applyProtection="0"/>
    <xf numFmtId="0" fontId="116" fillId="0" borderId="137" applyNumberFormat="0" applyFill="0" applyAlignment="0" applyProtection="0"/>
    <xf numFmtId="0" fontId="73" fillId="39" borderId="156" applyNumberFormat="0" applyAlignment="0" applyProtection="0"/>
    <xf numFmtId="0" fontId="110" fillId="38" borderId="136" applyNumberFormat="0" applyAlignment="0" applyProtection="0"/>
    <xf numFmtId="0" fontId="62" fillId="23" borderId="156" applyNumberFormat="0" applyAlignment="0" applyProtection="0"/>
    <xf numFmtId="0" fontId="72" fillId="0" borderId="137" applyNumberFormat="0" applyFill="0" applyAlignment="0" applyProtection="0"/>
    <xf numFmtId="0" fontId="5" fillId="26" borderId="157" applyNumberFormat="0" applyFont="0" applyAlignment="0" applyProtection="0"/>
    <xf numFmtId="0" fontId="5" fillId="26" borderId="157" applyNumberFormat="0" applyFont="0" applyAlignment="0" applyProtection="0"/>
    <xf numFmtId="0" fontId="59" fillId="38" borderId="156" applyNumberFormat="0" applyAlignment="0" applyProtection="0"/>
    <xf numFmtId="0" fontId="101" fillId="38" borderId="156" applyNumberFormat="0" applyAlignment="0" applyProtection="0"/>
    <xf numFmtId="0" fontId="72" fillId="0" borderId="137" applyNumberFormat="0" applyFill="0" applyAlignment="0" applyProtection="0"/>
    <xf numFmtId="0" fontId="5"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110" fillId="38" borderId="136" applyNumberFormat="0" applyAlignment="0" applyProtection="0"/>
    <xf numFmtId="0" fontId="72" fillId="0" borderId="137" applyNumberFormat="0" applyFill="0" applyAlignment="0" applyProtection="0"/>
    <xf numFmtId="0" fontId="65" fillId="38" borderId="136" applyNumberFormat="0" applyAlignment="0" applyProtection="0"/>
    <xf numFmtId="0" fontId="116" fillId="0" borderId="137" applyNumberFormat="0" applyFill="0" applyAlignment="0" applyProtection="0"/>
    <xf numFmtId="0" fontId="62" fillId="23" borderId="156" applyNumberFormat="0" applyAlignment="0" applyProtection="0"/>
    <xf numFmtId="0" fontId="5" fillId="26" borderId="157" applyNumberFormat="0" applyFont="0" applyAlignment="0" applyProtection="0"/>
    <xf numFmtId="0" fontId="5" fillId="26" borderId="157" applyNumberFormat="0" applyFont="0" applyAlignment="0" applyProtection="0"/>
    <xf numFmtId="0" fontId="104" fillId="23" borderId="156" applyNumberFormat="0" applyAlignment="0" applyProtection="0"/>
    <xf numFmtId="0" fontId="65" fillId="38" borderId="136" applyNumberFormat="0" applyAlignment="0" applyProtection="0"/>
    <xf numFmtId="0" fontId="116" fillId="0" borderId="137" applyNumberFormat="0" applyFill="0" applyAlignment="0" applyProtection="0"/>
    <xf numFmtId="0" fontId="6" fillId="26" borderId="157" applyNumberFormat="0" applyFont="0" applyAlignment="0" applyProtection="0"/>
    <xf numFmtId="0" fontId="62" fillId="29" borderId="156" applyNumberFormat="0" applyAlignment="0" applyProtection="0"/>
    <xf numFmtId="0" fontId="5" fillId="26" borderId="157" applyNumberFormat="0" applyFont="0" applyAlignment="0" applyProtection="0"/>
    <xf numFmtId="0" fontId="62" fillId="23" borderId="156" applyNumberFormat="0" applyAlignment="0" applyProtection="0"/>
    <xf numFmtId="0" fontId="5" fillId="26" borderId="157" applyNumberFormat="0" applyFont="0" applyAlignment="0" applyProtection="0"/>
    <xf numFmtId="0" fontId="5" fillId="26" borderId="157" applyNumberFormat="0" applyFont="0" applyAlignment="0" applyProtection="0"/>
    <xf numFmtId="0" fontId="62" fillId="23" borderId="156" applyNumberFormat="0" applyAlignment="0" applyProtection="0"/>
    <xf numFmtId="0" fontId="65" fillId="38" borderId="136" applyNumberFormat="0" applyAlignment="0" applyProtection="0"/>
    <xf numFmtId="0" fontId="110" fillId="38" borderId="136" applyNumberFormat="0" applyAlignment="0" applyProtection="0"/>
    <xf numFmtId="0" fontId="101" fillId="38" borderId="156" applyNumberFormat="0" applyAlignment="0" applyProtection="0"/>
    <xf numFmtId="0" fontId="104" fillId="23" borderId="156" applyNumberFormat="0" applyAlignment="0" applyProtection="0"/>
    <xf numFmtId="0" fontId="116" fillId="0" borderId="137" applyNumberFormat="0" applyFill="0" applyAlignment="0" applyProtection="0"/>
    <xf numFmtId="0" fontId="101" fillId="38" borderId="156" applyNumberFormat="0" applyAlignment="0" applyProtection="0"/>
    <xf numFmtId="0" fontId="110" fillId="38" borderId="136" applyNumberFormat="0" applyAlignment="0" applyProtection="0"/>
    <xf numFmtId="0" fontId="110" fillId="38" borderId="136" applyNumberFormat="0" applyAlignment="0" applyProtection="0"/>
    <xf numFmtId="0" fontId="5" fillId="26" borderId="157" applyNumberFormat="0" applyFont="0" applyAlignment="0" applyProtection="0"/>
    <xf numFmtId="0" fontId="101" fillId="38" borderId="156" applyNumberFormat="0" applyAlignment="0" applyProtection="0"/>
    <xf numFmtId="0" fontId="6" fillId="26" borderId="157" applyNumberFormat="0" applyFont="0" applyAlignment="0" applyProtection="0"/>
    <xf numFmtId="0" fontId="5" fillId="26" borderId="157" applyNumberFormat="0" applyFont="0" applyAlignment="0" applyProtection="0"/>
    <xf numFmtId="0" fontId="116" fillId="0" borderId="137" applyNumberFormat="0" applyFill="0" applyAlignment="0" applyProtection="0"/>
    <xf numFmtId="0" fontId="5" fillId="26" borderId="157" applyNumberFormat="0" applyFont="0" applyAlignment="0" applyProtection="0"/>
    <xf numFmtId="0" fontId="62" fillId="23" borderId="156" applyNumberFormat="0" applyAlignment="0" applyProtection="0"/>
    <xf numFmtId="0" fontId="62" fillId="23" borderId="156" applyNumberFormat="0" applyAlignment="0" applyProtection="0"/>
    <xf numFmtId="0" fontId="62" fillId="23" borderId="156" applyNumberFormat="0" applyAlignment="0" applyProtection="0"/>
    <xf numFmtId="0" fontId="62" fillId="29" borderId="156" applyNumberFormat="0" applyAlignment="0" applyProtection="0"/>
    <xf numFmtId="0" fontId="62" fillId="23" borderId="156" applyNumberFormat="0" applyAlignment="0" applyProtection="0"/>
    <xf numFmtId="0" fontId="65" fillId="38" borderId="136" applyNumberFormat="0" applyAlignment="0" applyProtection="0"/>
    <xf numFmtId="0" fontId="6" fillId="26" borderId="157" applyNumberFormat="0" applyFont="0" applyAlignment="0" applyProtection="0"/>
    <xf numFmtId="0" fontId="5" fillId="26" borderId="157" applyNumberFormat="0" applyFont="0" applyAlignment="0" applyProtection="0"/>
    <xf numFmtId="0" fontId="104" fillId="23" borderId="156" applyNumberFormat="0" applyAlignment="0" applyProtection="0"/>
    <xf numFmtId="0" fontId="101" fillId="38" borderId="156" applyNumberFormat="0" applyAlignment="0" applyProtection="0"/>
    <xf numFmtId="0" fontId="6" fillId="26" borderId="157" applyNumberFormat="0" applyFont="0" applyAlignment="0" applyProtection="0"/>
    <xf numFmtId="0" fontId="5" fillId="26" borderId="157" applyNumberFormat="0" applyFont="0" applyAlignment="0" applyProtection="0"/>
    <xf numFmtId="0" fontId="62" fillId="29" borderId="156" applyNumberFormat="0" applyAlignment="0" applyProtection="0"/>
    <xf numFmtId="0" fontId="104" fillId="23" borderId="156" applyNumberFormat="0" applyAlignment="0" applyProtection="0"/>
    <xf numFmtId="0" fontId="65" fillId="39" borderId="136" applyNumberFormat="0" applyAlignment="0" applyProtection="0"/>
    <xf numFmtId="0" fontId="65" fillId="39" borderId="136" applyNumberFormat="0" applyAlignment="0" applyProtection="0"/>
    <xf numFmtId="0" fontId="5" fillId="26" borderId="157" applyNumberFormat="0" applyFont="0" applyAlignment="0" applyProtection="0"/>
    <xf numFmtId="0" fontId="65" fillId="39" borderId="136" applyNumberFormat="0" applyAlignment="0" applyProtection="0"/>
    <xf numFmtId="0" fontId="59" fillId="38" borderId="156" applyNumberFormat="0" applyAlignment="0" applyProtection="0"/>
    <xf numFmtId="0" fontId="110" fillId="38" borderId="136" applyNumberFormat="0" applyAlignment="0" applyProtection="0"/>
    <xf numFmtId="0" fontId="116" fillId="0" borderId="137" applyNumberFormat="0" applyFill="0" applyAlignment="0" applyProtection="0"/>
    <xf numFmtId="0" fontId="5" fillId="26" borderId="157" applyNumberFormat="0" applyFont="0" applyAlignment="0" applyProtection="0"/>
    <xf numFmtId="0" fontId="62" fillId="23" borderId="156" applyNumberFormat="0" applyAlignment="0" applyProtection="0"/>
    <xf numFmtId="0" fontId="6" fillId="26" borderId="157" applyNumberFormat="0" applyFont="0" applyAlignment="0" applyProtection="0"/>
    <xf numFmtId="0" fontId="73" fillId="39" borderId="156" applyNumberFormat="0" applyAlignment="0" applyProtection="0"/>
    <xf numFmtId="0" fontId="5" fillId="26" borderId="157" applyNumberFormat="0" applyFont="0" applyAlignment="0" applyProtection="0"/>
    <xf numFmtId="0" fontId="73" fillId="39" borderId="156" applyNumberFormat="0" applyAlignment="0" applyProtection="0"/>
    <xf numFmtId="0" fontId="65" fillId="38" borderId="136" applyNumberFormat="0" applyAlignment="0" applyProtection="0"/>
    <xf numFmtId="0" fontId="65" fillId="38" borderId="136" applyNumberFormat="0" applyAlignment="0" applyProtection="0"/>
    <xf numFmtId="0" fontId="59" fillId="38" borderId="156" applyNumberFormat="0" applyAlignment="0" applyProtection="0"/>
    <xf numFmtId="0" fontId="5" fillId="26" borderId="157" applyNumberFormat="0" applyFont="0" applyAlignment="0" applyProtection="0"/>
    <xf numFmtId="0" fontId="104" fillId="23" borderId="156" applyNumberFormat="0" applyAlignment="0" applyProtection="0"/>
    <xf numFmtId="0" fontId="5" fillId="26" borderId="157" applyNumberFormat="0" applyFont="0" applyAlignment="0" applyProtection="0"/>
    <xf numFmtId="0" fontId="5" fillId="26" borderId="157" applyNumberFormat="0" applyFont="0" applyAlignment="0" applyProtection="0"/>
    <xf numFmtId="0" fontId="65" fillId="39" borderId="136" applyNumberFormat="0" applyAlignment="0" applyProtection="0"/>
    <xf numFmtId="0" fontId="104" fillId="23" borderId="156" applyNumberFormat="0" applyAlignment="0" applyProtection="0"/>
    <xf numFmtId="0" fontId="65" fillId="38" borderId="136" applyNumberFormat="0" applyAlignment="0" applyProtection="0"/>
    <xf numFmtId="0" fontId="62" fillId="29" borderId="156" applyNumberFormat="0" applyAlignment="0" applyProtection="0"/>
    <xf numFmtId="0" fontId="65" fillId="38" borderId="136" applyNumberFormat="0" applyAlignment="0" applyProtection="0"/>
    <xf numFmtId="0" fontId="62" fillId="23" borderId="156" applyNumberFormat="0" applyAlignment="0" applyProtection="0"/>
    <xf numFmtId="0" fontId="110" fillId="38" borderId="136" applyNumberFormat="0" applyAlignment="0" applyProtection="0"/>
    <xf numFmtId="0" fontId="104" fillId="23" borderId="156" applyNumberFormat="0" applyAlignment="0" applyProtection="0"/>
    <xf numFmtId="0" fontId="73" fillId="39" borderId="156" applyNumberFormat="0" applyAlignment="0" applyProtection="0"/>
    <xf numFmtId="0" fontId="6" fillId="26" borderId="157" applyNumberFormat="0" applyFont="0" applyAlignment="0" applyProtection="0"/>
    <xf numFmtId="0" fontId="5" fillId="26" borderId="157" applyNumberFormat="0" applyFont="0" applyAlignment="0" applyProtection="0"/>
    <xf numFmtId="0" fontId="62" fillId="29" borderId="156" applyNumberFormat="0" applyAlignment="0" applyProtection="0"/>
    <xf numFmtId="0" fontId="65" fillId="39" borderId="136" applyNumberFormat="0" applyAlignment="0" applyProtection="0"/>
    <xf numFmtId="0" fontId="5" fillId="26" borderId="157" applyNumberFormat="0" applyFont="0" applyAlignment="0" applyProtection="0"/>
    <xf numFmtId="0" fontId="65" fillId="39" borderId="136" applyNumberFormat="0" applyAlignment="0" applyProtection="0"/>
    <xf numFmtId="0" fontId="104" fillId="23" borderId="156" applyNumberFormat="0" applyAlignment="0" applyProtection="0"/>
    <xf numFmtId="0" fontId="62" fillId="23" borderId="156" applyNumberFormat="0" applyAlignment="0" applyProtection="0"/>
    <xf numFmtId="0" fontId="110" fillId="38" borderId="136" applyNumberFormat="0" applyAlignment="0" applyProtection="0"/>
    <xf numFmtId="0" fontId="62" fillId="29" borderId="156" applyNumberFormat="0" applyAlignment="0" applyProtection="0"/>
    <xf numFmtId="0" fontId="65" fillId="38" borderId="136" applyNumberFormat="0" applyAlignment="0" applyProtection="0"/>
    <xf numFmtId="0" fontId="5"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62" fillId="23" borderId="156" applyNumberFormat="0" applyAlignment="0" applyProtection="0"/>
    <xf numFmtId="0" fontId="5" fillId="26" borderId="157" applyNumberFormat="0" applyFont="0" applyAlignment="0" applyProtection="0"/>
    <xf numFmtId="0" fontId="6" fillId="26" borderId="157" applyNumberFormat="0" applyFont="0" applyAlignment="0" applyProtection="0"/>
    <xf numFmtId="0" fontId="65" fillId="39" borderId="136" applyNumberFormat="0" applyAlignment="0" applyProtection="0"/>
    <xf numFmtId="0" fontId="62" fillId="23" borderId="156" applyNumberFormat="0" applyAlignment="0" applyProtection="0"/>
    <xf numFmtId="0" fontId="101" fillId="38" borderId="156" applyNumberFormat="0" applyAlignment="0" applyProtection="0"/>
    <xf numFmtId="10" fontId="36" fillId="16" borderId="138" applyNumberFormat="0" applyBorder="0" applyAlignment="0" applyProtection="0"/>
    <xf numFmtId="0" fontId="5" fillId="26" borderId="157" applyNumberFormat="0" applyFont="0" applyAlignment="0" applyProtection="0"/>
    <xf numFmtId="0" fontId="116" fillId="0" borderId="137" applyNumberFormat="0" applyFill="0" applyAlignment="0" applyProtection="0"/>
    <xf numFmtId="0" fontId="110" fillId="38" borderId="136" applyNumberFormat="0" applyAlignment="0" applyProtection="0"/>
    <xf numFmtId="0" fontId="5" fillId="26" borderId="157" applyNumberFormat="0" applyFont="0" applyAlignment="0" applyProtection="0"/>
    <xf numFmtId="0" fontId="5" fillId="26" borderId="157" applyNumberFormat="0" applyFont="0" applyAlignment="0" applyProtection="0"/>
    <xf numFmtId="0" fontId="72" fillId="0" borderId="137" applyNumberFormat="0" applyFill="0" applyAlignment="0" applyProtection="0"/>
    <xf numFmtId="0" fontId="116" fillId="0" borderId="137" applyNumberFormat="0" applyFill="0" applyAlignment="0" applyProtection="0"/>
    <xf numFmtId="10" fontId="36" fillId="16" borderId="138" applyNumberFormat="0" applyBorder="0" applyAlignment="0" applyProtection="0"/>
    <xf numFmtId="0" fontId="110" fillId="38" borderId="136" applyNumberFormat="0" applyAlignment="0" applyProtection="0"/>
    <xf numFmtId="0" fontId="5" fillId="26" borderId="157" applyNumberFormat="0" applyFont="0" applyAlignment="0" applyProtection="0"/>
    <xf numFmtId="0" fontId="62" fillId="23" borderId="156" applyNumberFormat="0" applyAlignment="0" applyProtection="0"/>
    <xf numFmtId="0" fontId="101" fillId="38" borderId="156" applyNumberFormat="0" applyAlignment="0" applyProtection="0"/>
    <xf numFmtId="0" fontId="5" fillId="26" borderId="157" applyNumberFormat="0" applyFont="0" applyAlignment="0" applyProtection="0"/>
    <xf numFmtId="0" fontId="6"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59" fillId="38" borderId="156" applyNumberFormat="0" applyAlignment="0" applyProtection="0"/>
    <xf numFmtId="0" fontId="5" fillId="26" borderId="157" applyNumberFormat="0" applyFont="0" applyAlignment="0" applyProtection="0"/>
    <xf numFmtId="0" fontId="62" fillId="23" borderId="156" applyNumberFormat="0" applyAlignment="0" applyProtection="0"/>
    <xf numFmtId="0" fontId="6" fillId="26" borderId="157" applyNumberFormat="0" applyFont="0" applyAlignment="0" applyProtection="0"/>
    <xf numFmtId="0" fontId="72" fillId="0" borderId="137" applyNumberFormat="0" applyFill="0" applyAlignment="0" applyProtection="0"/>
    <xf numFmtId="0" fontId="59" fillId="38" borderId="156" applyNumberFormat="0" applyAlignment="0" applyProtection="0"/>
    <xf numFmtId="0" fontId="104" fillId="23" borderId="156" applyNumberFormat="0" applyAlignment="0" applyProtection="0"/>
    <xf numFmtId="0" fontId="65" fillId="39" borderId="136" applyNumberFormat="0" applyAlignment="0" applyProtection="0"/>
    <xf numFmtId="0" fontId="5"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116" fillId="0" borderId="137" applyNumberFormat="0" applyFill="0" applyAlignment="0" applyProtection="0"/>
    <xf numFmtId="0" fontId="72" fillId="0" borderId="137" applyNumberFormat="0" applyFill="0" applyAlignment="0" applyProtection="0"/>
    <xf numFmtId="0" fontId="5" fillId="26" borderId="157" applyNumberFormat="0" applyFont="0" applyAlignment="0" applyProtection="0"/>
    <xf numFmtId="0" fontId="62" fillId="23" borderId="156" applyNumberFormat="0" applyAlignment="0" applyProtection="0"/>
    <xf numFmtId="0" fontId="18" fillId="15" borderId="129" applyFill="0" applyBorder="0" applyAlignment="0" applyProtection="0">
      <alignment vertical="center"/>
      <protection locked="0"/>
    </xf>
    <xf numFmtId="0" fontId="5" fillId="26" borderId="157" applyNumberFormat="0" applyFont="0" applyAlignment="0" applyProtection="0"/>
    <xf numFmtId="0" fontId="18" fillId="15" borderId="129" applyFill="0" applyBorder="0" applyAlignment="0" applyProtection="0">
      <alignment vertical="center"/>
      <protection locked="0"/>
    </xf>
    <xf numFmtId="0" fontId="59" fillId="38" borderId="156" applyNumberFormat="0" applyAlignment="0" applyProtection="0"/>
    <xf numFmtId="0" fontId="62" fillId="29" borderId="156" applyNumberFormat="0" applyAlignment="0" applyProtection="0"/>
    <xf numFmtId="0" fontId="110" fillId="38" borderId="136" applyNumberFormat="0" applyAlignment="0" applyProtection="0"/>
    <xf numFmtId="0" fontId="62" fillId="23" borderId="156" applyNumberFormat="0" applyAlignment="0" applyProtection="0"/>
    <xf numFmtId="10" fontId="36" fillId="16" borderId="138" applyNumberFormat="0" applyBorder="0" applyAlignment="0" applyProtection="0"/>
    <xf numFmtId="0" fontId="101" fillId="38" borderId="156" applyNumberFormat="0" applyAlignment="0" applyProtection="0"/>
    <xf numFmtId="0" fontId="5" fillId="26" borderId="157" applyNumberFormat="0" applyFont="0" applyAlignment="0" applyProtection="0"/>
    <xf numFmtId="0" fontId="18" fillId="15" borderId="129" applyFill="0" applyBorder="0" applyAlignment="0" applyProtection="0">
      <alignment vertical="center"/>
      <protection locked="0"/>
    </xf>
    <xf numFmtId="0" fontId="5" fillId="26" borderId="157" applyNumberFormat="0" applyFont="0" applyAlignment="0" applyProtection="0"/>
    <xf numFmtId="0" fontId="62" fillId="29" borderId="156" applyNumberFormat="0" applyAlignment="0" applyProtection="0"/>
    <xf numFmtId="0" fontId="116" fillId="0" borderId="137" applyNumberFormat="0" applyFill="0" applyAlignment="0" applyProtection="0"/>
    <xf numFmtId="0" fontId="62" fillId="29" borderId="156" applyNumberFormat="0" applyAlignment="0" applyProtection="0"/>
    <xf numFmtId="0" fontId="101" fillId="38" borderId="156" applyNumberFormat="0" applyAlignment="0" applyProtection="0"/>
    <xf numFmtId="0" fontId="65" fillId="38" borderId="136" applyNumberFormat="0" applyAlignment="0" applyProtection="0"/>
    <xf numFmtId="0" fontId="59" fillId="38" borderId="156" applyNumberFormat="0" applyAlignment="0" applyProtection="0"/>
    <xf numFmtId="0" fontId="5" fillId="26" borderId="157" applyNumberFormat="0" applyFont="0" applyAlignment="0" applyProtection="0"/>
    <xf numFmtId="0" fontId="73" fillId="39" borderId="156" applyNumberFormat="0" applyAlignment="0" applyProtection="0"/>
    <xf numFmtId="0" fontId="110" fillId="38" borderId="136" applyNumberFormat="0" applyAlignment="0" applyProtection="0"/>
    <xf numFmtId="0" fontId="6" fillId="26" borderId="157" applyNumberFormat="0" applyFont="0" applyAlignment="0" applyProtection="0"/>
    <xf numFmtId="0" fontId="104" fillId="23" borderId="156" applyNumberFormat="0" applyAlignment="0" applyProtection="0"/>
    <xf numFmtId="0" fontId="101" fillId="38" borderId="156" applyNumberFormat="0" applyAlignment="0" applyProtection="0"/>
    <xf numFmtId="0" fontId="5" fillId="26" borderId="157" applyNumberFormat="0" applyFont="0" applyAlignment="0" applyProtection="0"/>
    <xf numFmtId="0" fontId="36" fillId="0" borderId="129" applyBorder="0">
      <alignment horizontal="left" vertical="center" wrapText="1" indent="3"/>
      <protection locked="0"/>
    </xf>
    <xf numFmtId="0" fontId="5" fillId="26" borderId="157" applyNumberFormat="0" applyFont="0" applyAlignment="0" applyProtection="0"/>
    <xf numFmtId="0" fontId="6" fillId="26" borderId="157" applyNumberFormat="0" applyFont="0" applyAlignment="0" applyProtection="0"/>
    <xf numFmtId="0" fontId="73" fillId="39" borderId="156" applyNumberFormat="0" applyAlignment="0" applyProtection="0"/>
    <xf numFmtId="0" fontId="6" fillId="26" borderId="157" applyNumberFormat="0" applyFont="0" applyAlignment="0" applyProtection="0"/>
    <xf numFmtId="0" fontId="73" fillId="39" borderId="156" applyNumberFormat="0" applyAlignment="0" applyProtection="0"/>
    <xf numFmtId="0" fontId="5" fillId="26" borderId="157" applyNumberFormat="0" applyFont="0" applyAlignment="0" applyProtection="0"/>
    <xf numFmtId="0" fontId="5" fillId="26" borderId="157" applyNumberFormat="0" applyFont="0" applyAlignment="0" applyProtection="0"/>
    <xf numFmtId="0" fontId="65" fillId="39" borderId="136" applyNumberFormat="0" applyAlignment="0" applyProtection="0"/>
    <xf numFmtId="0" fontId="104" fillId="23" borderId="156" applyNumberFormat="0" applyAlignment="0" applyProtection="0"/>
    <xf numFmtId="0" fontId="65" fillId="39" borderId="136" applyNumberFormat="0" applyAlignment="0" applyProtection="0"/>
    <xf numFmtId="0" fontId="5" fillId="26" borderId="157" applyNumberFormat="0" applyFont="0" applyAlignment="0" applyProtection="0"/>
    <xf numFmtId="0" fontId="5" fillId="26" borderId="157" applyNumberFormat="0" applyFont="0" applyAlignment="0" applyProtection="0"/>
    <xf numFmtId="0" fontId="18" fillId="15" borderId="129" applyFill="0" applyBorder="0" applyAlignment="0" applyProtection="0">
      <alignment vertical="center"/>
      <protection locked="0"/>
    </xf>
    <xf numFmtId="0" fontId="5" fillId="26" borderId="157" applyNumberFormat="0" applyFont="0" applyAlignment="0" applyProtection="0"/>
    <xf numFmtId="0" fontId="36" fillId="0" borderId="129" applyBorder="0">
      <alignment horizontal="left" vertical="center" wrapText="1" indent="3"/>
      <protection locked="0"/>
    </xf>
    <xf numFmtId="0" fontId="18" fillId="15" borderId="129" applyFill="0" applyBorder="0" applyAlignment="0" applyProtection="0">
      <alignment vertical="center"/>
      <protection locked="0"/>
    </xf>
    <xf numFmtId="0" fontId="116" fillId="0" borderId="137" applyNumberFormat="0" applyFill="0" applyAlignment="0" applyProtection="0"/>
    <xf numFmtId="0" fontId="5" fillId="26" borderId="157" applyNumberFormat="0" applyFont="0" applyAlignment="0" applyProtection="0"/>
    <xf numFmtId="0" fontId="6" fillId="26" borderId="157" applyNumberFormat="0" applyFont="0" applyAlignment="0" applyProtection="0"/>
    <xf numFmtId="0" fontId="72" fillId="0" borderId="137" applyNumberFormat="0" applyFill="0" applyAlignment="0" applyProtection="0"/>
    <xf numFmtId="0" fontId="36" fillId="0" borderId="129" applyBorder="0">
      <alignment horizontal="left" vertical="center" wrapText="1" indent="2"/>
      <protection locked="0"/>
    </xf>
    <xf numFmtId="0" fontId="59" fillId="38" borderId="156" applyNumberFormat="0" applyAlignment="0" applyProtection="0"/>
    <xf numFmtId="0" fontId="62" fillId="23" borderId="156" applyNumberFormat="0" applyAlignment="0" applyProtection="0"/>
    <xf numFmtId="0" fontId="5" fillId="26" borderId="157" applyNumberFormat="0" applyFont="0" applyAlignment="0" applyProtection="0"/>
    <xf numFmtId="0" fontId="36" fillId="0" borderId="129" applyBorder="0">
      <alignment horizontal="left" vertical="center" wrapText="1" indent="3"/>
      <protection locked="0"/>
    </xf>
    <xf numFmtId="0" fontId="110" fillId="38" borderId="136" applyNumberFormat="0" applyAlignment="0" applyProtection="0"/>
    <xf numFmtId="0" fontId="36" fillId="0" borderId="129" applyBorder="0">
      <alignment horizontal="left" vertical="center" wrapText="1" indent="2"/>
      <protection locked="0"/>
    </xf>
    <xf numFmtId="0" fontId="65" fillId="38" borderId="136" applyNumberFormat="0" applyAlignment="0" applyProtection="0"/>
    <xf numFmtId="0" fontId="59" fillId="38" borderId="156" applyNumberFormat="0" applyAlignment="0" applyProtection="0"/>
    <xf numFmtId="0" fontId="72" fillId="0" borderId="137" applyNumberFormat="0" applyFill="0" applyAlignment="0" applyProtection="0"/>
    <xf numFmtId="0" fontId="65" fillId="38" borderId="136" applyNumberFormat="0" applyAlignment="0" applyProtection="0"/>
    <xf numFmtId="0" fontId="110" fillId="38" borderId="136" applyNumberFormat="0" applyAlignment="0" applyProtection="0"/>
    <xf numFmtId="10" fontId="36" fillId="16" borderId="160" applyNumberFormat="0" applyBorder="0" applyAlignment="0" applyProtection="0"/>
    <xf numFmtId="0" fontId="59" fillId="38" borderId="156" applyNumberFormat="0" applyAlignment="0" applyProtection="0"/>
    <xf numFmtId="0" fontId="110" fillId="38" borderId="136" applyNumberFormat="0" applyAlignment="0" applyProtection="0"/>
    <xf numFmtId="0" fontId="73" fillId="39" borderId="156" applyNumberFormat="0" applyAlignment="0" applyProtection="0"/>
    <xf numFmtId="0" fontId="104" fillId="23" borderId="156" applyNumberFormat="0" applyAlignment="0" applyProtection="0"/>
    <xf numFmtId="0" fontId="65" fillId="39" borderId="136" applyNumberFormat="0" applyAlignment="0" applyProtection="0"/>
    <xf numFmtId="0" fontId="65" fillId="39" borderId="136" applyNumberFormat="0" applyAlignment="0" applyProtection="0"/>
    <xf numFmtId="0" fontId="5" fillId="26" borderId="157" applyNumberFormat="0" applyFont="0" applyAlignment="0" applyProtection="0"/>
    <xf numFmtId="0" fontId="62" fillId="23" borderId="156" applyNumberFormat="0" applyAlignment="0" applyProtection="0"/>
    <xf numFmtId="0" fontId="65" fillId="38" borderId="136" applyNumberFormat="0" applyAlignment="0" applyProtection="0"/>
    <xf numFmtId="0" fontId="110" fillId="38" borderId="136" applyNumberFormat="0" applyAlignment="0" applyProtection="0"/>
    <xf numFmtId="0" fontId="72" fillId="0" borderId="137" applyNumberFormat="0" applyFill="0" applyAlignment="0" applyProtection="0"/>
    <xf numFmtId="0" fontId="6" fillId="26" borderId="157" applyNumberFormat="0" applyFont="0" applyAlignment="0" applyProtection="0"/>
    <xf numFmtId="0" fontId="5" fillId="26" borderId="157" applyNumberFormat="0" applyFont="0" applyAlignment="0" applyProtection="0"/>
    <xf numFmtId="0" fontId="36" fillId="0" borderId="129" applyBorder="0">
      <alignment horizontal="left" vertical="center" wrapText="1" indent="3"/>
      <protection locked="0"/>
    </xf>
    <xf numFmtId="0" fontId="62" fillId="23" borderId="156" applyNumberFormat="0" applyAlignment="0" applyProtection="0"/>
    <xf numFmtId="0" fontId="62" fillId="23" borderId="156" applyNumberFormat="0" applyAlignment="0" applyProtection="0"/>
    <xf numFmtId="0" fontId="65" fillId="38" borderId="136" applyNumberFormat="0" applyAlignment="0" applyProtection="0"/>
    <xf numFmtId="0" fontId="5" fillId="26" borderId="157" applyNumberFormat="0" applyFont="0" applyAlignment="0" applyProtection="0"/>
    <xf numFmtId="0" fontId="116" fillId="0" borderId="137" applyNumberFormat="0" applyFill="0" applyAlignment="0" applyProtection="0"/>
    <xf numFmtId="0" fontId="5" fillId="26" borderId="157" applyNumberFormat="0" applyFont="0" applyAlignment="0" applyProtection="0"/>
    <xf numFmtId="0" fontId="36" fillId="0" borderId="129" applyBorder="0">
      <alignment horizontal="left" vertical="center" wrapText="1" indent="3"/>
      <protection locked="0"/>
    </xf>
    <xf numFmtId="0" fontId="5" fillId="26" borderId="157" applyNumberFormat="0" applyFont="0" applyAlignment="0" applyProtection="0"/>
    <xf numFmtId="0" fontId="5" fillId="26" borderId="157" applyNumberFormat="0" applyFont="0" applyAlignment="0" applyProtection="0"/>
    <xf numFmtId="0" fontId="36" fillId="0" borderId="129" applyBorder="0">
      <alignment horizontal="left" vertical="center" wrapText="1" indent="2"/>
      <protection locked="0"/>
    </xf>
    <xf numFmtId="0" fontId="62" fillId="29" borderId="156" applyNumberFormat="0" applyAlignment="0" applyProtection="0"/>
    <xf numFmtId="0" fontId="72" fillId="0" borderId="137" applyNumberFormat="0" applyFill="0" applyAlignment="0" applyProtection="0"/>
    <xf numFmtId="0" fontId="6" fillId="26" borderId="157" applyNumberFormat="0" applyFont="0" applyAlignment="0" applyProtection="0"/>
    <xf numFmtId="0" fontId="116" fillId="0" borderId="137" applyNumberFormat="0" applyFill="0" applyAlignment="0" applyProtection="0"/>
    <xf numFmtId="0" fontId="72" fillId="0" borderId="137" applyNumberFormat="0" applyFill="0" applyAlignment="0" applyProtection="0"/>
    <xf numFmtId="10" fontId="36" fillId="16" borderId="138" applyNumberFormat="0" applyBorder="0" applyAlignment="0" applyProtection="0"/>
    <xf numFmtId="0" fontId="5" fillId="26" borderId="157" applyNumberFormat="0" applyFont="0" applyAlignment="0" applyProtection="0"/>
    <xf numFmtId="0" fontId="73" fillId="39" borderId="156" applyNumberFormat="0" applyAlignment="0" applyProtection="0"/>
    <xf numFmtId="0" fontId="59" fillId="38" borderId="156" applyNumberFormat="0" applyAlignment="0" applyProtection="0"/>
    <xf numFmtId="0" fontId="104" fillId="23" borderId="156" applyNumberFormat="0" applyAlignment="0" applyProtection="0"/>
    <xf numFmtId="0" fontId="73" fillId="39" borderId="156" applyNumberFormat="0" applyAlignment="0" applyProtection="0"/>
    <xf numFmtId="0" fontId="65" fillId="39" borderId="136" applyNumberFormat="0" applyAlignment="0" applyProtection="0"/>
    <xf numFmtId="0" fontId="5" fillId="26" borderId="157" applyNumberFormat="0" applyFont="0" applyAlignment="0" applyProtection="0"/>
    <xf numFmtId="10" fontId="36" fillId="16" borderId="138" applyNumberFormat="0" applyBorder="0" applyAlignment="0" applyProtection="0"/>
    <xf numFmtId="0" fontId="101" fillId="38" borderId="156" applyNumberFormat="0" applyAlignment="0" applyProtection="0"/>
    <xf numFmtId="0" fontId="6" fillId="26" borderId="157" applyNumberFormat="0" applyFont="0" applyAlignment="0" applyProtection="0"/>
    <xf numFmtId="0" fontId="72" fillId="0" borderId="137" applyNumberFormat="0" applyFill="0" applyAlignment="0" applyProtection="0"/>
    <xf numFmtId="0" fontId="5" fillId="26" borderId="157" applyNumberFormat="0" applyFont="0" applyAlignment="0" applyProtection="0"/>
    <xf numFmtId="0" fontId="62" fillId="23" borderId="156" applyNumberFormat="0" applyAlignment="0" applyProtection="0"/>
    <xf numFmtId="0" fontId="5" fillId="26" borderId="157" applyNumberFormat="0" applyFont="0" applyAlignment="0" applyProtection="0"/>
    <xf numFmtId="0" fontId="5" fillId="26" borderId="157" applyNumberFormat="0" applyFont="0" applyAlignment="0" applyProtection="0"/>
    <xf numFmtId="0" fontId="18" fillId="15" borderId="129" applyFill="0" applyBorder="0" applyAlignment="0" applyProtection="0">
      <alignment vertical="center"/>
      <protection locked="0"/>
    </xf>
    <xf numFmtId="0" fontId="59" fillId="38" borderId="156" applyNumberFormat="0" applyAlignment="0" applyProtection="0"/>
    <xf numFmtId="0" fontId="36" fillId="0" borderId="129" applyBorder="0">
      <alignment horizontal="left" vertical="center" wrapText="1" indent="2"/>
      <protection locked="0"/>
    </xf>
    <xf numFmtId="0" fontId="5" fillId="26" borderId="157" applyNumberFormat="0" applyFont="0" applyAlignment="0" applyProtection="0"/>
    <xf numFmtId="0" fontId="5" fillId="26" borderId="157" applyNumberFormat="0" applyFont="0" applyAlignment="0" applyProtection="0"/>
    <xf numFmtId="0" fontId="36" fillId="0" borderId="129" applyBorder="0">
      <alignment horizontal="left" vertical="center" wrapText="1" indent="3"/>
      <protection locked="0"/>
    </xf>
    <xf numFmtId="0" fontId="116" fillId="0" borderId="137" applyNumberFormat="0" applyFill="0" applyAlignment="0" applyProtection="0"/>
    <xf numFmtId="0" fontId="104" fillId="23" borderId="156" applyNumberFormat="0" applyAlignment="0" applyProtection="0"/>
    <xf numFmtId="0" fontId="116" fillId="0" borderId="137" applyNumberFormat="0" applyFill="0" applyAlignment="0" applyProtection="0"/>
    <xf numFmtId="0" fontId="62" fillId="23" borderId="156" applyNumberFormat="0" applyAlignment="0" applyProtection="0"/>
    <xf numFmtId="0" fontId="62" fillId="29" borderId="156" applyNumberFormat="0" applyAlignment="0" applyProtection="0"/>
    <xf numFmtId="10" fontId="36" fillId="16" borderId="138" applyNumberFormat="0" applyBorder="0" applyAlignment="0" applyProtection="0"/>
    <xf numFmtId="0" fontId="18" fillId="15" borderId="129" applyFill="0" applyBorder="0" applyAlignment="0" applyProtection="0">
      <alignment vertical="center"/>
      <protection locked="0"/>
    </xf>
    <xf numFmtId="0" fontId="110" fillId="38" borderId="136" applyNumberFormat="0" applyAlignment="0" applyProtection="0"/>
    <xf numFmtId="0" fontId="65" fillId="39" borderId="136" applyNumberFormat="0" applyAlignment="0" applyProtection="0"/>
    <xf numFmtId="0" fontId="5" fillId="26" borderId="157" applyNumberFormat="0" applyFont="0" applyAlignment="0" applyProtection="0"/>
    <xf numFmtId="0" fontId="65" fillId="38" borderId="136" applyNumberFormat="0" applyAlignment="0" applyProtection="0"/>
    <xf numFmtId="0" fontId="36" fillId="0" borderId="129" applyBorder="0">
      <alignment horizontal="left" vertical="center" wrapText="1" indent="3"/>
      <protection locked="0"/>
    </xf>
    <xf numFmtId="0" fontId="62" fillId="23" borderId="156" applyNumberFormat="0" applyAlignment="0" applyProtection="0"/>
    <xf numFmtId="0" fontId="36" fillId="0" borderId="129" applyBorder="0">
      <alignment horizontal="left" vertical="center" wrapText="1" indent="3"/>
      <protection locked="0"/>
    </xf>
    <xf numFmtId="0" fontId="18" fillId="15" borderId="129" applyFill="0" applyBorder="0" applyAlignment="0" applyProtection="0">
      <alignment vertical="center"/>
      <protection locked="0"/>
    </xf>
    <xf numFmtId="0" fontId="36" fillId="0" borderId="129" applyBorder="0">
      <alignment horizontal="left" vertical="center" wrapText="1" indent="3"/>
      <protection locked="0"/>
    </xf>
    <xf numFmtId="0" fontId="36" fillId="0" borderId="129" applyBorder="0">
      <alignment horizontal="left" vertical="center" wrapText="1" indent="2"/>
      <protection locked="0"/>
    </xf>
    <xf numFmtId="10" fontId="36" fillId="16" borderId="138" applyNumberFormat="0" applyBorder="0" applyAlignment="0" applyProtection="0"/>
    <xf numFmtId="0" fontId="18" fillId="15" borderId="129" applyFill="0" applyBorder="0" applyAlignment="0" applyProtection="0">
      <alignment vertical="center"/>
      <protection locked="0"/>
    </xf>
    <xf numFmtId="0" fontId="116" fillId="0" borderId="137" applyNumberFormat="0" applyFill="0" applyAlignment="0" applyProtection="0"/>
    <xf numFmtId="0" fontId="110" fillId="38" borderId="136" applyNumberFormat="0" applyAlignment="0" applyProtection="0"/>
    <xf numFmtId="0" fontId="72" fillId="0" borderId="137" applyNumberFormat="0" applyFill="0" applyAlignment="0" applyProtection="0"/>
    <xf numFmtId="0" fontId="5" fillId="26" borderId="157" applyNumberFormat="0" applyFont="0" applyAlignment="0" applyProtection="0"/>
    <xf numFmtId="0" fontId="5" fillId="26" borderId="157" applyNumberFormat="0" applyFont="0" applyAlignment="0" applyProtection="0"/>
    <xf numFmtId="0" fontId="65" fillId="39" borderId="136" applyNumberFormat="0" applyAlignment="0" applyProtection="0"/>
    <xf numFmtId="0" fontId="5" fillId="26" borderId="157" applyNumberFormat="0" applyFont="0" applyAlignment="0" applyProtection="0"/>
    <xf numFmtId="0" fontId="65" fillId="39" borderId="136" applyNumberFormat="0" applyAlignment="0" applyProtection="0"/>
    <xf numFmtId="0" fontId="5" fillId="26" borderId="157" applyNumberFormat="0" applyFont="0" applyAlignment="0" applyProtection="0"/>
    <xf numFmtId="0" fontId="104" fillId="23" borderId="156" applyNumberFormat="0" applyAlignment="0" applyProtection="0"/>
    <xf numFmtId="0" fontId="65" fillId="38" borderId="136" applyNumberFormat="0" applyAlignment="0" applyProtection="0"/>
    <xf numFmtId="0" fontId="5" fillId="26" borderId="157" applyNumberFormat="0" applyFont="0" applyAlignment="0" applyProtection="0"/>
    <xf numFmtId="0" fontId="62" fillId="23" borderId="156" applyNumberFormat="0" applyAlignment="0" applyProtection="0"/>
    <xf numFmtId="0" fontId="6" fillId="26" borderId="157" applyNumberFormat="0" applyFont="0" applyAlignment="0" applyProtection="0"/>
    <xf numFmtId="0" fontId="5" fillId="26" borderId="157" applyNumberFormat="0" applyFont="0" applyAlignment="0" applyProtection="0"/>
    <xf numFmtId="0" fontId="116" fillId="0" borderId="137" applyNumberFormat="0" applyFill="0" applyAlignment="0" applyProtection="0"/>
    <xf numFmtId="0" fontId="73" fillId="39" borderId="156" applyNumberFormat="0" applyAlignment="0" applyProtection="0"/>
    <xf numFmtId="0" fontId="110" fillId="38" borderId="136" applyNumberFormat="0" applyAlignment="0" applyProtection="0"/>
    <xf numFmtId="0" fontId="72" fillId="0" borderId="137" applyNumberFormat="0" applyFill="0" applyAlignment="0" applyProtection="0"/>
    <xf numFmtId="0" fontId="5" fillId="26" borderId="157" applyNumberFormat="0" applyFont="0" applyAlignment="0" applyProtection="0"/>
    <xf numFmtId="0" fontId="59" fillId="38" borderId="156" applyNumberFormat="0" applyAlignment="0" applyProtection="0"/>
    <xf numFmtId="0" fontId="65" fillId="39" borderId="136" applyNumberFormat="0" applyAlignment="0" applyProtection="0"/>
    <xf numFmtId="0" fontId="101" fillId="38" borderId="156" applyNumberFormat="0" applyAlignment="0" applyProtection="0"/>
    <xf numFmtId="0" fontId="5" fillId="26" borderId="157" applyNumberFormat="0" applyFont="0" applyAlignment="0" applyProtection="0"/>
    <xf numFmtId="0" fontId="65" fillId="38" borderId="136" applyNumberFormat="0" applyAlignment="0" applyProtection="0"/>
    <xf numFmtId="0" fontId="101" fillId="38" borderId="156" applyNumberFormat="0" applyAlignment="0" applyProtection="0"/>
    <xf numFmtId="0" fontId="5" fillId="26" borderId="157" applyNumberFormat="0" applyFont="0" applyAlignment="0" applyProtection="0"/>
    <xf numFmtId="0" fontId="5" fillId="26" borderId="157" applyNumberFormat="0" applyFont="0" applyAlignment="0" applyProtection="0"/>
    <xf numFmtId="0" fontId="101" fillId="38" borderId="156" applyNumberFormat="0" applyAlignment="0" applyProtection="0"/>
    <xf numFmtId="0" fontId="65" fillId="38" borderId="136" applyNumberFormat="0" applyAlignment="0" applyProtection="0"/>
    <xf numFmtId="0" fontId="5" fillId="26" borderId="157" applyNumberFormat="0" applyFont="0" applyAlignment="0" applyProtection="0"/>
    <xf numFmtId="0" fontId="62" fillId="29" borderId="156" applyNumberFormat="0" applyAlignment="0" applyProtection="0"/>
    <xf numFmtId="0" fontId="62" fillId="23" borderId="156" applyNumberFormat="0" applyAlignment="0" applyProtection="0"/>
    <xf numFmtId="0" fontId="72" fillId="0" borderId="137" applyNumberFormat="0" applyFill="0" applyAlignment="0" applyProtection="0"/>
    <xf numFmtId="0" fontId="5" fillId="26" borderId="157" applyNumberFormat="0" applyFont="0" applyAlignment="0" applyProtection="0"/>
    <xf numFmtId="0" fontId="65" fillId="38" borderId="136" applyNumberFormat="0" applyAlignment="0" applyProtection="0"/>
    <xf numFmtId="0" fontId="62" fillId="23" borderId="156" applyNumberFormat="0" applyAlignment="0" applyProtection="0"/>
    <xf numFmtId="0" fontId="59" fillId="38" borderId="156" applyNumberFormat="0" applyAlignment="0" applyProtection="0"/>
    <xf numFmtId="0" fontId="116" fillId="0" borderId="137" applyNumberFormat="0" applyFill="0" applyAlignment="0" applyProtection="0"/>
    <xf numFmtId="0" fontId="5" fillId="26" borderId="157" applyNumberFormat="0" applyFont="0" applyAlignment="0" applyProtection="0"/>
    <xf numFmtId="0" fontId="116" fillId="0" borderId="137" applyNumberFormat="0" applyFill="0" applyAlignment="0" applyProtection="0"/>
    <xf numFmtId="0" fontId="5" fillId="26" borderId="157" applyNumberFormat="0" applyFont="0" applyAlignment="0" applyProtection="0"/>
    <xf numFmtId="0" fontId="72" fillId="0" borderId="137" applyNumberFormat="0" applyFill="0" applyAlignment="0" applyProtection="0"/>
    <xf numFmtId="0" fontId="116" fillId="0" borderId="137" applyNumberFormat="0" applyFill="0" applyAlignment="0" applyProtection="0"/>
    <xf numFmtId="0" fontId="59" fillId="38" borderId="156" applyNumberFormat="0" applyAlignment="0" applyProtection="0"/>
    <xf numFmtId="0" fontId="62" fillId="23" borderId="156" applyNumberFormat="0" applyAlignment="0" applyProtection="0"/>
    <xf numFmtId="0" fontId="5" fillId="26" borderId="157" applyNumberFormat="0" applyFont="0" applyAlignment="0" applyProtection="0"/>
    <xf numFmtId="0" fontId="59" fillId="38" borderId="156" applyNumberFormat="0" applyAlignment="0" applyProtection="0"/>
    <xf numFmtId="0" fontId="5" fillId="26" borderId="157" applyNumberFormat="0" applyFont="0" applyAlignment="0" applyProtection="0"/>
    <xf numFmtId="0" fontId="116" fillId="0" borderId="137" applyNumberFormat="0" applyFill="0" applyAlignment="0" applyProtection="0"/>
    <xf numFmtId="0" fontId="72" fillId="0" borderId="137" applyNumberFormat="0" applyFill="0" applyAlignment="0" applyProtection="0"/>
    <xf numFmtId="0" fontId="5" fillId="26" borderId="157" applyNumberFormat="0" applyFont="0" applyAlignment="0" applyProtection="0"/>
    <xf numFmtId="0" fontId="72" fillId="0" borderId="137" applyNumberFormat="0" applyFill="0" applyAlignment="0" applyProtection="0"/>
    <xf numFmtId="0" fontId="59" fillId="38" borderId="156" applyNumberFormat="0" applyAlignment="0" applyProtection="0"/>
    <xf numFmtId="0" fontId="62" fillId="23" borderId="156" applyNumberFormat="0" applyAlignment="0" applyProtection="0"/>
    <xf numFmtId="0" fontId="65" fillId="39" borderId="136" applyNumberFormat="0" applyAlignment="0" applyProtection="0"/>
    <xf numFmtId="0" fontId="65" fillId="38" borderId="136" applyNumberFormat="0" applyAlignment="0" applyProtection="0"/>
    <xf numFmtId="0" fontId="65" fillId="39" borderId="136" applyNumberFormat="0" applyAlignment="0" applyProtection="0"/>
    <xf numFmtId="0" fontId="101" fillId="38" borderId="156" applyNumberFormat="0" applyAlignment="0" applyProtection="0"/>
    <xf numFmtId="0" fontId="18" fillId="15" borderId="162" applyFill="0" applyBorder="0" applyAlignment="0" applyProtection="0">
      <alignment vertical="center"/>
      <protection locked="0"/>
    </xf>
    <xf numFmtId="10" fontId="36" fillId="16" borderId="160" applyNumberFormat="0" applyBorder="0" applyAlignment="0" applyProtection="0"/>
    <xf numFmtId="0" fontId="36" fillId="0" borderId="162" applyBorder="0">
      <alignment horizontal="left" vertical="center" wrapText="1" indent="2"/>
      <protection locked="0"/>
    </xf>
    <xf numFmtId="0" fontId="36" fillId="0" borderId="162" applyBorder="0">
      <alignment horizontal="left" vertical="center" wrapText="1" indent="3"/>
      <protection locked="0"/>
    </xf>
    <xf numFmtId="0" fontId="73" fillId="39" borderId="156" applyNumberFormat="0" applyAlignment="0" applyProtection="0"/>
    <xf numFmtId="10" fontId="36" fillId="16" borderId="160" applyNumberFormat="0" applyBorder="0" applyAlignment="0" applyProtection="0"/>
    <xf numFmtId="0" fontId="36" fillId="0" borderId="162" applyBorder="0">
      <alignment horizontal="left" vertical="center" wrapText="1" indent="2"/>
      <protection locked="0"/>
    </xf>
    <xf numFmtId="0" fontId="18" fillId="15" borderId="162" applyFill="0" applyBorder="0" applyAlignment="0" applyProtection="0">
      <alignment vertical="center"/>
      <protection locked="0"/>
    </xf>
    <xf numFmtId="0" fontId="36" fillId="0" borderId="162" applyBorder="0">
      <alignment horizontal="left" vertical="center" wrapText="1" indent="3"/>
      <protection locked="0"/>
    </xf>
    <xf numFmtId="0" fontId="104" fillId="23" borderId="156" applyNumberFormat="0" applyAlignment="0" applyProtection="0"/>
    <xf numFmtId="0" fontId="36" fillId="0" borderId="162" applyBorder="0">
      <alignment horizontal="left" vertical="center" wrapText="1" indent="3"/>
      <protection locked="0"/>
    </xf>
    <xf numFmtId="0" fontId="62" fillId="23" borderId="156" applyNumberFormat="0" applyAlignment="0" applyProtection="0"/>
    <xf numFmtId="10" fontId="36" fillId="16" borderId="160" applyNumberFormat="0" applyBorder="0" applyAlignment="0" applyProtection="0"/>
    <xf numFmtId="0" fontId="18" fillId="15" borderId="162" applyFill="0" applyBorder="0" applyAlignment="0" applyProtection="0">
      <alignment vertical="center"/>
      <protection locked="0"/>
    </xf>
    <xf numFmtId="10" fontId="36" fillId="16" borderId="160" applyNumberFormat="0" applyBorder="0" applyAlignment="0" applyProtection="0"/>
    <xf numFmtId="0" fontId="101" fillId="38" borderId="156" applyNumberFormat="0" applyAlignment="0" applyProtection="0"/>
    <xf numFmtId="0" fontId="59" fillId="38" borderId="156" applyNumberFormat="0" applyAlignment="0" applyProtection="0"/>
    <xf numFmtId="0" fontId="36" fillId="0" borderId="162" applyBorder="0">
      <alignment horizontal="left" vertical="center" wrapText="1" indent="2"/>
      <protection locked="0"/>
    </xf>
    <xf numFmtId="0" fontId="36" fillId="0" borderId="162" applyBorder="0">
      <alignment horizontal="left" vertical="center" wrapText="1" indent="3"/>
      <protection locked="0"/>
    </xf>
    <xf numFmtId="0" fontId="36" fillId="0" borderId="129" applyBorder="0">
      <alignment horizontal="left" vertical="center" wrapText="1" indent="3"/>
      <protection locked="0"/>
    </xf>
    <xf numFmtId="0" fontId="5" fillId="26" borderId="157" applyNumberFormat="0" applyFont="0" applyAlignment="0" applyProtection="0"/>
    <xf numFmtId="0" fontId="72" fillId="0" borderId="137" applyNumberFormat="0" applyFill="0" applyAlignment="0" applyProtection="0"/>
    <xf numFmtId="0" fontId="101" fillId="38" borderId="156" applyNumberFormat="0" applyAlignment="0" applyProtection="0"/>
    <xf numFmtId="0" fontId="5" fillId="26" borderId="157" applyNumberFormat="0" applyFont="0" applyAlignment="0" applyProtection="0"/>
    <xf numFmtId="0" fontId="36" fillId="0" borderId="162" applyBorder="0">
      <alignment horizontal="left" vertical="center" wrapText="1" indent="3"/>
      <protection locked="0"/>
    </xf>
    <xf numFmtId="0" fontId="36" fillId="0" borderId="162" applyBorder="0">
      <alignment horizontal="left" vertical="center" wrapText="1" indent="2"/>
      <protection locked="0"/>
    </xf>
    <xf numFmtId="10" fontId="36" fillId="16" borderId="160" applyNumberFormat="0" applyBorder="0" applyAlignment="0" applyProtection="0"/>
    <xf numFmtId="0" fontId="62" fillId="23" borderId="156" applyNumberFormat="0" applyAlignment="0" applyProtection="0"/>
    <xf numFmtId="0" fontId="36" fillId="0" borderId="162" applyBorder="0">
      <alignment horizontal="left" vertical="center" wrapText="1" indent="2"/>
      <protection locked="0"/>
    </xf>
    <xf numFmtId="0" fontId="36" fillId="0" borderId="129" applyBorder="0">
      <alignment horizontal="left" vertical="center" wrapText="1" indent="2"/>
      <protection locked="0"/>
    </xf>
    <xf numFmtId="0" fontId="5" fillId="26" borderId="157" applyNumberFormat="0" applyFont="0" applyAlignment="0" applyProtection="0"/>
    <xf numFmtId="0" fontId="5" fillId="26" borderId="157" applyNumberFormat="0" applyFont="0" applyAlignment="0" applyProtection="0"/>
    <xf numFmtId="0" fontId="36" fillId="0" borderId="162" applyBorder="0">
      <alignment horizontal="left" vertical="center" wrapText="1" indent="3"/>
      <protection locked="0"/>
    </xf>
    <xf numFmtId="0" fontId="5" fillId="26" borderId="157" applyNumberFormat="0" applyFont="0" applyAlignment="0" applyProtection="0"/>
    <xf numFmtId="0" fontId="101" fillId="38" borderId="156" applyNumberFormat="0" applyAlignment="0" applyProtection="0"/>
    <xf numFmtId="0" fontId="18" fillId="15" borderId="162" applyFill="0" applyBorder="0" applyAlignment="0" applyProtection="0">
      <alignment vertical="center"/>
      <protection locked="0"/>
    </xf>
    <xf numFmtId="0" fontId="5" fillId="26" borderId="157" applyNumberFormat="0" applyFont="0" applyAlignment="0" applyProtection="0"/>
    <xf numFmtId="0" fontId="110" fillId="38" borderId="136" applyNumberFormat="0" applyAlignment="0" applyProtection="0"/>
    <xf numFmtId="0" fontId="62" fillId="23" borderId="156" applyNumberFormat="0" applyAlignment="0" applyProtection="0"/>
    <xf numFmtId="0" fontId="65" fillId="39" borderId="136" applyNumberFormat="0" applyAlignment="0" applyProtection="0"/>
    <xf numFmtId="0" fontId="104" fillId="23" borderId="156" applyNumberFormat="0" applyAlignment="0" applyProtection="0"/>
    <xf numFmtId="0" fontId="18" fillId="15" borderId="162" applyFill="0" applyBorder="0" applyAlignment="0" applyProtection="0">
      <alignment vertical="center"/>
      <protection locked="0"/>
    </xf>
    <xf numFmtId="0" fontId="36" fillId="0" borderId="162" applyBorder="0">
      <alignment horizontal="left" vertical="center" wrapText="1" indent="2"/>
      <protection locked="0"/>
    </xf>
    <xf numFmtId="0" fontId="5" fillId="26" borderId="157" applyNumberFormat="0" applyFont="0" applyAlignment="0" applyProtection="0"/>
    <xf numFmtId="0" fontId="62" fillId="29" borderId="156" applyNumberFormat="0" applyAlignment="0" applyProtection="0"/>
    <xf numFmtId="0" fontId="104" fillId="23" borderId="156" applyNumberFormat="0" applyAlignment="0" applyProtection="0"/>
    <xf numFmtId="0" fontId="65" fillId="38" borderId="136" applyNumberFormat="0" applyAlignment="0" applyProtection="0"/>
    <xf numFmtId="0" fontId="5" fillId="26" borderId="157" applyNumberFormat="0" applyFont="0" applyAlignment="0" applyProtection="0"/>
    <xf numFmtId="0" fontId="65" fillId="38" borderId="136" applyNumberFormat="0" applyAlignment="0" applyProtection="0"/>
    <xf numFmtId="0" fontId="5" fillId="26" borderId="157" applyNumberFormat="0" applyFont="0" applyAlignment="0" applyProtection="0"/>
    <xf numFmtId="0" fontId="62" fillId="29" borderId="156" applyNumberFormat="0" applyAlignment="0" applyProtection="0"/>
    <xf numFmtId="0" fontId="36" fillId="0" borderId="162" applyBorder="0">
      <alignment horizontal="left" vertical="center" wrapText="1" indent="3"/>
      <protection locked="0"/>
    </xf>
    <xf numFmtId="0" fontId="62" fillId="29" borderId="156" applyNumberFormat="0" applyAlignment="0" applyProtection="0"/>
    <xf numFmtId="0" fontId="5" fillId="26" borderId="157" applyNumberFormat="0" applyFont="0" applyAlignment="0" applyProtection="0"/>
    <xf numFmtId="0" fontId="18" fillId="15" borderId="162" applyFill="0" applyBorder="0" applyAlignment="0" applyProtection="0">
      <alignment vertical="center"/>
      <protection locked="0"/>
    </xf>
    <xf numFmtId="10" fontId="36" fillId="16" borderId="160" applyNumberFormat="0" applyBorder="0" applyAlignment="0" applyProtection="0"/>
    <xf numFmtId="0" fontId="36" fillId="0" borderId="162" applyBorder="0">
      <alignment horizontal="left" vertical="center" wrapText="1" indent="2"/>
      <protection locked="0"/>
    </xf>
    <xf numFmtId="0" fontId="5" fillId="26" borderId="157" applyNumberFormat="0" applyFont="0" applyAlignment="0" applyProtection="0"/>
    <xf numFmtId="10" fontId="36" fillId="16" borderId="160" applyNumberFormat="0" applyBorder="0" applyAlignment="0" applyProtection="0"/>
    <xf numFmtId="0" fontId="18" fillId="15" borderId="162" applyFill="0" applyBorder="0" applyAlignment="0" applyProtection="0">
      <alignment vertical="center"/>
      <protection locked="0"/>
    </xf>
    <xf numFmtId="10" fontId="36" fillId="16" borderId="138" applyNumberFormat="0" applyBorder="0" applyAlignment="0" applyProtection="0"/>
    <xf numFmtId="0" fontId="72" fillId="0" borderId="137" applyNumberFormat="0" applyFill="0" applyAlignment="0" applyProtection="0"/>
    <xf numFmtId="0" fontId="5" fillId="26" borderId="157" applyNumberFormat="0" applyFont="0" applyAlignment="0" applyProtection="0"/>
    <xf numFmtId="0" fontId="59" fillId="38" borderId="156" applyNumberFormat="0" applyAlignment="0" applyProtection="0"/>
    <xf numFmtId="0" fontId="36" fillId="0" borderId="162" applyBorder="0">
      <alignment horizontal="left" vertical="center" wrapText="1" indent="2"/>
      <protection locked="0"/>
    </xf>
    <xf numFmtId="10" fontId="36" fillId="16" borderId="160" applyNumberFormat="0" applyBorder="0" applyAlignment="0" applyProtection="0"/>
    <xf numFmtId="0" fontId="18" fillId="15" borderId="162" applyFill="0" applyBorder="0" applyAlignment="0" applyProtection="0">
      <alignment vertical="center"/>
      <protection locked="0"/>
    </xf>
    <xf numFmtId="0" fontId="110" fillId="38" borderId="136" applyNumberFormat="0" applyAlignment="0" applyProtection="0"/>
    <xf numFmtId="0" fontId="65" fillId="38" borderId="136" applyNumberFormat="0" applyAlignment="0" applyProtection="0"/>
    <xf numFmtId="0" fontId="116" fillId="0" borderId="137" applyNumberFormat="0" applyFill="0" applyAlignment="0" applyProtection="0"/>
    <xf numFmtId="10" fontId="36" fillId="16" borderId="160" applyNumberFormat="0" applyBorder="0" applyAlignment="0" applyProtection="0"/>
    <xf numFmtId="0" fontId="5" fillId="26" borderId="157" applyNumberFormat="0" applyFont="0" applyAlignment="0" applyProtection="0"/>
    <xf numFmtId="0" fontId="36" fillId="0" borderId="162" applyBorder="0">
      <alignment horizontal="left" vertical="center" wrapText="1" indent="2"/>
      <protection locked="0"/>
    </xf>
    <xf numFmtId="0" fontId="18" fillId="15" borderId="162" applyFill="0" applyBorder="0" applyAlignment="0" applyProtection="0">
      <alignment vertical="center"/>
      <protection locked="0"/>
    </xf>
    <xf numFmtId="0" fontId="65" fillId="38" borderId="136" applyNumberFormat="0" applyAlignment="0" applyProtection="0"/>
    <xf numFmtId="0" fontId="5" fillId="26" borderId="157" applyNumberFormat="0" applyFont="0" applyAlignment="0" applyProtection="0"/>
    <xf numFmtId="0" fontId="36" fillId="0" borderId="162" applyBorder="0">
      <alignment horizontal="left" vertical="center" wrapText="1" indent="3"/>
      <protection locked="0"/>
    </xf>
    <xf numFmtId="0" fontId="65" fillId="39" borderId="136" applyNumberFormat="0" applyAlignment="0" applyProtection="0"/>
    <xf numFmtId="0" fontId="5" fillId="26" borderId="157" applyNumberFormat="0" applyFont="0" applyAlignment="0" applyProtection="0"/>
    <xf numFmtId="10" fontId="36" fillId="16" borderId="160" applyNumberFormat="0" applyBorder="0" applyAlignment="0" applyProtection="0"/>
    <xf numFmtId="0" fontId="5" fillId="26" borderId="157" applyNumberFormat="0" applyFont="0" applyAlignment="0" applyProtection="0"/>
    <xf numFmtId="0" fontId="36" fillId="0" borderId="162" applyBorder="0">
      <alignment horizontal="left" vertical="center" wrapText="1" indent="2"/>
      <protection locked="0"/>
    </xf>
    <xf numFmtId="0" fontId="18" fillId="15" borderId="162" applyFill="0" applyBorder="0" applyAlignment="0" applyProtection="0">
      <alignment vertical="center"/>
      <protection locked="0"/>
    </xf>
    <xf numFmtId="0" fontId="116" fillId="0" borderId="137" applyNumberFormat="0" applyFill="0" applyAlignment="0" applyProtection="0"/>
    <xf numFmtId="0" fontId="5" fillId="26" borderId="157" applyNumberFormat="0" applyFont="0" applyAlignment="0" applyProtection="0"/>
    <xf numFmtId="0" fontId="36" fillId="0" borderId="162" applyBorder="0">
      <alignment horizontal="left" vertical="center" wrapText="1" indent="3"/>
      <protection locked="0"/>
    </xf>
    <xf numFmtId="0" fontId="36" fillId="0" borderId="162" applyBorder="0">
      <alignment horizontal="left" vertical="center" wrapText="1" indent="3"/>
      <protection locked="0"/>
    </xf>
    <xf numFmtId="0" fontId="6" fillId="26" borderId="157" applyNumberFormat="0" applyFont="0" applyAlignment="0" applyProtection="0"/>
    <xf numFmtId="0" fontId="65" fillId="38" borderId="136" applyNumberFormat="0" applyAlignment="0" applyProtection="0"/>
    <xf numFmtId="10" fontId="36" fillId="16" borderId="160" applyNumberFormat="0" applyBorder="0" applyAlignment="0" applyProtection="0"/>
    <xf numFmtId="0" fontId="5" fillId="26" borderId="157" applyNumberFormat="0" applyFont="0" applyAlignment="0" applyProtection="0"/>
    <xf numFmtId="0" fontId="36" fillId="0" borderId="162" applyBorder="0">
      <alignment horizontal="left" vertical="center" wrapText="1" indent="2"/>
      <protection locked="0"/>
    </xf>
    <xf numFmtId="0" fontId="18" fillId="15" borderId="162" applyFill="0" applyBorder="0" applyAlignment="0" applyProtection="0">
      <alignment vertical="center"/>
      <protection locked="0"/>
    </xf>
    <xf numFmtId="0" fontId="72" fillId="0" borderId="137" applyNumberFormat="0" applyFill="0" applyAlignment="0" applyProtection="0"/>
    <xf numFmtId="0" fontId="5" fillId="26" borderId="157" applyNumberFormat="0" applyFont="0" applyAlignment="0" applyProtection="0"/>
    <xf numFmtId="0" fontId="36" fillId="0" borderId="162" applyBorder="0">
      <alignment horizontal="left" vertical="center" wrapText="1" indent="3"/>
      <protection locked="0"/>
    </xf>
    <xf numFmtId="0" fontId="62" fillId="29" borderId="156" applyNumberFormat="0" applyAlignment="0" applyProtection="0"/>
    <xf numFmtId="10" fontId="36" fillId="16" borderId="138" applyNumberFormat="0" applyBorder="0" applyAlignment="0" applyProtection="0"/>
    <xf numFmtId="10" fontId="36" fillId="16" borderId="160" applyNumberFormat="0" applyBorder="0" applyAlignment="0" applyProtection="0"/>
    <xf numFmtId="0" fontId="72" fillId="0" borderId="137" applyNumberFormat="0" applyFill="0" applyAlignment="0" applyProtection="0"/>
    <xf numFmtId="0" fontId="36" fillId="0" borderId="162" applyBorder="0">
      <alignment horizontal="left" vertical="center" wrapText="1" indent="2"/>
      <protection locked="0"/>
    </xf>
    <xf numFmtId="0" fontId="18" fillId="15" borderId="162" applyFill="0" applyBorder="0" applyAlignment="0" applyProtection="0">
      <alignment vertical="center"/>
      <protection locked="0"/>
    </xf>
    <xf numFmtId="0" fontId="5" fillId="26" borderId="157" applyNumberFormat="0" applyFont="0" applyAlignment="0" applyProtection="0"/>
    <xf numFmtId="0" fontId="110" fillId="38" borderId="136" applyNumberFormat="0" applyAlignment="0" applyProtection="0"/>
    <xf numFmtId="0" fontId="36" fillId="0" borderId="162" applyBorder="0">
      <alignment horizontal="left" vertical="center" wrapText="1" indent="3"/>
      <protection locked="0"/>
    </xf>
    <xf numFmtId="10" fontId="36" fillId="16" borderId="160" applyNumberFormat="0" applyBorder="0" applyAlignment="0" applyProtection="0"/>
    <xf numFmtId="43" fontId="1" fillId="0" borderId="0" applyFont="0" applyFill="0" applyBorder="0" applyAlignment="0" applyProtection="0"/>
    <xf numFmtId="173" fontId="5"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166" fontId="5"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5" fillId="64" borderId="136"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5" fillId="38" borderId="136" applyNumberFormat="0" applyAlignment="0" applyProtection="0"/>
    <xf numFmtId="0" fontId="5" fillId="26" borderId="157" applyNumberFormat="0" applyFont="0" applyAlignment="0" applyProtection="0"/>
    <xf numFmtId="0" fontId="65" fillId="38" borderId="136" applyNumberFormat="0" applyAlignment="0" applyProtection="0"/>
    <xf numFmtId="0" fontId="5" fillId="26" borderId="157" applyNumberFormat="0" applyFont="0" applyAlignment="0" applyProtection="0"/>
    <xf numFmtId="0" fontId="5" fillId="26" borderId="157" applyNumberFormat="0" applyFont="0" applyAlignment="0" applyProtection="0"/>
    <xf numFmtId="43" fontId="5" fillId="0" borderId="0" applyFont="0" applyFill="0" applyBorder="0" applyAlignment="0" applyProtection="0"/>
    <xf numFmtId="0" fontId="5" fillId="26" borderId="157" applyNumberFormat="0" applyFont="0" applyAlignment="0" applyProtection="0"/>
    <xf numFmtId="0" fontId="5" fillId="26" borderId="157" applyNumberFormat="0" applyFont="0" applyAlignment="0" applyProtection="0"/>
    <xf numFmtId="0" fontId="116" fillId="0" borderId="137" applyNumberFormat="0" applyFill="0" applyAlignment="0" applyProtection="0"/>
    <xf numFmtId="0" fontId="59" fillId="38" borderId="156" applyNumberFormat="0" applyAlignment="0" applyProtection="0"/>
    <xf numFmtId="0" fontId="73" fillId="39" borderId="156" applyNumberFormat="0" applyAlignment="0" applyProtection="0"/>
    <xf numFmtId="0" fontId="62" fillId="29" borderId="156" applyNumberFormat="0" applyAlignment="0" applyProtection="0"/>
    <xf numFmtId="0" fontId="62" fillId="23" borderId="156" applyNumberFormat="0" applyAlignment="0" applyProtection="0"/>
    <xf numFmtId="0" fontId="5" fillId="26" borderId="157" applyNumberFormat="0" applyFont="0" applyAlignment="0" applyProtection="0"/>
    <xf numFmtId="0" fontId="6" fillId="26" borderId="157" applyNumberFormat="0" applyFont="0" applyAlignment="0" applyProtection="0"/>
    <xf numFmtId="0" fontId="65" fillId="38" borderId="136" applyNumberFormat="0" applyAlignment="0" applyProtection="0"/>
    <xf numFmtId="0" fontId="65" fillId="39" borderId="136" applyNumberFormat="0" applyAlignment="0" applyProtection="0"/>
    <xf numFmtId="0" fontId="72" fillId="0" borderId="137" applyNumberFormat="0" applyFill="0" applyAlignment="0" applyProtection="0"/>
    <xf numFmtId="0" fontId="65" fillId="38" borderId="136" applyNumberFormat="0" applyAlignment="0" applyProtection="0"/>
    <xf numFmtId="0" fontId="6" fillId="26" borderId="157" applyNumberFormat="0" applyFont="0" applyAlignment="0" applyProtection="0"/>
    <xf numFmtId="0" fontId="5" fillId="26" borderId="157" applyNumberFormat="0" applyFont="0" applyAlignment="0" applyProtection="0"/>
    <xf numFmtId="0" fontId="116" fillId="0" borderId="137" applyNumberFormat="0" applyFill="0" applyAlignment="0" applyProtection="0"/>
    <xf numFmtId="0" fontId="110" fillId="38" borderId="136" applyNumberFormat="0" applyAlignment="0" applyProtection="0"/>
    <xf numFmtId="0" fontId="116" fillId="0" borderId="137" applyNumberFormat="0" applyFill="0" applyAlignment="0" applyProtection="0"/>
    <xf numFmtId="0" fontId="110" fillId="38" borderId="136" applyNumberFormat="0" applyAlignment="0" applyProtection="0"/>
    <xf numFmtId="0" fontId="5"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72" fillId="0" borderId="137" applyNumberFormat="0" applyFill="0" applyAlignment="0" applyProtection="0"/>
    <xf numFmtId="0" fontId="6" fillId="26" borderId="157" applyNumberFormat="0" applyFont="0" applyAlignment="0" applyProtection="0"/>
    <xf numFmtId="0" fontId="72" fillId="0" borderId="137" applyNumberFormat="0" applyFill="0" applyAlignment="0" applyProtection="0"/>
    <xf numFmtId="0" fontId="6" fillId="26" borderId="157" applyNumberFormat="0" applyFont="0" applyAlignment="0" applyProtection="0"/>
    <xf numFmtId="0" fontId="6" fillId="26" borderId="157" applyNumberFormat="0" applyFont="0" applyAlignment="0" applyProtection="0"/>
    <xf numFmtId="0" fontId="5" fillId="26" borderId="157" applyNumberFormat="0" applyFont="0" applyAlignment="0" applyProtection="0"/>
    <xf numFmtId="0" fontId="110" fillId="38" borderId="136" applyNumberFormat="0" applyAlignment="0" applyProtection="0"/>
    <xf numFmtId="43" fontId="5" fillId="0" borderId="0" applyFont="0" applyFill="0" applyBorder="0" applyAlignment="0" applyProtection="0"/>
    <xf numFmtId="0" fontId="72" fillId="0" borderId="137" applyNumberFormat="0" applyFill="0" applyAlignment="0" applyProtection="0"/>
    <xf numFmtId="0" fontId="5" fillId="26" borderId="157" applyNumberFormat="0" applyFont="0" applyAlignment="0" applyProtection="0"/>
    <xf numFmtId="0" fontId="5" fillId="26" borderId="157" applyNumberFormat="0" applyFont="0" applyAlignment="0" applyProtection="0"/>
    <xf numFmtId="9" fontId="109" fillId="0" borderId="0" applyFont="0" applyFill="0" applyBorder="0" applyAlignment="0" applyProtection="0"/>
    <xf numFmtId="43" fontId="5" fillId="0" borderId="0" applyFont="0" applyFill="0" applyBorder="0" applyAlignment="0" applyProtection="0"/>
    <xf numFmtId="0" fontId="110" fillId="38" borderId="136" applyNumberFormat="0" applyAlignment="0" applyProtection="0"/>
    <xf numFmtId="0" fontId="65" fillId="38" borderId="136" applyNumberFormat="0" applyAlignment="0" applyProtection="0"/>
    <xf numFmtId="0" fontId="110" fillId="38" borderId="136" applyNumberFormat="0" applyAlignment="0" applyProtection="0"/>
    <xf numFmtId="0" fontId="116" fillId="0" borderId="137" applyNumberFormat="0" applyFill="0" applyAlignment="0" applyProtection="0"/>
    <xf numFmtId="0" fontId="110" fillId="38" borderId="136" applyNumberFormat="0" applyAlignment="0" applyProtection="0"/>
    <xf numFmtId="0" fontId="65" fillId="38" borderId="136" applyNumberFormat="0" applyAlignment="0" applyProtection="0"/>
    <xf numFmtId="0" fontId="72" fillId="0" borderId="137" applyNumberFormat="0" applyFill="0" applyAlignment="0" applyProtection="0"/>
    <xf numFmtId="0" fontId="110" fillId="38" borderId="136" applyNumberFormat="0" applyAlignment="0" applyProtection="0"/>
    <xf numFmtId="0" fontId="72" fillId="0" borderId="137" applyNumberFormat="0" applyFill="0" applyAlignment="0" applyProtection="0"/>
    <xf numFmtId="0" fontId="65" fillId="39" borderId="136" applyNumberFormat="0" applyAlignment="0" applyProtection="0"/>
    <xf numFmtId="0" fontId="65" fillId="39" borderId="136" applyNumberFormat="0" applyAlignment="0" applyProtection="0"/>
    <xf numFmtId="0" fontId="72" fillId="0" borderId="137" applyNumberFormat="0" applyFill="0" applyAlignment="0" applyProtection="0"/>
    <xf numFmtId="0" fontId="65" fillId="38" borderId="136"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0" fontId="65" fillId="39" borderId="136" applyNumberFormat="0" applyAlignment="0" applyProtection="0"/>
    <xf numFmtId="0" fontId="65" fillId="39" borderId="136" applyNumberFormat="0" applyAlignment="0" applyProtection="0"/>
    <xf numFmtId="43" fontId="35" fillId="0" borderId="0" applyFont="0" applyFill="0" applyBorder="0" applyAlignment="0" applyProtection="0"/>
    <xf numFmtId="9" fontId="6" fillId="0" borderId="0" applyFont="0" applyFill="0" applyBorder="0" applyAlignment="0" applyProtection="0"/>
    <xf numFmtId="0" fontId="5"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6"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6"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6" fillId="26" borderId="157" applyNumberFormat="0" applyFont="0" applyAlignment="0" applyProtection="0"/>
    <xf numFmtId="0" fontId="6" fillId="26" borderId="157" applyNumberFormat="0" applyFont="0" applyAlignment="0" applyProtection="0"/>
    <xf numFmtId="0" fontId="5" fillId="26" borderId="157" applyNumberFormat="0" applyFont="0" applyAlignment="0" applyProtection="0"/>
    <xf numFmtId="0" fontId="6" fillId="26" borderId="157" applyNumberFormat="0" applyFont="0" applyAlignment="0" applyProtection="0"/>
    <xf numFmtId="0" fontId="6"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6" fillId="26" borderId="157" applyNumberFormat="0" applyFont="0" applyAlignment="0" applyProtection="0"/>
    <xf numFmtId="0" fontId="5" fillId="26" borderId="157" applyNumberFormat="0" applyFont="0" applyAlignment="0" applyProtection="0"/>
    <xf numFmtId="0" fontId="6" fillId="26" borderId="157" applyNumberFormat="0" applyFont="0" applyAlignment="0" applyProtection="0"/>
    <xf numFmtId="0" fontId="5" fillId="26" borderId="157" applyNumberFormat="0" applyFont="0" applyAlignment="0" applyProtection="0"/>
    <xf numFmtId="0" fontId="65" fillId="39" borderId="136" applyNumberFormat="0" applyAlignment="0" applyProtection="0"/>
    <xf numFmtId="0" fontId="65" fillId="39" borderId="136" applyNumberFormat="0" applyAlignment="0" applyProtection="0"/>
    <xf numFmtId="0" fontId="65" fillId="38" borderId="136" applyNumberFormat="0" applyAlignment="0" applyProtection="0"/>
    <xf numFmtId="0" fontId="65" fillId="39" borderId="136" applyNumberFormat="0" applyAlignment="0" applyProtection="0"/>
    <xf numFmtId="0" fontId="65" fillId="38" borderId="136" applyNumberFormat="0" applyAlignment="0" applyProtection="0"/>
    <xf numFmtId="0" fontId="5"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110" fillId="38" borderId="136" applyNumberFormat="0" applyAlignment="0" applyProtection="0"/>
    <xf numFmtId="0" fontId="116" fillId="0" borderId="137" applyNumberFormat="0" applyFill="0" applyAlignment="0" applyProtection="0"/>
    <xf numFmtId="0" fontId="65" fillId="38" borderId="136" applyNumberFormat="0" applyAlignment="0" applyProtection="0"/>
    <xf numFmtId="0" fontId="72" fillId="0" borderId="137" applyNumberFormat="0" applyFill="0" applyAlignment="0" applyProtection="0"/>
    <xf numFmtId="0" fontId="5"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65" fillId="38" borderId="136" applyNumberFormat="0" applyAlignment="0" applyProtection="0"/>
    <xf numFmtId="43" fontId="35" fillId="0" borderId="0" applyFont="0" applyFill="0" applyBorder="0" applyAlignment="0" applyProtection="0"/>
    <xf numFmtId="0" fontId="65" fillId="39" borderId="136" applyNumberFormat="0" applyAlignment="0" applyProtection="0"/>
    <xf numFmtId="0" fontId="65" fillId="38" borderId="136" applyNumberFormat="0" applyAlignment="0" applyProtection="0"/>
    <xf numFmtId="43" fontId="6" fillId="0" borderId="0" applyFont="0" applyFill="0" applyBorder="0" applyAlignment="0" applyProtection="0"/>
    <xf numFmtId="0" fontId="101" fillId="38" borderId="156" applyNumberFormat="0" applyAlignment="0" applyProtection="0"/>
    <xf numFmtId="0" fontId="104" fillId="23" borderId="156" applyNumberFormat="0" applyAlignment="0" applyProtection="0"/>
    <xf numFmtId="0" fontId="110" fillId="38" borderId="136" applyNumberFormat="0" applyAlignment="0" applyProtection="0"/>
    <xf numFmtId="0" fontId="5" fillId="26" borderId="157" applyNumberFormat="0" applyFont="0" applyAlignment="0" applyProtection="0"/>
    <xf numFmtId="0" fontId="110" fillId="38" borderId="136" applyNumberFormat="0" applyAlignment="0" applyProtection="0"/>
    <xf numFmtId="0" fontId="65" fillId="38" borderId="136" applyNumberFormat="0" applyAlignment="0" applyProtection="0"/>
    <xf numFmtId="0" fontId="116" fillId="0" borderId="137" applyNumberFormat="0" applyFill="0" applyAlignment="0" applyProtection="0"/>
    <xf numFmtId="0" fontId="72" fillId="0" borderId="137" applyNumberFormat="0" applyFill="0" applyAlignment="0" applyProtection="0"/>
    <xf numFmtId="0" fontId="116" fillId="0" borderId="137" applyNumberFormat="0" applyFill="0" applyAlignment="0" applyProtection="0"/>
    <xf numFmtId="0" fontId="5" fillId="26" borderId="157" applyNumberFormat="0" applyFont="0" applyAlignment="0" applyProtection="0"/>
    <xf numFmtId="0" fontId="65" fillId="38" borderId="136" applyNumberFormat="0" applyAlignment="0" applyProtection="0"/>
    <xf numFmtId="0" fontId="62" fillId="23" borderId="156" applyNumberFormat="0" applyAlignment="0" applyProtection="0"/>
    <xf numFmtId="0" fontId="5" fillId="26" borderId="157" applyNumberFormat="0" applyFont="0" applyAlignment="0" applyProtection="0"/>
    <xf numFmtId="0" fontId="5" fillId="26" borderId="157" applyNumberFormat="0" applyFont="0" applyAlignment="0" applyProtection="0"/>
    <xf numFmtId="0" fontId="116" fillId="0" borderId="137" applyNumberFormat="0" applyFill="0" applyAlignment="0" applyProtection="0"/>
    <xf numFmtId="166" fontId="49" fillId="0" borderId="0" applyFont="0" applyFill="0" applyBorder="0" applyAlignment="0" applyProtection="0"/>
    <xf numFmtId="0" fontId="65" fillId="39" borderId="136" applyNumberFormat="0" applyAlignment="0" applyProtection="0"/>
    <xf numFmtId="0" fontId="116" fillId="0" borderId="137" applyNumberFormat="0" applyFill="0" applyAlignment="0" applyProtection="0"/>
    <xf numFmtId="0" fontId="110" fillId="38" borderId="136" applyNumberFormat="0" applyAlignment="0" applyProtection="0"/>
    <xf numFmtId="0" fontId="110" fillId="38" borderId="136" applyNumberFormat="0" applyAlignment="0" applyProtection="0"/>
    <xf numFmtId="0" fontId="110" fillId="38" borderId="136" applyNumberFormat="0" applyAlignment="0" applyProtection="0"/>
    <xf numFmtId="0" fontId="5" fillId="26" borderId="157" applyNumberFormat="0" applyFont="0" applyAlignment="0" applyProtection="0"/>
    <xf numFmtId="0" fontId="116" fillId="0" borderId="137" applyNumberFormat="0" applyFill="0" applyAlignment="0" applyProtection="0"/>
    <xf numFmtId="0" fontId="65" fillId="39" borderId="136" applyNumberFormat="0" applyAlignment="0" applyProtection="0"/>
    <xf numFmtId="0" fontId="72" fillId="0" borderId="137" applyNumberFormat="0" applyFill="0" applyAlignment="0" applyProtection="0"/>
    <xf numFmtId="0" fontId="72" fillId="0" borderId="137" applyNumberFormat="0" applyFill="0" applyAlignment="0" applyProtection="0"/>
    <xf numFmtId="0" fontId="116" fillId="0" borderId="137" applyNumberFormat="0" applyFill="0" applyAlignment="0" applyProtection="0"/>
    <xf numFmtId="0" fontId="65" fillId="38" borderId="136" applyNumberFormat="0" applyAlignment="0" applyProtection="0"/>
    <xf numFmtId="0" fontId="65" fillId="38" borderId="136" applyNumberFormat="0" applyAlignment="0" applyProtection="0"/>
    <xf numFmtId="0" fontId="5" fillId="26" borderId="157" applyNumberFormat="0" applyFont="0" applyAlignment="0" applyProtection="0"/>
    <xf numFmtId="0" fontId="116" fillId="0" borderId="137" applyNumberFormat="0" applyFill="0" applyAlignment="0" applyProtection="0"/>
    <xf numFmtId="0" fontId="116" fillId="0" borderId="137" applyNumberFormat="0" applyFill="0" applyAlignment="0" applyProtection="0"/>
    <xf numFmtId="0" fontId="65" fillId="39" borderId="136" applyNumberFormat="0" applyAlignment="0" applyProtection="0"/>
    <xf numFmtId="9" fontId="6" fillId="0" borderId="0" applyFont="0" applyFill="0" applyBorder="0" applyAlignment="0" applyProtection="0"/>
    <xf numFmtId="0" fontId="65" fillId="38" borderId="136" applyNumberFormat="0" applyAlignment="0" applyProtection="0"/>
    <xf numFmtId="0" fontId="65" fillId="39" borderId="136" applyNumberFormat="0" applyAlignment="0" applyProtection="0"/>
    <xf numFmtId="0" fontId="72" fillId="0" borderId="137" applyNumberFormat="0" applyFill="0" applyAlignment="0" applyProtection="0"/>
    <xf numFmtId="0" fontId="65" fillId="39" borderId="136" applyNumberFormat="0" applyAlignment="0" applyProtection="0"/>
    <xf numFmtId="0" fontId="5" fillId="0" borderId="0"/>
    <xf numFmtId="0" fontId="72" fillId="0" borderId="137" applyNumberFormat="0" applyFill="0" applyAlignment="0" applyProtection="0"/>
    <xf numFmtId="0" fontId="110" fillId="38" borderId="136" applyNumberFormat="0" applyAlignment="0" applyProtection="0"/>
    <xf numFmtId="0" fontId="65" fillId="38" borderId="136" applyNumberFormat="0" applyAlignment="0" applyProtection="0"/>
    <xf numFmtId="0" fontId="72" fillId="0" borderId="137" applyNumberFormat="0" applyFill="0" applyAlignment="0" applyProtection="0"/>
    <xf numFmtId="0" fontId="110" fillId="38" borderId="136" applyNumberFormat="0" applyAlignment="0" applyProtection="0"/>
    <xf numFmtId="0" fontId="110" fillId="38" borderId="136" applyNumberFormat="0" applyAlignment="0" applyProtection="0"/>
    <xf numFmtId="0" fontId="116" fillId="0" borderId="137" applyNumberFormat="0" applyFill="0" applyAlignment="0" applyProtection="0"/>
    <xf numFmtId="0" fontId="116" fillId="0" borderId="137" applyNumberFormat="0" applyFill="0" applyAlignment="0" applyProtection="0"/>
    <xf numFmtId="0" fontId="5" fillId="26" borderId="157" applyNumberFormat="0" applyFont="0" applyAlignment="0" applyProtection="0"/>
    <xf numFmtId="0" fontId="6" fillId="26" borderId="157" applyNumberFormat="0" applyFont="0" applyAlignment="0" applyProtection="0"/>
    <xf numFmtId="10" fontId="36" fillId="16" borderId="160" applyNumberFormat="0" applyBorder="0" applyAlignment="0" applyProtection="0"/>
    <xf numFmtId="0" fontId="65" fillId="39" borderId="136" applyNumberFormat="0" applyAlignment="0" applyProtection="0"/>
    <xf numFmtId="0" fontId="65" fillId="38" borderId="136" applyNumberFormat="0" applyAlignment="0" applyProtection="0"/>
    <xf numFmtId="0" fontId="5" fillId="26" borderId="157" applyNumberFormat="0" applyFont="0" applyAlignment="0" applyProtection="0"/>
    <xf numFmtId="0" fontId="72" fillId="0" borderId="137" applyNumberFormat="0" applyFill="0" applyAlignment="0" applyProtection="0"/>
    <xf numFmtId="0" fontId="110" fillId="38" borderId="136" applyNumberFormat="0" applyAlignment="0" applyProtection="0"/>
    <xf numFmtId="0" fontId="110" fillId="38" borderId="136" applyNumberFormat="0" applyAlignment="0" applyProtection="0"/>
    <xf numFmtId="43" fontId="5" fillId="0" borderId="0" applyFont="0" applyFill="0" applyBorder="0" applyAlignment="0" applyProtection="0"/>
    <xf numFmtId="0" fontId="110" fillId="38" borderId="136" applyNumberFormat="0" applyAlignment="0" applyProtection="0"/>
    <xf numFmtId="0" fontId="65" fillId="38" borderId="136" applyNumberFormat="0" applyAlignment="0" applyProtection="0"/>
    <xf numFmtId="166" fontId="35" fillId="0" borderId="0" applyFont="0" applyFill="0" applyBorder="0" applyAlignment="0" applyProtection="0"/>
    <xf numFmtId="43" fontId="6" fillId="0" borderId="0" applyFont="0" applyFill="0" applyBorder="0" applyAlignment="0" applyProtection="0"/>
    <xf numFmtId="0" fontId="65" fillId="39" borderId="136" applyNumberFormat="0" applyAlignment="0" applyProtection="0"/>
    <xf numFmtId="0" fontId="116" fillId="0" borderId="137" applyNumberFormat="0" applyFill="0" applyAlignment="0" applyProtection="0"/>
    <xf numFmtId="0" fontId="65" fillId="39" borderId="136" applyNumberFormat="0" applyAlignment="0" applyProtection="0"/>
    <xf numFmtId="0" fontId="72" fillId="0" borderId="137" applyNumberFormat="0" applyFill="0" applyAlignment="0" applyProtection="0"/>
    <xf numFmtId="166" fontId="5" fillId="0" borderId="0" applyFont="0" applyFill="0" applyBorder="0" applyAlignment="0" applyProtection="0"/>
    <xf numFmtId="0" fontId="65" fillId="39" borderId="136" applyNumberFormat="0" applyAlignment="0" applyProtection="0"/>
    <xf numFmtId="0" fontId="6" fillId="26" borderId="157" applyNumberFormat="0" applyFont="0" applyAlignment="0" applyProtection="0"/>
    <xf numFmtId="0" fontId="72" fillId="0" borderId="137" applyNumberFormat="0" applyFill="0" applyAlignment="0" applyProtection="0"/>
    <xf numFmtId="0" fontId="110" fillId="38" borderId="136" applyNumberFormat="0" applyAlignment="0" applyProtection="0"/>
    <xf numFmtId="0" fontId="5" fillId="26" borderId="157" applyNumberFormat="0" applyFont="0" applyAlignment="0" applyProtection="0"/>
    <xf numFmtId="43" fontId="5" fillId="0" borderId="0" applyFont="0" applyFill="0" applyBorder="0" applyAlignment="0" applyProtection="0"/>
    <xf numFmtId="0" fontId="72" fillId="0" borderId="137" applyNumberFormat="0" applyFill="0" applyAlignment="0" applyProtection="0"/>
    <xf numFmtId="0" fontId="65" fillId="39" borderId="136" applyNumberFormat="0" applyAlignment="0" applyProtection="0"/>
    <xf numFmtId="0" fontId="116" fillId="0" borderId="137" applyNumberFormat="0" applyFill="0" applyAlignment="0" applyProtection="0"/>
    <xf numFmtId="0" fontId="110" fillId="38" borderId="136" applyNumberFormat="0" applyAlignment="0" applyProtection="0"/>
    <xf numFmtId="43" fontId="5" fillId="0" borderId="0" applyFont="0" applyFill="0" applyBorder="0" applyAlignment="0" applyProtection="0"/>
    <xf numFmtId="0" fontId="65" fillId="39" borderId="136" applyNumberFormat="0" applyAlignment="0" applyProtection="0"/>
    <xf numFmtId="0" fontId="65" fillId="38" borderId="136" applyNumberFormat="0" applyAlignment="0" applyProtection="0"/>
    <xf numFmtId="0" fontId="65" fillId="39" borderId="136" applyNumberFormat="0" applyAlignment="0" applyProtection="0"/>
    <xf numFmtId="0" fontId="65" fillId="38" borderId="136" applyNumberFormat="0" applyAlignment="0" applyProtection="0"/>
    <xf numFmtId="0" fontId="65" fillId="39" borderId="136" applyNumberFormat="0" applyAlignment="0" applyProtection="0"/>
    <xf numFmtId="0" fontId="116" fillId="0" borderId="137" applyNumberFormat="0" applyFill="0" applyAlignment="0" applyProtection="0"/>
    <xf numFmtId="0" fontId="5" fillId="26" borderId="157" applyNumberFormat="0" applyFont="0" applyAlignment="0" applyProtection="0"/>
    <xf numFmtId="0" fontId="116" fillId="0" borderId="137" applyNumberFormat="0" applyFill="0" applyAlignment="0" applyProtection="0"/>
    <xf numFmtId="0" fontId="116" fillId="0" borderId="137" applyNumberFormat="0" applyFill="0" applyAlignment="0" applyProtection="0"/>
    <xf numFmtId="43" fontId="6" fillId="0" borderId="0" applyFont="0" applyFill="0" applyBorder="0" applyAlignment="0" applyProtection="0"/>
    <xf numFmtId="0" fontId="72" fillId="0" borderId="137" applyNumberFormat="0" applyFill="0" applyAlignment="0" applyProtection="0"/>
    <xf numFmtId="43" fontId="5" fillId="0" borderId="0" applyFont="0" applyFill="0" applyBorder="0" applyAlignment="0" applyProtection="0"/>
    <xf numFmtId="0" fontId="5" fillId="26" borderId="157" applyNumberFormat="0" applyFont="0" applyAlignment="0" applyProtection="0"/>
    <xf numFmtId="0" fontId="65" fillId="38" borderId="136" applyNumberFormat="0" applyAlignment="0" applyProtection="0"/>
    <xf numFmtId="0" fontId="5" fillId="26" borderId="157" applyNumberFormat="0" applyFont="0" applyAlignment="0" applyProtection="0"/>
    <xf numFmtId="0" fontId="116" fillId="0" borderId="137" applyNumberFormat="0" applyFill="0" applyAlignment="0" applyProtection="0"/>
    <xf numFmtId="0" fontId="73" fillId="39" borderId="156" applyNumberFormat="0" applyAlignment="0" applyProtection="0"/>
    <xf numFmtId="10" fontId="36" fillId="16" borderId="160" applyNumberFormat="0" applyBorder="0" applyAlignment="0" applyProtection="0"/>
    <xf numFmtId="0" fontId="5" fillId="26" borderId="157" applyNumberFormat="0" applyFont="0" applyAlignment="0" applyProtection="0"/>
    <xf numFmtId="0" fontId="65" fillId="39" borderId="136" applyNumberFormat="0" applyAlignment="0" applyProtection="0"/>
    <xf numFmtId="0" fontId="65" fillId="39" borderId="136" applyNumberFormat="0" applyAlignment="0" applyProtection="0"/>
    <xf numFmtId="0" fontId="110" fillId="38" borderId="136" applyNumberFormat="0" applyAlignment="0" applyProtection="0"/>
    <xf numFmtId="10" fontId="36" fillId="16" borderId="160" applyNumberFormat="0" applyBorder="0" applyAlignment="0" applyProtection="0"/>
    <xf numFmtId="0" fontId="62" fillId="29" borderId="156" applyNumberFormat="0" applyAlignment="0" applyProtection="0"/>
    <xf numFmtId="0" fontId="62" fillId="23" borderId="156" applyNumberFormat="0" applyAlignment="0" applyProtection="0"/>
    <xf numFmtId="0" fontId="72" fillId="0" borderId="137" applyNumberFormat="0" applyFill="0" applyAlignment="0" applyProtection="0"/>
    <xf numFmtId="0" fontId="5" fillId="26" borderId="157" applyNumberFormat="0" applyFont="0" applyAlignment="0" applyProtection="0"/>
    <xf numFmtId="0" fontId="104" fillId="23" borderId="156" applyNumberFormat="0" applyAlignment="0" applyProtection="0"/>
    <xf numFmtId="0" fontId="62" fillId="23" borderId="156" applyNumberFormat="0" applyAlignment="0" applyProtection="0"/>
    <xf numFmtId="0" fontId="5" fillId="26" borderId="157" applyNumberFormat="0" applyFont="0" applyAlignment="0" applyProtection="0"/>
    <xf numFmtId="0" fontId="65" fillId="38" borderId="136" applyNumberFormat="0" applyAlignment="0" applyProtection="0"/>
    <xf numFmtId="0" fontId="65" fillId="39" borderId="136" applyNumberFormat="0" applyAlignment="0" applyProtection="0"/>
    <xf numFmtId="0" fontId="72" fillId="0" borderId="137" applyNumberFormat="0" applyFill="0" applyAlignment="0" applyProtection="0"/>
    <xf numFmtId="0" fontId="5" fillId="26" borderId="157" applyNumberFormat="0" applyFont="0" applyAlignment="0" applyProtection="0"/>
    <xf numFmtId="0" fontId="104" fillId="23" borderId="156" applyNumberFormat="0" applyAlignment="0" applyProtection="0"/>
    <xf numFmtId="0" fontId="101" fillId="38" borderId="156" applyNumberFormat="0" applyAlignment="0" applyProtection="0"/>
    <xf numFmtId="0" fontId="62" fillId="29" borderId="156" applyNumberFormat="0" applyAlignment="0" applyProtection="0"/>
    <xf numFmtId="0" fontId="101" fillId="38" borderId="156" applyNumberFormat="0" applyAlignment="0" applyProtection="0"/>
    <xf numFmtId="0" fontId="5" fillId="26" borderId="157" applyNumberFormat="0" applyFont="0" applyAlignment="0" applyProtection="0"/>
    <xf numFmtId="0" fontId="110" fillId="38" borderId="136" applyNumberFormat="0" applyAlignment="0" applyProtection="0"/>
    <xf numFmtId="0" fontId="104" fillId="23" borderId="156" applyNumberFormat="0" applyAlignment="0" applyProtection="0"/>
    <xf numFmtId="0" fontId="5" fillId="26" borderId="157" applyNumberFormat="0" applyFont="0" applyAlignment="0" applyProtection="0"/>
    <xf numFmtId="0" fontId="5" fillId="26" borderId="157" applyNumberFormat="0" applyFont="0" applyAlignment="0" applyProtection="0"/>
    <xf numFmtId="0" fontId="65" fillId="39" borderId="136" applyNumberFormat="0" applyAlignment="0" applyProtection="0"/>
    <xf numFmtId="0" fontId="59" fillId="38" borderId="156" applyNumberFormat="0" applyAlignment="0" applyProtection="0"/>
    <xf numFmtId="0" fontId="5"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73" fillId="39" borderId="156" applyNumberFormat="0" applyAlignment="0" applyProtection="0"/>
    <xf numFmtId="10" fontId="36" fillId="16" borderId="160" applyNumberFormat="0" applyBorder="0" applyAlignment="0" applyProtection="0"/>
    <xf numFmtId="0" fontId="62" fillId="23" borderId="156" applyNumberFormat="0" applyAlignment="0" applyProtection="0"/>
    <xf numFmtId="0" fontId="59" fillId="38" borderId="156" applyNumberFormat="0" applyAlignment="0" applyProtection="0"/>
    <xf numFmtId="0" fontId="72" fillId="0" borderId="137" applyNumberFormat="0" applyFill="0" applyAlignment="0" applyProtection="0"/>
    <xf numFmtId="0" fontId="5" fillId="26" borderId="157" applyNumberFormat="0" applyFont="0" applyAlignment="0" applyProtection="0"/>
    <xf numFmtId="0" fontId="72" fillId="0" borderId="137" applyNumberFormat="0" applyFill="0" applyAlignment="0" applyProtection="0"/>
    <xf numFmtId="0" fontId="5"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104" fillId="23" borderId="156" applyNumberFormat="0" applyAlignment="0" applyProtection="0"/>
    <xf numFmtId="0" fontId="73" fillId="39" borderId="156" applyNumberFormat="0" applyAlignment="0" applyProtection="0"/>
    <xf numFmtId="0" fontId="5" fillId="26" borderId="157" applyNumberFormat="0" applyFont="0" applyAlignment="0" applyProtection="0"/>
    <xf numFmtId="0" fontId="6" fillId="26" borderId="157" applyNumberFormat="0" applyFont="0" applyAlignment="0" applyProtection="0"/>
    <xf numFmtId="0" fontId="59" fillId="38" borderId="156" applyNumberFormat="0" applyAlignment="0" applyProtection="0"/>
    <xf numFmtId="0" fontId="73" fillId="39" borderId="156" applyNumberFormat="0" applyAlignment="0" applyProtection="0"/>
    <xf numFmtId="0" fontId="65" fillId="38" borderId="136" applyNumberFormat="0" applyAlignment="0" applyProtection="0"/>
    <xf numFmtId="0" fontId="5" fillId="26" borderId="157" applyNumberFormat="0" applyFont="0" applyAlignment="0" applyProtection="0"/>
    <xf numFmtId="0" fontId="65" fillId="38" borderId="136" applyNumberFormat="0" applyAlignment="0" applyProtection="0"/>
    <xf numFmtId="0" fontId="110" fillId="38" borderId="136" applyNumberFormat="0" applyAlignment="0" applyProtection="0"/>
    <xf numFmtId="0" fontId="5" fillId="26" borderId="157" applyNumberFormat="0" applyFont="0" applyAlignment="0" applyProtection="0"/>
    <xf numFmtId="0" fontId="65" fillId="39" borderId="136" applyNumberFormat="0" applyAlignment="0" applyProtection="0"/>
    <xf numFmtId="0" fontId="65" fillId="38" borderId="136" applyNumberFormat="0" applyAlignment="0" applyProtection="0"/>
    <xf numFmtId="0" fontId="62" fillId="23" borderId="156" applyNumberFormat="0" applyAlignment="0" applyProtection="0"/>
    <xf numFmtId="0" fontId="5" fillId="26" borderId="157" applyNumberFormat="0" applyFont="0" applyAlignment="0" applyProtection="0"/>
    <xf numFmtId="0" fontId="73" fillId="39" borderId="156" applyNumberFormat="0" applyAlignment="0" applyProtection="0"/>
    <xf numFmtId="0" fontId="5" fillId="26" borderId="157" applyNumberFormat="0" applyFont="0" applyAlignment="0" applyProtection="0"/>
    <xf numFmtId="0" fontId="6" fillId="26" borderId="157" applyNumberFormat="0" applyFont="0" applyAlignment="0" applyProtection="0"/>
    <xf numFmtId="0" fontId="5" fillId="26" borderId="157" applyNumberFormat="0" applyFont="0" applyAlignment="0" applyProtection="0"/>
    <xf numFmtId="0" fontId="62" fillId="29" borderId="156" applyNumberFormat="0" applyAlignment="0" applyProtection="0"/>
    <xf numFmtId="0" fontId="5"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72" fillId="0" borderId="137" applyNumberFormat="0" applyFill="0" applyAlignment="0" applyProtection="0"/>
    <xf numFmtId="0" fontId="116" fillId="0" borderId="137" applyNumberFormat="0" applyFill="0" applyAlignment="0" applyProtection="0"/>
    <xf numFmtId="0" fontId="5" fillId="26" borderId="157" applyNumberFormat="0" applyFont="0" applyAlignment="0" applyProtection="0"/>
    <xf numFmtId="0" fontId="59" fillId="38" borderId="156" applyNumberFormat="0" applyAlignment="0" applyProtection="0"/>
    <xf numFmtId="0" fontId="6" fillId="26" borderId="157" applyNumberFormat="0" applyFont="0" applyAlignment="0" applyProtection="0"/>
    <xf numFmtId="0" fontId="5" fillId="26" borderId="157" applyNumberFormat="0" applyFont="0" applyAlignment="0" applyProtection="0"/>
    <xf numFmtId="0" fontId="62" fillId="23" borderId="156" applyNumberFormat="0" applyAlignment="0" applyProtection="0"/>
    <xf numFmtId="0" fontId="59" fillId="38" borderId="156" applyNumberFormat="0" applyAlignment="0" applyProtection="0"/>
    <xf numFmtId="0" fontId="116" fillId="0" borderId="137" applyNumberFormat="0" applyFill="0" applyAlignment="0" applyProtection="0"/>
    <xf numFmtId="0" fontId="72" fillId="0" borderId="137" applyNumberFormat="0" applyFill="0" applyAlignment="0" applyProtection="0"/>
    <xf numFmtId="0" fontId="62" fillId="23" borderId="156" applyNumberFormat="0" applyAlignment="0" applyProtection="0"/>
    <xf numFmtId="0" fontId="104" fillId="23" borderId="156" applyNumberFormat="0" applyAlignment="0" applyProtection="0"/>
    <xf numFmtId="0" fontId="73" fillId="39" borderId="156" applyNumberFormat="0" applyAlignment="0" applyProtection="0"/>
    <xf numFmtId="0" fontId="72" fillId="0" borderId="137" applyNumberFormat="0" applyFill="0" applyAlignment="0" applyProtection="0"/>
    <xf numFmtId="0" fontId="6" fillId="26" borderId="157" applyNumberFormat="0" applyFont="0" applyAlignment="0" applyProtection="0"/>
    <xf numFmtId="0" fontId="62" fillId="23" borderId="156" applyNumberFormat="0" applyAlignment="0" applyProtection="0"/>
    <xf numFmtId="0" fontId="5" fillId="26" borderId="157" applyNumberFormat="0" applyFont="0" applyAlignment="0" applyProtection="0"/>
    <xf numFmtId="0" fontId="116" fillId="0" borderId="137" applyNumberFormat="0" applyFill="0" applyAlignment="0" applyProtection="0"/>
    <xf numFmtId="0" fontId="110" fillId="38" borderId="136" applyNumberFormat="0" applyAlignment="0" applyProtection="0"/>
    <xf numFmtId="0" fontId="59" fillId="38" borderId="156" applyNumberFormat="0" applyAlignment="0" applyProtection="0"/>
    <xf numFmtId="0" fontId="65" fillId="39" borderId="136" applyNumberFormat="0" applyAlignment="0" applyProtection="0"/>
    <xf numFmtId="0" fontId="62" fillId="23" borderId="156" applyNumberFormat="0" applyAlignment="0" applyProtection="0"/>
    <xf numFmtId="0" fontId="5" fillId="26" borderId="157" applyNumberFormat="0" applyFont="0" applyAlignment="0" applyProtection="0"/>
    <xf numFmtId="0" fontId="116" fillId="0" borderId="137" applyNumberFormat="0" applyFill="0" applyAlignment="0" applyProtection="0"/>
    <xf numFmtId="0" fontId="73" fillId="39" borderId="156" applyNumberFormat="0" applyAlignment="0" applyProtection="0"/>
    <xf numFmtId="0" fontId="5" fillId="26" borderId="157" applyNumberFormat="0" applyFont="0" applyAlignment="0" applyProtection="0"/>
    <xf numFmtId="0" fontId="65" fillId="39" borderId="136" applyNumberFormat="0" applyAlignment="0" applyProtection="0"/>
    <xf numFmtId="0" fontId="65" fillId="39" borderId="136" applyNumberFormat="0" applyAlignment="0" applyProtection="0"/>
    <xf numFmtId="0" fontId="72" fillId="0" borderId="137" applyNumberFormat="0" applyFill="0" applyAlignment="0" applyProtection="0"/>
    <xf numFmtId="0" fontId="104" fillId="23" borderId="156" applyNumberFormat="0" applyAlignment="0" applyProtection="0"/>
    <xf numFmtId="0" fontId="62" fillId="29" borderId="156" applyNumberFormat="0" applyAlignment="0" applyProtection="0"/>
    <xf numFmtId="0" fontId="5" fillId="26" borderId="157" applyNumberFormat="0" applyFont="0" applyAlignment="0" applyProtection="0"/>
    <xf numFmtId="0" fontId="6" fillId="26" borderId="157" applyNumberFormat="0" applyFont="0" applyAlignment="0" applyProtection="0"/>
    <xf numFmtId="0" fontId="101" fillId="38" borderId="156" applyNumberFormat="0" applyAlignment="0" applyProtection="0"/>
    <xf numFmtId="0" fontId="104" fillId="23" borderId="156" applyNumberFormat="0" applyAlignment="0" applyProtection="0"/>
    <xf numFmtId="0" fontId="5" fillId="26" borderId="157" applyNumberFormat="0" applyFont="0" applyAlignment="0" applyProtection="0"/>
    <xf numFmtId="0" fontId="110" fillId="38" borderId="136" applyNumberFormat="0" applyAlignment="0" applyProtection="0"/>
    <xf numFmtId="0" fontId="5" fillId="26" borderId="157" applyNumberFormat="0" applyFont="0" applyAlignment="0" applyProtection="0"/>
    <xf numFmtId="0" fontId="116" fillId="0" borderId="137" applyNumberFormat="0" applyFill="0" applyAlignment="0" applyProtection="0"/>
    <xf numFmtId="0" fontId="62" fillId="23" borderId="156" applyNumberFormat="0" applyAlignment="0" applyProtection="0"/>
    <xf numFmtId="0" fontId="6" fillId="26" borderId="157" applyNumberFormat="0" applyFont="0" applyAlignment="0" applyProtection="0"/>
    <xf numFmtId="0" fontId="65" fillId="38" borderId="136" applyNumberFormat="0" applyAlignment="0" applyProtection="0"/>
    <xf numFmtId="0" fontId="62" fillId="23" borderId="156" applyNumberFormat="0" applyAlignment="0" applyProtection="0"/>
    <xf numFmtId="0" fontId="62" fillId="29" borderId="156" applyNumberFormat="0" applyAlignment="0" applyProtection="0"/>
    <xf numFmtId="0" fontId="62" fillId="23" borderId="156" applyNumberFormat="0" applyAlignment="0" applyProtection="0"/>
    <xf numFmtId="0" fontId="62" fillId="23" borderId="156" applyNumberFormat="0" applyAlignment="0" applyProtection="0"/>
    <xf numFmtId="0" fontId="62" fillId="23" borderId="156" applyNumberFormat="0" applyAlignment="0" applyProtection="0"/>
    <xf numFmtId="0" fontId="65" fillId="39" borderId="136" applyNumberFormat="0" applyAlignment="0" applyProtection="0"/>
    <xf numFmtId="0" fontId="59" fillId="38" borderId="156" applyNumberFormat="0" applyAlignment="0" applyProtection="0"/>
    <xf numFmtId="0" fontId="116" fillId="0" borderId="137" applyNumberFormat="0" applyFill="0" applyAlignment="0" applyProtection="0"/>
    <xf numFmtId="0" fontId="62" fillId="23" borderId="156" applyNumberFormat="0" applyAlignment="0" applyProtection="0"/>
    <xf numFmtId="0" fontId="65" fillId="38" borderId="136" applyNumberFormat="0" applyAlignment="0" applyProtection="0"/>
    <xf numFmtId="0" fontId="5" fillId="26" borderId="157" applyNumberFormat="0" applyFont="0" applyAlignment="0" applyProtection="0"/>
    <xf numFmtId="0" fontId="116" fillId="0" borderId="137" applyNumberFormat="0" applyFill="0" applyAlignment="0" applyProtection="0"/>
    <xf numFmtId="0" fontId="62" fillId="29" borderId="156" applyNumberFormat="0" applyAlignment="0" applyProtection="0"/>
    <xf numFmtId="0" fontId="5" fillId="26" borderId="157" applyNumberFormat="0" applyFont="0" applyAlignment="0" applyProtection="0"/>
    <xf numFmtId="0" fontId="5" fillId="26" borderId="157" applyNumberFormat="0" applyFont="0" applyAlignment="0" applyProtection="0"/>
    <xf numFmtId="10" fontId="36" fillId="16" borderId="160" applyNumberFormat="0" applyBorder="0" applyAlignment="0" applyProtection="0"/>
    <xf numFmtId="0" fontId="6" fillId="26" borderId="157" applyNumberFormat="0" applyFont="0" applyAlignment="0" applyProtection="0"/>
    <xf numFmtId="0" fontId="72" fillId="0" borderId="137" applyNumberFormat="0" applyFill="0" applyAlignment="0" applyProtection="0"/>
    <xf numFmtId="0" fontId="101" fillId="38" borderId="156" applyNumberFormat="0" applyAlignment="0" applyProtection="0"/>
    <xf numFmtId="0" fontId="62" fillId="23" borderId="156" applyNumberFormat="0" applyAlignment="0" applyProtection="0"/>
    <xf numFmtId="0" fontId="5" fillId="26" borderId="157" applyNumberFormat="0" applyFont="0" applyAlignment="0" applyProtection="0"/>
    <xf numFmtId="0" fontId="110" fillId="38" borderId="136" applyNumberFormat="0" applyAlignment="0" applyProtection="0"/>
    <xf numFmtId="0" fontId="110" fillId="38" borderId="136" applyNumberFormat="0" applyAlignment="0" applyProtection="0"/>
    <xf numFmtId="10" fontId="36" fillId="16" borderId="160" applyNumberFormat="0" applyBorder="0" applyAlignment="0" applyProtection="0"/>
    <xf numFmtId="0" fontId="101" fillId="38" borderId="156" applyNumberFormat="0" applyAlignment="0" applyProtection="0"/>
    <xf numFmtId="0" fontId="116" fillId="0" borderId="137" applyNumberFormat="0" applyFill="0" applyAlignment="0" applyProtection="0"/>
    <xf numFmtId="0" fontId="104" fillId="23" borderId="156" applyNumberFormat="0" applyAlignment="0" applyProtection="0"/>
    <xf numFmtId="0" fontId="101" fillId="38" borderId="156" applyNumberFormat="0" applyAlignment="0" applyProtection="0"/>
    <xf numFmtId="0" fontId="6" fillId="26" borderId="157" applyNumberFormat="0" applyFont="0" applyAlignment="0" applyProtection="0"/>
    <xf numFmtId="0" fontId="62" fillId="29" borderId="156" applyNumberFormat="0" applyAlignment="0" applyProtection="0"/>
    <xf numFmtId="0" fontId="110" fillId="38" borderId="136" applyNumberFormat="0" applyAlignment="0" applyProtection="0"/>
    <xf numFmtId="0" fontId="5" fillId="26" borderId="157" applyNumberFormat="0" applyFont="0" applyAlignment="0" applyProtection="0"/>
    <xf numFmtId="0" fontId="5" fillId="26" borderId="157" applyNumberFormat="0" applyFont="0" applyAlignment="0" applyProtection="0"/>
    <xf numFmtId="0" fontId="65" fillId="38" borderId="136" applyNumberFormat="0" applyAlignment="0" applyProtection="0"/>
    <xf numFmtId="0" fontId="101" fillId="38" borderId="156" applyNumberFormat="0" applyAlignment="0" applyProtection="0"/>
    <xf numFmtId="0" fontId="5"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65" fillId="39" borderId="136" applyNumberFormat="0" applyAlignment="0" applyProtection="0"/>
    <xf numFmtId="10" fontId="36" fillId="16" borderId="160" applyNumberFormat="0" applyBorder="0" applyAlignment="0" applyProtection="0"/>
    <xf numFmtId="0" fontId="65" fillId="38" borderId="136" applyNumberFormat="0" applyAlignment="0" applyProtection="0"/>
    <xf numFmtId="0" fontId="101" fillId="38" borderId="156" applyNumberFormat="0" applyAlignment="0" applyProtection="0"/>
    <xf numFmtId="0" fontId="62" fillId="23" borderId="156" applyNumberFormat="0" applyAlignment="0" applyProtection="0"/>
    <xf numFmtId="0" fontId="5" fillId="26" borderId="157" applyNumberFormat="0" applyFont="0" applyAlignment="0" applyProtection="0"/>
    <xf numFmtId="0" fontId="5" fillId="26" borderId="157" applyNumberFormat="0" applyFont="0" applyAlignment="0" applyProtection="0"/>
    <xf numFmtId="0" fontId="65" fillId="38" borderId="136" applyNumberFormat="0" applyAlignment="0" applyProtection="0"/>
    <xf numFmtId="0" fontId="62" fillId="23" borderId="156" applyNumberFormat="0" applyAlignment="0" applyProtection="0"/>
    <xf numFmtId="0" fontId="5" fillId="26" borderId="157" applyNumberFormat="0" applyFont="0" applyAlignment="0" applyProtection="0"/>
    <xf numFmtId="0" fontId="73" fillId="39" borderId="156" applyNumberFormat="0" applyAlignment="0" applyProtection="0"/>
    <xf numFmtId="0" fontId="116" fillId="0" borderId="137" applyNumberFormat="0" applyFill="0" applyAlignment="0" applyProtection="0"/>
    <xf numFmtId="0" fontId="62" fillId="29" borderId="156" applyNumberFormat="0" applyAlignment="0" applyProtection="0"/>
    <xf numFmtId="0" fontId="5" fillId="26" borderId="157" applyNumberFormat="0" applyFont="0" applyAlignment="0" applyProtection="0"/>
    <xf numFmtId="10" fontId="36" fillId="16" borderId="160" applyNumberFormat="0" applyBorder="0" applyAlignment="0" applyProtection="0"/>
    <xf numFmtId="0" fontId="62" fillId="23" borderId="156" applyNumberFormat="0" applyAlignment="0" applyProtection="0"/>
    <xf numFmtId="0" fontId="101" fillId="38" borderId="156" applyNumberFormat="0" applyAlignment="0" applyProtection="0"/>
    <xf numFmtId="0" fontId="65" fillId="39" borderId="136" applyNumberFormat="0" applyAlignment="0" applyProtection="0"/>
    <xf numFmtId="0" fontId="5" fillId="26" borderId="157" applyNumberFormat="0" applyFont="0" applyAlignment="0" applyProtection="0"/>
    <xf numFmtId="0" fontId="65" fillId="38" borderId="136" applyNumberFormat="0" applyAlignment="0" applyProtection="0"/>
    <xf numFmtId="0" fontId="104" fillId="23" borderId="156" applyNumberFormat="0" applyAlignment="0" applyProtection="0"/>
    <xf numFmtId="0" fontId="59" fillId="38" borderId="156" applyNumberFormat="0" applyAlignment="0" applyProtection="0"/>
    <xf numFmtId="0" fontId="5"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72" fillId="0" borderId="137" applyNumberFormat="0" applyFill="0" applyAlignment="0" applyProtection="0"/>
    <xf numFmtId="0" fontId="62" fillId="23" borderId="156" applyNumberFormat="0" applyAlignment="0" applyProtection="0"/>
    <xf numFmtId="0" fontId="110" fillId="38" borderId="136" applyNumberFormat="0" applyAlignment="0" applyProtection="0"/>
    <xf numFmtId="0" fontId="6" fillId="26" borderId="157" applyNumberFormat="0" applyFont="0" applyAlignment="0" applyProtection="0"/>
    <xf numFmtId="0" fontId="116" fillId="0" borderId="137" applyNumberFormat="0" applyFill="0" applyAlignment="0" applyProtection="0"/>
    <xf numFmtId="0" fontId="65" fillId="39" borderId="136" applyNumberFormat="0" applyAlignment="0" applyProtection="0"/>
    <xf numFmtId="0" fontId="65" fillId="38" borderId="136" applyNumberFormat="0" applyAlignment="0" applyProtection="0"/>
    <xf numFmtId="0" fontId="72" fillId="0" borderId="137" applyNumberFormat="0" applyFill="0" applyAlignment="0" applyProtection="0"/>
    <xf numFmtId="0" fontId="110" fillId="38" borderId="136" applyNumberFormat="0" applyAlignment="0" applyProtection="0"/>
    <xf numFmtId="0" fontId="5"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72" fillId="0" borderId="137" applyNumberFormat="0" applyFill="0" applyAlignment="0" applyProtection="0"/>
    <xf numFmtId="0" fontId="110" fillId="38" borderId="136" applyNumberFormat="0" applyAlignment="0" applyProtection="0"/>
    <xf numFmtId="0" fontId="73" fillId="39" borderId="156" applyNumberFormat="0" applyAlignment="0" applyProtection="0"/>
    <xf numFmtId="0" fontId="116" fillId="0" borderId="137" applyNumberFormat="0" applyFill="0" applyAlignment="0" applyProtection="0"/>
    <xf numFmtId="0" fontId="62" fillId="29" borderId="156" applyNumberFormat="0" applyAlignment="0" applyProtection="0"/>
    <xf numFmtId="0" fontId="5" fillId="26" borderId="157" applyNumberFormat="0" applyFont="0" applyAlignment="0" applyProtection="0"/>
    <xf numFmtId="0" fontId="6" fillId="26" borderId="157" applyNumberFormat="0" applyFont="0" applyAlignment="0" applyProtection="0"/>
    <xf numFmtId="10" fontId="36" fillId="16" borderId="160" applyNumberFormat="0" applyBorder="0" applyAlignment="0" applyProtection="0"/>
    <xf numFmtId="0" fontId="62" fillId="23" borderId="156" applyNumberFormat="0" applyAlignment="0" applyProtection="0"/>
    <xf numFmtId="0" fontId="101" fillId="38" borderId="156" applyNumberFormat="0" applyAlignment="0" applyProtection="0"/>
    <xf numFmtId="0" fontId="65" fillId="39" borderId="136" applyNumberFormat="0" applyAlignment="0" applyProtection="0"/>
    <xf numFmtId="0" fontId="5" fillId="26" borderId="157" applyNumberFormat="0" applyFont="0" applyAlignment="0" applyProtection="0"/>
    <xf numFmtId="0" fontId="65" fillId="38" borderId="136" applyNumberFormat="0" applyAlignment="0" applyProtection="0"/>
    <xf numFmtId="0" fontId="104" fillId="23" borderId="156" applyNumberFormat="0" applyAlignment="0" applyProtection="0"/>
    <xf numFmtId="0" fontId="59" fillId="38" borderId="156" applyNumberFormat="0" applyAlignment="0" applyProtection="0"/>
    <xf numFmtId="0" fontId="5"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72" fillId="0" borderId="137" applyNumberFormat="0" applyFill="0" applyAlignment="0" applyProtection="0"/>
    <xf numFmtId="0" fontId="62" fillId="23" borderId="156" applyNumberFormat="0" applyAlignment="0" applyProtection="0"/>
    <xf numFmtId="0" fontId="110" fillId="38" borderId="136" applyNumberFormat="0" applyAlignment="0" applyProtection="0"/>
    <xf numFmtId="0" fontId="5" fillId="26" borderId="157" applyNumberFormat="0" applyFont="0" applyAlignment="0" applyProtection="0"/>
    <xf numFmtId="0" fontId="5" fillId="26" borderId="157" applyNumberFormat="0" applyFont="0" applyAlignment="0" applyProtection="0"/>
    <xf numFmtId="0" fontId="73" fillId="39" borderId="156" applyNumberFormat="0" applyAlignment="0" applyProtection="0"/>
    <xf numFmtId="0" fontId="116" fillId="0" borderId="137" applyNumberFormat="0" applyFill="0" applyAlignment="0" applyProtection="0"/>
    <xf numFmtId="0" fontId="62" fillId="29" borderId="156" applyNumberFormat="0" applyAlignment="0" applyProtection="0"/>
    <xf numFmtId="0" fontId="5" fillId="26" borderId="157" applyNumberFormat="0" applyFont="0" applyAlignment="0" applyProtection="0"/>
    <xf numFmtId="0" fontId="6" fillId="26" borderId="157" applyNumberFormat="0" applyFont="0" applyAlignment="0" applyProtection="0"/>
    <xf numFmtId="10" fontId="36" fillId="16" borderId="160" applyNumberFormat="0" applyBorder="0" applyAlignment="0" applyProtection="0"/>
    <xf numFmtId="0" fontId="62" fillId="23" borderId="156" applyNumberFormat="0" applyAlignment="0" applyProtection="0"/>
    <xf numFmtId="0" fontId="101" fillId="38" borderId="156" applyNumberFormat="0" applyAlignment="0" applyProtection="0"/>
    <xf numFmtId="0" fontId="65" fillId="39" borderId="136" applyNumberFormat="0" applyAlignment="0" applyProtection="0"/>
    <xf numFmtId="0" fontId="5" fillId="26" borderId="157" applyNumberFormat="0" applyFont="0" applyAlignment="0" applyProtection="0"/>
    <xf numFmtId="0" fontId="65" fillId="38" borderId="136" applyNumberFormat="0" applyAlignment="0" applyProtection="0"/>
    <xf numFmtId="0" fontId="104" fillId="23" borderId="156" applyNumberFormat="0" applyAlignment="0" applyProtection="0"/>
    <xf numFmtId="0" fontId="59" fillId="38" borderId="156" applyNumberFormat="0" applyAlignment="0" applyProtection="0"/>
    <xf numFmtId="0" fontId="5"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72" fillId="0" borderId="137" applyNumberFormat="0" applyFill="0" applyAlignment="0" applyProtection="0"/>
    <xf numFmtId="0" fontId="62" fillId="23" borderId="156" applyNumberFormat="0" applyAlignment="0" applyProtection="0"/>
    <xf numFmtId="0" fontId="110" fillId="38" borderId="136" applyNumberFormat="0" applyAlignment="0" applyProtection="0"/>
    <xf numFmtId="0" fontId="73" fillId="39" borderId="156" applyNumberFormat="0" applyAlignment="0" applyProtection="0"/>
    <xf numFmtId="0" fontId="116" fillId="0" borderId="137" applyNumberFormat="0" applyFill="0" applyAlignment="0" applyProtection="0"/>
    <xf numFmtId="0" fontId="62" fillId="29" borderId="156" applyNumberFormat="0" applyAlignment="0" applyProtection="0"/>
    <xf numFmtId="0" fontId="5" fillId="26" borderId="157" applyNumberFormat="0" applyFont="0" applyAlignment="0" applyProtection="0"/>
    <xf numFmtId="0" fontId="6" fillId="26" borderId="157" applyNumberFormat="0" applyFont="0" applyAlignment="0" applyProtection="0"/>
    <xf numFmtId="10" fontId="36" fillId="16" borderId="160" applyNumberFormat="0" applyBorder="0" applyAlignment="0" applyProtection="0"/>
    <xf numFmtId="0" fontId="62" fillId="23" borderId="156" applyNumberFormat="0" applyAlignment="0" applyProtection="0"/>
    <xf numFmtId="0" fontId="101" fillId="38" borderId="156" applyNumberFormat="0" applyAlignment="0" applyProtection="0"/>
    <xf numFmtId="0" fontId="65" fillId="39" borderId="136" applyNumberFormat="0" applyAlignment="0" applyProtection="0"/>
    <xf numFmtId="0" fontId="5" fillId="26" borderId="157" applyNumberFormat="0" applyFont="0" applyAlignment="0" applyProtection="0"/>
    <xf numFmtId="0" fontId="65" fillId="38" borderId="136" applyNumberFormat="0" applyAlignment="0" applyProtection="0"/>
    <xf numFmtId="0" fontId="104" fillId="23" borderId="156" applyNumberFormat="0" applyAlignment="0" applyProtection="0"/>
    <xf numFmtId="0" fontId="59" fillId="38" borderId="156" applyNumberFormat="0" applyAlignment="0" applyProtection="0"/>
    <xf numFmtId="0" fontId="5"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72" fillId="0" borderId="137" applyNumberFormat="0" applyFill="0" applyAlignment="0" applyProtection="0"/>
    <xf numFmtId="0" fontId="62" fillId="23" borderId="156" applyNumberFormat="0" applyAlignment="0" applyProtection="0"/>
    <xf numFmtId="0" fontId="110" fillId="38" borderId="136" applyNumberFormat="0" applyAlignment="0" applyProtection="0"/>
    <xf numFmtId="0" fontId="116" fillId="0" borderId="137" applyNumberFormat="0" applyFill="0" applyAlignment="0" applyProtection="0"/>
    <xf numFmtId="0" fontId="110" fillId="38" borderId="136" applyNumberFormat="0" applyAlignment="0" applyProtection="0"/>
    <xf numFmtId="43" fontId="6"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0" fontId="110" fillId="38" borderId="136" applyNumberFormat="0" applyAlignment="0" applyProtection="0"/>
    <xf numFmtId="0" fontId="65" fillId="39" borderId="136" applyNumberFormat="0" applyAlignment="0" applyProtection="0"/>
    <xf numFmtId="0" fontId="116" fillId="0" borderId="137" applyNumberFormat="0" applyFill="0" applyAlignment="0" applyProtection="0"/>
    <xf numFmtId="0" fontId="116" fillId="0" borderId="137" applyNumberFormat="0" applyFill="0" applyAlignment="0" applyProtection="0"/>
    <xf numFmtId="0" fontId="72" fillId="0" borderId="137" applyNumberFormat="0" applyFill="0" applyAlignment="0" applyProtection="0"/>
    <xf numFmtId="0" fontId="116" fillId="0" borderId="137" applyNumberFormat="0" applyFill="0" applyAlignment="0" applyProtection="0"/>
    <xf numFmtId="43" fontId="5" fillId="0" borderId="0" applyFont="0" applyFill="0" applyBorder="0" applyAlignment="0" applyProtection="0"/>
    <xf numFmtId="0" fontId="65" fillId="39" borderId="136"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166" fontId="5" fillId="0" borderId="0" applyFont="0" applyFill="0" applyBorder="0" applyAlignment="0" applyProtection="0"/>
    <xf numFmtId="0" fontId="110" fillId="38" borderId="136" applyNumberFormat="0" applyAlignment="0" applyProtection="0"/>
    <xf numFmtId="0" fontId="72" fillId="0" borderId="137" applyNumberFormat="0" applyFill="0" applyAlignment="0" applyProtection="0"/>
    <xf numFmtId="0" fontId="5"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6"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6"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6" fillId="26" borderId="157" applyNumberFormat="0" applyFont="0" applyAlignment="0" applyProtection="0"/>
    <xf numFmtId="0" fontId="5" fillId="26" borderId="157" applyNumberFormat="0" applyFont="0" applyAlignment="0" applyProtection="0"/>
    <xf numFmtId="0" fontId="116" fillId="0" borderId="137" applyNumberFormat="0" applyFill="0" applyAlignment="0" applyProtection="0"/>
    <xf numFmtId="0" fontId="72" fillId="0" borderId="137" applyNumberFormat="0" applyFill="0" applyAlignment="0" applyProtection="0"/>
    <xf numFmtId="0" fontId="110" fillId="38" borderId="136" applyNumberFormat="0" applyAlignment="0" applyProtection="0"/>
    <xf numFmtId="0" fontId="65" fillId="38" borderId="136" applyNumberFormat="0" applyAlignment="0" applyProtection="0"/>
    <xf numFmtId="0" fontId="110" fillId="38" borderId="136" applyNumberFormat="0" applyAlignment="0" applyProtection="0"/>
    <xf numFmtId="0" fontId="72" fillId="0" borderId="137" applyNumberFormat="0" applyFill="0" applyAlignment="0" applyProtection="0"/>
    <xf numFmtId="0" fontId="110" fillId="38" borderId="136" applyNumberFormat="0" applyAlignment="0" applyProtection="0"/>
    <xf numFmtId="0" fontId="65" fillId="38" borderId="136" applyNumberFormat="0" applyAlignment="0" applyProtection="0"/>
    <xf numFmtId="0" fontId="116" fillId="0" borderId="137" applyNumberFormat="0" applyFill="0" applyAlignment="0" applyProtection="0"/>
    <xf numFmtId="0" fontId="72" fillId="0" borderId="137" applyNumberFormat="0" applyFill="0" applyAlignment="0" applyProtection="0"/>
    <xf numFmtId="0" fontId="110" fillId="38" borderId="136" applyNumberFormat="0" applyAlignment="0" applyProtection="0"/>
    <xf numFmtId="0" fontId="5"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6" fillId="26" borderId="157" applyNumberFormat="0" applyFont="0" applyAlignment="0" applyProtection="0"/>
    <xf numFmtId="0" fontId="5" fillId="26" borderId="157" applyNumberFormat="0" applyFont="0" applyAlignment="0" applyProtection="0"/>
    <xf numFmtId="0" fontId="6" fillId="26" borderId="157" applyNumberFormat="0" applyFont="0" applyAlignment="0" applyProtection="0"/>
    <xf numFmtId="0" fontId="6" fillId="26" borderId="157" applyNumberFormat="0" applyFont="0" applyAlignment="0" applyProtection="0"/>
    <xf numFmtId="0" fontId="5" fillId="26" borderId="157" applyNumberFormat="0" applyFont="0" applyAlignment="0" applyProtection="0"/>
    <xf numFmtId="0" fontId="72" fillId="0" borderId="137" applyNumberFormat="0" applyFill="0" applyAlignment="0" applyProtection="0"/>
    <xf numFmtId="0" fontId="65" fillId="39" borderId="136" applyNumberFormat="0" applyAlignment="0" applyProtection="0"/>
    <xf numFmtId="0" fontId="116" fillId="0" borderId="137" applyNumberFormat="0" applyFill="0" applyAlignment="0" applyProtection="0"/>
    <xf numFmtId="0" fontId="65" fillId="39" borderId="136" applyNumberFormat="0" applyAlignment="0" applyProtection="0"/>
    <xf numFmtId="44" fontId="49" fillId="0" borderId="0" applyFont="0" applyFill="0" applyBorder="0" applyAlignment="0" applyProtection="0"/>
    <xf numFmtId="0" fontId="65" fillId="38" borderId="136" applyNumberFormat="0" applyAlignment="0" applyProtection="0"/>
    <xf numFmtId="43" fontId="5" fillId="0" borderId="0" applyFont="0" applyFill="0" applyBorder="0" applyAlignment="0" applyProtection="0"/>
    <xf numFmtId="0" fontId="65" fillId="38" borderId="136" applyNumberFormat="0" applyAlignment="0" applyProtection="0"/>
    <xf numFmtId="0" fontId="116" fillId="0" borderId="137" applyNumberFormat="0" applyFill="0" applyAlignment="0" applyProtection="0"/>
    <xf numFmtId="10" fontId="36" fillId="16" borderId="160" applyNumberFormat="0" applyBorder="0" applyAlignment="0" applyProtection="0"/>
    <xf numFmtId="0" fontId="62" fillId="23" borderId="156" applyNumberFormat="0" applyAlignment="0" applyProtection="0"/>
    <xf numFmtId="10" fontId="36" fillId="16" borderId="160" applyNumberFormat="0" applyBorder="0" applyAlignment="0" applyProtection="0"/>
    <xf numFmtId="0" fontId="62" fillId="23" borderId="156" applyNumberFormat="0" applyAlignment="0" applyProtection="0"/>
    <xf numFmtId="0" fontId="65" fillId="38" borderId="136" applyNumberFormat="0" applyAlignment="0" applyProtection="0"/>
    <xf numFmtId="0" fontId="5" fillId="26" borderId="157" applyNumberFormat="0" applyFont="0" applyAlignment="0" applyProtection="0"/>
    <xf numFmtId="0" fontId="116" fillId="0" borderId="137" applyNumberFormat="0" applyFill="0" applyAlignment="0" applyProtection="0"/>
    <xf numFmtId="0" fontId="73" fillId="39" borderId="156" applyNumberFormat="0" applyAlignment="0" applyProtection="0"/>
    <xf numFmtId="10" fontId="36" fillId="16" borderId="160" applyNumberFormat="0" applyBorder="0" applyAlignment="0" applyProtection="0"/>
    <xf numFmtId="0" fontId="65" fillId="39" borderId="136" applyNumberFormat="0" applyAlignment="0" applyProtection="0"/>
    <xf numFmtId="0" fontId="65" fillId="39" borderId="136" applyNumberFormat="0" applyAlignment="0" applyProtection="0"/>
    <xf numFmtId="0" fontId="110" fillId="38" borderId="136" applyNumberFormat="0" applyAlignment="0" applyProtection="0"/>
    <xf numFmtId="10" fontId="36" fillId="16" borderId="160" applyNumberFormat="0" applyBorder="0" applyAlignment="0" applyProtection="0"/>
    <xf numFmtId="0" fontId="62" fillId="29" borderId="156" applyNumberFormat="0" applyAlignment="0" applyProtection="0"/>
    <xf numFmtId="0" fontId="62" fillId="23" borderId="156" applyNumberFormat="0" applyAlignment="0" applyProtection="0"/>
    <xf numFmtId="0" fontId="5" fillId="26" borderId="157" applyNumberFormat="0" applyFont="0" applyAlignment="0" applyProtection="0"/>
    <xf numFmtId="0" fontId="59" fillId="38" borderId="156" applyNumberFormat="0" applyAlignment="0" applyProtection="0"/>
    <xf numFmtId="0" fontId="73" fillId="39" borderId="156" applyNumberFormat="0" applyAlignment="0" applyProtection="0"/>
    <xf numFmtId="0" fontId="62" fillId="29" borderId="156" applyNumberFormat="0" applyAlignment="0" applyProtection="0"/>
    <xf numFmtId="0" fontId="62" fillId="23" borderId="156" applyNumberFormat="0" applyAlignment="0" applyProtection="0"/>
    <xf numFmtId="0" fontId="5" fillId="26" borderId="157" applyNumberFormat="0" applyFont="0" applyAlignment="0" applyProtection="0"/>
    <xf numFmtId="0" fontId="6" fillId="26" borderId="157" applyNumberFormat="0" applyFont="0" applyAlignment="0" applyProtection="0"/>
    <xf numFmtId="0" fontId="65" fillId="38" borderId="136" applyNumberFormat="0" applyAlignment="0" applyProtection="0"/>
    <xf numFmtId="0" fontId="65" fillId="39" borderId="136" applyNumberFormat="0" applyAlignment="0" applyProtection="0"/>
    <xf numFmtId="0" fontId="72" fillId="0" borderId="137" applyNumberFormat="0" applyFill="0" applyAlignment="0" applyProtection="0"/>
    <xf numFmtId="0" fontId="5" fillId="26" borderId="157" applyNumberFormat="0" applyFont="0" applyAlignment="0" applyProtection="0"/>
    <xf numFmtId="0" fontId="104" fillId="23" borderId="156" applyNumberFormat="0" applyAlignment="0" applyProtection="0"/>
    <xf numFmtId="0" fontId="101" fillId="38" borderId="156" applyNumberFormat="0" applyAlignment="0" applyProtection="0"/>
    <xf numFmtId="0" fontId="5" fillId="26" borderId="157" applyNumberFormat="0" applyFont="0" applyAlignment="0" applyProtection="0"/>
    <xf numFmtId="0" fontId="110" fillId="38" borderId="136" applyNumberFormat="0" applyAlignment="0" applyProtection="0"/>
    <xf numFmtId="0" fontId="5" fillId="26" borderId="157" applyNumberFormat="0" applyFont="0" applyAlignment="0" applyProtection="0"/>
    <xf numFmtId="0" fontId="5" fillId="26" borderId="157" applyNumberFormat="0" applyFont="0" applyAlignment="0" applyProtection="0"/>
    <xf numFmtId="0" fontId="65" fillId="39" borderId="136" applyNumberFormat="0" applyAlignment="0" applyProtection="0"/>
    <xf numFmtId="0" fontId="5"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10" fontId="36" fillId="16" borderId="160" applyNumberFormat="0" applyBorder="0" applyAlignment="0" applyProtection="0"/>
    <xf numFmtId="0" fontId="62" fillId="23" borderId="156" applyNumberFormat="0" applyAlignment="0" applyProtection="0"/>
    <xf numFmtId="0" fontId="59" fillId="38" borderId="156" applyNumberFormat="0" applyAlignment="0" applyProtection="0"/>
    <xf numFmtId="0" fontId="72" fillId="0" borderId="137" applyNumberFormat="0" applyFill="0" applyAlignment="0" applyProtection="0"/>
    <xf numFmtId="0" fontId="5" fillId="26" borderId="157" applyNumberFormat="0" applyFont="0" applyAlignment="0" applyProtection="0"/>
    <xf numFmtId="0" fontId="72" fillId="0" borderId="137" applyNumberFormat="0" applyFill="0" applyAlignment="0" applyProtection="0"/>
    <xf numFmtId="0" fontId="5"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104" fillId="23" borderId="156" applyNumberFormat="0" applyAlignment="0" applyProtection="0"/>
    <xf numFmtId="0" fontId="5" fillId="26" borderId="157" applyNumberFormat="0" applyFont="0" applyAlignment="0" applyProtection="0"/>
    <xf numFmtId="0" fontId="6" fillId="26" borderId="157" applyNumberFormat="0" applyFont="0" applyAlignment="0" applyProtection="0"/>
    <xf numFmtId="0" fontId="59" fillId="38" borderId="156" applyNumberFormat="0" applyAlignment="0" applyProtection="0"/>
    <xf numFmtId="0" fontId="73" fillId="39" borderId="156" applyNumberFormat="0" applyAlignment="0" applyProtection="0"/>
    <xf numFmtId="0" fontId="65" fillId="38" borderId="136" applyNumberFormat="0" applyAlignment="0" applyProtection="0"/>
    <xf numFmtId="0" fontId="5" fillId="26" borderId="157" applyNumberFormat="0" applyFont="0" applyAlignment="0" applyProtection="0"/>
    <xf numFmtId="0" fontId="65" fillId="38" borderId="136" applyNumberFormat="0" applyAlignment="0" applyProtection="0"/>
    <xf numFmtId="0" fontId="110" fillId="38" borderId="136" applyNumberFormat="0" applyAlignment="0" applyProtection="0"/>
    <xf numFmtId="0" fontId="5" fillId="26" borderId="157" applyNumberFormat="0" applyFont="0" applyAlignment="0" applyProtection="0"/>
    <xf numFmtId="0" fontId="65" fillId="39" borderId="136" applyNumberFormat="0" applyAlignment="0" applyProtection="0"/>
    <xf numFmtId="0" fontId="62" fillId="23" borderId="156" applyNumberFormat="0" applyAlignment="0" applyProtection="0"/>
    <xf numFmtId="0" fontId="5" fillId="26" borderId="157" applyNumberFormat="0" applyFont="0" applyAlignment="0" applyProtection="0"/>
    <xf numFmtId="0" fontId="73" fillId="39" borderId="156" applyNumberFormat="0" applyAlignment="0" applyProtection="0"/>
    <xf numFmtId="0" fontId="5" fillId="26" borderId="157" applyNumberFormat="0" applyFont="0" applyAlignment="0" applyProtection="0"/>
    <xf numFmtId="0" fontId="6" fillId="26" borderId="157" applyNumberFormat="0" applyFont="0" applyAlignment="0" applyProtection="0"/>
    <xf numFmtId="0" fontId="62" fillId="29" borderId="156" applyNumberFormat="0" applyAlignment="0" applyProtection="0"/>
    <xf numFmtId="0" fontId="5"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72" fillId="0" borderId="137" applyNumberFormat="0" applyFill="0" applyAlignment="0" applyProtection="0"/>
    <xf numFmtId="0" fontId="116" fillId="0" borderId="137" applyNumberFormat="0" applyFill="0" applyAlignment="0" applyProtection="0"/>
    <xf numFmtId="0" fontId="5" fillId="26" borderId="157" applyNumberFormat="0" applyFont="0" applyAlignment="0" applyProtection="0"/>
    <xf numFmtId="0" fontId="59" fillId="38" borderId="156" applyNumberFormat="0" applyAlignment="0" applyProtection="0"/>
    <xf numFmtId="0" fontId="6" fillId="26" borderId="157" applyNumberFormat="0" applyFont="0" applyAlignment="0" applyProtection="0"/>
    <xf numFmtId="0" fontId="5" fillId="26" borderId="157" applyNumberFormat="0" applyFont="0" applyAlignment="0" applyProtection="0"/>
    <xf numFmtId="0" fontId="59" fillId="38" borderId="156" applyNumberFormat="0" applyAlignment="0" applyProtection="0"/>
    <xf numFmtId="0" fontId="72" fillId="0" borderId="137" applyNumberFormat="0" applyFill="0" applyAlignment="0" applyProtection="0"/>
    <xf numFmtId="0" fontId="62" fillId="23" borderId="156" applyNumberFormat="0" applyAlignment="0" applyProtection="0"/>
    <xf numFmtId="0" fontId="104" fillId="23" borderId="156" applyNumberFormat="0" applyAlignment="0" applyProtection="0"/>
    <xf numFmtId="0" fontId="73" fillId="39" borderId="156" applyNumberFormat="0" applyAlignment="0" applyProtection="0"/>
    <xf numFmtId="0" fontId="6" fillId="26" borderId="157" applyNumberFormat="0" applyFont="0" applyAlignment="0" applyProtection="0"/>
    <xf numFmtId="0" fontId="62" fillId="23" borderId="156" applyNumberFormat="0" applyAlignment="0" applyProtection="0"/>
    <xf numFmtId="0" fontId="5" fillId="26" borderId="157" applyNumberFormat="0" applyFont="0" applyAlignment="0" applyProtection="0"/>
    <xf numFmtId="0" fontId="116" fillId="0" borderId="137" applyNumberFormat="0" applyFill="0" applyAlignment="0" applyProtection="0"/>
    <xf numFmtId="0" fontId="110" fillId="38" borderId="136" applyNumberFormat="0" applyAlignment="0" applyProtection="0"/>
    <xf numFmtId="0" fontId="65" fillId="39" borderId="136" applyNumberFormat="0" applyAlignment="0" applyProtection="0"/>
    <xf numFmtId="0" fontId="116" fillId="0" borderId="137" applyNumberFormat="0" applyFill="0" applyAlignment="0" applyProtection="0"/>
    <xf numFmtId="0" fontId="73" fillId="39" borderId="156" applyNumberFormat="0" applyAlignment="0" applyProtection="0"/>
    <xf numFmtId="0" fontId="5" fillId="26" borderId="157" applyNumberFormat="0" applyFont="0" applyAlignment="0" applyProtection="0"/>
    <xf numFmtId="0" fontId="65" fillId="39" borderId="136" applyNumberFormat="0" applyAlignment="0" applyProtection="0"/>
    <xf numFmtId="0" fontId="72" fillId="0" borderId="137" applyNumberFormat="0" applyFill="0" applyAlignment="0" applyProtection="0"/>
    <xf numFmtId="0" fontId="104" fillId="23" borderId="156" applyNumberFormat="0" applyAlignment="0" applyProtection="0"/>
    <xf numFmtId="0" fontId="62" fillId="29" borderId="156" applyNumberFormat="0" applyAlignment="0" applyProtection="0"/>
    <xf numFmtId="0" fontId="5" fillId="26" borderId="157" applyNumberFormat="0" applyFont="0" applyAlignment="0" applyProtection="0"/>
    <xf numFmtId="0" fontId="101" fillId="38" borderId="156" applyNumberFormat="0" applyAlignment="0" applyProtection="0"/>
    <xf numFmtId="0" fontId="104" fillId="23" borderId="156" applyNumberFormat="0" applyAlignment="0" applyProtection="0"/>
    <xf numFmtId="0" fontId="5" fillId="26" borderId="157" applyNumberFormat="0" applyFont="0" applyAlignment="0" applyProtection="0"/>
    <xf numFmtId="0" fontId="110" fillId="38" borderId="136" applyNumberFormat="0" applyAlignment="0" applyProtection="0"/>
    <xf numFmtId="0" fontId="116" fillId="0" borderId="137" applyNumberFormat="0" applyFill="0" applyAlignment="0" applyProtection="0"/>
    <xf numFmtId="0" fontId="62" fillId="23" borderId="156" applyNumberFormat="0" applyAlignment="0" applyProtection="0"/>
    <xf numFmtId="0" fontId="6" fillId="26" borderId="157" applyNumberFormat="0" applyFont="0" applyAlignment="0" applyProtection="0"/>
    <xf numFmtId="0" fontId="65" fillId="38" borderId="136" applyNumberFormat="0" applyAlignment="0" applyProtection="0"/>
    <xf numFmtId="0" fontId="62" fillId="23" borderId="156" applyNumberFormat="0" applyAlignment="0" applyProtection="0"/>
    <xf numFmtId="0" fontId="62" fillId="23" borderId="156" applyNumberFormat="0" applyAlignment="0" applyProtection="0"/>
    <xf numFmtId="0" fontId="62" fillId="23" borderId="156" applyNumberFormat="0" applyAlignment="0" applyProtection="0"/>
    <xf numFmtId="0" fontId="62" fillId="23" borderId="156" applyNumberFormat="0" applyAlignment="0" applyProtection="0"/>
    <xf numFmtId="0" fontId="59" fillId="38" borderId="156" applyNumberFormat="0" applyAlignment="0" applyProtection="0"/>
    <xf numFmtId="0" fontId="116" fillId="0" borderId="137" applyNumberFormat="0" applyFill="0" applyAlignment="0" applyProtection="0"/>
    <xf numFmtId="0" fontId="62" fillId="23" borderId="156" applyNumberFormat="0" applyAlignment="0" applyProtection="0"/>
    <xf numFmtId="0" fontId="5" fillId="26" borderId="157" applyNumberFormat="0" applyFont="0" applyAlignment="0" applyProtection="0"/>
    <xf numFmtId="0" fontId="116" fillId="0" borderId="137" applyNumberFormat="0" applyFill="0" applyAlignment="0" applyProtection="0"/>
    <xf numFmtId="0" fontId="62" fillId="29" borderId="156" applyNumberFormat="0" applyAlignment="0" applyProtection="0"/>
    <xf numFmtId="10" fontId="36" fillId="16" borderId="160" applyNumberFormat="0" applyBorder="0" applyAlignment="0" applyProtection="0"/>
    <xf numFmtId="0" fontId="6" fillId="26" borderId="157" applyNumberFormat="0" applyFont="0" applyAlignment="0" applyProtection="0"/>
    <xf numFmtId="0" fontId="72" fillId="0" borderId="137" applyNumberFormat="0" applyFill="0" applyAlignment="0" applyProtection="0"/>
    <xf numFmtId="0" fontId="101" fillId="38" borderId="156" applyNumberFormat="0" applyAlignment="0" applyProtection="0"/>
    <xf numFmtId="0" fontId="62" fillId="23" borderId="156" applyNumberFormat="0" applyAlignment="0" applyProtection="0"/>
    <xf numFmtId="0" fontId="5" fillId="26" borderId="157" applyNumberFormat="0" applyFont="0" applyAlignment="0" applyProtection="0"/>
    <xf numFmtId="0" fontId="110" fillId="38" borderId="136" applyNumberFormat="0" applyAlignment="0" applyProtection="0"/>
    <xf numFmtId="10" fontId="36" fillId="16" borderId="160" applyNumberFormat="0" applyBorder="0" applyAlignment="0" applyProtection="0"/>
    <xf numFmtId="0" fontId="116" fillId="0" borderId="137" applyNumberFormat="0" applyFill="0" applyAlignment="0" applyProtection="0"/>
    <xf numFmtId="0" fontId="104" fillId="23" borderId="156" applyNumberFormat="0" applyAlignment="0" applyProtection="0"/>
    <xf numFmtId="0" fontId="101" fillId="38" borderId="156" applyNumberFormat="0" applyAlignment="0" applyProtection="0"/>
    <xf numFmtId="0" fontId="6" fillId="26" borderId="157" applyNumberFormat="0" applyFont="0" applyAlignment="0" applyProtection="0"/>
    <xf numFmtId="0" fontId="62" fillId="29" borderId="156" applyNumberFormat="0" applyAlignment="0" applyProtection="0"/>
    <xf numFmtId="0" fontId="110" fillId="38" borderId="136" applyNumberFormat="0" applyAlignment="0" applyProtection="0"/>
    <xf numFmtId="0" fontId="5" fillId="26" borderId="157" applyNumberFormat="0" applyFont="0" applyAlignment="0" applyProtection="0"/>
    <xf numFmtId="0" fontId="65" fillId="38" borderId="136" applyNumberFormat="0" applyAlignment="0" applyProtection="0"/>
    <xf numFmtId="0" fontId="101" fillId="38" borderId="156" applyNumberFormat="0" applyAlignment="0" applyProtection="0"/>
    <xf numFmtId="0" fontId="5" fillId="26" borderId="157" applyNumberFormat="0" applyFont="0" applyAlignment="0" applyProtection="0"/>
    <xf numFmtId="0" fontId="5" fillId="26" borderId="157" applyNumberFormat="0" applyFont="0" applyAlignment="0" applyProtection="0"/>
    <xf numFmtId="0" fontId="65" fillId="39" borderId="136" applyNumberFormat="0" applyAlignment="0" applyProtection="0"/>
    <xf numFmtId="10" fontId="36" fillId="16" borderId="160" applyNumberFormat="0" applyBorder="0" applyAlignment="0" applyProtection="0"/>
    <xf numFmtId="0" fontId="65" fillId="38" borderId="136" applyNumberFormat="0" applyAlignment="0" applyProtection="0"/>
    <xf numFmtId="0" fontId="101" fillId="38" borderId="156" applyNumberFormat="0" applyAlignment="0" applyProtection="0"/>
    <xf numFmtId="0" fontId="5" fillId="26" borderId="157" applyNumberFormat="0" applyFont="0" applyAlignment="0" applyProtection="0"/>
    <xf numFmtId="0" fontId="65" fillId="38" borderId="136" applyNumberFormat="0" applyAlignment="0" applyProtection="0"/>
    <xf numFmtId="0" fontId="5" fillId="26" borderId="157" applyNumberFormat="0" applyFont="0" applyAlignment="0" applyProtection="0"/>
    <xf numFmtId="0" fontId="73" fillId="39" borderId="156" applyNumberFormat="0" applyAlignment="0" applyProtection="0"/>
    <xf numFmtId="0" fontId="116" fillId="0" borderId="137" applyNumberFormat="0" applyFill="0" applyAlignment="0" applyProtection="0"/>
    <xf numFmtId="0" fontId="62" fillId="29" borderId="156" applyNumberFormat="0" applyAlignment="0" applyProtection="0"/>
    <xf numFmtId="0" fontId="5" fillId="26" borderId="157" applyNumberFormat="0" applyFont="0" applyAlignment="0" applyProtection="0"/>
    <xf numFmtId="0" fontId="6" fillId="26" borderId="157" applyNumberFormat="0" applyFont="0" applyAlignment="0" applyProtection="0"/>
    <xf numFmtId="10" fontId="36" fillId="16" borderId="160" applyNumberFormat="0" applyBorder="0" applyAlignment="0" applyProtection="0"/>
    <xf numFmtId="0" fontId="62" fillId="23" borderId="156" applyNumberFormat="0" applyAlignment="0" applyProtection="0"/>
    <xf numFmtId="0" fontId="101" fillId="38" borderId="156" applyNumberFormat="0" applyAlignment="0" applyProtection="0"/>
    <xf numFmtId="0" fontId="65" fillId="39" borderId="136" applyNumberFormat="0" applyAlignment="0" applyProtection="0"/>
    <xf numFmtId="0" fontId="5" fillId="26" borderId="157" applyNumberFormat="0" applyFont="0" applyAlignment="0" applyProtection="0"/>
    <xf numFmtId="0" fontId="65" fillId="38" borderId="136" applyNumberFormat="0" applyAlignment="0" applyProtection="0"/>
    <xf numFmtId="0" fontId="104" fillId="23" borderId="156" applyNumberFormat="0" applyAlignment="0" applyProtection="0"/>
    <xf numFmtId="0" fontId="59" fillId="38" borderId="156" applyNumberFormat="0" applyAlignment="0" applyProtection="0"/>
    <xf numFmtId="0" fontId="5"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72" fillId="0" borderId="137" applyNumberFormat="0" applyFill="0" applyAlignment="0" applyProtection="0"/>
    <xf numFmtId="0" fontId="62" fillId="23" borderId="156" applyNumberFormat="0" applyAlignment="0" applyProtection="0"/>
    <xf numFmtId="0" fontId="110" fillId="38" borderId="136" applyNumberFormat="0" applyAlignment="0" applyProtection="0"/>
    <xf numFmtId="0" fontId="116" fillId="0" borderId="137" applyNumberFormat="0" applyFill="0" applyAlignment="0" applyProtection="0"/>
    <xf numFmtId="0" fontId="65" fillId="39" borderId="136" applyNumberFormat="0" applyAlignment="0" applyProtection="0"/>
    <xf numFmtId="0" fontId="65" fillId="38" borderId="136" applyNumberFormat="0" applyAlignment="0" applyProtection="0"/>
    <xf numFmtId="0" fontId="72" fillId="0" borderId="137" applyNumberFormat="0" applyFill="0" applyAlignment="0" applyProtection="0"/>
    <xf numFmtId="0" fontId="110" fillId="38" borderId="136" applyNumberFormat="0" applyAlignment="0" applyProtection="0"/>
    <xf numFmtId="0" fontId="5"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72" fillId="0" borderId="137" applyNumberFormat="0" applyFill="0" applyAlignment="0" applyProtection="0"/>
    <xf numFmtId="0" fontId="110" fillId="38" borderId="136" applyNumberFormat="0" applyAlignment="0" applyProtection="0"/>
    <xf numFmtId="0" fontId="73" fillId="39" borderId="156" applyNumberFormat="0" applyAlignment="0" applyProtection="0"/>
    <xf numFmtId="0" fontId="116" fillId="0" borderId="137" applyNumberFormat="0" applyFill="0" applyAlignment="0" applyProtection="0"/>
    <xf numFmtId="0" fontId="62" fillId="29" borderId="156" applyNumberFormat="0" applyAlignment="0" applyProtection="0"/>
    <xf numFmtId="0" fontId="5" fillId="26" borderId="157" applyNumberFormat="0" applyFont="0" applyAlignment="0" applyProtection="0"/>
    <xf numFmtId="0" fontId="6" fillId="26" borderId="157" applyNumberFormat="0" applyFont="0" applyAlignment="0" applyProtection="0"/>
    <xf numFmtId="10" fontId="36" fillId="16" borderId="160" applyNumberFormat="0" applyBorder="0" applyAlignment="0" applyProtection="0"/>
    <xf numFmtId="0" fontId="62" fillId="23" borderId="156" applyNumberFormat="0" applyAlignment="0" applyProtection="0"/>
    <xf numFmtId="0" fontId="101" fillId="38" borderId="156" applyNumberFormat="0" applyAlignment="0" applyProtection="0"/>
    <xf numFmtId="0" fontId="65" fillId="39" borderId="136" applyNumberFormat="0" applyAlignment="0" applyProtection="0"/>
    <xf numFmtId="0" fontId="5" fillId="26" borderId="157" applyNumberFormat="0" applyFont="0" applyAlignment="0" applyProtection="0"/>
    <xf numFmtId="0" fontId="65" fillId="38" borderId="136" applyNumberFormat="0" applyAlignment="0" applyProtection="0"/>
    <xf numFmtId="0" fontId="104" fillId="23" borderId="156" applyNumberFormat="0" applyAlignment="0" applyProtection="0"/>
    <xf numFmtId="0" fontId="59" fillId="38" borderId="156" applyNumberFormat="0" applyAlignment="0" applyProtection="0"/>
    <xf numFmtId="0" fontId="5"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72" fillId="0" borderId="137" applyNumberFormat="0" applyFill="0" applyAlignment="0" applyProtection="0"/>
    <xf numFmtId="0" fontId="62" fillId="23" borderId="156" applyNumberFormat="0" applyAlignment="0" applyProtection="0"/>
    <xf numFmtId="0" fontId="110" fillId="38" borderId="136" applyNumberFormat="0" applyAlignment="0" applyProtection="0"/>
    <xf numFmtId="0" fontId="5" fillId="26" borderId="157" applyNumberFormat="0" applyFont="0" applyAlignment="0" applyProtection="0"/>
    <xf numFmtId="0" fontId="5" fillId="26" borderId="157" applyNumberFormat="0" applyFont="0" applyAlignment="0" applyProtection="0"/>
    <xf numFmtId="0" fontId="73" fillId="39" borderId="156" applyNumberFormat="0" applyAlignment="0" applyProtection="0"/>
    <xf numFmtId="0" fontId="116" fillId="0" borderId="137" applyNumberFormat="0" applyFill="0" applyAlignment="0" applyProtection="0"/>
    <xf numFmtId="0" fontId="62" fillId="29" borderId="156" applyNumberFormat="0" applyAlignment="0" applyProtection="0"/>
    <xf numFmtId="0" fontId="5" fillId="26" borderId="157" applyNumberFormat="0" applyFont="0" applyAlignment="0" applyProtection="0"/>
    <xf numFmtId="0" fontId="6" fillId="26" borderId="157" applyNumberFormat="0" applyFont="0" applyAlignment="0" applyProtection="0"/>
    <xf numFmtId="10" fontId="36" fillId="16" borderId="160" applyNumberFormat="0" applyBorder="0" applyAlignment="0" applyProtection="0"/>
    <xf numFmtId="0" fontId="62" fillId="23" borderId="156" applyNumberFormat="0" applyAlignment="0" applyProtection="0"/>
    <xf numFmtId="0" fontId="101" fillId="38" borderId="156" applyNumberFormat="0" applyAlignment="0" applyProtection="0"/>
    <xf numFmtId="0" fontId="65" fillId="39" borderId="136" applyNumberFormat="0" applyAlignment="0" applyProtection="0"/>
    <xf numFmtId="0" fontId="5" fillId="26" borderId="157" applyNumberFormat="0" applyFont="0" applyAlignment="0" applyProtection="0"/>
    <xf numFmtId="0" fontId="65" fillId="38" borderId="136" applyNumberFormat="0" applyAlignment="0" applyProtection="0"/>
    <xf numFmtId="0" fontId="104" fillId="23" borderId="156" applyNumberFormat="0" applyAlignment="0" applyProtection="0"/>
    <xf numFmtId="0" fontId="59" fillId="38" borderId="156" applyNumberFormat="0" applyAlignment="0" applyProtection="0"/>
    <xf numFmtId="0" fontId="5"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72" fillId="0" borderId="137" applyNumberFormat="0" applyFill="0" applyAlignment="0" applyProtection="0"/>
    <xf numFmtId="0" fontId="62" fillId="23" borderId="156" applyNumberFormat="0" applyAlignment="0" applyProtection="0"/>
    <xf numFmtId="0" fontId="110" fillId="38" borderId="136" applyNumberFormat="0" applyAlignment="0" applyProtection="0"/>
    <xf numFmtId="0" fontId="73" fillId="39" borderId="156" applyNumberFormat="0" applyAlignment="0" applyProtection="0"/>
    <xf numFmtId="0" fontId="116" fillId="0" borderId="137" applyNumberFormat="0" applyFill="0" applyAlignment="0" applyProtection="0"/>
    <xf numFmtId="0" fontId="62" fillId="29" borderId="156" applyNumberFormat="0" applyAlignment="0" applyProtection="0"/>
    <xf numFmtId="0" fontId="5" fillId="26" borderId="157" applyNumberFormat="0" applyFont="0" applyAlignment="0" applyProtection="0"/>
    <xf numFmtId="0" fontId="6" fillId="26" borderId="157" applyNumberFormat="0" applyFont="0" applyAlignment="0" applyProtection="0"/>
    <xf numFmtId="10" fontId="36" fillId="16" borderId="160" applyNumberFormat="0" applyBorder="0" applyAlignment="0" applyProtection="0"/>
    <xf numFmtId="0" fontId="62" fillId="23" borderId="156" applyNumberFormat="0" applyAlignment="0" applyProtection="0"/>
    <xf numFmtId="0" fontId="101" fillId="38" borderId="156" applyNumberFormat="0" applyAlignment="0" applyProtection="0"/>
    <xf numFmtId="0" fontId="65" fillId="39" borderId="136" applyNumberFormat="0" applyAlignment="0" applyProtection="0"/>
    <xf numFmtId="0" fontId="5" fillId="26" borderId="157" applyNumberFormat="0" applyFont="0" applyAlignment="0" applyProtection="0"/>
    <xf numFmtId="0" fontId="65" fillId="38" borderId="136" applyNumberFormat="0" applyAlignment="0" applyProtection="0"/>
    <xf numFmtId="0" fontId="104" fillId="23" borderId="156" applyNumberFormat="0" applyAlignment="0" applyProtection="0"/>
    <xf numFmtId="0" fontId="59" fillId="38" borderId="156" applyNumberFormat="0" applyAlignment="0" applyProtection="0"/>
    <xf numFmtId="0" fontId="5"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72" fillId="0" borderId="137" applyNumberFormat="0" applyFill="0" applyAlignment="0" applyProtection="0"/>
    <xf numFmtId="0" fontId="62" fillId="23" borderId="156" applyNumberFormat="0" applyAlignment="0" applyProtection="0"/>
    <xf numFmtId="0" fontId="110" fillId="38" borderId="136" applyNumberFormat="0" applyAlignment="0" applyProtection="0"/>
    <xf numFmtId="0" fontId="5" fillId="26" borderId="157" applyNumberFormat="0" applyFont="0" applyAlignment="0" applyProtection="0"/>
    <xf numFmtId="0" fontId="116" fillId="0" borderId="137" applyNumberFormat="0" applyFill="0" applyAlignment="0" applyProtection="0"/>
    <xf numFmtId="0" fontId="5" fillId="26" borderId="157" applyNumberFormat="0" applyFont="0" applyAlignment="0" applyProtection="0"/>
    <xf numFmtId="0" fontId="5" fillId="26" borderId="157" applyNumberFormat="0" applyFont="0" applyAlignment="0" applyProtection="0"/>
    <xf numFmtId="0" fontId="116" fillId="0" borderId="137" applyNumberFormat="0" applyFill="0" applyAlignment="0" applyProtection="0"/>
    <xf numFmtId="0" fontId="116" fillId="0" borderId="137" applyNumberFormat="0" applyFill="0" applyAlignment="0" applyProtection="0"/>
    <xf numFmtId="0" fontId="5"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110" fillId="38" borderId="136" applyNumberFormat="0" applyAlignment="0" applyProtection="0"/>
    <xf numFmtId="0" fontId="5" fillId="26" borderId="157" applyNumberFormat="0" applyFont="0" applyAlignment="0" applyProtection="0"/>
    <xf numFmtId="0" fontId="5" fillId="26" borderId="157" applyNumberFormat="0" applyFont="0" applyAlignment="0" applyProtection="0"/>
    <xf numFmtId="0" fontId="72" fillId="0" borderId="137" applyNumberFormat="0" applyFill="0" applyAlignment="0" applyProtection="0"/>
    <xf numFmtId="0" fontId="65" fillId="39" borderId="136" applyNumberFormat="0" applyAlignment="0" applyProtection="0"/>
    <xf numFmtId="0" fontId="5" fillId="26" borderId="157" applyNumberFormat="0" applyFont="0" applyAlignment="0" applyProtection="0"/>
    <xf numFmtId="0" fontId="6" fillId="26" borderId="157" applyNumberFormat="0" applyFont="0" applyAlignment="0" applyProtection="0"/>
    <xf numFmtId="0" fontId="6" fillId="26" borderId="157" applyNumberFormat="0" applyFont="0" applyAlignment="0" applyProtection="0"/>
    <xf numFmtId="43" fontId="35" fillId="0" borderId="0" applyFont="0" applyFill="0" applyBorder="0" applyAlignment="0" applyProtection="0"/>
    <xf numFmtId="0" fontId="5" fillId="26" borderId="157" applyNumberFormat="0" applyFont="0" applyAlignment="0" applyProtection="0"/>
    <xf numFmtId="0" fontId="72" fillId="0" borderId="137" applyNumberFormat="0" applyFill="0" applyAlignment="0" applyProtection="0"/>
    <xf numFmtId="0" fontId="62" fillId="23" borderId="156" applyNumberFormat="0" applyAlignment="0" applyProtection="0"/>
    <xf numFmtId="0" fontId="5" fillId="26" borderId="157" applyNumberFormat="0" applyFont="0" applyAlignment="0" applyProtection="0"/>
    <xf numFmtId="0" fontId="110" fillId="38" borderId="136" applyNumberFormat="0" applyAlignment="0" applyProtection="0"/>
    <xf numFmtId="0" fontId="65" fillId="39" borderId="136" applyNumberFormat="0" applyAlignment="0" applyProtection="0"/>
    <xf numFmtId="43" fontId="5" fillId="0" borderId="0" applyFont="0" applyFill="0" applyBorder="0" applyAlignment="0" applyProtection="0"/>
    <xf numFmtId="0" fontId="5" fillId="26" borderId="157" applyNumberFormat="0" applyFont="0" applyAlignment="0" applyProtection="0"/>
    <xf numFmtId="0" fontId="5" fillId="26" borderId="157" applyNumberFormat="0" applyFont="0" applyAlignment="0" applyProtection="0"/>
    <xf numFmtId="0" fontId="65" fillId="38" borderId="136" applyNumberFormat="0" applyAlignment="0" applyProtection="0"/>
    <xf numFmtId="0" fontId="5"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165" fontId="5" fillId="0" borderId="0" applyFont="0" applyFill="0" applyBorder="0" applyAlignment="0" applyProtection="0"/>
    <xf numFmtId="0" fontId="65" fillId="38" borderId="136" applyNumberFormat="0" applyAlignment="0" applyProtection="0"/>
    <xf numFmtId="0" fontId="72" fillId="0" borderId="137" applyNumberFormat="0" applyFill="0" applyAlignment="0" applyProtection="0"/>
    <xf numFmtId="0" fontId="110" fillId="38" borderId="136" applyNumberFormat="0" applyAlignment="0" applyProtection="0"/>
    <xf numFmtId="0" fontId="5"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6" fillId="26" borderId="157" applyNumberFormat="0" applyFont="0" applyAlignment="0" applyProtection="0"/>
    <xf numFmtId="0" fontId="5" fillId="26" borderId="157" applyNumberFormat="0" applyFont="0" applyAlignment="0" applyProtection="0"/>
    <xf numFmtId="0" fontId="6"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65" fillId="39" borderId="136" applyNumberFormat="0" applyAlignment="0" applyProtection="0"/>
    <xf numFmtId="0" fontId="116" fillId="0" borderId="137" applyNumberFormat="0" applyFill="0" applyAlignment="0" applyProtection="0"/>
    <xf numFmtId="0" fontId="110" fillId="38" borderId="136" applyNumberFormat="0" applyAlignment="0" applyProtection="0"/>
    <xf numFmtId="0" fontId="65" fillId="38" borderId="136" applyNumberFormat="0" applyAlignment="0" applyProtection="0"/>
    <xf numFmtId="0" fontId="5"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65" fillId="39" borderId="136" applyNumberFormat="0" applyAlignment="0" applyProtection="0"/>
    <xf numFmtId="0" fontId="65" fillId="39" borderId="136" applyNumberFormat="0" applyAlignment="0" applyProtection="0"/>
    <xf numFmtId="0" fontId="65" fillId="38" borderId="136" applyNumberFormat="0" applyAlignment="0" applyProtection="0"/>
    <xf numFmtId="0" fontId="116" fillId="0" borderId="137" applyNumberFormat="0" applyFill="0" applyAlignment="0" applyProtection="0"/>
    <xf numFmtId="0" fontId="110" fillId="38" borderId="136" applyNumberFormat="0" applyAlignment="0" applyProtection="0"/>
    <xf numFmtId="0" fontId="65" fillId="38" borderId="136" applyNumberFormat="0" applyAlignment="0" applyProtection="0"/>
    <xf numFmtId="0" fontId="5" fillId="26" borderId="157" applyNumberFormat="0" applyFont="0" applyAlignment="0" applyProtection="0"/>
    <xf numFmtId="0" fontId="5" fillId="26" borderId="157" applyNumberFormat="0" applyFont="0" applyAlignment="0" applyProtection="0"/>
    <xf numFmtId="0" fontId="6"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6"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72" fillId="0" borderId="137" applyNumberFormat="0" applyFill="0" applyAlignment="0" applyProtection="0"/>
    <xf numFmtId="0" fontId="72" fillId="0" borderId="137" applyNumberFormat="0" applyFill="0" applyAlignment="0" applyProtection="0"/>
    <xf numFmtId="9" fontId="49" fillId="0" borderId="0" applyFont="0" applyFill="0" applyBorder="0" applyAlignment="0" applyProtection="0"/>
    <xf numFmtId="0" fontId="59" fillId="64" borderId="156" applyNumberFormat="0" applyAlignment="0" applyProtection="0"/>
    <xf numFmtId="0" fontId="62" fillId="55" borderId="156" applyNumberFormat="0" applyAlignment="0" applyProtection="0"/>
    <xf numFmtId="0" fontId="5" fillId="71" borderId="157" applyNumberFormat="0" applyAlignment="0" applyProtection="0"/>
    <xf numFmtId="0" fontId="65" fillId="64" borderId="136" applyNumberFormat="0" applyAlignment="0" applyProtection="0"/>
    <xf numFmtId="0" fontId="5"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6" fillId="26" borderId="157" applyNumberFormat="0" applyFont="0" applyAlignment="0" applyProtection="0"/>
    <xf numFmtId="0" fontId="5" fillId="26" borderId="157" applyNumberFormat="0" applyFont="0" applyAlignment="0" applyProtection="0"/>
    <xf numFmtId="0" fontId="6"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6"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65" fillId="38" borderId="136" applyNumberFormat="0" applyAlignment="0" applyProtection="0"/>
    <xf numFmtId="0" fontId="5"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18" fillId="15" borderId="162" applyFill="0" applyBorder="0" applyAlignment="0" applyProtection="0">
      <alignment vertical="center"/>
      <protection locked="0"/>
    </xf>
    <xf numFmtId="10" fontId="36" fillId="16" borderId="160" applyNumberFormat="0" applyBorder="0" applyAlignment="0" applyProtection="0"/>
    <xf numFmtId="0" fontId="36" fillId="0" borderId="162" applyBorder="0">
      <alignment horizontal="left" vertical="center" wrapText="1" indent="2"/>
      <protection locked="0"/>
    </xf>
    <xf numFmtId="0" fontId="36" fillId="0" borderId="162" applyBorder="0">
      <alignment horizontal="left" vertical="center" wrapText="1" indent="3"/>
      <protection locked="0"/>
    </xf>
    <xf numFmtId="0" fontId="59" fillId="38" borderId="156" applyNumberFormat="0" applyAlignment="0" applyProtection="0"/>
    <xf numFmtId="0" fontId="73" fillId="39" borderId="156" applyNumberFormat="0" applyAlignment="0" applyProtection="0"/>
    <xf numFmtId="0" fontId="62" fillId="29" borderId="156" applyNumberFormat="0" applyAlignment="0" applyProtection="0"/>
    <xf numFmtId="0" fontId="5" fillId="26" borderId="157" applyNumberFormat="0" applyFont="0" applyAlignment="0" applyProtection="0"/>
    <xf numFmtId="0" fontId="6" fillId="26" borderId="157" applyNumberFormat="0" applyFont="0" applyAlignment="0" applyProtection="0"/>
    <xf numFmtId="0" fontId="65" fillId="38" borderId="136" applyNumberFormat="0" applyAlignment="0" applyProtection="0"/>
    <xf numFmtId="0" fontId="65" fillId="39" borderId="136" applyNumberFormat="0" applyAlignment="0" applyProtection="0"/>
    <xf numFmtId="0" fontId="72" fillId="0" borderId="137" applyNumberFormat="0" applyFill="0" applyAlignment="0" applyProtection="0"/>
    <xf numFmtId="0" fontId="5"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101" fillId="38" borderId="156" applyNumberFormat="0" applyAlignment="0" applyProtection="0"/>
    <xf numFmtId="0" fontId="104" fillId="23" borderId="156" applyNumberFormat="0" applyAlignment="0" applyProtection="0"/>
    <xf numFmtId="0" fontId="5" fillId="26" borderId="157" applyNumberFormat="0" applyFont="0" applyAlignment="0" applyProtection="0"/>
    <xf numFmtId="0" fontId="110" fillId="38" borderId="136" applyNumberFormat="0" applyAlignment="0" applyProtection="0"/>
    <xf numFmtId="0" fontId="116" fillId="0" borderId="137" applyNumberFormat="0" applyFill="0" applyAlignment="0" applyProtection="0"/>
    <xf numFmtId="0" fontId="72" fillId="0" borderId="137" applyNumberFormat="0" applyFill="0" applyAlignment="0" applyProtection="0"/>
    <xf numFmtId="0" fontId="65" fillId="39" borderId="136" applyNumberFormat="0" applyAlignment="0" applyProtection="0"/>
    <xf numFmtId="0" fontId="65" fillId="39" borderId="136" applyNumberFormat="0" applyAlignment="0" applyProtection="0"/>
    <xf numFmtId="0" fontId="72" fillId="0" borderId="137" applyNumberFormat="0" applyFill="0" applyAlignment="0" applyProtection="0"/>
    <xf numFmtId="0" fontId="116" fillId="0" borderId="137" applyNumberFormat="0" applyFill="0" applyAlignment="0" applyProtection="0"/>
    <xf numFmtId="0" fontId="110" fillId="38" borderId="136" applyNumberFormat="0" applyAlignment="0" applyProtection="0"/>
    <xf numFmtId="0" fontId="72" fillId="0" borderId="137" applyNumberFormat="0" applyFill="0" applyAlignment="0" applyProtection="0"/>
    <xf numFmtId="0" fontId="65" fillId="38" borderId="136" applyNumberFormat="0" applyAlignment="0" applyProtection="0"/>
    <xf numFmtId="43" fontId="5" fillId="0" borderId="0" applyFont="0" applyFill="0" applyBorder="0" applyAlignment="0" applyProtection="0"/>
    <xf numFmtId="0" fontId="72" fillId="0" borderId="137" applyNumberFormat="0" applyFill="0" applyAlignment="0" applyProtection="0"/>
    <xf numFmtId="0" fontId="65" fillId="39" borderId="136" applyNumberFormat="0" applyAlignment="0" applyProtection="0"/>
    <xf numFmtId="0" fontId="65" fillId="38" borderId="136" applyNumberFormat="0" applyAlignment="0" applyProtection="0"/>
    <xf numFmtId="0" fontId="5" fillId="26" borderId="157" applyNumberFormat="0" applyFont="0" applyAlignment="0" applyProtection="0"/>
    <xf numFmtId="0" fontId="6"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5" fillId="26" borderId="157" applyNumberFormat="0" applyFont="0" applyAlignment="0" applyProtection="0"/>
    <xf numFmtId="0" fontId="65" fillId="64" borderId="136" applyNumberFormat="0" applyAlignment="0" applyProtection="0"/>
    <xf numFmtId="10" fontId="36" fillId="16" borderId="160" applyNumberFormat="0" applyBorder="0" applyAlignment="0" applyProtection="0"/>
    <xf numFmtId="10" fontId="36" fillId="16" borderId="160" applyNumberFormat="0" applyBorder="0" applyAlignment="0" applyProtection="0"/>
    <xf numFmtId="10" fontId="36" fillId="16" borderId="160" applyNumberFormat="0" applyBorder="0" applyAlignment="0" applyProtection="0"/>
    <xf numFmtId="10" fontId="36" fillId="16" borderId="160" applyNumberFormat="0" applyBorder="0" applyAlignment="0" applyProtection="0"/>
    <xf numFmtId="10" fontId="36" fillId="16" borderId="160" applyNumberFormat="0" applyBorder="0" applyAlignment="0" applyProtection="0"/>
    <xf numFmtId="10" fontId="36" fillId="16" borderId="160" applyNumberFormat="0" applyBorder="0" applyAlignment="0" applyProtection="0"/>
    <xf numFmtId="10" fontId="36" fillId="16" borderId="160" applyNumberFormat="0" applyBorder="0" applyAlignment="0" applyProtection="0"/>
    <xf numFmtId="10" fontId="36" fillId="16" borderId="160" applyNumberFormat="0" applyBorder="0" applyAlignment="0" applyProtection="0"/>
    <xf numFmtId="10" fontId="36" fillId="16" borderId="160" applyNumberFormat="0" applyBorder="0" applyAlignment="0" applyProtection="0"/>
    <xf numFmtId="10" fontId="36" fillId="16" borderId="160" applyNumberFormat="0" applyBorder="0" applyAlignment="0" applyProtection="0"/>
    <xf numFmtId="10" fontId="36" fillId="16" borderId="160" applyNumberFormat="0" applyBorder="0" applyAlignment="0" applyProtection="0"/>
    <xf numFmtId="10" fontId="36" fillId="16" borderId="160" applyNumberFormat="0" applyBorder="0" applyAlignment="0" applyProtection="0"/>
    <xf numFmtId="10" fontId="36" fillId="16" borderId="160" applyNumberFormat="0" applyBorder="0" applyAlignment="0" applyProtection="0"/>
    <xf numFmtId="10" fontId="36" fillId="16" borderId="160" applyNumberFormat="0" applyBorder="0" applyAlignment="0" applyProtection="0"/>
    <xf numFmtId="10" fontId="36" fillId="16" borderId="160" applyNumberFormat="0" applyBorder="0" applyAlignment="0" applyProtection="0"/>
    <xf numFmtId="10" fontId="36" fillId="16" borderId="160" applyNumberFormat="0" applyBorder="0" applyAlignment="0" applyProtection="0"/>
    <xf numFmtId="10" fontId="36" fillId="16" borderId="160" applyNumberFormat="0" applyBorder="0" applyAlignment="0" applyProtection="0"/>
    <xf numFmtId="10" fontId="36" fillId="16" borderId="160" applyNumberFormat="0" applyBorder="0" applyAlignment="0" applyProtection="0"/>
    <xf numFmtId="10" fontId="36" fillId="16" borderId="160" applyNumberFormat="0" applyBorder="0" applyAlignment="0" applyProtection="0"/>
    <xf numFmtId="10" fontId="36" fillId="16" borderId="160" applyNumberFormat="0" applyBorder="0" applyAlignment="0" applyProtection="0"/>
    <xf numFmtId="10" fontId="36" fillId="16" borderId="160" applyNumberFormat="0" applyBorder="0" applyAlignment="0" applyProtection="0"/>
    <xf numFmtId="10" fontId="36" fillId="16" borderId="160" applyNumberFormat="0" applyBorder="0" applyAlignment="0" applyProtection="0"/>
    <xf numFmtId="10" fontId="36" fillId="16" borderId="160" applyNumberFormat="0" applyBorder="0" applyAlignment="0" applyProtection="0"/>
    <xf numFmtId="0" fontId="18" fillId="15" borderId="129" applyFill="0" applyBorder="0" applyAlignment="0" applyProtection="0">
      <alignment vertical="center"/>
      <protection locked="0"/>
    </xf>
    <xf numFmtId="10" fontId="36" fillId="16" borderId="160" applyNumberFormat="0" applyBorder="0" applyAlignment="0" applyProtection="0"/>
    <xf numFmtId="0" fontId="36" fillId="0" borderId="129" applyBorder="0">
      <alignment horizontal="left" vertical="center" wrapText="1" indent="2"/>
      <protection locked="0"/>
    </xf>
    <xf numFmtId="0" fontId="36" fillId="0" borderId="129" applyBorder="0">
      <alignment horizontal="left" vertical="center" wrapText="1" indent="3"/>
      <protection locked="0"/>
    </xf>
    <xf numFmtId="0" fontId="137" fillId="0" borderId="0"/>
    <xf numFmtId="0" fontId="137" fillId="0" borderId="0"/>
    <xf numFmtId="0" fontId="138" fillId="0" borderId="0"/>
    <xf numFmtId="0" fontId="138" fillId="0" borderId="0"/>
    <xf numFmtId="0" fontId="5" fillId="0" borderId="0"/>
    <xf numFmtId="0" fontId="140" fillId="0" borderId="0"/>
    <xf numFmtId="0" fontId="144" fillId="0" borderId="0"/>
    <xf numFmtId="0" fontId="144" fillId="0" borderId="0"/>
    <xf numFmtId="0" fontId="144" fillId="0" borderId="0"/>
    <xf numFmtId="0" fontId="144" fillId="0" borderId="0"/>
    <xf numFmtId="0" fontId="5" fillId="0" borderId="0"/>
    <xf numFmtId="164" fontId="1" fillId="0" borderId="0" applyFont="0" applyFill="0" applyBorder="0" applyAlignment="0" applyProtection="0"/>
  </cellStyleXfs>
  <cellXfs count="2253">
    <xf numFmtId="0" fontId="0" fillId="0" borderId="0" xfId="0"/>
    <xf numFmtId="0" fontId="20" fillId="0" borderId="0" xfId="1" applyFont="1" applyAlignment="1">
      <alignment vertical="center"/>
    </xf>
    <xf numFmtId="0" fontId="18" fillId="5" borderId="0" xfId="1" applyFont="1" applyFill="1" applyAlignment="1">
      <alignment horizontal="right" vertical="center"/>
    </xf>
    <xf numFmtId="0" fontId="21" fillId="0" borderId="0" xfId="1" applyFont="1" applyAlignment="1">
      <alignment horizontal="left" vertical="center"/>
    </xf>
    <xf numFmtId="0" fontId="20" fillId="0" borderId="0" xfId="1" applyFont="1" applyAlignment="1">
      <alignment horizontal="center" vertical="center"/>
    </xf>
    <xf numFmtId="0" fontId="7" fillId="0" borderId="0" xfId="1" applyFont="1" applyAlignment="1">
      <alignment vertical="center"/>
    </xf>
    <xf numFmtId="0" fontId="7" fillId="0" borderId="0" xfId="1" applyFont="1" applyAlignment="1">
      <alignment horizontal="center" vertical="center"/>
    </xf>
    <xf numFmtId="0" fontId="23" fillId="0" borderId="0" xfId="1" applyFont="1" applyAlignment="1">
      <alignment horizontal="center" vertical="center" wrapText="1"/>
    </xf>
    <xf numFmtId="4" fontId="7" fillId="0" borderId="0" xfId="1" applyNumberFormat="1" applyFont="1" applyAlignment="1">
      <alignment vertical="center"/>
    </xf>
    <xf numFmtId="4" fontId="7" fillId="5" borderId="0" xfId="1" applyNumberFormat="1" applyFont="1" applyFill="1" applyAlignment="1">
      <alignment vertical="center"/>
    </xf>
    <xf numFmtId="0" fontId="7" fillId="5" borderId="0" xfId="1" applyFont="1" applyFill="1" applyAlignment="1">
      <alignment vertical="center"/>
    </xf>
    <xf numFmtId="0" fontId="15" fillId="0" borderId="0" xfId="1" applyFont="1" applyAlignment="1">
      <alignment vertical="center"/>
    </xf>
    <xf numFmtId="0" fontId="24" fillId="5" borderId="0" xfId="1" applyFont="1" applyFill="1" applyAlignment="1">
      <alignment horizontal="right" vertical="center"/>
    </xf>
    <xf numFmtId="0" fontId="15" fillId="3" borderId="5" xfId="1" applyFont="1" applyFill="1" applyBorder="1" applyAlignment="1">
      <alignment horizontal="center" vertical="center"/>
    </xf>
    <xf numFmtId="0" fontId="15" fillId="3" borderId="7" xfId="1" applyFont="1" applyFill="1" applyBorder="1" applyAlignment="1">
      <alignment horizontal="center" vertical="center"/>
    </xf>
    <xf numFmtId="4" fontId="15" fillId="3" borderId="7" xfId="1" applyNumberFormat="1" applyFont="1" applyFill="1" applyBorder="1" applyAlignment="1">
      <alignment vertical="center"/>
    </xf>
    <xf numFmtId="4" fontId="15" fillId="3" borderId="6" xfId="1" applyNumberFormat="1" applyFont="1" applyFill="1" applyBorder="1" applyAlignment="1">
      <alignment vertical="center"/>
    </xf>
    <xf numFmtId="4" fontId="15" fillId="5" borderId="0" xfId="1" applyNumberFormat="1" applyFont="1" applyFill="1" applyAlignment="1">
      <alignment vertical="center"/>
    </xf>
    <xf numFmtId="0" fontId="15" fillId="5" borderId="0" xfId="1" applyFont="1" applyFill="1" applyAlignment="1">
      <alignment vertical="center"/>
    </xf>
    <xf numFmtId="0" fontId="12" fillId="5" borderId="0" xfId="1" applyFont="1" applyFill="1" applyAlignment="1">
      <alignment horizontal="right" vertical="center"/>
    </xf>
    <xf numFmtId="0" fontId="12" fillId="5" borderId="0" xfId="1" applyFont="1" applyFill="1" applyAlignment="1">
      <alignment horizontal="center" vertical="center" wrapText="1"/>
    </xf>
    <xf numFmtId="0" fontId="13" fillId="0" borderId="0" xfId="1" applyFont="1" applyAlignment="1">
      <alignment vertical="center"/>
    </xf>
    <xf numFmtId="0" fontId="14" fillId="5" borderId="0" xfId="1" applyFont="1" applyFill="1" applyAlignment="1">
      <alignment horizontal="right" vertical="center"/>
    </xf>
    <xf numFmtId="0" fontId="19" fillId="5" borderId="0" xfId="1" applyFont="1" applyFill="1" applyAlignment="1">
      <alignment horizontal="center" vertical="center" wrapText="1"/>
    </xf>
    <xf numFmtId="0" fontId="13" fillId="5" borderId="0" xfId="1" applyFont="1" applyFill="1" applyAlignment="1">
      <alignment vertical="center"/>
    </xf>
    <xf numFmtId="14" fontId="7" fillId="5" borderId="0" xfId="1" applyNumberFormat="1" applyFont="1" applyFill="1" applyAlignment="1">
      <alignment horizontal="right" vertical="center"/>
    </xf>
    <xf numFmtId="10" fontId="7" fillId="5" borderId="0" xfId="36" applyNumberFormat="1" applyFont="1" applyFill="1" applyBorder="1" applyAlignment="1">
      <alignment horizontal="right" vertical="center" wrapText="1"/>
    </xf>
    <xf numFmtId="0" fontId="17" fillId="5" borderId="0" xfId="1" applyFont="1" applyFill="1" applyAlignment="1">
      <alignment horizontal="center" vertical="center" wrapText="1"/>
    </xf>
    <xf numFmtId="0" fontId="17" fillId="6" borderId="2" xfId="1" applyFont="1" applyFill="1" applyBorder="1" applyAlignment="1">
      <alignment horizontal="center" vertical="center" wrapText="1"/>
    </xf>
    <xf numFmtId="0" fontId="17" fillId="6" borderId="3" xfId="1" applyFont="1" applyFill="1" applyBorder="1" applyAlignment="1">
      <alignment horizontal="center" vertical="center" wrapText="1"/>
    </xf>
    <xf numFmtId="4" fontId="17" fillId="6" borderId="3" xfId="1" applyNumberFormat="1" applyFont="1" applyFill="1" applyBorder="1" applyAlignment="1">
      <alignment horizontal="center" vertical="center" wrapText="1"/>
    </xf>
    <xf numFmtId="4" fontId="17" fillId="6" borderId="4" xfId="1" applyNumberFormat="1" applyFont="1" applyFill="1" applyBorder="1" applyAlignment="1">
      <alignment horizontal="center" vertical="center" wrapText="1"/>
    </xf>
    <xf numFmtId="4" fontId="17" fillId="5" borderId="0" xfId="1" applyNumberFormat="1" applyFont="1" applyFill="1" applyAlignment="1">
      <alignment horizontal="center" vertical="center"/>
    </xf>
    <xf numFmtId="0" fontId="11" fillId="0" borderId="0" xfId="1" applyFont="1" applyAlignment="1">
      <alignment vertical="center"/>
    </xf>
    <xf numFmtId="0" fontId="27" fillId="5" borderId="0" xfId="1" applyFont="1" applyFill="1" applyAlignment="1">
      <alignment horizontal="right" vertical="center"/>
    </xf>
    <xf numFmtId="0" fontId="27" fillId="0" borderId="5" xfId="1" applyFont="1" applyBorder="1" applyAlignment="1">
      <alignment vertical="center"/>
    </xf>
    <xf numFmtId="0" fontId="27" fillId="0" borderId="7" xfId="1" applyFont="1" applyBorder="1" applyAlignment="1">
      <alignment vertical="center"/>
    </xf>
    <xf numFmtId="0" fontId="27" fillId="0" borderId="6" xfId="1" applyFont="1" applyBorder="1" applyAlignment="1">
      <alignment vertical="center"/>
    </xf>
    <xf numFmtId="0" fontId="27" fillId="5" borderId="0" xfId="1" applyFont="1" applyFill="1" applyAlignment="1">
      <alignment horizontal="center" vertical="center"/>
    </xf>
    <xf numFmtId="0" fontId="11" fillId="5" borderId="0" xfId="1" applyFont="1" applyFill="1" applyAlignment="1">
      <alignment vertical="center"/>
    </xf>
    <xf numFmtId="0" fontId="11" fillId="7" borderId="8" xfId="1" applyFont="1" applyFill="1" applyBorder="1" applyAlignment="1">
      <alignment horizontal="center" vertical="center"/>
    </xf>
    <xf numFmtId="0" fontId="11" fillId="7" borderId="9" xfId="1" applyFont="1" applyFill="1" applyBorder="1" applyAlignment="1">
      <alignment horizontal="center" vertical="center"/>
    </xf>
    <xf numFmtId="0" fontId="11" fillId="7" borderId="9" xfId="1" applyFont="1" applyFill="1" applyBorder="1" applyAlignment="1">
      <alignment vertical="center" wrapText="1"/>
    </xf>
    <xf numFmtId="4" fontId="11" fillId="7" borderId="9" xfId="1" applyNumberFormat="1" applyFont="1" applyFill="1" applyBorder="1" applyAlignment="1">
      <alignment vertical="center"/>
    </xf>
    <xf numFmtId="4" fontId="11" fillId="7" borderId="10" xfId="1" applyNumberFormat="1" applyFont="1" applyFill="1" applyBorder="1" applyAlignment="1">
      <alignment vertical="center"/>
    </xf>
    <xf numFmtId="4" fontId="11" fillId="5" borderId="0" xfId="1" applyNumberFormat="1" applyFont="1" applyFill="1" applyAlignment="1">
      <alignment vertical="center"/>
    </xf>
    <xf numFmtId="165" fontId="28" fillId="5" borderId="0" xfId="8" applyFont="1" applyFill="1" applyBorder="1" applyAlignment="1">
      <alignment horizontal="center" vertical="center"/>
    </xf>
    <xf numFmtId="0" fontId="11" fillId="7" borderId="5" xfId="1" applyFont="1" applyFill="1" applyBorder="1" applyAlignment="1">
      <alignment horizontal="center" vertical="center"/>
    </xf>
    <xf numFmtId="0" fontId="11" fillId="7" borderId="7" xfId="1" applyFont="1" applyFill="1" applyBorder="1" applyAlignment="1">
      <alignment horizontal="center" vertical="center"/>
    </xf>
    <xf numFmtId="0" fontId="11" fillId="7" borderId="7" xfId="1" applyFont="1" applyFill="1" applyBorder="1" applyAlignment="1">
      <alignment vertical="center" wrapText="1"/>
    </xf>
    <xf numFmtId="4" fontId="11" fillId="7" borderId="7" xfId="1" applyNumberFormat="1" applyFont="1" applyFill="1" applyBorder="1" applyAlignment="1">
      <alignment vertical="center"/>
    </xf>
    <xf numFmtId="4" fontId="11" fillId="7" borderId="6" xfId="1" applyNumberFormat="1" applyFont="1" applyFill="1" applyBorder="1" applyAlignment="1">
      <alignment vertical="center"/>
    </xf>
    <xf numFmtId="4" fontId="27" fillId="5" borderId="0" xfId="1" applyNumberFormat="1" applyFont="1" applyFill="1" applyAlignment="1">
      <alignment horizontal="right" vertical="center"/>
    </xf>
    <xf numFmtId="0" fontId="27" fillId="5" borderId="9" xfId="1" applyFont="1" applyFill="1" applyBorder="1" applyAlignment="1">
      <alignment vertical="center" wrapText="1"/>
    </xf>
    <xf numFmtId="0" fontId="27" fillId="5" borderId="0" xfId="1" applyFont="1" applyFill="1" applyAlignment="1">
      <alignment horizontal="center" vertical="center" wrapText="1"/>
    </xf>
    <xf numFmtId="0" fontId="7" fillId="0" borderId="0" xfId="1" applyFont="1" applyAlignment="1">
      <alignment vertical="center" wrapText="1"/>
    </xf>
    <xf numFmtId="0" fontId="7" fillId="0" borderId="0" xfId="23" applyAlignment="1">
      <alignment vertical="center"/>
    </xf>
    <xf numFmtId="0" fontId="7" fillId="0" borderId="0" xfId="23" applyAlignment="1">
      <alignment horizontal="center" vertical="center"/>
    </xf>
    <xf numFmtId="0" fontId="7" fillId="0" borderId="0" xfId="23" applyAlignment="1">
      <alignment vertical="center" wrapText="1"/>
    </xf>
    <xf numFmtId="4" fontId="7" fillId="0" borderId="0" xfId="23" applyNumberFormat="1" applyAlignment="1">
      <alignment horizontal="center" vertical="center"/>
    </xf>
    <xf numFmtId="0" fontId="11" fillId="0" borderId="0" xfId="23" applyFont="1" applyAlignment="1">
      <alignment vertical="center"/>
    </xf>
    <xf numFmtId="0" fontId="11" fillId="3" borderId="5" xfId="23" applyFont="1" applyFill="1" applyBorder="1" applyAlignment="1">
      <alignment horizontal="center" vertical="center"/>
    </xf>
    <xf numFmtId="0" fontId="11" fillId="3" borderId="7" xfId="23" applyFont="1" applyFill="1" applyBorder="1" applyAlignment="1">
      <alignment horizontal="center" vertical="center"/>
    </xf>
    <xf numFmtId="4" fontId="11" fillId="3" borderId="7" xfId="23" applyNumberFormat="1" applyFont="1" applyFill="1" applyBorder="1" applyAlignment="1">
      <alignment vertical="center"/>
    </xf>
    <xf numFmtId="4" fontId="11" fillId="3" borderId="6" xfId="23" applyNumberFormat="1" applyFont="1" applyFill="1" applyBorder="1" applyAlignment="1">
      <alignment vertical="center"/>
    </xf>
    <xf numFmtId="0" fontId="13" fillId="0" borderId="0" xfId="23" applyFont="1" applyAlignment="1">
      <alignment vertical="center"/>
    </xf>
    <xf numFmtId="0" fontId="11" fillId="7" borderId="5" xfId="23" applyFont="1" applyFill="1" applyBorder="1" applyAlignment="1">
      <alignment horizontal="center" vertical="center"/>
    </xf>
    <xf numFmtId="0" fontId="11" fillId="7" borderId="7" xfId="23" applyFont="1" applyFill="1" applyBorder="1" applyAlignment="1">
      <alignment vertical="center" wrapText="1"/>
    </xf>
    <xf numFmtId="0" fontId="11" fillId="7" borderId="7" xfId="23" applyFont="1" applyFill="1" applyBorder="1" applyAlignment="1">
      <alignment horizontal="center" vertical="center"/>
    </xf>
    <xf numFmtId="4" fontId="11" fillId="7" borderId="7" xfId="23" applyNumberFormat="1" applyFont="1" applyFill="1" applyBorder="1" applyAlignment="1">
      <alignment vertical="center"/>
    </xf>
    <xf numFmtId="4" fontId="11" fillId="7" borderId="6" xfId="23" applyNumberFormat="1" applyFont="1" applyFill="1" applyBorder="1" applyAlignment="1">
      <alignment vertical="center"/>
    </xf>
    <xf numFmtId="49" fontId="7" fillId="0" borderId="0" xfId="23" applyNumberFormat="1" applyAlignment="1">
      <alignment horizontal="center"/>
    </xf>
    <xf numFmtId="10" fontId="18" fillId="0" borderId="0" xfId="36" applyNumberFormat="1" applyFont="1" applyAlignment="1">
      <alignment vertical="center"/>
    </xf>
    <xf numFmtId="0" fontId="7" fillId="0" borderId="0" xfId="23"/>
    <xf numFmtId="0" fontId="15" fillId="3" borderId="16" xfId="1" applyFont="1" applyFill="1" applyBorder="1" applyAlignment="1">
      <alignment horizontal="center" vertical="center"/>
    </xf>
    <xf numFmtId="4" fontId="15" fillId="3" borderId="16" xfId="1" applyNumberFormat="1" applyFont="1" applyFill="1" applyBorder="1" applyAlignment="1">
      <alignment vertical="center"/>
    </xf>
    <xf numFmtId="0" fontId="15" fillId="3" borderId="16" xfId="1" applyFont="1" applyFill="1" applyBorder="1" applyAlignment="1">
      <alignment vertical="center" wrapText="1"/>
    </xf>
    <xf numFmtId="4" fontId="15" fillId="3" borderId="15" xfId="1" applyNumberFormat="1" applyFont="1" applyFill="1" applyBorder="1" applyAlignment="1">
      <alignment vertical="center"/>
    </xf>
    <xf numFmtId="0" fontId="29" fillId="7" borderId="1" xfId="0" applyFont="1" applyFill="1" applyBorder="1" applyAlignment="1">
      <alignment horizontal="center" vertical="center"/>
    </xf>
    <xf numFmtId="0" fontId="56" fillId="7" borderId="2" xfId="0" applyFont="1" applyFill="1" applyBorder="1" applyAlignment="1">
      <alignment horizontal="center"/>
    </xf>
    <xf numFmtId="0" fontId="56" fillId="7" borderId="3" xfId="0" applyFont="1" applyFill="1" applyBorder="1" applyAlignment="1">
      <alignment horizontal="center" wrapText="1"/>
    </xf>
    <xf numFmtId="4" fontId="0" fillId="0" borderId="20" xfId="0" applyNumberFormat="1" applyBorder="1" applyAlignment="1">
      <alignment horizontal="center"/>
    </xf>
    <xf numFmtId="0" fontId="29" fillId="7" borderId="3" xfId="0" applyFont="1" applyFill="1" applyBorder="1" applyAlignment="1">
      <alignment horizontal="center" vertical="center"/>
    </xf>
    <xf numFmtId="0" fontId="29" fillId="7" borderId="4" xfId="0" applyFont="1" applyFill="1" applyBorder="1" applyAlignment="1">
      <alignment horizontal="center" vertical="center"/>
    </xf>
    <xf numFmtId="0" fontId="18" fillId="0" borderId="0" xfId="1" applyFont="1" applyAlignment="1">
      <alignment horizontal="right" vertical="center" wrapText="1"/>
    </xf>
    <xf numFmtId="0" fontId="15" fillId="3" borderId="7" xfId="1" applyFont="1" applyFill="1" applyBorder="1" applyAlignment="1">
      <alignment vertical="center" wrapText="1"/>
    </xf>
    <xf numFmtId="0" fontId="7" fillId="0" borderId="0" xfId="431" applyAlignment="1">
      <alignment horizontal="center" vertical="center"/>
    </xf>
    <xf numFmtId="0" fontId="7" fillId="0" borderId="0" xfId="431" applyAlignment="1">
      <alignment vertical="center" wrapText="1"/>
    </xf>
    <xf numFmtId="4" fontId="7" fillId="0" borderId="0" xfId="431" applyNumberFormat="1" applyAlignment="1">
      <alignment horizontal="center" vertical="center"/>
    </xf>
    <xf numFmtId="4" fontId="7" fillId="0" borderId="0" xfId="431" applyNumberFormat="1" applyAlignment="1">
      <alignment vertical="center"/>
    </xf>
    <xf numFmtId="0" fontId="7" fillId="0" borderId="0" xfId="431" applyAlignment="1">
      <alignment vertical="center"/>
    </xf>
    <xf numFmtId="0" fontId="11" fillId="3" borderId="5" xfId="431" applyFont="1" applyFill="1" applyBorder="1" applyAlignment="1">
      <alignment horizontal="center" vertical="center"/>
    </xf>
    <xf numFmtId="0" fontId="11" fillId="3" borderId="7" xfId="431" applyFont="1" applyFill="1" applyBorder="1" applyAlignment="1">
      <alignment horizontal="center" vertical="center"/>
    </xf>
    <xf numFmtId="0" fontId="11" fillId="3" borderId="7" xfId="431" applyFont="1" applyFill="1" applyBorder="1" applyAlignment="1">
      <alignment vertical="center" wrapText="1"/>
    </xf>
    <xf numFmtId="4" fontId="11" fillId="3" borderId="7" xfId="431" applyNumberFormat="1" applyFont="1" applyFill="1" applyBorder="1" applyAlignment="1">
      <alignment vertical="center"/>
    </xf>
    <xf numFmtId="4" fontId="11" fillId="3" borderId="6" xfId="431" applyNumberFormat="1" applyFont="1" applyFill="1" applyBorder="1" applyAlignment="1">
      <alignment vertical="center"/>
    </xf>
    <xf numFmtId="0" fontId="11" fillId="0" borderId="0" xfId="431" applyFont="1" applyAlignment="1">
      <alignment vertical="center"/>
    </xf>
    <xf numFmtId="0" fontId="13" fillId="0" borderId="0" xfId="431" applyFont="1" applyAlignment="1">
      <alignment vertical="center"/>
    </xf>
    <xf numFmtId="0" fontId="11" fillId="7" borderId="8" xfId="431" applyFont="1" applyFill="1" applyBorder="1" applyAlignment="1">
      <alignment horizontal="center" vertical="center"/>
    </xf>
    <xf numFmtId="0" fontId="11" fillId="7" borderId="9" xfId="431" applyFont="1" applyFill="1" applyBorder="1" applyAlignment="1">
      <alignment horizontal="center" vertical="center"/>
    </xf>
    <xf numFmtId="0" fontId="11" fillId="7" borderId="9" xfId="431" applyFont="1" applyFill="1" applyBorder="1" applyAlignment="1">
      <alignment vertical="center" wrapText="1"/>
    </xf>
    <xf numFmtId="4" fontId="11" fillId="7" borderId="9" xfId="431" applyNumberFormat="1" applyFont="1" applyFill="1" applyBorder="1" applyAlignment="1">
      <alignment vertical="center"/>
    </xf>
    <xf numFmtId="4" fontId="11" fillId="7" borderId="10" xfId="431" applyNumberFormat="1" applyFont="1" applyFill="1" applyBorder="1" applyAlignment="1">
      <alignment vertical="center"/>
    </xf>
    <xf numFmtId="0" fontId="11" fillId="7" borderId="5" xfId="431" applyFont="1" applyFill="1" applyBorder="1" applyAlignment="1">
      <alignment horizontal="center" vertical="center"/>
    </xf>
    <xf numFmtId="0" fontId="11" fillId="7" borderId="7" xfId="431" applyFont="1" applyFill="1" applyBorder="1" applyAlignment="1">
      <alignment horizontal="center" vertical="center"/>
    </xf>
    <xf numFmtId="0" fontId="11" fillId="7" borderId="7" xfId="431" applyFont="1" applyFill="1" applyBorder="1" applyAlignment="1">
      <alignment vertical="center" wrapText="1"/>
    </xf>
    <xf numFmtId="4" fontId="11" fillId="7" borderId="7" xfId="431" applyNumberFormat="1" applyFont="1" applyFill="1" applyBorder="1" applyAlignment="1">
      <alignment vertical="center"/>
    </xf>
    <xf numFmtId="4" fontId="11" fillId="7" borderId="6" xfId="431" applyNumberFormat="1" applyFont="1" applyFill="1" applyBorder="1" applyAlignment="1">
      <alignment vertical="center"/>
    </xf>
    <xf numFmtId="0" fontId="7" fillId="6" borderId="0" xfId="431" applyFill="1" applyAlignment="1">
      <alignment vertical="center"/>
    </xf>
    <xf numFmtId="10" fontId="3" fillId="5" borderId="21" xfId="36" applyNumberFormat="1" applyFont="1" applyFill="1" applyBorder="1" applyAlignment="1">
      <alignment horizontal="center" vertical="center"/>
    </xf>
    <xf numFmtId="0" fontId="11" fillId="0" borderId="0" xfId="23" applyFont="1"/>
    <xf numFmtId="0" fontId="84" fillId="0" borderId="0" xfId="23" applyFont="1"/>
    <xf numFmtId="2" fontId="85" fillId="0" borderId="0" xfId="31" applyNumberFormat="1" applyFont="1" applyAlignment="1">
      <alignment horizontal="center" vertical="center"/>
    </xf>
    <xf numFmtId="10" fontId="84" fillId="0" borderId="0" xfId="36" applyNumberFormat="1" applyFont="1"/>
    <xf numFmtId="0" fontId="7" fillId="0" borderId="18" xfId="23" applyBorder="1"/>
    <xf numFmtId="0" fontId="7" fillId="0" borderId="19" xfId="23" applyBorder="1"/>
    <xf numFmtId="0" fontId="72" fillId="0" borderId="0" xfId="23" applyFont="1" applyAlignment="1">
      <alignment horizontal="right" vertical="center"/>
    </xf>
    <xf numFmtId="40" fontId="7" fillId="0" borderId="0" xfId="23" applyNumberFormat="1" applyAlignment="1">
      <alignment horizontal="center" vertical="center"/>
    </xf>
    <xf numFmtId="0" fontId="11" fillId="0" borderId="19" xfId="23" applyFont="1" applyBorder="1"/>
    <xf numFmtId="0" fontId="11" fillId="0" borderId="18" xfId="23" applyFont="1" applyBorder="1"/>
    <xf numFmtId="0" fontId="7" fillId="0" borderId="8" xfId="23" applyBorder="1"/>
    <xf numFmtId="9" fontId="7" fillId="0" borderId="9" xfId="23" applyNumberFormat="1" applyBorder="1" applyAlignment="1">
      <alignment horizontal="center" vertical="center"/>
    </xf>
    <xf numFmtId="0" fontId="7" fillId="0" borderId="9" xfId="23" applyBorder="1" applyAlignment="1">
      <alignment horizontal="left" vertical="center"/>
    </xf>
    <xf numFmtId="0" fontId="18" fillId="0" borderId="18" xfId="1" applyFont="1" applyBorder="1" applyAlignment="1">
      <alignment vertical="center" wrapText="1"/>
    </xf>
    <xf numFmtId="14" fontId="7" fillId="0" borderId="19" xfId="1" applyNumberFormat="1" applyFont="1" applyBorder="1" applyAlignment="1">
      <alignment horizontal="right" vertical="center"/>
    </xf>
    <xf numFmtId="0" fontId="18" fillId="0" borderId="26" xfId="1" applyFont="1" applyBorder="1" applyAlignment="1">
      <alignment vertical="center" wrapText="1"/>
    </xf>
    <xf numFmtId="10" fontId="7" fillId="0" borderId="28" xfId="36" applyNumberFormat="1" applyFont="1" applyFill="1" applyBorder="1" applyAlignment="1">
      <alignment horizontal="right" vertical="center" wrapText="1"/>
    </xf>
    <xf numFmtId="0" fontId="7" fillId="0" borderId="0" xfId="23" applyAlignment="1">
      <alignment horizontal="left" vertical="center"/>
    </xf>
    <xf numFmtId="0" fontId="11" fillId="0" borderId="9" xfId="23" applyFont="1" applyBorder="1"/>
    <xf numFmtId="0" fontId="7" fillId="0" borderId="14" xfId="23" applyBorder="1"/>
    <xf numFmtId="0" fontId="86" fillId="0" borderId="16" xfId="23" applyFont="1" applyBorder="1" applyAlignment="1">
      <alignment vertical="center" wrapText="1"/>
    </xf>
    <xf numFmtId="0" fontId="7" fillId="0" borderId="16" xfId="23" applyBorder="1"/>
    <xf numFmtId="0" fontId="7" fillId="0" borderId="15" xfId="23" applyBorder="1"/>
    <xf numFmtId="0" fontId="7" fillId="0" borderId="9" xfId="23" applyBorder="1"/>
    <xf numFmtId="0" fontId="7" fillId="0" borderId="10" xfId="23" applyBorder="1"/>
    <xf numFmtId="0" fontId="3" fillId="45" borderId="11" xfId="23" applyFont="1" applyFill="1" applyBorder="1" applyAlignment="1">
      <alignment horizontal="center"/>
    </xf>
    <xf numFmtId="0" fontId="4" fillId="0" borderId="11" xfId="23" applyFont="1" applyBorder="1" applyAlignment="1">
      <alignment horizontal="center"/>
    </xf>
    <xf numFmtId="0" fontId="4" fillId="0" borderId="29" xfId="23" applyFont="1" applyBorder="1" applyAlignment="1">
      <alignment horizontal="center"/>
    </xf>
    <xf numFmtId="0" fontId="3" fillId="45" borderId="31" xfId="23" applyFont="1" applyFill="1" applyBorder="1" applyAlignment="1">
      <alignment horizontal="center"/>
    </xf>
    <xf numFmtId="10" fontId="4" fillId="0" borderId="5" xfId="23" applyNumberFormat="1" applyFont="1" applyBorder="1" applyAlignment="1">
      <alignment horizontal="center" vertical="center"/>
    </xf>
    <xf numFmtId="0" fontId="4" fillId="0" borderId="0" xfId="23" applyFont="1"/>
    <xf numFmtId="0" fontId="4" fillId="0" borderId="0" xfId="23" applyFont="1" applyAlignment="1">
      <alignment horizontal="left"/>
    </xf>
    <xf numFmtId="9" fontId="4" fillId="0" borderId="5" xfId="23" applyNumberFormat="1" applyFont="1" applyBorder="1" applyAlignment="1">
      <alignment horizontal="center" vertical="center"/>
    </xf>
    <xf numFmtId="0" fontId="11" fillId="3" borderId="7" xfId="23" applyFont="1" applyFill="1" applyBorder="1" applyAlignment="1">
      <alignment vertical="center" wrapText="1"/>
    </xf>
    <xf numFmtId="165" fontId="3" fillId="12" borderId="10" xfId="8" applyFont="1" applyFill="1" applyBorder="1" applyAlignment="1">
      <alignment horizontal="right" vertical="center"/>
    </xf>
    <xf numFmtId="4" fontId="20" fillId="0" borderId="0" xfId="1" applyNumberFormat="1" applyFont="1" applyAlignment="1">
      <alignment vertical="center"/>
    </xf>
    <xf numFmtId="4" fontId="27" fillId="0" borderId="7" xfId="1" applyNumberFormat="1" applyFont="1" applyBorder="1" applyAlignment="1">
      <alignment vertical="center"/>
    </xf>
    <xf numFmtId="4" fontId="27" fillId="5" borderId="9" xfId="1" applyNumberFormat="1" applyFont="1" applyFill="1" applyBorder="1" applyAlignment="1">
      <alignment vertical="center" wrapText="1"/>
    </xf>
    <xf numFmtId="0" fontId="3" fillId="9" borderId="14" xfId="23" applyFont="1" applyFill="1" applyBorder="1" applyAlignment="1">
      <alignment horizontal="center" vertical="center" wrapText="1"/>
    </xf>
    <xf numFmtId="4" fontId="4" fillId="2" borderId="16" xfId="23" applyNumberFormat="1" applyFont="1" applyFill="1" applyBorder="1" applyAlignment="1">
      <alignment horizontal="center" vertical="center" wrapText="1"/>
    </xf>
    <xf numFmtId="4" fontId="3" fillId="9" borderId="16" xfId="23" applyNumberFormat="1" applyFont="1" applyFill="1" applyBorder="1" applyAlignment="1">
      <alignment vertical="center" wrapText="1"/>
    </xf>
    <xf numFmtId="4" fontId="4" fillId="9" borderId="16" xfId="23" applyNumberFormat="1" applyFont="1" applyFill="1" applyBorder="1" applyAlignment="1">
      <alignment horizontal="center" vertical="center"/>
    </xf>
    <xf numFmtId="4" fontId="4" fillId="9" borderId="16" xfId="46" applyNumberFormat="1" applyFont="1" applyFill="1" applyBorder="1" applyAlignment="1">
      <alignment vertical="center"/>
    </xf>
    <xf numFmtId="4" fontId="4" fillId="9" borderId="16" xfId="23" applyNumberFormat="1" applyFont="1" applyFill="1" applyBorder="1" applyAlignment="1">
      <alignment vertical="center"/>
    </xf>
    <xf numFmtId="4" fontId="3" fillId="9" borderId="15" xfId="46" applyNumberFormat="1" applyFont="1" applyFill="1" applyBorder="1" applyAlignment="1">
      <alignment vertical="center"/>
    </xf>
    <xf numFmtId="0" fontId="3" fillId="5" borderId="9" xfId="1" applyFont="1" applyFill="1" applyBorder="1" applyAlignment="1">
      <alignment vertical="center" wrapText="1"/>
    </xf>
    <xf numFmtId="4" fontId="3" fillId="5" borderId="9" xfId="1" applyNumberFormat="1" applyFont="1" applyFill="1" applyBorder="1" applyAlignment="1">
      <alignment vertical="center" wrapText="1"/>
    </xf>
    <xf numFmtId="0" fontId="3" fillId="9" borderId="5" xfId="23" applyFont="1" applyFill="1" applyBorder="1" applyAlignment="1">
      <alignment horizontal="center" vertical="center" wrapText="1"/>
    </xf>
    <xf numFmtId="4" fontId="4" fillId="2" borderId="7" xfId="23" applyNumberFormat="1" applyFont="1" applyFill="1" applyBorder="1" applyAlignment="1">
      <alignment horizontal="center" vertical="center" wrapText="1"/>
    </xf>
    <xf numFmtId="4" fontId="3" fillId="9" borderId="7" xfId="23" applyNumberFormat="1" applyFont="1" applyFill="1" applyBorder="1" applyAlignment="1">
      <alignment vertical="center" wrapText="1"/>
    </xf>
    <xf numFmtId="4" fontId="4" fillId="9" borderId="7" xfId="23" applyNumberFormat="1" applyFont="1" applyFill="1" applyBorder="1" applyAlignment="1">
      <alignment horizontal="center" vertical="center"/>
    </xf>
    <xf numFmtId="4" fontId="4" fillId="9" borderId="7" xfId="46" applyNumberFormat="1" applyFont="1" applyFill="1" applyBorder="1" applyAlignment="1">
      <alignment vertical="center"/>
    </xf>
    <xf numFmtId="4" fontId="4" fillId="9" borderId="7" xfId="23" applyNumberFormat="1" applyFont="1" applyFill="1" applyBorder="1" applyAlignment="1">
      <alignment vertical="center"/>
    </xf>
    <xf numFmtId="4" fontId="3" fillId="9" borderId="6" xfId="46" applyNumberFormat="1" applyFont="1" applyFill="1" applyBorder="1" applyAlignment="1">
      <alignment vertical="center"/>
    </xf>
    <xf numFmtId="0" fontId="3" fillId="5" borderId="0" xfId="1" applyFont="1" applyFill="1" applyAlignment="1">
      <alignment vertical="center" wrapText="1"/>
    </xf>
    <xf numFmtId="4" fontId="3" fillId="5" borderId="0" xfId="1" applyNumberFormat="1" applyFont="1" applyFill="1" applyAlignment="1">
      <alignment vertical="center" wrapText="1"/>
    </xf>
    <xf numFmtId="0" fontId="3" fillId="9" borderId="64" xfId="23" applyFont="1" applyFill="1" applyBorder="1" applyAlignment="1">
      <alignment horizontal="center" vertical="center" wrapText="1"/>
    </xf>
    <xf numFmtId="4" fontId="4" fillId="2" borderId="65" xfId="23" applyNumberFormat="1" applyFont="1" applyFill="1" applyBorder="1" applyAlignment="1">
      <alignment horizontal="center" vertical="center" wrapText="1"/>
    </xf>
    <xf numFmtId="4" fontId="3" fillId="9" borderId="65" xfId="23" applyNumberFormat="1" applyFont="1" applyFill="1" applyBorder="1" applyAlignment="1">
      <alignment vertical="center" wrapText="1"/>
    </xf>
    <xf numFmtId="4" fontId="4" fillId="9" borderId="65" xfId="23" applyNumberFormat="1" applyFont="1" applyFill="1" applyBorder="1" applyAlignment="1">
      <alignment horizontal="center" vertical="center"/>
    </xf>
    <xf numFmtId="4" fontId="4" fillId="9" borderId="65" xfId="46" applyNumberFormat="1" applyFont="1" applyFill="1" applyBorder="1" applyAlignment="1">
      <alignment vertical="center"/>
    </xf>
    <xf numFmtId="4" fontId="4" fillId="9" borderId="65" xfId="23" applyNumberFormat="1" applyFont="1" applyFill="1" applyBorder="1" applyAlignment="1">
      <alignment vertical="center"/>
    </xf>
    <xf numFmtId="0" fontId="4" fillId="5" borderId="11" xfId="431" applyFont="1" applyFill="1" applyBorder="1" applyAlignment="1">
      <alignment horizontal="center" vertical="center" wrapText="1"/>
    </xf>
    <xf numFmtId="4" fontId="4" fillId="5" borderId="40" xfId="431" applyNumberFormat="1" applyFont="1" applyFill="1" applyBorder="1" applyAlignment="1">
      <alignment horizontal="center" vertical="center" wrapText="1"/>
    </xf>
    <xf numFmtId="4" fontId="4" fillId="5" borderId="23" xfId="431" applyNumberFormat="1" applyFont="1" applyFill="1" applyBorder="1" applyAlignment="1">
      <alignment vertical="center"/>
    </xf>
    <xf numFmtId="4" fontId="4" fillId="5" borderId="23" xfId="431" applyNumberFormat="1" applyFont="1" applyFill="1" applyBorder="1" applyAlignment="1">
      <alignment horizontal="center" vertical="center"/>
    </xf>
    <xf numFmtId="10" fontId="4" fillId="5" borderId="40" xfId="36" applyNumberFormat="1" applyFont="1" applyFill="1" applyBorder="1" applyAlignment="1">
      <alignment horizontal="center" vertical="center"/>
    </xf>
    <xf numFmtId="4" fontId="4" fillId="5" borderId="40" xfId="431" applyNumberFormat="1" applyFont="1" applyFill="1" applyBorder="1" applyAlignment="1">
      <alignment vertical="center"/>
    </xf>
    <xf numFmtId="4" fontId="4" fillId="5" borderId="24" xfId="45" applyNumberFormat="1" applyFont="1" applyFill="1" applyBorder="1" applyAlignment="1">
      <alignment vertical="center"/>
    </xf>
    <xf numFmtId="0" fontId="4" fillId="0" borderId="0" xfId="431" applyFont="1" applyAlignment="1">
      <alignment vertical="center"/>
    </xf>
    <xf numFmtId="0" fontId="3" fillId="6" borderId="22" xfId="431" applyFont="1" applyFill="1" applyBorder="1" applyAlignment="1">
      <alignment vertical="center"/>
    </xf>
    <xf numFmtId="0" fontId="3" fillId="6" borderId="23" xfId="431" applyFont="1" applyFill="1" applyBorder="1" applyAlignment="1">
      <alignment vertical="center"/>
    </xf>
    <xf numFmtId="0" fontId="3" fillId="6" borderId="24" xfId="431" applyFont="1" applyFill="1" applyBorder="1" applyAlignment="1">
      <alignment vertical="center"/>
    </xf>
    <xf numFmtId="0" fontId="4" fillId="6" borderId="0" xfId="431" applyFont="1" applyFill="1" applyAlignment="1">
      <alignment vertical="center"/>
    </xf>
    <xf numFmtId="4" fontId="4" fillId="0" borderId="0" xfId="431" applyNumberFormat="1" applyFont="1" applyAlignment="1">
      <alignment vertical="center"/>
    </xf>
    <xf numFmtId="3" fontId="4" fillId="0" borderId="0" xfId="431" applyNumberFormat="1" applyFont="1" applyAlignment="1">
      <alignment vertical="center"/>
    </xf>
    <xf numFmtId="0" fontId="3" fillId="0" borderId="14" xfId="431" applyFont="1" applyBorder="1" applyAlignment="1">
      <alignment vertical="center" wrapText="1"/>
    </xf>
    <xf numFmtId="0" fontId="3" fillId="0" borderId="16" xfId="431" applyFont="1" applyBorder="1" applyAlignment="1">
      <alignment horizontal="right" vertical="center" wrapText="1"/>
    </xf>
    <xf numFmtId="14" fontId="4" fillId="0" borderId="15" xfId="431" applyNumberFormat="1" applyFont="1" applyBorder="1" applyAlignment="1">
      <alignment horizontal="right" vertical="center"/>
    </xf>
    <xf numFmtId="0" fontId="3" fillId="0" borderId="8" xfId="431" applyFont="1" applyBorder="1" applyAlignment="1">
      <alignment vertical="center" wrapText="1"/>
    </xf>
    <xf numFmtId="0" fontId="3" fillId="0" borderId="9" xfId="431" applyFont="1" applyBorder="1" applyAlignment="1">
      <alignment horizontal="center" vertical="center"/>
    </xf>
    <xf numFmtId="0" fontId="3" fillId="0" borderId="9" xfId="431" applyFont="1" applyBorder="1" applyAlignment="1">
      <alignment horizontal="right" vertical="center"/>
    </xf>
    <xf numFmtId="10" fontId="4" fillId="0" borderId="10" xfId="36" applyNumberFormat="1" applyFont="1" applyFill="1" applyBorder="1" applyAlignment="1">
      <alignment horizontal="right" vertical="center" wrapText="1"/>
    </xf>
    <xf numFmtId="0" fontId="3" fillId="0" borderId="14" xfId="23" applyFont="1" applyBorder="1" applyAlignment="1">
      <alignment vertical="center" wrapText="1"/>
    </xf>
    <xf numFmtId="0" fontId="3" fillId="0" borderId="16" xfId="23" applyFont="1" applyBorder="1" applyAlignment="1">
      <alignment horizontal="right" vertical="center" wrapText="1"/>
    </xf>
    <xf numFmtId="14" fontId="4" fillId="0" borderId="15" xfId="23" applyNumberFormat="1" applyFont="1" applyBorder="1" applyAlignment="1">
      <alignment horizontal="right" vertical="center"/>
    </xf>
    <xf numFmtId="0" fontId="3" fillId="0" borderId="18" xfId="23" applyFont="1" applyBorder="1" applyAlignment="1">
      <alignment vertical="center" wrapText="1"/>
    </xf>
    <xf numFmtId="10" fontId="4" fillId="0" borderId="19" xfId="36" applyNumberFormat="1" applyFont="1" applyFill="1" applyBorder="1" applyAlignment="1">
      <alignment horizontal="right" vertical="center" wrapText="1"/>
    </xf>
    <xf numFmtId="0" fontId="3" fillId="4" borderId="31" xfId="26" applyFont="1" applyFill="1" applyBorder="1" applyAlignment="1">
      <alignment horizontal="center" vertical="center"/>
    </xf>
    <xf numFmtId="0" fontId="3" fillId="4" borderId="32" xfId="23" applyFont="1" applyFill="1" applyBorder="1" applyAlignment="1">
      <alignment horizontal="center" vertical="center" wrapText="1"/>
    </xf>
    <xf numFmtId="0" fontId="3" fillId="0" borderId="11" xfId="23" applyFont="1" applyBorder="1" applyAlignment="1">
      <alignment horizontal="center" vertical="center" wrapText="1"/>
    </xf>
    <xf numFmtId="0" fontId="4" fillId="0" borderId="0" xfId="24" applyFont="1"/>
    <xf numFmtId="49" fontId="4" fillId="0" borderId="0" xfId="24" applyNumberFormat="1" applyFont="1" applyAlignment="1">
      <alignment horizontal="center"/>
    </xf>
    <xf numFmtId="0" fontId="3" fillId="0" borderId="0" xfId="0" applyFont="1" applyAlignment="1">
      <alignment horizontal="center" vertical="center"/>
    </xf>
    <xf numFmtId="4" fontId="4" fillId="0" borderId="0" xfId="0" applyNumberFormat="1" applyFont="1" applyAlignment="1">
      <alignment horizontal="center" vertical="center"/>
    </xf>
    <xf numFmtId="4" fontId="4" fillId="0" borderId="0" xfId="0" applyNumberFormat="1" applyFont="1" applyAlignment="1">
      <alignment vertical="center"/>
    </xf>
    <xf numFmtId="0" fontId="4" fillId="0" borderId="0" xfId="23" applyFont="1" applyAlignment="1">
      <alignment vertical="center"/>
    </xf>
    <xf numFmtId="49" fontId="4" fillId="0" borderId="0" xfId="0" applyNumberFormat="1" applyFont="1" applyAlignment="1">
      <alignment vertical="top"/>
    </xf>
    <xf numFmtId="49" fontId="4" fillId="5" borderId="0" xfId="0" applyNumberFormat="1" applyFont="1" applyFill="1" applyAlignment="1">
      <alignment vertical="top" wrapText="1"/>
    </xf>
    <xf numFmtId="0" fontId="3" fillId="11" borderId="31" xfId="127" applyFont="1" applyFill="1" applyBorder="1" applyAlignment="1">
      <alignment horizontal="center" vertical="center"/>
    </xf>
    <xf numFmtId="4" fontId="3" fillId="11" borderId="32" xfId="127" applyNumberFormat="1" applyFont="1" applyFill="1" applyBorder="1" applyAlignment="1">
      <alignment horizontal="center" vertical="center"/>
    </xf>
    <xf numFmtId="4" fontId="3" fillId="43" borderId="16" xfId="98" applyNumberFormat="1" applyFont="1" applyFill="1" applyBorder="1" applyAlignment="1">
      <alignment horizontal="right" wrapText="1"/>
    </xf>
    <xf numFmtId="4" fontId="3" fillId="43" borderId="15" xfId="46" applyNumberFormat="1" applyFont="1" applyFill="1" applyBorder="1" applyAlignment="1"/>
    <xf numFmtId="0" fontId="56" fillId="7" borderId="74" xfId="0" applyFont="1" applyFill="1" applyBorder="1" applyAlignment="1">
      <alignment horizontal="center"/>
    </xf>
    <xf numFmtId="0" fontId="56" fillId="7" borderId="75" xfId="0" applyFont="1" applyFill="1" applyBorder="1" applyAlignment="1">
      <alignment horizontal="center" wrapText="1"/>
    </xf>
    <xf numFmtId="0" fontId="29" fillId="7" borderId="75" xfId="0" applyFont="1" applyFill="1" applyBorder="1" applyAlignment="1">
      <alignment horizontal="center" vertical="center"/>
    </xf>
    <xf numFmtId="0" fontId="29" fillId="7" borderId="76" xfId="0" applyFont="1" applyFill="1" applyBorder="1" applyAlignment="1">
      <alignment horizontal="center" vertical="center"/>
    </xf>
    <xf numFmtId="4" fontId="3" fillId="4" borderId="32" xfId="639" applyNumberFormat="1" applyFont="1" applyFill="1" applyBorder="1" applyAlignment="1">
      <alignment horizontal="center" vertical="center" wrapText="1"/>
    </xf>
    <xf numFmtId="0" fontId="3" fillId="0" borderId="0" xfId="23" applyFont="1" applyAlignment="1">
      <alignment vertical="center"/>
    </xf>
    <xf numFmtId="4" fontId="5" fillId="0" borderId="0" xfId="23" applyNumberFormat="1" applyFont="1" applyAlignment="1">
      <alignment vertical="center"/>
    </xf>
    <xf numFmtId="0" fontId="2" fillId="0" borderId="0" xfId="0" applyFont="1"/>
    <xf numFmtId="0" fontId="4" fillId="0" borderId="0" xfId="0" applyFont="1" applyAlignment="1">
      <alignment vertical="center"/>
    </xf>
    <xf numFmtId="4" fontId="4" fillId="0" borderId="0" xfId="639" applyNumberFormat="1" applyFont="1" applyAlignment="1">
      <alignment horizontal="center" vertical="center"/>
    </xf>
    <xf numFmtId="49" fontId="4" fillId="0" borderId="0" xfId="639" applyNumberFormat="1" applyFont="1"/>
    <xf numFmtId="0" fontId="5" fillId="0" borderId="0" xfId="639"/>
    <xf numFmtId="0" fontId="34" fillId="13" borderId="0" xfId="639" applyFont="1" applyFill="1"/>
    <xf numFmtId="166" fontId="3" fillId="0" borderId="0" xfId="640" applyFont="1" applyFill="1" applyBorder="1" applyAlignment="1">
      <alignment horizontal="right" vertical="center"/>
    </xf>
    <xf numFmtId="165" fontId="3" fillId="0" borderId="0" xfId="641" applyFont="1" applyFill="1" applyBorder="1" applyAlignment="1">
      <alignment horizontal="right" vertical="center"/>
    </xf>
    <xf numFmtId="0" fontId="5" fillId="0" borderId="0" xfId="639" applyAlignment="1">
      <alignment vertical="center"/>
    </xf>
    <xf numFmtId="0" fontId="4" fillId="0" borderId="0" xfId="639" applyFont="1" applyAlignment="1">
      <alignment vertical="center"/>
    </xf>
    <xf numFmtId="0" fontId="11" fillId="3" borderId="5" xfId="639" applyFont="1" applyFill="1" applyBorder="1" applyAlignment="1">
      <alignment horizontal="center" vertical="center"/>
    </xf>
    <xf numFmtId="0" fontId="11" fillId="3" borderId="7" xfId="639" applyFont="1" applyFill="1" applyBorder="1" applyAlignment="1">
      <alignment vertical="center" wrapText="1"/>
    </xf>
    <xf numFmtId="0" fontId="11" fillId="3" borderId="7" xfId="639" applyFont="1" applyFill="1" applyBorder="1" applyAlignment="1">
      <alignment horizontal="center" vertical="center"/>
    </xf>
    <xf numFmtId="4" fontId="11" fillId="3" borderId="7" xfId="639" applyNumberFormat="1" applyFont="1" applyFill="1" applyBorder="1" applyAlignment="1">
      <alignment vertical="center"/>
    </xf>
    <xf numFmtId="4" fontId="11" fillId="3" borderId="6" xfId="639" applyNumberFormat="1" applyFont="1" applyFill="1" applyBorder="1" applyAlignment="1">
      <alignment vertical="center"/>
    </xf>
    <xf numFmtId="0" fontId="11" fillId="0" borderId="0" xfId="639" applyFont="1" applyAlignment="1">
      <alignment vertical="center"/>
    </xf>
    <xf numFmtId="0" fontId="30" fillId="0" borderId="0" xfId="639" applyFont="1" applyAlignment="1">
      <alignment vertical="center"/>
    </xf>
    <xf numFmtId="10" fontId="12" fillId="0" borderId="1" xfId="644" applyNumberFormat="1" applyFont="1" applyFill="1" applyBorder="1" applyAlignment="1">
      <alignment horizontal="center" vertical="center" wrapText="1"/>
    </xf>
    <xf numFmtId="0" fontId="13" fillId="0" borderId="0" xfId="639" applyFont="1" applyAlignment="1">
      <alignment vertical="center"/>
    </xf>
    <xf numFmtId="0" fontId="3" fillId="0" borderId="14" xfId="639" applyFont="1" applyBorder="1" applyAlignment="1">
      <alignment vertical="center" wrapText="1"/>
    </xf>
    <xf numFmtId="0" fontId="4" fillId="0" borderId="16" xfId="639" applyFont="1" applyBorder="1" applyAlignment="1">
      <alignment vertical="center"/>
    </xf>
    <xf numFmtId="0" fontId="3" fillId="0" borderId="16" xfId="639" applyFont="1" applyBorder="1" applyAlignment="1">
      <alignment horizontal="right" vertical="center" wrapText="1"/>
    </xf>
    <xf numFmtId="14" fontId="4" fillId="0" borderId="15" xfId="639" applyNumberFormat="1" applyFont="1" applyBorder="1" applyAlignment="1">
      <alignment horizontal="right" vertical="center"/>
    </xf>
    <xf numFmtId="0" fontId="3" fillId="0" borderId="8" xfId="639" applyFont="1" applyBorder="1" applyAlignment="1">
      <alignment vertical="center" wrapText="1"/>
    </xf>
    <xf numFmtId="0" fontId="4" fillId="0" borderId="9" xfId="639" applyFont="1" applyBorder="1" applyAlignment="1">
      <alignment vertical="center"/>
    </xf>
    <xf numFmtId="10" fontId="4" fillId="0" borderId="10" xfId="644" applyNumberFormat="1" applyFont="1" applyFill="1" applyBorder="1" applyAlignment="1">
      <alignment horizontal="right" vertical="center" wrapText="1"/>
    </xf>
    <xf numFmtId="0" fontId="11" fillId="7" borderId="8" xfId="639" applyFont="1" applyFill="1" applyBorder="1" applyAlignment="1">
      <alignment horizontal="center" vertical="center"/>
    </xf>
    <xf numFmtId="0" fontId="11" fillId="7" borderId="9" xfId="639" applyFont="1" applyFill="1" applyBorder="1" applyAlignment="1">
      <alignment vertical="center" wrapText="1"/>
    </xf>
    <xf numFmtId="0" fontId="11" fillId="7" borderId="9" xfId="639" applyFont="1" applyFill="1" applyBorder="1" applyAlignment="1">
      <alignment horizontal="center" vertical="center"/>
    </xf>
    <xf numFmtId="4" fontId="11" fillId="7" borderId="9" xfId="639" applyNumberFormat="1" applyFont="1" applyFill="1" applyBorder="1" applyAlignment="1">
      <alignment vertical="center"/>
    </xf>
    <xf numFmtId="4" fontId="11" fillId="7" borderId="10" xfId="639" applyNumberFormat="1" applyFont="1" applyFill="1" applyBorder="1" applyAlignment="1">
      <alignment vertical="center"/>
    </xf>
    <xf numFmtId="0" fontId="11" fillId="7" borderId="5" xfId="639" applyFont="1" applyFill="1" applyBorder="1" applyAlignment="1">
      <alignment horizontal="center" vertical="center"/>
    </xf>
    <xf numFmtId="0" fontId="11" fillId="7" borderId="7" xfId="639" applyFont="1" applyFill="1" applyBorder="1" applyAlignment="1">
      <alignment vertical="center" wrapText="1"/>
    </xf>
    <xf numFmtId="0" fontId="11" fillId="7" borderId="7" xfId="639" applyFont="1" applyFill="1" applyBorder="1" applyAlignment="1">
      <alignment horizontal="center" vertical="center"/>
    </xf>
    <xf numFmtId="4" fontId="11" fillId="7" borderId="7" xfId="639" applyNumberFormat="1" applyFont="1" applyFill="1" applyBorder="1" applyAlignment="1">
      <alignment vertical="center"/>
    </xf>
    <xf numFmtId="4" fontId="11" fillId="7" borderId="6" xfId="639" applyNumberFormat="1" applyFont="1" applyFill="1" applyBorder="1" applyAlignment="1">
      <alignment vertical="center"/>
    </xf>
    <xf numFmtId="0" fontId="5" fillId="5" borderId="0" xfId="639" applyFill="1" applyAlignment="1">
      <alignment vertical="center" wrapText="1"/>
    </xf>
    <xf numFmtId="0" fontId="2" fillId="0" borderId="0" xfId="0" applyFont="1" applyAlignment="1">
      <alignment horizontal="center"/>
    </xf>
    <xf numFmtId="0" fontId="5" fillId="5" borderId="0" xfId="1" applyFill="1" applyAlignment="1">
      <alignment vertical="center"/>
    </xf>
    <xf numFmtId="0" fontId="5" fillId="0" borderId="0" xfId="1" applyAlignment="1">
      <alignment vertical="center"/>
    </xf>
    <xf numFmtId="0" fontId="18" fillId="0" borderId="14" xfId="1" applyFont="1" applyBorder="1" applyAlignment="1">
      <alignment vertical="center" wrapText="1"/>
    </xf>
    <xf numFmtId="44" fontId="18" fillId="0" borderId="16" xfId="838" applyFont="1" applyFill="1" applyBorder="1" applyAlignment="1">
      <alignment horizontal="right" vertical="center" wrapText="1"/>
    </xf>
    <xf numFmtId="14" fontId="5" fillId="0" borderId="15" xfId="838" applyNumberFormat="1" applyFont="1" applyFill="1" applyBorder="1" applyAlignment="1">
      <alignment vertical="center" wrapText="1"/>
    </xf>
    <xf numFmtId="14" fontId="5" fillId="5" borderId="0" xfId="1" applyNumberFormat="1" applyFill="1" applyAlignment="1">
      <alignment horizontal="right" vertical="center"/>
    </xf>
    <xf numFmtId="0" fontId="18" fillId="0" borderId="8" xfId="1" applyFont="1" applyBorder="1" applyAlignment="1">
      <alignment vertical="center" wrapText="1"/>
    </xf>
    <xf numFmtId="44" fontId="18" fillId="0" borderId="9" xfId="838" applyFont="1" applyFill="1" applyBorder="1" applyAlignment="1">
      <alignment horizontal="right" vertical="center"/>
    </xf>
    <xf numFmtId="10" fontId="18" fillId="0" borderId="10" xfId="923" applyNumberFormat="1" applyFont="1" applyFill="1" applyBorder="1" applyAlignment="1">
      <alignment vertical="center"/>
    </xf>
    <xf numFmtId="10" fontId="5" fillId="5" borderId="0" xfId="644" applyNumberFormat="1" applyFont="1" applyFill="1" applyBorder="1" applyAlignment="1">
      <alignment horizontal="right" vertical="center" wrapText="1"/>
    </xf>
    <xf numFmtId="0" fontId="91" fillId="0" borderId="81" xfId="0" applyFont="1" applyBorder="1" applyAlignment="1">
      <alignment horizontal="left" vertical="center"/>
    </xf>
    <xf numFmtId="10" fontId="91" fillId="0" borderId="81" xfId="923" applyNumberFormat="1" applyFont="1" applyBorder="1" applyAlignment="1">
      <alignment horizontal="center" vertical="center" wrapText="1"/>
    </xf>
    <xf numFmtId="0" fontId="91" fillId="48" borderId="81" xfId="0" applyFont="1" applyFill="1" applyBorder="1" applyAlignment="1">
      <alignment horizontal="left" vertical="center" wrapText="1"/>
    </xf>
    <xf numFmtId="10" fontId="91" fillId="48" borderId="81" xfId="923" applyNumberFormat="1" applyFont="1" applyFill="1" applyBorder="1" applyAlignment="1">
      <alignment horizontal="center" vertical="center" wrapText="1"/>
    </xf>
    <xf numFmtId="0" fontId="91" fillId="0" borderId="81" xfId="0" applyFont="1" applyBorder="1" applyAlignment="1">
      <alignment horizontal="left" vertical="center" wrapText="1"/>
    </xf>
    <xf numFmtId="0" fontId="91" fillId="48" borderId="81" xfId="0" applyFont="1" applyFill="1" applyBorder="1" applyAlignment="1">
      <alignment horizontal="left" vertical="center"/>
    </xf>
    <xf numFmtId="10" fontId="91" fillId="0" borderId="81" xfId="923" applyNumberFormat="1" applyFont="1" applyBorder="1" applyAlignment="1">
      <alignment horizontal="center" vertical="center"/>
    </xf>
    <xf numFmtId="10" fontId="91" fillId="48" borderId="81" xfId="923" applyNumberFormat="1" applyFont="1" applyFill="1" applyBorder="1" applyAlignment="1">
      <alignment horizontal="center" vertical="center"/>
    </xf>
    <xf numFmtId="0" fontId="93" fillId="48" borderId="81" xfId="0" applyFont="1" applyFill="1" applyBorder="1" applyAlignment="1">
      <alignment horizontal="center" vertical="center" wrapText="1"/>
    </xf>
    <xf numFmtId="10" fontId="93" fillId="48" borderId="81" xfId="923" applyNumberFormat="1" applyFont="1" applyFill="1" applyBorder="1" applyAlignment="1">
      <alignment horizontal="center" vertical="center" wrapText="1"/>
    </xf>
    <xf numFmtId="10" fontId="93" fillId="0" borderId="81" xfId="923" applyNumberFormat="1" applyFont="1" applyBorder="1" applyAlignment="1">
      <alignment horizontal="center" vertical="center" wrapText="1"/>
    </xf>
    <xf numFmtId="0" fontId="4" fillId="0" borderId="0" xfId="639" applyFont="1" applyAlignment="1">
      <alignment vertical="center" wrapText="1"/>
    </xf>
    <xf numFmtId="10" fontId="3" fillId="0" borderId="0" xfId="644" applyNumberFormat="1" applyFont="1" applyAlignment="1">
      <alignment vertical="center"/>
    </xf>
    <xf numFmtId="4" fontId="4" fillId="0" borderId="0" xfId="639" applyNumberFormat="1" applyFont="1" applyAlignment="1">
      <alignment vertical="center"/>
    </xf>
    <xf numFmtId="166" fontId="4" fillId="0" borderId="0" xfId="640" applyFont="1" applyFill="1" applyBorder="1" applyAlignment="1">
      <alignment horizontal="center"/>
    </xf>
    <xf numFmtId="167" fontId="4" fillId="0" borderId="0" xfId="639" applyNumberFormat="1" applyFont="1" applyAlignment="1">
      <alignment horizontal="right"/>
    </xf>
    <xf numFmtId="0" fontId="3" fillId="0" borderId="41" xfId="639" applyFont="1" applyBorder="1" applyAlignment="1">
      <alignment vertical="center" wrapText="1"/>
    </xf>
    <xf numFmtId="0" fontId="3" fillId="0" borderId="27" xfId="639" applyFont="1" applyBorder="1" applyAlignment="1">
      <alignment horizontal="right" vertical="center"/>
    </xf>
    <xf numFmtId="10" fontId="4" fillId="0" borderId="42" xfId="644" applyNumberFormat="1" applyFont="1" applyFill="1" applyBorder="1" applyAlignment="1">
      <alignment horizontal="right" vertical="center" wrapText="1"/>
    </xf>
    <xf numFmtId="0" fontId="11" fillId="7" borderId="34" xfId="639" applyFont="1" applyFill="1" applyBorder="1" applyAlignment="1">
      <alignment horizontal="center" vertical="center"/>
    </xf>
    <xf numFmtId="4" fontId="11" fillId="7" borderId="35" xfId="639" applyNumberFormat="1" applyFont="1" applyFill="1" applyBorder="1" applyAlignment="1">
      <alignment vertical="center"/>
    </xf>
    <xf numFmtId="49" fontId="4" fillId="0" borderId="0" xfId="639" applyNumberFormat="1" applyFont="1" applyAlignment="1">
      <alignment vertical="top"/>
    </xf>
    <xf numFmtId="0" fontId="3" fillId="0" borderId="39" xfId="639" applyFont="1" applyBorder="1" applyAlignment="1">
      <alignment vertical="center" wrapText="1"/>
    </xf>
    <xf numFmtId="0" fontId="3" fillId="0" borderId="0" xfId="639" applyFont="1" applyAlignment="1">
      <alignment horizontal="right" vertical="center" wrapText="1"/>
    </xf>
    <xf numFmtId="14" fontId="4" fillId="0" borderId="46" xfId="639" applyNumberFormat="1" applyFont="1" applyBorder="1" applyAlignment="1">
      <alignment horizontal="right" vertical="center"/>
    </xf>
    <xf numFmtId="10" fontId="3" fillId="0" borderId="0" xfId="644" applyNumberFormat="1" applyFont="1" applyFill="1" applyBorder="1" applyAlignment="1">
      <alignment vertical="center"/>
    </xf>
    <xf numFmtId="0" fontId="4" fillId="0" borderId="0" xfId="639" applyFont="1"/>
    <xf numFmtId="0" fontId="4" fillId="0" borderId="21" xfId="1" applyFont="1" applyBorder="1" applyAlignment="1">
      <alignment horizontal="center" vertical="center" wrapText="1"/>
    </xf>
    <xf numFmtId="0" fontId="0" fillId="0" borderId="20" xfId="0" applyBorder="1" applyAlignment="1">
      <alignment wrapText="1"/>
    </xf>
    <xf numFmtId="0" fontId="0" fillId="0" borderId="20" xfId="0" applyBorder="1"/>
    <xf numFmtId="166" fontId="3" fillId="12" borderId="77" xfId="640" applyFont="1" applyFill="1" applyBorder="1" applyAlignment="1">
      <alignment horizontal="right" vertical="center"/>
    </xf>
    <xf numFmtId="165" fontId="3" fillId="12" borderId="78" xfId="641" applyFont="1" applyFill="1" applyBorder="1" applyAlignment="1">
      <alignment horizontal="right" vertical="center"/>
    </xf>
    <xf numFmtId="49" fontId="3" fillId="0" borderId="0" xfId="639" applyNumberFormat="1" applyFont="1" applyAlignment="1">
      <alignment vertical="center" wrapText="1"/>
    </xf>
    <xf numFmtId="4" fontId="89" fillId="5" borderId="0" xfId="45" applyNumberFormat="1" applyFont="1" applyFill="1" applyBorder="1" applyAlignment="1">
      <alignment horizontal="left" vertical="center"/>
    </xf>
    <xf numFmtId="0" fontId="4" fillId="0" borderId="0" xfId="1" applyFont="1" applyAlignment="1">
      <alignment vertical="center"/>
    </xf>
    <xf numFmtId="0" fontId="3" fillId="5" borderId="0" xfId="1" applyFont="1" applyFill="1" applyAlignment="1">
      <alignment horizontal="right" vertical="center"/>
    </xf>
    <xf numFmtId="2" fontId="4" fillId="5" borderId="0" xfId="1" applyNumberFormat="1" applyFont="1" applyFill="1" applyAlignment="1">
      <alignment vertical="center"/>
    </xf>
    <xf numFmtId="0" fontId="4" fillId="5" borderId="0" xfId="1" applyFont="1" applyFill="1" applyAlignment="1">
      <alignment vertical="center"/>
    </xf>
    <xf numFmtId="0" fontId="3" fillId="5" borderId="0" xfId="1" applyFont="1" applyFill="1" applyAlignment="1">
      <alignment horizontal="center" vertical="center" wrapText="1"/>
    </xf>
    <xf numFmtId="4" fontId="4" fillId="5" borderId="0" xfId="1" applyNumberFormat="1" applyFont="1" applyFill="1" applyAlignment="1">
      <alignment vertical="center"/>
    </xf>
    <xf numFmtId="0" fontId="3" fillId="14" borderId="0" xfId="0" applyFont="1" applyFill="1" applyAlignment="1">
      <alignment horizontal="right" vertical="center"/>
    </xf>
    <xf numFmtId="4" fontId="4" fillId="14" borderId="0" xfId="0" applyNumberFormat="1" applyFont="1" applyFill="1" applyAlignment="1">
      <alignment vertical="center"/>
    </xf>
    <xf numFmtId="0" fontId="4" fillId="14" borderId="0" xfId="0" applyFont="1" applyFill="1" applyAlignment="1">
      <alignment vertical="center"/>
    </xf>
    <xf numFmtId="0" fontId="3" fillId="4" borderId="65" xfId="639" applyFont="1" applyFill="1" applyBorder="1" applyAlignment="1">
      <alignment vertical="center" wrapText="1"/>
    </xf>
    <xf numFmtId="0" fontId="3" fillId="4" borderId="72" xfId="639" applyFont="1" applyFill="1" applyBorder="1" applyAlignment="1">
      <alignment vertical="center" wrapText="1"/>
    </xf>
    <xf numFmtId="0" fontId="4" fillId="0" borderId="21" xfId="1" applyFont="1" applyBorder="1" applyAlignment="1">
      <alignment vertical="center" wrapText="1"/>
    </xf>
    <xf numFmtId="0" fontId="4" fillId="0" borderId="29" xfId="1" applyFont="1" applyBorder="1" applyAlignment="1">
      <alignment horizontal="center" vertical="center" wrapText="1"/>
    </xf>
    <xf numFmtId="2" fontId="4" fillId="0" borderId="21" xfId="1" applyNumberFormat="1" applyFont="1" applyBorder="1" applyAlignment="1">
      <alignment horizontal="right" vertical="center" wrapText="1"/>
    </xf>
    <xf numFmtId="0" fontId="3" fillId="0" borderId="18" xfId="1" applyFont="1" applyBorder="1" applyAlignment="1">
      <alignment vertical="center" wrapText="1"/>
    </xf>
    <xf numFmtId="0" fontId="3" fillId="0" borderId="0" xfId="1" applyFont="1" applyAlignment="1">
      <alignment horizontal="right" vertical="center" wrapText="1"/>
    </xf>
    <xf numFmtId="14" fontId="4" fillId="0" borderId="19" xfId="1" applyNumberFormat="1" applyFont="1" applyBorder="1" applyAlignment="1">
      <alignment horizontal="right" vertical="center"/>
    </xf>
    <xf numFmtId="0" fontId="5" fillId="0" borderId="0" xfId="639" applyAlignment="1">
      <alignment horizontal="center" vertical="center"/>
    </xf>
    <xf numFmtId="0" fontId="5" fillId="0" borderId="0" xfId="639" applyAlignment="1">
      <alignment vertical="center" wrapText="1"/>
    </xf>
    <xf numFmtId="4" fontId="5" fillId="0" borderId="0" xfId="639" applyNumberFormat="1" applyAlignment="1">
      <alignment horizontal="center" vertical="center"/>
    </xf>
    <xf numFmtId="10" fontId="18" fillId="0" borderId="0" xfId="644" applyNumberFormat="1" applyFont="1" applyAlignment="1">
      <alignment vertical="center"/>
    </xf>
    <xf numFmtId="4" fontId="5" fillId="0" borderId="0" xfId="639" applyNumberFormat="1" applyAlignment="1">
      <alignment vertical="center"/>
    </xf>
    <xf numFmtId="0" fontId="4" fillId="7" borderId="0" xfId="639" applyFont="1" applyFill="1"/>
    <xf numFmtId="0" fontId="5" fillId="7" borderId="0" xfId="639" applyFill="1"/>
    <xf numFmtId="4" fontId="3" fillId="2" borderId="32" xfId="639" applyNumberFormat="1" applyFont="1" applyFill="1" applyBorder="1" applyAlignment="1">
      <alignment horizontal="center" vertical="center"/>
    </xf>
    <xf numFmtId="4" fontId="3" fillId="5" borderId="0" xfId="1" applyNumberFormat="1" applyFont="1" applyFill="1" applyAlignment="1">
      <alignment horizontal="right" vertical="center"/>
    </xf>
    <xf numFmtId="0" fontId="81" fillId="9" borderId="5" xfId="0" applyFont="1" applyFill="1" applyBorder="1" applyAlignment="1">
      <alignment horizontal="right" vertical="center"/>
    </xf>
    <xf numFmtId="4" fontId="22" fillId="0" borderId="0" xfId="1" applyNumberFormat="1" applyFont="1" applyAlignment="1">
      <alignment vertical="center" wrapText="1"/>
    </xf>
    <xf numFmtId="4" fontId="3" fillId="43" borderId="0" xfId="98" applyNumberFormat="1" applyFont="1" applyFill="1" applyAlignment="1">
      <alignment horizontal="right" wrapText="1"/>
    </xf>
    <xf numFmtId="4" fontId="3" fillId="43" borderId="19" xfId="46" applyNumberFormat="1" applyFont="1" applyFill="1" applyBorder="1" applyAlignment="1"/>
    <xf numFmtId="166" fontId="3" fillId="12" borderId="8" xfId="640" applyFont="1" applyFill="1" applyBorder="1" applyAlignment="1">
      <alignment horizontal="right" vertical="center"/>
    </xf>
    <xf numFmtId="0" fontId="3" fillId="4" borderId="31" xfId="3016" applyFont="1" applyFill="1" applyBorder="1" applyAlignment="1">
      <alignment horizontal="center" vertical="center"/>
    </xf>
    <xf numFmtId="10" fontId="12" fillId="0" borderId="10" xfId="36" applyNumberFormat="1" applyFont="1" applyFill="1" applyBorder="1" applyAlignment="1">
      <alignment horizontal="center" vertical="center" wrapText="1"/>
    </xf>
    <xf numFmtId="0" fontId="12" fillId="0" borderId="8" xfId="0" applyFont="1" applyBorder="1" applyAlignment="1">
      <alignment horizontal="center" vertical="center"/>
    </xf>
    <xf numFmtId="0" fontId="3" fillId="0" borderId="18" xfId="639" applyFont="1" applyBorder="1" applyAlignment="1">
      <alignment vertical="center" wrapText="1"/>
    </xf>
    <xf numFmtId="10" fontId="4" fillId="0" borderId="19" xfId="644" applyNumberFormat="1" applyFont="1" applyFill="1" applyBorder="1" applyAlignment="1">
      <alignment horizontal="right" vertical="center" wrapText="1"/>
    </xf>
    <xf numFmtId="49" fontId="5" fillId="0" borderId="0" xfId="639" applyNumberFormat="1" applyAlignment="1">
      <alignment horizontal="center"/>
    </xf>
    <xf numFmtId="0" fontId="5" fillId="0" borderId="0" xfId="0" applyFont="1" applyAlignment="1">
      <alignment vertical="center"/>
    </xf>
    <xf numFmtId="0" fontId="11" fillId="0" borderId="0" xfId="639" applyFont="1"/>
    <xf numFmtId="0" fontId="3" fillId="5" borderId="13" xfId="495" applyFont="1" applyFill="1" applyBorder="1" applyAlignment="1">
      <alignment horizontal="center" vertical="center"/>
    </xf>
    <xf numFmtId="0" fontId="4" fillId="0" borderId="13" xfId="495" applyFont="1" applyBorder="1" applyAlignment="1">
      <alignment horizontal="center"/>
    </xf>
    <xf numFmtId="0" fontId="0" fillId="0" borderId="20" xfId="0" applyBorder="1" applyAlignment="1">
      <alignment horizontal="left"/>
    </xf>
    <xf numFmtId="4" fontId="0" fillId="0" borderId="20" xfId="0" applyNumberFormat="1" applyBorder="1"/>
    <xf numFmtId="4" fontId="3" fillId="9" borderId="66" xfId="46" applyNumberFormat="1" applyFont="1" applyFill="1" applyBorder="1" applyAlignment="1">
      <alignment vertical="center"/>
    </xf>
    <xf numFmtId="165" fontId="2" fillId="0" borderId="0" xfId="0" applyNumberFormat="1" applyFont="1"/>
    <xf numFmtId="165" fontId="4" fillId="0" borderId="0" xfId="23" applyNumberFormat="1" applyFont="1" applyAlignment="1">
      <alignment vertical="center"/>
    </xf>
    <xf numFmtId="165" fontId="4" fillId="0" borderId="0" xfId="639" applyNumberFormat="1" applyFont="1" applyAlignment="1">
      <alignment vertical="center"/>
    </xf>
    <xf numFmtId="0" fontId="3" fillId="43" borderId="16" xfId="98" applyFont="1" applyFill="1" applyBorder="1" applyAlignment="1">
      <alignment wrapText="1"/>
    </xf>
    <xf numFmtId="0" fontId="118" fillId="0" borderId="0" xfId="0" applyFont="1"/>
    <xf numFmtId="165" fontId="4" fillId="0" borderId="0" xfId="639" applyNumberFormat="1" applyFont="1"/>
    <xf numFmtId="0" fontId="0" fillId="0" borderId="13" xfId="0" applyBorder="1" applyAlignment="1">
      <alignment horizontal="center"/>
    </xf>
    <xf numFmtId="0" fontId="0" fillId="0" borderId="13" xfId="0" applyBorder="1" applyAlignment="1">
      <alignment wrapText="1"/>
    </xf>
    <xf numFmtId="0" fontId="0" fillId="0" borderId="13" xfId="0" applyBorder="1"/>
    <xf numFmtId="165" fontId="5" fillId="0" borderId="0" xfId="639" applyNumberFormat="1"/>
    <xf numFmtId="0" fontId="3" fillId="4" borderId="31" xfId="639" applyFont="1" applyFill="1" applyBorder="1" applyAlignment="1">
      <alignment horizontal="center" vertical="center"/>
    </xf>
    <xf numFmtId="0" fontId="3" fillId="4" borderId="32" xfId="639" applyFont="1" applyFill="1" applyBorder="1" applyAlignment="1">
      <alignment horizontal="center" vertical="center" wrapText="1"/>
    </xf>
    <xf numFmtId="4" fontId="3" fillId="11" borderId="32" xfId="0" applyNumberFormat="1" applyFont="1" applyFill="1" applyBorder="1" applyAlignment="1">
      <alignment horizontal="center" vertical="center"/>
    </xf>
    <xf numFmtId="10" fontId="91" fillId="0" borderId="84" xfId="923" applyNumberFormat="1" applyFont="1" applyBorder="1" applyAlignment="1">
      <alignment horizontal="center" vertical="center"/>
    </xf>
    <xf numFmtId="10" fontId="91" fillId="48" borderId="84" xfId="923" applyNumberFormat="1" applyFont="1" applyFill="1" applyBorder="1" applyAlignment="1">
      <alignment horizontal="center" vertical="center"/>
    </xf>
    <xf numFmtId="10" fontId="91" fillId="48" borderId="84" xfId="923" applyNumberFormat="1" applyFont="1" applyFill="1" applyBorder="1" applyAlignment="1">
      <alignment horizontal="center" vertical="center" wrapText="1"/>
    </xf>
    <xf numFmtId="10" fontId="91" fillId="0" borderId="84" xfId="923" applyNumberFormat="1" applyFont="1" applyBorder="1" applyAlignment="1">
      <alignment horizontal="center" vertical="center" wrapText="1"/>
    </xf>
    <xf numFmtId="0" fontId="3" fillId="43" borderId="0" xfId="98" applyFont="1" applyFill="1" applyAlignment="1">
      <alignment wrapText="1"/>
    </xf>
    <xf numFmtId="0" fontId="7" fillId="0" borderId="0" xfId="23" applyAlignment="1">
      <alignment wrapText="1"/>
    </xf>
    <xf numFmtId="0" fontId="11" fillId="0" borderId="0" xfId="431" applyFont="1" applyAlignment="1">
      <alignment vertical="center" wrapText="1"/>
    </xf>
    <xf numFmtId="0" fontId="30" fillId="0" borderId="0" xfId="23" applyFont="1" applyAlignment="1">
      <alignment wrapText="1"/>
    </xf>
    <xf numFmtId="0" fontId="11" fillId="0" borderId="0" xfId="23" applyFont="1" applyAlignment="1">
      <alignment wrapText="1"/>
    </xf>
    <xf numFmtId="0" fontId="4" fillId="0" borderId="0" xfId="23" applyFont="1" applyAlignment="1">
      <alignment horizontal="center" wrapText="1"/>
    </xf>
    <xf numFmtId="1" fontId="4" fillId="0" borderId="0" xfId="23" applyNumberFormat="1" applyFont="1" applyAlignment="1">
      <alignment wrapText="1"/>
    </xf>
    <xf numFmtId="4" fontId="4" fillId="0" borderId="0" xfId="23" applyNumberFormat="1" applyFont="1" applyAlignment="1">
      <alignment horizontal="center" vertical="center" wrapText="1"/>
    </xf>
    <xf numFmtId="4" fontId="4" fillId="0" borderId="0" xfId="23" applyNumberFormat="1" applyFont="1" applyAlignment="1">
      <alignment horizontal="right" wrapText="1"/>
    </xf>
    <xf numFmtId="0" fontId="80" fillId="0" borderId="0" xfId="23" applyFont="1" applyAlignment="1">
      <alignment wrapText="1"/>
    </xf>
    <xf numFmtId="0" fontId="11" fillId="3" borderId="0" xfId="431" applyFont="1" applyFill="1" applyAlignment="1">
      <alignment horizontal="center" vertical="center" wrapText="1"/>
    </xf>
    <xf numFmtId="0" fontId="11" fillId="3" borderId="0" xfId="431" applyFont="1" applyFill="1" applyAlignment="1">
      <alignment vertical="center" wrapText="1"/>
    </xf>
    <xf numFmtId="4" fontId="11" fillId="3" borderId="0" xfId="431" applyNumberFormat="1" applyFont="1" applyFill="1" applyAlignment="1">
      <alignment vertical="center" wrapText="1"/>
    </xf>
    <xf numFmtId="0" fontId="27" fillId="0" borderId="0" xfId="431" applyFont="1" applyAlignment="1">
      <alignment vertical="center" wrapText="1"/>
    </xf>
    <xf numFmtId="0" fontId="4" fillId="0" borderId="36" xfId="1" applyFont="1" applyBorder="1" applyAlignment="1">
      <alignment horizontal="center" wrapText="1"/>
    </xf>
    <xf numFmtId="4" fontId="4" fillId="0" borderId="36" xfId="1" applyNumberFormat="1" applyFont="1" applyBorder="1" applyAlignment="1">
      <alignment horizontal="right" wrapText="1"/>
    </xf>
    <xf numFmtId="4" fontId="4" fillId="0" borderId="37" xfId="45" applyNumberFormat="1" applyFont="1" applyFill="1" applyBorder="1" applyAlignment="1"/>
    <xf numFmtId="0" fontId="4" fillId="0" borderId="79" xfId="1" applyFont="1" applyBorder="1" applyAlignment="1">
      <alignment horizontal="center" wrapText="1"/>
    </xf>
    <xf numFmtId="0" fontId="4" fillId="0" borderId="36" xfId="1" applyFont="1" applyBorder="1" applyAlignment="1">
      <alignment wrapText="1"/>
    </xf>
    <xf numFmtId="4" fontId="4" fillId="0" borderId="36" xfId="1" applyNumberFormat="1" applyFont="1" applyBorder="1" applyAlignment="1">
      <alignment wrapText="1"/>
    </xf>
    <xf numFmtId="0" fontId="3" fillId="43" borderId="14" xfId="0" applyFont="1" applyFill="1" applyBorder="1" applyAlignment="1">
      <alignment horizontal="center" wrapText="1"/>
    </xf>
    <xf numFmtId="4" fontId="3" fillId="43" borderId="16" xfId="0" applyNumberFormat="1" applyFont="1" applyFill="1" applyBorder="1" applyAlignment="1">
      <alignment horizontal="center" wrapText="1"/>
    </xf>
    <xf numFmtId="0" fontId="3" fillId="43" borderId="16" xfId="0" applyFont="1" applyFill="1" applyBorder="1" applyAlignment="1">
      <alignment horizontal="center" wrapText="1"/>
    </xf>
    <xf numFmtId="4" fontId="3" fillId="43" borderId="16" xfId="0" applyNumberFormat="1" applyFont="1" applyFill="1" applyBorder="1" applyAlignment="1">
      <alignment wrapText="1"/>
    </xf>
    <xf numFmtId="0" fontId="89" fillId="5" borderId="0" xfId="1" applyFont="1" applyFill="1" applyAlignment="1">
      <alignment horizontal="right" vertical="center" wrapText="1"/>
    </xf>
    <xf numFmtId="0" fontId="3" fillId="43" borderId="18" xfId="0" applyFont="1" applyFill="1" applyBorder="1" applyAlignment="1">
      <alignment horizontal="center" wrapText="1"/>
    </xf>
    <xf numFmtId="4" fontId="3" fillId="43" borderId="0" xfId="0" applyNumberFormat="1" applyFont="1" applyFill="1" applyAlignment="1">
      <alignment horizontal="center" wrapText="1"/>
    </xf>
    <xf numFmtId="0" fontId="3" fillId="43" borderId="0" xfId="0" applyFont="1" applyFill="1" applyAlignment="1">
      <alignment horizontal="center" wrapText="1"/>
    </xf>
    <xf numFmtId="4" fontId="3" fillId="43" borderId="0" xfId="0" applyNumberFormat="1" applyFont="1" applyFill="1" applyAlignment="1">
      <alignment wrapText="1"/>
    </xf>
    <xf numFmtId="0" fontId="3" fillId="43" borderId="0" xfId="987" applyFont="1" applyFill="1" applyAlignment="1">
      <alignment wrapText="1"/>
    </xf>
    <xf numFmtId="166" fontId="3" fillId="12" borderId="8" xfId="636" applyFont="1" applyFill="1" applyBorder="1" applyAlignment="1">
      <alignment horizontal="right" vertical="center"/>
    </xf>
    <xf numFmtId="14" fontId="2" fillId="0" borderId="0" xfId="0" applyNumberFormat="1" applyFont="1" applyAlignment="1">
      <alignment vertical="center"/>
    </xf>
    <xf numFmtId="0" fontId="0" fillId="10" borderId="0" xfId="0" applyFill="1" applyAlignment="1">
      <alignment horizontal="center"/>
    </xf>
    <xf numFmtId="0" fontId="0" fillId="0" borderId="0" xfId="0" applyAlignment="1">
      <alignment horizontal="center"/>
    </xf>
    <xf numFmtId="0" fontId="89" fillId="0" borderId="0" xfId="639" applyFont="1"/>
    <xf numFmtId="0" fontId="121" fillId="0" borderId="0" xfId="639" applyFont="1"/>
    <xf numFmtId="0" fontId="5" fillId="0" borderId="18" xfId="639" applyBorder="1"/>
    <xf numFmtId="0" fontId="5" fillId="0" borderId="19" xfId="639" applyBorder="1"/>
    <xf numFmtId="0" fontId="0" fillId="0" borderId="0" xfId="0" applyAlignment="1">
      <alignment wrapText="1"/>
    </xf>
    <xf numFmtId="0" fontId="0" fillId="0" borderId="20" xfId="0" applyBorder="1" applyAlignment="1">
      <alignment horizontal="center"/>
    </xf>
    <xf numFmtId="0" fontId="29" fillId="0" borderId="1" xfId="0" applyFont="1" applyBorder="1" applyAlignment="1">
      <alignment horizontal="center" vertical="center" wrapText="1"/>
    </xf>
    <xf numFmtId="0" fontId="29" fillId="0" borderId="1" xfId="0" applyFont="1" applyBorder="1" applyAlignment="1">
      <alignment horizontal="center" vertical="center"/>
    </xf>
    <xf numFmtId="2" fontId="0" fillId="0" borderId="0" xfId="0" applyNumberFormat="1"/>
    <xf numFmtId="0" fontId="0" fillId="10" borderId="0" xfId="0" applyFill="1" applyAlignment="1">
      <alignment wrapText="1"/>
    </xf>
    <xf numFmtId="2" fontId="0" fillId="10" borderId="0" xfId="0" applyNumberFormat="1" applyFill="1"/>
    <xf numFmtId="0" fontId="3" fillId="11" borderId="147" xfId="0" applyFont="1" applyFill="1" applyBorder="1" applyAlignment="1">
      <alignment horizontal="center" vertical="center"/>
    </xf>
    <xf numFmtId="4" fontId="4" fillId="11" borderId="147" xfId="0" applyNumberFormat="1" applyFont="1" applyFill="1" applyBorder="1" applyAlignment="1">
      <alignment horizontal="center" vertical="center"/>
    </xf>
    <xf numFmtId="10" fontId="3" fillId="11" borderId="147" xfId="644" applyNumberFormat="1" applyFont="1" applyFill="1" applyBorder="1" applyAlignment="1">
      <alignment vertical="center"/>
    </xf>
    <xf numFmtId="0" fontId="5" fillId="0" borderId="0" xfId="786"/>
    <xf numFmtId="0" fontId="15" fillId="0" borderId="0" xfId="786" applyFont="1" applyAlignment="1">
      <alignment vertical="center"/>
    </xf>
    <xf numFmtId="0" fontId="24" fillId="5" borderId="0" xfId="786" applyFont="1" applyFill="1" applyAlignment="1">
      <alignment horizontal="right" vertical="center"/>
    </xf>
    <xf numFmtId="0" fontId="5" fillId="0" borderId="0" xfId="786" applyAlignment="1">
      <alignment vertical="center"/>
    </xf>
    <xf numFmtId="0" fontId="18" fillId="5" borderId="0" xfId="786" applyFont="1" applyFill="1" applyAlignment="1">
      <alignment horizontal="right" vertical="center"/>
    </xf>
    <xf numFmtId="4" fontId="11" fillId="5" borderId="0" xfId="786" applyNumberFormat="1" applyFont="1" applyFill="1" applyAlignment="1">
      <alignment vertical="center"/>
    </xf>
    <xf numFmtId="4" fontId="27" fillId="5" borderId="0" xfId="786" applyNumberFormat="1" applyFont="1" applyFill="1" applyAlignment="1">
      <alignment horizontal="right" vertical="center"/>
    </xf>
    <xf numFmtId="0" fontId="11" fillId="0" borderId="0" xfId="786" applyFont="1"/>
    <xf numFmtId="0" fontId="5" fillId="0" borderId="0" xfId="786" applyAlignment="1">
      <alignment horizontal="center" vertical="center"/>
    </xf>
    <xf numFmtId="0" fontId="3" fillId="5" borderId="0" xfId="1" applyFont="1" applyFill="1" applyAlignment="1">
      <alignment vertical="center"/>
    </xf>
    <xf numFmtId="10" fontId="3" fillId="11" borderId="33" xfId="644" applyNumberFormat="1" applyFont="1" applyFill="1" applyBorder="1" applyAlignment="1">
      <alignment horizontal="center" vertical="center"/>
    </xf>
    <xf numFmtId="0" fontId="3" fillId="11" borderId="31" xfId="0" applyFont="1" applyFill="1" applyBorder="1" applyAlignment="1">
      <alignment horizontal="center" vertical="center"/>
    </xf>
    <xf numFmtId="0" fontId="3" fillId="11" borderId="33" xfId="0" applyFont="1" applyFill="1" applyBorder="1" applyAlignment="1">
      <alignment horizontal="center" vertical="center" wrapText="1"/>
    </xf>
    <xf numFmtId="4" fontId="3" fillId="11" borderId="33" xfId="0" applyNumberFormat="1" applyFont="1" applyFill="1" applyBorder="1" applyAlignment="1">
      <alignment horizontal="center" vertical="center"/>
    </xf>
    <xf numFmtId="4" fontId="13" fillId="5" borderId="161" xfId="1" applyNumberFormat="1" applyFont="1" applyFill="1" applyBorder="1" applyAlignment="1">
      <alignment vertical="center"/>
    </xf>
    <xf numFmtId="4" fontId="13" fillId="5" borderId="1" xfId="1" applyNumberFormat="1" applyFont="1" applyFill="1" applyBorder="1" applyAlignment="1">
      <alignment vertical="center"/>
    </xf>
    <xf numFmtId="0" fontId="125" fillId="0" borderId="1" xfId="0" applyFont="1" applyBorder="1" applyAlignment="1">
      <alignment horizontal="center"/>
    </xf>
    <xf numFmtId="0" fontId="5" fillId="0" borderId="0" xfId="23" applyFont="1"/>
    <xf numFmtId="0" fontId="81" fillId="0" borderId="0" xfId="23" applyFont="1" applyAlignment="1">
      <alignment horizontal="center" vertical="center"/>
    </xf>
    <xf numFmtId="0" fontId="122" fillId="0" borderId="0" xfId="23" applyFont="1" applyAlignment="1">
      <alignment horizontal="center" vertical="center"/>
    </xf>
    <xf numFmtId="166" fontId="3" fillId="12" borderId="77" xfId="636" applyFont="1" applyFill="1" applyBorder="1" applyAlignment="1">
      <alignment horizontal="right" vertical="center"/>
    </xf>
    <xf numFmtId="0" fontId="3" fillId="4" borderId="32" xfId="635" applyFont="1" applyFill="1" applyBorder="1" applyAlignment="1">
      <alignment horizontal="center" vertical="center" wrapText="1"/>
    </xf>
    <xf numFmtId="0" fontId="3" fillId="0" borderId="0" xfId="639" applyFont="1" applyAlignment="1">
      <alignment vertical="center"/>
    </xf>
    <xf numFmtId="165" fontId="3" fillId="12" borderId="10" xfId="641" applyFont="1" applyFill="1" applyBorder="1" applyAlignment="1">
      <alignment horizontal="right" vertical="center"/>
    </xf>
    <xf numFmtId="0" fontId="3" fillId="0" borderId="11" xfId="639" applyFont="1" applyBorder="1" applyAlignment="1">
      <alignment horizontal="center" vertical="center" wrapText="1"/>
    </xf>
    <xf numFmtId="165" fontId="5" fillId="0" borderId="0" xfId="639" applyNumberFormat="1" applyAlignment="1">
      <alignment vertical="center"/>
    </xf>
    <xf numFmtId="0" fontId="4" fillId="14" borderId="0" xfId="0" applyFont="1" applyFill="1" applyAlignment="1">
      <alignment horizontal="center" vertical="center"/>
    </xf>
    <xf numFmtId="0" fontId="3" fillId="14" borderId="0" xfId="0" applyFont="1" applyFill="1" applyAlignment="1">
      <alignment vertical="center" wrapText="1"/>
    </xf>
    <xf numFmtId="0" fontId="4" fillId="0" borderId="0" xfId="1" applyFont="1" applyAlignment="1">
      <alignment horizontal="center" vertical="center"/>
    </xf>
    <xf numFmtId="0" fontId="4" fillId="0" borderId="0" xfId="1" applyFont="1" applyAlignment="1">
      <alignment vertical="center" wrapText="1"/>
    </xf>
    <xf numFmtId="4" fontId="4" fillId="0" borderId="0" xfId="1" applyNumberFormat="1" applyFont="1" applyAlignment="1">
      <alignment vertical="center"/>
    </xf>
    <xf numFmtId="193" fontId="4" fillId="0" borderId="0" xfId="639" applyNumberFormat="1" applyFont="1" applyAlignment="1">
      <alignment vertical="center"/>
    </xf>
    <xf numFmtId="4" fontId="5" fillId="5" borderId="0" xfId="1" applyNumberFormat="1" applyFill="1" applyAlignment="1">
      <alignment vertical="center"/>
    </xf>
    <xf numFmtId="0" fontId="126" fillId="0" borderId="1" xfId="1" applyFont="1" applyBorder="1" applyAlignment="1">
      <alignment vertical="center"/>
    </xf>
    <xf numFmtId="0" fontId="4" fillId="0" borderId="0" xfId="1" applyFont="1" applyAlignment="1">
      <alignment wrapText="1"/>
    </xf>
    <xf numFmtId="0" fontId="4" fillId="0" borderId="143" xfId="1" applyFont="1" applyBorder="1" applyAlignment="1">
      <alignment horizontal="center" vertical="center" wrapText="1"/>
    </xf>
    <xf numFmtId="0" fontId="4" fillId="0" borderId="143" xfId="1" applyFont="1" applyBorder="1" applyAlignment="1">
      <alignment vertical="center" wrapText="1"/>
    </xf>
    <xf numFmtId="0" fontId="4" fillId="0" borderId="145" xfId="1" applyFont="1" applyBorder="1" applyAlignment="1">
      <alignment horizontal="center" vertical="center" wrapText="1"/>
    </xf>
    <xf numFmtId="0" fontId="4" fillId="0" borderId="147" xfId="1" applyFont="1" applyBorder="1" applyAlignment="1">
      <alignment vertical="center" wrapText="1"/>
    </xf>
    <xf numFmtId="0" fontId="4" fillId="0" borderId="147" xfId="1" applyFont="1" applyBorder="1" applyAlignment="1">
      <alignment horizontal="center" vertical="center" wrapText="1"/>
    </xf>
    <xf numFmtId="0" fontId="5" fillId="0" borderId="67" xfId="639" applyBorder="1"/>
    <xf numFmtId="0" fontId="84" fillId="0" borderId="0" xfId="639" applyFont="1"/>
    <xf numFmtId="0" fontId="5" fillId="0" borderId="68" xfId="639" applyBorder="1"/>
    <xf numFmtId="0" fontId="26" fillId="14" borderId="69" xfId="639" applyFont="1" applyFill="1" applyBorder="1" applyAlignment="1">
      <alignment horizontal="center" vertical="center"/>
    </xf>
    <xf numFmtId="0" fontId="81" fillId="0" borderId="0" xfId="639" applyFont="1" applyAlignment="1">
      <alignment horizontal="center" vertical="center"/>
    </xf>
    <xf numFmtId="0" fontId="122" fillId="0" borderId="0" xfId="639" applyFont="1" applyAlignment="1">
      <alignment horizontal="center" vertical="center"/>
    </xf>
    <xf numFmtId="0" fontId="26" fillId="14" borderId="70" xfId="639" applyFont="1" applyFill="1" applyBorder="1" applyAlignment="1">
      <alignment horizontal="center" vertical="center"/>
    </xf>
    <xf numFmtId="14" fontId="5" fillId="0" borderId="19" xfId="1" applyNumberFormat="1" applyBorder="1" applyAlignment="1">
      <alignment horizontal="right" vertical="center"/>
    </xf>
    <xf numFmtId="10" fontId="5" fillId="0" borderId="28" xfId="644" applyNumberFormat="1" applyFont="1" applyFill="1" applyBorder="1" applyAlignment="1">
      <alignment horizontal="right" vertical="center" wrapText="1"/>
    </xf>
    <xf numFmtId="0" fontId="4" fillId="0" borderId="146" xfId="639" applyFont="1" applyBorder="1" applyAlignment="1">
      <alignment horizontal="center"/>
    </xf>
    <xf numFmtId="10" fontId="5" fillId="0" borderId="0" xfId="644" applyNumberFormat="1"/>
    <xf numFmtId="0" fontId="3" fillId="45" borderId="31" xfId="639" applyFont="1" applyFill="1" applyBorder="1" applyAlignment="1">
      <alignment horizontal="center"/>
    </xf>
    <xf numFmtId="0" fontId="5" fillId="0" borderId="14" xfId="639" applyBorder="1"/>
    <xf numFmtId="0" fontId="86" fillId="0" borderId="16" xfId="639" applyFont="1" applyBorder="1" applyAlignment="1">
      <alignment vertical="center" wrapText="1"/>
    </xf>
    <xf numFmtId="0" fontId="5" fillId="0" borderId="16" xfId="639" applyBorder="1"/>
    <xf numFmtId="0" fontId="5" fillId="0" borderId="15" xfId="639" applyBorder="1"/>
    <xf numFmtId="0" fontId="5" fillId="0" borderId="8" xfId="639" applyBorder="1"/>
    <xf numFmtId="0" fontId="5" fillId="0" borderId="9" xfId="639" applyBorder="1" applyAlignment="1">
      <alignment horizontal="left" vertical="center"/>
    </xf>
    <xf numFmtId="0" fontId="5" fillId="0" borderId="9" xfId="639" applyBorder="1"/>
    <xf numFmtId="0" fontId="5" fillId="0" borderId="10" xfId="639" applyBorder="1"/>
    <xf numFmtId="0" fontId="131" fillId="5" borderId="0" xfId="810" applyFont="1" applyFill="1" applyAlignment="1">
      <alignment vertical="center"/>
    </xf>
    <xf numFmtId="0" fontId="130" fillId="5" borderId="0" xfId="810" applyFont="1" applyFill="1" applyAlignment="1">
      <alignment vertical="center"/>
    </xf>
    <xf numFmtId="0" fontId="129" fillId="5" borderId="0" xfId="810" applyFont="1" applyFill="1" applyAlignment="1">
      <alignment vertical="center"/>
    </xf>
    <xf numFmtId="0" fontId="11" fillId="3" borderId="18" xfId="431" applyFont="1" applyFill="1" applyBorder="1" applyAlignment="1">
      <alignment horizontal="center" vertical="center" wrapText="1"/>
    </xf>
    <xf numFmtId="4" fontId="3" fillId="0" borderId="18" xfId="23" applyNumberFormat="1" applyFont="1" applyBorder="1" applyAlignment="1">
      <alignment wrapText="1"/>
    </xf>
    <xf numFmtId="4" fontId="3" fillId="0" borderId="8" xfId="23" applyNumberFormat="1" applyFont="1" applyBorder="1" applyAlignment="1">
      <alignment wrapText="1"/>
    </xf>
    <xf numFmtId="4" fontId="4" fillId="4" borderId="162" xfId="639" applyNumberFormat="1" applyFont="1" applyFill="1" applyBorder="1" applyAlignment="1">
      <alignment wrapText="1"/>
    </xf>
    <xf numFmtId="0" fontId="15" fillId="3" borderId="0" xfId="786" applyFont="1" applyFill="1" applyAlignment="1">
      <alignment horizontal="center" vertical="center"/>
    </xf>
    <xf numFmtId="0" fontId="15" fillId="3" borderId="0" xfId="786" applyFont="1" applyFill="1" applyAlignment="1">
      <alignment vertical="center" wrapText="1"/>
    </xf>
    <xf numFmtId="4" fontId="15" fillId="3" borderId="0" xfId="786" applyNumberFormat="1" applyFont="1" applyFill="1" applyAlignment="1">
      <alignment vertical="center"/>
    </xf>
    <xf numFmtId="0" fontId="83" fillId="0" borderId="173" xfId="639" applyFont="1" applyBorder="1" applyAlignment="1">
      <alignment horizontal="center"/>
    </xf>
    <xf numFmtId="0" fontId="134" fillId="5" borderId="18" xfId="1626" applyFont="1" applyFill="1" applyBorder="1" applyAlignment="1">
      <alignment horizontal="left" vertical="center"/>
    </xf>
    <xf numFmtId="0" fontId="134" fillId="5" borderId="8" xfId="1626" applyFont="1" applyFill="1" applyBorder="1" applyAlignment="1">
      <alignment horizontal="left" vertical="center"/>
    </xf>
    <xf numFmtId="0" fontId="4" fillId="0" borderId="146" xfId="675" applyFont="1" applyBorder="1" applyAlignment="1">
      <alignment horizontal="center" vertical="center"/>
    </xf>
    <xf numFmtId="0" fontId="4" fillId="11" borderId="146" xfId="0" applyFont="1" applyFill="1" applyBorder="1" applyAlignment="1">
      <alignment horizontal="center" vertical="center"/>
    </xf>
    <xf numFmtId="4" fontId="4" fillId="11" borderId="148" xfId="0" applyNumberFormat="1" applyFont="1" applyFill="1" applyBorder="1" applyAlignment="1">
      <alignment vertical="center"/>
    </xf>
    <xf numFmtId="0" fontId="3" fillId="0" borderId="26" xfId="639" applyFont="1" applyBorder="1" applyAlignment="1">
      <alignment vertical="center" wrapText="1"/>
    </xf>
    <xf numFmtId="10" fontId="4" fillId="0" borderId="28" xfId="644" applyNumberFormat="1" applyFont="1" applyFill="1" applyBorder="1" applyAlignment="1">
      <alignment horizontal="right" vertical="center" wrapText="1"/>
    </xf>
    <xf numFmtId="49" fontId="33" fillId="5" borderId="18" xfId="639" applyNumberFormat="1" applyFont="1" applyFill="1" applyBorder="1" applyAlignment="1">
      <alignment vertical="center" wrapText="1"/>
    </xf>
    <xf numFmtId="0" fontId="5" fillId="5" borderId="19" xfId="639" applyFill="1" applyBorder="1" applyAlignment="1">
      <alignment vertical="center" wrapText="1"/>
    </xf>
    <xf numFmtId="0" fontId="3" fillId="9" borderId="14" xfId="639" applyFont="1" applyFill="1" applyBorder="1" applyAlignment="1">
      <alignment horizontal="center" vertical="center" wrapText="1"/>
    </xf>
    <xf numFmtId="0" fontId="119" fillId="0" borderId="0" xfId="431" applyFont="1" applyAlignment="1">
      <alignment vertical="center"/>
    </xf>
    <xf numFmtId="0" fontId="4" fillId="0" borderId="73" xfId="1" applyFont="1" applyBorder="1" applyAlignment="1">
      <alignment vertical="center" wrapText="1"/>
    </xf>
    <xf numFmtId="0" fontId="3" fillId="4" borderId="71" xfId="639" applyFont="1" applyFill="1" applyBorder="1" applyAlignment="1">
      <alignment vertical="center"/>
    </xf>
    <xf numFmtId="0" fontId="93" fillId="0" borderId="84" xfId="0" applyFont="1" applyBorder="1" applyAlignment="1">
      <alignment horizontal="center" vertical="center" wrapText="1"/>
    </xf>
    <xf numFmtId="0" fontId="91" fillId="0" borderId="185" xfId="0" applyFont="1" applyBorder="1" applyAlignment="1">
      <alignment horizontal="center" vertical="center" wrapText="1"/>
    </xf>
    <xf numFmtId="0" fontId="91" fillId="48" borderId="185" xfId="0" applyFont="1" applyFill="1" applyBorder="1" applyAlignment="1">
      <alignment horizontal="center" vertical="center" wrapText="1"/>
    </xf>
    <xf numFmtId="0" fontId="93" fillId="48" borderId="185" xfId="0" applyFont="1" applyFill="1" applyBorder="1" applyAlignment="1">
      <alignment horizontal="center" vertical="center"/>
    </xf>
    <xf numFmtId="10" fontId="93" fillId="48" borderId="84" xfId="923" applyNumberFormat="1" applyFont="1" applyFill="1" applyBorder="1" applyAlignment="1">
      <alignment horizontal="center" vertical="center" wrapText="1"/>
    </xf>
    <xf numFmtId="0" fontId="91" fillId="0" borderId="185" xfId="0" applyFont="1" applyBorder="1" applyAlignment="1">
      <alignment horizontal="center" vertical="center"/>
    </xf>
    <xf numFmtId="0" fontId="91" fillId="48" borderId="185" xfId="0" applyFont="1" applyFill="1" applyBorder="1" applyAlignment="1">
      <alignment horizontal="center" vertical="center"/>
    </xf>
    <xf numFmtId="0" fontId="93" fillId="0" borderId="185" xfId="0" applyFont="1" applyBorder="1" applyAlignment="1">
      <alignment horizontal="center" vertical="center"/>
    </xf>
    <xf numFmtId="10" fontId="93" fillId="0" borderId="84" xfId="923" applyNumberFormat="1" applyFont="1" applyBorder="1" applyAlignment="1">
      <alignment horizontal="center" vertical="center" wrapText="1"/>
    </xf>
    <xf numFmtId="10" fontId="94" fillId="46" borderId="187" xfId="0" applyNumberFormat="1" applyFont="1" applyFill="1" applyBorder="1" applyAlignment="1">
      <alignment horizontal="center" vertical="center" wrapText="1"/>
    </xf>
    <xf numFmtId="10" fontId="94" fillId="46" borderId="188" xfId="0" applyNumberFormat="1" applyFont="1" applyFill="1" applyBorder="1" applyAlignment="1">
      <alignment horizontal="center" vertical="center" wrapText="1"/>
    </xf>
    <xf numFmtId="10" fontId="7" fillId="0" borderId="0" xfId="923" applyNumberFormat="1" applyFont="1"/>
    <xf numFmtId="0" fontId="7" fillId="0" borderId="178" xfId="23" applyBorder="1"/>
    <xf numFmtId="10" fontId="7" fillId="0" borderId="177" xfId="923" applyNumberFormat="1" applyFont="1" applyBorder="1"/>
    <xf numFmtId="10" fontId="7" fillId="0" borderId="171" xfId="923" applyNumberFormat="1" applyFont="1" applyBorder="1"/>
    <xf numFmtId="0" fontId="7" fillId="0" borderId="169" xfId="23" applyBorder="1" applyAlignment="1">
      <alignment vertical="center"/>
    </xf>
    <xf numFmtId="0" fontId="7" fillId="0" borderId="178" xfId="23" applyBorder="1" applyAlignment="1">
      <alignment vertical="center"/>
    </xf>
    <xf numFmtId="0" fontId="7" fillId="0" borderId="177" xfId="23" applyBorder="1" applyAlignment="1">
      <alignment vertical="center"/>
    </xf>
    <xf numFmtId="10" fontId="7" fillId="0" borderId="169" xfId="923" applyNumberFormat="1" applyFont="1" applyBorder="1" applyAlignment="1">
      <alignment vertical="center"/>
    </xf>
    <xf numFmtId="10" fontId="7" fillId="0" borderId="178" xfId="923" applyNumberFormat="1" applyFont="1" applyBorder="1" applyAlignment="1">
      <alignment vertical="center"/>
    </xf>
    <xf numFmtId="10" fontId="7" fillId="0" borderId="177" xfId="923" applyNumberFormat="1" applyFont="1" applyBorder="1" applyAlignment="1">
      <alignment vertical="center"/>
    </xf>
    <xf numFmtId="10" fontId="7" fillId="0" borderId="146" xfId="923" applyNumberFormat="1" applyFont="1" applyBorder="1" applyAlignment="1">
      <alignment vertical="center"/>
    </xf>
    <xf numFmtId="10" fontId="7" fillId="0" borderId="170" xfId="923" applyNumberFormat="1" applyFont="1" applyBorder="1" applyAlignment="1">
      <alignment vertical="center"/>
    </xf>
    <xf numFmtId="10" fontId="7" fillId="0" borderId="171" xfId="923" applyNumberFormat="1" applyFont="1" applyBorder="1" applyAlignment="1">
      <alignment vertical="center"/>
    </xf>
    <xf numFmtId="0" fontId="5" fillId="0" borderId="169" xfId="23" applyFont="1" applyBorder="1"/>
    <xf numFmtId="0" fontId="5" fillId="0" borderId="146" xfId="23" applyFont="1" applyBorder="1"/>
    <xf numFmtId="0" fontId="7" fillId="0" borderId="170" xfId="23" applyBorder="1"/>
    <xf numFmtId="0" fontId="7" fillId="0" borderId="171" xfId="23" applyBorder="1"/>
    <xf numFmtId="0" fontId="7" fillId="0" borderId="25" xfId="23" applyBorder="1" applyAlignment="1">
      <alignment vertical="center"/>
    </xf>
    <xf numFmtId="0" fontId="7" fillId="0" borderId="20" xfId="23" applyBorder="1" applyAlignment="1">
      <alignment vertical="center"/>
    </xf>
    <xf numFmtId="0" fontId="7" fillId="0" borderId="38" xfId="23" applyBorder="1" applyAlignment="1">
      <alignment vertical="center"/>
    </xf>
    <xf numFmtId="10" fontId="7" fillId="0" borderId="2" xfId="923" applyNumberFormat="1" applyFont="1" applyBorder="1" applyAlignment="1">
      <alignment vertical="center"/>
    </xf>
    <xf numFmtId="10" fontId="7" fillId="0" borderId="3" xfId="923" applyNumberFormat="1" applyFont="1" applyBorder="1" applyAlignment="1">
      <alignment vertical="center"/>
    </xf>
    <xf numFmtId="10" fontId="7" fillId="0" borderId="4" xfId="923" applyNumberFormat="1" applyFont="1" applyBorder="1" applyAlignment="1">
      <alignment vertical="center"/>
    </xf>
    <xf numFmtId="0" fontId="3" fillId="45" borderId="169" xfId="639" applyFont="1" applyFill="1" applyBorder="1" applyAlignment="1">
      <alignment horizontal="center"/>
    </xf>
    <xf numFmtId="0" fontId="4" fillId="0" borderId="169" xfId="639" applyFont="1" applyBorder="1" applyAlignment="1">
      <alignment horizontal="center"/>
    </xf>
    <xf numFmtId="0" fontId="72" fillId="0" borderId="9" xfId="639" applyFont="1" applyBorder="1" applyAlignment="1">
      <alignment horizontal="right" vertical="center"/>
    </xf>
    <xf numFmtId="40" fontId="5" fillId="0" borderId="9" xfId="639" applyNumberFormat="1" applyBorder="1" applyAlignment="1">
      <alignment horizontal="center" vertical="center"/>
    </xf>
    <xf numFmtId="0" fontId="120" fillId="0" borderId="0" xfId="0" applyFont="1"/>
    <xf numFmtId="0" fontId="5" fillId="5" borderId="18" xfId="1626" applyFill="1" applyBorder="1" applyAlignment="1">
      <alignment horizontal="left" vertical="center"/>
    </xf>
    <xf numFmtId="0" fontId="96" fillId="0" borderId="0" xfId="0" applyFont="1"/>
    <xf numFmtId="195" fontId="135" fillId="4" borderId="194" xfId="1632" applyNumberFormat="1" applyFont="1" applyFill="1" applyBorder="1" applyAlignment="1">
      <alignment horizontal="center" vertical="center"/>
    </xf>
    <xf numFmtId="2" fontId="37" fillId="0" borderId="193" xfId="639" applyNumberFormat="1" applyFont="1" applyBorder="1" applyAlignment="1">
      <alignment horizontal="center" vertical="center"/>
    </xf>
    <xf numFmtId="0" fontId="3" fillId="0" borderId="192" xfId="639" applyFont="1" applyBorder="1" applyAlignment="1">
      <alignment horizontal="center" vertical="center" wrapText="1"/>
    </xf>
    <xf numFmtId="0" fontId="3" fillId="5" borderId="193" xfId="0" applyFont="1" applyFill="1" applyBorder="1" applyAlignment="1">
      <alignment horizontal="center" vertical="center"/>
    </xf>
    <xf numFmtId="0" fontId="3" fillId="5" borderId="193" xfId="0" applyFont="1" applyFill="1" applyBorder="1" applyAlignment="1">
      <alignment horizontal="center" vertical="center" wrapText="1"/>
    </xf>
    <xf numFmtId="4" fontId="3" fillId="5" borderId="194" xfId="0" applyNumberFormat="1" applyFont="1" applyFill="1" applyBorder="1" applyAlignment="1">
      <alignment horizontal="center" vertical="center" wrapText="1"/>
    </xf>
    <xf numFmtId="0" fontId="3" fillId="0" borderId="192" xfId="0" applyFont="1" applyBorder="1" applyAlignment="1">
      <alignment horizontal="center" vertical="center"/>
    </xf>
    <xf numFmtId="0" fontId="3" fillId="0" borderId="193" xfId="0" applyFont="1" applyBorder="1" applyAlignment="1">
      <alignment horizontal="center" vertical="center"/>
    </xf>
    <xf numFmtId="0" fontId="3" fillId="0" borderId="193" xfId="0" applyFont="1" applyBorder="1" applyAlignment="1">
      <alignment horizontal="center" vertical="center" wrapText="1"/>
    </xf>
    <xf numFmtId="4" fontId="3" fillId="0" borderId="193" xfId="0" applyNumberFormat="1" applyFont="1" applyBorder="1" applyAlignment="1">
      <alignment horizontal="center" vertical="center"/>
    </xf>
    <xf numFmtId="10" fontId="3" fillId="0" borderId="193" xfId="644" applyNumberFormat="1" applyFont="1" applyBorder="1" applyAlignment="1">
      <alignment horizontal="center" vertical="center"/>
    </xf>
    <xf numFmtId="4" fontId="3" fillId="0" borderId="194" xfId="0" applyNumberFormat="1" applyFont="1" applyBorder="1" applyAlignment="1">
      <alignment horizontal="center" vertical="center"/>
    </xf>
    <xf numFmtId="0" fontId="4" fillId="11" borderId="195" xfId="0" applyFont="1" applyFill="1" applyBorder="1" applyAlignment="1">
      <alignment horizontal="center" vertical="center"/>
    </xf>
    <xf numFmtId="0" fontId="3" fillId="11" borderId="196" xfId="0" applyFont="1" applyFill="1" applyBorder="1" applyAlignment="1">
      <alignment horizontal="center" vertical="center"/>
    </xf>
    <xf numFmtId="4" fontId="3" fillId="11" borderId="196" xfId="0" applyNumberFormat="1" applyFont="1" applyFill="1" applyBorder="1" applyAlignment="1">
      <alignment vertical="center" wrapText="1"/>
    </xf>
    <xf numFmtId="4" fontId="4" fillId="11" borderId="196" xfId="0" applyNumberFormat="1" applyFont="1" applyFill="1" applyBorder="1" applyAlignment="1">
      <alignment horizontal="center" vertical="center"/>
    </xf>
    <xf numFmtId="10" fontId="3" fillId="11" borderId="196" xfId="644" applyNumberFormat="1" applyFont="1" applyFill="1" applyBorder="1" applyAlignment="1">
      <alignment vertical="center"/>
    </xf>
    <xf numFmtId="4" fontId="4" fillId="11" borderId="197" xfId="0" applyNumberFormat="1" applyFont="1" applyFill="1" applyBorder="1" applyAlignment="1">
      <alignment vertical="center"/>
    </xf>
    <xf numFmtId="4" fontId="2" fillId="5" borderId="193" xfId="0" applyNumberFormat="1" applyFont="1" applyFill="1" applyBorder="1" applyAlignment="1">
      <alignment vertical="center" wrapText="1"/>
    </xf>
    <xf numFmtId="0" fontId="3" fillId="7" borderId="0" xfId="639" applyFont="1" applyFill="1" applyAlignment="1">
      <alignment vertical="center"/>
    </xf>
    <xf numFmtId="14" fontId="4" fillId="0" borderId="192" xfId="0" applyNumberFormat="1" applyFont="1" applyBorder="1" applyAlignment="1">
      <alignment horizontal="center" vertical="center"/>
    </xf>
    <xf numFmtId="10" fontId="3" fillId="0" borderId="193" xfId="644" applyNumberFormat="1" applyFont="1" applyFill="1" applyBorder="1" applyAlignment="1">
      <alignment horizontal="center" vertical="center"/>
    </xf>
    <xf numFmtId="2" fontId="4" fillId="0" borderId="196" xfId="639" applyNumberFormat="1" applyFont="1" applyBorder="1" applyAlignment="1">
      <alignment horizontal="right"/>
    </xf>
    <xf numFmtId="166" fontId="3" fillId="0" borderId="0" xfId="636" applyFont="1" applyFill="1" applyBorder="1" applyAlignment="1">
      <alignment horizontal="right" vertical="center"/>
    </xf>
    <xf numFmtId="165" fontId="3" fillId="0" borderId="0" xfId="637" applyFont="1" applyFill="1" applyBorder="1" applyAlignment="1">
      <alignment horizontal="right" vertical="center"/>
    </xf>
    <xf numFmtId="0" fontId="4" fillId="0" borderId="193" xfId="0" applyFont="1" applyBorder="1" applyAlignment="1">
      <alignment horizontal="center" vertical="center" wrapText="1"/>
    </xf>
    <xf numFmtId="0" fontId="4" fillId="0" borderId="192" xfId="639" applyFont="1" applyBorder="1" applyAlignment="1">
      <alignment horizontal="center" vertical="center"/>
    </xf>
    <xf numFmtId="4" fontId="4" fillId="0" borderId="194" xfId="639" applyNumberFormat="1" applyFont="1" applyBorder="1" applyAlignment="1">
      <alignment horizontal="right"/>
    </xf>
    <xf numFmtId="0" fontId="4" fillId="0" borderId="192" xfId="639" applyFont="1" applyBorder="1" applyAlignment="1">
      <alignment horizontal="center"/>
    </xf>
    <xf numFmtId="2" fontId="4" fillId="0" borderId="193" xfId="639" applyNumberFormat="1" applyFont="1" applyBorder="1" applyAlignment="1">
      <alignment horizontal="right"/>
    </xf>
    <xf numFmtId="0" fontId="4" fillId="0" borderId="195" xfId="639" applyFont="1" applyBorder="1" applyAlignment="1">
      <alignment horizontal="center"/>
    </xf>
    <xf numFmtId="4" fontId="4" fillId="0" borderId="197" xfId="639" applyNumberFormat="1" applyFont="1" applyBorder="1" applyAlignment="1">
      <alignment horizontal="right"/>
    </xf>
    <xf numFmtId="14" fontId="2" fillId="0" borderId="192" xfId="0" applyNumberFormat="1" applyFont="1" applyBorder="1" applyAlignment="1">
      <alignment vertical="center"/>
    </xf>
    <xf numFmtId="14" fontId="2" fillId="0" borderId="195" xfId="0" applyNumberFormat="1" applyFont="1" applyBorder="1" applyAlignment="1">
      <alignment vertical="center"/>
    </xf>
    <xf numFmtId="49" fontId="4" fillId="0" borderId="192" xfId="0" applyNumberFormat="1" applyFont="1" applyBorder="1" applyAlignment="1">
      <alignment horizontal="center" vertical="center"/>
    </xf>
    <xf numFmtId="0" fontId="4" fillId="0" borderId="193" xfId="1" applyFont="1" applyBorder="1" applyAlignment="1">
      <alignment horizontal="center" vertical="center" wrapText="1"/>
    </xf>
    <xf numFmtId="2" fontId="4" fillId="0" borderId="193" xfId="1" applyNumberFormat="1" applyFont="1" applyBorder="1" applyAlignment="1">
      <alignment horizontal="right" vertical="center" wrapText="1"/>
    </xf>
    <xf numFmtId="4" fontId="4" fillId="0" borderId="194" xfId="639" applyNumberFormat="1" applyFont="1" applyBorder="1" applyAlignment="1">
      <alignment horizontal="right" vertical="center"/>
    </xf>
    <xf numFmtId="0" fontId="4" fillId="0" borderId="193" xfId="1" applyFont="1" applyBorder="1" applyAlignment="1">
      <alignment vertical="center" wrapText="1"/>
    </xf>
    <xf numFmtId="2" fontId="4" fillId="0" borderId="193" xfId="639" applyNumberFormat="1" applyFont="1" applyBorder="1" applyAlignment="1">
      <alignment horizontal="right" vertical="center"/>
    </xf>
    <xf numFmtId="0" fontId="4" fillId="0" borderId="195" xfId="639" applyFont="1" applyBorder="1" applyAlignment="1">
      <alignment horizontal="center" vertical="center"/>
    </xf>
    <xf numFmtId="0" fontId="4" fillId="0" borderId="196" xfId="1" applyFont="1" applyBorder="1" applyAlignment="1">
      <alignment vertical="center" wrapText="1"/>
    </xf>
    <xf numFmtId="0" fontId="4" fillId="0" borderId="196" xfId="1" applyFont="1" applyBorder="1" applyAlignment="1">
      <alignment horizontal="center" vertical="center" wrapText="1"/>
    </xf>
    <xf numFmtId="2" fontId="4" fillId="0" borderId="196" xfId="639" applyNumberFormat="1" applyFont="1" applyBorder="1" applyAlignment="1">
      <alignment horizontal="right" vertical="center"/>
    </xf>
    <xf numFmtId="2" fontId="4" fillId="0" borderId="196" xfId="1" applyNumberFormat="1" applyFont="1" applyBorder="1" applyAlignment="1">
      <alignment horizontal="right" vertical="center" wrapText="1"/>
    </xf>
    <xf numFmtId="4" fontId="4" fillId="0" borderId="197" xfId="639" applyNumberFormat="1" applyFont="1" applyBorder="1" applyAlignment="1">
      <alignment horizontal="right" vertical="center"/>
    </xf>
    <xf numFmtId="0" fontId="0" fillId="0" borderId="0" xfId="0" applyAlignment="1">
      <alignment vertical="center"/>
    </xf>
    <xf numFmtId="49" fontId="5" fillId="0" borderId="0" xfId="23" applyNumberFormat="1" applyFont="1" applyAlignment="1">
      <alignment horizontal="center"/>
    </xf>
    <xf numFmtId="14" fontId="2" fillId="5" borderId="193" xfId="0" applyNumberFormat="1" applyFont="1" applyFill="1" applyBorder="1" applyAlignment="1">
      <alignment horizontal="center" vertical="center"/>
    </xf>
    <xf numFmtId="49" fontId="81" fillId="0" borderId="0" xfId="0" applyNumberFormat="1" applyFont="1" applyAlignment="1">
      <alignment horizontal="center" vertical="center"/>
    </xf>
    <xf numFmtId="0" fontId="125" fillId="0" borderId="0" xfId="0" applyFont="1" applyAlignment="1" applyProtection="1">
      <alignment horizontal="left" vertical="center" wrapText="1"/>
      <protection locked="0"/>
    </xf>
    <xf numFmtId="0" fontId="4" fillId="0" borderId="0" xfId="0" applyFont="1" applyAlignment="1">
      <alignment horizontal="center"/>
    </xf>
    <xf numFmtId="0" fontId="3" fillId="0" borderId="31" xfId="639" applyFont="1" applyBorder="1" applyAlignment="1">
      <alignment horizontal="center" vertical="center" wrapText="1"/>
    </xf>
    <xf numFmtId="0" fontId="3" fillId="5" borderId="33" xfId="0" applyFont="1" applyFill="1" applyBorder="1" applyAlignment="1">
      <alignment horizontal="center" vertical="center"/>
    </xf>
    <xf numFmtId="0" fontId="3" fillId="5" borderId="32" xfId="0" applyFont="1" applyFill="1" applyBorder="1" applyAlignment="1">
      <alignment horizontal="center" vertical="center" wrapText="1"/>
    </xf>
    <xf numFmtId="166" fontId="3" fillId="12" borderId="8" xfId="640" applyFont="1" applyFill="1" applyBorder="1" applyAlignment="1">
      <alignment horizontal="center" vertical="center" wrapText="1"/>
    </xf>
    <xf numFmtId="0" fontId="3" fillId="0" borderId="192" xfId="0" applyFont="1" applyBorder="1" applyAlignment="1">
      <alignment horizontal="center" vertical="center" wrapText="1"/>
    </xf>
    <xf numFmtId="0" fontId="3" fillId="0" borderId="146" xfId="0" applyFont="1" applyBorder="1" applyAlignment="1">
      <alignment horizontal="center" vertical="center" wrapText="1"/>
    </xf>
    <xf numFmtId="0" fontId="3" fillId="0" borderId="196" xfId="0" applyFont="1" applyBorder="1" applyAlignment="1">
      <alignment horizontal="center" vertical="center" wrapText="1"/>
    </xf>
    <xf numFmtId="194" fontId="3" fillId="0" borderId="196" xfId="0" applyNumberFormat="1" applyFont="1" applyBorder="1" applyAlignment="1">
      <alignment horizontal="center" vertical="center" wrapText="1"/>
    </xf>
    <xf numFmtId="0" fontId="4" fillId="0" borderId="31" xfId="639" applyFont="1" applyBorder="1" applyAlignment="1">
      <alignment horizontal="center" vertical="center"/>
    </xf>
    <xf numFmtId="2" fontId="4" fillId="0" borderId="194" xfId="639" applyNumberFormat="1" applyFont="1" applyBorder="1" applyAlignment="1">
      <alignment horizontal="center" vertical="center"/>
    </xf>
    <xf numFmtId="44" fontId="4" fillId="0" borderId="197" xfId="838" applyFont="1" applyBorder="1" applyAlignment="1">
      <alignment horizontal="center" vertical="center"/>
    </xf>
    <xf numFmtId="2" fontId="4" fillId="44" borderId="193" xfId="639" applyNumberFormat="1" applyFont="1" applyFill="1" applyBorder="1" applyAlignment="1">
      <alignment horizontal="center" vertical="center"/>
    </xf>
    <xf numFmtId="0" fontId="4" fillId="44" borderId="193" xfId="639" applyFont="1" applyFill="1" applyBorder="1" applyAlignment="1">
      <alignment horizontal="center" vertical="center" wrapText="1"/>
    </xf>
    <xf numFmtId="4" fontId="4" fillId="44" borderId="193" xfId="639" applyNumberFormat="1" applyFont="1" applyFill="1" applyBorder="1" applyAlignment="1">
      <alignment horizontal="center" vertical="center"/>
    </xf>
    <xf numFmtId="0" fontId="4" fillId="44" borderId="196" xfId="639" applyFont="1" applyFill="1" applyBorder="1" applyAlignment="1">
      <alignment horizontal="center" vertical="center"/>
    </xf>
    <xf numFmtId="2" fontId="4" fillId="44" borderId="194" xfId="639" applyNumberFormat="1" applyFont="1" applyFill="1" applyBorder="1" applyAlignment="1">
      <alignment horizontal="center" vertical="center"/>
    </xf>
    <xf numFmtId="4" fontId="3" fillId="0" borderId="179" xfId="0" applyNumberFormat="1" applyFont="1" applyBorder="1" applyAlignment="1">
      <alignment horizontal="center" vertical="center"/>
    </xf>
    <xf numFmtId="0" fontId="32" fillId="0" borderId="0" xfId="639" applyFont="1"/>
    <xf numFmtId="0" fontId="4" fillId="0" borderId="193" xfId="0" applyFont="1" applyBorder="1" applyAlignment="1">
      <alignment horizontal="center" vertical="center"/>
    </xf>
    <xf numFmtId="10" fontId="4" fillId="0" borderId="193" xfId="644" applyNumberFormat="1" applyFont="1" applyFill="1" applyBorder="1" applyAlignment="1">
      <alignment vertical="center"/>
    </xf>
    <xf numFmtId="14" fontId="4" fillId="0" borderId="193" xfId="0" applyNumberFormat="1" applyFont="1" applyBorder="1" applyAlignment="1">
      <alignment horizontal="center" vertical="center"/>
    </xf>
    <xf numFmtId="0" fontId="2" fillId="5" borderId="193" xfId="0" applyFont="1" applyFill="1" applyBorder="1" applyAlignment="1">
      <alignment horizontal="center" vertical="center"/>
    </xf>
    <xf numFmtId="10" fontId="2" fillId="5" borderId="193" xfId="644" applyNumberFormat="1" applyFont="1" applyFill="1" applyBorder="1" applyAlignment="1">
      <alignment vertical="center"/>
    </xf>
    <xf numFmtId="0" fontId="4" fillId="0" borderId="192" xfId="1" applyFont="1" applyBorder="1" applyAlignment="1">
      <alignment horizontal="center" vertical="center" wrapText="1"/>
    </xf>
    <xf numFmtId="4" fontId="4" fillId="0" borderId="193" xfId="1" applyNumberFormat="1" applyFont="1" applyBorder="1" applyAlignment="1">
      <alignment horizontal="center" vertical="center" wrapText="1"/>
    </xf>
    <xf numFmtId="0" fontId="4" fillId="0" borderId="146" xfId="1" applyFont="1" applyBorder="1" applyAlignment="1">
      <alignment horizontal="center" vertical="center" wrapText="1"/>
    </xf>
    <xf numFmtId="0" fontId="88" fillId="5" borderId="193" xfId="0" applyFont="1" applyFill="1" applyBorder="1" applyAlignment="1">
      <alignment horizontal="center" vertical="center" wrapText="1"/>
    </xf>
    <xf numFmtId="4" fontId="2" fillId="5" borderId="179" xfId="0" applyNumberFormat="1" applyFont="1" applyFill="1" applyBorder="1" applyAlignment="1">
      <alignment vertical="center"/>
    </xf>
    <xf numFmtId="0" fontId="90" fillId="0" borderId="0" xfId="0" applyFont="1" applyAlignment="1" applyProtection="1">
      <alignment horizontal="left" vertical="center" wrapText="1"/>
      <protection locked="0"/>
    </xf>
    <xf numFmtId="0" fontId="3" fillId="0" borderId="33" xfId="639" applyFont="1" applyBorder="1" applyAlignment="1">
      <alignment horizontal="center" vertical="center"/>
    </xf>
    <xf numFmtId="194" fontId="3" fillId="0" borderId="191" xfId="0" applyNumberFormat="1" applyFont="1" applyBorder="1" applyAlignment="1">
      <alignment horizontal="center" vertical="center" wrapText="1"/>
    </xf>
    <xf numFmtId="165" fontId="4" fillId="44" borderId="196" xfId="641" applyFont="1" applyFill="1" applyBorder="1" applyAlignment="1">
      <alignment horizontal="right" vertical="center"/>
    </xf>
    <xf numFmtId="49" fontId="3" fillId="0" borderId="0" xfId="0" applyNumberFormat="1" applyFont="1" applyAlignment="1">
      <alignment horizontal="left" vertical="center"/>
    </xf>
    <xf numFmtId="0" fontId="0" fillId="0" borderId="0" xfId="0" applyAlignment="1">
      <alignment horizontal="center" vertical="center"/>
    </xf>
    <xf numFmtId="10" fontId="12" fillId="0" borderId="6" xfId="36" applyNumberFormat="1" applyFont="1" applyFill="1" applyBorder="1" applyAlignment="1">
      <alignment horizontal="center" vertical="center" wrapText="1"/>
    </xf>
    <xf numFmtId="10" fontId="12" fillId="0" borderId="10" xfId="644" applyNumberFormat="1" applyFont="1" applyFill="1" applyBorder="1" applyAlignment="1">
      <alignment horizontal="center" vertical="center" wrapText="1"/>
    </xf>
    <xf numFmtId="0" fontId="15" fillId="3" borderId="14" xfId="1" applyFont="1" applyFill="1" applyBorder="1" applyAlignment="1">
      <alignment horizontal="center" vertical="center"/>
    </xf>
    <xf numFmtId="0" fontId="11" fillId="3" borderId="16" xfId="639" applyFont="1" applyFill="1" applyBorder="1" applyAlignment="1">
      <alignment vertical="center" wrapText="1"/>
    </xf>
    <xf numFmtId="0" fontId="11" fillId="3" borderId="16" xfId="639" applyFont="1" applyFill="1" applyBorder="1" applyAlignment="1">
      <alignment horizontal="center" vertical="center"/>
    </xf>
    <xf numFmtId="4" fontId="11" fillId="3" borderId="16" xfId="639" applyNumberFormat="1" applyFont="1" applyFill="1" applyBorder="1" applyAlignment="1">
      <alignment vertical="center"/>
    </xf>
    <xf numFmtId="0" fontId="12" fillId="0" borderId="5" xfId="0" applyFont="1" applyBorder="1" applyAlignment="1">
      <alignment horizontal="center" vertical="center"/>
    </xf>
    <xf numFmtId="10" fontId="12" fillId="0" borderId="6" xfId="644" applyNumberFormat="1" applyFont="1" applyFill="1" applyBorder="1" applyAlignment="1">
      <alignment horizontal="center" vertical="center" wrapText="1"/>
    </xf>
    <xf numFmtId="0" fontId="12" fillId="0" borderId="5" xfId="1" applyFont="1" applyBorder="1" applyAlignment="1">
      <alignment horizontal="center" vertical="center"/>
    </xf>
    <xf numFmtId="10" fontId="12" fillId="0" borderId="6" xfId="1" applyNumberFormat="1" applyFont="1" applyBorder="1" applyAlignment="1">
      <alignment horizontal="center" vertical="center"/>
    </xf>
    <xf numFmtId="4" fontId="4" fillId="0" borderId="193" xfId="0" applyNumberFormat="1" applyFont="1" applyBorder="1" applyAlignment="1">
      <alignment vertical="center" wrapText="1"/>
    </xf>
    <xf numFmtId="4" fontId="4" fillId="0" borderId="193" xfId="0" applyNumberFormat="1" applyFont="1" applyBorder="1" applyAlignment="1">
      <alignment horizontal="center" vertical="center"/>
    </xf>
    <xf numFmtId="0" fontId="4" fillId="0" borderId="143" xfId="0" applyFont="1" applyBorder="1" applyAlignment="1">
      <alignment horizontal="center" vertical="center" wrapText="1"/>
    </xf>
    <xf numFmtId="2" fontId="2" fillId="0" borderId="193" xfId="0" applyNumberFormat="1" applyFont="1" applyBorder="1" applyAlignment="1">
      <alignment horizontal="right" vertical="center"/>
    </xf>
    <xf numFmtId="4" fontId="2" fillId="0" borderId="194" xfId="0" applyNumberFormat="1" applyFont="1" applyBorder="1" applyAlignment="1">
      <alignment horizontal="right" vertical="center"/>
    </xf>
    <xf numFmtId="167" fontId="4" fillId="0" borderId="193" xfId="639" applyNumberFormat="1" applyFont="1" applyBorder="1" applyAlignment="1">
      <alignment horizontal="right" vertical="center"/>
    </xf>
    <xf numFmtId="168" fontId="4" fillId="0" borderId="196" xfId="639" applyNumberFormat="1" applyFont="1" applyBorder="1" applyAlignment="1">
      <alignment horizontal="right" vertical="center"/>
    </xf>
    <xf numFmtId="168" fontId="4" fillId="0" borderId="193" xfId="639" applyNumberFormat="1" applyFont="1" applyBorder="1" applyAlignment="1">
      <alignment horizontal="right" vertical="center"/>
    </xf>
    <xf numFmtId="4" fontId="4" fillId="0" borderId="194" xfId="0" applyNumberFormat="1" applyFont="1" applyBorder="1" applyAlignment="1">
      <alignment vertical="center"/>
    </xf>
    <xf numFmtId="4" fontId="89" fillId="5" borderId="0" xfId="2091" applyNumberFormat="1" applyFont="1" applyFill="1" applyBorder="1" applyAlignment="1">
      <alignment horizontal="left" vertical="center"/>
    </xf>
    <xf numFmtId="2" fontId="4" fillId="0" borderId="0" xfId="1" applyNumberFormat="1" applyFont="1" applyAlignment="1">
      <alignment vertical="center"/>
    </xf>
    <xf numFmtId="0" fontId="7" fillId="0" borderId="8" xfId="431" applyBorder="1" applyAlignment="1">
      <alignment horizontal="center" vertical="center" wrapText="1"/>
    </xf>
    <xf numFmtId="0" fontId="133" fillId="5" borderId="14" xfId="810" applyFont="1" applyFill="1" applyBorder="1" applyAlignment="1">
      <alignment horizontal="center" vertical="center"/>
    </xf>
    <xf numFmtId="0" fontId="133" fillId="5" borderId="16" xfId="810" applyFont="1" applyFill="1" applyBorder="1" applyAlignment="1">
      <alignment horizontal="center" vertical="center"/>
    </xf>
    <xf numFmtId="0" fontId="133" fillId="5" borderId="18" xfId="810" applyFont="1" applyFill="1" applyBorder="1" applyAlignment="1">
      <alignment horizontal="center" vertical="center"/>
    </xf>
    <xf numFmtId="0" fontId="133" fillId="5" borderId="0" xfId="810" applyFont="1" applyFill="1" applyAlignment="1">
      <alignment horizontal="center" vertical="center"/>
    </xf>
    <xf numFmtId="0" fontId="16" fillId="0" borderId="14" xfId="1" applyFont="1" applyBorder="1" applyAlignment="1">
      <alignment horizontal="center" vertical="center" wrapText="1"/>
    </xf>
    <xf numFmtId="0" fontId="7" fillId="0" borderId="8" xfId="1" applyFont="1" applyBorder="1" applyAlignment="1">
      <alignment horizontal="center" vertical="center" wrapText="1"/>
    </xf>
    <xf numFmtId="0" fontId="18" fillId="0" borderId="27" xfId="1" applyFont="1" applyBorder="1" applyAlignment="1">
      <alignment horizontal="right" vertical="center"/>
    </xf>
    <xf numFmtId="0" fontId="16" fillId="0" borderId="5" xfId="1" applyFont="1" applyBorder="1" applyAlignment="1">
      <alignment horizontal="center" vertical="center" wrapText="1"/>
    </xf>
    <xf numFmtId="0" fontId="5" fillId="0" borderId="5" xfId="1" applyBorder="1" applyAlignment="1">
      <alignment horizontal="center" vertical="center" wrapText="1"/>
    </xf>
    <xf numFmtId="0" fontId="5" fillId="0" borderId="8" xfId="1" applyBorder="1" applyAlignment="1">
      <alignment horizontal="center" vertical="center" wrapText="1"/>
    </xf>
    <xf numFmtId="0" fontId="11" fillId="3" borderId="16" xfId="23" applyFont="1" applyFill="1" applyBorder="1" applyAlignment="1">
      <alignment vertical="center" wrapText="1"/>
    </xf>
    <xf numFmtId="0" fontId="16" fillId="0" borderId="17" xfId="23" applyFont="1" applyBorder="1" applyAlignment="1">
      <alignment horizontal="center" vertical="center" wrapText="1"/>
    </xf>
    <xf numFmtId="0" fontId="7" fillId="0" borderId="60" xfId="0" applyFont="1" applyBorder="1" applyAlignment="1">
      <alignment horizontal="center" vertical="center" wrapText="1"/>
    </xf>
    <xf numFmtId="0" fontId="5" fillId="0" borderId="60" xfId="0" applyFont="1" applyBorder="1" applyAlignment="1">
      <alignment horizontal="center" vertical="center" wrapText="1"/>
    </xf>
    <xf numFmtId="0" fontId="16" fillId="0" borderId="17" xfId="639" applyFont="1" applyBorder="1" applyAlignment="1">
      <alignment horizontal="center" vertical="center" wrapText="1"/>
    </xf>
    <xf numFmtId="0" fontId="0" fillId="3" borderId="16" xfId="639" applyFont="1" applyFill="1" applyBorder="1" applyAlignment="1">
      <alignment vertical="center" wrapText="1"/>
    </xf>
    <xf numFmtId="0" fontId="133" fillId="5" borderId="8" xfId="810" applyFont="1" applyFill="1" applyBorder="1" applyAlignment="1">
      <alignment horizontal="center" vertical="center"/>
    </xf>
    <xf numFmtId="0" fontId="133" fillId="5" borderId="9" xfId="810" applyFont="1" applyFill="1" applyBorder="1" applyAlignment="1">
      <alignment horizontal="center" vertical="center"/>
    </xf>
    <xf numFmtId="0" fontId="12" fillId="0" borderId="7" xfId="1" applyFont="1" applyBorder="1" applyAlignment="1">
      <alignment horizontal="center" vertical="center"/>
    </xf>
    <xf numFmtId="0" fontId="141" fillId="74" borderId="74" xfId="1632" applyFont="1" applyFill="1" applyBorder="1" applyAlignment="1">
      <alignment vertical="center"/>
    </xf>
    <xf numFmtId="10" fontId="141" fillId="74" borderId="15" xfId="1632" applyNumberFormat="1" applyFont="1" applyFill="1" applyBorder="1" applyAlignment="1">
      <alignment vertical="center"/>
    </xf>
    <xf numFmtId="0" fontId="3" fillId="0" borderId="31" xfId="1" applyFont="1" applyBorder="1" applyAlignment="1">
      <alignment vertical="center" wrapText="1"/>
    </xf>
    <xf numFmtId="0" fontId="3" fillId="0" borderId="33" xfId="1" applyFont="1" applyBorder="1" applyAlignment="1">
      <alignment horizontal="left" vertical="center" wrapText="1"/>
    </xf>
    <xf numFmtId="14" fontId="4" fillId="0" borderId="32" xfId="1" applyNumberFormat="1" applyFont="1" applyBorder="1" applyAlignment="1">
      <alignment horizontal="right" vertical="center"/>
    </xf>
    <xf numFmtId="0" fontId="3" fillId="0" borderId="196" xfId="1" applyFont="1" applyBorder="1" applyAlignment="1">
      <alignment horizontal="left" vertical="center"/>
    </xf>
    <xf numFmtId="10" fontId="4" fillId="0" borderId="197" xfId="644" applyNumberFormat="1" applyFont="1" applyFill="1" applyBorder="1" applyAlignment="1">
      <alignment horizontal="right" vertical="center" wrapText="1"/>
    </xf>
    <xf numFmtId="0" fontId="143" fillId="0" borderId="181" xfId="0" applyFont="1" applyBorder="1" applyAlignment="1">
      <alignment horizontal="center"/>
    </xf>
    <xf numFmtId="0" fontId="0" fillId="0" borderId="192" xfId="0" applyBorder="1" applyAlignment="1">
      <alignment horizontal="center"/>
    </xf>
    <xf numFmtId="0" fontId="0" fillId="0" borderId="193" xfId="0" applyBorder="1" applyAlignment="1">
      <alignment horizontal="center"/>
    </xf>
    <xf numFmtId="2" fontId="0" fillId="0" borderId="193" xfId="0" applyNumberFormat="1" applyBorder="1" applyAlignment="1">
      <alignment horizontal="center"/>
    </xf>
    <xf numFmtId="2" fontId="143" fillId="74" borderId="193" xfId="0" applyNumberFormat="1" applyFont="1" applyFill="1" applyBorder="1" applyAlignment="1">
      <alignment horizontal="center"/>
    </xf>
    <xf numFmtId="2" fontId="143" fillId="74" borderId="193" xfId="0" applyNumberFormat="1" applyFont="1" applyFill="1" applyBorder="1"/>
    <xf numFmtId="2" fontId="143" fillId="0" borderId="193" xfId="0" applyNumberFormat="1" applyFont="1" applyBorder="1"/>
    <xf numFmtId="2" fontId="93" fillId="76" borderId="193" xfId="639" applyNumberFormat="1" applyFont="1" applyFill="1" applyBorder="1" applyAlignment="1">
      <alignment vertical="center"/>
    </xf>
    <xf numFmtId="4" fontId="0" fillId="0" borderId="0" xfId="0" applyNumberFormat="1"/>
    <xf numFmtId="2" fontId="0" fillId="0" borderId="0" xfId="0" applyNumberFormat="1" applyAlignment="1">
      <alignment horizontal="right"/>
    </xf>
    <xf numFmtId="2" fontId="0" fillId="10" borderId="0" xfId="0" applyNumberFormat="1" applyFill="1" applyAlignment="1">
      <alignment horizontal="right"/>
    </xf>
    <xf numFmtId="10" fontId="4" fillId="0" borderId="193" xfId="644" applyNumberFormat="1" applyFont="1" applyFill="1" applyBorder="1" applyAlignment="1">
      <alignment horizontal="center" vertical="center"/>
    </xf>
    <xf numFmtId="4" fontId="4" fillId="2" borderId="16" xfId="639" applyNumberFormat="1" applyFont="1" applyFill="1" applyBorder="1" applyAlignment="1">
      <alignment horizontal="center" vertical="center" wrapText="1"/>
    </xf>
    <xf numFmtId="4" fontId="3" fillId="9" borderId="16" xfId="639" applyNumberFormat="1" applyFont="1" applyFill="1" applyBorder="1" applyAlignment="1">
      <alignment vertical="center" wrapText="1"/>
    </xf>
    <xf numFmtId="4" fontId="4" fillId="9" borderId="16" xfId="639" applyNumberFormat="1" applyFont="1" applyFill="1" applyBorder="1" applyAlignment="1">
      <alignment horizontal="center" vertical="center"/>
    </xf>
    <xf numFmtId="4" fontId="4" fillId="9" borderId="16" xfId="2094" applyNumberFormat="1" applyFont="1" applyFill="1" applyBorder="1" applyAlignment="1">
      <alignment vertical="center"/>
    </xf>
    <xf numFmtId="4" fontId="4" fillId="9" borderId="16" xfId="639" applyNumberFormat="1" applyFont="1" applyFill="1" applyBorder="1" applyAlignment="1">
      <alignment vertical="center"/>
    </xf>
    <xf numFmtId="4" fontId="3" fillId="9" borderId="15" xfId="2094" applyNumberFormat="1" applyFont="1" applyFill="1" applyBorder="1" applyAlignment="1">
      <alignment vertical="center"/>
    </xf>
    <xf numFmtId="0" fontId="4" fillId="0" borderId="0" xfId="639" applyFont="1" applyAlignment="1">
      <alignment horizontal="center" vertical="center"/>
    </xf>
    <xf numFmtId="0" fontId="3" fillId="11" borderId="33" xfId="127" applyFont="1" applyFill="1" applyBorder="1" applyAlignment="1">
      <alignment horizontal="center" vertical="center" wrapText="1"/>
    </xf>
    <xf numFmtId="0" fontId="3" fillId="0" borderId="9" xfId="639" applyFont="1" applyBorder="1" applyAlignment="1">
      <alignment horizontal="right" vertical="center"/>
    </xf>
    <xf numFmtId="0" fontId="5" fillId="0" borderId="0" xfId="0" applyFont="1" applyAlignment="1">
      <alignment horizontal="center" vertical="center"/>
    </xf>
    <xf numFmtId="0" fontId="27" fillId="0" borderId="8" xfId="1" applyFont="1" applyBorder="1" applyAlignment="1">
      <alignment vertical="center"/>
    </xf>
    <xf numFmtId="0" fontId="27" fillId="0" borderId="9" xfId="1" applyFont="1" applyBorder="1" applyAlignment="1">
      <alignment vertical="center"/>
    </xf>
    <xf numFmtId="4" fontId="27" fillId="0" borderId="9" xfId="1" applyNumberFormat="1" applyFont="1" applyBorder="1" applyAlignment="1">
      <alignment vertical="center"/>
    </xf>
    <xf numFmtId="0" fontId="27" fillId="0" borderId="10" xfId="1" applyFont="1" applyBorder="1" applyAlignment="1">
      <alignment vertical="center"/>
    </xf>
    <xf numFmtId="0" fontId="3" fillId="0" borderId="173" xfId="786" applyFont="1" applyBorder="1" applyAlignment="1">
      <alignment horizontal="center"/>
    </xf>
    <xf numFmtId="4" fontId="4" fillId="0" borderId="193" xfId="1" applyNumberFormat="1" applyFont="1" applyBorder="1" applyAlignment="1">
      <alignment horizontal="right" vertical="center" wrapText="1"/>
    </xf>
    <xf numFmtId="0" fontId="11" fillId="3" borderId="14" xfId="639" applyFont="1" applyFill="1" applyBorder="1" applyAlignment="1">
      <alignment horizontal="center" vertical="center"/>
    </xf>
    <xf numFmtId="4" fontId="11" fillId="3" borderId="15" xfId="639" applyNumberFormat="1" applyFont="1" applyFill="1" applyBorder="1" applyAlignment="1">
      <alignment vertical="center"/>
    </xf>
    <xf numFmtId="0" fontId="5" fillId="0" borderId="17" xfId="639" applyBorder="1" applyAlignment="1">
      <alignment vertical="center"/>
    </xf>
    <xf numFmtId="0" fontId="5" fillId="0" borderId="209" xfId="639" applyBorder="1" applyAlignment="1">
      <alignment vertical="center"/>
    </xf>
    <xf numFmtId="0" fontId="81" fillId="0" borderId="1" xfId="0" applyFont="1" applyBorder="1" applyAlignment="1">
      <alignment horizontal="center" vertical="center"/>
    </xf>
    <xf numFmtId="0" fontId="5" fillId="0" borderId="60" xfId="639" applyBorder="1" applyAlignment="1">
      <alignment vertical="center"/>
    </xf>
    <xf numFmtId="0" fontId="118" fillId="0" borderId="0" xfId="0" applyFont="1" applyAlignment="1">
      <alignment horizontal="center" vertical="center"/>
    </xf>
    <xf numFmtId="0" fontId="5" fillId="0" borderId="18" xfId="639" applyBorder="1" applyAlignment="1">
      <alignment vertical="center"/>
    </xf>
    <xf numFmtId="49" fontId="5" fillId="0" borderId="0" xfId="639" applyNumberFormat="1" applyAlignment="1">
      <alignment horizontal="center" vertical="center"/>
    </xf>
    <xf numFmtId="49" fontId="5" fillId="0" borderId="19" xfId="639" applyNumberFormat="1" applyBorder="1" applyAlignment="1">
      <alignment horizontal="center" vertical="center"/>
    </xf>
    <xf numFmtId="0" fontId="4" fillId="0" borderId="146" xfId="639" applyFont="1" applyBorder="1" applyAlignment="1">
      <alignment horizontal="center" vertical="center"/>
    </xf>
    <xf numFmtId="0" fontId="4" fillId="0" borderId="196" xfId="634" applyFont="1" applyBorder="1" applyAlignment="1">
      <alignment horizontal="left" vertical="center" wrapText="1"/>
    </xf>
    <xf numFmtId="0" fontId="4" fillId="0" borderId="196" xfId="639" applyFont="1" applyBorder="1" applyAlignment="1">
      <alignment horizontal="center" vertical="center"/>
    </xf>
    <xf numFmtId="4" fontId="4" fillId="0" borderId="196" xfId="639" applyNumberFormat="1" applyFont="1" applyBorder="1" applyAlignment="1">
      <alignment horizontal="right" vertical="center"/>
    </xf>
    <xf numFmtId="166" fontId="3" fillId="78" borderId="8" xfId="640" applyFont="1" applyFill="1" applyBorder="1" applyAlignment="1">
      <alignment horizontal="right" vertical="center"/>
    </xf>
    <xf numFmtId="165" fontId="3" fillId="78" borderId="10" xfId="641" applyFont="1" applyFill="1" applyBorder="1" applyAlignment="1">
      <alignment horizontal="right" vertical="center"/>
    </xf>
    <xf numFmtId="0" fontId="4" fillId="0" borderId="18" xfId="639" applyFont="1" applyBorder="1" applyAlignment="1">
      <alignment vertical="center"/>
    </xf>
    <xf numFmtId="0" fontId="4" fillId="0" borderId="19" xfId="639" applyFont="1" applyBorder="1" applyAlignment="1">
      <alignment vertical="center"/>
    </xf>
    <xf numFmtId="0" fontId="145" fillId="0" borderId="0" xfId="639" applyFont="1"/>
    <xf numFmtId="14" fontId="5" fillId="0" borderId="0" xfId="639" applyNumberFormat="1" applyAlignment="1">
      <alignment horizontal="center" vertical="center"/>
    </xf>
    <xf numFmtId="4" fontId="3" fillId="11" borderId="196" xfId="0" applyNumberFormat="1" applyFont="1" applyFill="1" applyBorder="1" applyAlignment="1">
      <alignment horizontal="center" vertical="center" wrapText="1"/>
    </xf>
    <xf numFmtId="0" fontId="5" fillId="0" borderId="18" xfId="639" applyBorder="1" applyAlignment="1">
      <alignment horizontal="center" vertical="center"/>
    </xf>
    <xf numFmtId="10" fontId="18" fillId="0" borderId="0" xfId="644" applyNumberFormat="1" applyFont="1" applyBorder="1" applyAlignment="1">
      <alignment vertical="center"/>
    </xf>
    <xf numFmtId="4" fontId="5" fillId="0" borderId="19" xfId="639" applyNumberFormat="1" applyBorder="1" applyAlignment="1">
      <alignment vertical="center"/>
    </xf>
    <xf numFmtId="0" fontId="4" fillId="0" borderId="146" xfId="1798" applyFont="1" applyBorder="1" applyAlignment="1">
      <alignment horizontal="center" vertical="center"/>
    </xf>
    <xf numFmtId="166" fontId="4" fillId="0" borderId="0" xfId="640" applyFont="1" applyFill="1" applyBorder="1" applyAlignment="1">
      <alignment horizontal="center" vertical="center"/>
    </xf>
    <xf numFmtId="167" fontId="4" fillId="0" borderId="0" xfId="639" applyNumberFormat="1" applyFont="1" applyAlignment="1">
      <alignment horizontal="right" vertical="center"/>
    </xf>
    <xf numFmtId="49" fontId="4" fillId="0" borderId="18" xfId="0" applyNumberFormat="1" applyFont="1" applyBorder="1" applyAlignment="1">
      <alignment vertical="center"/>
    </xf>
    <xf numFmtId="49" fontId="4" fillId="0" borderId="0" xfId="0" applyNumberFormat="1" applyFont="1" applyAlignment="1">
      <alignment vertical="center"/>
    </xf>
    <xf numFmtId="165" fontId="3" fillId="0" borderId="19" xfId="637" applyFont="1" applyFill="1" applyBorder="1" applyAlignment="1">
      <alignment horizontal="right" vertical="center"/>
    </xf>
    <xf numFmtId="2" fontId="4" fillId="0" borderId="193" xfId="639" applyNumberFormat="1" applyFont="1" applyBorder="1" applyAlignment="1">
      <alignment horizontal="center" vertical="center"/>
    </xf>
    <xf numFmtId="0" fontId="4" fillId="0" borderId="193" xfId="639" applyFont="1" applyBorder="1" applyAlignment="1">
      <alignment horizontal="center" vertical="center"/>
    </xf>
    <xf numFmtId="10" fontId="3" fillId="11" borderId="196" xfId="644" applyNumberFormat="1" applyFont="1" applyFill="1" applyBorder="1" applyAlignment="1">
      <alignment horizontal="center" vertical="center"/>
    </xf>
    <xf numFmtId="4" fontId="4" fillId="11" borderId="197" xfId="0" applyNumberFormat="1" applyFont="1" applyFill="1" applyBorder="1" applyAlignment="1">
      <alignment horizontal="center" vertical="center"/>
    </xf>
    <xf numFmtId="4" fontId="4" fillId="0" borderId="193" xfId="639" applyNumberFormat="1" applyFont="1" applyBorder="1" applyAlignment="1">
      <alignment horizontal="right" vertical="center"/>
    </xf>
    <xf numFmtId="0" fontId="4" fillId="0" borderId="199" xfId="2169" applyNumberFormat="1" applyFont="1" applyFill="1" applyBorder="1" applyAlignment="1">
      <alignment horizontal="center" vertical="center" wrapText="1"/>
    </xf>
    <xf numFmtId="166" fontId="4" fillId="0" borderId="194" xfId="640" applyFont="1" applyFill="1" applyBorder="1" applyAlignment="1">
      <alignment horizontal="left" vertical="center"/>
    </xf>
    <xf numFmtId="2" fontId="4" fillId="0" borderId="147" xfId="639" applyNumberFormat="1" applyFont="1" applyBorder="1" applyAlignment="1">
      <alignment horizontal="right" vertical="center"/>
    </xf>
    <xf numFmtId="166" fontId="4" fillId="0" borderId="148" xfId="640" applyFont="1" applyFill="1" applyBorder="1" applyAlignment="1">
      <alignment horizontal="left" vertical="center"/>
    </xf>
    <xf numFmtId="14" fontId="4" fillId="11" borderId="146" xfId="0" applyNumberFormat="1" applyFont="1" applyFill="1" applyBorder="1" applyAlignment="1">
      <alignment horizontal="center" vertical="center"/>
    </xf>
    <xf numFmtId="4" fontId="3" fillId="11" borderId="147" xfId="0" applyNumberFormat="1" applyFont="1" applyFill="1" applyBorder="1" applyAlignment="1">
      <alignment horizontal="center" vertical="center" wrapText="1"/>
    </xf>
    <xf numFmtId="0" fontId="0" fillId="7" borderId="0" xfId="0" applyFill="1"/>
    <xf numFmtId="4" fontId="4" fillId="0" borderId="147" xfId="1" applyNumberFormat="1" applyFont="1" applyBorder="1" applyAlignment="1">
      <alignment horizontal="right" vertical="center" wrapText="1"/>
    </xf>
    <xf numFmtId="167" fontId="4" fillId="0" borderId="193" xfId="1" applyNumberFormat="1" applyFont="1" applyBorder="1" applyAlignment="1">
      <alignment horizontal="right" vertical="center" wrapText="1"/>
    </xf>
    <xf numFmtId="166" fontId="4" fillId="0" borderId="78" xfId="640" applyFont="1" applyFill="1" applyBorder="1" applyAlignment="1">
      <alignment horizontal="left" vertical="center"/>
    </xf>
    <xf numFmtId="0" fontId="4" fillId="7" borderId="0" xfId="639" applyFont="1" applyFill="1" applyAlignment="1">
      <alignment vertical="center"/>
    </xf>
    <xf numFmtId="0" fontId="4" fillId="0" borderId="192" xfId="0" applyFont="1" applyBorder="1" applyAlignment="1">
      <alignment horizontal="center" vertical="center"/>
    </xf>
    <xf numFmtId="166" fontId="4" fillId="0" borderId="194" xfId="640" applyFont="1" applyFill="1" applyBorder="1" applyAlignment="1">
      <alignment horizontal="right" vertical="center"/>
    </xf>
    <xf numFmtId="0" fontId="4" fillId="0" borderId="146" xfId="0" applyFont="1" applyBorder="1" applyAlignment="1">
      <alignment horizontal="center" vertical="center"/>
    </xf>
    <xf numFmtId="168" fontId="4" fillId="0" borderId="193" xfId="0" applyNumberFormat="1" applyFont="1" applyBorder="1" applyAlignment="1">
      <alignment horizontal="right" vertical="center"/>
    </xf>
    <xf numFmtId="0" fontId="12" fillId="0" borderId="7" xfId="1" applyFont="1" applyBorder="1" applyAlignment="1">
      <alignment horizontal="center" vertical="center" wrapText="1"/>
    </xf>
    <xf numFmtId="0" fontId="12" fillId="0" borderId="9" xfId="1" applyFont="1" applyBorder="1" applyAlignment="1">
      <alignment horizontal="center" vertical="center" wrapText="1"/>
    </xf>
    <xf numFmtId="0" fontId="4" fillId="0" borderId="20" xfId="1" applyFont="1" applyBorder="1" applyAlignment="1">
      <alignment vertical="center" wrapText="1"/>
    </xf>
    <xf numFmtId="0" fontId="4" fillId="0" borderId="20" xfId="1" applyFont="1" applyBorder="1" applyAlignment="1">
      <alignment horizontal="center" vertical="center" wrapText="1"/>
    </xf>
    <xf numFmtId="49" fontId="35" fillId="0" borderId="18" xfId="33" quotePrefix="1" applyNumberFormat="1" applyFont="1" applyBorder="1" applyAlignment="1">
      <alignment horizontal="center" vertical="center" wrapText="1"/>
    </xf>
    <xf numFmtId="49" fontId="35" fillId="0" borderId="0" xfId="33" quotePrefix="1" applyNumberFormat="1" applyFont="1" applyAlignment="1">
      <alignment horizontal="center" vertical="center" wrapText="1"/>
    </xf>
    <xf numFmtId="49" fontId="35" fillId="0" borderId="19" xfId="33" quotePrefix="1" applyNumberFormat="1" applyFont="1" applyBorder="1" applyAlignment="1">
      <alignment horizontal="center" vertical="center" wrapText="1"/>
    </xf>
    <xf numFmtId="4" fontId="4" fillId="7" borderId="1" xfId="1" applyNumberFormat="1" applyFont="1" applyFill="1" applyBorder="1"/>
    <xf numFmtId="0" fontId="4" fillId="0" borderId="210" xfId="2169" applyNumberFormat="1" applyFont="1" applyFill="1" applyBorder="1" applyAlignment="1">
      <alignment horizontal="center" vertical="center" wrapText="1"/>
    </xf>
    <xf numFmtId="166" fontId="4" fillId="0" borderId="197" xfId="640" applyFont="1" applyFill="1" applyBorder="1" applyAlignment="1">
      <alignment horizontal="left" vertical="center"/>
    </xf>
    <xf numFmtId="0" fontId="3" fillId="7" borderId="1" xfId="1" applyFont="1" applyFill="1" applyBorder="1" applyAlignment="1">
      <alignment vertical="center"/>
    </xf>
    <xf numFmtId="0" fontId="4" fillId="0" borderId="77" xfId="0" applyFont="1" applyBorder="1" applyAlignment="1">
      <alignment horizontal="center" vertical="center"/>
    </xf>
    <xf numFmtId="0" fontId="4" fillId="0" borderId="195" xfId="1" applyFont="1" applyBorder="1" applyAlignment="1">
      <alignment horizontal="center" vertical="center" wrapText="1"/>
    </xf>
    <xf numFmtId="0" fontId="4" fillId="0" borderId="195" xfId="0" applyFont="1" applyBorder="1" applyAlignment="1">
      <alignment horizontal="center" vertical="center"/>
    </xf>
    <xf numFmtId="4" fontId="4" fillId="5" borderId="193" xfId="23" applyNumberFormat="1" applyFont="1" applyFill="1" applyBorder="1" applyAlignment="1">
      <alignment horizontal="center" vertical="center" wrapText="1"/>
    </xf>
    <xf numFmtId="0" fontId="0" fillId="7" borderId="0" xfId="0" applyFill="1" applyAlignment="1">
      <alignment vertical="center"/>
    </xf>
    <xf numFmtId="0" fontId="4" fillId="0" borderId="73" xfId="1" applyFont="1" applyBorder="1" applyAlignment="1">
      <alignment horizontal="center" vertical="center" wrapText="1"/>
    </xf>
    <xf numFmtId="2" fontId="4" fillId="0" borderId="73" xfId="639" applyNumberFormat="1" applyFont="1" applyBorder="1" applyAlignment="1">
      <alignment horizontal="right" vertical="center"/>
    </xf>
    <xf numFmtId="0" fontId="4" fillId="0" borderId="77" xfId="1" applyFont="1" applyBorder="1" applyAlignment="1">
      <alignment horizontal="center" vertical="center" wrapText="1"/>
    </xf>
    <xf numFmtId="1" fontId="4" fillId="7" borderId="1" xfId="639" applyNumberFormat="1" applyFont="1" applyFill="1" applyBorder="1" applyAlignment="1">
      <alignment horizontal="left" vertical="center"/>
    </xf>
    <xf numFmtId="167" fontId="4" fillId="0" borderId="196" xfId="1" applyNumberFormat="1" applyFont="1" applyBorder="1" applyAlignment="1">
      <alignment horizontal="right" vertical="center" wrapText="1"/>
    </xf>
    <xf numFmtId="166" fontId="4" fillId="0" borderId="197" xfId="640" applyFont="1" applyFill="1" applyBorder="1" applyAlignment="1">
      <alignment horizontal="right" vertical="center"/>
    </xf>
    <xf numFmtId="165" fontId="3" fillId="12" borderId="7" xfId="641" applyFont="1" applyFill="1" applyBorder="1" applyAlignment="1">
      <alignment horizontal="right" vertical="center"/>
    </xf>
    <xf numFmtId="0" fontId="148" fillId="0" borderId="0" xfId="7352" applyFont="1" applyAlignment="1">
      <alignment vertical="center"/>
    </xf>
    <xf numFmtId="0" fontId="47" fillId="49" borderId="0" xfId="1761" applyFont="1" applyFill="1" applyAlignment="1">
      <alignment vertical="center"/>
    </xf>
    <xf numFmtId="0" fontId="0" fillId="81" borderId="0" xfId="0" applyFill="1"/>
    <xf numFmtId="0" fontId="47" fillId="0" borderId="0" xfId="810" applyFont="1" applyAlignment="1">
      <alignment vertical="center"/>
    </xf>
    <xf numFmtId="0" fontId="49" fillId="0" borderId="0" xfId="12018" applyFont="1"/>
    <xf numFmtId="198" fontId="151" fillId="0" borderId="0" xfId="12018" applyNumberFormat="1" applyFont="1" applyAlignment="1">
      <alignment vertical="center"/>
    </xf>
    <xf numFmtId="3" fontId="150" fillId="0" borderId="0" xfId="12018" applyNumberFormat="1" applyFont="1" applyAlignment="1">
      <alignment vertical="center"/>
    </xf>
    <xf numFmtId="4" fontId="150" fillId="0" borderId="0" xfId="12018" applyNumberFormat="1" applyFont="1" applyAlignment="1">
      <alignment vertical="center"/>
    </xf>
    <xf numFmtId="0" fontId="150" fillId="0" borderId="0" xfId="12018" applyFont="1" applyAlignment="1">
      <alignment vertical="center"/>
    </xf>
    <xf numFmtId="0" fontId="47" fillId="0" borderId="0" xfId="0" applyFont="1" applyAlignment="1">
      <alignment vertical="center"/>
    </xf>
    <xf numFmtId="0" fontId="148" fillId="0" borderId="0" xfId="0" applyFont="1" applyAlignment="1">
      <alignment vertical="center"/>
    </xf>
    <xf numFmtId="0" fontId="152" fillId="0" borderId="31" xfId="0" applyFont="1" applyBorder="1" applyAlignment="1">
      <alignment vertical="center" wrapText="1"/>
    </xf>
    <xf numFmtId="0" fontId="152" fillId="0" borderId="193" xfId="0" applyFont="1" applyBorder="1" applyAlignment="1">
      <alignment horizontal="center" vertical="center" wrapText="1"/>
    </xf>
    <xf numFmtId="0" fontId="152" fillId="0" borderId="194" xfId="0" applyFont="1" applyBorder="1" applyAlignment="1">
      <alignment horizontal="center" vertical="center" wrapText="1"/>
    </xf>
    <xf numFmtId="0" fontId="152" fillId="0" borderId="192" xfId="0" applyFont="1" applyBorder="1" applyAlignment="1">
      <alignment vertical="center" wrapText="1"/>
    </xf>
    <xf numFmtId="0" fontId="152" fillId="0" borderId="195" xfId="0" applyFont="1" applyBorder="1" applyAlignment="1">
      <alignment vertical="center" wrapText="1"/>
    </xf>
    <xf numFmtId="0" fontId="153" fillId="0" borderId="0" xfId="0" applyFont="1" applyAlignment="1">
      <alignment vertical="center"/>
    </xf>
    <xf numFmtId="3" fontId="150" fillId="0" borderId="0" xfId="12018" applyNumberFormat="1" applyFont="1" applyAlignment="1">
      <alignment horizontal="center" vertical="center"/>
    </xf>
    <xf numFmtId="4" fontId="150" fillId="0" borderId="0" xfId="12018" applyNumberFormat="1" applyFont="1" applyAlignment="1">
      <alignment horizontal="center" vertical="center"/>
    </xf>
    <xf numFmtId="3" fontId="154" fillId="0" borderId="0" xfId="12018" applyNumberFormat="1" applyFont="1" applyAlignment="1">
      <alignment horizontal="right" vertical="center"/>
    </xf>
    <xf numFmtId="198" fontId="150" fillId="0" borderId="0" xfId="12018" applyNumberFormat="1" applyFont="1" applyAlignment="1">
      <alignment vertical="center"/>
    </xf>
    <xf numFmtId="0" fontId="148" fillId="0" borderId="0" xfId="0" applyFont="1"/>
    <xf numFmtId="0" fontId="155" fillId="4" borderId="193" xfId="0" applyFont="1" applyFill="1" applyBorder="1" applyAlignment="1">
      <alignment horizontal="center" vertical="center"/>
    </xf>
    <xf numFmtId="0" fontId="155" fillId="4" borderId="193" xfId="0" applyFont="1" applyFill="1" applyBorder="1" applyAlignment="1">
      <alignment horizontal="center" vertical="center" wrapText="1"/>
    </xf>
    <xf numFmtId="0" fontId="155" fillId="0" borderId="193" xfId="0" applyFont="1" applyBorder="1" applyAlignment="1">
      <alignment horizontal="center" vertical="center"/>
    </xf>
    <xf numFmtId="167" fontId="155" fillId="0" borderId="193" xfId="0" applyNumberFormat="1" applyFont="1" applyBorder="1" applyAlignment="1">
      <alignment horizontal="center" vertical="center"/>
    </xf>
    <xf numFmtId="3" fontId="150" fillId="0" borderId="0" xfId="12018" applyNumberFormat="1" applyFont="1" applyAlignment="1">
      <alignment horizontal="right" vertical="center"/>
    </xf>
    <xf numFmtId="0" fontId="157" fillId="0" borderId="0" xfId="0" applyFont="1"/>
    <xf numFmtId="0" fontId="156" fillId="0" borderId="0" xfId="0" applyFont="1" applyAlignment="1">
      <alignment horizontal="left" vertical="center"/>
    </xf>
    <xf numFmtId="0" fontId="158" fillId="80" borderId="1" xfId="0" applyFont="1" applyFill="1" applyBorder="1" applyAlignment="1">
      <alignment horizontal="center" vertical="center"/>
    </xf>
    <xf numFmtId="0" fontId="156" fillId="0" borderId="193" xfId="0" applyFont="1" applyBorder="1" applyAlignment="1">
      <alignment horizontal="center" vertical="center"/>
    </xf>
    <xf numFmtId="0" fontId="158" fillId="80" borderId="1" xfId="0" applyFont="1" applyFill="1" applyBorder="1" applyAlignment="1">
      <alignment horizontal="center" vertical="center" wrapText="1"/>
    </xf>
    <xf numFmtId="0" fontId="158" fillId="80" borderId="5" xfId="0" applyFont="1" applyFill="1" applyBorder="1" applyAlignment="1">
      <alignment horizontal="center" vertical="center" wrapText="1"/>
    </xf>
    <xf numFmtId="0" fontId="160" fillId="0" borderId="0" xfId="0" applyFont="1"/>
    <xf numFmtId="0" fontId="160" fillId="0" borderId="193" xfId="0" applyFont="1" applyBorder="1" applyAlignment="1">
      <alignment horizontal="center" vertical="center"/>
    </xf>
    <xf numFmtId="0" fontId="160" fillId="81" borderId="27" xfId="0" applyFont="1" applyFill="1" applyBorder="1" applyAlignment="1">
      <alignment horizontal="center" vertical="center"/>
    </xf>
    <xf numFmtId="3" fontId="160" fillId="81" borderId="27" xfId="0" applyNumberFormat="1" applyFont="1" applyFill="1" applyBorder="1" applyAlignment="1">
      <alignment horizontal="center" vertical="center"/>
    </xf>
    <xf numFmtId="0" fontId="160" fillId="81" borderId="193" xfId="0" applyFont="1" applyFill="1" applyBorder="1" applyAlignment="1">
      <alignment horizontal="center" vertical="center"/>
    </xf>
    <xf numFmtId="4" fontId="150" fillId="0" borderId="0" xfId="12018" applyNumberFormat="1" applyFont="1" applyAlignment="1">
      <alignment horizontal="right" vertical="center"/>
    </xf>
    <xf numFmtId="4" fontId="151" fillId="0" borderId="0" xfId="12018" applyNumberFormat="1" applyFont="1" applyAlignment="1">
      <alignment horizontal="center" vertical="center"/>
    </xf>
    <xf numFmtId="0" fontId="150" fillId="0" borderId="0" xfId="12018" applyFont="1" applyAlignment="1">
      <alignment horizontal="right" vertical="center"/>
    </xf>
    <xf numFmtId="0" fontId="49" fillId="0" borderId="0" xfId="12018" applyFont="1" applyAlignment="1">
      <alignment vertical="center"/>
    </xf>
    <xf numFmtId="4" fontId="145" fillId="5" borderId="0" xfId="1" applyNumberFormat="1" applyFont="1" applyFill="1" applyAlignment="1">
      <alignment vertical="center"/>
    </xf>
    <xf numFmtId="0" fontId="4" fillId="4" borderId="0" xfId="1" applyFont="1" applyFill="1" applyAlignment="1">
      <alignment vertical="center"/>
    </xf>
    <xf numFmtId="0" fontId="89" fillId="4" borderId="0" xfId="1" applyFont="1" applyFill="1" applyAlignment="1">
      <alignment horizontal="right" vertical="center" wrapText="1"/>
    </xf>
    <xf numFmtId="0" fontId="4" fillId="4" borderId="79" xfId="1" applyFont="1" applyFill="1" applyBorder="1" applyAlignment="1">
      <alignment horizontal="center" wrapText="1"/>
    </xf>
    <xf numFmtId="0" fontId="4" fillId="4" borderId="36" xfId="1" applyFont="1" applyFill="1" applyBorder="1" applyAlignment="1">
      <alignment horizontal="center" wrapText="1"/>
    </xf>
    <xf numFmtId="0" fontId="4" fillId="4" borderId="36" xfId="1" applyFont="1" applyFill="1" applyBorder="1" applyAlignment="1">
      <alignment wrapText="1"/>
    </xf>
    <xf numFmtId="4" fontId="4" fillId="4" borderId="36" xfId="1" applyNumberFormat="1" applyFont="1" applyFill="1" applyBorder="1" applyAlignment="1">
      <alignment wrapText="1"/>
    </xf>
    <xf numFmtId="4" fontId="4" fillId="4" borderId="36" xfId="1" applyNumberFormat="1" applyFont="1" applyFill="1" applyBorder="1" applyAlignment="1">
      <alignment horizontal="right" wrapText="1"/>
    </xf>
    <xf numFmtId="4" fontId="4" fillId="4" borderId="37" xfId="45" applyNumberFormat="1" applyFont="1" applyFill="1" applyBorder="1" applyAlignment="1"/>
    <xf numFmtId="4" fontId="89" fillId="4" borderId="0" xfId="45" applyNumberFormat="1" applyFont="1" applyFill="1" applyBorder="1" applyAlignment="1">
      <alignment horizontal="left" vertical="center"/>
    </xf>
    <xf numFmtId="0" fontId="3" fillId="4" borderId="0" xfId="1" applyFont="1" applyFill="1" applyAlignment="1">
      <alignment vertical="center"/>
    </xf>
    <xf numFmtId="2" fontId="4" fillId="4" borderId="0" xfId="1" applyNumberFormat="1" applyFont="1" applyFill="1" applyAlignment="1">
      <alignment vertical="center"/>
    </xf>
    <xf numFmtId="184" fontId="35" fillId="0" borderId="196" xfId="780" applyNumberFormat="1" applyFont="1" applyFill="1" applyBorder="1" applyAlignment="1" applyProtection="1">
      <alignment horizontal="center" vertical="center"/>
    </xf>
    <xf numFmtId="0" fontId="35" fillId="0" borderId="193" xfId="124" applyFont="1" applyBorder="1" applyAlignment="1">
      <alignment horizontal="right" vertical="center" wrapText="1"/>
    </xf>
    <xf numFmtId="167" fontId="35" fillId="0" borderId="196" xfId="124" applyNumberFormat="1" applyFont="1" applyBorder="1" applyAlignment="1">
      <alignment horizontal="right" vertical="center" wrapText="1"/>
    </xf>
    <xf numFmtId="167" fontId="35" fillId="0" borderId="193" xfId="124" applyNumberFormat="1" applyFont="1" applyBorder="1" applyAlignment="1">
      <alignment horizontal="right" vertical="center" wrapText="1"/>
    </xf>
    <xf numFmtId="168" fontId="35" fillId="0" borderId="193" xfId="124" applyNumberFormat="1" applyFont="1" applyBorder="1" applyAlignment="1">
      <alignment horizontal="right" vertical="center" wrapText="1"/>
    </xf>
    <xf numFmtId="168" fontId="35" fillId="0" borderId="73" xfId="124" applyNumberFormat="1" applyFont="1" applyBorder="1" applyAlignment="1">
      <alignment horizontal="right" vertical="center" wrapText="1"/>
    </xf>
    <xf numFmtId="167" fontId="35" fillId="0" borderId="73" xfId="124" applyNumberFormat="1" applyFont="1" applyBorder="1" applyAlignment="1">
      <alignment horizontal="right" vertical="center" wrapText="1"/>
    </xf>
    <xf numFmtId="184" fontId="35" fillId="0" borderId="196" xfId="780" applyNumberFormat="1" applyFont="1" applyFill="1" applyBorder="1" applyAlignment="1" applyProtection="1">
      <alignment horizontal="right" vertical="center"/>
    </xf>
    <xf numFmtId="0" fontId="3" fillId="0" borderId="1" xfId="1" applyFont="1" applyBorder="1" applyAlignment="1">
      <alignment vertical="center"/>
    </xf>
    <xf numFmtId="0" fontId="4" fillId="5" borderId="193" xfId="23" applyFont="1" applyFill="1" applyBorder="1" applyAlignment="1">
      <alignment horizontal="center" vertical="center" wrapText="1"/>
    </xf>
    <xf numFmtId="1" fontId="4" fillId="5" borderId="193" xfId="23" applyNumberFormat="1" applyFont="1" applyFill="1" applyBorder="1" applyAlignment="1">
      <alignment vertical="center" wrapText="1"/>
    </xf>
    <xf numFmtId="4" fontId="4" fillId="5" borderId="193" xfId="23" applyNumberFormat="1" applyFont="1" applyFill="1" applyBorder="1" applyAlignment="1">
      <alignment horizontal="right" vertical="center" wrapText="1"/>
    </xf>
    <xf numFmtId="0" fontId="4" fillId="5" borderId="14" xfId="23" applyFont="1" applyFill="1" applyBorder="1" applyAlignment="1">
      <alignment horizontal="center" vertical="center" wrapText="1"/>
    </xf>
    <xf numFmtId="0" fontId="7" fillId="0" borderId="0" xfId="23" applyAlignment="1">
      <alignment horizontal="center" wrapText="1"/>
    </xf>
    <xf numFmtId="4" fontId="11" fillId="3" borderId="0" xfId="431" applyNumberFormat="1" applyFont="1" applyFill="1" applyAlignment="1">
      <alignment horizontal="center" vertical="center" wrapText="1"/>
    </xf>
    <xf numFmtId="4" fontId="11" fillId="3" borderId="19" xfId="431" applyNumberFormat="1" applyFont="1" applyFill="1" applyBorder="1" applyAlignment="1">
      <alignment horizontal="center" vertical="center" wrapText="1"/>
    </xf>
    <xf numFmtId="0" fontId="27" fillId="0" borderId="0" xfId="431" applyFont="1" applyAlignment="1">
      <alignment horizontal="center" vertical="center" wrapText="1"/>
    </xf>
    <xf numFmtId="4" fontId="4" fillId="0" borderId="0" xfId="23" applyNumberFormat="1" applyFont="1" applyAlignment="1">
      <alignment horizontal="center" wrapText="1"/>
    </xf>
    <xf numFmtId="0" fontId="18" fillId="0" borderId="0" xfId="23" applyFont="1" applyAlignment="1">
      <alignment vertical="center" wrapText="1"/>
    </xf>
    <xf numFmtId="0" fontId="4" fillId="0" borderId="193" xfId="639" applyFont="1" applyBorder="1" applyAlignment="1">
      <alignment horizontal="left" vertical="center" wrapText="1"/>
    </xf>
    <xf numFmtId="10" fontId="25" fillId="0" borderId="1" xfId="36" applyNumberFormat="1" applyFont="1" applyFill="1" applyBorder="1" applyAlignment="1">
      <alignment vertical="center" wrapText="1"/>
    </xf>
    <xf numFmtId="0" fontId="25" fillId="0" borderId="1" xfId="431" applyFont="1" applyBorder="1" applyAlignment="1">
      <alignment horizontal="center" vertical="center" wrapText="1"/>
    </xf>
    <xf numFmtId="2" fontId="4" fillId="0" borderId="193" xfId="0" applyNumberFormat="1" applyFont="1" applyBorder="1" applyAlignment="1">
      <alignment horizontal="right" vertical="center"/>
    </xf>
    <xf numFmtId="2" fontId="4" fillId="0" borderId="196" xfId="0" applyNumberFormat="1" applyFont="1" applyBorder="1" applyAlignment="1">
      <alignment horizontal="right" vertical="center"/>
    </xf>
    <xf numFmtId="165" fontId="3" fillId="12" borderId="211" xfId="641" applyFont="1" applyFill="1" applyBorder="1" applyAlignment="1">
      <alignment horizontal="right" vertical="center"/>
    </xf>
    <xf numFmtId="0" fontId="4" fillId="5" borderId="18" xfId="23" applyFont="1" applyFill="1" applyBorder="1" applyAlignment="1">
      <alignment horizontal="center" vertical="center" wrapText="1"/>
    </xf>
    <xf numFmtId="0" fontId="4" fillId="0" borderId="25" xfId="0" applyFont="1" applyBorder="1" applyAlignment="1">
      <alignment horizontal="center" vertical="center" wrapText="1"/>
    </xf>
    <xf numFmtId="4" fontId="4" fillId="0" borderId="20" xfId="1" applyNumberFormat="1" applyFont="1" applyBorder="1" applyAlignment="1">
      <alignment horizontal="right" vertical="center" wrapText="1"/>
    </xf>
    <xf numFmtId="4" fontId="4" fillId="0" borderId="38" xfId="46" applyNumberFormat="1" applyFont="1" applyFill="1" applyBorder="1" applyAlignment="1">
      <alignment vertical="center"/>
    </xf>
    <xf numFmtId="0" fontId="4" fillId="0" borderId="192" xfId="0" applyFont="1" applyBorder="1" applyAlignment="1">
      <alignment horizontal="center" vertical="center" wrapText="1"/>
    </xf>
    <xf numFmtId="4" fontId="4" fillId="0" borderId="194" xfId="46" applyNumberFormat="1" applyFont="1" applyFill="1" applyBorder="1" applyAlignment="1">
      <alignment vertical="center"/>
    </xf>
    <xf numFmtId="0" fontId="4" fillId="0" borderId="20" xfId="0" applyFont="1" applyBorder="1" applyAlignment="1">
      <alignment horizontal="center" vertical="center" wrapText="1"/>
    </xf>
    <xf numFmtId="4" fontId="4" fillId="0" borderId="20" xfId="0" applyNumberFormat="1" applyFont="1" applyBorder="1" applyAlignment="1">
      <alignment vertical="center" wrapText="1"/>
    </xf>
    <xf numFmtId="0" fontId="146" fillId="0" borderId="0" xfId="0" applyFont="1"/>
    <xf numFmtId="4" fontId="4" fillId="0" borderId="194" xfId="0" applyNumberFormat="1" applyFont="1" applyBorder="1" applyAlignment="1">
      <alignment horizontal="right" vertical="center"/>
    </xf>
    <xf numFmtId="4" fontId="4" fillId="0" borderId="197" xfId="0" applyNumberFormat="1" applyFont="1" applyBorder="1" applyAlignment="1">
      <alignment horizontal="right" vertical="center"/>
    </xf>
    <xf numFmtId="0" fontId="5" fillId="0" borderId="0" xfId="1761" applyAlignment="1">
      <alignment vertical="center"/>
    </xf>
    <xf numFmtId="2" fontId="5" fillId="0" borderId="0" xfId="1761" applyNumberFormat="1" applyAlignment="1">
      <alignment vertical="center"/>
    </xf>
    <xf numFmtId="0" fontId="5" fillId="0" borderId="14" xfId="1761" applyBorder="1" applyAlignment="1">
      <alignment vertical="center"/>
    </xf>
    <xf numFmtId="0" fontId="14" fillId="0" borderId="15" xfId="1761" applyFont="1" applyBorder="1" applyAlignment="1">
      <alignment vertical="center"/>
    </xf>
    <xf numFmtId="0" fontId="5" fillId="0" borderId="18" xfId="1761" applyBorder="1" applyAlignment="1">
      <alignment vertical="center"/>
    </xf>
    <xf numFmtId="0" fontId="5" fillId="0" borderId="19" xfId="1761" applyBorder="1" applyAlignment="1">
      <alignment vertical="center"/>
    </xf>
    <xf numFmtId="0" fontId="36" fillId="0" borderId="19" xfId="1761" applyFont="1" applyBorder="1" applyAlignment="1">
      <alignment vertical="center"/>
    </xf>
    <xf numFmtId="0" fontId="5" fillId="0" borderId="8" xfId="1761" applyBorder="1" applyAlignment="1">
      <alignment vertical="center"/>
    </xf>
    <xf numFmtId="0" fontId="3" fillId="0" borderId="212" xfId="1761" applyFont="1" applyBorder="1" applyAlignment="1">
      <alignment vertical="center"/>
    </xf>
    <xf numFmtId="0" fontId="18" fillId="0" borderId="17" xfId="1761" applyFont="1" applyBorder="1" applyAlignment="1">
      <alignment horizontal="center" vertical="center"/>
    </xf>
    <xf numFmtId="0" fontId="18" fillId="0" borderId="16" xfId="1761" applyFont="1" applyBorder="1" applyAlignment="1">
      <alignment vertical="center"/>
    </xf>
    <xf numFmtId="0" fontId="18" fillId="0" borderId="16" xfId="1761" applyFont="1" applyBorder="1" applyAlignment="1">
      <alignment horizontal="center" vertical="center"/>
    </xf>
    <xf numFmtId="4" fontId="18" fillId="0" borderId="16" xfId="1761" applyNumberFormat="1" applyFont="1" applyBorder="1" applyAlignment="1">
      <alignment vertical="center"/>
    </xf>
    <xf numFmtId="0" fontId="5" fillId="0" borderId="15" xfId="1761" applyBorder="1" applyAlignment="1">
      <alignment vertical="center"/>
    </xf>
    <xf numFmtId="0" fontId="18" fillId="0" borderId="209" xfId="1761" applyFont="1" applyBorder="1" applyAlignment="1">
      <alignment horizontal="left" vertical="center"/>
    </xf>
    <xf numFmtId="0" fontId="18" fillId="0" borderId="18" xfId="1761" applyFont="1" applyBorder="1" applyAlignment="1">
      <alignment horizontal="left" vertical="center"/>
    </xf>
    <xf numFmtId="0" fontId="18" fillId="0" borderId="0" xfId="1761" applyFont="1" applyAlignment="1">
      <alignment vertical="center" wrapText="1"/>
    </xf>
    <xf numFmtId="0" fontId="18" fillId="0" borderId="19" xfId="1761" applyFont="1" applyBorder="1" applyAlignment="1">
      <alignment vertical="center" wrapText="1"/>
    </xf>
    <xf numFmtId="17" fontId="18" fillId="0" borderId="0" xfId="1761" applyNumberFormat="1" applyFont="1" applyAlignment="1">
      <alignment horizontal="left" vertical="center"/>
    </xf>
    <xf numFmtId="0" fontId="18" fillId="0" borderId="0" xfId="1761" applyFont="1" applyAlignment="1">
      <alignment horizontal="left" vertical="center"/>
    </xf>
    <xf numFmtId="0" fontId="18" fillId="0" borderId="0" xfId="1761" applyFont="1" applyAlignment="1">
      <alignment horizontal="center" vertical="center"/>
    </xf>
    <xf numFmtId="0" fontId="18" fillId="0" borderId="0" xfId="1761" applyFont="1" applyAlignment="1">
      <alignment vertical="center"/>
    </xf>
    <xf numFmtId="4" fontId="18" fillId="0" borderId="0" xfId="1761" applyNumberFormat="1" applyFont="1" applyAlignment="1">
      <alignment vertical="center"/>
    </xf>
    <xf numFmtId="14" fontId="18" fillId="0" borderId="0" xfId="1" applyNumberFormat="1" applyFont="1" applyAlignment="1">
      <alignment horizontal="left" vertical="center"/>
    </xf>
    <xf numFmtId="197" fontId="18" fillId="0" borderId="60" xfId="1761" applyNumberFormat="1" applyFont="1" applyBorder="1" applyAlignment="1">
      <alignment horizontal="left" vertical="center"/>
    </xf>
    <xf numFmtId="17" fontId="18" fillId="0" borderId="211" xfId="1761" applyNumberFormat="1" applyFont="1" applyBorder="1" applyAlignment="1">
      <alignment horizontal="left" vertical="center"/>
    </xf>
    <xf numFmtId="0" fontId="18" fillId="0" borderId="211" xfId="1761" applyFont="1" applyBorder="1" applyAlignment="1">
      <alignment horizontal="center" vertical="center"/>
    </xf>
    <xf numFmtId="0" fontId="18" fillId="0" borderId="211" xfId="1761" applyFont="1" applyBorder="1" applyAlignment="1">
      <alignment vertical="center"/>
    </xf>
    <xf numFmtId="4" fontId="18" fillId="0" borderId="211" xfId="1761" applyNumberFormat="1" applyFont="1" applyBorder="1" applyAlignment="1">
      <alignment vertical="center"/>
    </xf>
    <xf numFmtId="0" fontId="5" fillId="0" borderId="212" xfId="1761" applyBorder="1" applyAlignment="1">
      <alignment vertical="center"/>
    </xf>
    <xf numFmtId="0" fontId="47" fillId="0" borderId="0" xfId="1761" applyFont="1" applyAlignment="1">
      <alignment vertical="center"/>
    </xf>
    <xf numFmtId="2" fontId="47" fillId="0" borderId="0" xfId="1761" applyNumberFormat="1" applyFont="1" applyAlignment="1">
      <alignment vertical="center"/>
    </xf>
    <xf numFmtId="0" fontId="5" fillId="0" borderId="0" xfId="1761"/>
    <xf numFmtId="0" fontId="31" fillId="0" borderId="0" xfId="1761" applyFont="1"/>
    <xf numFmtId="2" fontId="47" fillId="83" borderId="0" xfId="1761" applyNumberFormat="1" applyFont="1" applyFill="1" applyAlignment="1">
      <alignment horizontal="center" vertical="center"/>
    </xf>
    <xf numFmtId="2" fontId="149" fillId="0" borderId="0" xfId="1761" applyNumberFormat="1" applyFont="1" applyAlignment="1">
      <alignment vertical="center"/>
    </xf>
    <xf numFmtId="2" fontId="47" fillId="0" borderId="0" xfId="1761" applyNumberFormat="1" applyFont="1" applyAlignment="1">
      <alignment horizontal="right" vertical="center"/>
    </xf>
    <xf numFmtId="2" fontId="47" fillId="0" borderId="0" xfId="1761" applyNumberFormat="1" applyFont="1" applyAlignment="1">
      <alignment horizontal="center" vertical="center"/>
    </xf>
    <xf numFmtId="0" fontId="47" fillId="0" borderId="0" xfId="1761" applyFont="1" applyAlignment="1">
      <alignment horizontal="right" vertical="center"/>
    </xf>
    <xf numFmtId="0" fontId="147" fillId="80" borderId="5" xfId="786" applyFont="1" applyFill="1" applyBorder="1" applyAlignment="1">
      <alignment horizontal="left" vertical="center"/>
    </xf>
    <xf numFmtId="0" fontId="147" fillId="80" borderId="7" xfId="786" applyFont="1" applyFill="1" applyBorder="1" applyAlignment="1">
      <alignment horizontal="left" vertical="center"/>
    </xf>
    <xf numFmtId="0" fontId="147" fillId="80" borderId="6" xfId="786" applyFont="1" applyFill="1" applyBorder="1" applyAlignment="1">
      <alignment horizontal="left" vertical="center"/>
    </xf>
    <xf numFmtId="0" fontId="147" fillId="80" borderId="6" xfId="786" applyFont="1" applyFill="1" applyBorder="1" applyAlignment="1">
      <alignment vertical="center" wrapText="1"/>
    </xf>
    <xf numFmtId="0" fontId="147" fillId="80" borderId="7" xfId="786" applyFont="1" applyFill="1" applyBorder="1" applyAlignment="1">
      <alignment vertical="center"/>
    </xf>
    <xf numFmtId="0" fontId="147" fillId="80" borderId="7" xfId="786" applyFont="1" applyFill="1" applyBorder="1" applyAlignment="1">
      <alignment vertical="center" wrapText="1"/>
    </xf>
    <xf numFmtId="0" fontId="147" fillId="80" borderId="6" xfId="786" applyFont="1" applyFill="1" applyBorder="1" applyAlignment="1">
      <alignment horizontal="center" vertical="center" wrapText="1"/>
    </xf>
    <xf numFmtId="0" fontId="47" fillId="0" borderId="18" xfId="1761" applyFont="1" applyBorder="1" applyAlignment="1">
      <alignment vertical="center"/>
    </xf>
    <xf numFmtId="0" fontId="47" fillId="0" borderId="19" xfId="1761" applyFont="1" applyBorder="1" applyAlignment="1">
      <alignment vertical="center"/>
    </xf>
    <xf numFmtId="0" fontId="47" fillId="0" borderId="14" xfId="1761" applyFont="1" applyBorder="1" applyAlignment="1">
      <alignment vertical="center"/>
    </xf>
    <xf numFmtId="0" fontId="47" fillId="0" borderId="19" xfId="1761" applyFont="1" applyBorder="1" applyAlignment="1">
      <alignment horizontal="right" vertical="center"/>
    </xf>
    <xf numFmtId="2" fontId="47" fillId="0" borderId="19" xfId="1761" applyNumberFormat="1" applyFont="1" applyBorder="1" applyAlignment="1">
      <alignment vertical="center"/>
    </xf>
    <xf numFmtId="2" fontId="47" fillId="0" borderId="18" xfId="1761" applyNumberFormat="1" applyFont="1" applyBorder="1" applyAlignment="1">
      <alignment vertical="center"/>
    </xf>
    <xf numFmtId="0" fontId="47" fillId="0" borderId="8" xfId="1761" applyFont="1" applyBorder="1" applyAlignment="1">
      <alignment vertical="center"/>
    </xf>
    <xf numFmtId="0" fontId="47" fillId="0" borderId="211" xfId="1761" applyFont="1" applyBorder="1" applyAlignment="1">
      <alignment vertical="center"/>
    </xf>
    <xf numFmtId="0" fontId="47" fillId="0" borderId="212" xfId="1761" applyFont="1" applyBorder="1" applyAlignment="1">
      <alignment vertical="center"/>
    </xf>
    <xf numFmtId="0" fontId="47" fillId="0" borderId="212" xfId="1761" applyFont="1" applyBorder="1" applyAlignment="1">
      <alignment horizontal="right" vertical="center"/>
    </xf>
    <xf numFmtId="2" fontId="47" fillId="0" borderId="211" xfId="1761" applyNumberFormat="1" applyFont="1" applyBorder="1" applyAlignment="1">
      <alignment horizontal="center" vertical="center"/>
    </xf>
    <xf numFmtId="2" fontId="47" fillId="0" borderId="212" xfId="1761" applyNumberFormat="1" applyFont="1" applyBorder="1" applyAlignment="1">
      <alignment vertical="center"/>
    </xf>
    <xf numFmtId="2" fontId="47" fillId="0" borderId="8" xfId="1761" applyNumberFormat="1" applyFont="1" applyBorder="1" applyAlignment="1">
      <alignment vertical="center"/>
    </xf>
    <xf numFmtId="0" fontId="5" fillId="0" borderId="0" xfId="810"/>
    <xf numFmtId="0" fontId="47" fillId="0" borderId="0" xfId="810" applyFont="1" applyAlignment="1">
      <alignment horizontal="right" vertical="center"/>
    </xf>
    <xf numFmtId="0" fontId="152" fillId="0" borderId="0" xfId="0" applyFont="1" applyAlignment="1">
      <alignment vertical="center" wrapText="1"/>
    </xf>
    <xf numFmtId="0" fontId="47" fillId="0" borderId="192" xfId="1761" applyFont="1" applyBorder="1" applyAlignment="1">
      <alignment vertical="center"/>
    </xf>
    <xf numFmtId="0" fontId="47" fillId="0" borderId="193" xfId="1761" applyFont="1" applyBorder="1" applyAlignment="1">
      <alignment horizontal="center" vertical="center"/>
    </xf>
    <xf numFmtId="0" fontId="47" fillId="0" borderId="0" xfId="1761" applyFont="1" applyAlignment="1">
      <alignment horizontal="center" vertical="center"/>
    </xf>
    <xf numFmtId="0" fontId="152" fillId="0" borderId="0" xfId="0" applyFont="1" applyAlignment="1">
      <alignment horizontal="center" vertical="center" wrapText="1"/>
    </xf>
    <xf numFmtId="3" fontId="153" fillId="83" borderId="193" xfId="0" applyNumberFormat="1" applyFont="1" applyFill="1" applyBorder="1" applyAlignment="1">
      <alignment horizontal="center" vertical="center" wrapText="1"/>
    </xf>
    <xf numFmtId="0" fontId="153" fillId="83" borderId="194" xfId="0" applyFont="1" applyFill="1" applyBorder="1" applyAlignment="1">
      <alignment horizontal="center" vertical="center" wrapText="1"/>
    </xf>
    <xf numFmtId="3" fontId="153" fillId="0" borderId="0" xfId="0" applyNumberFormat="1" applyFont="1" applyAlignment="1">
      <alignment horizontal="center" vertical="center" wrapText="1"/>
    </xf>
    <xf numFmtId="0" fontId="153" fillId="0" borderId="0" xfId="0" applyFont="1" applyAlignment="1">
      <alignment horizontal="center" vertical="center" wrapText="1"/>
    </xf>
    <xf numFmtId="3" fontId="153" fillId="83" borderId="196" xfId="0" applyNumberFormat="1" applyFont="1" applyFill="1" applyBorder="1" applyAlignment="1">
      <alignment horizontal="center" vertical="center" wrapText="1"/>
    </xf>
    <xf numFmtId="3" fontId="153" fillId="83" borderId="197" xfId="0" applyNumberFormat="1" applyFont="1" applyFill="1" applyBorder="1" applyAlignment="1">
      <alignment horizontal="center" vertical="center" wrapText="1"/>
    </xf>
    <xf numFmtId="4" fontId="154" fillId="44" borderId="0" xfId="12018" applyNumberFormat="1" applyFont="1" applyFill="1" applyAlignment="1">
      <alignment horizontal="center" vertical="center"/>
    </xf>
    <xf numFmtId="0" fontId="148" fillId="83" borderId="193" xfId="0" applyFont="1" applyFill="1" applyBorder="1" applyAlignment="1">
      <alignment horizontal="center" vertical="center"/>
    </xf>
    <xf numFmtId="3" fontId="148" fillId="83" borderId="193" xfId="0" applyNumberFormat="1" applyFont="1" applyFill="1" applyBorder="1" applyAlignment="1">
      <alignment horizontal="center" vertical="center"/>
    </xf>
    <xf numFmtId="167" fontId="47" fillId="0" borderId="0" xfId="1761" applyNumberFormat="1" applyFont="1" applyAlignment="1">
      <alignment vertical="center"/>
    </xf>
    <xf numFmtId="0" fontId="156" fillId="0" borderId="0" xfId="0" applyFont="1" applyAlignment="1">
      <alignment horizontal="center" vertical="center"/>
    </xf>
    <xf numFmtId="0" fontId="147" fillId="0" borderId="0" xfId="1761" applyFont="1" applyAlignment="1">
      <alignment horizontal="right" vertical="center"/>
    </xf>
    <xf numFmtId="1" fontId="47" fillId="0" borderId="0" xfId="810" applyNumberFormat="1" applyFont="1" applyAlignment="1">
      <alignment vertical="center"/>
    </xf>
    <xf numFmtId="0" fontId="147" fillId="0" borderId="0" xfId="810" applyFont="1" applyAlignment="1">
      <alignment vertical="center"/>
    </xf>
    <xf numFmtId="2" fontId="147" fillId="0" borderId="0" xfId="810" applyNumberFormat="1" applyFont="1" applyAlignment="1">
      <alignment vertical="center"/>
    </xf>
    <xf numFmtId="2" fontId="47" fillId="0" borderId="0" xfId="810" applyNumberFormat="1" applyFont="1" applyAlignment="1">
      <alignment vertical="center"/>
    </xf>
    <xf numFmtId="3" fontId="156" fillId="0" borderId="193" xfId="0" applyNumberFormat="1" applyFont="1" applyBorder="1" applyAlignment="1">
      <alignment horizontal="center" vertical="center" wrapText="1"/>
    </xf>
    <xf numFmtId="0" fontId="156" fillId="0" borderId="19" xfId="0" applyFont="1" applyBorder="1" applyAlignment="1">
      <alignment horizontal="center" vertical="center"/>
    </xf>
    <xf numFmtId="3" fontId="156" fillId="0" borderId="15" xfId="0" applyNumberFormat="1" applyFont="1" applyBorder="1" applyAlignment="1">
      <alignment horizontal="center" vertical="center" wrapText="1"/>
    </xf>
    <xf numFmtId="3" fontId="156" fillId="0" borderId="16" xfId="0" applyNumberFormat="1" applyFont="1" applyBorder="1" applyAlignment="1">
      <alignment horizontal="center" vertical="center" wrapText="1"/>
    </xf>
    <xf numFmtId="0" fontId="156" fillId="80" borderId="6" xfId="0" applyFont="1" applyFill="1" applyBorder="1" applyAlignment="1">
      <alignment horizontal="center" vertical="center"/>
    </xf>
    <xf numFmtId="3" fontId="156" fillId="80" borderId="6" xfId="0" applyNumberFormat="1" applyFont="1" applyFill="1" applyBorder="1" applyAlignment="1">
      <alignment horizontal="center" vertical="center"/>
    </xf>
    <xf numFmtId="3" fontId="156" fillId="80" borderId="1" xfId="0" applyNumberFormat="1" applyFont="1" applyFill="1" applyBorder="1" applyAlignment="1">
      <alignment horizontal="center" vertical="center"/>
    </xf>
    <xf numFmtId="3" fontId="156" fillId="80" borderId="16" xfId="0" applyNumberFormat="1" applyFont="1" applyFill="1" applyBorder="1" applyAlignment="1">
      <alignment horizontal="center" vertical="center"/>
    </xf>
    <xf numFmtId="3" fontId="47" fillId="0" borderId="0" xfId="810" applyNumberFormat="1" applyFont="1" applyAlignment="1">
      <alignment vertical="center"/>
    </xf>
    <xf numFmtId="0" fontId="47" fillId="0" borderId="0" xfId="0" applyFont="1"/>
    <xf numFmtId="0" fontId="47" fillId="0" borderId="193" xfId="0" applyFont="1" applyBorder="1" applyAlignment="1">
      <alignment horizontal="center" vertical="center"/>
    </xf>
    <xf numFmtId="3" fontId="47" fillId="0" borderId="193" xfId="0" applyNumberFormat="1" applyFont="1" applyBorder="1" applyAlignment="1">
      <alignment horizontal="center" vertical="center" wrapText="1"/>
    </xf>
    <xf numFmtId="0" fontId="47" fillId="0" borderId="212" xfId="0" applyFont="1" applyBorder="1" applyAlignment="1">
      <alignment horizontal="center" vertical="center"/>
    </xf>
    <xf numFmtId="3" fontId="47" fillId="0" borderId="212" xfId="0" applyNumberFormat="1" applyFont="1" applyBorder="1" applyAlignment="1">
      <alignment horizontal="center" vertical="center"/>
    </xf>
    <xf numFmtId="3" fontId="47" fillId="0" borderId="5" xfId="0" applyNumberFormat="1" applyFont="1" applyBorder="1" applyAlignment="1">
      <alignment horizontal="center" vertical="center"/>
    </xf>
    <xf numFmtId="3" fontId="156" fillId="80" borderId="7" xfId="0" applyNumberFormat="1" applyFont="1" applyFill="1" applyBorder="1" applyAlignment="1">
      <alignment horizontal="center" vertical="center"/>
    </xf>
    <xf numFmtId="3" fontId="47" fillId="0" borderId="211" xfId="0" applyNumberFormat="1" applyFont="1" applyBorder="1" applyAlignment="1">
      <alignment horizontal="center" vertical="center"/>
    </xf>
    <xf numFmtId="0" fontId="147" fillId="0" borderId="0" xfId="0" applyFont="1"/>
    <xf numFmtId="0" fontId="147" fillId="82" borderId="207" xfId="0" applyFont="1" applyFill="1" applyBorder="1" applyAlignment="1">
      <alignment horizontal="center" vertical="center"/>
    </xf>
    <xf numFmtId="0" fontId="147" fillId="82" borderId="207" xfId="0" applyFont="1" applyFill="1" applyBorder="1" applyAlignment="1">
      <alignment horizontal="center" vertical="center" wrapText="1"/>
    </xf>
    <xf numFmtId="0" fontId="47" fillId="81" borderId="0" xfId="0" applyFont="1" applyFill="1" applyAlignment="1">
      <alignment horizontal="center" vertical="center"/>
    </xf>
    <xf numFmtId="3" fontId="47" fillId="81" borderId="0" xfId="0" applyNumberFormat="1" applyFont="1" applyFill="1" applyAlignment="1">
      <alignment horizontal="center" vertical="center"/>
    </xf>
    <xf numFmtId="0" fontId="47" fillId="81" borderId="27" xfId="0" applyFont="1" applyFill="1" applyBorder="1" applyAlignment="1">
      <alignment horizontal="center" vertical="center"/>
    </xf>
    <xf numFmtId="3" fontId="47" fillId="81" borderId="27" xfId="0" applyNumberFormat="1" applyFont="1" applyFill="1" applyBorder="1" applyAlignment="1">
      <alignment horizontal="center" vertical="center"/>
    </xf>
    <xf numFmtId="0" fontId="47" fillId="81" borderId="193" xfId="0" applyFont="1" applyFill="1" applyBorder="1" applyAlignment="1">
      <alignment horizontal="center" vertical="center"/>
    </xf>
    <xf numFmtId="0" fontId="47" fillId="0" borderId="0" xfId="0" applyFont="1" applyAlignment="1">
      <alignment horizontal="center" vertical="center"/>
    </xf>
    <xf numFmtId="3" fontId="156" fillId="80" borderId="5" xfId="0" applyNumberFormat="1" applyFont="1" applyFill="1" applyBorder="1" applyAlignment="1">
      <alignment horizontal="center" vertical="center"/>
    </xf>
    <xf numFmtId="3" fontId="156" fillId="0" borderId="0" xfId="0" applyNumberFormat="1" applyFont="1" applyAlignment="1">
      <alignment horizontal="center" vertical="center"/>
    </xf>
    <xf numFmtId="0" fontId="51" fillId="0" borderId="0" xfId="810" applyFont="1" applyAlignment="1">
      <alignment horizontal="center" vertical="center"/>
    </xf>
    <xf numFmtId="3" fontId="156" fillId="0" borderId="0" xfId="0" applyNumberFormat="1" applyFont="1" applyAlignment="1">
      <alignment horizontal="center" vertical="center" wrapText="1"/>
    </xf>
    <xf numFmtId="0" fontId="160" fillId="81" borderId="0" xfId="0" applyFont="1" applyFill="1" applyAlignment="1">
      <alignment horizontal="center" vertical="center"/>
    </xf>
    <xf numFmtId="3" fontId="160" fillId="81" borderId="0" xfId="0" applyNumberFormat="1" applyFont="1" applyFill="1" applyAlignment="1">
      <alignment horizontal="center" vertical="center"/>
    </xf>
    <xf numFmtId="0" fontId="149" fillId="0" borderId="0" xfId="810" applyFont="1" applyAlignment="1">
      <alignment vertical="center"/>
    </xf>
    <xf numFmtId="0" fontId="161" fillId="0" borderId="0" xfId="0" applyFont="1" applyAlignment="1">
      <alignment horizontal="center" vertical="center"/>
    </xf>
    <xf numFmtId="3" fontId="161" fillId="0" borderId="0" xfId="0" applyNumberFormat="1" applyFont="1" applyAlignment="1">
      <alignment horizontal="center" vertical="center"/>
    </xf>
    <xf numFmtId="0" fontId="165" fillId="0" borderId="0" xfId="786" applyFont="1" applyAlignment="1">
      <alignment horizontal="center" vertical="center" wrapText="1"/>
    </xf>
    <xf numFmtId="0" fontId="147" fillId="0" borderId="0" xfId="786" applyFont="1" applyAlignment="1">
      <alignment horizontal="center" vertical="center" wrapText="1"/>
    </xf>
    <xf numFmtId="0" fontId="147" fillId="0" borderId="0" xfId="1761" applyFont="1" applyAlignment="1">
      <alignment horizontal="left" vertical="center"/>
    </xf>
    <xf numFmtId="0" fontId="162" fillId="17" borderId="0" xfId="12018" applyFont="1" applyFill="1" applyAlignment="1">
      <alignment horizontal="center" vertical="center"/>
    </xf>
    <xf numFmtId="3" fontId="159" fillId="80" borderId="0" xfId="0" applyNumberFormat="1" applyFont="1" applyFill="1" applyAlignment="1">
      <alignment horizontal="center" vertical="center"/>
    </xf>
    <xf numFmtId="3" fontId="47" fillId="73" borderId="193" xfId="1761" applyNumberFormat="1" applyFont="1" applyFill="1" applyBorder="1" applyAlignment="1">
      <alignment vertical="center"/>
    </xf>
    <xf numFmtId="0" fontId="5" fillId="0" borderId="0" xfId="1761" applyAlignment="1">
      <alignment horizontal="right" vertical="center"/>
    </xf>
    <xf numFmtId="0" fontId="5" fillId="49" borderId="0" xfId="1761" applyFill="1" applyAlignment="1">
      <alignment horizontal="center" vertical="center"/>
    </xf>
    <xf numFmtId="0" fontId="162" fillId="80" borderId="0" xfId="12018" applyFont="1" applyFill="1" applyAlignment="1">
      <alignment horizontal="center" vertical="center"/>
    </xf>
    <xf numFmtId="3" fontId="159" fillId="0" borderId="0" xfId="0" applyNumberFormat="1" applyFont="1" applyAlignment="1">
      <alignment horizontal="center" vertical="center"/>
    </xf>
    <xf numFmtId="0" fontId="47" fillId="0" borderId="192" xfId="1761" applyFont="1" applyBorder="1" applyAlignment="1">
      <alignment horizontal="center" vertical="center"/>
    </xf>
    <xf numFmtId="0" fontId="47" fillId="0" borderId="194" xfId="1761" applyFont="1" applyBorder="1" applyAlignment="1">
      <alignment horizontal="center" vertical="center"/>
    </xf>
    <xf numFmtId="4" fontId="47" fillId="73" borderId="193" xfId="1761" applyNumberFormat="1" applyFont="1" applyFill="1" applyBorder="1" applyAlignment="1">
      <alignment horizontal="right" vertical="center"/>
    </xf>
    <xf numFmtId="0" fontId="47" fillId="0" borderId="195" xfId="1761" applyFont="1" applyBorder="1" applyAlignment="1">
      <alignment horizontal="center" vertical="center"/>
    </xf>
    <xf numFmtId="0" fontId="47" fillId="0" borderId="197" xfId="1761" applyFont="1" applyBorder="1" applyAlignment="1">
      <alignment horizontal="center" vertical="center"/>
    </xf>
    <xf numFmtId="2" fontId="47" fillId="73" borderId="193" xfId="1761" applyNumberFormat="1" applyFont="1" applyFill="1" applyBorder="1" applyAlignment="1">
      <alignment horizontal="right" vertical="center"/>
    </xf>
    <xf numFmtId="196" fontId="147" fillId="0" borderId="0" xfId="1761" applyNumberFormat="1" applyFont="1" applyAlignment="1">
      <alignment horizontal="center" vertical="center"/>
    </xf>
    <xf numFmtId="0" fontId="47" fillId="0" borderId="0" xfId="1761" applyFont="1" applyAlignment="1">
      <alignment horizontal="left" vertical="center" wrapText="1"/>
    </xf>
    <xf numFmtId="2" fontId="5" fillId="73" borderId="193" xfId="1761" applyNumberFormat="1" applyFill="1" applyBorder="1" applyAlignment="1">
      <alignment vertical="center"/>
    </xf>
    <xf numFmtId="0" fontId="5" fillId="0" borderId="0" xfId="1761" applyAlignment="1">
      <alignment horizontal="center" vertical="center"/>
    </xf>
    <xf numFmtId="2" fontId="166" fillId="0" borderId="0" xfId="1761" applyNumberFormat="1" applyFont="1" applyAlignment="1">
      <alignment horizontal="left" vertical="center"/>
    </xf>
    <xf numFmtId="1" fontId="5" fillId="0" borderId="0" xfId="1761" applyNumberFormat="1" applyAlignment="1">
      <alignment horizontal="center" vertical="center"/>
    </xf>
    <xf numFmtId="0" fontId="147" fillId="84" borderId="193" xfId="1761" applyFont="1" applyFill="1" applyBorder="1" applyAlignment="1">
      <alignment horizontal="center" vertical="center"/>
    </xf>
    <xf numFmtId="0" fontId="147" fillId="84" borderId="193" xfId="1761" applyFont="1" applyFill="1" applyBorder="1" applyAlignment="1">
      <alignment horizontal="center" vertical="center" wrapText="1"/>
    </xf>
    <xf numFmtId="2" fontId="5" fillId="0" borderId="0" xfId="1761" applyNumberFormat="1" applyAlignment="1">
      <alignment horizontal="center" vertical="center"/>
    </xf>
    <xf numFmtId="0" fontId="5" fillId="0" borderId="0" xfId="1761" applyAlignment="1">
      <alignment horizontal="left" vertical="center"/>
    </xf>
    <xf numFmtId="0" fontId="153" fillId="0" borderId="193" xfId="0" applyFont="1" applyBorder="1" applyAlignment="1">
      <alignment horizontal="center" vertical="center"/>
    </xf>
    <xf numFmtId="3" fontId="153" fillId="0" borderId="193" xfId="0" applyNumberFormat="1" applyFont="1" applyBorder="1" applyAlignment="1">
      <alignment horizontal="center" vertical="center"/>
    </xf>
    <xf numFmtId="4" fontId="47" fillId="0" borderId="193" xfId="1761" applyNumberFormat="1" applyFont="1" applyBorder="1" applyAlignment="1">
      <alignment horizontal="center" vertical="center"/>
    </xf>
    <xf numFmtId="2" fontId="47" fillId="0" borderId="193" xfId="1761" applyNumberFormat="1" applyFont="1" applyBorder="1" applyAlignment="1">
      <alignment horizontal="center" vertical="center"/>
    </xf>
    <xf numFmtId="2" fontId="5" fillId="0" borderId="0" xfId="1761" applyNumberFormat="1"/>
    <xf numFmtId="3" fontId="5" fillId="0" borderId="0" xfId="1761" applyNumberFormat="1" applyAlignment="1">
      <alignment horizontal="center" vertical="center"/>
    </xf>
    <xf numFmtId="0" fontId="5" fillId="0" borderId="0" xfId="1761" applyAlignment="1">
      <alignment horizontal="center" vertical="center" wrapText="1"/>
    </xf>
    <xf numFmtId="4" fontId="5" fillId="0" borderId="0" xfId="1761" applyNumberFormat="1" applyAlignment="1">
      <alignment horizontal="center" vertical="center"/>
    </xf>
    <xf numFmtId="0" fontId="47" fillId="0" borderId="0" xfId="1761" applyFont="1"/>
    <xf numFmtId="0" fontId="153" fillId="0" borderId="0" xfId="0" applyFont="1" applyAlignment="1">
      <alignment horizontal="center" vertical="center"/>
    </xf>
    <xf numFmtId="1" fontId="163" fillId="0" borderId="0" xfId="0" applyNumberFormat="1" applyFont="1" applyAlignment="1">
      <alignment horizontal="center" vertical="center"/>
    </xf>
    <xf numFmtId="4" fontId="163" fillId="0" borderId="0" xfId="1761" applyNumberFormat="1" applyFont="1" applyAlignment="1">
      <alignment horizontal="center" vertical="center"/>
    </xf>
    <xf numFmtId="0" fontId="32" fillId="0" borderId="0" xfId="1761" applyFont="1"/>
    <xf numFmtId="0" fontId="164" fillId="0" borderId="0" xfId="0" applyFont="1"/>
    <xf numFmtId="1" fontId="151" fillId="0" borderId="0" xfId="0" applyNumberFormat="1" applyFont="1" applyAlignment="1">
      <alignment horizontal="center" vertical="center"/>
    </xf>
    <xf numFmtId="4" fontId="151" fillId="0" borderId="0" xfId="1761" applyNumberFormat="1" applyFont="1" applyAlignment="1">
      <alignment horizontal="center" vertical="center"/>
    </xf>
    <xf numFmtId="2" fontId="151" fillId="0" borderId="0" xfId="1761" applyNumberFormat="1" applyFont="1" applyAlignment="1">
      <alignment horizontal="center" vertical="center"/>
    </xf>
    <xf numFmtId="0" fontId="151" fillId="0" borderId="0" xfId="1761" applyFont="1"/>
    <xf numFmtId="0" fontId="47" fillId="0" borderId="0" xfId="786" applyFont="1" applyAlignment="1">
      <alignment horizontal="left" vertical="center"/>
    </xf>
    <xf numFmtId="168" fontId="4" fillId="0" borderId="196" xfId="639" applyNumberFormat="1" applyFont="1" applyBorder="1" applyAlignment="1">
      <alignment horizontal="right" vertical="center" wrapText="1"/>
    </xf>
    <xf numFmtId="165" fontId="3" fillId="12" borderId="212" xfId="641" applyFont="1" applyFill="1" applyBorder="1" applyAlignment="1">
      <alignment horizontal="right" vertical="center"/>
    </xf>
    <xf numFmtId="0" fontId="3" fillId="0" borderId="0" xfId="1" applyFont="1" applyAlignment="1">
      <alignment vertical="center"/>
    </xf>
    <xf numFmtId="0" fontId="4" fillId="5" borderId="179" xfId="23" applyFont="1" applyFill="1" applyBorder="1" applyAlignment="1">
      <alignment horizontal="center" vertical="center" wrapText="1"/>
    </xf>
    <xf numFmtId="4" fontId="4" fillId="5" borderId="174" xfId="23" applyNumberFormat="1" applyFont="1" applyFill="1" applyBorder="1" applyAlignment="1">
      <alignment horizontal="center" vertical="center" wrapText="1"/>
    </xf>
    <xf numFmtId="1" fontId="4" fillId="5" borderId="207" xfId="23" applyNumberFormat="1" applyFont="1" applyFill="1" applyBorder="1" applyAlignment="1">
      <alignment vertical="center" wrapText="1"/>
    </xf>
    <xf numFmtId="4" fontId="4" fillId="5" borderId="207" xfId="23" applyNumberFormat="1" applyFont="1" applyFill="1" applyBorder="1" applyAlignment="1">
      <alignment horizontal="center" vertical="center" wrapText="1"/>
    </xf>
    <xf numFmtId="4" fontId="4" fillId="5" borderId="207" xfId="23" applyNumberFormat="1" applyFont="1" applyFill="1" applyBorder="1" applyAlignment="1">
      <alignment horizontal="right" vertical="center" wrapText="1"/>
    </xf>
    <xf numFmtId="2" fontId="143" fillId="0" borderId="193" xfId="0" applyNumberFormat="1" applyFont="1" applyBorder="1" applyAlignment="1">
      <alignment horizontal="center" vertical="center"/>
    </xf>
    <xf numFmtId="49" fontId="4" fillId="5" borderId="0" xfId="0" applyNumberFormat="1" applyFont="1" applyFill="1" applyAlignment="1">
      <alignment horizontal="left" vertical="top" wrapText="1"/>
    </xf>
    <xf numFmtId="0" fontId="3" fillId="0" borderId="195" xfId="1" applyFont="1" applyBorder="1" applyAlignment="1">
      <alignment vertical="center" wrapText="1"/>
    </xf>
    <xf numFmtId="4" fontId="4" fillId="0" borderId="194" xfId="639" applyNumberFormat="1" applyFont="1" applyBorder="1" applyAlignment="1">
      <alignment horizontal="center" vertical="center"/>
    </xf>
    <xf numFmtId="0" fontId="4" fillId="7" borderId="0" xfId="1" applyFont="1" applyFill="1" applyAlignment="1">
      <alignment vertical="center"/>
    </xf>
    <xf numFmtId="0" fontId="3" fillId="7" borderId="0" xfId="1" applyFont="1" applyFill="1" applyAlignment="1">
      <alignment horizontal="right" vertical="center" wrapText="1"/>
    </xf>
    <xf numFmtId="4" fontId="3" fillId="7" borderId="0" xfId="45" applyNumberFormat="1" applyFont="1" applyFill="1" applyBorder="1" applyAlignment="1">
      <alignment horizontal="left" vertical="center"/>
    </xf>
    <xf numFmtId="2" fontId="4" fillId="7" borderId="0" xfId="1" applyNumberFormat="1" applyFont="1" applyFill="1" applyAlignment="1">
      <alignment vertical="center"/>
    </xf>
    <xf numFmtId="0" fontId="89" fillId="7" borderId="0" xfId="1" applyFont="1" applyFill="1" applyAlignment="1">
      <alignment horizontal="right" vertical="center" wrapText="1"/>
    </xf>
    <xf numFmtId="4" fontId="89" fillId="7" borderId="0" xfId="45" applyNumberFormat="1" applyFont="1" applyFill="1" applyBorder="1" applyAlignment="1">
      <alignment horizontal="left" vertical="center"/>
    </xf>
    <xf numFmtId="1" fontId="3" fillId="7" borderId="1" xfId="639" applyNumberFormat="1" applyFont="1" applyFill="1" applyBorder="1" applyAlignment="1">
      <alignment horizontal="left"/>
    </xf>
    <xf numFmtId="4" fontId="4" fillId="7" borderId="0" xfId="1" applyNumberFormat="1" applyFont="1" applyFill="1" applyAlignment="1">
      <alignment vertical="center"/>
    </xf>
    <xf numFmtId="0" fontId="4" fillId="0" borderId="193" xfId="1" applyFont="1" applyBorder="1" applyAlignment="1">
      <alignment horizontal="left" vertical="center" wrapText="1"/>
    </xf>
    <xf numFmtId="167" fontId="4" fillId="0" borderId="193" xfId="639" applyNumberFormat="1" applyFont="1" applyBorder="1" applyAlignment="1">
      <alignment horizontal="center" vertical="center"/>
    </xf>
    <xf numFmtId="165" fontId="3" fillId="78" borderId="212" xfId="641" applyFont="1" applyFill="1" applyBorder="1" applyAlignment="1">
      <alignment horizontal="right" vertical="center"/>
    </xf>
    <xf numFmtId="14" fontId="4" fillId="11" borderId="195" xfId="0" applyNumberFormat="1" applyFont="1" applyFill="1" applyBorder="1" applyAlignment="1">
      <alignment horizontal="center" vertical="center"/>
    </xf>
    <xf numFmtId="2" fontId="4" fillId="0" borderId="196" xfId="639" applyNumberFormat="1" applyFont="1" applyBorder="1" applyAlignment="1">
      <alignment horizontal="center" vertical="center"/>
    </xf>
    <xf numFmtId="4" fontId="3" fillId="7" borderId="0" xfId="2091" applyNumberFormat="1" applyFont="1" applyFill="1" applyBorder="1" applyAlignment="1">
      <alignment horizontal="left" vertical="center"/>
    </xf>
    <xf numFmtId="184" fontId="4" fillId="0" borderId="193" xfId="780" applyNumberFormat="1" applyFont="1" applyFill="1" applyBorder="1" applyAlignment="1" applyProtection="1">
      <alignment horizontal="right" vertical="center"/>
    </xf>
    <xf numFmtId="166" fontId="4" fillId="0" borderId="193" xfId="780" applyFont="1" applyFill="1" applyBorder="1" applyAlignment="1" applyProtection="1">
      <alignment horizontal="right" vertical="center"/>
    </xf>
    <xf numFmtId="49" fontId="4" fillId="0" borderId="0" xfId="33" applyNumberFormat="1" applyFont="1" applyAlignment="1">
      <alignment vertical="center" wrapText="1"/>
    </xf>
    <xf numFmtId="4" fontId="4" fillId="0" borderId="193" xfId="639" applyNumberFormat="1" applyFont="1" applyBorder="1" applyAlignment="1">
      <alignment horizontal="center" vertical="center"/>
    </xf>
    <xf numFmtId="4" fontId="4" fillId="0" borderId="181" xfId="639" applyNumberFormat="1" applyFont="1" applyBorder="1" applyAlignment="1">
      <alignment horizontal="center" vertical="center"/>
    </xf>
    <xf numFmtId="166" fontId="4" fillId="0" borderId="181" xfId="780" applyFont="1" applyFill="1" applyBorder="1" applyAlignment="1" applyProtection="1">
      <alignment horizontal="right" vertical="center"/>
    </xf>
    <xf numFmtId="4" fontId="4" fillId="0" borderId="181" xfId="639" applyNumberFormat="1" applyFont="1" applyBorder="1" applyAlignment="1">
      <alignment horizontal="right" vertical="center"/>
    </xf>
    <xf numFmtId="4" fontId="4" fillId="0" borderId="182" xfId="639" applyNumberFormat="1" applyFont="1" applyBorder="1" applyAlignment="1">
      <alignment horizontal="right" vertical="center"/>
    </xf>
    <xf numFmtId="0" fontId="4" fillId="0" borderId="179" xfId="639" applyFont="1" applyBorder="1" applyAlignment="1">
      <alignment horizontal="left" vertical="center" wrapText="1"/>
    </xf>
    <xf numFmtId="0" fontId="4" fillId="0" borderId="199" xfId="639" applyFont="1" applyBorder="1" applyAlignment="1">
      <alignment horizontal="center" vertical="center"/>
    </xf>
    <xf numFmtId="49" fontId="3" fillId="0" borderId="0" xfId="33" applyNumberFormat="1" applyFont="1" applyAlignment="1">
      <alignment horizontal="left" vertical="center" wrapText="1"/>
    </xf>
    <xf numFmtId="165" fontId="3" fillId="0" borderId="19" xfId="641" applyFont="1" applyFill="1" applyBorder="1" applyAlignment="1">
      <alignment horizontal="right" vertical="center"/>
    </xf>
    <xf numFmtId="0" fontId="5" fillId="79" borderId="0" xfId="639" applyFill="1" applyAlignment="1">
      <alignment horizontal="center" vertical="center"/>
    </xf>
    <xf numFmtId="4" fontId="4" fillId="7" borderId="1" xfId="1" applyNumberFormat="1" applyFont="1" applyFill="1" applyBorder="1" applyAlignment="1">
      <alignment vertical="center"/>
    </xf>
    <xf numFmtId="168" fontId="4" fillId="0" borderId="193" xfId="639" applyNumberFormat="1" applyFont="1" applyBorder="1" applyAlignment="1">
      <alignment horizontal="center" vertical="center"/>
    </xf>
    <xf numFmtId="0" fontId="3" fillId="0" borderId="18" xfId="639" applyFont="1" applyBorder="1" applyAlignment="1">
      <alignment horizontal="center" vertical="center"/>
    </xf>
    <xf numFmtId="0" fontId="3" fillId="0" borderId="19" xfId="639" applyFont="1" applyBorder="1" applyAlignment="1">
      <alignment horizontal="center" vertical="center"/>
    </xf>
    <xf numFmtId="0" fontId="4" fillId="0" borderId="18" xfId="639" applyFont="1" applyBorder="1" applyAlignment="1">
      <alignment horizontal="center" vertical="center"/>
    </xf>
    <xf numFmtId="0" fontId="4" fillId="0" borderId="19" xfId="639" applyFont="1" applyBorder="1" applyAlignment="1">
      <alignment horizontal="center" vertical="center"/>
    </xf>
    <xf numFmtId="0" fontId="4" fillId="0" borderId="18" xfId="639" applyFont="1" applyBorder="1" applyAlignment="1">
      <alignment horizontal="center" vertical="center" wrapText="1"/>
    </xf>
    <xf numFmtId="2" fontId="4" fillId="0" borderId="19" xfId="639" applyNumberFormat="1" applyFont="1" applyBorder="1" applyAlignment="1">
      <alignment horizontal="center" vertical="center"/>
    </xf>
    <xf numFmtId="0" fontId="4" fillId="0" borderId="8" xfId="639" applyFont="1" applyBorder="1" applyAlignment="1">
      <alignment horizontal="center" vertical="center"/>
    </xf>
    <xf numFmtId="2" fontId="4" fillId="0" borderId="212" xfId="639" applyNumberFormat="1" applyFont="1" applyBorder="1" applyAlignment="1">
      <alignment horizontal="center" vertical="center"/>
    </xf>
    <xf numFmtId="14" fontId="4" fillId="0" borderId="0" xfId="0" applyNumberFormat="1" applyFont="1" applyAlignment="1">
      <alignment horizontal="center" vertical="center"/>
    </xf>
    <xf numFmtId="4" fontId="3" fillId="0" borderId="0" xfId="0" applyNumberFormat="1" applyFont="1" applyAlignment="1">
      <alignment horizontal="center" vertical="center" wrapText="1"/>
    </xf>
    <xf numFmtId="0" fontId="4" fillId="0" borderId="0" xfId="639" applyFont="1" applyAlignment="1">
      <alignment horizontal="center"/>
    </xf>
    <xf numFmtId="168" fontId="4" fillId="0" borderId="196" xfId="639" applyNumberFormat="1" applyFont="1" applyBorder="1" applyAlignment="1">
      <alignment horizontal="center" vertical="center"/>
    </xf>
    <xf numFmtId="167" fontId="4" fillId="0" borderId="196" xfId="639" applyNumberFormat="1" applyFont="1" applyBorder="1" applyAlignment="1">
      <alignment horizontal="right" vertical="center"/>
    </xf>
    <xf numFmtId="0" fontId="4" fillId="0" borderId="0" xfId="639" applyFont="1" applyAlignment="1">
      <alignment horizontal="left" vertical="top" wrapText="1"/>
    </xf>
    <xf numFmtId="0" fontId="4" fillId="0" borderId="193" xfId="0" applyFont="1" applyBorder="1" applyAlignment="1">
      <alignment horizontal="left" vertical="center" wrapText="1"/>
    </xf>
    <xf numFmtId="0" fontId="2" fillId="5" borderId="193" xfId="0" applyFont="1" applyFill="1" applyBorder="1" applyAlignment="1">
      <alignment horizontal="center" vertical="center" wrapText="1"/>
    </xf>
    <xf numFmtId="0" fontId="167" fillId="5" borderId="0" xfId="0" applyFont="1" applyFill="1"/>
    <xf numFmtId="165" fontId="3" fillId="0" borderId="212" xfId="641" applyFont="1" applyFill="1" applyBorder="1" applyAlignment="1">
      <alignment horizontal="right" vertical="center"/>
    </xf>
    <xf numFmtId="0" fontId="47" fillId="0" borderId="0" xfId="12018" applyFont="1" applyAlignment="1">
      <alignment vertical="center"/>
    </xf>
    <xf numFmtId="4" fontId="4" fillId="0" borderId="193" xfId="46" applyNumberFormat="1" applyFont="1" applyFill="1" applyBorder="1" applyAlignment="1">
      <alignment vertical="center"/>
    </xf>
    <xf numFmtId="0" fontId="4" fillId="0" borderId="193" xfId="2534" applyFont="1" applyBorder="1" applyAlignment="1">
      <alignment horizontal="center" vertical="center" wrapText="1"/>
    </xf>
    <xf numFmtId="0" fontId="4" fillId="0" borderId="33" xfId="0" applyFont="1" applyBorder="1" applyAlignment="1">
      <alignment horizontal="center" vertical="center" wrapText="1"/>
    </xf>
    <xf numFmtId="4" fontId="4" fillId="0" borderId="193" xfId="45" applyNumberFormat="1" applyFont="1" applyFill="1" applyBorder="1" applyAlignment="1">
      <alignment vertical="center"/>
    </xf>
    <xf numFmtId="49" fontId="4" fillId="0" borderId="193" xfId="0" applyNumberFormat="1" applyFont="1" applyBorder="1" applyAlignment="1">
      <alignment horizontal="center" vertical="center" wrapText="1"/>
    </xf>
    <xf numFmtId="0" fontId="4" fillId="0" borderId="31" xfId="0" applyFont="1" applyBorder="1" applyAlignment="1">
      <alignment horizontal="center" vertical="center" wrapText="1"/>
    </xf>
    <xf numFmtId="0" fontId="4" fillId="0" borderId="33" xfId="1" applyFont="1" applyBorder="1" applyAlignment="1">
      <alignment vertical="center" wrapText="1"/>
    </xf>
    <xf numFmtId="0" fontId="4" fillId="0" borderId="33" xfId="1" applyFont="1" applyBorder="1" applyAlignment="1">
      <alignment horizontal="center" vertical="center" wrapText="1"/>
    </xf>
    <xf numFmtId="4" fontId="4" fillId="0" borderId="33" xfId="1" applyNumberFormat="1" applyFont="1" applyBorder="1" applyAlignment="1">
      <alignment horizontal="right" vertical="center" wrapText="1"/>
    </xf>
    <xf numFmtId="4" fontId="4" fillId="0" borderId="172" xfId="1" applyNumberFormat="1" applyFont="1" applyBorder="1" applyAlignment="1">
      <alignment horizontal="right" vertical="center" wrapText="1"/>
    </xf>
    <xf numFmtId="4" fontId="4" fillId="0" borderId="32" xfId="46" applyNumberFormat="1" applyFont="1" applyFill="1" applyBorder="1" applyAlignment="1">
      <alignment vertical="center"/>
    </xf>
    <xf numFmtId="4" fontId="4" fillId="0" borderId="33" xfId="0" applyNumberFormat="1" applyFont="1" applyBorder="1" applyAlignment="1">
      <alignment vertical="center" wrapText="1"/>
    </xf>
    <xf numFmtId="0" fontId="4" fillId="0" borderId="11" xfId="0" applyFont="1" applyBorder="1" applyAlignment="1">
      <alignment horizontal="center" vertical="center" wrapText="1"/>
    </xf>
    <xf numFmtId="0" fontId="4" fillId="0" borderId="86" xfId="0" applyFont="1" applyBorder="1" applyAlignment="1">
      <alignment horizontal="center" vertical="center" wrapText="1"/>
    </xf>
    <xf numFmtId="0" fontId="4" fillId="0" borderId="86" xfId="1" applyFont="1" applyBorder="1" applyAlignment="1">
      <alignment vertical="center" wrapText="1"/>
    </xf>
    <xf numFmtId="0" fontId="4" fillId="0" borderId="86" xfId="1" applyFont="1" applyBorder="1" applyAlignment="1">
      <alignment horizontal="center" vertical="center" wrapText="1"/>
    </xf>
    <xf numFmtId="4" fontId="4" fillId="0" borderId="86" xfId="0" applyNumberFormat="1" applyFont="1" applyBorder="1" applyAlignment="1">
      <alignment vertical="center" wrapText="1"/>
    </xf>
    <xf numFmtId="4" fontId="4" fillId="0" borderId="86" xfId="1" applyNumberFormat="1" applyFont="1" applyBorder="1" applyAlignment="1">
      <alignment horizontal="right" vertical="center" wrapText="1"/>
    </xf>
    <xf numFmtId="4" fontId="4" fillId="0" borderId="85" xfId="46" applyNumberFormat="1" applyFont="1" applyFill="1" applyBorder="1" applyAlignment="1">
      <alignment vertical="center"/>
    </xf>
    <xf numFmtId="4" fontId="4" fillId="0" borderId="193" xfId="1" applyNumberFormat="1" applyFont="1" applyBorder="1" applyAlignment="1">
      <alignment vertical="center" wrapText="1"/>
    </xf>
    <xf numFmtId="4" fontId="4" fillId="0" borderId="196" xfId="0" applyNumberFormat="1" applyFont="1" applyBorder="1" applyAlignment="1">
      <alignment vertical="center" wrapText="1"/>
    </xf>
    <xf numFmtId="0" fontId="4" fillId="0" borderId="31" xfId="1" applyFont="1" applyBorder="1" applyAlignment="1">
      <alignment horizontal="center" vertical="center" wrapText="1"/>
    </xf>
    <xf numFmtId="4" fontId="4" fillId="0" borderId="33" xfId="1" applyNumberFormat="1" applyFont="1" applyBorder="1" applyAlignment="1">
      <alignment vertical="center" wrapText="1"/>
    </xf>
    <xf numFmtId="4" fontId="4" fillId="0" borderId="32" xfId="45" applyNumberFormat="1" applyFont="1" applyFill="1" applyBorder="1" applyAlignment="1">
      <alignment vertical="center"/>
    </xf>
    <xf numFmtId="4" fontId="4" fillId="0" borderId="144" xfId="45" applyNumberFormat="1" applyFont="1" applyFill="1" applyBorder="1" applyAlignment="1">
      <alignment vertical="center"/>
    </xf>
    <xf numFmtId="0" fontId="4" fillId="0" borderId="138" xfId="0" applyFont="1" applyBorder="1" applyAlignment="1">
      <alignment horizontal="center" vertical="center" wrapText="1"/>
    </xf>
    <xf numFmtId="4" fontId="4" fillId="0" borderId="147" xfId="1" applyNumberFormat="1" applyFont="1" applyBorder="1" applyAlignment="1">
      <alignment vertical="center" wrapText="1"/>
    </xf>
    <xf numFmtId="4" fontId="4" fillId="0" borderId="148" xfId="45" applyNumberFormat="1" applyFont="1" applyFill="1" applyBorder="1" applyAlignment="1">
      <alignment vertical="center"/>
    </xf>
    <xf numFmtId="4" fontId="4" fillId="0" borderId="194" xfId="45" applyNumberFormat="1" applyFont="1" applyFill="1" applyBorder="1" applyAlignment="1">
      <alignment vertical="center"/>
    </xf>
    <xf numFmtId="4" fontId="4" fillId="0" borderId="194" xfId="2091" applyNumberFormat="1" applyFont="1" applyFill="1" applyBorder="1" applyAlignment="1">
      <alignment vertical="center"/>
    </xf>
    <xf numFmtId="4" fontId="4" fillId="0" borderId="143" xfId="1" applyNumberFormat="1" applyFont="1" applyBorder="1" applyAlignment="1">
      <alignment horizontal="right" vertical="center" wrapText="1"/>
    </xf>
    <xf numFmtId="4" fontId="4" fillId="0" borderId="193" xfId="0" applyNumberFormat="1" applyFont="1" applyBorder="1" applyAlignment="1">
      <alignment horizontal="right" vertical="center" wrapText="1"/>
    </xf>
    <xf numFmtId="4" fontId="4" fillId="0" borderId="20" xfId="0" applyNumberFormat="1" applyFont="1" applyBorder="1" applyAlignment="1">
      <alignment horizontal="right" vertical="center" wrapText="1"/>
    </xf>
    <xf numFmtId="4" fontId="4" fillId="0" borderId="143" xfId="1" applyNumberFormat="1" applyFont="1" applyBorder="1" applyAlignment="1">
      <alignment vertical="center" wrapText="1"/>
    </xf>
    <xf numFmtId="14" fontId="4" fillId="0" borderId="143" xfId="0" applyNumberFormat="1" applyFont="1" applyBorder="1" applyAlignment="1">
      <alignment horizontal="center" vertical="center" wrapText="1"/>
    </xf>
    <xf numFmtId="4" fontId="4" fillId="0" borderId="21" xfId="1" quotePrefix="1" applyNumberFormat="1" applyFont="1" applyBorder="1" applyAlignment="1">
      <alignment vertical="center" wrapText="1"/>
    </xf>
    <xf numFmtId="4" fontId="4" fillId="0" borderId="21" xfId="1" applyNumberFormat="1" applyFont="1" applyBorder="1" applyAlignment="1">
      <alignment horizontal="right" vertical="center" wrapText="1"/>
    </xf>
    <xf numFmtId="4" fontId="4" fillId="0" borderId="30" xfId="45" applyNumberFormat="1" applyFont="1" applyFill="1" applyBorder="1" applyAlignment="1">
      <alignment vertical="center"/>
    </xf>
    <xf numFmtId="0" fontId="4" fillId="0" borderId="193" xfId="639" applyFont="1" applyBorder="1" applyAlignment="1">
      <alignment horizontal="left" vertical="center"/>
    </xf>
    <xf numFmtId="4" fontId="4" fillId="0" borderId="193" xfId="0" applyNumberFormat="1" applyFont="1" applyBorder="1" applyAlignment="1">
      <alignment horizontal="center" vertical="center" wrapText="1"/>
    </xf>
    <xf numFmtId="2" fontId="4" fillId="0" borderId="193" xfId="644" applyNumberFormat="1" applyFont="1" applyFill="1" applyBorder="1" applyAlignment="1">
      <alignment horizontal="center" vertical="center"/>
    </xf>
    <xf numFmtId="4" fontId="4" fillId="0" borderId="194" xfId="0" applyNumberFormat="1" applyFont="1" applyBorder="1" applyAlignment="1">
      <alignment horizontal="center" vertical="center"/>
    </xf>
    <xf numFmtId="0" fontId="3" fillId="0" borderId="193" xfId="639" applyFont="1" applyBorder="1" applyAlignment="1">
      <alignment horizontal="center" vertical="center"/>
    </xf>
    <xf numFmtId="0" fontId="3" fillId="0" borderId="193" xfId="639" applyFont="1" applyBorder="1" applyAlignment="1">
      <alignment horizontal="center" vertical="center" wrapText="1"/>
    </xf>
    <xf numFmtId="4" fontId="3" fillId="0" borderId="194" xfId="639" applyNumberFormat="1" applyFont="1" applyBorder="1" applyAlignment="1">
      <alignment horizontal="center" vertical="center" wrapText="1"/>
    </xf>
    <xf numFmtId="0" fontId="3" fillId="0" borderId="25" xfId="639" applyFont="1" applyBorder="1" applyAlignment="1">
      <alignment horizontal="center" vertical="center" wrapText="1"/>
    </xf>
    <xf numFmtId="4" fontId="3" fillId="0" borderId="194" xfId="0" applyNumberFormat="1" applyFont="1" applyBorder="1" applyAlignment="1">
      <alignment horizontal="center" vertical="center" wrapText="1"/>
    </xf>
    <xf numFmtId="0" fontId="3" fillId="0" borderId="20" xfId="0" applyFont="1" applyBorder="1" applyAlignment="1">
      <alignment horizontal="center" vertical="center"/>
    </xf>
    <xf numFmtId="0" fontId="3" fillId="0" borderId="20" xfId="0" applyFont="1" applyBorder="1" applyAlignment="1">
      <alignment horizontal="center" vertical="center" wrapText="1"/>
    </xf>
    <xf numFmtId="0" fontId="3" fillId="0" borderId="140" xfId="0" applyFont="1" applyBorder="1" applyAlignment="1">
      <alignment horizontal="center" vertical="center"/>
    </xf>
    <xf numFmtId="0" fontId="3" fillId="0" borderId="140" xfId="0" applyFont="1" applyBorder="1" applyAlignment="1">
      <alignment horizontal="center" vertical="center" wrapText="1"/>
    </xf>
    <xf numFmtId="4" fontId="3" fillId="0" borderId="142" xfId="0" applyNumberFormat="1" applyFont="1" applyBorder="1" applyAlignment="1">
      <alignment horizontal="center" vertical="center" wrapText="1"/>
    </xf>
    <xf numFmtId="0" fontId="3" fillId="0" borderId="167" xfId="0" applyFont="1" applyBorder="1" applyAlignment="1">
      <alignment horizontal="center" vertical="center"/>
    </xf>
    <xf numFmtId="0" fontId="3" fillId="0" borderId="167" xfId="0" applyFont="1" applyBorder="1" applyAlignment="1">
      <alignment horizontal="center" vertical="center" wrapText="1"/>
    </xf>
    <xf numFmtId="4" fontId="3" fillId="0" borderId="168" xfId="0" applyNumberFormat="1" applyFont="1" applyBorder="1" applyAlignment="1">
      <alignment horizontal="center" vertical="center" wrapText="1"/>
    </xf>
    <xf numFmtId="1" fontId="29" fillId="0" borderId="1" xfId="0" applyNumberFormat="1" applyFont="1" applyBorder="1" applyAlignment="1">
      <alignment horizontal="center" vertical="center"/>
    </xf>
    <xf numFmtId="0" fontId="0" fillId="4" borderId="0" xfId="0" applyFill="1" applyAlignment="1">
      <alignment horizontal="center"/>
    </xf>
    <xf numFmtId="1" fontId="0" fillId="0" borderId="0" xfId="0" applyNumberFormat="1" applyAlignment="1">
      <alignment horizontal="center"/>
    </xf>
    <xf numFmtId="49" fontId="4" fillId="5" borderId="0" xfId="0" applyNumberFormat="1" applyFont="1" applyFill="1" applyAlignment="1">
      <alignment vertical="top"/>
    </xf>
    <xf numFmtId="0" fontId="5" fillId="5" borderId="206" xfId="1626" applyFill="1" applyBorder="1" applyAlignment="1">
      <alignment horizontal="left" vertical="center"/>
    </xf>
    <xf numFmtId="0" fontId="5" fillId="5" borderId="26" xfId="1626" applyFill="1" applyBorder="1" applyAlignment="1">
      <alignment horizontal="left" vertical="center"/>
    </xf>
    <xf numFmtId="0" fontId="83" fillId="0" borderId="206" xfId="15846" applyFont="1" applyBorder="1" applyAlignment="1">
      <alignment horizontal="center" vertical="center"/>
    </xf>
    <xf numFmtId="0" fontId="135" fillId="0" borderId="208" xfId="15846" applyFont="1" applyBorder="1" applyAlignment="1">
      <alignment horizontal="left" vertical="center"/>
    </xf>
    <xf numFmtId="0" fontId="83" fillId="0" borderId="208" xfId="15846" applyFont="1" applyBorder="1" applyAlignment="1">
      <alignment horizontal="center" vertical="center"/>
    </xf>
    <xf numFmtId="0" fontId="83" fillId="0" borderId="200" xfId="15846" applyFont="1" applyBorder="1" applyAlignment="1">
      <alignment horizontal="center" vertical="center"/>
    </xf>
    <xf numFmtId="0" fontId="83" fillId="0" borderId="18" xfId="15846" applyFont="1" applyBorder="1" applyAlignment="1">
      <alignment horizontal="center" vertical="center"/>
    </xf>
    <xf numFmtId="0" fontId="135" fillId="0" borderId="0" xfId="15846" applyFont="1" applyAlignment="1">
      <alignment horizontal="left" vertical="center"/>
    </xf>
    <xf numFmtId="0" fontId="83" fillId="0" borderId="0" xfId="15846" applyFont="1" applyAlignment="1">
      <alignment horizontal="center" vertical="center"/>
    </xf>
    <xf numFmtId="0" fontId="83" fillId="0" borderId="19" xfId="15846" applyFont="1" applyBorder="1" applyAlignment="1">
      <alignment horizontal="center" vertical="center"/>
    </xf>
    <xf numFmtId="0" fontId="135" fillId="0" borderId="0" xfId="15846" applyFont="1" applyAlignment="1">
      <alignment horizontal="right" vertical="center"/>
    </xf>
    <xf numFmtId="17" fontId="83" fillId="0" borderId="19" xfId="15846" applyNumberFormat="1" applyFont="1" applyBorder="1" applyAlignment="1">
      <alignment horizontal="left" vertical="center"/>
    </xf>
    <xf numFmtId="0" fontId="135" fillId="4" borderId="192" xfId="15846" applyFont="1" applyFill="1" applyBorder="1" applyAlignment="1">
      <alignment horizontal="center" vertical="center"/>
    </xf>
    <xf numFmtId="0" fontId="18" fillId="4" borderId="193" xfId="15846" applyFont="1" applyFill="1" applyBorder="1" applyAlignment="1">
      <alignment horizontal="center" vertical="center"/>
    </xf>
    <xf numFmtId="17" fontId="0" fillId="5" borderId="201" xfId="0" applyNumberFormat="1" applyFill="1" applyBorder="1" applyAlignment="1">
      <alignment horizontal="center" vertical="center"/>
    </xf>
    <xf numFmtId="0" fontId="0" fillId="5" borderId="82" xfId="0" applyFill="1" applyBorder="1" applyAlignment="1">
      <alignment horizontal="center" vertical="center"/>
    </xf>
    <xf numFmtId="199" fontId="0" fillId="0" borderId="202" xfId="0" applyNumberFormat="1" applyBorder="1" applyAlignment="1">
      <alignment horizontal="center" vertical="center"/>
    </xf>
    <xf numFmtId="0" fontId="0" fillId="5" borderId="0" xfId="0" applyFill="1"/>
    <xf numFmtId="17" fontId="0" fillId="85" borderId="201" xfId="0" applyNumberFormat="1" applyFill="1" applyBorder="1" applyAlignment="1">
      <alignment horizontal="center" vertical="center"/>
    </xf>
    <xf numFmtId="0" fontId="0" fillId="85" borderId="82" xfId="0" applyFill="1" applyBorder="1" applyAlignment="1">
      <alignment horizontal="center" vertical="center"/>
    </xf>
    <xf numFmtId="199" fontId="0" fillId="85" borderId="202" xfId="0" applyNumberFormat="1" applyFill="1" applyBorder="1" applyAlignment="1">
      <alignment horizontal="center" vertical="center"/>
    </xf>
    <xf numFmtId="17" fontId="0" fillId="5" borderId="203" xfId="0" applyNumberFormat="1" applyFill="1" applyBorder="1" applyAlignment="1">
      <alignment horizontal="center" vertical="center"/>
    </xf>
    <xf numFmtId="0" fontId="0" fillId="5" borderId="204" xfId="0" applyFill="1" applyBorder="1" applyAlignment="1">
      <alignment horizontal="center" vertical="center"/>
    </xf>
    <xf numFmtId="199" fontId="0" fillId="0" borderId="205" xfId="0" applyNumberFormat="1" applyBorder="1" applyAlignment="1">
      <alignment horizontal="center" vertical="center"/>
    </xf>
    <xf numFmtId="0" fontId="37" fillId="0" borderId="14" xfId="15846" applyFont="1" applyBorder="1" applyAlignment="1">
      <alignment horizontal="center" vertical="center"/>
    </xf>
    <xf numFmtId="199" fontId="0" fillId="0" borderId="15" xfId="0" applyNumberFormat="1" applyBorder="1" applyAlignment="1">
      <alignment horizontal="center" vertical="center"/>
    </xf>
    <xf numFmtId="0" fontId="37" fillId="0" borderId="18" xfId="15846" applyFont="1" applyBorder="1" applyAlignment="1">
      <alignment horizontal="center" vertical="center"/>
    </xf>
    <xf numFmtId="10" fontId="0" fillId="0" borderId="19" xfId="923" applyNumberFormat="1" applyFont="1" applyBorder="1" applyAlignment="1">
      <alignment horizontal="center" vertical="center"/>
    </xf>
    <xf numFmtId="0" fontId="135" fillId="0" borderId="5" xfId="15846" applyFont="1" applyBorder="1" applyAlignment="1">
      <alignment horizontal="center" vertical="center"/>
    </xf>
    <xf numFmtId="199" fontId="56" fillId="0" borderId="6" xfId="0" applyNumberFormat="1" applyFont="1" applyBorder="1" applyAlignment="1">
      <alignment horizontal="center" vertical="center"/>
    </xf>
    <xf numFmtId="0" fontId="35" fillId="0" borderId="147" xfId="124" applyFont="1" applyBorder="1" applyAlignment="1">
      <alignment horizontal="right" vertical="center" wrapText="1"/>
    </xf>
    <xf numFmtId="0" fontId="93" fillId="0" borderId="81" xfId="0" applyFont="1" applyBorder="1" applyAlignment="1">
      <alignment horizontal="center" vertical="center" wrapText="1"/>
    </xf>
    <xf numFmtId="0" fontId="4" fillId="0" borderId="0" xfId="786" applyFont="1" applyAlignment="1">
      <alignment vertical="center"/>
    </xf>
    <xf numFmtId="4" fontId="3" fillId="5" borderId="14" xfId="786" applyNumberFormat="1" applyFont="1" applyFill="1" applyBorder="1" applyAlignment="1">
      <alignment horizontal="right" vertical="center"/>
    </xf>
    <xf numFmtId="0" fontId="3" fillId="5" borderId="16" xfId="786" applyFont="1" applyFill="1" applyBorder="1" applyAlignment="1">
      <alignment vertical="center" wrapText="1"/>
    </xf>
    <xf numFmtId="0" fontId="3" fillId="5" borderId="16" xfId="786" applyFont="1" applyFill="1" applyBorder="1" applyAlignment="1">
      <alignment horizontal="center" vertical="center" wrapText="1"/>
    </xf>
    <xf numFmtId="4" fontId="4" fillId="5" borderId="16" xfId="786" applyNumberFormat="1" applyFont="1" applyFill="1" applyBorder="1" applyAlignment="1">
      <alignment vertical="center"/>
    </xf>
    <xf numFmtId="4" fontId="4" fillId="5" borderId="15" xfId="786" applyNumberFormat="1" applyFont="1" applyFill="1" applyBorder="1" applyAlignment="1">
      <alignment vertical="center"/>
    </xf>
    <xf numFmtId="4" fontId="4" fillId="5" borderId="0" xfId="786" applyNumberFormat="1" applyFont="1" applyFill="1" applyAlignment="1">
      <alignment vertical="center"/>
    </xf>
    <xf numFmtId="4" fontId="4" fillId="4" borderId="139" xfId="639" applyNumberFormat="1" applyFont="1" applyFill="1" applyBorder="1" applyAlignment="1">
      <alignment wrapText="1"/>
    </xf>
    <xf numFmtId="43" fontId="4" fillId="0" borderId="0" xfId="639" applyNumberFormat="1" applyFont="1"/>
    <xf numFmtId="166" fontId="35" fillId="4" borderId="139" xfId="640" applyFont="1" applyFill="1" applyBorder="1"/>
    <xf numFmtId="166" fontId="35" fillId="4" borderId="174" xfId="640" applyFont="1" applyFill="1" applyBorder="1"/>
    <xf numFmtId="166" fontId="83" fillId="4" borderId="173" xfId="640" applyFont="1" applyFill="1" applyBorder="1"/>
    <xf numFmtId="4" fontId="3" fillId="0" borderId="0" xfId="45" applyNumberFormat="1" applyFont="1" applyFill="1" applyBorder="1" applyAlignment="1">
      <alignment horizontal="left" vertical="center"/>
    </xf>
    <xf numFmtId="0" fontId="4" fillId="0" borderId="73" xfId="495" applyFont="1" applyBorder="1" applyAlignment="1">
      <alignment horizontal="center"/>
    </xf>
    <xf numFmtId="0" fontId="4" fillId="0" borderId="193" xfId="495" applyFont="1" applyBorder="1" applyAlignment="1">
      <alignment horizontal="center"/>
    </xf>
    <xf numFmtId="4" fontId="81" fillId="9" borderId="7" xfId="0" applyNumberFormat="1" applyFont="1" applyFill="1" applyBorder="1" applyAlignment="1">
      <alignment horizontal="right" vertical="center"/>
    </xf>
    <xf numFmtId="0" fontId="135" fillId="4" borderId="192" xfId="639" applyFont="1" applyFill="1" applyBorder="1" applyAlignment="1">
      <alignment horizontal="center" vertical="center"/>
    </xf>
    <xf numFmtId="195" fontId="135" fillId="4" borderId="193" xfId="1632" applyNumberFormat="1" applyFont="1" applyFill="1" applyBorder="1" applyAlignment="1">
      <alignment horizontal="center" vertical="center"/>
    </xf>
    <xf numFmtId="2" fontId="4" fillId="0" borderId="196" xfId="675" applyNumberFormat="1" applyFont="1" applyBorder="1" applyAlignment="1">
      <alignment horizontal="right" vertical="center"/>
    </xf>
    <xf numFmtId="4" fontId="4" fillId="0" borderId="196" xfId="1" applyNumberFormat="1" applyFont="1" applyBorder="1" applyAlignment="1">
      <alignment horizontal="right" vertical="center" wrapText="1"/>
    </xf>
    <xf numFmtId="2" fontId="4" fillId="0" borderId="148" xfId="1" applyNumberFormat="1" applyFont="1" applyBorder="1" applyAlignment="1">
      <alignment horizontal="right" vertical="center" wrapText="1"/>
    </xf>
    <xf numFmtId="0" fontId="4" fillId="0" borderId="0" xfId="0" applyFont="1" applyAlignment="1">
      <alignment horizontal="center" vertical="center"/>
    </xf>
    <xf numFmtId="2" fontId="4" fillId="5" borderId="193" xfId="639" applyNumberFormat="1" applyFont="1" applyFill="1" applyBorder="1" applyAlignment="1">
      <alignment horizontal="right" vertical="center"/>
    </xf>
    <xf numFmtId="168" fontId="4" fillId="0" borderId="193" xfId="1" applyNumberFormat="1" applyFont="1" applyBorder="1" applyAlignment="1">
      <alignment horizontal="right" vertical="center" wrapText="1"/>
    </xf>
    <xf numFmtId="168" fontId="4" fillId="0" borderId="196" xfId="1" applyNumberFormat="1" applyFont="1" applyBorder="1" applyAlignment="1">
      <alignment horizontal="right" vertical="center" wrapText="1"/>
    </xf>
    <xf numFmtId="4" fontId="2" fillId="0" borderId="193" xfId="0" applyNumberFormat="1" applyFont="1" applyBorder="1" applyAlignment="1">
      <alignment horizontal="right" vertical="center"/>
    </xf>
    <xf numFmtId="0" fontId="4" fillId="0" borderId="193" xfId="639" applyFont="1" applyBorder="1" applyAlignment="1">
      <alignment horizontal="right" vertical="center"/>
    </xf>
    <xf numFmtId="0" fontId="4" fillId="0" borderId="196" xfId="639" applyFont="1" applyBorder="1" applyAlignment="1">
      <alignment horizontal="right" vertical="center"/>
    </xf>
    <xf numFmtId="0" fontId="4" fillId="0" borderId="77" xfId="639" applyFont="1" applyBorder="1" applyAlignment="1">
      <alignment horizontal="center" vertical="center"/>
    </xf>
    <xf numFmtId="2" fontId="4" fillId="0" borderId="73" xfId="1" applyNumberFormat="1" applyFont="1" applyBorder="1" applyAlignment="1">
      <alignment horizontal="right" vertical="center" wrapText="1"/>
    </xf>
    <xf numFmtId="4" fontId="4" fillId="0" borderId="78" xfId="639" applyNumberFormat="1" applyFont="1" applyBorder="1" applyAlignment="1">
      <alignment horizontal="right" vertical="center"/>
    </xf>
    <xf numFmtId="0" fontId="4" fillId="0" borderId="11" xfId="0" applyFont="1" applyBorder="1" applyAlignment="1">
      <alignment horizontal="center" vertical="center"/>
    </xf>
    <xf numFmtId="0" fontId="4" fillId="0" borderId="140" xfId="1" applyFont="1" applyBorder="1" applyAlignment="1">
      <alignment vertical="center" wrapText="1"/>
    </xf>
    <xf numFmtId="0" fontId="4" fillId="0" borderId="140" xfId="1" applyFont="1" applyBorder="1" applyAlignment="1">
      <alignment horizontal="center" vertical="center" wrapText="1"/>
    </xf>
    <xf numFmtId="2" fontId="4" fillId="14" borderId="140" xfId="0" applyNumberFormat="1" applyFont="1" applyFill="1" applyBorder="1" applyAlignment="1">
      <alignment horizontal="right" vertical="center"/>
    </xf>
    <xf numFmtId="2" fontId="4" fillId="0" borderId="140" xfId="23" applyNumberFormat="1" applyFont="1" applyBorder="1" applyAlignment="1">
      <alignment horizontal="right" vertical="center"/>
    </xf>
    <xf numFmtId="166" fontId="4" fillId="0" borderId="142" xfId="50" applyFont="1" applyFill="1" applyBorder="1" applyAlignment="1">
      <alignment horizontal="left" vertical="center"/>
    </xf>
    <xf numFmtId="2" fontId="4" fillId="14" borderId="193" xfId="0" applyNumberFormat="1" applyFont="1" applyFill="1" applyBorder="1" applyAlignment="1">
      <alignment horizontal="right" vertical="center"/>
    </xf>
    <xf numFmtId="2" fontId="4" fillId="0" borderId="193" xfId="23" applyNumberFormat="1" applyFont="1" applyBorder="1" applyAlignment="1">
      <alignment horizontal="right" vertical="center"/>
    </xf>
    <xf numFmtId="166" fontId="4" fillId="0" borderId="193" xfId="50" applyFont="1" applyFill="1" applyBorder="1" applyAlignment="1">
      <alignment horizontal="left" vertical="center"/>
    </xf>
    <xf numFmtId="4" fontId="4" fillId="14" borderId="73" xfId="0" applyNumberFormat="1" applyFont="1" applyFill="1" applyBorder="1" applyAlignment="1">
      <alignment horizontal="right" vertical="center"/>
    </xf>
    <xf numFmtId="2" fontId="4" fillId="0" borderId="73" xfId="23" applyNumberFormat="1" applyFont="1" applyBorder="1" applyAlignment="1">
      <alignment horizontal="right" vertical="center"/>
    </xf>
    <xf numFmtId="166" fontId="4" fillId="0" borderId="78" xfId="50" applyFont="1" applyFill="1" applyBorder="1" applyAlignment="1">
      <alignment horizontal="left" vertical="center"/>
    </xf>
    <xf numFmtId="2" fontId="4" fillId="0" borderId="196" xfId="23" applyNumberFormat="1" applyFont="1" applyBorder="1" applyAlignment="1">
      <alignment horizontal="right" vertical="center"/>
    </xf>
    <xf numFmtId="167" fontId="4" fillId="14" borderId="193" xfId="0" applyNumberFormat="1" applyFont="1" applyFill="1" applyBorder="1" applyAlignment="1">
      <alignment horizontal="right" vertical="center"/>
    </xf>
    <xf numFmtId="168" fontId="4" fillId="14" borderId="193" xfId="0" applyNumberFormat="1" applyFont="1" applyFill="1" applyBorder="1" applyAlignment="1">
      <alignment horizontal="right" vertical="center"/>
    </xf>
    <xf numFmtId="4" fontId="2" fillId="0" borderId="197" xfId="0" applyNumberFormat="1" applyFont="1" applyBorder="1" applyAlignment="1">
      <alignment horizontal="right" vertical="center"/>
    </xf>
    <xf numFmtId="167" fontId="4" fillId="14" borderId="196" xfId="0" applyNumberFormat="1" applyFont="1" applyFill="1" applyBorder="1" applyAlignment="1">
      <alignment horizontal="right" vertical="center"/>
    </xf>
    <xf numFmtId="0" fontId="4" fillId="0" borderId="29" xfId="0" applyFont="1" applyBorder="1" applyAlignment="1">
      <alignment horizontal="center" vertical="center"/>
    </xf>
    <xf numFmtId="168" fontId="2" fillId="5" borderId="21" xfId="0" applyNumberFormat="1" applyFont="1" applyFill="1" applyBorder="1" applyAlignment="1">
      <alignment horizontal="right" vertical="center"/>
    </xf>
    <xf numFmtId="166" fontId="4" fillId="0" borderId="30" xfId="640" applyFont="1" applyFill="1" applyBorder="1" applyAlignment="1">
      <alignment horizontal="left" vertical="center"/>
    </xf>
    <xf numFmtId="167" fontId="4" fillId="0" borderId="193" xfId="0" applyNumberFormat="1" applyFont="1" applyBorder="1" applyAlignment="1">
      <alignment horizontal="right" vertical="center"/>
    </xf>
    <xf numFmtId="167" fontId="4" fillId="0" borderId="196" xfId="0" applyNumberFormat="1" applyFont="1" applyBorder="1" applyAlignment="1">
      <alignment horizontal="right" vertical="center"/>
    </xf>
    <xf numFmtId="2" fontId="35" fillId="0" borderId="193" xfId="124" applyNumberFormat="1" applyFont="1" applyBorder="1" applyAlignment="1">
      <alignment horizontal="right" vertical="center" wrapText="1"/>
    </xf>
    <xf numFmtId="167" fontId="35" fillId="0" borderId="147" xfId="124" applyNumberFormat="1" applyFont="1" applyBorder="1" applyAlignment="1">
      <alignment horizontal="right" vertical="center" wrapText="1"/>
    </xf>
    <xf numFmtId="2" fontId="35" fillId="0" borderId="73" xfId="124" applyNumberFormat="1" applyFont="1" applyBorder="1" applyAlignment="1">
      <alignment horizontal="right" vertical="center" wrapText="1"/>
    </xf>
    <xf numFmtId="166" fontId="4" fillId="0" borderId="193" xfId="639" applyNumberFormat="1" applyFont="1" applyBorder="1" applyAlignment="1">
      <alignment horizontal="right" vertical="center"/>
    </xf>
    <xf numFmtId="195" fontId="135" fillId="4" borderId="181" xfId="1632" applyNumberFormat="1" applyFont="1" applyFill="1" applyBorder="1" applyAlignment="1">
      <alignment horizontal="center" vertical="center"/>
    </xf>
    <xf numFmtId="195" fontId="135" fillId="4" borderId="36" xfId="1632" applyNumberFormat="1" applyFont="1" applyFill="1" applyBorder="1" applyAlignment="1">
      <alignment horizontal="center" vertical="center"/>
    </xf>
    <xf numFmtId="195" fontId="135" fillId="4" borderId="20" xfId="1632" applyNumberFormat="1" applyFont="1" applyFill="1" applyBorder="1" applyAlignment="1">
      <alignment horizontal="center" vertical="center"/>
    </xf>
    <xf numFmtId="195" fontId="135" fillId="4" borderId="38" xfId="1632" applyNumberFormat="1" applyFont="1" applyFill="1" applyBorder="1" applyAlignment="1">
      <alignment horizontal="center" vertical="center"/>
    </xf>
    <xf numFmtId="0" fontId="37" fillId="0" borderId="180" xfId="639" applyFont="1" applyBorder="1" applyAlignment="1">
      <alignment horizontal="center" vertical="center"/>
    </xf>
    <xf numFmtId="2" fontId="37" fillId="0" borderId="175" xfId="639" applyNumberFormat="1" applyFont="1" applyBorder="1" applyAlignment="1">
      <alignment horizontal="center" vertical="center"/>
    </xf>
    <xf numFmtId="2" fontId="37" fillId="44" borderId="175" xfId="639" applyNumberFormat="1" applyFont="1" applyFill="1" applyBorder="1" applyAlignment="1">
      <alignment horizontal="center" vertical="center"/>
    </xf>
    <xf numFmtId="4" fontId="37" fillId="0" borderId="182" xfId="639" applyNumberFormat="1" applyFont="1" applyBorder="1" applyAlignment="1">
      <alignment horizontal="center" vertical="center"/>
    </xf>
    <xf numFmtId="4" fontId="3" fillId="4" borderId="196" xfId="639" applyNumberFormat="1" applyFont="1" applyFill="1" applyBorder="1" applyAlignment="1">
      <alignment horizontal="center" vertical="center"/>
    </xf>
    <xf numFmtId="49" fontId="3" fillId="4" borderId="190" xfId="639" applyNumberFormat="1" applyFont="1" applyFill="1" applyBorder="1" applyAlignment="1">
      <alignment vertical="center"/>
    </xf>
    <xf numFmtId="4" fontId="3" fillId="4" borderId="197" xfId="639" applyNumberFormat="1" applyFont="1" applyFill="1" applyBorder="1" applyAlignment="1">
      <alignment horizontal="center" vertical="center"/>
    </xf>
    <xf numFmtId="190" fontId="3" fillId="0" borderId="0" xfId="639" applyNumberFormat="1" applyFont="1" applyAlignment="1">
      <alignment vertical="center"/>
    </xf>
    <xf numFmtId="49" fontId="3" fillId="0" borderId="0" xfId="639" applyNumberFormat="1" applyFont="1" applyAlignment="1">
      <alignment vertical="center"/>
    </xf>
    <xf numFmtId="0" fontId="0" fillId="0" borderId="0" xfId="0" applyAlignment="1">
      <alignment horizontal="right"/>
    </xf>
    <xf numFmtId="0" fontId="5" fillId="5" borderId="175" xfId="1626" applyFill="1" applyBorder="1" applyAlignment="1">
      <alignment horizontal="left" vertical="center"/>
    </xf>
    <xf numFmtId="0" fontId="5" fillId="5" borderId="39" xfId="1626" applyFill="1" applyBorder="1" applyAlignment="1">
      <alignment horizontal="left" vertical="center"/>
    </xf>
    <xf numFmtId="0" fontId="5" fillId="5" borderId="41" xfId="1626" applyFill="1" applyBorder="1" applyAlignment="1">
      <alignment horizontal="left" vertical="center"/>
    </xf>
    <xf numFmtId="195" fontId="135" fillId="4" borderId="181" xfId="1632" applyNumberFormat="1" applyFont="1" applyFill="1" applyBorder="1" applyAlignment="1">
      <alignment horizontal="center" vertical="center" wrapText="1"/>
    </xf>
    <xf numFmtId="195" fontId="135" fillId="0" borderId="181" xfId="1632" applyNumberFormat="1" applyFont="1" applyBorder="1" applyAlignment="1">
      <alignment horizontal="center" vertical="center" wrapText="1"/>
    </xf>
    <xf numFmtId="195" fontId="135" fillId="0" borderId="36" xfId="1632" applyNumberFormat="1" applyFont="1" applyBorder="1" applyAlignment="1">
      <alignment horizontal="center" vertical="center"/>
    </xf>
    <xf numFmtId="0" fontId="37" fillId="0" borderId="214" xfId="639" applyFont="1" applyBorder="1" applyAlignment="1">
      <alignment horizontal="center" vertical="center"/>
    </xf>
    <xf numFmtId="2" fontId="37" fillId="0" borderId="215" xfId="639" applyNumberFormat="1" applyFont="1" applyBorder="1" applyAlignment="1">
      <alignment horizontal="center" vertical="center"/>
    </xf>
    <xf numFmtId="4" fontId="37" fillId="0" borderId="215" xfId="639" applyNumberFormat="1" applyFont="1" applyBorder="1" applyAlignment="1">
      <alignment horizontal="center" vertical="center"/>
    </xf>
    <xf numFmtId="2" fontId="37" fillId="44" borderId="214" xfId="639" applyNumberFormat="1" applyFont="1" applyFill="1" applyBorder="1" applyAlignment="1">
      <alignment horizontal="center" vertical="center"/>
    </xf>
    <xf numFmtId="196" fontId="37" fillId="0" borderId="214" xfId="639" applyNumberFormat="1" applyFont="1" applyBorder="1" applyAlignment="1">
      <alignment horizontal="center" vertical="center"/>
    </xf>
    <xf numFmtId="2" fontId="37" fillId="0" borderId="36" xfId="639" applyNumberFormat="1" applyFont="1" applyBorder="1" applyAlignment="1">
      <alignment horizontal="center" vertical="center"/>
    </xf>
    <xf numFmtId="0" fontId="37" fillId="0" borderId="217" xfId="639" applyFont="1" applyBorder="1" applyAlignment="1">
      <alignment horizontal="center" vertical="center"/>
    </xf>
    <xf numFmtId="2" fontId="37" fillId="0" borderId="218" xfId="639" applyNumberFormat="1" applyFont="1" applyBorder="1" applyAlignment="1">
      <alignment horizontal="center" vertical="center"/>
    </xf>
    <xf numFmtId="4" fontId="37" fillId="0" borderId="218" xfId="639" applyNumberFormat="1" applyFont="1" applyBorder="1" applyAlignment="1">
      <alignment horizontal="center" vertical="center"/>
    </xf>
    <xf numFmtId="2" fontId="37" fillId="44" borderId="217" xfId="639" applyNumberFormat="1" applyFont="1" applyFill="1" applyBorder="1" applyAlignment="1">
      <alignment horizontal="center" vertical="center"/>
    </xf>
    <xf numFmtId="196" fontId="37" fillId="0" borderId="217" xfId="639" applyNumberFormat="1" applyFont="1" applyBorder="1" applyAlignment="1">
      <alignment horizontal="center" vertical="center"/>
    </xf>
    <xf numFmtId="4" fontId="3" fillId="4" borderId="193" xfId="639" applyNumberFormat="1" applyFont="1" applyFill="1" applyBorder="1" applyAlignment="1">
      <alignment horizontal="center" vertical="center"/>
    </xf>
    <xf numFmtId="49" fontId="3" fillId="4" borderId="207" xfId="639" applyNumberFormat="1" applyFont="1" applyFill="1" applyBorder="1" applyAlignment="1">
      <alignment vertical="center"/>
    </xf>
    <xf numFmtId="4" fontId="3" fillId="0" borderId="20" xfId="639" applyNumberFormat="1" applyFont="1" applyBorder="1" applyAlignment="1">
      <alignment horizontal="center" vertical="center"/>
    </xf>
    <xf numFmtId="196" fontId="3" fillId="0" borderId="0" xfId="639" applyNumberFormat="1" applyFont="1" applyAlignment="1">
      <alignment vertical="center"/>
    </xf>
    <xf numFmtId="0" fontId="37" fillId="0" borderId="0" xfId="639" applyFont="1" applyAlignment="1">
      <alignment horizontal="left" vertical="center"/>
    </xf>
    <xf numFmtId="0" fontId="37" fillId="0" borderId="181" xfId="639" applyFont="1" applyBorder="1" applyAlignment="1">
      <alignment horizontal="center" vertical="center"/>
    </xf>
    <xf numFmtId="4" fontId="37" fillId="0" borderId="175" xfId="639" applyNumberFormat="1" applyFont="1" applyBorder="1" applyAlignment="1">
      <alignment horizontal="center" vertical="center"/>
    </xf>
    <xf numFmtId="168" fontId="37" fillId="44" borderId="181" xfId="639" applyNumberFormat="1" applyFont="1" applyFill="1" applyBorder="1" applyAlignment="1">
      <alignment horizontal="center" vertical="center"/>
    </xf>
    <xf numFmtId="167" fontId="37" fillId="0" borderId="181" xfId="639" applyNumberFormat="1" applyFont="1" applyBorder="1" applyAlignment="1">
      <alignment horizontal="center" vertical="center"/>
    </xf>
    <xf numFmtId="0" fontId="18" fillId="4" borderId="193" xfId="639" applyFont="1" applyFill="1" applyBorder="1" applyAlignment="1">
      <alignment horizontal="center" vertical="center"/>
    </xf>
    <xf numFmtId="195" fontId="135" fillId="4" borderId="46" xfId="1632" applyNumberFormat="1" applyFont="1" applyFill="1" applyBorder="1" applyAlignment="1">
      <alignment horizontal="center" vertical="center"/>
    </xf>
    <xf numFmtId="195" fontId="135" fillId="4" borderId="42" xfId="1632" applyNumberFormat="1" applyFont="1" applyFill="1" applyBorder="1" applyAlignment="1">
      <alignment horizontal="center" vertical="center"/>
    </xf>
    <xf numFmtId="200" fontId="37" fillId="44" borderId="175" xfId="639" applyNumberFormat="1" applyFont="1" applyFill="1" applyBorder="1" applyAlignment="1">
      <alignment horizontal="center" vertical="center"/>
    </xf>
    <xf numFmtId="4" fontId="37" fillId="44" borderId="181" xfId="639" applyNumberFormat="1" applyFont="1" applyFill="1" applyBorder="1" applyAlignment="1">
      <alignment horizontal="center" vertical="center"/>
    </xf>
    <xf numFmtId="4" fontId="37" fillId="0" borderId="181" xfId="639" applyNumberFormat="1" applyFont="1" applyBorder="1" applyAlignment="1">
      <alignment horizontal="center" vertical="center"/>
    </xf>
    <xf numFmtId="0" fontId="3" fillId="4" borderId="207" xfId="639" applyFont="1" applyFill="1" applyBorder="1" applyAlignment="1">
      <alignment vertical="center"/>
    </xf>
    <xf numFmtId="201" fontId="37" fillId="0" borderId="175" xfId="639" applyNumberFormat="1" applyFont="1" applyBorder="1" applyAlignment="1">
      <alignment horizontal="center" vertical="center"/>
    </xf>
    <xf numFmtId="196" fontId="37" fillId="0" borderId="175" xfId="639" applyNumberFormat="1" applyFont="1" applyBorder="1" applyAlignment="1">
      <alignment horizontal="center" vertical="center"/>
    </xf>
    <xf numFmtId="0" fontId="37" fillId="0" borderId="175" xfId="639" applyFont="1" applyBorder="1" applyAlignment="1">
      <alignment horizontal="center" vertical="center"/>
    </xf>
    <xf numFmtId="0" fontId="83" fillId="0" borderId="206" xfId="639" applyFont="1" applyBorder="1" applyAlignment="1">
      <alignment horizontal="center" vertical="center"/>
    </xf>
    <xf numFmtId="0" fontId="135" fillId="0" borderId="208" xfId="639" applyFont="1" applyBorder="1" applyAlignment="1">
      <alignment horizontal="left" vertical="center"/>
    </xf>
    <xf numFmtId="0" fontId="83" fillId="0" borderId="208" xfId="639" applyFont="1" applyBorder="1" applyAlignment="1">
      <alignment horizontal="center" vertical="center"/>
    </xf>
    <xf numFmtId="0" fontId="83" fillId="0" borderId="200" xfId="639" applyFont="1" applyBorder="1" applyAlignment="1">
      <alignment horizontal="center" vertical="center"/>
    </xf>
    <xf numFmtId="0" fontId="83" fillId="0" borderId="18" xfId="639" applyFont="1" applyBorder="1" applyAlignment="1">
      <alignment horizontal="center" vertical="center"/>
    </xf>
    <xf numFmtId="0" fontId="135" fillId="0" borderId="0" xfId="639" applyFont="1" applyAlignment="1">
      <alignment horizontal="left" vertical="center"/>
    </xf>
    <xf numFmtId="0" fontId="83" fillId="0" borderId="0" xfId="639" applyFont="1" applyAlignment="1">
      <alignment horizontal="center" vertical="center"/>
    </xf>
    <xf numFmtId="0" fontId="83" fillId="0" borderId="19" xfId="639" applyFont="1" applyBorder="1" applyAlignment="1">
      <alignment horizontal="center" vertical="center"/>
    </xf>
    <xf numFmtId="0" fontId="135" fillId="0" borderId="0" xfId="639" applyFont="1" applyAlignment="1">
      <alignment horizontal="right" vertical="center"/>
    </xf>
    <xf numFmtId="17" fontId="83" fillId="0" borderId="19" xfId="639" applyNumberFormat="1" applyFont="1" applyBorder="1" applyAlignment="1">
      <alignment horizontal="left" vertical="center"/>
    </xf>
    <xf numFmtId="197" fontId="37" fillId="0" borderId="192" xfId="639" applyNumberFormat="1" applyFont="1" applyBorder="1" applyAlignment="1">
      <alignment horizontal="center" vertical="center"/>
    </xf>
    <xf numFmtId="0" fontId="37" fillId="0" borderId="193" xfId="639" applyFont="1" applyBorder="1" applyAlignment="1">
      <alignment horizontal="left" vertical="center"/>
    </xf>
    <xf numFmtId="199" fontId="37" fillId="0" borderId="194" xfId="639" applyNumberFormat="1" applyFont="1" applyBorder="1" applyAlignment="1">
      <alignment horizontal="center" vertical="center"/>
    </xf>
    <xf numFmtId="197" fontId="37" fillId="5" borderId="192" xfId="639" applyNumberFormat="1" applyFont="1" applyFill="1" applyBorder="1" applyAlignment="1">
      <alignment horizontal="center" vertical="center"/>
    </xf>
    <xf numFmtId="0" fontId="37" fillId="5" borderId="193" xfId="639" applyFont="1" applyFill="1" applyBorder="1" applyAlignment="1">
      <alignment horizontal="left" vertical="center"/>
    </xf>
    <xf numFmtId="2" fontId="37" fillId="5" borderId="193" xfId="639" applyNumberFormat="1" applyFont="1" applyFill="1" applyBorder="1" applyAlignment="1">
      <alignment horizontal="center" vertical="center"/>
    </xf>
    <xf numFmtId="199" fontId="37" fillId="5" borderId="194" xfId="639" applyNumberFormat="1" applyFont="1" applyFill="1" applyBorder="1" applyAlignment="1">
      <alignment horizontal="center" vertical="center"/>
    </xf>
    <xf numFmtId="197" fontId="37" fillId="83" borderId="192" xfId="639" applyNumberFormat="1" applyFont="1" applyFill="1" applyBorder="1" applyAlignment="1">
      <alignment horizontal="center" vertical="center"/>
    </xf>
    <xf numFmtId="0" fontId="37" fillId="83" borderId="193" xfId="639" applyFont="1" applyFill="1" applyBorder="1" applyAlignment="1">
      <alignment horizontal="left" vertical="center"/>
    </xf>
    <xf numFmtId="2" fontId="37" fillId="83" borderId="193" xfId="639" applyNumberFormat="1" applyFont="1" applyFill="1" applyBorder="1" applyAlignment="1">
      <alignment horizontal="center" vertical="center"/>
    </xf>
    <xf numFmtId="199" fontId="37" fillId="83" borderId="194" xfId="639" applyNumberFormat="1" applyFont="1" applyFill="1" applyBorder="1" applyAlignment="1">
      <alignment horizontal="center" vertical="center"/>
    </xf>
    <xf numFmtId="0" fontId="130" fillId="0" borderId="14" xfId="7751" applyFont="1" applyBorder="1" applyAlignment="1">
      <alignment vertical="center"/>
    </xf>
    <xf numFmtId="0" fontId="130" fillId="0" borderId="15" xfId="7751" applyFont="1" applyBorder="1" applyAlignment="1">
      <alignment vertical="center"/>
    </xf>
    <xf numFmtId="0" fontId="130" fillId="0" borderId="0" xfId="7751" applyFont="1" applyAlignment="1">
      <alignment vertical="center"/>
    </xf>
    <xf numFmtId="0" fontId="130" fillId="0" borderId="18" xfId="7751" applyFont="1" applyBorder="1" applyAlignment="1">
      <alignment vertical="center"/>
    </xf>
    <xf numFmtId="0" fontId="130" fillId="0" borderId="19" xfId="7751" applyFont="1" applyBorder="1" applyAlignment="1">
      <alignment vertical="center"/>
    </xf>
    <xf numFmtId="0" fontId="5" fillId="0" borderId="206" xfId="7751" applyBorder="1" applyAlignment="1">
      <alignment vertical="center"/>
    </xf>
    <xf numFmtId="0" fontId="5" fillId="0" borderId="208" xfId="7751" applyBorder="1" applyAlignment="1">
      <alignment vertical="center"/>
    </xf>
    <xf numFmtId="0" fontId="18" fillId="0" borderId="208" xfId="7751" applyFont="1" applyBorder="1" applyAlignment="1">
      <alignment vertical="center"/>
    </xf>
    <xf numFmtId="202" fontId="5" fillId="0" borderId="208" xfId="7751" applyNumberFormat="1" applyBorder="1" applyAlignment="1">
      <alignment vertical="center"/>
    </xf>
    <xf numFmtId="0" fontId="5" fillId="0" borderId="200" xfId="7751" applyBorder="1" applyAlignment="1">
      <alignment vertical="center"/>
    </xf>
    <xf numFmtId="0" fontId="5" fillId="0" borderId="0" xfId="7751" applyAlignment="1">
      <alignment vertical="center"/>
    </xf>
    <xf numFmtId="0" fontId="5" fillId="0" borderId="18" xfId="7751" applyBorder="1" applyAlignment="1">
      <alignment vertical="center"/>
    </xf>
    <xf numFmtId="0" fontId="18" fillId="0" borderId="0" xfId="7751" applyFont="1" applyAlignment="1">
      <alignment vertical="center"/>
    </xf>
    <xf numFmtId="202" fontId="5" fillId="0" borderId="0" xfId="7751" applyNumberFormat="1" applyAlignment="1">
      <alignment vertical="center"/>
    </xf>
    <xf numFmtId="0" fontId="5" fillId="0" borderId="19" xfId="7751" applyBorder="1" applyAlignment="1">
      <alignment vertical="center"/>
    </xf>
    <xf numFmtId="0" fontId="5" fillId="0" borderId="26" xfId="7751" applyBorder="1" applyAlignment="1">
      <alignment vertical="center"/>
    </xf>
    <xf numFmtId="0" fontId="5" fillId="0" borderId="27" xfId="7751" applyBorder="1" applyAlignment="1">
      <alignment vertical="center"/>
    </xf>
    <xf numFmtId="202" fontId="5" fillId="0" borderId="27" xfId="7751" applyNumberFormat="1" applyBorder="1" applyAlignment="1">
      <alignment vertical="center"/>
    </xf>
    <xf numFmtId="0" fontId="5" fillId="0" borderId="28" xfId="7751" applyBorder="1" applyAlignment="1">
      <alignment vertical="center"/>
    </xf>
    <xf numFmtId="202" fontId="3" fillId="0" borderId="18" xfId="7751" applyNumberFormat="1" applyFont="1" applyBorder="1" applyAlignment="1">
      <alignment horizontal="center" vertical="center"/>
    </xf>
    <xf numFmtId="202" fontId="3" fillId="0" borderId="0" xfId="7751" applyNumberFormat="1" applyFont="1" applyAlignment="1">
      <alignment horizontal="center" vertical="center"/>
    </xf>
    <xf numFmtId="202" fontId="3" fillId="0" borderId="208" xfId="7751" applyNumberFormat="1" applyFont="1" applyBorder="1" applyAlignment="1">
      <alignment horizontal="center" vertical="center"/>
    </xf>
    <xf numFmtId="0" fontId="18" fillId="0" borderId="220" xfId="7751" applyFont="1" applyBorder="1" applyAlignment="1">
      <alignment vertical="center"/>
    </xf>
    <xf numFmtId="0" fontId="18" fillId="0" borderId="224" xfId="7751" applyFont="1" applyBorder="1" applyAlignment="1">
      <alignment horizontal="center" vertical="center"/>
    </xf>
    <xf numFmtId="0" fontId="18" fillId="0" borderId="230" xfId="7751" applyFont="1" applyBorder="1" applyAlignment="1">
      <alignment vertical="top"/>
    </xf>
    <xf numFmtId="1" fontId="4" fillId="44" borderId="231" xfId="7751" applyNumberFormat="1" applyFont="1" applyFill="1" applyBorder="1" applyAlignment="1">
      <alignment vertical="center"/>
    </xf>
    <xf numFmtId="1" fontId="4" fillId="44" borderId="232" xfId="7751" applyNumberFormat="1" applyFont="1" applyFill="1" applyBorder="1" applyAlignment="1">
      <alignment vertical="center" wrapText="1"/>
    </xf>
    <xf numFmtId="1" fontId="4" fillId="44" borderId="233" xfId="7751" applyNumberFormat="1" applyFont="1" applyFill="1" applyBorder="1" applyAlignment="1">
      <alignment vertical="center" wrapText="1"/>
    </xf>
    <xf numFmtId="0" fontId="18" fillId="0" borderId="234" xfId="7751" applyFont="1" applyBorder="1" applyAlignment="1">
      <alignment vertical="center"/>
    </xf>
    <xf numFmtId="0" fontId="5" fillId="44" borderId="237" xfId="7751" applyFill="1" applyBorder="1" applyAlignment="1">
      <alignment horizontal="center" vertical="center"/>
    </xf>
    <xf numFmtId="0" fontId="18" fillId="0" borderId="238" xfId="7751" applyFont="1" applyBorder="1" applyAlignment="1">
      <alignment horizontal="center" vertical="center"/>
    </xf>
    <xf numFmtId="202" fontId="23" fillId="0" borderId="176" xfId="7751" applyNumberFormat="1" applyFont="1" applyBorder="1" applyAlignment="1">
      <alignment horizontal="center" vertical="center"/>
    </xf>
    <xf numFmtId="202" fontId="23" fillId="0" borderId="208" xfId="7751" applyNumberFormat="1" applyFont="1" applyBorder="1" applyAlignment="1">
      <alignment horizontal="centerContinuous" vertical="center"/>
    </xf>
    <xf numFmtId="202" fontId="23" fillId="0" borderId="176" xfId="7751" applyNumberFormat="1" applyFont="1" applyBorder="1" applyAlignment="1">
      <alignment horizontal="centerContinuous" vertical="center"/>
    </xf>
    <xf numFmtId="202" fontId="23" fillId="0" borderId="27" xfId="7751" applyNumberFormat="1" applyFont="1" applyBorder="1" applyAlignment="1">
      <alignment horizontal="centerContinuous" vertical="center"/>
    </xf>
    <xf numFmtId="202" fontId="23" fillId="0" borderId="42" xfId="7751" applyNumberFormat="1" applyFont="1" applyBorder="1" applyAlignment="1">
      <alignment horizontal="centerContinuous" vertical="center"/>
    </xf>
    <xf numFmtId="202" fontId="23" fillId="0" borderId="20" xfId="7751" applyNumberFormat="1" applyFont="1" applyBorder="1" applyAlignment="1">
      <alignment horizontal="center" vertical="center"/>
    </xf>
    <xf numFmtId="0" fontId="169" fillId="44" borderId="179" xfId="7751" applyFont="1" applyFill="1" applyBorder="1" applyAlignment="1">
      <alignment horizontal="center" vertical="center"/>
    </xf>
    <xf numFmtId="0" fontId="169" fillId="44" borderId="174" xfId="7751" applyFont="1" applyFill="1" applyBorder="1" applyAlignment="1">
      <alignment vertical="center"/>
    </xf>
    <xf numFmtId="0" fontId="5" fillId="44" borderId="193" xfId="7751" applyFill="1" applyBorder="1" applyAlignment="1">
      <alignment vertical="center"/>
    </xf>
    <xf numFmtId="0" fontId="169" fillId="0" borderId="193" xfId="7751" applyFont="1" applyBorder="1" applyAlignment="1">
      <alignment vertical="center" wrapText="1"/>
    </xf>
    <xf numFmtId="4" fontId="169" fillId="0" borderId="193" xfId="7751" applyNumberFormat="1" applyFont="1" applyBorder="1" applyAlignment="1">
      <alignment horizontal="center" vertical="center"/>
    </xf>
    <xf numFmtId="168" fontId="169" fillId="0" borderId="193" xfId="7751" applyNumberFormat="1" applyFont="1" applyBorder="1" applyAlignment="1">
      <alignment vertical="center"/>
    </xf>
    <xf numFmtId="203" fontId="5" fillId="0" borderId="0" xfId="7751" applyNumberFormat="1" applyAlignment="1">
      <alignment vertical="center"/>
    </xf>
    <xf numFmtId="197" fontId="169" fillId="44" borderId="179" xfId="7751" applyNumberFormat="1" applyFont="1" applyFill="1" applyBorder="1" applyAlignment="1">
      <alignment horizontal="center" vertical="center"/>
    </xf>
    <xf numFmtId="0" fontId="169" fillId="44" borderId="193" xfId="7751" applyFont="1" applyFill="1" applyBorder="1" applyAlignment="1">
      <alignment vertical="center" wrapText="1"/>
    </xf>
    <xf numFmtId="4" fontId="169" fillId="44" borderId="193" xfId="7751" applyNumberFormat="1" applyFont="1" applyFill="1" applyBorder="1" applyAlignment="1">
      <alignment horizontal="center" vertical="center"/>
    </xf>
    <xf numFmtId="168" fontId="169" fillId="44" borderId="193" xfId="7751" applyNumberFormat="1" applyFont="1" applyFill="1" applyBorder="1" applyAlignment="1">
      <alignment vertical="center"/>
    </xf>
    <xf numFmtId="0" fontId="5" fillId="0" borderId="8" xfId="7751" applyBorder="1" applyAlignment="1">
      <alignment vertical="center"/>
    </xf>
    <xf numFmtId="202" fontId="23" fillId="0" borderId="196" xfId="7751" applyNumberFormat="1" applyFont="1" applyBorder="1" applyAlignment="1">
      <alignment vertical="center"/>
    </xf>
    <xf numFmtId="0" fontId="5" fillId="0" borderId="212" xfId="7751" applyBorder="1" applyAlignment="1">
      <alignment vertical="center"/>
    </xf>
    <xf numFmtId="0" fontId="51" fillId="0" borderId="0" xfId="7751" applyFont="1" applyAlignment="1">
      <alignment vertical="center"/>
    </xf>
    <xf numFmtId="17" fontId="51" fillId="0" borderId="16" xfId="7751" applyNumberFormat="1" applyFont="1" applyBorder="1" applyAlignment="1">
      <alignment horizontal="left" vertical="center"/>
    </xf>
    <xf numFmtId="0" fontId="51" fillId="0" borderId="16" xfId="7751" applyFont="1" applyBorder="1" applyAlignment="1">
      <alignment vertical="center"/>
    </xf>
    <xf numFmtId="202" fontId="51" fillId="0" borderId="0" xfId="7751" applyNumberFormat="1" applyFont="1" applyAlignment="1">
      <alignment vertical="center"/>
    </xf>
    <xf numFmtId="4" fontId="169" fillId="44" borderId="193" xfId="7751" applyNumberFormat="1" applyFont="1" applyFill="1" applyBorder="1" applyAlignment="1">
      <alignment vertical="center"/>
    </xf>
    <xf numFmtId="4" fontId="169" fillId="0" borderId="193" xfId="7751" applyNumberFormat="1" applyFont="1" applyBorder="1" applyAlignment="1">
      <alignment vertical="center"/>
    </xf>
    <xf numFmtId="0" fontId="37" fillId="7" borderId="192" xfId="15846" applyFont="1" applyFill="1" applyBorder="1" applyAlignment="1">
      <alignment horizontal="center" vertical="center"/>
    </xf>
    <xf numFmtId="14" fontId="37" fillId="7" borderId="193" xfId="15846" applyNumberFormat="1" applyFont="1" applyFill="1" applyBorder="1" applyAlignment="1">
      <alignment horizontal="center" vertical="center"/>
    </xf>
    <xf numFmtId="2" fontId="37" fillId="7" borderId="193" xfId="15846" applyNumberFormat="1" applyFont="1" applyFill="1" applyBorder="1" applyAlignment="1">
      <alignment horizontal="center" vertical="center"/>
    </xf>
    <xf numFmtId="168" fontId="37" fillId="7" borderId="193" xfId="15846" applyNumberFormat="1" applyFont="1" applyFill="1" applyBorder="1" applyAlignment="1">
      <alignment horizontal="center" vertical="center"/>
    </xf>
    <xf numFmtId="167" fontId="37" fillId="7" borderId="193" xfId="15846" applyNumberFormat="1" applyFont="1" applyFill="1" applyBorder="1" applyAlignment="1">
      <alignment horizontal="center" vertical="center"/>
    </xf>
    <xf numFmtId="2" fontId="37" fillId="7" borderId="194" xfId="15846" applyNumberFormat="1" applyFont="1" applyFill="1" applyBorder="1" applyAlignment="1">
      <alignment horizontal="center" vertical="center"/>
    </xf>
    <xf numFmtId="0" fontId="37" fillId="0" borderId="192" xfId="15846" applyFont="1" applyBorder="1" applyAlignment="1">
      <alignment horizontal="center" vertical="center"/>
    </xf>
    <xf numFmtId="14" fontId="37" fillId="0" borderId="193" xfId="15846" applyNumberFormat="1" applyFont="1" applyBorder="1" applyAlignment="1">
      <alignment horizontal="center" vertical="center"/>
    </xf>
    <xf numFmtId="2" fontId="37" fillId="0" borderId="193" xfId="15846" applyNumberFormat="1" applyFont="1" applyBorder="1" applyAlignment="1">
      <alignment horizontal="center" vertical="center"/>
    </xf>
    <xf numFmtId="168" fontId="37" fillId="0" borderId="193" xfId="15846" applyNumberFormat="1" applyFont="1" applyBorder="1" applyAlignment="1">
      <alignment horizontal="center" vertical="center"/>
    </xf>
    <xf numFmtId="167" fontId="37" fillId="0" borderId="193" xfId="15846" applyNumberFormat="1" applyFont="1" applyBorder="1" applyAlignment="1">
      <alignment horizontal="center" vertical="center"/>
    </xf>
    <xf numFmtId="2" fontId="37" fillId="0" borderId="194" xfId="15846" applyNumberFormat="1" applyFont="1" applyBorder="1" applyAlignment="1">
      <alignment horizontal="center" vertical="center"/>
    </xf>
    <xf numFmtId="4" fontId="3" fillId="4" borderId="193" xfId="15846" applyNumberFormat="1" applyFont="1" applyFill="1" applyBorder="1" applyAlignment="1">
      <alignment horizontal="center" vertical="center"/>
    </xf>
    <xf numFmtId="49" fontId="3" fillId="4" borderId="193" xfId="15846" applyNumberFormat="1" applyFont="1" applyFill="1" applyBorder="1" applyAlignment="1">
      <alignment vertical="center"/>
    </xf>
    <xf numFmtId="4" fontId="3" fillId="4" borderId="194" xfId="15846" applyNumberFormat="1" applyFont="1" applyFill="1" applyBorder="1" applyAlignment="1">
      <alignment horizontal="center" vertical="center"/>
    </xf>
    <xf numFmtId="0" fontId="3" fillId="0" borderId="0" xfId="15846" applyFont="1" applyAlignment="1">
      <alignment vertical="center"/>
    </xf>
    <xf numFmtId="190" fontId="3" fillId="0" borderId="0" xfId="15846" applyNumberFormat="1" applyFont="1" applyAlignment="1">
      <alignment vertical="center"/>
    </xf>
    <xf numFmtId="49" fontId="3" fillId="0" borderId="0" xfId="15846" applyNumberFormat="1" applyFont="1" applyAlignment="1">
      <alignment vertical="center"/>
    </xf>
    <xf numFmtId="0" fontId="176" fillId="0" borderId="14" xfId="1632" applyFont="1" applyBorder="1" applyAlignment="1">
      <alignment vertical="center"/>
    </xf>
    <xf numFmtId="0" fontId="175" fillId="0" borderId="16" xfId="1632" applyFont="1" applyBorder="1" applyAlignment="1">
      <alignment vertical="center"/>
    </xf>
    <xf numFmtId="0" fontId="175" fillId="0" borderId="15" xfId="1632" applyFont="1" applyBorder="1" applyAlignment="1">
      <alignment vertical="center"/>
    </xf>
    <xf numFmtId="0" fontId="176" fillId="0" borderId="18" xfId="1632" applyFont="1" applyBorder="1" applyAlignment="1">
      <alignment vertical="center"/>
    </xf>
    <xf numFmtId="0" fontId="175" fillId="0" borderId="0" xfId="1632" applyFont="1" applyAlignment="1">
      <alignment horizontal="left" vertical="center"/>
    </xf>
    <xf numFmtId="0" fontId="175" fillId="0" borderId="19" xfId="1632" applyFont="1" applyBorder="1" applyAlignment="1">
      <alignment horizontal="left" vertical="center"/>
    </xf>
    <xf numFmtId="0" fontId="175" fillId="0" borderId="0" xfId="1632" applyFont="1" applyAlignment="1">
      <alignment vertical="center"/>
    </xf>
    <xf numFmtId="0" fontId="175" fillId="0" borderId="19" xfId="1632" applyFont="1" applyBorder="1" applyAlignment="1">
      <alignment vertical="center"/>
    </xf>
    <xf numFmtId="181" fontId="175" fillId="0" borderId="211" xfId="1632" applyNumberFormat="1" applyFont="1" applyBorder="1" applyAlignment="1">
      <alignment vertical="center"/>
    </xf>
    <xf numFmtId="181" fontId="175" fillId="0" borderId="212" xfId="1632" applyNumberFormat="1" applyFont="1" applyBorder="1" applyAlignment="1">
      <alignment vertical="center"/>
    </xf>
    <xf numFmtId="204" fontId="177" fillId="84" borderId="193" xfId="8119" applyNumberFormat="1" applyFont="1" applyFill="1" applyBorder="1" applyAlignment="1">
      <alignment horizontal="center" vertical="center" wrapText="1"/>
    </xf>
    <xf numFmtId="204" fontId="177" fillId="84" borderId="181" xfId="772" applyNumberFormat="1" applyFont="1" applyFill="1" applyBorder="1" applyAlignment="1">
      <alignment horizontal="center" vertical="center" wrapText="1"/>
    </xf>
    <xf numFmtId="204" fontId="177" fillId="84" borderId="182" xfId="772" applyNumberFormat="1" applyFont="1" applyFill="1" applyBorder="1" applyAlignment="1">
      <alignment horizontal="center" vertical="center" wrapText="1"/>
    </xf>
    <xf numFmtId="204" fontId="177" fillId="84" borderId="20" xfId="772" applyNumberFormat="1" applyFont="1" applyFill="1" applyBorder="1" applyAlignment="1">
      <alignment horizontal="center" vertical="center" wrapText="1"/>
    </xf>
    <xf numFmtId="204" fontId="177" fillId="84" borderId="20" xfId="772" applyNumberFormat="1" applyFont="1" applyFill="1" applyBorder="1" applyAlignment="1">
      <alignment horizontal="center" vertical="center"/>
    </xf>
    <xf numFmtId="204" fontId="177" fillId="84" borderId="38" xfId="772" applyNumberFormat="1" applyFont="1" applyFill="1" applyBorder="1" applyAlignment="1">
      <alignment horizontal="center" vertical="center" wrapText="1"/>
    </xf>
    <xf numFmtId="2" fontId="178" fillId="7" borderId="239" xfId="2215" applyNumberFormat="1" applyFont="1" applyFill="1" applyBorder="1" applyAlignment="1">
      <alignment horizontal="center" vertical="center"/>
    </xf>
    <xf numFmtId="2" fontId="178" fillId="7" borderId="217" xfId="2215" applyNumberFormat="1" applyFont="1" applyFill="1" applyBorder="1" applyAlignment="1">
      <alignment horizontal="center" vertical="center"/>
    </xf>
    <xf numFmtId="184" fontId="178" fillId="7" borderId="217" xfId="2215" applyNumberFormat="1" applyFont="1" applyFill="1" applyBorder="1" applyAlignment="1">
      <alignment horizontal="center" vertical="center"/>
    </xf>
    <xf numFmtId="184" fontId="178" fillId="7" borderId="217" xfId="2218" applyNumberFormat="1" applyFont="1" applyFill="1" applyBorder="1" applyAlignment="1">
      <alignment horizontal="center" vertical="center"/>
    </xf>
    <xf numFmtId="4" fontId="178" fillId="7" borderId="217" xfId="15847" applyNumberFormat="1" applyFont="1" applyFill="1" applyBorder="1" applyAlignment="1">
      <alignment horizontal="center" vertical="center"/>
    </xf>
    <xf numFmtId="4" fontId="178" fillId="7" borderId="240" xfId="15847" applyNumberFormat="1" applyFont="1" applyFill="1" applyBorder="1" applyAlignment="1">
      <alignment horizontal="center" vertical="center"/>
    </xf>
    <xf numFmtId="2" fontId="178" fillId="14" borderId="239" xfId="2215" applyNumberFormat="1" applyFont="1" applyFill="1" applyBorder="1" applyAlignment="1">
      <alignment horizontal="center" vertical="center"/>
    </xf>
    <xf numFmtId="2" fontId="178" fillId="14" borderId="217" xfId="2215" applyNumberFormat="1" applyFont="1" applyFill="1" applyBorder="1" applyAlignment="1">
      <alignment horizontal="center" vertical="center"/>
    </xf>
    <xf numFmtId="184" fontId="178" fillId="14" borderId="217" xfId="2215" applyNumberFormat="1" applyFont="1" applyFill="1" applyBorder="1" applyAlignment="1">
      <alignment horizontal="center" vertical="center"/>
    </xf>
    <xf numFmtId="184" fontId="178" fillId="14" borderId="217" xfId="2218" applyNumberFormat="1" applyFont="1" applyFill="1" applyBorder="1" applyAlignment="1">
      <alignment horizontal="center" vertical="center"/>
    </xf>
    <xf numFmtId="4" fontId="178" fillId="14" borderId="217" xfId="15847" applyNumberFormat="1" applyFont="1" applyFill="1" applyBorder="1" applyAlignment="1">
      <alignment horizontal="center" vertical="center"/>
    </xf>
    <xf numFmtId="4" fontId="178" fillId="14" borderId="240" xfId="15847" applyNumberFormat="1" applyFont="1" applyFill="1" applyBorder="1" applyAlignment="1">
      <alignment horizontal="center" vertical="center"/>
    </xf>
    <xf numFmtId="2" fontId="178" fillId="5" borderId="239" xfId="2215" applyNumberFormat="1" applyFont="1" applyFill="1" applyBorder="1" applyAlignment="1">
      <alignment horizontal="center" vertical="center"/>
    </xf>
    <xf numFmtId="2" fontId="178" fillId="5" borderId="217" xfId="2215" applyNumberFormat="1" applyFont="1" applyFill="1" applyBorder="1" applyAlignment="1">
      <alignment horizontal="center" vertical="center"/>
    </xf>
    <xf numFmtId="184" fontId="178" fillId="5" borderId="217" xfId="2215" applyNumberFormat="1" applyFont="1" applyFill="1" applyBorder="1" applyAlignment="1">
      <alignment horizontal="center" vertical="center"/>
    </xf>
    <xf numFmtId="184" fontId="178" fillId="5" borderId="217" xfId="2218" applyNumberFormat="1" applyFont="1" applyFill="1" applyBorder="1" applyAlignment="1">
      <alignment horizontal="center" vertical="center"/>
    </xf>
    <xf numFmtId="4" fontId="178" fillId="5" borderId="217" xfId="15847" applyNumberFormat="1" applyFont="1" applyFill="1" applyBorder="1" applyAlignment="1">
      <alignment horizontal="center" vertical="center"/>
    </xf>
    <xf numFmtId="4" fontId="178" fillId="5" borderId="240" xfId="15847" applyNumberFormat="1" applyFont="1" applyFill="1" applyBorder="1" applyAlignment="1">
      <alignment horizontal="center" vertical="center"/>
    </xf>
    <xf numFmtId="2" fontId="177" fillId="14" borderId="18" xfId="2215" applyNumberFormat="1" applyFont="1" applyFill="1" applyBorder="1" applyAlignment="1">
      <alignment horizontal="left" vertical="center"/>
    </xf>
    <xf numFmtId="0" fontId="5" fillId="0" borderId="0" xfId="8119" applyAlignment="1">
      <alignment horizontal="left"/>
    </xf>
    <xf numFmtId="0" fontId="5" fillId="0" borderId="19" xfId="8119" applyBorder="1" applyAlignment="1">
      <alignment horizontal="left" vertical="center"/>
    </xf>
    <xf numFmtId="2" fontId="177" fillId="14" borderId="8" xfId="2215" applyNumberFormat="1" applyFont="1" applyFill="1" applyBorder="1" applyAlignment="1">
      <alignment horizontal="left" vertical="center"/>
    </xf>
    <xf numFmtId="0" fontId="5" fillId="0" borderId="211" xfId="8119" applyBorder="1" applyAlignment="1">
      <alignment horizontal="left"/>
    </xf>
    <xf numFmtId="0" fontId="5" fillId="0" borderId="212" xfId="8119" applyBorder="1" applyAlignment="1">
      <alignment horizontal="left" vertical="center"/>
    </xf>
    <xf numFmtId="0" fontId="5" fillId="0" borderId="0" xfId="8119"/>
    <xf numFmtId="4" fontId="5" fillId="0" borderId="0" xfId="8119" applyNumberFormat="1"/>
    <xf numFmtId="4" fontId="5" fillId="0" borderId="0" xfId="8119" applyNumberFormat="1" applyAlignment="1">
      <alignment vertical="center"/>
    </xf>
    <xf numFmtId="2" fontId="5" fillId="0" borderId="0" xfId="8119" applyNumberFormat="1"/>
    <xf numFmtId="0" fontId="5" fillId="0" borderId="0" xfId="8119" applyAlignment="1">
      <alignment vertical="center"/>
    </xf>
    <xf numFmtId="17" fontId="18" fillId="0" borderId="0" xfId="7751" applyNumberFormat="1" applyFont="1" applyAlignment="1">
      <alignment vertical="center"/>
    </xf>
    <xf numFmtId="14" fontId="18" fillId="0" borderId="27" xfId="7751" applyNumberFormat="1" applyFont="1" applyBorder="1" applyAlignment="1">
      <alignment horizontal="left" vertical="center"/>
    </xf>
    <xf numFmtId="1" fontId="0" fillId="0" borderId="20" xfId="0" applyNumberFormat="1" applyBorder="1" applyAlignment="1">
      <alignment horizontal="center"/>
    </xf>
    <xf numFmtId="43" fontId="7" fillId="0" borderId="0" xfId="431" applyNumberFormat="1" applyAlignment="1">
      <alignment vertical="center"/>
    </xf>
    <xf numFmtId="4" fontId="4" fillId="0" borderId="38" xfId="45" applyNumberFormat="1" applyFont="1" applyFill="1" applyBorder="1" applyAlignment="1">
      <alignment vertical="center"/>
    </xf>
    <xf numFmtId="17" fontId="175" fillId="0" borderId="0" xfId="1632" applyNumberFormat="1" applyFont="1" applyAlignment="1">
      <alignment horizontal="left" vertical="center"/>
    </xf>
    <xf numFmtId="14" fontId="175" fillId="0" borderId="211" xfId="1632" applyNumberFormat="1" applyFont="1" applyBorder="1" applyAlignment="1">
      <alignment vertical="center"/>
    </xf>
    <xf numFmtId="0" fontId="4" fillId="0" borderId="0" xfId="1" applyFont="1" applyFill="1" applyAlignment="1">
      <alignment vertical="center"/>
    </xf>
    <xf numFmtId="0" fontId="89" fillId="0" borderId="0" xfId="1" applyFont="1" applyFill="1" applyAlignment="1">
      <alignment horizontal="right" vertical="center" wrapText="1"/>
    </xf>
    <xf numFmtId="0" fontId="4" fillId="0" borderId="31" xfId="0" applyFont="1" applyFill="1" applyBorder="1" applyAlignment="1">
      <alignment horizontal="center" vertical="center" wrapText="1"/>
    </xf>
    <xf numFmtId="0" fontId="4" fillId="0" borderId="33" xfId="0" applyFont="1" applyFill="1" applyBorder="1" applyAlignment="1">
      <alignment horizontal="center" vertical="center" wrapText="1"/>
    </xf>
    <xf numFmtId="0" fontId="4" fillId="0" borderId="33" xfId="1" applyFont="1" applyFill="1" applyBorder="1" applyAlignment="1">
      <alignment vertical="center" wrapText="1"/>
    </xf>
    <xf numFmtId="0" fontId="4" fillId="0" borderId="33" xfId="1" applyFont="1" applyFill="1" applyBorder="1" applyAlignment="1">
      <alignment horizontal="center" vertical="center" wrapText="1"/>
    </xf>
    <xf numFmtId="4" fontId="4" fillId="0" borderId="33" xfId="0" applyNumberFormat="1" applyFont="1" applyFill="1" applyBorder="1" applyAlignment="1">
      <alignment vertical="center" wrapText="1"/>
    </xf>
    <xf numFmtId="4" fontId="4" fillId="0" borderId="33" xfId="1" applyNumberFormat="1" applyFont="1" applyFill="1" applyBorder="1" applyAlignment="1">
      <alignment horizontal="right" vertical="center" wrapText="1"/>
    </xf>
    <xf numFmtId="4" fontId="4" fillId="0" borderId="172" xfId="1" applyNumberFormat="1" applyFont="1" applyFill="1" applyBorder="1" applyAlignment="1">
      <alignment horizontal="right" vertical="center" wrapText="1"/>
    </xf>
    <xf numFmtId="4" fontId="89" fillId="0" borderId="0" xfId="45" applyNumberFormat="1" applyFont="1" applyFill="1" applyBorder="1" applyAlignment="1">
      <alignment horizontal="left" vertical="center"/>
    </xf>
    <xf numFmtId="0" fontId="3" fillId="0" borderId="1" xfId="1" applyFont="1" applyFill="1" applyBorder="1" applyAlignment="1">
      <alignment vertical="center"/>
    </xf>
    <xf numFmtId="0" fontId="4" fillId="0" borderId="193" xfId="0" applyFont="1" applyFill="1" applyBorder="1" applyAlignment="1">
      <alignment horizontal="center" vertical="center" wrapText="1"/>
    </xf>
    <xf numFmtId="0" fontId="4" fillId="0" borderId="193" xfId="1" applyFont="1" applyFill="1" applyBorder="1" applyAlignment="1">
      <alignment vertical="center" wrapText="1"/>
    </xf>
    <xf numFmtId="0" fontId="4" fillId="0" borderId="193" xfId="1" applyFont="1" applyFill="1" applyBorder="1" applyAlignment="1">
      <alignment horizontal="center" vertical="center" wrapText="1"/>
    </xf>
    <xf numFmtId="4" fontId="4" fillId="0" borderId="193" xfId="0" applyNumberFormat="1" applyFont="1" applyFill="1" applyBorder="1" applyAlignment="1">
      <alignment vertical="center" wrapText="1"/>
    </xf>
    <xf numFmtId="4" fontId="4" fillId="0" borderId="193" xfId="1" applyNumberFormat="1" applyFont="1" applyFill="1" applyBorder="1" applyAlignment="1">
      <alignment horizontal="right" vertical="center" wrapText="1"/>
    </xf>
    <xf numFmtId="0" fontId="3" fillId="0" borderId="0" xfId="1" applyFont="1" applyFill="1" applyAlignment="1">
      <alignment horizontal="right" vertical="center" wrapText="1"/>
    </xf>
    <xf numFmtId="0" fontId="4" fillId="0" borderId="25" xfId="1" applyFont="1" applyFill="1" applyBorder="1" applyAlignment="1">
      <alignment horizontal="center" vertical="center" wrapText="1"/>
    </xf>
    <xf numFmtId="0" fontId="4" fillId="0" borderId="20" xfId="1" applyFont="1" applyFill="1" applyBorder="1" applyAlignment="1">
      <alignment horizontal="center" vertical="center" wrapText="1"/>
    </xf>
    <xf numFmtId="0" fontId="4" fillId="0" borderId="20" xfId="1" applyFont="1" applyFill="1" applyBorder="1" applyAlignment="1">
      <alignment vertical="center" wrapText="1"/>
    </xf>
    <xf numFmtId="4" fontId="4" fillId="0" borderId="36" xfId="0" applyNumberFormat="1" applyFont="1" applyFill="1" applyBorder="1" applyAlignment="1">
      <alignment horizontal="right" vertical="center" wrapText="1"/>
    </xf>
    <xf numFmtId="4" fontId="4" fillId="0" borderId="20" xfId="1" applyNumberFormat="1" applyFont="1" applyFill="1" applyBorder="1" applyAlignment="1">
      <alignment horizontal="right" vertical="center" wrapText="1"/>
    </xf>
    <xf numFmtId="2" fontId="4" fillId="0" borderId="0" xfId="1" applyNumberFormat="1" applyFont="1" applyFill="1" applyAlignment="1">
      <alignment vertical="center"/>
    </xf>
    <xf numFmtId="1" fontId="4" fillId="0" borderId="193" xfId="0" applyNumberFormat="1" applyFont="1" applyFill="1" applyBorder="1" applyAlignment="1">
      <alignment horizontal="center" vertical="center" wrapText="1"/>
    </xf>
    <xf numFmtId="1" fontId="4" fillId="0" borderId="193" xfId="1" applyNumberFormat="1" applyFont="1" applyFill="1" applyBorder="1" applyAlignment="1">
      <alignment horizontal="center" vertical="center" wrapText="1"/>
    </xf>
    <xf numFmtId="4" fontId="4" fillId="0" borderId="0" xfId="1" applyNumberFormat="1" applyFont="1" applyFill="1" applyAlignment="1">
      <alignment vertical="center"/>
    </xf>
    <xf numFmtId="0" fontId="4" fillId="0" borderId="25" xfId="0" applyFont="1" applyFill="1" applyBorder="1" applyAlignment="1">
      <alignment horizontal="center" vertical="center" wrapText="1"/>
    </xf>
    <xf numFmtId="0" fontId="4" fillId="0" borderId="20" xfId="0" applyFont="1" applyFill="1" applyBorder="1" applyAlignment="1">
      <alignment horizontal="center" vertical="center" wrapText="1"/>
    </xf>
    <xf numFmtId="4" fontId="4" fillId="0" borderId="20" xfId="0" applyNumberFormat="1" applyFont="1" applyFill="1" applyBorder="1" applyAlignment="1">
      <alignment vertical="center" wrapText="1"/>
    </xf>
    <xf numFmtId="4" fontId="3" fillId="0" borderId="0" xfId="1" applyNumberFormat="1" applyFont="1" applyFill="1" applyAlignment="1">
      <alignment vertical="center"/>
    </xf>
    <xf numFmtId="0" fontId="4" fillId="0" borderId="192" xfId="0" applyFont="1" applyFill="1" applyBorder="1" applyAlignment="1">
      <alignment horizontal="center" vertical="center" wrapText="1"/>
    </xf>
    <xf numFmtId="4" fontId="4" fillId="5" borderId="20" xfId="639" applyNumberFormat="1" applyFont="1" applyFill="1" applyBorder="1" applyAlignment="1">
      <alignment vertical="center" wrapText="1"/>
    </xf>
    <xf numFmtId="166" fontId="35" fillId="44" borderId="20" xfId="640" applyFont="1" applyFill="1" applyBorder="1" applyAlignment="1">
      <alignment vertical="center"/>
    </xf>
    <xf numFmtId="166" fontId="35" fillId="5" borderId="20" xfId="640" applyFont="1" applyFill="1" applyBorder="1" applyAlignment="1">
      <alignment vertical="center"/>
    </xf>
    <xf numFmtId="43" fontId="4" fillId="0" borderId="0" xfId="639" applyNumberFormat="1" applyFont="1" applyAlignment="1">
      <alignment vertical="center"/>
    </xf>
    <xf numFmtId="0" fontId="11" fillId="0" borderId="0" xfId="786" applyFont="1" applyAlignment="1">
      <alignment vertical="center"/>
    </xf>
    <xf numFmtId="4" fontId="4" fillId="4" borderId="162" xfId="639" applyNumberFormat="1" applyFont="1" applyFill="1" applyBorder="1" applyAlignment="1">
      <alignment vertical="center" wrapText="1"/>
    </xf>
    <xf numFmtId="4" fontId="4" fillId="4" borderId="139" xfId="639" applyNumberFormat="1" applyFont="1" applyFill="1" applyBorder="1" applyAlignment="1">
      <alignment vertical="center" wrapText="1"/>
    </xf>
    <xf numFmtId="166" fontId="35" fillId="4" borderId="139" xfId="640" applyFont="1" applyFill="1" applyBorder="1" applyAlignment="1">
      <alignment vertical="center"/>
    </xf>
    <xf numFmtId="166" fontId="35" fillId="4" borderId="174" xfId="640" applyFont="1" applyFill="1" applyBorder="1" applyAlignment="1">
      <alignment vertical="center"/>
    </xf>
    <xf numFmtId="0" fontId="4" fillId="0" borderId="0" xfId="639" applyFont="1" applyFill="1"/>
    <xf numFmtId="14" fontId="4" fillId="0" borderId="192" xfId="0" applyNumberFormat="1" applyFont="1" applyFill="1" applyBorder="1" applyAlignment="1">
      <alignment horizontal="center" vertical="center"/>
    </xf>
    <xf numFmtId="0" fontId="4" fillId="0" borderId="193" xfId="0" applyFont="1" applyFill="1" applyBorder="1" applyAlignment="1">
      <alignment horizontal="center" vertical="center"/>
    </xf>
    <xf numFmtId="4" fontId="4" fillId="0" borderId="193" xfId="0" applyNumberFormat="1" applyFont="1" applyFill="1" applyBorder="1" applyAlignment="1">
      <alignment horizontal="center" vertical="center" wrapText="1"/>
    </xf>
    <xf numFmtId="4" fontId="4" fillId="0" borderId="194" xfId="0" applyNumberFormat="1" applyFont="1" applyFill="1" applyBorder="1" applyAlignment="1">
      <alignment horizontal="center" vertical="center"/>
    </xf>
    <xf numFmtId="0" fontId="5" fillId="0" borderId="0" xfId="639" applyFill="1"/>
    <xf numFmtId="14" fontId="5" fillId="0" borderId="0" xfId="639" applyNumberFormat="1" applyFill="1" applyAlignment="1">
      <alignment horizontal="center" vertical="center"/>
    </xf>
    <xf numFmtId="0" fontId="0" fillId="0" borderId="0" xfId="0" applyFill="1"/>
    <xf numFmtId="0" fontId="3" fillId="0" borderId="0" xfId="639" applyFont="1" applyFill="1" applyAlignment="1">
      <alignment vertical="center"/>
    </xf>
    <xf numFmtId="0" fontId="3" fillId="0" borderId="192" xfId="639" applyFont="1" applyFill="1" applyBorder="1" applyAlignment="1">
      <alignment horizontal="center" vertical="center" wrapText="1"/>
    </xf>
    <xf numFmtId="0" fontId="3" fillId="0" borderId="193" xfId="0" applyFont="1" applyFill="1" applyBorder="1" applyAlignment="1">
      <alignment horizontal="center" vertical="center"/>
    </xf>
    <xf numFmtId="0" fontId="3" fillId="0" borderId="193" xfId="0" applyFont="1" applyFill="1" applyBorder="1" applyAlignment="1">
      <alignment horizontal="center" vertical="center" wrapText="1"/>
    </xf>
    <xf numFmtId="4" fontId="3" fillId="0" borderId="194" xfId="0" applyNumberFormat="1" applyFont="1" applyFill="1" applyBorder="1" applyAlignment="1">
      <alignment horizontal="center" vertical="center" wrapText="1"/>
    </xf>
    <xf numFmtId="0" fontId="4" fillId="0" borderId="0" xfId="639" applyFont="1" applyFill="1" applyAlignment="1">
      <alignment vertical="center"/>
    </xf>
    <xf numFmtId="49" fontId="4" fillId="0" borderId="193" xfId="0" applyNumberFormat="1" applyFont="1" applyFill="1" applyBorder="1" applyAlignment="1">
      <alignment horizontal="center" vertical="center" wrapText="1"/>
    </xf>
    <xf numFmtId="0" fontId="146" fillId="0" borderId="0" xfId="0" applyFont="1" applyFill="1"/>
    <xf numFmtId="0" fontId="5" fillId="0" borderId="0" xfId="639" applyFill="1" applyAlignment="1">
      <alignment horizontal="center"/>
    </xf>
    <xf numFmtId="0" fontId="5" fillId="0" borderId="0" xfId="639" applyFont="1" applyFill="1"/>
    <xf numFmtId="14" fontId="5" fillId="0" borderId="0" xfId="639" applyNumberFormat="1" applyFont="1" applyFill="1" applyAlignment="1">
      <alignment horizontal="center" vertical="center"/>
    </xf>
    <xf numFmtId="0" fontId="3" fillId="0" borderId="193" xfId="639" applyFont="1" applyFill="1" applyBorder="1" applyAlignment="1">
      <alignment horizontal="center" vertical="center"/>
    </xf>
    <xf numFmtId="0" fontId="3" fillId="0" borderId="193" xfId="639" applyFont="1" applyFill="1" applyBorder="1" applyAlignment="1">
      <alignment horizontal="center" vertical="center" wrapText="1"/>
    </xf>
    <xf numFmtId="4" fontId="3" fillId="0" borderId="194" xfId="639" applyNumberFormat="1" applyFont="1" applyFill="1" applyBorder="1" applyAlignment="1">
      <alignment horizontal="center" vertical="center" wrapText="1"/>
    </xf>
    <xf numFmtId="4" fontId="4" fillId="0" borderId="194" xfId="0" applyNumberFormat="1" applyFont="1" applyFill="1" applyBorder="1" applyAlignment="1">
      <alignment vertical="center"/>
    </xf>
    <xf numFmtId="14" fontId="2" fillId="0" borderId="0" xfId="0" applyNumberFormat="1" applyFont="1" applyFill="1" applyAlignment="1">
      <alignment vertical="center"/>
    </xf>
    <xf numFmtId="14" fontId="2" fillId="0" borderId="192" xfId="0" applyNumberFormat="1" applyFont="1" applyFill="1" applyBorder="1" applyAlignment="1">
      <alignment vertical="center"/>
    </xf>
    <xf numFmtId="4" fontId="4" fillId="0" borderId="193" xfId="0" applyNumberFormat="1" applyFont="1" applyFill="1" applyBorder="1" applyAlignment="1">
      <alignment horizontal="center" vertical="center"/>
    </xf>
    <xf numFmtId="14" fontId="2" fillId="0" borderId="195" xfId="0" applyNumberFormat="1" applyFont="1" applyFill="1" applyBorder="1" applyAlignment="1">
      <alignment vertical="center"/>
    </xf>
    <xf numFmtId="14" fontId="32" fillId="0" borderId="0" xfId="639" applyNumberFormat="1" applyFont="1" applyAlignment="1">
      <alignment horizontal="center" vertical="center"/>
    </xf>
    <xf numFmtId="14" fontId="32" fillId="0" borderId="0" xfId="639" applyNumberFormat="1" applyFont="1" applyFill="1" applyAlignment="1">
      <alignment horizontal="center" vertical="center"/>
    </xf>
    <xf numFmtId="0" fontId="47" fillId="0" borderId="179" xfId="1761" applyFont="1" applyBorder="1" applyAlignment="1">
      <alignment horizontal="left" vertical="center"/>
    </xf>
    <xf numFmtId="0" fontId="47" fillId="0" borderId="174" xfId="1761" applyFont="1" applyBorder="1" applyAlignment="1">
      <alignment horizontal="left" vertical="center"/>
    </xf>
    <xf numFmtId="0" fontId="47" fillId="0" borderId="193" xfId="1761" applyFont="1" applyBorder="1" applyAlignment="1">
      <alignment horizontal="left" vertical="center"/>
    </xf>
    <xf numFmtId="0" fontId="147" fillId="82" borderId="179" xfId="0" applyFont="1" applyFill="1" applyBorder="1" applyAlignment="1">
      <alignment horizontal="center" vertical="center"/>
    </xf>
    <xf numFmtId="0" fontId="147" fillId="82" borderId="174" xfId="0" applyFont="1" applyFill="1" applyBorder="1" applyAlignment="1">
      <alignment horizontal="center" vertical="center"/>
    </xf>
    <xf numFmtId="0" fontId="147" fillId="83" borderId="5" xfId="786" applyFont="1" applyFill="1" applyBorder="1" applyAlignment="1">
      <alignment horizontal="center" vertical="center" wrapText="1"/>
    </xf>
    <xf numFmtId="0" fontId="147" fillId="83" borderId="7" xfId="786" applyFont="1" applyFill="1" applyBorder="1" applyAlignment="1">
      <alignment horizontal="center" vertical="center" wrapText="1"/>
    </xf>
    <xf numFmtId="0" fontId="147" fillId="83" borderId="6" xfId="786" applyFont="1" applyFill="1" applyBorder="1" applyAlignment="1">
      <alignment horizontal="center" vertical="center" wrapText="1"/>
    </xf>
    <xf numFmtId="0" fontId="147" fillId="80" borderId="5" xfId="786" applyFont="1" applyFill="1" applyBorder="1" applyAlignment="1">
      <alignment horizontal="center" vertical="center" wrapText="1"/>
    </xf>
    <xf numFmtId="0" fontId="147" fillId="80" borderId="7" xfId="786" applyFont="1" applyFill="1" applyBorder="1" applyAlignment="1">
      <alignment horizontal="center" vertical="center" wrapText="1"/>
    </xf>
    <xf numFmtId="0" fontId="147" fillId="80" borderId="6" xfId="786" applyFont="1" applyFill="1" applyBorder="1" applyAlignment="1">
      <alignment horizontal="center" vertical="center" wrapText="1"/>
    </xf>
    <xf numFmtId="0" fontId="47" fillId="44" borderId="64" xfId="1761" applyFont="1" applyFill="1" applyBorder="1" applyAlignment="1">
      <alignment horizontal="center" vertical="center"/>
    </xf>
    <xf numFmtId="0" fontId="47" fillId="44" borderId="66" xfId="1761" applyFont="1" applyFill="1" applyBorder="1" applyAlignment="1">
      <alignment horizontal="center" vertical="center"/>
    </xf>
    <xf numFmtId="0" fontId="47" fillId="0" borderId="179" xfId="1761" applyFont="1" applyBorder="1" applyAlignment="1">
      <alignment horizontal="left" vertical="center" wrapText="1"/>
    </xf>
    <xf numFmtId="0" fontId="47" fillId="0" borderId="174" xfId="1761" applyFont="1" applyBorder="1" applyAlignment="1">
      <alignment horizontal="left" vertical="center" wrapText="1"/>
    </xf>
    <xf numFmtId="196" fontId="156" fillId="44" borderId="0" xfId="0" applyNumberFormat="1" applyFont="1" applyFill="1" applyAlignment="1">
      <alignment horizontal="center" vertical="center"/>
    </xf>
    <xf numFmtId="3" fontId="156" fillId="0" borderId="0" xfId="0" applyNumberFormat="1" applyFont="1" applyAlignment="1">
      <alignment horizontal="left" vertical="center"/>
    </xf>
    <xf numFmtId="0" fontId="152" fillId="0" borderId="71" xfId="0" applyFont="1" applyBorder="1" applyAlignment="1">
      <alignment horizontal="center" vertical="center" wrapText="1"/>
    </xf>
    <xf numFmtId="0" fontId="152" fillId="0" borderId="65" xfId="0" applyFont="1" applyBorder="1" applyAlignment="1">
      <alignment horizontal="center" vertical="center" wrapText="1"/>
    </xf>
    <xf numFmtId="0" fontId="152" fillId="0" borderId="66" xfId="0" applyFont="1" applyBorder="1" applyAlignment="1">
      <alignment horizontal="center" vertical="center" wrapText="1"/>
    </xf>
    <xf numFmtId="0" fontId="152" fillId="0" borderId="179" xfId="0" applyFont="1" applyBorder="1" applyAlignment="1">
      <alignment horizontal="center" vertical="center" wrapText="1"/>
    </xf>
    <xf numFmtId="0" fontId="152" fillId="0" borderId="198" xfId="0" applyFont="1" applyBorder="1" applyAlignment="1">
      <alignment horizontal="center" vertical="center" wrapText="1"/>
    </xf>
    <xf numFmtId="0" fontId="158" fillId="80" borderId="15" xfId="0" applyFont="1" applyFill="1" applyBorder="1" applyAlignment="1">
      <alignment horizontal="center" vertical="center"/>
    </xf>
    <xf numFmtId="0" fontId="158" fillId="80" borderId="212" xfId="0" applyFont="1" applyFill="1" applyBorder="1" applyAlignment="1">
      <alignment horizontal="center" vertical="center"/>
    </xf>
    <xf numFmtId="0" fontId="158" fillId="80" borderId="5" xfId="0" applyFont="1" applyFill="1" applyBorder="1" applyAlignment="1">
      <alignment horizontal="center" vertical="center"/>
    </xf>
    <xf numFmtId="0" fontId="158" fillId="80" borderId="7" xfId="0" applyFont="1" applyFill="1" applyBorder="1" applyAlignment="1">
      <alignment horizontal="center" vertical="center"/>
    </xf>
    <xf numFmtId="0" fontId="3" fillId="0" borderId="211" xfId="1761" applyFont="1" applyBorder="1" applyAlignment="1">
      <alignment horizontal="center" vertical="center" wrapText="1"/>
    </xf>
    <xf numFmtId="0" fontId="155" fillId="4" borderId="179" xfId="0" applyFont="1" applyFill="1" applyBorder="1" applyAlignment="1">
      <alignment horizontal="center" vertical="center" wrapText="1"/>
    </xf>
    <xf numFmtId="0" fontId="155" fillId="4" borderId="174" xfId="0" applyFont="1" applyFill="1" applyBorder="1" applyAlignment="1">
      <alignment horizontal="center" vertical="center" wrapText="1"/>
    </xf>
    <xf numFmtId="0" fontId="14" fillId="0" borderId="16" xfId="1761" applyFont="1" applyBorder="1" applyAlignment="1">
      <alignment horizontal="center" vertical="center"/>
    </xf>
    <xf numFmtId="0" fontId="5" fillId="0" borderId="0" xfId="1761" applyAlignment="1">
      <alignment horizontal="center" vertical="center"/>
    </xf>
    <xf numFmtId="0" fontId="36" fillId="0" borderId="0" xfId="1761" applyFont="1" applyAlignment="1">
      <alignment horizontal="center" vertical="center"/>
    </xf>
    <xf numFmtId="0" fontId="3" fillId="80" borderId="5" xfId="786" applyFont="1" applyFill="1" applyBorder="1" applyAlignment="1">
      <alignment horizontal="center" vertical="center" wrapText="1"/>
    </xf>
    <xf numFmtId="0" fontId="3" fillId="80" borderId="7" xfId="786" applyFont="1" applyFill="1" applyBorder="1" applyAlignment="1">
      <alignment horizontal="center" vertical="center" wrapText="1"/>
    </xf>
    <xf numFmtId="0" fontId="3" fillId="80" borderId="6" xfId="786" applyFont="1" applyFill="1" applyBorder="1" applyAlignment="1">
      <alignment horizontal="center" vertical="center" wrapText="1"/>
    </xf>
    <xf numFmtId="0" fontId="7" fillId="0" borderId="14" xfId="431" applyBorder="1" applyAlignment="1">
      <alignment horizontal="center" vertical="center"/>
    </xf>
    <xf numFmtId="0" fontId="7" fillId="0" borderId="15" xfId="431" applyBorder="1" applyAlignment="1">
      <alignment horizontal="center" vertical="center"/>
    </xf>
    <xf numFmtId="0" fontId="7" fillId="0" borderId="18" xfId="431" applyBorder="1" applyAlignment="1">
      <alignment horizontal="center" vertical="center"/>
    </xf>
    <xf numFmtId="0" fontId="7" fillId="0" borderId="19" xfId="431" applyBorder="1" applyAlignment="1">
      <alignment horizontal="center" vertical="center"/>
    </xf>
    <xf numFmtId="0" fontId="7" fillId="0" borderId="8" xfId="431" applyBorder="1" applyAlignment="1">
      <alignment horizontal="center" vertical="center"/>
    </xf>
    <xf numFmtId="0" fontId="7" fillId="0" borderId="10" xfId="431" applyBorder="1" applyAlignment="1">
      <alignment horizontal="center" vertical="center"/>
    </xf>
    <xf numFmtId="0" fontId="5" fillId="0" borderId="5" xfId="431" applyFont="1" applyBorder="1" applyAlignment="1">
      <alignment horizontal="center" vertical="center" wrapText="1"/>
    </xf>
    <xf numFmtId="0" fontId="5" fillId="0" borderId="6" xfId="431" applyFont="1" applyBorder="1" applyAlignment="1">
      <alignment horizontal="center" vertical="center" wrapText="1"/>
    </xf>
    <xf numFmtId="0" fontId="124" fillId="0" borderId="5" xfId="431" applyFont="1" applyBorder="1" applyAlignment="1">
      <alignment horizontal="center" vertical="center" wrapText="1"/>
    </xf>
    <xf numFmtId="0" fontId="124" fillId="0" borderId="6" xfId="431" applyFont="1" applyBorder="1" applyAlignment="1">
      <alignment horizontal="center" vertical="center" wrapText="1"/>
    </xf>
    <xf numFmtId="0" fontId="16" fillId="0" borderId="14" xfId="431" applyFont="1" applyBorder="1" applyAlignment="1">
      <alignment horizontal="center" vertical="center" wrapText="1"/>
    </xf>
    <xf numFmtId="0" fontId="16" fillId="0" borderId="18" xfId="431" applyFont="1" applyBorder="1" applyAlignment="1">
      <alignment horizontal="center" vertical="center" wrapText="1"/>
    </xf>
    <xf numFmtId="0" fontId="16" fillId="0" borderId="16" xfId="431" applyFont="1" applyBorder="1" applyAlignment="1">
      <alignment horizontal="center" vertical="center" wrapText="1"/>
    </xf>
    <xf numFmtId="0" fontId="16" fillId="0" borderId="15" xfId="431" applyFont="1" applyBorder="1" applyAlignment="1">
      <alignment horizontal="center" vertical="center" wrapText="1"/>
    </xf>
    <xf numFmtId="0" fontId="16" fillId="0" borderId="0" xfId="431" applyFont="1" applyAlignment="1">
      <alignment horizontal="center" vertical="center" wrapText="1"/>
    </xf>
    <xf numFmtId="0" fontId="16" fillId="0" borderId="19" xfId="431" applyFont="1" applyBorder="1" applyAlignment="1">
      <alignment horizontal="center" vertical="center" wrapText="1"/>
    </xf>
    <xf numFmtId="0" fontId="16" fillId="0" borderId="8" xfId="431" applyFont="1" applyBorder="1" applyAlignment="1">
      <alignment horizontal="center" vertical="center" wrapText="1"/>
    </xf>
    <xf numFmtId="0" fontId="16" fillId="0" borderId="9" xfId="431" applyFont="1" applyBorder="1" applyAlignment="1">
      <alignment horizontal="center" vertical="center" wrapText="1"/>
    </xf>
    <xf numFmtId="0" fontId="16" fillId="0" borderId="10" xfId="431" applyFont="1" applyBorder="1" applyAlignment="1">
      <alignment horizontal="center" vertical="center" wrapText="1"/>
    </xf>
    <xf numFmtId="0" fontId="25" fillId="5" borderId="44" xfId="431" applyFont="1" applyFill="1" applyBorder="1" applyAlignment="1">
      <alignment horizontal="right" vertical="center" wrapText="1"/>
    </xf>
    <xf numFmtId="0" fontId="25" fillId="5" borderId="61" xfId="431" applyFont="1" applyFill="1" applyBorder="1" applyAlignment="1">
      <alignment horizontal="right" vertical="center" wrapText="1"/>
    </xf>
    <xf numFmtId="165" fontId="25" fillId="5" borderId="62" xfId="8" applyFont="1" applyFill="1" applyBorder="1" applyAlignment="1">
      <alignment horizontal="center" vertical="center"/>
    </xf>
    <xf numFmtId="165" fontId="25" fillId="5" borderId="63" xfId="8" applyFont="1" applyFill="1" applyBorder="1" applyAlignment="1">
      <alignment horizontal="center" vertical="center"/>
    </xf>
    <xf numFmtId="0" fontId="3" fillId="4" borderId="5" xfId="431" applyFont="1" applyFill="1" applyBorder="1" applyAlignment="1">
      <alignment horizontal="center" vertical="center" wrapText="1"/>
    </xf>
    <xf numFmtId="0" fontId="4" fillId="4" borderId="7" xfId="431" applyFont="1" applyFill="1" applyBorder="1" applyAlignment="1">
      <alignment horizontal="center" vertical="center" wrapText="1"/>
    </xf>
    <xf numFmtId="0" fontId="4" fillId="4" borderId="6" xfId="431" applyFont="1" applyFill="1" applyBorder="1" applyAlignment="1">
      <alignment horizontal="center" vertical="center" wrapText="1"/>
    </xf>
    <xf numFmtId="0" fontId="28" fillId="8" borderId="5" xfId="431" applyFont="1" applyFill="1" applyBorder="1" applyAlignment="1">
      <alignment horizontal="center" vertical="center"/>
    </xf>
    <xf numFmtId="0" fontId="28" fillId="8" borderId="7" xfId="431" applyFont="1" applyFill="1" applyBorder="1" applyAlignment="1">
      <alignment horizontal="center" vertical="center"/>
    </xf>
    <xf numFmtId="0" fontId="28" fillId="8" borderId="6" xfId="431" applyFont="1" applyFill="1" applyBorder="1" applyAlignment="1">
      <alignment horizontal="center" vertical="center"/>
    </xf>
    <xf numFmtId="0" fontId="14" fillId="6" borderId="25" xfId="431" applyFont="1" applyFill="1" applyBorder="1" applyAlignment="1">
      <alignment horizontal="center" vertical="center"/>
    </xf>
    <xf numFmtId="0" fontId="14" fillId="6" borderId="20" xfId="431" applyFont="1" applyFill="1" applyBorder="1" applyAlignment="1">
      <alignment horizontal="center" vertical="center"/>
    </xf>
    <xf numFmtId="0" fontId="14" fillId="6" borderId="36" xfId="431" applyFont="1" applyFill="1" applyBorder="1" applyAlignment="1">
      <alignment horizontal="center" vertical="center"/>
    </xf>
    <xf numFmtId="0" fontId="14" fillId="6" borderId="37" xfId="431" applyFont="1" applyFill="1" applyBorder="1" applyAlignment="1">
      <alignment horizontal="center" vertical="center"/>
    </xf>
    <xf numFmtId="0" fontId="4" fillId="0" borderId="9" xfId="431" applyFont="1" applyBorder="1" applyAlignment="1">
      <alignment horizontal="left" vertical="center"/>
    </xf>
    <xf numFmtId="0" fontId="4" fillId="0" borderId="16" xfId="431" applyFont="1" applyBorder="1" applyAlignment="1">
      <alignment horizontal="left" vertical="center"/>
    </xf>
    <xf numFmtId="0" fontId="25" fillId="0" borderId="5" xfId="1" applyFont="1" applyBorder="1" applyAlignment="1">
      <alignment horizontal="center" vertical="center"/>
    </xf>
    <xf numFmtId="0" fontId="25" fillId="0" borderId="7" xfId="1" applyFont="1" applyBorder="1" applyAlignment="1">
      <alignment horizontal="center" vertical="center"/>
    </xf>
    <xf numFmtId="0" fontId="25" fillId="0" borderId="6" xfId="1" applyFont="1" applyBorder="1" applyAlignment="1">
      <alignment horizontal="center" vertical="center"/>
    </xf>
    <xf numFmtId="0" fontId="4" fillId="0" borderId="16" xfId="1" applyFont="1" applyBorder="1" applyAlignment="1">
      <alignment horizontal="left" vertical="center"/>
    </xf>
    <xf numFmtId="0" fontId="7" fillId="0" borderId="14" xfId="1" applyFont="1" applyBorder="1" applyAlignment="1">
      <alignment horizontal="center" vertical="center"/>
    </xf>
    <xf numFmtId="0" fontId="7" fillId="0" borderId="15" xfId="1" applyFont="1" applyBorder="1" applyAlignment="1">
      <alignment horizontal="center" vertical="center"/>
    </xf>
    <xf numFmtId="0" fontId="7" fillId="0" borderId="18" xfId="1" applyFont="1" applyBorder="1" applyAlignment="1">
      <alignment horizontal="center" vertical="center"/>
    </xf>
    <xf numFmtId="0" fontId="7" fillId="0" borderId="19" xfId="1" applyFont="1" applyBorder="1" applyAlignment="1">
      <alignment horizontal="center" vertical="center"/>
    </xf>
    <xf numFmtId="0" fontId="7" fillId="0" borderId="8" xfId="1" applyFont="1" applyBorder="1" applyAlignment="1">
      <alignment horizontal="center" vertical="center"/>
    </xf>
    <xf numFmtId="0" fontId="7" fillId="0" borderId="10" xfId="1" applyFont="1" applyBorder="1" applyAlignment="1">
      <alignment horizontal="center" vertical="center"/>
    </xf>
    <xf numFmtId="0" fontId="136" fillId="0" borderId="14" xfId="1" applyFont="1" applyBorder="1" applyAlignment="1">
      <alignment horizontal="center" vertical="center" wrapText="1"/>
    </xf>
    <xf numFmtId="0" fontId="136" fillId="0" borderId="15" xfId="1" applyFont="1" applyBorder="1" applyAlignment="1">
      <alignment horizontal="center" vertical="center" wrapText="1"/>
    </xf>
    <xf numFmtId="0" fontId="136" fillId="0" borderId="18" xfId="1" applyFont="1" applyBorder="1" applyAlignment="1">
      <alignment horizontal="center" vertical="center" wrapText="1"/>
    </xf>
    <xf numFmtId="0" fontId="136" fillId="0" borderId="19" xfId="1" applyFont="1" applyBorder="1" applyAlignment="1">
      <alignment horizontal="center" vertical="center" wrapText="1"/>
    </xf>
    <xf numFmtId="0" fontId="136" fillId="0" borderId="8" xfId="1" applyFont="1" applyBorder="1" applyAlignment="1">
      <alignment horizontal="center" vertical="center" wrapText="1"/>
    </xf>
    <xf numFmtId="0" fontId="136" fillId="0" borderId="10" xfId="1" applyFont="1" applyBorder="1" applyAlignment="1">
      <alignment horizontal="center" vertical="center" wrapText="1"/>
    </xf>
    <xf numFmtId="0" fontId="81" fillId="0" borderId="7" xfId="1" applyFont="1" applyBorder="1" applyAlignment="1">
      <alignment horizontal="center" vertical="center" wrapText="1"/>
    </xf>
    <xf numFmtId="0" fontId="81" fillId="0" borderId="6" xfId="1" applyFont="1" applyBorder="1" applyAlignment="1">
      <alignment horizontal="center" vertical="center" wrapText="1"/>
    </xf>
    <xf numFmtId="0" fontId="3" fillId="4" borderId="5" xfId="1" applyFont="1" applyFill="1" applyBorder="1" applyAlignment="1">
      <alignment horizontal="center" vertical="center" wrapText="1"/>
    </xf>
    <xf numFmtId="0" fontId="4" fillId="4" borderId="7" xfId="1" applyFont="1" applyFill="1" applyBorder="1" applyAlignment="1">
      <alignment horizontal="center" vertical="center" wrapText="1"/>
    </xf>
    <xf numFmtId="0" fontId="4" fillId="4" borderId="9" xfId="1" applyFont="1" applyFill="1" applyBorder="1" applyAlignment="1">
      <alignment horizontal="center" vertical="center" wrapText="1"/>
    </xf>
    <xf numFmtId="0" fontId="4" fillId="4" borderId="10" xfId="1" applyFont="1" applyFill="1" applyBorder="1" applyAlignment="1">
      <alignment horizontal="center" vertical="center" wrapText="1"/>
    </xf>
    <xf numFmtId="0" fontId="3" fillId="0" borderId="7" xfId="1" applyFont="1" applyBorder="1" applyAlignment="1">
      <alignment horizontal="center" vertical="center" wrapText="1"/>
    </xf>
    <xf numFmtId="0" fontId="3" fillId="0" borderId="6" xfId="1" applyFont="1" applyBorder="1" applyAlignment="1">
      <alignment horizontal="center" vertical="center" wrapText="1"/>
    </xf>
    <xf numFmtId="0" fontId="124" fillId="0" borderId="16" xfId="1" applyFont="1" applyBorder="1" applyAlignment="1">
      <alignment horizontal="center" vertical="center"/>
    </xf>
    <xf numFmtId="0" fontId="124" fillId="0" borderId="15" xfId="1" applyFont="1" applyBorder="1" applyAlignment="1">
      <alignment horizontal="center" vertical="center"/>
    </xf>
    <xf numFmtId="0" fontId="4" fillId="0" borderId="9" xfId="1" applyFont="1" applyBorder="1" applyAlignment="1">
      <alignment horizontal="center" vertical="center" wrapText="1"/>
    </xf>
    <xf numFmtId="0" fontId="136" fillId="0" borderId="16" xfId="1" applyFont="1" applyBorder="1" applyAlignment="1">
      <alignment horizontal="center" vertical="center" wrapText="1"/>
    </xf>
    <xf numFmtId="0" fontId="136" fillId="0" borderId="0" xfId="1" applyFont="1" applyAlignment="1">
      <alignment horizontal="center" vertical="center" wrapText="1"/>
    </xf>
    <xf numFmtId="165" fontId="82" fillId="9" borderId="7" xfId="463" applyFont="1" applyFill="1" applyBorder="1" applyAlignment="1">
      <alignment horizontal="center" vertical="center"/>
    </xf>
    <xf numFmtId="165" fontId="82" fillId="9" borderId="6" xfId="463" applyFont="1" applyFill="1" applyBorder="1" applyAlignment="1">
      <alignment horizontal="center" vertical="center"/>
    </xf>
    <xf numFmtId="0" fontId="17" fillId="0" borderId="5" xfId="1" applyFont="1" applyBorder="1" applyAlignment="1">
      <alignment horizontal="center" vertical="center" wrapText="1"/>
    </xf>
    <xf numFmtId="0" fontId="17" fillId="0" borderId="7" xfId="1" applyFont="1" applyBorder="1" applyAlignment="1">
      <alignment horizontal="center" vertical="center" wrapText="1"/>
    </xf>
    <xf numFmtId="0" fontId="17" fillId="0" borderId="6" xfId="1" applyFont="1" applyBorder="1" applyAlignment="1">
      <alignment horizontal="center" vertical="center" wrapText="1"/>
    </xf>
    <xf numFmtId="0" fontId="28" fillId="8" borderId="8" xfId="1" applyFont="1" applyFill="1" applyBorder="1" applyAlignment="1">
      <alignment horizontal="center" vertical="center"/>
    </xf>
    <xf numFmtId="0" fontId="28" fillId="8" borderId="9" xfId="1" applyFont="1" applyFill="1" applyBorder="1" applyAlignment="1">
      <alignment horizontal="center" vertical="center"/>
    </xf>
    <xf numFmtId="165" fontId="28" fillId="8" borderId="9" xfId="641" applyFont="1" applyFill="1" applyBorder="1" applyAlignment="1">
      <alignment horizontal="center" vertical="center"/>
    </xf>
    <xf numFmtId="165" fontId="28" fillId="8" borderId="10" xfId="641" applyFont="1" applyFill="1" applyBorder="1" applyAlignment="1">
      <alignment horizontal="center" vertical="center"/>
    </xf>
    <xf numFmtId="0" fontId="3" fillId="0" borderId="0" xfId="1" applyFont="1" applyAlignment="1">
      <alignment horizontal="right" vertical="center"/>
    </xf>
    <xf numFmtId="17" fontId="4" fillId="0" borderId="9" xfId="1" applyNumberFormat="1" applyFont="1" applyBorder="1" applyAlignment="1">
      <alignment horizontal="left" vertical="center"/>
    </xf>
    <xf numFmtId="0" fontId="4" fillId="0" borderId="9" xfId="1" applyFont="1" applyBorder="1" applyAlignment="1">
      <alignment horizontal="left" vertical="center"/>
    </xf>
    <xf numFmtId="0" fontId="14" fillId="0" borderId="14" xfId="23" applyFont="1" applyBorder="1" applyAlignment="1">
      <alignment horizontal="center" wrapText="1"/>
    </xf>
    <xf numFmtId="0" fontId="14" fillId="0" borderId="18" xfId="23" applyFont="1" applyBorder="1" applyAlignment="1">
      <alignment horizontal="center" wrapText="1"/>
    </xf>
    <xf numFmtId="0" fontId="14" fillId="0" borderId="8" xfId="23" applyFont="1" applyBorder="1" applyAlignment="1">
      <alignment horizontal="center" wrapText="1"/>
    </xf>
    <xf numFmtId="0" fontId="132" fillId="72" borderId="5" xfId="431" applyFont="1" applyFill="1" applyBorder="1" applyAlignment="1">
      <alignment horizontal="center" vertical="center" wrapText="1"/>
    </xf>
    <xf numFmtId="0" fontId="132" fillId="72" borderId="7" xfId="431" applyFont="1" applyFill="1" applyBorder="1" applyAlignment="1">
      <alignment horizontal="center" vertical="center" wrapText="1"/>
    </xf>
    <xf numFmtId="0" fontId="132" fillId="72" borderId="6" xfId="431" applyFont="1" applyFill="1" applyBorder="1" applyAlignment="1">
      <alignment horizontal="center" vertical="center" wrapText="1"/>
    </xf>
    <xf numFmtId="0" fontId="127" fillId="5" borderId="14" xfId="810" applyFont="1" applyFill="1" applyBorder="1" applyAlignment="1">
      <alignment horizontal="center" vertical="center"/>
    </xf>
    <xf numFmtId="0" fontId="127" fillId="5" borderId="15" xfId="810" applyFont="1" applyFill="1" applyBorder="1" applyAlignment="1">
      <alignment horizontal="center" vertical="center"/>
    </xf>
    <xf numFmtId="0" fontId="131" fillId="5" borderId="18" xfId="810" applyFont="1" applyFill="1" applyBorder="1" applyAlignment="1">
      <alignment horizontal="center" vertical="center"/>
    </xf>
    <xf numFmtId="0" fontId="131" fillId="5" borderId="19" xfId="810" applyFont="1" applyFill="1" applyBorder="1" applyAlignment="1">
      <alignment horizontal="center" vertical="center"/>
    </xf>
    <xf numFmtId="0" fontId="127" fillId="5" borderId="18" xfId="810" applyFont="1" applyFill="1" applyBorder="1" applyAlignment="1">
      <alignment horizontal="center" vertical="center"/>
    </xf>
    <xf numFmtId="0" fontId="127" fillId="5" borderId="19" xfId="810" applyFont="1" applyFill="1" applyBorder="1" applyAlignment="1">
      <alignment horizontal="center" vertical="center"/>
    </xf>
    <xf numFmtId="0" fontId="127" fillId="5" borderId="8" xfId="810" applyFont="1" applyFill="1" applyBorder="1" applyAlignment="1">
      <alignment horizontal="center" vertical="center"/>
    </xf>
    <xf numFmtId="0" fontId="127" fillId="5" borderId="10" xfId="810" applyFont="1" applyFill="1" applyBorder="1" applyAlignment="1">
      <alignment horizontal="center" vertical="center"/>
    </xf>
    <xf numFmtId="4" fontId="4" fillId="0" borderId="0" xfId="23" applyNumberFormat="1" applyFont="1" applyAlignment="1">
      <alignment horizontal="left"/>
    </xf>
    <xf numFmtId="4" fontId="4" fillId="0" borderId="19" xfId="23" applyNumberFormat="1" applyFont="1" applyBorder="1" applyAlignment="1">
      <alignment horizontal="left"/>
    </xf>
    <xf numFmtId="4" fontId="4" fillId="0" borderId="0" xfId="23" applyNumberFormat="1" applyFont="1" applyAlignment="1">
      <alignment horizontal="left" wrapText="1"/>
    </xf>
    <xf numFmtId="4" fontId="4" fillId="0" borderId="19" xfId="23" applyNumberFormat="1" applyFont="1" applyBorder="1" applyAlignment="1">
      <alignment horizontal="left" wrapText="1"/>
    </xf>
    <xf numFmtId="14" fontId="4" fillId="0" borderId="9" xfId="23" applyNumberFormat="1" applyFont="1" applyBorder="1" applyAlignment="1">
      <alignment horizontal="left" wrapText="1"/>
    </xf>
    <xf numFmtId="14" fontId="4" fillId="0" borderId="10" xfId="23" applyNumberFormat="1" applyFont="1" applyBorder="1" applyAlignment="1">
      <alignment horizontal="left" wrapText="1"/>
    </xf>
    <xf numFmtId="0" fontId="4" fillId="5" borderId="18" xfId="810" applyFont="1" applyFill="1" applyBorder="1" applyAlignment="1">
      <alignment horizontal="center" vertical="center" wrapText="1"/>
    </xf>
    <xf numFmtId="0" fontId="4" fillId="5" borderId="19" xfId="810" applyFont="1" applyFill="1" applyBorder="1" applyAlignment="1">
      <alignment horizontal="center" vertical="center"/>
    </xf>
    <xf numFmtId="0" fontId="4" fillId="5" borderId="18" xfId="810" applyFont="1" applyFill="1" applyBorder="1" applyAlignment="1">
      <alignment horizontal="center" vertical="center"/>
    </xf>
    <xf numFmtId="0" fontId="4" fillId="5" borderId="8" xfId="810" applyFont="1" applyFill="1" applyBorder="1" applyAlignment="1">
      <alignment horizontal="center" vertical="center"/>
    </xf>
    <xf numFmtId="0" fontId="4" fillId="5" borderId="212" xfId="810" applyFont="1" applyFill="1" applyBorder="1" applyAlignment="1">
      <alignment horizontal="center" vertical="center"/>
    </xf>
    <xf numFmtId="0" fontId="3" fillId="72" borderId="18" xfId="786" applyFont="1" applyFill="1" applyBorder="1" applyAlignment="1">
      <alignment horizontal="center" vertical="center"/>
    </xf>
    <xf numFmtId="0" fontId="3" fillId="72" borderId="0" xfId="786" applyFont="1" applyFill="1" applyAlignment="1">
      <alignment horizontal="center" vertical="center"/>
    </xf>
    <xf numFmtId="0" fontId="3" fillId="72" borderId="19" xfId="786" applyFont="1" applyFill="1" applyBorder="1" applyAlignment="1">
      <alignment horizontal="center" vertical="center"/>
    </xf>
    <xf numFmtId="0" fontId="83" fillId="4" borderId="173" xfId="639" applyFont="1" applyFill="1" applyBorder="1" applyAlignment="1">
      <alignment horizontal="left"/>
    </xf>
    <xf numFmtId="0" fontId="3" fillId="5" borderId="0" xfId="810" applyFont="1" applyFill="1" applyAlignment="1">
      <alignment horizontal="left" vertical="center"/>
    </xf>
    <xf numFmtId="0" fontId="3" fillId="5" borderId="19" xfId="810" applyFont="1" applyFill="1" applyBorder="1" applyAlignment="1">
      <alignment horizontal="left" vertical="center"/>
    </xf>
    <xf numFmtId="0" fontId="139" fillId="5" borderId="14" xfId="810" applyFont="1" applyFill="1" applyBorder="1" applyAlignment="1">
      <alignment horizontal="center" vertical="center"/>
    </xf>
    <xf numFmtId="0" fontId="139" fillId="5" borderId="16" xfId="810" applyFont="1" applyFill="1" applyBorder="1" applyAlignment="1">
      <alignment horizontal="center" vertical="center"/>
    </xf>
    <xf numFmtId="0" fontId="139" fillId="5" borderId="18" xfId="810" applyFont="1" applyFill="1" applyBorder="1" applyAlignment="1">
      <alignment horizontal="center" vertical="center"/>
    </xf>
    <xf numFmtId="0" fontId="139" fillId="5" borderId="0" xfId="810" applyFont="1" applyFill="1" applyAlignment="1">
      <alignment horizontal="center" vertical="center"/>
    </xf>
    <xf numFmtId="0" fontId="133" fillId="5" borderId="16" xfId="810" applyFont="1" applyFill="1" applyBorder="1" applyAlignment="1">
      <alignment horizontal="center" vertical="center"/>
    </xf>
    <xf numFmtId="0" fontId="133" fillId="5" borderId="15" xfId="810" applyFont="1" applyFill="1" applyBorder="1" applyAlignment="1">
      <alignment horizontal="center" vertical="center"/>
    </xf>
    <xf numFmtId="0" fontId="133" fillId="5" borderId="0" xfId="810" applyFont="1" applyFill="1" applyAlignment="1">
      <alignment horizontal="center" vertical="center"/>
    </xf>
    <xf numFmtId="0" fontId="133" fillId="5" borderId="19" xfId="810" applyFont="1" applyFill="1" applyBorder="1" applyAlignment="1">
      <alignment horizontal="center" vertical="center"/>
    </xf>
    <xf numFmtId="0" fontId="133" fillId="5" borderId="9" xfId="810" applyFont="1" applyFill="1" applyBorder="1" applyAlignment="1">
      <alignment horizontal="center" vertical="center"/>
    </xf>
    <xf numFmtId="0" fontId="133" fillId="5" borderId="10" xfId="810" applyFont="1" applyFill="1" applyBorder="1" applyAlignment="1">
      <alignment horizontal="center" vertical="center"/>
    </xf>
    <xf numFmtId="0" fontId="87" fillId="5" borderId="18" xfId="810" applyFont="1" applyFill="1" applyBorder="1" applyAlignment="1">
      <alignment horizontal="center" vertical="center" wrapText="1"/>
    </xf>
    <xf numFmtId="0" fontId="87" fillId="5" borderId="0" xfId="810" applyFont="1" applyFill="1" applyAlignment="1">
      <alignment horizontal="center" vertical="center" wrapText="1"/>
    </xf>
    <xf numFmtId="0" fontId="87" fillId="5" borderId="8" xfId="810" applyFont="1" applyFill="1" applyBorder="1" applyAlignment="1">
      <alignment horizontal="center" vertical="center" wrapText="1"/>
    </xf>
    <xf numFmtId="0" fontId="87" fillId="5" borderId="9" xfId="810" applyFont="1" applyFill="1" applyBorder="1" applyAlignment="1">
      <alignment horizontal="center" vertical="center" wrapText="1"/>
    </xf>
    <xf numFmtId="14" fontId="3" fillId="5" borderId="9" xfId="810" applyNumberFormat="1" applyFont="1" applyFill="1" applyBorder="1" applyAlignment="1">
      <alignment horizontal="left" vertical="center"/>
    </xf>
    <xf numFmtId="14" fontId="3" fillId="5" borderId="10" xfId="810" applyNumberFormat="1" applyFont="1" applyFill="1" applyBorder="1" applyAlignment="1">
      <alignment horizontal="left" vertical="center"/>
    </xf>
    <xf numFmtId="0" fontId="4" fillId="0" borderId="211" xfId="639" applyFont="1" applyBorder="1" applyAlignment="1">
      <alignment horizontal="center" vertical="center"/>
    </xf>
    <xf numFmtId="49" fontId="4" fillId="0" borderId="0" xfId="33" applyNumberFormat="1" applyFont="1" applyAlignment="1">
      <alignment horizontal="left" vertical="center" wrapText="1"/>
    </xf>
    <xf numFmtId="49" fontId="4" fillId="0" borderId="19" xfId="33" applyNumberFormat="1" applyFont="1" applyBorder="1" applyAlignment="1">
      <alignment horizontal="left" vertical="center" wrapText="1"/>
    </xf>
    <xf numFmtId="0" fontId="3" fillId="0" borderId="5" xfId="639" applyFont="1" applyBorder="1" applyAlignment="1">
      <alignment horizontal="center" vertical="center"/>
    </xf>
    <xf numFmtId="0" fontId="3" fillId="0" borderId="7" xfId="639" applyFont="1" applyBorder="1" applyAlignment="1">
      <alignment horizontal="center" vertical="center"/>
    </xf>
    <xf numFmtId="0" fontId="3" fillId="0" borderId="6" xfId="639" applyFont="1" applyBorder="1" applyAlignment="1">
      <alignment horizontal="center" vertical="center"/>
    </xf>
    <xf numFmtId="0" fontId="3" fillId="0" borderId="16" xfId="639" applyFont="1" applyBorder="1" applyAlignment="1">
      <alignment horizontal="center" vertical="center"/>
    </xf>
    <xf numFmtId="0" fontId="4" fillId="0" borderId="0" xfId="639" applyFont="1" applyAlignment="1">
      <alignment horizontal="center" vertical="center"/>
    </xf>
    <xf numFmtId="0" fontId="3" fillId="4" borderId="71" xfId="639" applyFont="1" applyFill="1" applyBorder="1" applyAlignment="1">
      <alignment horizontal="left" vertical="center" wrapText="1"/>
    </xf>
    <xf numFmtId="0" fontId="3" fillId="4" borderId="65" xfId="639" applyFont="1" applyFill="1" applyBorder="1" applyAlignment="1">
      <alignment horizontal="left" vertical="center" wrapText="1"/>
    </xf>
    <xf numFmtId="0" fontId="3" fillId="4" borderId="72" xfId="639" applyFont="1" applyFill="1" applyBorder="1" applyAlignment="1">
      <alignment horizontal="left" vertical="center" wrapText="1"/>
    </xf>
    <xf numFmtId="0" fontId="3" fillId="77" borderId="199" xfId="639" applyFont="1" applyFill="1" applyBorder="1" applyAlignment="1">
      <alignment horizontal="center" vertical="center"/>
    </xf>
    <xf numFmtId="0" fontId="3" fillId="77" borderId="207" xfId="639" applyFont="1" applyFill="1" applyBorder="1" applyAlignment="1">
      <alignment horizontal="center" vertical="center"/>
    </xf>
    <xf numFmtId="0" fontId="3" fillId="77" borderId="198" xfId="639" applyFont="1" applyFill="1" applyBorder="1" applyAlignment="1">
      <alignment horizontal="center" vertical="center"/>
    </xf>
    <xf numFmtId="0" fontId="3" fillId="11" borderId="199" xfId="639" applyFont="1" applyFill="1" applyBorder="1" applyAlignment="1">
      <alignment horizontal="center" vertical="center"/>
    </xf>
    <xf numFmtId="0" fontId="3" fillId="11" borderId="207" xfId="639" applyFont="1" applyFill="1" applyBorder="1" applyAlignment="1">
      <alignment horizontal="center" vertical="center"/>
    </xf>
    <xf numFmtId="0" fontId="3" fillId="11" borderId="198" xfId="639" applyFont="1" applyFill="1" applyBorder="1" applyAlignment="1">
      <alignment horizontal="center" vertical="center"/>
    </xf>
    <xf numFmtId="0" fontId="3" fillId="4" borderId="33" xfId="639" applyFont="1" applyFill="1" applyBorder="1" applyAlignment="1">
      <alignment horizontal="left" vertical="center" wrapText="1"/>
    </xf>
    <xf numFmtId="0" fontId="3" fillId="77" borderId="192" xfId="639" applyFont="1" applyFill="1" applyBorder="1" applyAlignment="1">
      <alignment horizontal="center" vertical="center"/>
    </xf>
    <xf numFmtId="0" fontId="3" fillId="77" borderId="193" xfId="639" applyFont="1" applyFill="1" applyBorder="1" applyAlignment="1">
      <alignment horizontal="center" vertical="center"/>
    </xf>
    <xf numFmtId="0" fontId="3" fillId="77" borderId="194" xfId="639" applyFont="1" applyFill="1" applyBorder="1" applyAlignment="1">
      <alignment horizontal="center" vertical="center"/>
    </xf>
    <xf numFmtId="0" fontId="3" fillId="11" borderId="192" xfId="639" applyFont="1" applyFill="1" applyBorder="1" applyAlignment="1">
      <alignment horizontal="center" vertical="center"/>
    </xf>
    <xf numFmtId="0" fontId="3" fillId="11" borderId="193" xfId="639" applyFont="1" applyFill="1" applyBorder="1" applyAlignment="1">
      <alignment horizontal="center" vertical="center"/>
    </xf>
    <xf numFmtId="0" fontId="3" fillId="11" borderId="194" xfId="639" applyFont="1" applyFill="1" applyBorder="1" applyAlignment="1">
      <alignment horizontal="center" vertical="center"/>
    </xf>
    <xf numFmtId="0" fontId="3" fillId="11" borderId="27" xfId="639" applyFont="1" applyFill="1" applyBorder="1" applyAlignment="1">
      <alignment horizontal="center" vertical="center"/>
    </xf>
    <xf numFmtId="0" fontId="3" fillId="11" borderId="28" xfId="639" applyFont="1" applyFill="1" applyBorder="1" applyAlignment="1">
      <alignment horizontal="center" vertical="center"/>
    </xf>
    <xf numFmtId="49" fontId="3" fillId="0" borderId="0" xfId="33" applyNumberFormat="1" applyFont="1" applyAlignment="1">
      <alignment horizontal="left" vertical="center" wrapText="1"/>
    </xf>
    <xf numFmtId="49" fontId="3" fillId="0" borderId="19" xfId="33" applyNumberFormat="1" applyFont="1" applyBorder="1" applyAlignment="1">
      <alignment horizontal="left" vertical="center" wrapText="1"/>
    </xf>
    <xf numFmtId="49" fontId="4" fillId="0" borderId="16" xfId="33" applyNumberFormat="1" applyFont="1" applyBorder="1" applyAlignment="1">
      <alignment horizontal="left" vertical="center" wrapText="1"/>
    </xf>
    <xf numFmtId="49" fontId="4" fillId="0" borderId="15" xfId="33" applyNumberFormat="1" applyFont="1" applyBorder="1" applyAlignment="1">
      <alignment horizontal="left" vertical="center" wrapText="1"/>
    </xf>
    <xf numFmtId="0" fontId="3" fillId="11" borderId="180" xfId="639" applyFont="1" applyFill="1" applyBorder="1" applyAlignment="1">
      <alignment horizontal="center" vertical="center"/>
    </xf>
    <xf numFmtId="0" fontId="3" fillId="11" borderId="181" xfId="639" applyFont="1" applyFill="1" applyBorder="1" applyAlignment="1">
      <alignment horizontal="center" vertical="center"/>
    </xf>
    <xf numFmtId="0" fontId="3" fillId="11" borderId="182" xfId="639" applyFont="1" applyFill="1" applyBorder="1" applyAlignment="1">
      <alignment horizontal="center" vertical="center"/>
    </xf>
    <xf numFmtId="49" fontId="4" fillId="0" borderId="0" xfId="771" applyNumberFormat="1" applyFont="1" applyAlignment="1">
      <alignment horizontal="left" vertical="center" wrapText="1"/>
    </xf>
    <xf numFmtId="49" fontId="4" fillId="0" borderId="19" xfId="771" applyNumberFormat="1" applyFont="1" applyBorder="1" applyAlignment="1">
      <alignment horizontal="left" vertical="center" wrapText="1"/>
    </xf>
    <xf numFmtId="49" fontId="4" fillId="0" borderId="0" xfId="0" applyNumberFormat="1" applyFont="1" applyAlignment="1">
      <alignment horizontal="left" vertical="top" wrapText="1"/>
    </xf>
    <xf numFmtId="49" fontId="35" fillId="0" borderId="8" xfId="33" quotePrefix="1" applyNumberFormat="1" applyFont="1" applyBorder="1" applyAlignment="1">
      <alignment horizontal="center" vertical="center" wrapText="1"/>
    </xf>
    <xf numFmtId="49" fontId="35" fillId="0" borderId="9" xfId="33" applyNumberFormat="1" applyFont="1" applyBorder="1" applyAlignment="1">
      <alignment horizontal="center" vertical="center" wrapText="1"/>
    </xf>
    <xf numFmtId="49" fontId="35" fillId="0" borderId="10" xfId="33" applyNumberFormat="1" applyFont="1" applyBorder="1" applyAlignment="1">
      <alignment horizontal="center" vertical="center" wrapText="1"/>
    </xf>
    <xf numFmtId="49" fontId="3" fillId="0" borderId="0" xfId="771" applyNumberFormat="1" applyFont="1" applyAlignment="1">
      <alignment horizontal="left" vertical="center" wrapText="1"/>
    </xf>
    <xf numFmtId="49" fontId="3" fillId="0" borderId="19" xfId="771" applyNumberFormat="1" applyFont="1" applyBorder="1" applyAlignment="1">
      <alignment horizontal="left" vertical="center" wrapText="1"/>
    </xf>
    <xf numFmtId="0" fontId="3" fillId="11" borderId="192" xfId="635" applyFont="1" applyFill="1" applyBorder="1" applyAlignment="1">
      <alignment horizontal="center" vertical="center"/>
    </xf>
    <xf numFmtId="0" fontId="3" fillId="11" borderId="193" xfId="635" applyFont="1" applyFill="1" applyBorder="1" applyAlignment="1">
      <alignment horizontal="center" vertical="center"/>
    </xf>
    <xf numFmtId="0" fontId="3" fillId="11" borderId="194" xfId="635" applyFont="1" applyFill="1" applyBorder="1" applyAlignment="1">
      <alignment horizontal="center" vertical="center"/>
    </xf>
    <xf numFmtId="49" fontId="4" fillId="0" borderId="16" xfId="0" applyNumberFormat="1" applyFont="1" applyBorder="1" applyAlignment="1">
      <alignment horizontal="left" vertical="top" wrapText="1"/>
    </xf>
    <xf numFmtId="49" fontId="4" fillId="0" borderId="15" xfId="0" applyNumberFormat="1" applyFont="1" applyBorder="1" applyAlignment="1">
      <alignment horizontal="left" vertical="top" wrapText="1"/>
    </xf>
    <xf numFmtId="49" fontId="4" fillId="17" borderId="0" xfId="639" applyNumberFormat="1" applyFont="1" applyFill="1" applyAlignment="1">
      <alignment horizontal="left" vertical="center" wrapText="1"/>
    </xf>
    <xf numFmtId="49" fontId="4" fillId="17" borderId="19" xfId="639" applyNumberFormat="1" applyFont="1" applyFill="1" applyBorder="1" applyAlignment="1">
      <alignment horizontal="left" vertical="center" wrapText="1"/>
    </xf>
    <xf numFmtId="0" fontId="3" fillId="11" borderId="25" xfId="635" applyFont="1" applyFill="1" applyBorder="1" applyAlignment="1">
      <alignment horizontal="center" vertical="center"/>
    </xf>
    <xf numFmtId="0" fontId="3" fillId="11" borderId="20" xfId="635" applyFont="1" applyFill="1" applyBorder="1" applyAlignment="1">
      <alignment horizontal="center" vertical="center"/>
    </xf>
    <xf numFmtId="0" fontId="3" fillId="11" borderId="38" xfId="635" applyFont="1" applyFill="1" applyBorder="1" applyAlignment="1">
      <alignment horizontal="center" vertical="center"/>
    </xf>
    <xf numFmtId="0" fontId="3" fillId="2" borderId="192" xfId="495" applyFont="1" applyFill="1" applyBorder="1" applyAlignment="1">
      <alignment horizontal="center" vertical="center"/>
    </xf>
    <xf numFmtId="0" fontId="3" fillId="2" borderId="193" xfId="495" applyFont="1" applyFill="1" applyBorder="1" applyAlignment="1">
      <alignment horizontal="center" vertical="center"/>
    </xf>
    <xf numFmtId="0" fontId="3" fillId="2" borderId="194" xfId="495" applyFont="1" applyFill="1" applyBorder="1" applyAlignment="1">
      <alignment horizontal="center" vertical="center"/>
    </xf>
    <xf numFmtId="49" fontId="4" fillId="0" borderId="18" xfId="771" applyNumberFormat="1" applyFont="1" applyBorder="1" applyAlignment="1">
      <alignment horizontal="left" vertical="center" wrapText="1"/>
    </xf>
    <xf numFmtId="0" fontId="3" fillId="11" borderId="192" xfId="0" applyFont="1" applyFill="1" applyBorder="1" applyAlignment="1">
      <alignment horizontal="center" vertical="center"/>
    </xf>
    <xf numFmtId="0" fontId="3" fillId="11" borderId="193" xfId="0" applyFont="1" applyFill="1" applyBorder="1" applyAlignment="1">
      <alignment horizontal="center" vertical="center"/>
    </xf>
    <xf numFmtId="0" fontId="3" fillId="11" borderId="194" xfId="0" applyFont="1" applyFill="1" applyBorder="1" applyAlignment="1">
      <alignment horizontal="center" vertical="center"/>
    </xf>
    <xf numFmtId="17" fontId="4" fillId="0" borderId="9" xfId="639" applyNumberFormat="1" applyFont="1" applyBorder="1" applyAlignment="1">
      <alignment horizontal="left" vertical="center"/>
    </xf>
    <xf numFmtId="0" fontId="4" fillId="0" borderId="9" xfId="639" applyFont="1" applyBorder="1" applyAlignment="1">
      <alignment horizontal="left" vertical="center"/>
    </xf>
    <xf numFmtId="0" fontId="28" fillId="8" borderId="5" xfId="639" applyFont="1" applyFill="1" applyBorder="1" applyAlignment="1">
      <alignment horizontal="center" vertical="center"/>
    </xf>
    <xf numFmtId="0" fontId="28" fillId="8" borderId="7" xfId="639" applyFont="1" applyFill="1" applyBorder="1" applyAlignment="1">
      <alignment horizontal="center" vertical="center"/>
    </xf>
    <xf numFmtId="0" fontId="28" fillId="8" borderId="6" xfId="639" applyFont="1" applyFill="1" applyBorder="1" applyAlignment="1">
      <alignment horizontal="center" vertical="center"/>
    </xf>
    <xf numFmtId="0" fontId="3" fillId="11" borderId="26" xfId="635" applyFont="1" applyFill="1" applyBorder="1" applyAlignment="1">
      <alignment horizontal="center" vertical="center"/>
    </xf>
    <xf numFmtId="0" fontId="3" fillId="11" borderId="27" xfId="635" applyFont="1" applyFill="1" applyBorder="1" applyAlignment="1">
      <alignment horizontal="center" vertical="center"/>
    </xf>
    <xf numFmtId="0" fontId="3" fillId="11" borderId="28" xfId="635" applyFont="1" applyFill="1" applyBorder="1" applyAlignment="1">
      <alignment horizontal="center" vertical="center"/>
    </xf>
    <xf numFmtId="49" fontId="35" fillId="0" borderId="0" xfId="33" applyNumberFormat="1" applyFont="1" applyAlignment="1">
      <alignment horizontal="left" vertical="center" wrapText="1"/>
    </xf>
    <xf numFmtId="49" fontId="35" fillId="0" borderId="19" xfId="33" applyNumberFormat="1" applyFont="1" applyBorder="1" applyAlignment="1">
      <alignment horizontal="left" vertical="center" wrapText="1"/>
    </xf>
    <xf numFmtId="0" fontId="3" fillId="2" borderId="14" xfId="495" applyFont="1" applyFill="1" applyBorder="1" applyAlignment="1">
      <alignment horizontal="center" vertical="center"/>
    </xf>
    <xf numFmtId="0" fontId="3" fillId="2" borderId="16" xfId="495" applyFont="1" applyFill="1" applyBorder="1" applyAlignment="1">
      <alignment horizontal="center" vertical="center"/>
    </xf>
    <xf numFmtId="0" fontId="3" fillId="2" borderId="15" xfId="495" applyFont="1" applyFill="1" applyBorder="1" applyAlignment="1">
      <alignment horizontal="center" vertical="center"/>
    </xf>
    <xf numFmtId="0" fontId="3" fillId="11" borderId="199" xfId="635" applyFont="1" applyFill="1" applyBorder="1" applyAlignment="1">
      <alignment horizontal="center" vertical="center"/>
    </xf>
    <xf numFmtId="0" fontId="3" fillId="11" borderId="207" xfId="635" applyFont="1" applyFill="1" applyBorder="1" applyAlignment="1">
      <alignment horizontal="center" vertical="center"/>
    </xf>
    <xf numFmtId="0" fontId="3" fillId="11" borderId="198" xfId="635" applyFont="1" applyFill="1" applyBorder="1" applyAlignment="1">
      <alignment horizontal="center" vertical="center"/>
    </xf>
    <xf numFmtId="0" fontId="16" fillId="0" borderId="5" xfId="639" applyFont="1" applyBorder="1" applyAlignment="1">
      <alignment horizontal="center" vertical="center" wrapText="1"/>
    </xf>
    <xf numFmtId="0" fontId="16" fillId="0" borderId="7" xfId="639" applyFont="1" applyBorder="1" applyAlignment="1">
      <alignment horizontal="center" vertical="center" wrapText="1"/>
    </xf>
    <xf numFmtId="0" fontId="16" fillId="0" borderId="6" xfId="639" applyFont="1" applyBorder="1" applyAlignment="1">
      <alignment horizontal="center" vertical="center" wrapText="1"/>
    </xf>
    <xf numFmtId="0" fontId="5" fillId="0" borderId="5" xfId="0" applyFont="1" applyBorder="1" applyAlignment="1">
      <alignment horizontal="center" vertical="center" wrapText="1"/>
    </xf>
    <xf numFmtId="0" fontId="5" fillId="0" borderId="7" xfId="0" applyFont="1" applyBorder="1" applyAlignment="1">
      <alignment horizontal="center" vertical="center" wrapText="1"/>
    </xf>
    <xf numFmtId="0" fontId="5" fillId="0" borderId="6" xfId="0" applyFont="1" applyBorder="1" applyAlignment="1">
      <alignment horizontal="center" vertical="center" wrapText="1"/>
    </xf>
    <xf numFmtId="0" fontId="12" fillId="0" borderId="5"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6" xfId="0" applyFont="1" applyBorder="1" applyAlignment="1">
      <alignment horizontal="center" vertical="center" wrapText="1"/>
    </xf>
    <xf numFmtId="0" fontId="3" fillId="4" borderId="77" xfId="639" applyFont="1" applyFill="1" applyBorder="1" applyAlignment="1">
      <alignment horizontal="center" vertical="center" wrapText="1"/>
    </xf>
    <xf numFmtId="0" fontId="3" fillId="4" borderId="73" xfId="639" applyFont="1" applyFill="1" applyBorder="1" applyAlignment="1">
      <alignment horizontal="center" vertical="center" wrapText="1"/>
    </xf>
    <xf numFmtId="0" fontId="3" fillId="4" borderId="78" xfId="639" applyFont="1" applyFill="1" applyBorder="1" applyAlignment="1">
      <alignment horizontal="center" vertical="center" wrapText="1"/>
    </xf>
    <xf numFmtId="0" fontId="4" fillId="0" borderId="16" xfId="639" applyFont="1" applyBorder="1" applyAlignment="1">
      <alignment horizontal="left" vertical="center"/>
    </xf>
    <xf numFmtId="49" fontId="4" fillId="0" borderId="0" xfId="0" applyNumberFormat="1" applyFont="1" applyAlignment="1">
      <alignment horizontal="left" vertical="center" wrapText="1"/>
    </xf>
    <xf numFmtId="49" fontId="4" fillId="0" borderId="19" xfId="0" applyNumberFormat="1" applyFont="1" applyBorder="1" applyAlignment="1">
      <alignment horizontal="left" vertical="center" wrapText="1"/>
    </xf>
    <xf numFmtId="2" fontId="4" fillId="0" borderId="193" xfId="495" applyNumberFormat="1" applyFont="1" applyBorder="1" applyAlignment="1">
      <alignment horizontal="center"/>
    </xf>
    <xf numFmtId="0" fontId="3" fillId="11" borderId="199" xfId="0" applyFont="1" applyFill="1" applyBorder="1" applyAlignment="1">
      <alignment horizontal="center" vertical="center"/>
    </xf>
    <xf numFmtId="0" fontId="3" fillId="11" borderId="207" xfId="0" applyFont="1" applyFill="1" applyBorder="1" applyAlignment="1">
      <alignment horizontal="center" vertical="center"/>
    </xf>
    <xf numFmtId="0" fontId="3" fillId="11" borderId="198" xfId="0" applyFont="1" applyFill="1" applyBorder="1" applyAlignment="1">
      <alignment horizontal="center" vertical="center"/>
    </xf>
    <xf numFmtId="49" fontId="4" fillId="0" borderId="19" xfId="0" applyNumberFormat="1" applyFont="1" applyBorder="1" applyAlignment="1">
      <alignment horizontal="left" vertical="top" wrapText="1"/>
    </xf>
    <xf numFmtId="0" fontId="7" fillId="0" borderId="14" xfId="23" applyBorder="1" applyAlignment="1">
      <alignment horizontal="center" vertical="center"/>
    </xf>
    <xf numFmtId="0" fontId="7" fillId="0" borderId="8" xfId="23" applyBorder="1" applyAlignment="1">
      <alignment horizontal="center" vertical="center"/>
    </xf>
    <xf numFmtId="0" fontId="16" fillId="0" borderId="16" xfId="23" applyFont="1" applyBorder="1" applyAlignment="1">
      <alignment horizontal="center" vertical="center" wrapText="1"/>
    </xf>
    <xf numFmtId="0" fontId="16" fillId="0" borderId="15" xfId="23" applyFont="1" applyBorder="1" applyAlignment="1">
      <alignment horizontal="center" vertical="center" wrapText="1"/>
    </xf>
    <xf numFmtId="0" fontId="16" fillId="0" borderId="9" xfId="23" applyFont="1" applyBorder="1" applyAlignment="1">
      <alignment horizontal="center" vertical="center" wrapText="1"/>
    </xf>
    <xf numFmtId="0" fontId="16" fillId="0" borderId="10" xfId="23" applyFont="1" applyBorder="1" applyAlignment="1">
      <alignment horizontal="center" vertical="center" wrapText="1"/>
    </xf>
    <xf numFmtId="0" fontId="4" fillId="0" borderId="9" xfId="23" applyFont="1" applyBorder="1" applyAlignment="1">
      <alignment horizontal="left" vertical="center"/>
    </xf>
    <xf numFmtId="0" fontId="3" fillId="0" borderId="9" xfId="23" applyFont="1" applyBorder="1" applyAlignment="1">
      <alignment horizontal="right" vertical="center"/>
    </xf>
    <xf numFmtId="0" fontId="3" fillId="4" borderId="5" xfId="23" applyFont="1" applyFill="1" applyBorder="1" applyAlignment="1">
      <alignment horizontal="center" vertical="center" wrapText="1"/>
    </xf>
    <xf numFmtId="0" fontId="3" fillId="4" borderId="9" xfId="23" applyFont="1" applyFill="1" applyBorder="1" applyAlignment="1">
      <alignment horizontal="center" vertical="center" wrapText="1"/>
    </xf>
    <xf numFmtId="0" fontId="3" fillId="4" borderId="7" xfId="23" applyFont="1" applyFill="1" applyBorder="1" applyAlignment="1">
      <alignment horizontal="center" vertical="center" wrapText="1"/>
    </xf>
    <xf numFmtId="0" fontId="3" fillId="4" borderId="6" xfId="23" applyFont="1" applyFill="1" applyBorder="1" applyAlignment="1">
      <alignment horizontal="center" vertical="center" wrapText="1"/>
    </xf>
    <xf numFmtId="0" fontId="28" fillId="8" borderId="5" xfId="23" applyFont="1" applyFill="1" applyBorder="1" applyAlignment="1">
      <alignment horizontal="center" vertical="center"/>
    </xf>
    <xf numFmtId="0" fontId="28" fillId="8" borderId="7" xfId="23" applyFont="1" applyFill="1" applyBorder="1" applyAlignment="1">
      <alignment horizontal="center" vertical="center"/>
    </xf>
    <xf numFmtId="0" fontId="28" fillId="8" borderId="6" xfId="23" applyFont="1" applyFill="1" applyBorder="1" applyAlignment="1">
      <alignment horizontal="center" vertical="center"/>
    </xf>
    <xf numFmtId="49" fontId="3" fillId="0" borderId="16" xfId="0" applyNumberFormat="1" applyFont="1" applyBorder="1" applyAlignment="1">
      <alignment horizontal="left" vertical="top" wrapText="1"/>
    </xf>
    <xf numFmtId="49" fontId="3" fillId="0" borderId="15" xfId="0" applyNumberFormat="1" applyFont="1" applyBorder="1" applyAlignment="1">
      <alignment horizontal="left" vertical="top" wrapText="1"/>
    </xf>
    <xf numFmtId="0" fontId="3" fillId="14" borderId="179" xfId="495" applyFont="1" applyFill="1" applyBorder="1" applyAlignment="1">
      <alignment horizontal="center" vertical="center"/>
    </xf>
    <xf numFmtId="0" fontId="3" fillId="14" borderId="207" xfId="495" applyFont="1" applyFill="1" applyBorder="1" applyAlignment="1">
      <alignment horizontal="center" vertical="center"/>
    </xf>
    <xf numFmtId="0" fontId="3" fillId="14" borderId="198" xfId="495" applyFont="1" applyFill="1" applyBorder="1" applyAlignment="1">
      <alignment horizontal="center" vertical="center"/>
    </xf>
    <xf numFmtId="0" fontId="3" fillId="11" borderId="199" xfId="495" applyFont="1" applyFill="1" applyBorder="1" applyAlignment="1">
      <alignment horizontal="center"/>
    </xf>
    <xf numFmtId="0" fontId="3" fillId="11" borderId="207" xfId="495" applyFont="1" applyFill="1" applyBorder="1" applyAlignment="1">
      <alignment horizontal="center"/>
    </xf>
    <xf numFmtId="0" fontId="3" fillId="11" borderId="198" xfId="495" applyFont="1" applyFill="1" applyBorder="1" applyAlignment="1">
      <alignment horizontal="center"/>
    </xf>
    <xf numFmtId="0" fontId="4" fillId="0" borderId="199" xfId="495" applyFont="1" applyBorder="1" applyAlignment="1">
      <alignment horizontal="center" wrapText="1"/>
    </xf>
    <xf numFmtId="0" fontId="4" fillId="0" borderId="174" xfId="495" applyFont="1" applyBorder="1" applyAlignment="1">
      <alignment horizontal="center" wrapText="1"/>
    </xf>
    <xf numFmtId="0" fontId="3" fillId="2" borderId="64" xfId="495" applyFont="1" applyFill="1" applyBorder="1" applyAlignment="1">
      <alignment horizontal="center" vertical="center"/>
    </xf>
    <xf numFmtId="0" fontId="3" fillId="2" borderId="65" xfId="495" applyFont="1" applyFill="1" applyBorder="1" applyAlignment="1">
      <alignment horizontal="center" vertical="center"/>
    </xf>
    <xf numFmtId="0" fontId="3" fillId="2" borderId="66" xfId="495" applyFont="1" applyFill="1" applyBorder="1" applyAlignment="1">
      <alignment horizontal="center" vertical="center"/>
    </xf>
    <xf numFmtId="0" fontId="3" fillId="4" borderId="71" xfId="23" applyFont="1" applyFill="1" applyBorder="1" applyAlignment="1">
      <alignment horizontal="left" vertical="center" wrapText="1"/>
    </xf>
    <xf numFmtId="0" fontId="3" fillId="4" borderId="65" xfId="23" applyFont="1" applyFill="1" applyBorder="1" applyAlignment="1">
      <alignment horizontal="left" vertical="center" wrapText="1"/>
    </xf>
    <xf numFmtId="0" fontId="3" fillId="4" borderId="72" xfId="23" applyFont="1" applyFill="1" applyBorder="1" applyAlignment="1">
      <alignment horizontal="left" vertical="center" wrapText="1"/>
    </xf>
    <xf numFmtId="0" fontId="4" fillId="0" borderId="16" xfId="23" applyFont="1" applyBorder="1" applyAlignment="1">
      <alignment horizontal="left" vertical="center"/>
    </xf>
    <xf numFmtId="0" fontId="3" fillId="14" borderId="199" xfId="495" applyFont="1" applyFill="1" applyBorder="1" applyAlignment="1">
      <alignment horizontal="center" vertical="center"/>
    </xf>
    <xf numFmtId="0" fontId="3" fillId="14" borderId="174" xfId="495" applyFont="1" applyFill="1" applyBorder="1" applyAlignment="1">
      <alignment horizontal="center" vertical="center"/>
    </xf>
    <xf numFmtId="2" fontId="4" fillId="0" borderId="179" xfId="495" applyNumberFormat="1" applyFont="1" applyBorder="1" applyAlignment="1">
      <alignment horizontal="center"/>
    </xf>
    <xf numFmtId="2" fontId="4" fillId="0" borderId="207" xfId="495" applyNumberFormat="1" applyFont="1" applyBorder="1" applyAlignment="1">
      <alignment horizontal="center"/>
    </xf>
    <xf numFmtId="2" fontId="4" fillId="0" borderId="198" xfId="495" applyNumberFormat="1" applyFont="1" applyBorder="1" applyAlignment="1">
      <alignment horizontal="center"/>
    </xf>
    <xf numFmtId="0" fontId="4" fillId="0" borderId="193" xfId="495" applyFont="1" applyBorder="1" applyAlignment="1">
      <alignment horizontal="center" wrapText="1"/>
    </xf>
    <xf numFmtId="0" fontId="4" fillId="0" borderId="8" xfId="495" applyFont="1" applyBorder="1" applyAlignment="1">
      <alignment horizontal="center" wrapText="1"/>
    </xf>
    <xf numFmtId="0" fontId="4" fillId="0" borderId="45" xfId="495" applyFont="1" applyBorder="1" applyAlignment="1">
      <alignment horizontal="center" wrapText="1"/>
    </xf>
    <xf numFmtId="2" fontId="4" fillId="0" borderId="43" xfId="495" applyNumberFormat="1" applyFont="1" applyBorder="1" applyAlignment="1">
      <alignment horizontal="center"/>
    </xf>
    <xf numFmtId="2" fontId="4" fillId="0" borderId="9" xfId="495" applyNumberFormat="1" applyFont="1" applyBorder="1" applyAlignment="1">
      <alignment horizontal="center"/>
    </xf>
    <xf numFmtId="2" fontId="4" fillId="0" borderId="10" xfId="495" applyNumberFormat="1" applyFont="1" applyBorder="1" applyAlignment="1">
      <alignment horizontal="center"/>
    </xf>
    <xf numFmtId="0" fontId="3" fillId="11" borderId="192" xfId="639" applyFont="1" applyFill="1" applyBorder="1" applyAlignment="1">
      <alignment horizontal="center"/>
    </xf>
    <xf numFmtId="0" fontId="3" fillId="11" borderId="193" xfId="639" applyFont="1" applyFill="1" applyBorder="1" applyAlignment="1">
      <alignment horizontal="center"/>
    </xf>
    <xf numFmtId="0" fontId="3" fillId="11" borderId="194" xfId="639" applyFont="1" applyFill="1" applyBorder="1" applyAlignment="1">
      <alignment horizontal="center"/>
    </xf>
    <xf numFmtId="0" fontId="18" fillId="0" borderId="14" xfId="1" applyFont="1" applyBorder="1" applyAlignment="1">
      <alignment horizontal="center" vertical="center" wrapText="1"/>
    </xf>
    <xf numFmtId="0" fontId="18" fillId="0" borderId="15" xfId="1" applyFont="1" applyBorder="1" applyAlignment="1">
      <alignment horizontal="center" vertical="center" wrapText="1"/>
    </xf>
    <xf numFmtId="0" fontId="3" fillId="4" borderId="2" xfId="639" applyFont="1" applyFill="1" applyBorder="1" applyAlignment="1">
      <alignment horizontal="center" vertical="center" wrapText="1"/>
    </xf>
    <xf numFmtId="0" fontId="3" fillId="4" borderId="3" xfId="639" applyFont="1" applyFill="1" applyBorder="1" applyAlignment="1">
      <alignment horizontal="center" vertical="center" wrapText="1"/>
    </xf>
    <xf numFmtId="0" fontId="3" fillId="0" borderId="27" xfId="639" applyFont="1" applyBorder="1" applyAlignment="1">
      <alignment horizontal="right" vertical="center"/>
    </xf>
    <xf numFmtId="0" fontId="4" fillId="0" borderId="27" xfId="639" applyFont="1" applyBorder="1" applyAlignment="1">
      <alignment horizontal="left" vertical="center"/>
    </xf>
    <xf numFmtId="0" fontId="16" fillId="0" borderId="16" xfId="639" applyFont="1" applyBorder="1" applyAlignment="1">
      <alignment horizontal="center" vertical="center" wrapText="1"/>
    </xf>
    <xf numFmtId="0" fontId="16" fillId="0" borderId="15" xfId="639" applyFont="1" applyBorder="1" applyAlignment="1">
      <alignment horizontal="center" vertical="center" wrapText="1"/>
    </xf>
    <xf numFmtId="0" fontId="16" fillId="0" borderId="9" xfId="639" applyFont="1" applyBorder="1" applyAlignment="1">
      <alignment horizontal="center" vertical="center" wrapText="1"/>
    </xf>
    <xf numFmtId="0" fontId="16" fillId="0" borderId="10" xfId="639" applyFont="1" applyBorder="1" applyAlignment="1">
      <alignment horizontal="center" vertical="center" wrapText="1"/>
    </xf>
    <xf numFmtId="0" fontId="5" fillId="0" borderId="14" xfId="639" applyBorder="1" applyAlignment="1">
      <alignment horizontal="center" vertical="center"/>
    </xf>
    <xf numFmtId="0" fontId="5" fillId="0" borderId="8" xfId="639" applyBorder="1" applyAlignment="1">
      <alignment horizontal="center" vertical="center"/>
    </xf>
    <xf numFmtId="49" fontId="4" fillId="5" borderId="0" xfId="639" applyNumberFormat="1" applyFont="1" applyFill="1" applyAlignment="1">
      <alignment horizontal="left" vertical="top" wrapText="1"/>
    </xf>
    <xf numFmtId="0" fontId="2" fillId="0" borderId="33" xfId="0" applyFont="1" applyBorder="1" applyAlignment="1">
      <alignment horizontal="left" vertical="center" wrapText="1"/>
    </xf>
    <xf numFmtId="0" fontId="3" fillId="11" borderId="192" xfId="0" applyFont="1" applyFill="1" applyBorder="1" applyAlignment="1">
      <alignment horizontal="center"/>
    </xf>
    <xf numFmtId="0" fontId="3" fillId="11" borderId="193" xfId="0" applyFont="1" applyFill="1" applyBorder="1" applyAlignment="1">
      <alignment horizontal="center"/>
    </xf>
    <xf numFmtId="0" fontId="3" fillId="11" borderId="194" xfId="0" applyFont="1" applyFill="1" applyBorder="1" applyAlignment="1">
      <alignment horizontal="center"/>
    </xf>
    <xf numFmtId="49" fontId="4" fillId="5" borderId="0" xfId="0" applyNumberFormat="1" applyFont="1" applyFill="1" applyAlignment="1">
      <alignment horizontal="left" vertical="center" wrapText="1"/>
    </xf>
    <xf numFmtId="49" fontId="4" fillId="5" borderId="0" xfId="0" applyNumberFormat="1" applyFont="1" applyFill="1" applyAlignment="1">
      <alignment horizontal="left" vertical="top" wrapText="1"/>
    </xf>
    <xf numFmtId="0" fontId="3" fillId="11" borderId="71" xfId="127" applyFont="1" applyFill="1" applyBorder="1" applyAlignment="1">
      <alignment horizontal="center" vertical="center" wrapText="1"/>
    </xf>
    <xf numFmtId="0" fontId="3" fillId="11" borderId="65" xfId="127" applyFont="1" applyFill="1" applyBorder="1" applyAlignment="1">
      <alignment horizontal="center" vertical="center" wrapText="1"/>
    </xf>
    <xf numFmtId="0" fontId="3" fillId="11" borderId="72" xfId="127" applyFont="1" applyFill="1" applyBorder="1" applyAlignment="1">
      <alignment horizontal="center" vertical="center" wrapText="1"/>
    </xf>
    <xf numFmtId="0" fontId="4" fillId="5" borderId="0" xfId="639" applyFont="1" applyFill="1" applyAlignment="1">
      <alignment horizontal="left" vertical="center"/>
    </xf>
    <xf numFmtId="49" fontId="4" fillId="5" borderId="19" xfId="639" applyNumberFormat="1" applyFont="1" applyFill="1" applyBorder="1" applyAlignment="1">
      <alignment horizontal="left" vertical="top" wrapText="1"/>
    </xf>
    <xf numFmtId="0" fontId="4" fillId="0" borderId="0" xfId="639" applyFont="1" applyAlignment="1">
      <alignment horizontal="left" vertical="top" wrapText="1"/>
    </xf>
    <xf numFmtId="0" fontId="4" fillId="0" borderId="19" xfId="639" applyFont="1" applyBorder="1" applyAlignment="1">
      <alignment horizontal="left" vertical="top" wrapText="1"/>
    </xf>
    <xf numFmtId="0" fontId="28" fillId="8" borderId="34" xfId="639" applyFont="1" applyFill="1" applyBorder="1" applyAlignment="1">
      <alignment horizontal="center" vertical="center"/>
    </xf>
    <xf numFmtId="0" fontId="28" fillId="8" borderId="35" xfId="639" applyFont="1" applyFill="1" applyBorder="1" applyAlignment="1">
      <alignment horizontal="center" vertical="center"/>
    </xf>
    <xf numFmtId="0" fontId="3" fillId="11" borderId="25" xfId="639" applyFont="1" applyFill="1" applyBorder="1" applyAlignment="1">
      <alignment horizontal="center" vertical="center"/>
    </xf>
    <xf numFmtId="0" fontId="3" fillId="11" borderId="20" xfId="639" applyFont="1" applyFill="1" applyBorder="1" applyAlignment="1">
      <alignment horizontal="center" vertical="center"/>
    </xf>
    <xf numFmtId="0" fontId="3" fillId="11" borderId="38" xfId="639" applyFont="1" applyFill="1" applyBorder="1" applyAlignment="1">
      <alignment horizontal="center" vertical="center"/>
    </xf>
    <xf numFmtId="0" fontId="3" fillId="0" borderId="0" xfId="0" applyFont="1" applyAlignment="1" applyProtection="1">
      <alignment horizontal="left" vertical="center" wrapText="1"/>
      <protection locked="0"/>
    </xf>
    <xf numFmtId="0" fontId="3" fillId="4" borderId="4" xfId="639" applyFont="1" applyFill="1" applyBorder="1" applyAlignment="1">
      <alignment horizontal="center" vertical="center" wrapText="1"/>
    </xf>
    <xf numFmtId="0" fontId="3" fillId="0" borderId="9" xfId="639" applyFont="1" applyBorder="1" applyAlignment="1">
      <alignment horizontal="right" vertical="center"/>
    </xf>
    <xf numFmtId="0" fontId="3" fillId="0" borderId="33" xfId="639" applyFont="1" applyBorder="1" applyAlignment="1">
      <alignment horizontal="left" vertical="center" wrapText="1"/>
    </xf>
    <xf numFmtId="0" fontId="3" fillId="0" borderId="32" xfId="639" applyFont="1" applyBorder="1" applyAlignment="1">
      <alignment horizontal="left" vertical="center" wrapText="1"/>
    </xf>
    <xf numFmtId="0" fontId="5" fillId="0" borderId="18" xfId="0" applyFont="1" applyBorder="1" applyAlignment="1">
      <alignment horizontal="center" vertical="center"/>
    </xf>
    <xf numFmtId="0" fontId="5" fillId="0" borderId="0" xfId="0" applyFont="1" applyAlignment="1">
      <alignment horizontal="center" vertical="center"/>
    </xf>
    <xf numFmtId="49" fontId="3" fillId="0" borderId="0" xfId="0" applyNumberFormat="1" applyFont="1" applyAlignment="1">
      <alignment horizontal="left" vertical="center"/>
    </xf>
    <xf numFmtId="0" fontId="4" fillId="0" borderId="0" xfId="0" applyFont="1" applyAlignment="1" applyProtection="1">
      <alignment horizontal="left" vertical="center" wrapText="1"/>
      <protection locked="0"/>
    </xf>
    <xf numFmtId="0" fontId="143" fillId="0" borderId="181" xfId="0" applyFont="1" applyBorder="1" applyAlignment="1">
      <alignment horizontal="center" vertical="center" wrapText="1"/>
    </xf>
    <xf numFmtId="0" fontId="143" fillId="0" borderId="73" xfId="0" applyFont="1" applyBorder="1" applyAlignment="1">
      <alignment horizontal="center" vertical="center" wrapText="1"/>
    </xf>
    <xf numFmtId="0" fontId="143" fillId="0" borderId="182" xfId="0" applyFont="1" applyBorder="1" applyAlignment="1">
      <alignment horizontal="center"/>
    </xf>
    <xf numFmtId="0" fontId="143" fillId="0" borderId="78" xfId="0" applyFont="1" applyBorder="1" applyAlignment="1">
      <alignment horizontal="center"/>
    </xf>
    <xf numFmtId="0" fontId="93" fillId="75" borderId="179" xfId="639" applyFont="1" applyFill="1" applyBorder="1" applyAlignment="1">
      <alignment horizontal="center" vertical="center"/>
    </xf>
    <xf numFmtId="0" fontId="93" fillId="75" borderId="207" xfId="639" applyFont="1" applyFill="1" applyBorder="1" applyAlignment="1">
      <alignment horizontal="center" vertical="center"/>
    </xf>
    <xf numFmtId="0" fontId="93" fillId="75" borderId="174" xfId="639" applyFont="1" applyFill="1" applyBorder="1" applyAlignment="1">
      <alignment horizontal="center" vertical="center"/>
    </xf>
    <xf numFmtId="0" fontId="5" fillId="74" borderId="206" xfId="1626" applyFill="1" applyBorder="1" applyAlignment="1">
      <alignment horizontal="left" wrapText="1"/>
    </xf>
    <xf numFmtId="0" fontId="5" fillId="74" borderId="208" xfId="1626" applyFill="1" applyBorder="1" applyAlignment="1">
      <alignment horizontal="left" wrapText="1"/>
    </xf>
    <xf numFmtId="0" fontId="5" fillId="74" borderId="176" xfId="1626" applyFill="1" applyBorder="1" applyAlignment="1">
      <alignment horizontal="left" wrapText="1"/>
    </xf>
    <xf numFmtId="0" fontId="5" fillId="74" borderId="8" xfId="1626" applyFill="1" applyBorder="1" applyAlignment="1">
      <alignment horizontal="left" wrapText="1"/>
    </xf>
    <xf numFmtId="0" fontId="5" fillId="74" borderId="211" xfId="1626" applyFill="1" applyBorder="1" applyAlignment="1">
      <alignment horizontal="left" wrapText="1"/>
    </xf>
    <xf numFmtId="0" fontId="5" fillId="74" borderId="213" xfId="1626" applyFill="1" applyBorder="1" applyAlignment="1">
      <alignment horizontal="left" wrapText="1"/>
    </xf>
    <xf numFmtId="0" fontId="5" fillId="74" borderId="175" xfId="1626" applyFill="1" applyBorder="1" applyAlignment="1">
      <alignment horizontal="center" vertical="center" wrapText="1"/>
    </xf>
    <xf numFmtId="0" fontId="5" fillId="74" borderId="176" xfId="1626" applyFill="1" applyBorder="1" applyAlignment="1">
      <alignment horizontal="center" vertical="center" wrapText="1"/>
    </xf>
    <xf numFmtId="0" fontId="5" fillId="74" borderId="43" xfId="1626" applyFill="1" applyBorder="1" applyAlignment="1">
      <alignment horizontal="center" vertical="center" wrapText="1"/>
    </xf>
    <xf numFmtId="0" fontId="5" fillId="74" borderId="213" xfId="1626" applyFill="1" applyBorder="1" applyAlignment="1">
      <alignment horizontal="center" vertical="center" wrapText="1"/>
    </xf>
    <xf numFmtId="0" fontId="93" fillId="75" borderId="5" xfId="639" applyFont="1" applyFill="1" applyBorder="1" applyAlignment="1">
      <alignment horizontal="center" vertical="center"/>
    </xf>
    <xf numFmtId="0" fontId="93" fillId="75" borderId="7" xfId="639" applyFont="1" applyFill="1" applyBorder="1" applyAlignment="1">
      <alignment horizontal="center" vertical="center"/>
    </xf>
    <xf numFmtId="0" fontId="93" fillId="75" borderId="6" xfId="639" applyFont="1" applyFill="1" applyBorder="1" applyAlignment="1">
      <alignment horizontal="center" vertical="center"/>
    </xf>
    <xf numFmtId="0" fontId="5" fillId="74" borderId="74" xfId="1626" applyFill="1" applyBorder="1" applyAlignment="1">
      <alignment horizontal="center" vertical="center"/>
    </xf>
    <xf numFmtId="0" fontId="5" fillId="74" borderId="25" xfId="1626" applyFill="1" applyBorder="1" applyAlignment="1">
      <alignment horizontal="center" vertical="center"/>
    </xf>
    <xf numFmtId="0" fontId="143" fillId="0" borderId="75" xfId="0" applyFont="1" applyBorder="1" applyAlignment="1">
      <alignment horizontal="center" vertical="center"/>
    </xf>
    <xf numFmtId="0" fontId="143" fillId="0" borderId="20" xfId="0" applyFont="1" applyBorder="1" applyAlignment="1">
      <alignment horizontal="center" vertical="center"/>
    </xf>
    <xf numFmtId="0" fontId="143" fillId="0" borderId="71" xfId="0" applyFont="1" applyBorder="1" applyAlignment="1">
      <alignment horizontal="center"/>
    </xf>
    <xf numFmtId="0" fontId="143" fillId="0" borderId="72" xfId="0" applyFont="1" applyBorder="1" applyAlignment="1">
      <alignment horizontal="center"/>
    </xf>
    <xf numFmtId="0" fontId="143" fillId="0" borderId="75" xfId="0" applyFont="1" applyBorder="1" applyAlignment="1">
      <alignment horizontal="center" vertical="center" wrapText="1"/>
    </xf>
    <xf numFmtId="0" fontId="143" fillId="0" borderId="20" xfId="0" applyFont="1" applyBorder="1" applyAlignment="1">
      <alignment horizontal="center" vertical="center" wrapText="1"/>
    </xf>
    <xf numFmtId="0" fontId="143" fillId="0" borderId="76" xfId="0" applyFont="1" applyBorder="1" applyAlignment="1">
      <alignment horizontal="center" wrapText="1"/>
    </xf>
    <xf numFmtId="0" fontId="143" fillId="0" borderId="38" xfId="0" applyFont="1" applyBorder="1" applyAlignment="1">
      <alignment horizontal="center" wrapText="1"/>
    </xf>
    <xf numFmtId="0" fontId="5" fillId="74" borderId="34" xfId="1626" applyFill="1" applyBorder="1" applyAlignment="1">
      <alignment horizontal="center" vertical="center"/>
    </xf>
    <xf numFmtId="0" fontId="5" fillId="74" borderId="7" xfId="1626" applyFill="1" applyBorder="1" applyAlignment="1">
      <alignment horizontal="center" vertical="center"/>
    </xf>
    <xf numFmtId="0" fontId="5" fillId="74" borderId="35" xfId="1626" applyFill="1" applyBorder="1" applyAlignment="1">
      <alignment horizontal="center" vertical="center"/>
    </xf>
    <xf numFmtId="0" fontId="0" fillId="0" borderId="17" xfId="0" applyBorder="1" applyAlignment="1">
      <alignment horizontal="center"/>
    </xf>
    <xf numFmtId="0" fontId="0" fillId="0" borderId="209" xfId="0" applyBorder="1" applyAlignment="1">
      <alignment horizontal="center"/>
    </xf>
    <xf numFmtId="0" fontId="136" fillId="0" borderId="211" xfId="1" applyFont="1" applyBorder="1" applyAlignment="1">
      <alignment horizontal="center" vertical="center" wrapText="1"/>
    </xf>
    <xf numFmtId="0" fontId="136" fillId="0" borderId="212" xfId="1" applyFont="1" applyBorder="1" applyAlignment="1">
      <alignment horizontal="center" vertical="center" wrapText="1"/>
    </xf>
    <xf numFmtId="0" fontId="3" fillId="0" borderId="5" xfId="1" applyFont="1" applyBorder="1" applyAlignment="1">
      <alignment horizontal="center" vertical="center" wrapText="1"/>
    </xf>
    <xf numFmtId="0" fontId="124" fillId="0" borderId="14" xfId="1" applyFont="1" applyBorder="1" applyAlignment="1">
      <alignment horizontal="center" vertical="center"/>
    </xf>
    <xf numFmtId="0" fontId="4" fillId="0" borderId="14" xfId="1" applyFont="1" applyBorder="1" applyAlignment="1">
      <alignment horizontal="center" vertical="center" wrapText="1"/>
    </xf>
    <xf numFmtId="0" fontId="4" fillId="0" borderId="16" xfId="1" applyFont="1" applyBorder="1" applyAlignment="1">
      <alignment horizontal="center" vertical="center" wrapText="1"/>
    </xf>
    <xf numFmtId="0" fontId="4" fillId="0" borderId="33" xfId="1" applyFont="1" applyBorder="1" applyAlignment="1">
      <alignment horizontal="left" vertical="center"/>
    </xf>
    <xf numFmtId="17" fontId="4" fillId="0" borderId="196" xfId="1" applyNumberFormat="1" applyFont="1" applyBorder="1" applyAlignment="1">
      <alignment horizontal="left" vertical="center"/>
    </xf>
    <xf numFmtId="0" fontId="142" fillId="74" borderId="34" xfId="1632" applyFont="1" applyFill="1" applyBorder="1" applyAlignment="1">
      <alignment horizontal="center" vertical="center"/>
    </xf>
    <xf numFmtId="0" fontId="142" fillId="74" borderId="7" xfId="1632" applyFont="1" applyFill="1" applyBorder="1" applyAlignment="1">
      <alignment horizontal="center" vertical="center"/>
    </xf>
    <xf numFmtId="0" fontId="142" fillId="74" borderId="35" xfId="1632" applyFont="1" applyFill="1" applyBorder="1" applyAlignment="1">
      <alignment horizontal="center" vertical="center"/>
    </xf>
    <xf numFmtId="0" fontId="11" fillId="7" borderId="5" xfId="639" applyFont="1" applyFill="1" applyBorder="1" applyAlignment="1">
      <alignment horizontal="center" vertical="center"/>
    </xf>
    <xf numFmtId="0" fontId="11" fillId="7" borderId="7" xfId="639" applyFont="1" applyFill="1" applyBorder="1" applyAlignment="1">
      <alignment horizontal="center" vertical="center"/>
    </xf>
    <xf numFmtId="0" fontId="37" fillId="0" borderId="175" xfId="639" applyFont="1" applyBorder="1" applyAlignment="1">
      <alignment horizontal="left" vertical="center"/>
    </xf>
    <xf numFmtId="0" fontId="37" fillId="0" borderId="208" xfId="639" applyFont="1" applyBorder="1" applyAlignment="1">
      <alignment horizontal="left" vertical="center"/>
    </xf>
    <xf numFmtId="49" fontId="3" fillId="4" borderId="210" xfId="639" applyNumberFormat="1" applyFont="1" applyFill="1" applyBorder="1" applyAlignment="1">
      <alignment horizontal="right" vertical="center"/>
    </xf>
    <xf numFmtId="49" fontId="3" fillId="4" borderId="190" xfId="639" applyNumberFormat="1" applyFont="1" applyFill="1" applyBorder="1" applyAlignment="1">
      <alignment horizontal="right" vertical="center"/>
    </xf>
    <xf numFmtId="17" fontId="18" fillId="5" borderId="0" xfId="1632" applyNumberFormat="1" applyFont="1" applyFill="1" applyAlignment="1">
      <alignment horizontal="left" vertical="center"/>
    </xf>
    <xf numFmtId="0" fontId="18" fillId="5" borderId="0" xfId="1632" applyFont="1" applyFill="1" applyAlignment="1">
      <alignment horizontal="left" vertical="center"/>
    </xf>
    <xf numFmtId="0" fontId="18" fillId="5" borderId="19" xfId="1632" applyFont="1" applyFill="1" applyBorder="1" applyAlignment="1">
      <alignment horizontal="left" vertical="center"/>
    </xf>
    <xf numFmtId="14" fontId="18" fillId="5" borderId="27" xfId="1632" applyNumberFormat="1" applyFont="1" applyFill="1" applyBorder="1" applyAlignment="1">
      <alignment horizontal="left" vertical="center"/>
    </xf>
    <xf numFmtId="0" fontId="18" fillId="5" borderId="27" xfId="1632" applyFont="1" applyFill="1" applyBorder="1" applyAlignment="1">
      <alignment horizontal="left" vertical="center"/>
    </xf>
    <xf numFmtId="0" fontId="18" fillId="5" borderId="28" xfId="1632" applyFont="1" applyFill="1" applyBorder="1" applyAlignment="1">
      <alignment horizontal="left" vertical="center"/>
    </xf>
    <xf numFmtId="0" fontId="83" fillId="44" borderId="199" xfId="639" applyFont="1" applyFill="1" applyBorder="1" applyAlignment="1">
      <alignment horizontal="center" vertical="center"/>
    </xf>
    <xf numFmtId="0" fontId="83" fillId="44" borderId="207" xfId="639" applyFont="1" applyFill="1" applyBorder="1" applyAlignment="1">
      <alignment horizontal="center" vertical="center"/>
    </xf>
    <xf numFmtId="0" fontId="83" fillId="44" borderId="198" xfId="639" applyFont="1" applyFill="1" applyBorder="1" applyAlignment="1">
      <alignment horizontal="center" vertical="center"/>
    </xf>
    <xf numFmtId="0" fontId="135" fillId="4" borderId="79" xfId="639" applyFont="1" applyFill="1" applyBorder="1" applyAlignment="1">
      <alignment horizontal="center" vertical="center"/>
    </xf>
    <xf numFmtId="0" fontId="135" fillId="4" borderId="25" xfId="639" applyFont="1" applyFill="1" applyBorder="1" applyAlignment="1">
      <alignment horizontal="center" vertical="center"/>
    </xf>
    <xf numFmtId="0" fontId="18" fillId="4" borderId="39" xfId="639" applyFont="1" applyFill="1" applyBorder="1" applyAlignment="1">
      <alignment horizontal="center" vertical="center"/>
    </xf>
    <xf numFmtId="0" fontId="18" fillId="4" borderId="0" xfId="639" applyFont="1" applyFill="1" applyAlignment="1">
      <alignment horizontal="center" vertical="center"/>
    </xf>
    <xf numFmtId="0" fontId="18" fillId="4" borderId="41" xfId="639" applyFont="1" applyFill="1" applyBorder="1" applyAlignment="1">
      <alignment horizontal="center" vertical="center"/>
    </xf>
    <xf numFmtId="0" fontId="18" fillId="4" borderId="27" xfId="639" applyFont="1" applyFill="1" applyBorder="1" applyAlignment="1">
      <alignment horizontal="center" vertical="center"/>
    </xf>
    <xf numFmtId="195" fontId="135" fillId="4" borderId="181" xfId="1632" applyNumberFormat="1" applyFont="1" applyFill="1" applyBorder="1" applyAlignment="1">
      <alignment horizontal="center" vertical="center"/>
    </xf>
    <xf numFmtId="195" fontId="135" fillId="4" borderId="36" xfId="1632" applyNumberFormat="1" applyFont="1" applyFill="1" applyBorder="1" applyAlignment="1">
      <alignment horizontal="center" vertical="center"/>
    </xf>
    <xf numFmtId="195" fontId="135" fillId="4" borderId="182" xfId="1632" applyNumberFormat="1" applyFont="1" applyFill="1" applyBorder="1" applyAlignment="1">
      <alignment horizontal="center" vertical="center" wrapText="1"/>
    </xf>
    <xf numFmtId="195" fontId="135" fillId="4" borderId="37" xfId="1632" applyNumberFormat="1" applyFont="1" applyFill="1" applyBorder="1" applyAlignment="1">
      <alignment horizontal="center" vertical="center" wrapText="1"/>
    </xf>
    <xf numFmtId="0" fontId="18" fillId="5" borderId="208" xfId="1632" applyFont="1" applyFill="1" applyBorder="1" applyAlignment="1">
      <alignment horizontal="left" vertical="center"/>
    </xf>
    <xf numFmtId="0" fontId="18" fillId="5" borderId="200" xfId="1632" applyFont="1" applyFill="1" applyBorder="1" applyAlignment="1">
      <alignment horizontal="left" vertical="center"/>
    </xf>
    <xf numFmtId="0" fontId="127" fillId="5" borderId="14" xfId="1632" applyFont="1" applyFill="1" applyBorder="1" applyAlignment="1">
      <alignment horizontal="center" vertical="center"/>
    </xf>
    <xf numFmtId="0" fontId="127" fillId="5" borderId="16" xfId="1632" applyFont="1" applyFill="1" applyBorder="1" applyAlignment="1">
      <alignment horizontal="center" vertical="center"/>
    </xf>
    <xf numFmtId="0" fontId="127" fillId="5" borderId="15" xfId="1632" applyFont="1" applyFill="1" applyBorder="1" applyAlignment="1">
      <alignment horizontal="center" vertical="center"/>
    </xf>
    <xf numFmtId="0" fontId="128" fillId="5" borderId="18" xfId="1632" applyFont="1" applyFill="1" applyBorder="1" applyAlignment="1">
      <alignment horizontal="center" vertical="center"/>
    </xf>
    <xf numFmtId="0" fontId="128" fillId="5" borderId="0" xfId="1632" applyFont="1" applyFill="1" applyAlignment="1">
      <alignment horizontal="center" vertical="center"/>
    </xf>
    <xf numFmtId="0" fontId="128" fillId="5" borderId="19" xfId="1632" applyFont="1" applyFill="1" applyBorder="1" applyAlignment="1">
      <alignment horizontal="center" vertical="center"/>
    </xf>
    <xf numFmtId="0" fontId="129" fillId="5" borderId="18" xfId="1632" applyFont="1" applyFill="1" applyBorder="1" applyAlignment="1">
      <alignment horizontal="center" vertical="center"/>
    </xf>
    <xf numFmtId="0" fontId="129" fillId="5" borderId="0" xfId="1632" applyFont="1" applyFill="1" applyAlignment="1">
      <alignment horizontal="center" vertical="center"/>
    </xf>
    <xf numFmtId="0" fontId="129" fillId="5" borderId="19" xfId="1632" applyFont="1" applyFill="1" applyBorder="1" applyAlignment="1">
      <alignment horizontal="center" vertical="center"/>
    </xf>
    <xf numFmtId="0" fontId="0" fillId="0" borderId="0" xfId="0" applyAlignment="1">
      <alignment horizontal="center"/>
    </xf>
    <xf numFmtId="0" fontId="37" fillId="0" borderId="218" xfId="639" applyFont="1" applyBorder="1" applyAlignment="1">
      <alignment horizontal="center" vertical="center"/>
    </xf>
    <xf numFmtId="0" fontId="37" fillId="0" borderId="219" xfId="639" applyFont="1" applyBorder="1" applyAlignment="1">
      <alignment horizontal="center" vertical="center"/>
    </xf>
    <xf numFmtId="49" fontId="3" fillId="4" borderId="179" xfId="639" applyNumberFormat="1" applyFont="1" applyFill="1" applyBorder="1" applyAlignment="1">
      <alignment horizontal="right" vertical="center"/>
    </xf>
    <xf numFmtId="49" fontId="3" fillId="4" borderId="207" xfId="639" applyNumberFormat="1" applyFont="1" applyFill="1" applyBorder="1" applyAlignment="1">
      <alignment horizontal="right" vertical="center"/>
    </xf>
    <xf numFmtId="195" fontId="135" fillId="4" borderId="181" xfId="1632" applyNumberFormat="1" applyFont="1" applyFill="1" applyBorder="1" applyAlignment="1">
      <alignment horizontal="center" vertical="center" wrapText="1"/>
    </xf>
    <xf numFmtId="195" fontId="135" fillId="4" borderId="20" xfId="1632" applyNumberFormat="1" applyFont="1" applyFill="1" applyBorder="1" applyAlignment="1">
      <alignment horizontal="center" vertical="center" wrapText="1"/>
    </xf>
    <xf numFmtId="195" fontId="135" fillId="4" borderId="36" xfId="1632" applyNumberFormat="1" applyFont="1" applyFill="1" applyBorder="1" applyAlignment="1">
      <alignment horizontal="center" vertical="center" wrapText="1"/>
    </xf>
    <xf numFmtId="195" fontId="135" fillId="4" borderId="193" xfId="1632" applyNumberFormat="1" applyFont="1" applyFill="1" applyBorder="1" applyAlignment="1">
      <alignment horizontal="center" vertical="center" wrapText="1"/>
    </xf>
    <xf numFmtId="0" fontId="37" fillId="0" borderId="215" xfId="639" applyFont="1" applyBorder="1" applyAlignment="1">
      <alignment horizontal="center" vertical="center"/>
    </xf>
    <xf numFmtId="0" fontId="37" fillId="0" borderId="216" xfId="639" applyFont="1" applyBorder="1" applyAlignment="1">
      <alignment horizontal="center" vertical="center"/>
    </xf>
    <xf numFmtId="0" fontId="18" fillId="5" borderId="46" xfId="1632" applyFont="1" applyFill="1" applyBorder="1" applyAlignment="1">
      <alignment horizontal="left" vertical="center"/>
    </xf>
    <xf numFmtId="0" fontId="18" fillId="5" borderId="27" xfId="1632" applyNumberFormat="1" applyFont="1" applyFill="1" applyBorder="1" applyAlignment="1">
      <alignment horizontal="left" vertical="center"/>
    </xf>
    <xf numFmtId="0" fontId="18" fillId="5" borderId="42" xfId="1632" applyNumberFormat="1" applyFont="1" applyFill="1" applyBorder="1" applyAlignment="1">
      <alignment horizontal="left" vertical="center"/>
    </xf>
    <xf numFmtId="0" fontId="83" fillId="44" borderId="179" xfId="639" applyFont="1" applyFill="1" applyBorder="1" applyAlignment="1">
      <alignment horizontal="center" vertical="center"/>
    </xf>
    <xf numFmtId="0" fontId="83" fillId="44" borderId="174" xfId="639" applyFont="1" applyFill="1" applyBorder="1" applyAlignment="1">
      <alignment horizontal="center" vertical="center"/>
    </xf>
    <xf numFmtId="0" fontId="135" fillId="4" borderId="36" xfId="639" applyFont="1" applyFill="1" applyBorder="1" applyAlignment="1">
      <alignment horizontal="center" vertical="center"/>
    </xf>
    <xf numFmtId="0" fontId="135" fillId="4" borderId="20" xfId="639" applyFont="1" applyFill="1" applyBorder="1" applyAlignment="1">
      <alignment horizontal="center" vertical="center"/>
    </xf>
    <xf numFmtId="0" fontId="18" fillId="5" borderId="176" xfId="1632" applyFont="1" applyFill="1" applyBorder="1" applyAlignment="1">
      <alignment horizontal="left" vertical="center"/>
    </xf>
    <xf numFmtId="0" fontId="127" fillId="5" borderId="175" xfId="1632" applyFont="1" applyFill="1" applyBorder="1" applyAlignment="1">
      <alignment horizontal="center" vertical="center"/>
    </xf>
    <xf numFmtId="0" fontId="127" fillId="5" borderId="208" xfId="1632" applyFont="1" applyFill="1" applyBorder="1" applyAlignment="1">
      <alignment horizontal="center" vertical="center"/>
    </xf>
    <xf numFmtId="0" fontId="127" fillId="5" borderId="176" xfId="1632" applyFont="1" applyFill="1" applyBorder="1" applyAlignment="1">
      <alignment horizontal="center" vertical="center"/>
    </xf>
    <xf numFmtId="0" fontId="128" fillId="5" borderId="39" xfId="1632" applyFont="1" applyFill="1" applyBorder="1" applyAlignment="1">
      <alignment horizontal="center" vertical="center"/>
    </xf>
    <xf numFmtId="0" fontId="128" fillId="5" borderId="46" xfId="1632" applyFont="1" applyFill="1" applyBorder="1" applyAlignment="1">
      <alignment horizontal="center" vertical="center"/>
    </xf>
    <xf numFmtId="0" fontId="129" fillId="5" borderId="39" xfId="1632" applyFont="1" applyFill="1" applyBorder="1" applyAlignment="1">
      <alignment horizontal="center" vertical="center"/>
    </xf>
    <xf numFmtId="0" fontId="129" fillId="5" borderId="46" xfId="1632" applyFont="1" applyFill="1" applyBorder="1" applyAlignment="1">
      <alignment horizontal="center" vertical="center"/>
    </xf>
    <xf numFmtId="0" fontId="18" fillId="5" borderId="42" xfId="1632" applyFont="1" applyFill="1" applyBorder="1" applyAlignment="1">
      <alignment horizontal="left" vertical="center"/>
    </xf>
    <xf numFmtId="0" fontId="37" fillId="0" borderId="175" xfId="639" applyFont="1" applyBorder="1" applyAlignment="1">
      <alignment horizontal="left" vertical="center" wrapText="1"/>
    </xf>
    <xf numFmtId="0" fontId="37" fillId="0" borderId="208" xfId="639" applyFont="1" applyBorder="1" applyAlignment="1">
      <alignment horizontal="left" vertical="center" wrapText="1"/>
    </xf>
    <xf numFmtId="0" fontId="37" fillId="0" borderId="176" xfId="639" applyFont="1" applyBorder="1" applyAlignment="1">
      <alignment horizontal="left" vertical="center" wrapText="1"/>
    </xf>
    <xf numFmtId="0" fontId="37" fillId="0" borderId="39" xfId="639" applyFont="1" applyBorder="1" applyAlignment="1">
      <alignment horizontal="left" vertical="center" wrapText="1"/>
    </xf>
    <xf numFmtId="0" fontId="37" fillId="0" borderId="0" xfId="639" applyFont="1" applyAlignment="1">
      <alignment horizontal="left" vertical="center" wrapText="1"/>
    </xf>
    <xf numFmtId="0" fontId="37" fillId="0" borderId="46" xfId="639" applyFont="1" applyBorder="1" applyAlignment="1">
      <alignment horizontal="left" vertical="center" wrapText="1"/>
    </xf>
    <xf numFmtId="0" fontId="37" fillId="0" borderId="41" xfId="639" applyFont="1" applyBorder="1" applyAlignment="1">
      <alignment horizontal="left" vertical="center" wrapText="1"/>
    </xf>
    <xf numFmtId="0" fontId="37" fillId="0" borderId="27" xfId="639" applyFont="1" applyBorder="1" applyAlignment="1">
      <alignment horizontal="left" vertical="center" wrapText="1"/>
    </xf>
    <xf numFmtId="0" fontId="37" fillId="0" borderId="42" xfId="639" applyFont="1" applyBorder="1" applyAlignment="1">
      <alignment horizontal="left" vertical="center" wrapText="1"/>
    </xf>
    <xf numFmtId="0" fontId="135" fillId="4" borderId="207" xfId="639" applyFont="1" applyFill="1" applyBorder="1" applyAlignment="1">
      <alignment horizontal="center" vertical="center" wrapText="1"/>
    </xf>
    <xf numFmtId="0" fontId="135" fillId="4" borderId="174" xfId="639" applyFont="1" applyFill="1" applyBorder="1" applyAlignment="1">
      <alignment horizontal="center" vertical="center" wrapText="1"/>
    </xf>
    <xf numFmtId="0" fontId="135" fillId="4" borderId="207" xfId="639" applyFont="1" applyFill="1" applyBorder="1" applyAlignment="1">
      <alignment horizontal="center" vertical="center"/>
    </xf>
    <xf numFmtId="0" fontId="135" fillId="4" borderId="174" xfId="639" applyFont="1" applyFill="1" applyBorder="1" applyAlignment="1">
      <alignment horizontal="center" vertical="center"/>
    </xf>
    <xf numFmtId="195" fontId="135" fillId="4" borderId="176" xfId="1632" applyNumberFormat="1" applyFont="1" applyFill="1" applyBorder="1" applyAlignment="1">
      <alignment horizontal="center" vertical="center" wrapText="1"/>
    </xf>
    <xf numFmtId="0" fontId="135" fillId="4" borderId="193" xfId="639" applyFont="1" applyFill="1" applyBorder="1" applyAlignment="1">
      <alignment horizontal="center" vertical="center"/>
    </xf>
    <xf numFmtId="0" fontId="18" fillId="4" borderId="193" xfId="639" applyFont="1" applyFill="1" applyBorder="1" applyAlignment="1">
      <alignment horizontal="center" vertical="center"/>
    </xf>
    <xf numFmtId="195" fontId="135" fillId="4" borderId="208" xfId="1632" applyNumberFormat="1" applyFont="1" applyFill="1" applyBorder="1" applyAlignment="1">
      <alignment horizontal="center" vertical="center"/>
    </xf>
    <xf numFmtId="195" fontId="135" fillId="4" borderId="27" xfId="1632" applyNumberFormat="1" applyFont="1" applyFill="1" applyBorder="1" applyAlignment="1">
      <alignment horizontal="center" vertical="center"/>
    </xf>
    <xf numFmtId="0" fontId="0" fillId="0" borderId="175" xfId="0" applyBorder="1" applyAlignment="1">
      <alignment horizontal="left" vertical="center" wrapText="1"/>
    </xf>
    <xf numFmtId="0" fontId="0" fillId="0" borderId="208" xfId="0" applyBorder="1" applyAlignment="1">
      <alignment horizontal="left" vertical="center" wrapText="1"/>
    </xf>
    <xf numFmtId="0" fontId="0" fillId="0" borderId="176" xfId="0" applyBorder="1" applyAlignment="1">
      <alignment horizontal="left" vertical="center" wrapText="1"/>
    </xf>
    <xf numFmtId="0" fontId="0" fillId="0" borderId="41" xfId="0" applyBorder="1" applyAlignment="1">
      <alignment horizontal="left" vertical="center" wrapText="1"/>
    </xf>
    <xf numFmtId="0" fontId="0" fillId="0" borderId="27" xfId="0" applyBorder="1" applyAlignment="1">
      <alignment horizontal="left" vertical="center" wrapText="1"/>
    </xf>
    <xf numFmtId="0" fontId="0" fillId="0" borderId="42" xfId="0" applyBorder="1" applyAlignment="1">
      <alignment horizontal="left" vertical="center" wrapText="1"/>
    </xf>
    <xf numFmtId="195" fontId="135" fillId="4" borderId="179" xfId="1632" applyNumberFormat="1" applyFont="1" applyFill="1" applyBorder="1" applyAlignment="1">
      <alignment horizontal="center" vertical="center"/>
    </xf>
    <xf numFmtId="195" fontId="135" fillId="4" borderId="207" xfId="1632" applyNumberFormat="1" applyFont="1" applyFill="1" applyBorder="1" applyAlignment="1">
      <alignment horizontal="center" vertical="center"/>
    </xf>
    <xf numFmtId="195" fontId="135" fillId="4" borderId="174" xfId="1632" applyNumberFormat="1" applyFont="1" applyFill="1" applyBorder="1" applyAlignment="1">
      <alignment horizontal="center" vertical="center"/>
    </xf>
    <xf numFmtId="195" fontId="135" fillId="4" borderId="175" xfId="1632" applyNumberFormat="1" applyFont="1" applyFill="1" applyBorder="1" applyAlignment="1">
      <alignment horizontal="center" vertical="center" wrapText="1"/>
    </xf>
    <xf numFmtId="0" fontId="83" fillId="44" borderId="199" xfId="639" applyFont="1" applyFill="1" applyBorder="1" applyAlignment="1">
      <alignment horizontal="center" vertical="center" wrapText="1"/>
    </xf>
    <xf numFmtId="0" fontId="83" fillId="44" borderId="207" xfId="639" applyFont="1" applyFill="1" applyBorder="1" applyAlignment="1">
      <alignment horizontal="center" vertical="center" wrapText="1"/>
    </xf>
    <xf numFmtId="0" fontId="83" fillId="44" borderId="198" xfId="639" applyFont="1" applyFill="1" applyBorder="1" applyAlignment="1">
      <alignment horizontal="center" vertical="center" wrapText="1"/>
    </xf>
    <xf numFmtId="0" fontId="56" fillId="0" borderId="0" xfId="0" applyFont="1" applyAlignment="1">
      <alignment horizontal="center" wrapText="1"/>
    </xf>
    <xf numFmtId="0" fontId="83" fillId="44" borderId="199" xfId="15846" applyFont="1" applyFill="1" applyBorder="1" applyAlignment="1">
      <alignment horizontal="center" vertical="center" wrapText="1"/>
    </xf>
    <xf numFmtId="0" fontId="83" fillId="44" borderId="207" xfId="15846" applyFont="1" applyFill="1" applyBorder="1" applyAlignment="1">
      <alignment horizontal="center" vertical="center" wrapText="1"/>
    </xf>
    <xf numFmtId="0" fontId="83" fillId="44" borderId="198" xfId="15846" applyFont="1" applyFill="1" applyBorder="1" applyAlignment="1">
      <alignment horizontal="center" vertical="center" wrapText="1"/>
    </xf>
    <xf numFmtId="0" fontId="51" fillId="0" borderId="16" xfId="7751" applyFont="1" applyBorder="1" applyAlignment="1">
      <alignment horizontal="left" vertical="center" wrapText="1"/>
    </xf>
    <xf numFmtId="199" fontId="169" fillId="44" borderId="179" xfId="7751" applyNumberFormat="1" applyFont="1" applyFill="1" applyBorder="1" applyAlignment="1">
      <alignment horizontal="center" vertical="center"/>
    </xf>
    <xf numFmtId="199" fontId="169" fillId="44" borderId="207" xfId="7751" applyNumberFormat="1" applyFont="1" applyFill="1" applyBorder="1" applyAlignment="1">
      <alignment horizontal="center" vertical="center"/>
    </xf>
    <xf numFmtId="199" fontId="169" fillId="44" borderId="174" xfId="7751" applyNumberFormat="1" applyFont="1" applyFill="1" applyBorder="1" applyAlignment="1">
      <alignment horizontal="center" vertical="center"/>
    </xf>
    <xf numFmtId="4" fontId="169" fillId="0" borderId="193" xfId="7751" applyNumberFormat="1" applyFont="1" applyBorder="1" applyAlignment="1">
      <alignment horizontal="center" vertical="center"/>
    </xf>
    <xf numFmtId="202" fontId="23" fillId="0" borderId="189" xfId="7751" applyNumberFormat="1" applyFont="1" applyBorder="1" applyAlignment="1">
      <alignment horizontal="right" vertical="center"/>
    </xf>
    <xf numFmtId="202" fontId="23" fillId="0" borderId="190" xfId="7751" applyNumberFormat="1" applyFont="1" applyBorder="1" applyAlignment="1">
      <alignment horizontal="right" vertical="center"/>
    </xf>
    <xf numFmtId="202" fontId="23" fillId="0" borderId="191" xfId="7751" applyNumberFormat="1" applyFont="1" applyBorder="1" applyAlignment="1">
      <alignment horizontal="right" vertical="center"/>
    </xf>
    <xf numFmtId="4" fontId="169" fillId="44" borderId="193" xfId="7751" applyNumberFormat="1" applyFont="1" applyFill="1" applyBorder="1" applyAlignment="1">
      <alignment horizontal="center" vertical="center"/>
    </xf>
    <xf numFmtId="0" fontId="18" fillId="0" borderId="221" xfId="7751" applyFont="1" applyBorder="1" applyAlignment="1">
      <alignment horizontal="left" vertical="center"/>
    </xf>
    <xf numFmtId="0" fontId="18" fillId="0" borderId="222" xfId="7751" applyFont="1" applyBorder="1" applyAlignment="1">
      <alignment horizontal="left" vertical="center"/>
    </xf>
    <xf numFmtId="0" fontId="18" fillId="0" borderId="223" xfId="7751" applyFont="1" applyBorder="1" applyAlignment="1">
      <alignment horizontal="left" vertical="center"/>
    </xf>
    <xf numFmtId="0" fontId="18" fillId="0" borderId="225" xfId="7751" applyFont="1" applyBorder="1" applyAlignment="1">
      <alignment horizontal="left" vertical="center"/>
    </xf>
    <xf numFmtId="0" fontId="18" fillId="0" borderId="226" xfId="7751" applyFont="1" applyBorder="1" applyAlignment="1">
      <alignment horizontal="left" vertical="center"/>
    </xf>
    <xf numFmtId="0" fontId="18" fillId="0" borderId="227" xfId="7751" applyFont="1" applyBorder="1" applyAlignment="1">
      <alignment horizontal="left" vertical="center"/>
    </xf>
    <xf numFmtId="0" fontId="5" fillId="44" borderId="228" xfId="7751" applyFill="1" applyBorder="1" applyAlignment="1">
      <alignment horizontal="center" vertical="center"/>
    </xf>
    <xf numFmtId="0" fontId="5" fillId="44" borderId="229" xfId="7751" applyFill="1" applyBorder="1" applyAlignment="1">
      <alignment horizontal="center" vertical="center"/>
    </xf>
    <xf numFmtId="0" fontId="18" fillId="0" borderId="235" xfId="7751" applyFont="1" applyBorder="1" applyAlignment="1">
      <alignment horizontal="left" vertical="top" wrapText="1"/>
    </xf>
    <xf numFmtId="0" fontId="18" fillId="0" borderId="236" xfId="7751" applyFont="1" applyBorder="1" applyAlignment="1">
      <alignment horizontal="left" vertical="top" wrapText="1"/>
    </xf>
    <xf numFmtId="0" fontId="23" fillId="0" borderId="175" xfId="7751" applyFont="1" applyBorder="1" applyAlignment="1">
      <alignment horizontal="center" vertical="center"/>
    </xf>
    <xf numFmtId="0" fontId="23" fillId="0" borderId="176" xfId="7751" applyFont="1" applyBorder="1" applyAlignment="1">
      <alignment horizontal="center" vertical="center"/>
    </xf>
    <xf numFmtId="0" fontId="23" fillId="0" borderId="41" xfId="7751" applyFont="1" applyBorder="1" applyAlignment="1">
      <alignment horizontal="center" vertical="center"/>
    </xf>
    <xf numFmtId="0" fontId="23" fillId="0" borderId="42" xfId="7751" applyFont="1" applyBorder="1" applyAlignment="1">
      <alignment horizontal="center" vertical="center"/>
    </xf>
    <xf numFmtId="202" fontId="23" fillId="0" borderId="181" xfId="7751" applyNumberFormat="1" applyFont="1" applyBorder="1" applyAlignment="1">
      <alignment horizontal="center" vertical="center" wrapText="1"/>
    </xf>
    <xf numFmtId="202" fontId="23" fillId="0" borderId="20" xfId="7751" applyNumberFormat="1" applyFont="1" applyBorder="1" applyAlignment="1">
      <alignment horizontal="center" vertical="center" wrapText="1"/>
    </xf>
    <xf numFmtId="202" fontId="23" fillId="0" borderId="175" xfId="7751" applyNumberFormat="1" applyFont="1" applyBorder="1" applyAlignment="1">
      <alignment horizontal="center" vertical="center"/>
    </xf>
    <xf numFmtId="202" fontId="23" fillId="0" borderId="208" xfId="7751" applyNumberFormat="1" applyFont="1" applyBorder="1" applyAlignment="1">
      <alignment horizontal="center" vertical="center"/>
    </xf>
    <xf numFmtId="202" fontId="23" fillId="0" borderId="176" xfId="7751" applyNumberFormat="1" applyFont="1" applyBorder="1" applyAlignment="1">
      <alignment horizontal="center" vertical="center"/>
    </xf>
    <xf numFmtId="202" fontId="23" fillId="0" borderId="41" xfId="7751" applyNumberFormat="1" applyFont="1" applyBorder="1" applyAlignment="1">
      <alignment horizontal="center" vertical="center"/>
    </xf>
    <xf numFmtId="202" fontId="23" fillId="0" borderId="27" xfId="7751" applyNumberFormat="1" applyFont="1" applyBorder="1" applyAlignment="1">
      <alignment horizontal="center" vertical="center"/>
    </xf>
    <xf numFmtId="202" fontId="23" fillId="0" borderId="42" xfId="7751" applyNumberFormat="1" applyFont="1" applyBorder="1" applyAlignment="1">
      <alignment horizontal="center" vertical="center"/>
    </xf>
    <xf numFmtId="202" fontId="14" fillId="44" borderId="199" xfId="7751" applyNumberFormat="1" applyFont="1" applyFill="1" applyBorder="1" applyAlignment="1">
      <alignment horizontal="center" vertical="center"/>
    </xf>
    <xf numFmtId="202" fontId="14" fillId="44" borderId="207" xfId="7751" applyNumberFormat="1" applyFont="1" applyFill="1" applyBorder="1" applyAlignment="1">
      <alignment horizontal="center" vertical="center"/>
    </xf>
    <xf numFmtId="202" fontId="14" fillId="44" borderId="198" xfId="7751" applyNumberFormat="1" applyFont="1" applyFill="1" applyBorder="1" applyAlignment="1">
      <alignment horizontal="center" vertical="center"/>
    </xf>
    <xf numFmtId="0" fontId="127" fillId="0" borderId="16" xfId="7751" applyFont="1" applyBorder="1" applyAlignment="1">
      <alignment horizontal="center" vertical="center"/>
    </xf>
    <xf numFmtId="0" fontId="131" fillId="0" borderId="0" xfId="7751" applyFont="1" applyAlignment="1">
      <alignment horizontal="center" vertical="center"/>
    </xf>
    <xf numFmtId="0" fontId="168" fillId="0" borderId="0" xfId="7751" applyFont="1" applyAlignment="1">
      <alignment horizontal="center" vertical="center"/>
    </xf>
    <xf numFmtId="0" fontId="51" fillId="0" borderId="16" xfId="7751" applyFont="1" applyBorder="1" applyAlignment="1">
      <alignment horizontal="center" vertical="center" wrapText="1"/>
    </xf>
    <xf numFmtId="17" fontId="47" fillId="0" borderId="16" xfId="7751" applyNumberFormat="1" applyFont="1" applyBorder="1" applyAlignment="1">
      <alignment horizontal="left" vertical="center" wrapText="1"/>
    </xf>
    <xf numFmtId="4" fontId="169" fillId="0" borderId="179" xfId="7751" applyNumberFormat="1" applyFont="1" applyBorder="1" applyAlignment="1">
      <alignment horizontal="center" vertical="center"/>
    </xf>
    <xf numFmtId="4" fontId="169" fillId="0" borderId="207" xfId="7751" applyNumberFormat="1" applyFont="1" applyBorder="1" applyAlignment="1">
      <alignment horizontal="center" vertical="center"/>
    </xf>
    <xf numFmtId="4" fontId="169" fillId="0" borderId="174" xfId="7751" applyNumberFormat="1" applyFont="1" applyBorder="1" applyAlignment="1">
      <alignment horizontal="center" vertical="center"/>
    </xf>
    <xf numFmtId="4" fontId="169" fillId="44" borderId="179" xfId="7751" applyNumberFormat="1" applyFont="1" applyFill="1" applyBorder="1" applyAlignment="1">
      <alignment horizontal="center" vertical="center"/>
    </xf>
    <xf numFmtId="4" fontId="169" fillId="44" borderId="207" xfId="7751" applyNumberFormat="1" applyFont="1" applyFill="1" applyBorder="1" applyAlignment="1">
      <alignment horizontal="center" vertical="center"/>
    </xf>
    <xf numFmtId="4" fontId="169" fillId="44" borderId="174" xfId="7751" applyNumberFormat="1" applyFont="1" applyFill="1" applyBorder="1" applyAlignment="1">
      <alignment horizontal="center" vertical="center"/>
    </xf>
    <xf numFmtId="0" fontId="18" fillId="0" borderId="221" xfId="7751" applyFont="1" applyBorder="1" applyAlignment="1">
      <alignment horizontal="left" vertical="center" wrapText="1"/>
    </xf>
    <xf numFmtId="0" fontId="18" fillId="0" borderId="222" xfId="7751" applyFont="1" applyBorder="1" applyAlignment="1">
      <alignment horizontal="left" vertical="center" wrapText="1"/>
    </xf>
    <xf numFmtId="0" fontId="18" fillId="0" borderId="223" xfId="7751" applyFont="1" applyBorder="1" applyAlignment="1">
      <alignment horizontal="left" vertical="center" wrapText="1"/>
    </xf>
    <xf numFmtId="0" fontId="18" fillId="0" borderId="225" xfId="7751" applyFont="1" applyBorder="1" applyAlignment="1">
      <alignment horizontal="left" vertical="center" wrapText="1"/>
    </xf>
    <xf numFmtId="0" fontId="18" fillId="0" borderId="226" xfId="7751" applyFont="1" applyBorder="1" applyAlignment="1">
      <alignment horizontal="left" vertical="center" wrapText="1"/>
    </xf>
    <xf numFmtId="0" fontId="18" fillId="0" borderId="227" xfId="7751" applyFont="1" applyBorder="1" applyAlignment="1">
      <alignment horizontal="left" vertical="center" wrapText="1"/>
    </xf>
    <xf numFmtId="0" fontId="173" fillId="0" borderId="18" xfId="810" applyFont="1" applyBorder="1" applyAlignment="1">
      <alignment horizontal="left" wrapText="1"/>
    </xf>
    <xf numFmtId="0" fontId="173" fillId="0" borderId="0" xfId="810" applyFont="1" applyAlignment="1">
      <alignment horizontal="left" wrapText="1"/>
    </xf>
    <xf numFmtId="0" fontId="173" fillId="0" borderId="19" xfId="810" applyFont="1" applyBorder="1" applyAlignment="1">
      <alignment horizontal="left" wrapText="1"/>
    </xf>
    <xf numFmtId="0" fontId="174" fillId="14" borderId="8" xfId="810" applyFont="1" applyFill="1" applyBorder="1" applyAlignment="1">
      <alignment horizontal="left" vertical="center" wrapText="1"/>
    </xf>
    <xf numFmtId="0" fontId="174" fillId="14" borderId="211" xfId="810" applyFont="1" applyFill="1" applyBorder="1" applyAlignment="1">
      <alignment horizontal="left" vertical="center" wrapText="1"/>
    </xf>
    <xf numFmtId="0" fontId="174" fillId="14" borderId="212" xfId="810" applyFont="1" applyFill="1" applyBorder="1" applyAlignment="1">
      <alignment horizontal="left" vertical="center" wrapText="1"/>
    </xf>
    <xf numFmtId="49" fontId="3" fillId="4" borderId="192" xfId="15846" applyNumberFormat="1" applyFont="1" applyFill="1" applyBorder="1" applyAlignment="1">
      <alignment horizontal="right" vertical="center"/>
    </xf>
    <xf numFmtId="49" fontId="3" fillId="4" borderId="193" xfId="15846" applyNumberFormat="1" applyFont="1" applyFill="1" applyBorder="1" applyAlignment="1">
      <alignment horizontal="right" vertical="center"/>
    </xf>
    <xf numFmtId="0" fontId="170" fillId="14" borderId="18" xfId="810" applyFont="1" applyFill="1" applyBorder="1" applyAlignment="1">
      <alignment horizontal="left" vertical="center" wrapText="1"/>
    </xf>
    <xf numFmtId="0" fontId="170" fillId="14" borderId="0" xfId="810" applyFont="1" applyFill="1" applyAlignment="1">
      <alignment horizontal="left" vertical="center" wrapText="1"/>
    </xf>
    <xf numFmtId="0" fontId="170" fillId="14" borderId="19" xfId="810" applyFont="1" applyFill="1" applyBorder="1" applyAlignment="1">
      <alignment horizontal="left" vertical="center" wrapText="1"/>
    </xf>
    <xf numFmtId="0" fontId="171" fillId="0" borderId="18" xfId="810" applyFont="1" applyBorder="1" applyAlignment="1">
      <alignment horizontal="left" wrapText="1"/>
    </xf>
    <xf numFmtId="0" fontId="171" fillId="0" borderId="0" xfId="810" applyFont="1" applyAlignment="1">
      <alignment horizontal="left" wrapText="1"/>
    </xf>
    <xf numFmtId="0" fontId="171" fillId="0" borderId="19" xfId="810" applyFont="1" applyBorder="1" applyAlignment="1">
      <alignment horizontal="left" wrapText="1"/>
    </xf>
    <xf numFmtId="0" fontId="172" fillId="0" borderId="18" xfId="810" applyFont="1" applyBorder="1" applyAlignment="1">
      <alignment horizontal="left" vertical="top" wrapText="1"/>
    </xf>
    <xf numFmtId="0" fontId="172" fillId="0" borderId="0" xfId="810" applyFont="1" applyAlignment="1">
      <alignment horizontal="left" vertical="top" wrapText="1"/>
    </xf>
    <xf numFmtId="0" fontId="172" fillId="0" borderId="19" xfId="810" applyFont="1" applyBorder="1" applyAlignment="1">
      <alignment horizontal="left" vertical="top" wrapText="1"/>
    </xf>
    <xf numFmtId="0" fontId="18" fillId="5" borderId="0" xfId="1632" applyFont="1" applyFill="1" applyBorder="1" applyAlignment="1">
      <alignment horizontal="left" vertical="center"/>
    </xf>
    <xf numFmtId="0" fontId="83" fillId="44" borderId="199" xfId="15846" applyFont="1" applyFill="1" applyBorder="1" applyAlignment="1">
      <alignment horizontal="center" vertical="center"/>
    </xf>
    <xf numFmtId="0" fontId="83" fillId="44" borderId="207" xfId="15846" applyFont="1" applyFill="1" applyBorder="1" applyAlignment="1">
      <alignment horizontal="center" vertical="center"/>
    </xf>
    <xf numFmtId="0" fontId="83" fillId="44" borderId="198" xfId="15846" applyFont="1" applyFill="1" applyBorder="1" applyAlignment="1">
      <alignment horizontal="center" vertical="center"/>
    </xf>
    <xf numFmtId="0" fontId="135" fillId="4" borderId="192" xfId="15846" applyFont="1" applyFill="1" applyBorder="1" applyAlignment="1">
      <alignment horizontal="center" vertical="center"/>
    </xf>
    <xf numFmtId="0" fontId="18" fillId="4" borderId="193" xfId="15846" applyFont="1" applyFill="1" applyBorder="1" applyAlignment="1">
      <alignment horizontal="center" vertical="center"/>
    </xf>
    <xf numFmtId="195" fontId="135" fillId="4" borderId="194" xfId="1632" applyNumberFormat="1" applyFont="1" applyFill="1" applyBorder="1" applyAlignment="1">
      <alignment horizontal="center" vertical="center" wrapText="1"/>
    </xf>
    <xf numFmtId="195" fontId="135" fillId="4" borderId="193" xfId="1632" applyNumberFormat="1" applyFont="1" applyFill="1" applyBorder="1" applyAlignment="1">
      <alignment horizontal="center" vertical="center"/>
    </xf>
    <xf numFmtId="195" fontId="135" fillId="4" borderId="194" xfId="1632" applyNumberFormat="1" applyFont="1" applyFill="1" applyBorder="1" applyAlignment="1">
      <alignment horizontal="center" vertical="center"/>
    </xf>
    <xf numFmtId="0" fontId="171" fillId="0" borderId="18" xfId="810" applyFont="1" applyBorder="1" applyAlignment="1">
      <alignment horizontal="left" vertical="center" wrapText="1"/>
    </xf>
    <xf numFmtId="0" fontId="171" fillId="0" borderId="0" xfId="810" applyFont="1" applyAlignment="1">
      <alignment horizontal="left" vertical="center" wrapText="1"/>
    </xf>
    <xf numFmtId="0" fontId="171" fillId="0" borderId="19" xfId="810" applyFont="1" applyBorder="1" applyAlignment="1">
      <alignment horizontal="left" vertical="center" wrapText="1"/>
    </xf>
    <xf numFmtId="204" fontId="177" fillId="84" borderId="180" xfId="8119" applyNumberFormat="1" applyFont="1" applyFill="1" applyBorder="1" applyAlignment="1">
      <alignment horizontal="center" vertical="center" wrapText="1"/>
    </xf>
    <xf numFmtId="204" fontId="177" fillId="84" borderId="25" xfId="8119" applyNumberFormat="1" applyFont="1" applyFill="1" applyBorder="1" applyAlignment="1">
      <alignment horizontal="center" vertical="center" wrapText="1"/>
    </xf>
    <xf numFmtId="2" fontId="177" fillId="14" borderId="241" xfId="2215" applyNumberFormat="1" applyFont="1" applyFill="1" applyBorder="1" applyAlignment="1">
      <alignment horizontal="left" vertical="center" wrapText="1"/>
    </xf>
    <xf numFmtId="2" fontId="177" fillId="14" borderId="242" xfId="2215" applyNumberFormat="1" applyFont="1" applyFill="1" applyBorder="1" applyAlignment="1">
      <alignment horizontal="left" vertical="center" wrapText="1"/>
    </xf>
    <xf numFmtId="2" fontId="177" fillId="14" borderId="243" xfId="2215" applyNumberFormat="1" applyFont="1" applyFill="1" applyBorder="1" applyAlignment="1">
      <alignment horizontal="left" vertical="center" wrapText="1"/>
    </xf>
    <xf numFmtId="0" fontId="175" fillId="0" borderId="14" xfId="1632" applyFont="1" applyBorder="1" applyAlignment="1">
      <alignment horizontal="center" vertical="center"/>
    </xf>
    <xf numFmtId="0" fontId="175" fillId="0" borderId="16" xfId="1632" applyFont="1" applyBorder="1" applyAlignment="1">
      <alignment horizontal="center" vertical="center"/>
    </xf>
    <xf numFmtId="0" fontId="175" fillId="0" borderId="15" xfId="1632" applyFont="1" applyBorder="1" applyAlignment="1">
      <alignment horizontal="center" vertical="center"/>
    </xf>
    <xf numFmtId="0" fontId="175" fillId="0" borderId="18" xfId="1632" applyFont="1" applyBorder="1" applyAlignment="1">
      <alignment horizontal="center" vertical="center"/>
    </xf>
    <xf numFmtId="0" fontId="175" fillId="0" borderId="0" xfId="1632" applyFont="1" applyAlignment="1">
      <alignment horizontal="center" vertical="center"/>
    </xf>
    <xf numFmtId="0" fontId="175" fillId="0" borderId="19" xfId="1632" applyFont="1" applyBorder="1" applyAlignment="1">
      <alignment horizontal="center" vertical="center"/>
    </xf>
    <xf numFmtId="0" fontId="176" fillId="0" borderId="18" xfId="1632" applyFont="1" applyBorder="1" applyAlignment="1">
      <alignment horizontal="center" vertical="center"/>
    </xf>
    <xf numFmtId="0" fontId="176" fillId="0" borderId="0" xfId="1632" applyFont="1" applyAlignment="1">
      <alignment horizontal="center" vertical="center"/>
    </xf>
    <xf numFmtId="0" fontId="176" fillId="0" borderId="19" xfId="1632" applyFont="1" applyBorder="1" applyAlignment="1">
      <alignment horizontal="center" vertical="center"/>
    </xf>
    <xf numFmtId="0" fontId="176" fillId="0" borderId="8" xfId="1632" applyFont="1" applyBorder="1" applyAlignment="1">
      <alignment horizontal="center" vertical="center"/>
    </xf>
    <xf numFmtId="0" fontId="176" fillId="0" borderId="211" xfId="1632" applyFont="1" applyBorder="1" applyAlignment="1">
      <alignment horizontal="center" vertical="center"/>
    </xf>
    <xf numFmtId="0" fontId="176" fillId="0" borderId="212" xfId="1632" applyFont="1" applyBorder="1" applyAlignment="1">
      <alignment horizontal="center" vertical="center"/>
    </xf>
    <xf numFmtId="204" fontId="19" fillId="14" borderId="14" xfId="8119" applyNumberFormat="1" applyFont="1" applyFill="1" applyBorder="1" applyAlignment="1">
      <alignment horizontal="center" vertical="center" wrapText="1"/>
    </xf>
    <xf numFmtId="204" fontId="19" fillId="14" borderId="16" xfId="8119" applyNumberFormat="1" applyFont="1" applyFill="1" applyBorder="1" applyAlignment="1">
      <alignment horizontal="center" vertical="center" wrapText="1"/>
    </xf>
    <xf numFmtId="204" fontId="19" fillId="14" borderId="15" xfId="8119" applyNumberFormat="1" applyFont="1" applyFill="1" applyBorder="1" applyAlignment="1">
      <alignment horizontal="center" vertical="center" wrapText="1"/>
    </xf>
    <xf numFmtId="0" fontId="37" fillId="0" borderId="179" xfId="639" applyFont="1" applyBorder="1" applyAlignment="1">
      <alignment horizontal="center" vertical="center"/>
    </xf>
    <xf numFmtId="0" fontId="0" fillId="0" borderId="174" xfId="0" applyBorder="1" applyAlignment="1">
      <alignment horizontal="center" vertical="center"/>
    </xf>
    <xf numFmtId="0" fontId="37" fillId="0" borderId="174" xfId="639" applyFont="1" applyBorder="1" applyAlignment="1">
      <alignment horizontal="center" vertical="center"/>
    </xf>
    <xf numFmtId="0" fontId="18" fillId="5" borderId="28" xfId="1632" applyNumberFormat="1" applyFont="1" applyFill="1" applyBorder="1" applyAlignment="1">
      <alignment horizontal="left" vertical="center"/>
    </xf>
    <xf numFmtId="0" fontId="18" fillId="5" borderId="245" xfId="1632" applyFont="1" applyFill="1" applyBorder="1" applyAlignment="1">
      <alignment horizontal="left" vertical="center"/>
    </xf>
    <xf numFmtId="0" fontId="18" fillId="5" borderId="244" xfId="1632" applyFont="1" applyFill="1" applyBorder="1" applyAlignment="1">
      <alignment horizontal="left" vertical="center"/>
    </xf>
    <xf numFmtId="0" fontId="83" fillId="9" borderId="14" xfId="23" applyFont="1" applyFill="1" applyBorder="1" applyAlignment="1">
      <alignment horizontal="center" vertical="center" wrapText="1"/>
    </xf>
    <xf numFmtId="0" fontId="83" fillId="9" borderId="16" xfId="23" applyFont="1" applyFill="1" applyBorder="1" applyAlignment="1">
      <alignment horizontal="center" vertical="center" wrapText="1"/>
    </xf>
    <xf numFmtId="0" fontId="83" fillId="9" borderId="8" xfId="23" applyFont="1" applyFill="1" applyBorder="1" applyAlignment="1">
      <alignment horizontal="center" vertical="center" wrapText="1"/>
    </xf>
    <xf numFmtId="0" fontId="83" fillId="9" borderId="9" xfId="23" applyFont="1" applyFill="1" applyBorder="1" applyAlignment="1">
      <alignment horizontal="center" vertical="center" wrapText="1"/>
    </xf>
    <xf numFmtId="40" fontId="7" fillId="0" borderId="0" xfId="23" applyNumberFormat="1" applyAlignment="1">
      <alignment horizontal="center" vertical="center"/>
    </xf>
    <xf numFmtId="0" fontId="7" fillId="0" borderId="16" xfId="1" applyFont="1" applyBorder="1" applyAlignment="1">
      <alignment horizontal="left" vertical="center"/>
    </xf>
    <xf numFmtId="0" fontId="7" fillId="0" borderId="9" xfId="1" applyFont="1" applyBorder="1" applyAlignment="1">
      <alignment horizontal="left" vertical="center"/>
    </xf>
    <xf numFmtId="0" fontId="16" fillId="0" borderId="17" xfId="1" applyFont="1" applyBorder="1" applyAlignment="1">
      <alignment horizontal="center" vertical="center" wrapText="1"/>
    </xf>
    <xf numFmtId="0" fontId="16" fillId="0" borderId="60" xfId="1" applyFont="1" applyBorder="1" applyAlignment="1">
      <alignment horizontal="center" vertical="center" wrapText="1"/>
    </xf>
    <xf numFmtId="0" fontId="7" fillId="0" borderId="27" xfId="23" applyBorder="1" applyAlignment="1">
      <alignment horizontal="center" vertical="center"/>
    </xf>
    <xf numFmtId="1" fontId="4" fillId="0" borderId="13" xfId="23" applyNumberFormat="1" applyFont="1" applyBorder="1" applyAlignment="1">
      <alignment horizontal="left"/>
    </xf>
    <xf numFmtId="1" fontId="3" fillId="45" borderId="33" xfId="23" applyNumberFormat="1" applyFont="1" applyFill="1" applyBorder="1" applyAlignment="1">
      <alignment horizontal="center"/>
    </xf>
    <xf numFmtId="1" fontId="4" fillId="0" borderId="62" xfId="23" applyNumberFormat="1" applyFont="1" applyBorder="1" applyAlignment="1">
      <alignment horizontal="left"/>
    </xf>
    <xf numFmtId="1" fontId="4" fillId="0" borderId="61" xfId="23" applyNumberFormat="1" applyFont="1" applyBorder="1" applyAlignment="1">
      <alignment horizontal="left"/>
    </xf>
    <xf numFmtId="0" fontId="4" fillId="0" borderId="18" xfId="23" applyFont="1" applyBorder="1" applyAlignment="1">
      <alignment horizontal="center"/>
    </xf>
    <xf numFmtId="0" fontId="4" fillId="0" borderId="0" xfId="23" applyFont="1" applyAlignment="1">
      <alignment horizontal="center"/>
    </xf>
    <xf numFmtId="0" fontId="4" fillId="0" borderId="19" xfId="23" applyFont="1" applyBorder="1" applyAlignment="1">
      <alignment horizontal="center"/>
    </xf>
    <xf numFmtId="4" fontId="3" fillId="45" borderId="33" xfId="23" applyNumberFormat="1" applyFont="1" applyFill="1" applyBorder="1" applyAlignment="1">
      <alignment horizontal="center"/>
    </xf>
    <xf numFmtId="4" fontId="3" fillId="45" borderId="32" xfId="23" applyNumberFormat="1" applyFont="1" applyFill="1" applyBorder="1" applyAlignment="1">
      <alignment horizontal="center"/>
    </xf>
    <xf numFmtId="4" fontId="3" fillId="45" borderId="13" xfId="23" applyNumberFormat="1" applyFont="1" applyFill="1" applyBorder="1" applyAlignment="1">
      <alignment horizontal="center"/>
    </xf>
    <xf numFmtId="4" fontId="3" fillId="45" borderId="12" xfId="23" applyNumberFormat="1" applyFont="1" applyFill="1" applyBorder="1" applyAlignment="1">
      <alignment horizontal="center"/>
    </xf>
    <xf numFmtId="0" fontId="3" fillId="0" borderId="33" xfId="23" applyFont="1" applyBorder="1" applyAlignment="1">
      <alignment horizontal="center" vertical="center"/>
    </xf>
    <xf numFmtId="0" fontId="3" fillId="0" borderId="13" xfId="23" applyFont="1" applyBorder="1" applyAlignment="1">
      <alignment horizontal="center" vertical="center"/>
    </xf>
    <xf numFmtId="1" fontId="3" fillId="45" borderId="13" xfId="23" applyNumberFormat="1" applyFont="1" applyFill="1" applyBorder="1" applyAlignment="1">
      <alignment horizontal="center"/>
    </xf>
    <xf numFmtId="4" fontId="4" fillId="14" borderId="13" xfId="23" applyNumberFormat="1" applyFont="1" applyFill="1" applyBorder="1" applyAlignment="1">
      <alignment horizontal="center"/>
    </xf>
    <xf numFmtId="4" fontId="4" fillId="14" borderId="12" xfId="23" applyNumberFormat="1" applyFont="1" applyFill="1" applyBorder="1" applyAlignment="1">
      <alignment horizontal="center"/>
    </xf>
    <xf numFmtId="4" fontId="4" fillId="0" borderId="13" xfId="23" applyNumberFormat="1" applyFont="1" applyBorder="1" applyAlignment="1">
      <alignment horizontal="center"/>
    </xf>
    <xf numFmtId="4" fontId="4" fillId="0" borderId="12" xfId="23" applyNumberFormat="1" applyFont="1" applyBorder="1" applyAlignment="1">
      <alignment horizontal="center"/>
    </xf>
    <xf numFmtId="4" fontId="4" fillId="0" borderId="21" xfId="23" applyNumberFormat="1" applyFont="1" applyBorder="1" applyAlignment="1">
      <alignment horizontal="center"/>
    </xf>
    <xf numFmtId="4" fontId="4" fillId="0" borderId="30" xfId="23" applyNumberFormat="1" applyFont="1" applyBorder="1" applyAlignment="1">
      <alignment horizontal="center"/>
    </xf>
    <xf numFmtId="0" fontId="4" fillId="0" borderId="7" xfId="23" applyFont="1" applyBorder="1" applyAlignment="1">
      <alignment horizontal="left" vertical="center"/>
    </xf>
    <xf numFmtId="0" fontId="4" fillId="0" borderId="6" xfId="23" applyFont="1" applyBorder="1" applyAlignment="1">
      <alignment horizontal="left" vertical="center"/>
    </xf>
    <xf numFmtId="0" fontId="72" fillId="0" borderId="0" xfId="23" applyFont="1" applyAlignment="1">
      <alignment horizontal="right" vertical="center"/>
    </xf>
    <xf numFmtId="0" fontId="7" fillId="0" borderId="0" xfId="23" applyAlignment="1">
      <alignment horizontal="left" vertical="center"/>
    </xf>
    <xf numFmtId="1" fontId="4" fillId="0" borderId="21" xfId="23" applyNumberFormat="1" applyFont="1" applyBorder="1" applyAlignment="1">
      <alignment horizontal="left"/>
    </xf>
    <xf numFmtId="165" fontId="3" fillId="0" borderId="5" xfId="9" applyFont="1" applyBorder="1" applyAlignment="1">
      <alignment horizontal="center" vertical="center"/>
    </xf>
    <xf numFmtId="165" fontId="3" fillId="0" borderId="6" xfId="9" applyFont="1" applyBorder="1" applyAlignment="1">
      <alignment horizontal="center" vertical="center"/>
    </xf>
    <xf numFmtId="0" fontId="3" fillId="0" borderId="5" xfId="23" applyFont="1" applyBorder="1" applyAlignment="1">
      <alignment horizontal="center"/>
    </xf>
    <xf numFmtId="0" fontId="3" fillId="0" borderId="7" xfId="23" applyFont="1" applyBorder="1" applyAlignment="1">
      <alignment horizontal="center"/>
    </xf>
    <xf numFmtId="1" fontId="3" fillId="0" borderId="5" xfId="23" applyNumberFormat="1" applyFont="1" applyBorder="1" applyAlignment="1">
      <alignment horizontal="center" vertical="center"/>
    </xf>
    <xf numFmtId="1" fontId="3" fillId="0" borderId="7" xfId="23" applyNumberFormat="1" applyFont="1" applyBorder="1" applyAlignment="1">
      <alignment horizontal="center" vertical="center"/>
    </xf>
    <xf numFmtId="1" fontId="3" fillId="0" borderId="6" xfId="23" applyNumberFormat="1" applyFont="1" applyBorder="1" applyAlignment="1">
      <alignment horizontal="center" vertical="center"/>
    </xf>
    <xf numFmtId="0" fontId="86" fillId="0" borderId="5" xfId="23" applyFont="1" applyBorder="1" applyAlignment="1">
      <alignment horizontal="center" vertical="center"/>
    </xf>
    <xf numFmtId="0" fontId="86" fillId="0" borderId="7" xfId="23" applyFont="1" applyBorder="1" applyAlignment="1">
      <alignment horizontal="center" vertical="center"/>
    </xf>
    <xf numFmtId="0" fontId="86" fillId="0" borderId="6" xfId="23" applyFont="1" applyBorder="1" applyAlignment="1">
      <alignment horizontal="center" vertical="center"/>
    </xf>
    <xf numFmtId="0" fontId="4" fillId="0" borderId="14" xfId="23" applyFont="1" applyBorder="1" applyAlignment="1">
      <alignment horizontal="center"/>
    </xf>
    <xf numFmtId="0" fontId="4" fillId="0" borderId="16" xfId="23" applyFont="1" applyBorder="1" applyAlignment="1">
      <alignment horizontal="center"/>
    </xf>
    <xf numFmtId="0" fontId="4" fillId="0" borderId="15" xfId="23" applyFont="1" applyBorder="1" applyAlignment="1">
      <alignment horizontal="center"/>
    </xf>
    <xf numFmtId="0" fontId="4" fillId="0" borderId="8" xfId="23" applyFont="1" applyBorder="1" applyAlignment="1">
      <alignment horizontal="center" vertical="center"/>
    </xf>
    <xf numFmtId="0" fontId="4" fillId="0" borderId="9" xfId="23" applyFont="1" applyBorder="1" applyAlignment="1">
      <alignment horizontal="center" vertical="center"/>
    </xf>
    <xf numFmtId="0" fontId="4" fillId="0" borderId="10" xfId="23" applyFont="1" applyBorder="1" applyAlignment="1">
      <alignment horizontal="center" vertical="center"/>
    </xf>
    <xf numFmtId="10" fontId="12" fillId="9" borderId="16" xfId="639" applyNumberFormat="1" applyFont="1" applyFill="1" applyBorder="1" applyAlignment="1">
      <alignment horizontal="center" vertical="center"/>
    </xf>
    <xf numFmtId="10" fontId="12" fillId="9" borderId="15" xfId="639" applyNumberFormat="1" applyFont="1" applyFill="1" applyBorder="1" applyAlignment="1">
      <alignment horizontal="center" vertical="center"/>
    </xf>
    <xf numFmtId="10" fontId="12" fillId="9" borderId="9" xfId="639" applyNumberFormat="1" applyFont="1" applyFill="1" applyBorder="1" applyAlignment="1">
      <alignment horizontal="center" vertical="center"/>
    </xf>
    <xf numFmtId="10" fontId="12" fillId="9" borderId="10" xfId="639" applyNumberFormat="1" applyFont="1" applyFill="1" applyBorder="1" applyAlignment="1">
      <alignment horizontal="center" vertical="center"/>
    </xf>
    <xf numFmtId="0" fontId="4" fillId="0" borderId="15" xfId="1" applyFont="1" applyBorder="1" applyAlignment="1">
      <alignment horizontal="center" vertical="center" wrapText="1"/>
    </xf>
    <xf numFmtId="0" fontId="5" fillId="0" borderId="31" xfId="23" applyFont="1" applyBorder="1" applyAlignment="1">
      <alignment horizontal="center"/>
    </xf>
    <xf numFmtId="0" fontId="5" fillId="0" borderId="33" xfId="23" applyFont="1" applyBorder="1" applyAlignment="1">
      <alignment horizontal="center"/>
    </xf>
    <xf numFmtId="0" fontId="5" fillId="0" borderId="32" xfId="23" applyFont="1" applyBorder="1" applyAlignment="1">
      <alignment horizontal="center"/>
    </xf>
    <xf numFmtId="0" fontId="25" fillId="4" borderId="5" xfId="1" applyFont="1" applyFill="1" applyBorder="1" applyAlignment="1">
      <alignment horizontal="center" vertical="center" wrapText="1"/>
    </xf>
    <xf numFmtId="0" fontId="87" fillId="4" borderId="7" xfId="1" applyFont="1" applyFill="1" applyBorder="1" applyAlignment="1">
      <alignment horizontal="center" vertical="center" wrapText="1"/>
    </xf>
    <xf numFmtId="0" fontId="87" fillId="4" borderId="6" xfId="1" applyFont="1" applyFill="1" applyBorder="1" applyAlignment="1">
      <alignment horizontal="center" vertical="center" wrapText="1"/>
    </xf>
    <xf numFmtId="0" fontId="3" fillId="0" borderId="31" xfId="23" applyFont="1" applyBorder="1" applyAlignment="1">
      <alignment horizontal="center" vertical="center"/>
    </xf>
    <xf numFmtId="0" fontId="3" fillId="0" borderId="11" xfId="23" applyFont="1" applyBorder="1" applyAlignment="1">
      <alignment horizontal="center" vertical="center"/>
    </xf>
    <xf numFmtId="0" fontId="5" fillId="0" borderId="31" xfId="23" applyFont="1" applyBorder="1" applyAlignment="1">
      <alignment vertical="center"/>
    </xf>
    <xf numFmtId="0" fontId="5" fillId="0" borderId="33" xfId="23" applyFont="1" applyBorder="1" applyAlignment="1">
      <alignment vertical="center"/>
    </xf>
    <xf numFmtId="0" fontId="5" fillId="0" borderId="32" xfId="23" applyFont="1" applyBorder="1" applyAlignment="1">
      <alignment vertical="center"/>
    </xf>
    <xf numFmtId="0" fontId="3" fillId="0" borderId="33" xfId="23" applyFont="1" applyBorder="1" applyAlignment="1">
      <alignment horizontal="center"/>
    </xf>
    <xf numFmtId="0" fontId="3" fillId="0" borderId="32" xfId="23" applyFont="1" applyBorder="1" applyAlignment="1">
      <alignment horizontal="center"/>
    </xf>
    <xf numFmtId="0" fontId="3" fillId="0" borderId="13" xfId="23" applyFont="1" applyBorder="1" applyAlignment="1">
      <alignment horizontal="center"/>
    </xf>
    <xf numFmtId="0" fontId="3" fillId="0" borderId="12" xfId="23" applyFont="1" applyBorder="1" applyAlignment="1">
      <alignment horizontal="center"/>
    </xf>
    <xf numFmtId="1" fontId="3" fillId="45" borderId="178" xfId="639" applyNumberFormat="1" applyFont="1" applyFill="1" applyBorder="1" applyAlignment="1">
      <alignment horizontal="center"/>
    </xf>
    <xf numFmtId="4" fontId="3" fillId="45" borderId="178" xfId="639" applyNumberFormat="1" applyFont="1" applyFill="1" applyBorder="1" applyAlignment="1">
      <alignment horizontal="center"/>
    </xf>
    <xf numFmtId="4" fontId="3" fillId="45" borderId="177" xfId="639" applyNumberFormat="1" applyFont="1" applyFill="1" applyBorder="1" applyAlignment="1">
      <alignment horizontal="center"/>
    </xf>
    <xf numFmtId="0" fontId="4" fillId="4" borderId="6" xfId="1" applyFont="1" applyFill="1" applyBorder="1" applyAlignment="1">
      <alignment horizontal="center" vertical="center" wrapText="1"/>
    </xf>
    <xf numFmtId="0" fontId="5" fillId="0" borderId="9" xfId="1" applyBorder="1" applyAlignment="1">
      <alignment horizontal="left" vertical="center"/>
    </xf>
    <xf numFmtId="0" fontId="5" fillId="0" borderId="16" xfId="1" applyBorder="1" applyAlignment="1">
      <alignment horizontal="left" vertical="center"/>
    </xf>
    <xf numFmtId="1" fontId="4" fillId="0" borderId="178" xfId="23" applyNumberFormat="1" applyFont="1" applyBorder="1" applyAlignment="1">
      <alignment horizontal="left"/>
    </xf>
    <xf numFmtId="4" fontId="4" fillId="0" borderId="178" xfId="639" applyNumberFormat="1" applyFont="1" applyBorder="1" applyAlignment="1">
      <alignment horizontal="center"/>
    </xf>
    <xf numFmtId="4" fontId="4" fillId="0" borderId="177" xfId="639" applyNumberFormat="1" applyFont="1" applyBorder="1" applyAlignment="1">
      <alignment horizontal="center"/>
    </xf>
    <xf numFmtId="1" fontId="4" fillId="0" borderId="178" xfId="639" applyNumberFormat="1" applyFont="1" applyBorder="1" applyAlignment="1">
      <alignment horizontal="left"/>
    </xf>
    <xf numFmtId="4" fontId="4" fillId="14" borderId="178" xfId="639" applyNumberFormat="1" applyFont="1" applyFill="1" applyBorder="1" applyAlignment="1">
      <alignment horizontal="center"/>
    </xf>
    <xf numFmtId="4" fontId="4" fillId="14" borderId="177" xfId="639" applyNumberFormat="1" applyFont="1" applyFill="1" applyBorder="1" applyAlignment="1">
      <alignment horizontal="center"/>
    </xf>
    <xf numFmtId="0" fontId="4" fillId="0" borderId="18" xfId="639" applyFont="1" applyBorder="1" applyAlignment="1">
      <alignment horizontal="center"/>
    </xf>
    <xf numFmtId="0" fontId="4" fillId="0" borderId="0" xfId="639" applyFont="1" applyAlignment="1">
      <alignment horizontal="center"/>
    </xf>
    <xf numFmtId="0" fontId="4" fillId="0" borderId="19" xfId="639" applyFont="1" applyBorder="1" applyAlignment="1">
      <alignment horizontal="center"/>
    </xf>
    <xf numFmtId="1" fontId="3" fillId="45" borderId="33" xfId="639" applyNumberFormat="1" applyFont="1" applyFill="1" applyBorder="1" applyAlignment="1">
      <alignment horizontal="center"/>
    </xf>
    <xf numFmtId="4" fontId="3" fillId="45" borderId="33" xfId="639" applyNumberFormat="1" applyFont="1" applyFill="1" applyBorder="1" applyAlignment="1">
      <alignment horizontal="center"/>
    </xf>
    <xf numFmtId="4" fontId="3" fillId="45" borderId="32" xfId="639" applyNumberFormat="1" applyFont="1" applyFill="1" applyBorder="1" applyAlignment="1">
      <alignment horizontal="center"/>
    </xf>
    <xf numFmtId="1" fontId="4" fillId="0" borderId="189" xfId="639" applyNumberFormat="1" applyFont="1" applyBorder="1" applyAlignment="1">
      <alignment horizontal="left"/>
    </xf>
    <xf numFmtId="1" fontId="4" fillId="0" borderId="190" xfId="639" applyNumberFormat="1" applyFont="1" applyBorder="1" applyAlignment="1">
      <alignment horizontal="left"/>
    </xf>
    <xf numFmtId="4" fontId="4" fillId="0" borderId="170" xfId="639" applyNumberFormat="1" applyFont="1" applyBorder="1" applyAlignment="1">
      <alignment horizontal="center"/>
    </xf>
    <xf numFmtId="4" fontId="4" fillId="0" borderId="171" xfId="639" applyNumberFormat="1" applyFont="1" applyBorder="1" applyAlignment="1">
      <alignment horizontal="center"/>
    </xf>
    <xf numFmtId="1" fontId="4" fillId="0" borderId="170" xfId="639" applyNumberFormat="1" applyFont="1" applyBorder="1" applyAlignment="1">
      <alignment horizontal="left"/>
    </xf>
    <xf numFmtId="0" fontId="4" fillId="0" borderId="14" xfId="639" applyFont="1" applyBorder="1" applyAlignment="1">
      <alignment horizontal="center"/>
    </xf>
    <xf numFmtId="0" fontId="4" fillId="0" borderId="16" xfId="639" applyFont="1" applyBorder="1" applyAlignment="1">
      <alignment horizontal="center"/>
    </xf>
    <xf numFmtId="0" fontId="4" fillId="0" borderId="15" xfId="639" applyFont="1" applyBorder="1" applyAlignment="1">
      <alignment horizontal="center"/>
    </xf>
    <xf numFmtId="0" fontId="4" fillId="0" borderId="8" xfId="639" applyFont="1" applyBorder="1" applyAlignment="1">
      <alignment horizontal="center" vertical="center"/>
    </xf>
    <xf numFmtId="0" fontId="4" fillId="0" borderId="9" xfId="639" applyFont="1" applyBorder="1" applyAlignment="1">
      <alignment horizontal="center" vertical="center"/>
    </xf>
    <xf numFmtId="0" fontId="4" fillId="0" borderId="10" xfId="639" applyFont="1" applyBorder="1" applyAlignment="1">
      <alignment horizontal="center" vertical="center"/>
    </xf>
    <xf numFmtId="0" fontId="83" fillId="9" borderId="14" xfId="639" applyFont="1" applyFill="1" applyBorder="1" applyAlignment="1">
      <alignment horizontal="center" vertical="center" wrapText="1"/>
    </xf>
    <xf numFmtId="0" fontId="83" fillId="9" borderId="16" xfId="639" applyFont="1" applyFill="1" applyBorder="1" applyAlignment="1">
      <alignment horizontal="center" vertical="center" wrapText="1"/>
    </xf>
    <xf numFmtId="0" fontId="83" fillId="9" borderId="8" xfId="639" applyFont="1" applyFill="1" applyBorder="1" applyAlignment="1">
      <alignment horizontal="center" vertical="center" wrapText="1"/>
    </xf>
    <xf numFmtId="0" fontId="83" fillId="9" borderId="9" xfId="639" applyFont="1" applyFill="1" applyBorder="1" applyAlignment="1">
      <alignment horizontal="center" vertical="center" wrapText="1"/>
    </xf>
    <xf numFmtId="0" fontId="3" fillId="0" borderId="5" xfId="639" applyFont="1" applyBorder="1" applyAlignment="1">
      <alignment horizontal="center"/>
    </xf>
    <xf numFmtId="0" fontId="3" fillId="0" borderId="7" xfId="639" applyFont="1" applyBorder="1" applyAlignment="1">
      <alignment horizontal="center"/>
    </xf>
    <xf numFmtId="165" fontId="3" fillId="0" borderId="5" xfId="643" applyFont="1" applyBorder="1" applyAlignment="1">
      <alignment horizontal="center" vertical="center"/>
    </xf>
    <xf numFmtId="165" fontId="3" fillId="0" borderId="6" xfId="643" applyFont="1" applyBorder="1" applyAlignment="1">
      <alignment horizontal="center" vertical="center"/>
    </xf>
    <xf numFmtId="1" fontId="3" fillId="0" borderId="5" xfId="639" applyNumberFormat="1" applyFont="1" applyBorder="1" applyAlignment="1">
      <alignment horizontal="center" vertical="center"/>
    </xf>
    <xf numFmtId="1" fontId="3" fillId="0" borderId="7" xfId="639" applyNumberFormat="1" applyFont="1" applyBorder="1" applyAlignment="1">
      <alignment horizontal="center" vertical="center"/>
    </xf>
    <xf numFmtId="1" fontId="3" fillId="0" borderId="6" xfId="639" applyNumberFormat="1" applyFont="1" applyBorder="1" applyAlignment="1">
      <alignment horizontal="center" vertical="center"/>
    </xf>
    <xf numFmtId="0" fontId="86" fillId="0" borderId="5" xfId="639" applyFont="1" applyBorder="1" applyAlignment="1">
      <alignment horizontal="center" vertical="center"/>
    </xf>
    <xf numFmtId="0" fontId="86" fillId="0" borderId="7" xfId="639" applyFont="1" applyBorder="1" applyAlignment="1">
      <alignment horizontal="center" vertical="center"/>
    </xf>
    <xf numFmtId="0" fontId="86" fillId="0" borderId="6" xfId="639" applyFont="1" applyBorder="1" applyAlignment="1">
      <alignment horizontal="center" vertical="center"/>
    </xf>
    <xf numFmtId="0" fontId="72" fillId="0" borderId="0" xfId="639" applyFont="1" applyAlignment="1">
      <alignment horizontal="right" vertical="center"/>
    </xf>
    <xf numFmtId="0" fontId="5" fillId="0" borderId="27" xfId="639" applyBorder="1" applyAlignment="1">
      <alignment horizontal="center" vertical="center"/>
    </xf>
    <xf numFmtId="0" fontId="5" fillId="0" borderId="0" xfId="639" applyAlignment="1">
      <alignment horizontal="left" vertical="center"/>
    </xf>
    <xf numFmtId="40" fontId="5" fillId="0" borderId="0" xfId="639" applyNumberFormat="1" applyAlignment="1">
      <alignment horizontal="center" vertical="center"/>
    </xf>
    <xf numFmtId="0" fontId="5" fillId="0" borderId="14" xfId="23" applyFont="1" applyBorder="1" applyAlignment="1">
      <alignment horizontal="center" vertical="center" wrapText="1"/>
    </xf>
    <xf numFmtId="0" fontId="5" fillId="0" borderId="16" xfId="23" applyFont="1" applyBorder="1" applyAlignment="1">
      <alignment horizontal="center" vertical="center" wrapText="1"/>
    </xf>
    <xf numFmtId="0" fontId="5" fillId="0" borderId="15" xfId="23" applyFont="1" applyBorder="1" applyAlignment="1">
      <alignment horizontal="center" vertical="center" wrapText="1"/>
    </xf>
    <xf numFmtId="0" fontId="5" fillId="0" borderId="18" xfId="23" applyFont="1" applyBorder="1" applyAlignment="1">
      <alignment horizontal="center" vertical="center" wrapText="1"/>
    </xf>
    <xf numFmtId="0" fontId="5" fillId="0" borderId="0" xfId="23" applyFont="1" applyAlignment="1">
      <alignment horizontal="center" vertical="center" wrapText="1"/>
    </xf>
    <xf numFmtId="0" fontId="5" fillId="0" borderId="19" xfId="23" applyFont="1" applyBorder="1" applyAlignment="1">
      <alignment horizontal="center" vertical="center" wrapText="1"/>
    </xf>
    <xf numFmtId="0" fontId="5" fillId="0" borderId="8" xfId="23" applyFont="1" applyBorder="1" applyAlignment="1">
      <alignment horizontal="center" vertical="center" wrapText="1"/>
    </xf>
    <xf numFmtId="0" fontId="5" fillId="0" borderId="9" xfId="23" applyFont="1" applyBorder="1" applyAlignment="1">
      <alignment horizontal="center" vertical="center" wrapText="1"/>
    </xf>
    <xf numFmtId="0" fontId="5" fillId="0" borderId="10" xfId="23" applyFont="1" applyBorder="1" applyAlignment="1">
      <alignment horizontal="center" vertical="center" wrapText="1"/>
    </xf>
    <xf numFmtId="0" fontId="5" fillId="0" borderId="14" xfId="1" applyBorder="1" applyAlignment="1">
      <alignment horizontal="center" vertical="center"/>
    </xf>
    <xf numFmtId="0" fontId="5" fillId="0" borderId="16" xfId="1" applyBorder="1" applyAlignment="1">
      <alignment horizontal="center" vertical="center"/>
    </xf>
    <xf numFmtId="0" fontId="5" fillId="0" borderId="18" xfId="1" applyBorder="1" applyAlignment="1">
      <alignment horizontal="center" vertical="center"/>
    </xf>
    <xf numFmtId="0" fontId="5" fillId="0" borderId="19" xfId="1" applyBorder="1" applyAlignment="1">
      <alignment horizontal="center" vertical="center"/>
    </xf>
    <xf numFmtId="0" fontId="5" fillId="0" borderId="8" xfId="1" applyBorder="1" applyAlignment="1">
      <alignment horizontal="center" vertical="center"/>
    </xf>
    <xf numFmtId="0" fontId="5" fillId="0" borderId="10" xfId="1" applyBorder="1" applyAlignment="1">
      <alignment horizontal="center" vertical="center"/>
    </xf>
    <xf numFmtId="10" fontId="12" fillId="0" borderId="8" xfId="644" applyNumberFormat="1" applyFont="1" applyFill="1" applyBorder="1" applyAlignment="1">
      <alignment horizontal="center" vertical="center" wrapText="1"/>
    </xf>
    <xf numFmtId="10" fontId="12" fillId="0" borderId="10" xfId="644" applyNumberFormat="1" applyFont="1" applyFill="1" applyBorder="1" applyAlignment="1">
      <alignment horizontal="center" vertical="center" wrapText="1"/>
    </xf>
    <xf numFmtId="0" fontId="3" fillId="0" borderId="31" xfId="639" applyFont="1" applyBorder="1" applyAlignment="1">
      <alignment horizontal="center" vertical="center"/>
    </xf>
    <xf numFmtId="0" fontId="3" fillId="0" borderId="169" xfId="639" applyFont="1" applyBorder="1" applyAlignment="1">
      <alignment horizontal="center" vertical="center"/>
    </xf>
    <xf numFmtId="0" fontId="3" fillId="0" borderId="33" xfId="639" applyFont="1" applyBorder="1" applyAlignment="1">
      <alignment horizontal="center" vertical="center"/>
    </xf>
    <xf numFmtId="0" fontId="3" fillId="0" borderId="178" xfId="639" applyFont="1" applyBorder="1" applyAlignment="1">
      <alignment horizontal="center" vertical="center"/>
    </xf>
    <xf numFmtId="0" fontId="3" fillId="0" borderId="33" xfId="639" applyFont="1" applyBorder="1" applyAlignment="1">
      <alignment horizontal="center"/>
    </xf>
    <xf numFmtId="0" fontId="3" fillId="0" borderId="32" xfId="639" applyFont="1" applyBorder="1" applyAlignment="1">
      <alignment horizontal="center"/>
    </xf>
    <xf numFmtId="0" fontId="3" fillId="0" borderId="178" xfId="639" applyFont="1" applyBorder="1" applyAlignment="1">
      <alignment horizontal="center"/>
    </xf>
    <xf numFmtId="0" fontId="3" fillId="0" borderId="177" xfId="639" applyFont="1" applyBorder="1" applyAlignment="1">
      <alignment horizontal="center"/>
    </xf>
    <xf numFmtId="0" fontId="14" fillId="0" borderId="8" xfId="1" applyFont="1" applyBorder="1" applyAlignment="1">
      <alignment horizontal="center" vertical="center" wrapText="1"/>
    </xf>
    <xf numFmtId="0" fontId="14" fillId="0" borderId="9" xfId="1" applyFont="1" applyBorder="1" applyAlignment="1">
      <alignment horizontal="center" vertical="center" wrapText="1"/>
    </xf>
    <xf numFmtId="0" fontId="94" fillId="46" borderId="185" xfId="0" applyFont="1" applyFill="1" applyBorder="1" applyAlignment="1">
      <alignment horizontal="center" vertical="center"/>
    </xf>
    <xf numFmtId="0" fontId="94" fillId="46" borderId="81" xfId="0" applyFont="1" applyFill="1" applyBorder="1" applyAlignment="1">
      <alignment horizontal="center" vertical="center"/>
    </xf>
    <xf numFmtId="0" fontId="94" fillId="46" borderId="84" xfId="0" applyFont="1" applyFill="1" applyBorder="1" applyAlignment="1">
      <alignment horizontal="center" vertical="center"/>
    </xf>
    <xf numFmtId="0" fontId="94" fillId="46" borderId="186" xfId="0" applyFont="1" applyFill="1" applyBorder="1" applyAlignment="1">
      <alignment horizontal="center" vertical="center"/>
    </xf>
    <xf numFmtId="0" fontId="94" fillId="46" borderId="187" xfId="0" applyFont="1" applyFill="1" applyBorder="1" applyAlignment="1">
      <alignment horizontal="center" vertical="center"/>
    </xf>
    <xf numFmtId="0" fontId="17" fillId="0" borderId="14" xfId="1" applyFont="1" applyBorder="1" applyAlignment="1">
      <alignment horizontal="center" vertical="center" wrapText="1"/>
    </xf>
    <xf numFmtId="0" fontId="17" fillId="0" borderId="15" xfId="1" applyFont="1" applyBorder="1" applyAlignment="1">
      <alignment horizontal="center" vertical="center" wrapText="1"/>
    </xf>
    <xf numFmtId="0" fontId="3" fillId="4" borderId="5" xfId="1" quotePrefix="1" applyFont="1" applyFill="1" applyBorder="1" applyAlignment="1">
      <alignment horizontal="center" vertical="center" wrapText="1"/>
    </xf>
    <xf numFmtId="0" fontId="92" fillId="46" borderId="183" xfId="0" applyFont="1" applyFill="1" applyBorder="1" applyAlignment="1">
      <alignment horizontal="center" vertical="center"/>
    </xf>
    <xf numFmtId="0" fontId="92" fillId="46" borderId="80" xfId="0" applyFont="1" applyFill="1" applyBorder="1" applyAlignment="1">
      <alignment horizontal="center" vertical="center"/>
    </xf>
    <xf numFmtId="0" fontId="92" fillId="46" borderId="184" xfId="0" applyFont="1" applyFill="1" applyBorder="1" applyAlignment="1">
      <alignment horizontal="center" vertical="center"/>
    </xf>
    <xf numFmtId="0" fontId="93" fillId="0" borderId="185" xfId="0" applyFont="1" applyBorder="1" applyAlignment="1">
      <alignment horizontal="center" vertical="center" wrapText="1"/>
    </xf>
    <xf numFmtId="0" fontId="93" fillId="0" borderId="81" xfId="0" applyFont="1" applyBorder="1" applyAlignment="1">
      <alignment horizontal="center" vertical="center" wrapText="1"/>
    </xf>
    <xf numFmtId="0" fontId="94" fillId="47" borderId="81" xfId="0" applyFont="1" applyFill="1" applyBorder="1" applyAlignment="1">
      <alignment horizontal="center" vertical="center"/>
    </xf>
    <xf numFmtId="0" fontId="94" fillId="47" borderId="84" xfId="0" applyFont="1" applyFill="1" applyBorder="1" applyAlignment="1">
      <alignment horizontal="center" vertical="center"/>
    </xf>
    <xf numFmtId="0" fontId="5" fillId="0" borderId="17" xfId="1" applyBorder="1" applyAlignment="1">
      <alignment horizontal="center" vertical="center"/>
    </xf>
    <xf numFmtId="0" fontId="5" fillId="0" borderId="60" xfId="1" applyBorder="1" applyAlignment="1">
      <alignment horizontal="center" vertical="center"/>
    </xf>
    <xf numFmtId="0" fontId="16" fillId="0" borderId="14" xfId="1" applyFont="1" applyBorder="1" applyAlignment="1">
      <alignment horizontal="center" vertical="center" wrapText="1"/>
    </xf>
    <xf numFmtId="0" fontId="16" fillId="0" borderId="15" xfId="1" applyFont="1" applyBorder="1" applyAlignment="1">
      <alignment horizontal="center" vertical="center" wrapText="1"/>
    </xf>
    <xf numFmtId="0" fontId="16" fillId="0" borderId="8" xfId="1" applyFont="1" applyBorder="1" applyAlignment="1">
      <alignment horizontal="center" vertical="center" wrapText="1"/>
    </xf>
    <xf numFmtId="0" fontId="16" fillId="0" borderId="10" xfId="1" applyFont="1" applyBorder="1" applyAlignment="1">
      <alignment horizontal="center" vertical="center" wrapText="1"/>
    </xf>
    <xf numFmtId="0" fontId="5" fillId="0" borderId="16" xfId="1" applyBorder="1" applyAlignment="1">
      <alignment horizontal="left" vertical="center" wrapText="1"/>
    </xf>
  </cellXfs>
  <cellStyles count="15848">
    <cellStyle name="_x000d_&#10;JournalTemplate=C:\COMFO\CTALK\JOURSTD.TPL_x000d_&#10;LbStateAddress=3 3 0 251 1 89 2 311_x000d_&#10;LbStateJou" xfId="128"/>
    <cellStyle name="0,00###" xfId="2893"/>
    <cellStyle name="0,00### 2" xfId="7158"/>
    <cellStyle name="0.0" xfId="2894"/>
    <cellStyle name="0.0 2" xfId="7159"/>
    <cellStyle name="12" xfId="2895"/>
    <cellStyle name="12 2" xfId="3668"/>
    <cellStyle name="12 2 2" xfId="4946"/>
    <cellStyle name="12 2 3" xfId="5837"/>
    <cellStyle name="12 2 3 2" xfId="11976"/>
    <cellStyle name="12 2 3 3" xfId="11277"/>
    <cellStyle name="12 3" xfId="7160"/>
    <cellStyle name="20% - Accent1" xfId="347"/>
    <cellStyle name="20% - Accent2" xfId="348"/>
    <cellStyle name="20% - Accent3" xfId="349"/>
    <cellStyle name="20% - Accent4" xfId="350"/>
    <cellStyle name="20% - Accent5" xfId="351"/>
    <cellStyle name="20% - Accent6" xfId="352"/>
    <cellStyle name="20% - Ênfase1 100" xfId="129"/>
    <cellStyle name="20% - Ênfase1 2" xfId="353"/>
    <cellStyle name="20% - Ênfase1 2 2" xfId="2896"/>
    <cellStyle name="20% - Ênfase1 2 3" xfId="10607"/>
    <cellStyle name="20% - Ênfase2 2" xfId="354"/>
    <cellStyle name="20% - Ênfase2 2 2" xfId="2897"/>
    <cellStyle name="20% - Ênfase2 2 3" xfId="10608"/>
    <cellStyle name="20% - Ênfase3 2" xfId="355"/>
    <cellStyle name="20% - Ênfase3 2 2" xfId="2898"/>
    <cellStyle name="20% - Ênfase3 2 3" xfId="10609"/>
    <cellStyle name="20% - Ênfase4 2" xfId="356"/>
    <cellStyle name="20% - Ênfase4 2 2" xfId="2899"/>
    <cellStyle name="20% - Ênfase4 2 3" xfId="10610"/>
    <cellStyle name="20% - Ênfase5 2" xfId="357"/>
    <cellStyle name="20% - Ênfase5 2 2" xfId="2900"/>
    <cellStyle name="20% - Ênfase5 2 3" xfId="10611"/>
    <cellStyle name="20% - Ênfase6 2" xfId="358"/>
    <cellStyle name="20% - Ênfase6 2 2" xfId="2901"/>
    <cellStyle name="20% - Ênfase6 2 3" xfId="10612"/>
    <cellStyle name="40% - Accent1" xfId="359"/>
    <cellStyle name="40% - Accent2" xfId="360"/>
    <cellStyle name="40% - Accent3" xfId="361"/>
    <cellStyle name="40% - Accent4" xfId="362"/>
    <cellStyle name="40% - Accent5" xfId="363"/>
    <cellStyle name="40% - Accent6" xfId="364"/>
    <cellStyle name="40% - Ênfase1 2" xfId="365"/>
    <cellStyle name="40% - Ênfase1 2 2" xfId="2902"/>
    <cellStyle name="40% - Ênfase1 2 3" xfId="10613"/>
    <cellStyle name="40% - Ênfase2 2" xfId="366"/>
    <cellStyle name="40% - Ênfase2 2 2" xfId="2903"/>
    <cellStyle name="40% - Ênfase2 2 3" xfId="10614"/>
    <cellStyle name="40% - Ênfase3 2" xfId="367"/>
    <cellStyle name="40% - Ênfase3 2 2" xfId="2904"/>
    <cellStyle name="40% - Ênfase3 2 3" xfId="10615"/>
    <cellStyle name="40% - Ênfase4 2" xfId="368"/>
    <cellStyle name="40% - Ênfase4 2 2" xfId="2905"/>
    <cellStyle name="40% - Ênfase4 2 3" xfId="10616"/>
    <cellStyle name="40% - Ênfase5 2" xfId="369"/>
    <cellStyle name="40% - Ênfase5 2 2" xfId="2906"/>
    <cellStyle name="40% - Ênfase5 2 3" xfId="10617"/>
    <cellStyle name="40% - Ênfase6 2" xfId="370"/>
    <cellStyle name="40% - Ênfase6 2 2" xfId="2907"/>
    <cellStyle name="40% - Ênfase6 2 3" xfId="10618"/>
    <cellStyle name="60% - Accent1" xfId="371"/>
    <cellStyle name="60% - Accent2" xfId="372"/>
    <cellStyle name="60% - Accent3" xfId="373"/>
    <cellStyle name="60% - Accent4" xfId="374"/>
    <cellStyle name="60% - Accent5" xfId="375"/>
    <cellStyle name="60% - Accent6" xfId="376"/>
    <cellStyle name="60% - Ênfase1 2" xfId="377"/>
    <cellStyle name="60% - Ênfase1 2 2" xfId="2908"/>
    <cellStyle name="60% - Ênfase1 2 3" xfId="10619"/>
    <cellStyle name="60% - Ênfase2 2" xfId="378"/>
    <cellStyle name="60% - Ênfase2 2 2" xfId="2909"/>
    <cellStyle name="60% - Ênfase2 2 3" xfId="10620"/>
    <cellStyle name="60% - Ênfase3 2" xfId="379"/>
    <cellStyle name="60% - Ênfase3 2 2" xfId="2910"/>
    <cellStyle name="60% - Ênfase3 2 3" xfId="10621"/>
    <cellStyle name="60% - Ênfase4 2" xfId="380"/>
    <cellStyle name="60% - Ênfase4 2 2" xfId="2911"/>
    <cellStyle name="60% - Ênfase4 2 3" xfId="10622"/>
    <cellStyle name="60% - Ênfase5 2" xfId="381"/>
    <cellStyle name="60% - Ênfase5 2 2" xfId="2912"/>
    <cellStyle name="60% - Ênfase5 2 3" xfId="10623"/>
    <cellStyle name="60% - Ênfase6 2" xfId="382"/>
    <cellStyle name="60% - Ênfase6 2 2" xfId="2913"/>
    <cellStyle name="60% - Ênfase6 2 3" xfId="10624"/>
    <cellStyle name="60% - Ênfase6 37" xfId="130"/>
    <cellStyle name="Accent1" xfId="383"/>
    <cellStyle name="Accent2" xfId="384"/>
    <cellStyle name="Accent3" xfId="385"/>
    <cellStyle name="Accent4" xfId="386"/>
    <cellStyle name="Accent5" xfId="387"/>
    <cellStyle name="Accent6" xfId="388"/>
    <cellStyle name="Bad" xfId="389"/>
    <cellStyle name="Bom 2" xfId="390"/>
    <cellStyle name="Bom 2 2" xfId="2914"/>
    <cellStyle name="Bom 2 3" xfId="10625"/>
    <cellStyle name="Calculation" xfId="391"/>
    <cellStyle name="Calculation 10" xfId="11026"/>
    <cellStyle name="Calculation 10 2" xfId="14923"/>
    <cellStyle name="Calculation 11" xfId="11881"/>
    <cellStyle name="Calculation 12" xfId="14579"/>
    <cellStyle name="Calculation 13" xfId="13366"/>
    <cellStyle name="Calculation 2" xfId="4981"/>
    <cellStyle name="Calculation 2 10" xfId="14574"/>
    <cellStyle name="Calculation 2 11" xfId="13737"/>
    <cellStyle name="Calculation 2 2" xfId="7066"/>
    <cellStyle name="Calculation 2 2 2" xfId="8874"/>
    <cellStyle name="Calculation 2 2 2 2" xfId="12738"/>
    <cellStyle name="Calculation 2 2 2 2 2" xfId="15588"/>
    <cellStyle name="Calculation 2 2 2 3" xfId="11762"/>
    <cellStyle name="Calculation 2 2 2 4" xfId="14648"/>
    <cellStyle name="Calculation 2 2 2 5" xfId="14210"/>
    <cellStyle name="Calculation 2 2 3" xfId="12223"/>
    <cellStyle name="Calculation 2 2 3 2" xfId="15297"/>
    <cellStyle name="Calculation 2 2 4" xfId="13324"/>
    <cellStyle name="Calculation 2 2 5" xfId="14738"/>
    <cellStyle name="Calculation 2 2 6" xfId="13946"/>
    <cellStyle name="Calculation 2 3" xfId="7099"/>
    <cellStyle name="Calculation 2 3 2" xfId="8906"/>
    <cellStyle name="Calculation 2 3 2 2" xfId="12767"/>
    <cellStyle name="Calculation 2 3 2 2 2" xfId="15617"/>
    <cellStyle name="Calculation 2 3 2 3" xfId="13092"/>
    <cellStyle name="Calculation 2 3 2 4" xfId="14606"/>
    <cellStyle name="Calculation 2 3 2 5" xfId="14242"/>
    <cellStyle name="Calculation 2 3 3" xfId="12253"/>
    <cellStyle name="Calculation 2 3 3 2" xfId="15327"/>
    <cellStyle name="Calculation 2 3 4" xfId="12363"/>
    <cellStyle name="Calculation 2 3 5" xfId="14456"/>
    <cellStyle name="Calculation 2 3 6" xfId="13979"/>
    <cellStyle name="Calculation 2 4" xfId="6956"/>
    <cellStyle name="Calculation 2 4 2" xfId="8785"/>
    <cellStyle name="Calculation 2 4 2 2" xfId="12654"/>
    <cellStyle name="Calculation 2 4 2 2 2" xfId="15510"/>
    <cellStyle name="Calculation 2 4 2 3" xfId="11939"/>
    <cellStyle name="Calculation 2 4 2 4" xfId="14694"/>
    <cellStyle name="Calculation 2 4 2 5" xfId="14121"/>
    <cellStyle name="Calculation 2 4 3" xfId="12119"/>
    <cellStyle name="Calculation 2 4 3 2" xfId="15199"/>
    <cellStyle name="Calculation 2 4 4" xfId="11728"/>
    <cellStyle name="Calculation 2 4 5" xfId="14765"/>
    <cellStyle name="Calculation 2 4 6" xfId="13838"/>
    <cellStyle name="Calculation 2 5" xfId="7124"/>
    <cellStyle name="Calculation 2 5 2" xfId="8931"/>
    <cellStyle name="Calculation 2 5 2 2" xfId="12789"/>
    <cellStyle name="Calculation 2 5 2 2 2" xfId="15638"/>
    <cellStyle name="Calculation 2 5 2 3" xfId="11918"/>
    <cellStyle name="Calculation 2 5 2 4" xfId="14643"/>
    <cellStyle name="Calculation 2 5 2 5" xfId="14267"/>
    <cellStyle name="Calculation 2 5 3" xfId="12275"/>
    <cellStyle name="Calculation 2 5 3 2" xfId="15348"/>
    <cellStyle name="Calculation 2 5 4" xfId="11239"/>
    <cellStyle name="Calculation 2 5 5" xfId="14303"/>
    <cellStyle name="Calculation 2 5 6" xfId="14004"/>
    <cellStyle name="Calculation 2 6" xfId="7146"/>
    <cellStyle name="Calculation 2 6 2" xfId="8953"/>
    <cellStyle name="Calculation 2 6 2 2" xfId="12809"/>
    <cellStyle name="Calculation 2 6 2 2 2" xfId="15657"/>
    <cellStyle name="Calculation 2 6 2 3" xfId="11944"/>
    <cellStyle name="Calculation 2 6 2 4" xfId="14840"/>
    <cellStyle name="Calculation 2 6 2 5" xfId="14289"/>
    <cellStyle name="Calculation 2 6 3" xfId="12295"/>
    <cellStyle name="Calculation 2 6 3 2" xfId="15367"/>
    <cellStyle name="Calculation 2 6 4" xfId="12499"/>
    <cellStyle name="Calculation 2 6 5" xfId="14302"/>
    <cellStyle name="Calculation 2 6 6" xfId="14026"/>
    <cellStyle name="Calculation 2 7" xfId="6913"/>
    <cellStyle name="Calculation 2 7 2" xfId="12079"/>
    <cellStyle name="Calculation 2 7 2 2" xfId="15159"/>
    <cellStyle name="Calculation 2 7 3" xfId="12999"/>
    <cellStyle name="Calculation 2 7 4" xfId="14421"/>
    <cellStyle name="Calculation 2 7 5" xfId="13798"/>
    <cellStyle name="Calculation 2 8" xfId="11810"/>
    <cellStyle name="Calculation 2 8 2" xfId="11097"/>
    <cellStyle name="Calculation 2 9" xfId="12021"/>
    <cellStyle name="Calculation 3" xfId="6892"/>
    <cellStyle name="Calculation 3 2" xfId="8729"/>
    <cellStyle name="Calculation 3 2 2" xfId="12601"/>
    <cellStyle name="Calculation 3 2 2 2" xfId="15458"/>
    <cellStyle name="Calculation 3 2 3" xfId="12504"/>
    <cellStyle name="Calculation 3 2 4" xfId="14793"/>
    <cellStyle name="Calculation 3 2 5" xfId="14065"/>
    <cellStyle name="Calculation 3 3" xfId="12059"/>
    <cellStyle name="Calculation 3 3 2" xfId="11546"/>
    <cellStyle name="Calculation 3 4" xfId="11449"/>
    <cellStyle name="Calculation 3 5" xfId="14411"/>
    <cellStyle name="Calculation 3 6" xfId="13779"/>
    <cellStyle name="Calculation 4" xfId="6960"/>
    <cellStyle name="Calculation 4 2" xfId="8788"/>
    <cellStyle name="Calculation 4 2 2" xfId="12657"/>
    <cellStyle name="Calculation 4 2 2 2" xfId="15513"/>
    <cellStyle name="Calculation 4 2 3" xfId="12017"/>
    <cellStyle name="Calculation 4 2 4" xfId="14680"/>
    <cellStyle name="Calculation 4 2 5" xfId="14124"/>
    <cellStyle name="Calculation 4 3" xfId="12123"/>
    <cellStyle name="Calculation 4 3 2" xfId="15203"/>
    <cellStyle name="Calculation 4 4" xfId="11758"/>
    <cellStyle name="Calculation 4 5" xfId="14762"/>
    <cellStyle name="Calculation 4 6" xfId="13842"/>
    <cellStyle name="Calculation 5" xfId="6933"/>
    <cellStyle name="Calculation 5 2" xfId="8764"/>
    <cellStyle name="Calculation 5 2 2" xfId="12634"/>
    <cellStyle name="Calculation 5 2 2 2" xfId="15490"/>
    <cellStyle name="Calculation 5 2 3" xfId="12974"/>
    <cellStyle name="Calculation 5 2 4" xfId="14592"/>
    <cellStyle name="Calculation 5 2 5" xfId="14100"/>
    <cellStyle name="Calculation 5 3" xfId="12097"/>
    <cellStyle name="Calculation 5 3 2" xfId="15177"/>
    <cellStyle name="Calculation 5 4" xfId="11956"/>
    <cellStyle name="Calculation 5 5" xfId="14522"/>
    <cellStyle name="Calculation 5 6" xfId="13817"/>
    <cellStyle name="Calculation 6" xfId="7005"/>
    <cellStyle name="Calculation 6 2" xfId="8823"/>
    <cellStyle name="Calculation 6 2 2" xfId="12690"/>
    <cellStyle name="Calculation 6 2 2 2" xfId="15544"/>
    <cellStyle name="Calculation 6 2 3" xfId="11920"/>
    <cellStyle name="Calculation 6 2 4" xfId="14356"/>
    <cellStyle name="Calculation 6 2 5" xfId="14159"/>
    <cellStyle name="Calculation 6 3" xfId="12166"/>
    <cellStyle name="Calculation 6 3 2" xfId="15244"/>
    <cellStyle name="Calculation 6 4" xfId="11215"/>
    <cellStyle name="Calculation 6 5" xfId="14755"/>
    <cellStyle name="Calculation 6 6" xfId="13887"/>
    <cellStyle name="Calculation 7" xfId="6921"/>
    <cellStyle name="Calculation 7 2" xfId="8753"/>
    <cellStyle name="Calculation 7 2 2" xfId="12624"/>
    <cellStyle name="Calculation 7 2 2 2" xfId="15480"/>
    <cellStyle name="Calculation 7 2 3" xfId="12912"/>
    <cellStyle name="Calculation 7 2 4" xfId="14636"/>
    <cellStyle name="Calculation 7 2 5" xfId="14089"/>
    <cellStyle name="Calculation 7 3" xfId="12086"/>
    <cellStyle name="Calculation 7 3 2" xfId="15166"/>
    <cellStyle name="Calculation 7 4" xfId="11210"/>
    <cellStyle name="Calculation 7 5" xfId="14771"/>
    <cellStyle name="Calculation 7 6" xfId="13806"/>
    <cellStyle name="Calculation 8" xfId="6973"/>
    <cellStyle name="Calculation 8 2" xfId="12136"/>
    <cellStyle name="Calculation 8 2 2" xfId="15215"/>
    <cellStyle name="Calculation 8 3" xfId="11481"/>
    <cellStyle name="Calculation 8 4" xfId="14511"/>
    <cellStyle name="Calculation 8 5" xfId="13855"/>
    <cellStyle name="Calculation 9" xfId="13185"/>
    <cellStyle name="Calculation 9 2" xfId="15774"/>
    <cellStyle name="Cálculo 2" xfId="392"/>
    <cellStyle name="Cálculo 2 10" xfId="10626"/>
    <cellStyle name="Cálculo 2 10 2" xfId="13124"/>
    <cellStyle name="Cálculo 2 10 2 2" xfId="15749"/>
    <cellStyle name="Cálculo 2 10 3" xfId="13354"/>
    <cellStyle name="Cálculo 2 11" xfId="13186"/>
    <cellStyle name="Cálculo 2 11 2" xfId="15775"/>
    <cellStyle name="Cálculo 2 12" xfId="11027"/>
    <cellStyle name="Cálculo 2 12 2" xfId="14924"/>
    <cellStyle name="Cálculo 2 13" xfId="12817"/>
    <cellStyle name="Cálculo 2 14" xfId="14535"/>
    <cellStyle name="Cálculo 2 15" xfId="13367"/>
    <cellStyle name="Cálculo 2 2" xfId="2915"/>
    <cellStyle name="Cálculo 2 2 10" xfId="11572"/>
    <cellStyle name="Cálculo 2 2 10 2" xfId="15038"/>
    <cellStyle name="Cálculo 2 2 11" xfId="11447"/>
    <cellStyle name="Cálculo 2 2 12" xfId="14604"/>
    <cellStyle name="Cálculo 2 2 13" xfId="13382"/>
    <cellStyle name="Cálculo 2 2 2" xfId="4974"/>
    <cellStyle name="Cálculo 2 2 2 10" xfId="14776"/>
    <cellStyle name="Cálculo 2 2 2 11" xfId="13730"/>
    <cellStyle name="Cálculo 2 2 2 2" xfId="7059"/>
    <cellStyle name="Cálculo 2 2 2 2 2" xfId="8867"/>
    <cellStyle name="Cálculo 2 2 2 2 2 2" xfId="12732"/>
    <cellStyle name="Cálculo 2 2 2 2 2 2 2" xfId="15583"/>
    <cellStyle name="Cálculo 2 2 2 2 2 3" xfId="11790"/>
    <cellStyle name="Cálculo 2 2 2 2 2 4" xfId="14799"/>
    <cellStyle name="Cálculo 2 2 2 2 2 5" xfId="14203"/>
    <cellStyle name="Cálculo 2 2 2 2 3" xfId="12217"/>
    <cellStyle name="Cálculo 2 2 2 2 3 2" xfId="15292"/>
    <cellStyle name="Cálculo 2 2 2 2 4" xfId="11104"/>
    <cellStyle name="Cálculo 2 2 2 2 5" xfId="14740"/>
    <cellStyle name="Cálculo 2 2 2 2 6" xfId="13939"/>
    <cellStyle name="Cálculo 2 2 2 3" xfId="7092"/>
    <cellStyle name="Cálculo 2 2 2 3 2" xfId="8899"/>
    <cellStyle name="Cálculo 2 2 2 3 2 2" xfId="12762"/>
    <cellStyle name="Cálculo 2 2 2 3 2 2 2" xfId="15612"/>
    <cellStyle name="Cálculo 2 2 2 3 2 3" xfId="12038"/>
    <cellStyle name="Cálculo 2 2 2 3 2 4" xfId="14555"/>
    <cellStyle name="Cálculo 2 2 2 3 2 5" xfId="14235"/>
    <cellStyle name="Cálculo 2 2 2 3 3" xfId="12248"/>
    <cellStyle name="Cálculo 2 2 2 3 3 2" xfId="15322"/>
    <cellStyle name="Cálculo 2 2 2 3 4" xfId="13097"/>
    <cellStyle name="Cálculo 2 2 2 3 5" xfId="14457"/>
    <cellStyle name="Cálculo 2 2 2 3 6" xfId="13972"/>
    <cellStyle name="Cálculo 2 2 2 4" xfId="7019"/>
    <cellStyle name="Cálculo 2 2 2 4 2" xfId="8834"/>
    <cellStyle name="Cálculo 2 2 2 4 2 2" xfId="12700"/>
    <cellStyle name="Cálculo 2 2 2 4 2 2 2" xfId="15553"/>
    <cellStyle name="Cálculo 2 2 2 4 2 3" xfId="12518"/>
    <cellStyle name="Cálculo 2 2 2 4 2 4" xfId="14568"/>
    <cellStyle name="Cálculo 2 2 2 4 2 5" xfId="14170"/>
    <cellStyle name="Cálculo 2 2 2 4 3" xfId="12179"/>
    <cellStyle name="Cálculo 2 2 2 4 3 2" xfId="15256"/>
    <cellStyle name="Cálculo 2 2 2 4 4" xfId="13304"/>
    <cellStyle name="Cálculo 2 2 2 4 5" xfId="14488"/>
    <cellStyle name="Cálculo 2 2 2 4 6" xfId="13901"/>
    <cellStyle name="Cálculo 2 2 2 5" xfId="7117"/>
    <cellStyle name="Cálculo 2 2 2 5 2" xfId="8924"/>
    <cellStyle name="Cálculo 2 2 2 5 2 2" xfId="12783"/>
    <cellStyle name="Cálculo 2 2 2 5 2 2 2" xfId="15633"/>
    <cellStyle name="Cálculo 2 2 2 5 2 3" xfId="11658"/>
    <cellStyle name="Cálculo 2 2 2 5 2 4" xfId="14347"/>
    <cellStyle name="Cálculo 2 2 2 5 2 5" xfId="14260"/>
    <cellStyle name="Cálculo 2 2 2 5 3" xfId="12269"/>
    <cellStyle name="Cálculo 2 2 2 5 3 2" xfId="15343"/>
    <cellStyle name="Cálculo 2 2 2 5 4" xfId="12343"/>
    <cellStyle name="Cálculo 2 2 2 5 5" xfId="14384"/>
    <cellStyle name="Cálculo 2 2 2 5 6" xfId="13997"/>
    <cellStyle name="Cálculo 2 2 2 6" xfId="7139"/>
    <cellStyle name="Cálculo 2 2 2 6 2" xfId="8946"/>
    <cellStyle name="Cálculo 2 2 2 6 2 2" xfId="12803"/>
    <cellStyle name="Cálculo 2 2 2 6 2 2 2" xfId="15652"/>
    <cellStyle name="Cálculo 2 2 2 6 2 3" xfId="11740"/>
    <cellStyle name="Cálculo 2 2 2 6 2 4" xfId="14612"/>
    <cellStyle name="Cálculo 2 2 2 6 2 5" xfId="14282"/>
    <cellStyle name="Cálculo 2 2 2 6 3" xfId="12289"/>
    <cellStyle name="Cálculo 2 2 2 6 3 2" xfId="15362"/>
    <cellStyle name="Cálculo 2 2 2 6 4" xfId="11268"/>
    <cellStyle name="Cálculo 2 2 2 6 5" xfId="14383"/>
    <cellStyle name="Cálculo 2 2 2 6 6" xfId="14019"/>
    <cellStyle name="Cálculo 2 2 2 7" xfId="7025"/>
    <cellStyle name="Cálculo 2 2 2 7 2" xfId="12185"/>
    <cellStyle name="Cálculo 2 2 2 7 2 2" xfId="15262"/>
    <cellStyle name="Cálculo 2 2 2 7 3" xfId="11218"/>
    <cellStyle name="Cálculo 2 2 2 7 4" xfId="14484"/>
    <cellStyle name="Cálculo 2 2 2 7 5" xfId="13906"/>
    <cellStyle name="Cálculo 2 2 2 8" xfId="11804"/>
    <cellStyle name="Cálculo 2 2 2 8 2" xfId="11392"/>
    <cellStyle name="Cálculo 2 2 2 9" xfId="12548"/>
    <cellStyle name="Cálculo 2 2 3" xfId="6989"/>
    <cellStyle name="Cálculo 2 2 3 2" xfId="8810"/>
    <cellStyle name="Cálculo 2 2 3 2 2" xfId="12678"/>
    <cellStyle name="Cálculo 2 2 3 2 2 2" xfId="15532"/>
    <cellStyle name="Cálculo 2 2 3 2 3" xfId="11950"/>
    <cellStyle name="Cálculo 2 2 3 2 4" xfId="14360"/>
    <cellStyle name="Cálculo 2 2 3 2 5" xfId="14146"/>
    <cellStyle name="Cálculo 2 2 3 3" xfId="12151"/>
    <cellStyle name="Cálculo 2 2 3 3 2" xfId="15229"/>
    <cellStyle name="Cálculo 2 2 3 4" xfId="11431"/>
    <cellStyle name="Cálculo 2 2 3 5" xfId="14502"/>
    <cellStyle name="Cálculo 2 2 3 6" xfId="13871"/>
    <cellStyle name="Cálculo 2 2 4" xfId="7045"/>
    <cellStyle name="Cálculo 2 2 4 2" xfId="8856"/>
    <cellStyle name="Cálculo 2 2 4 2 2" xfId="12721"/>
    <cellStyle name="Cálculo 2 2 4 2 2 2" xfId="15572"/>
    <cellStyle name="Cálculo 2 2 4 2 3" xfId="11590"/>
    <cellStyle name="Cálculo 2 2 4 2 4" xfId="14686"/>
    <cellStyle name="Cálculo 2 2 4 2 5" xfId="14192"/>
    <cellStyle name="Cálculo 2 2 4 3" xfId="12203"/>
    <cellStyle name="Cálculo 2 2 4 3 2" xfId="15279"/>
    <cellStyle name="Cálculo 2 2 4 4" xfId="11826"/>
    <cellStyle name="Cálculo 2 2 4 5" xfId="14743"/>
    <cellStyle name="Cálculo 2 2 4 6" xfId="13926"/>
    <cellStyle name="Cálculo 2 2 5" xfId="7029"/>
    <cellStyle name="Cálculo 2 2 5 2" xfId="8842"/>
    <cellStyle name="Cálculo 2 2 5 2 2" xfId="12708"/>
    <cellStyle name="Cálculo 2 2 5 2 2 2" xfId="15560"/>
    <cellStyle name="Cálculo 2 2 5 2 3" xfId="11460"/>
    <cellStyle name="Cálculo 2 2 5 2 4" xfId="14792"/>
    <cellStyle name="Cálculo 2 2 5 2 5" xfId="14178"/>
    <cellStyle name="Cálculo 2 2 5 3" xfId="12188"/>
    <cellStyle name="Cálculo 2 2 5 3 2" xfId="15265"/>
    <cellStyle name="Cálculo 2 2 5 4" xfId="12951"/>
    <cellStyle name="Cálculo 2 2 5 5" xfId="14481"/>
    <cellStyle name="Cálculo 2 2 5 6" xfId="13910"/>
    <cellStyle name="Cálculo 2 2 6" xfId="6905"/>
    <cellStyle name="Cálculo 2 2 6 2" xfId="8740"/>
    <cellStyle name="Cálculo 2 2 6 2 2" xfId="12612"/>
    <cellStyle name="Cálculo 2 2 6 2 2 2" xfId="15469"/>
    <cellStyle name="Cálculo 2 2 6 2 3" xfId="11879"/>
    <cellStyle name="Cálculo 2 2 6 2 4" xfId="14597"/>
    <cellStyle name="Cálculo 2 2 6 2 5" xfId="14076"/>
    <cellStyle name="Cálculo 2 2 6 3" xfId="12072"/>
    <cellStyle name="Cálculo 2 2 6 3 2" xfId="15152"/>
    <cellStyle name="Cálculo 2 2 6 4" xfId="10922"/>
    <cellStyle name="Cálculo 2 2 6 5" xfId="14422"/>
    <cellStyle name="Cálculo 2 2 6 6" xfId="13790"/>
    <cellStyle name="Cálculo 2 2 7" xfId="7036"/>
    <cellStyle name="Cálculo 2 2 7 2" xfId="8848"/>
    <cellStyle name="Cálculo 2 2 7 2 2" xfId="12714"/>
    <cellStyle name="Cálculo 2 2 7 2 2 2" xfId="15566"/>
    <cellStyle name="Cálculo 2 2 7 2 3" xfId="10918"/>
    <cellStyle name="Cálculo 2 2 7 2 4" xfId="14811"/>
    <cellStyle name="Cálculo 2 2 7 2 5" xfId="14184"/>
    <cellStyle name="Cálculo 2 2 7 3" xfId="12195"/>
    <cellStyle name="Cálculo 2 2 7 3 2" xfId="15272"/>
    <cellStyle name="Cálculo 2 2 7 4" xfId="13280"/>
    <cellStyle name="Cálculo 2 2 7 5" xfId="14746"/>
    <cellStyle name="Cálculo 2 2 7 6" xfId="13917"/>
    <cellStyle name="Cálculo 2 2 8" xfId="6903"/>
    <cellStyle name="Cálculo 2 2 8 2" xfId="12070"/>
    <cellStyle name="Cálculo 2 2 8 2 2" xfId="15150"/>
    <cellStyle name="Cálculo 2 2 8 3" xfId="12334"/>
    <cellStyle name="Cálculo 2 2 8 4" xfId="14407"/>
    <cellStyle name="Cálculo 2 2 8 5" xfId="13788"/>
    <cellStyle name="Cálculo 2 2 9" xfId="13197"/>
    <cellStyle name="Cálculo 2 2 9 2" xfId="15785"/>
    <cellStyle name="Cálculo 2 3" xfId="4967"/>
    <cellStyle name="Cálculo 2 3 10" xfId="14608"/>
    <cellStyle name="Cálculo 2 3 11" xfId="13724"/>
    <cellStyle name="Cálculo 2 3 2" xfId="7052"/>
    <cellStyle name="Cálculo 2 3 2 2" xfId="8860"/>
    <cellStyle name="Cálculo 2 3 2 2 2" xfId="12725"/>
    <cellStyle name="Cálculo 2 3 2 2 2 2" xfId="15576"/>
    <cellStyle name="Cálculo 2 3 2 2 3" xfId="12525"/>
    <cellStyle name="Cálculo 2 3 2 2 4" xfId="14679"/>
    <cellStyle name="Cálculo 2 3 2 2 5" xfId="14196"/>
    <cellStyle name="Cálculo 2 3 2 3" xfId="12210"/>
    <cellStyle name="Cálculo 2 3 2 3 2" xfId="15286"/>
    <cellStyle name="Cálculo 2 3 2 4" xfId="11303"/>
    <cellStyle name="Cálculo 2 3 2 5" xfId="14390"/>
    <cellStyle name="Cálculo 2 3 2 6" xfId="13933"/>
    <cellStyle name="Cálculo 2 3 3" xfId="7085"/>
    <cellStyle name="Cálculo 2 3 3 2" xfId="8892"/>
    <cellStyle name="Cálculo 2 3 3 2 2" xfId="12755"/>
    <cellStyle name="Cálculo 2 3 3 2 2 2" xfId="15605"/>
    <cellStyle name="Cálculo 2 3 3 2 3" xfId="11980"/>
    <cellStyle name="Cálculo 2 3 3 2 4" xfId="14353"/>
    <cellStyle name="Cálculo 2 3 3 2 5" xfId="14228"/>
    <cellStyle name="Cálculo 2 3 3 3" xfId="12241"/>
    <cellStyle name="Cálculo 2 3 3 3 2" xfId="15315"/>
    <cellStyle name="Cálculo 2 3 3 4" xfId="11235"/>
    <cellStyle name="Cálculo 2 3 3 5" xfId="14734"/>
    <cellStyle name="Cálculo 2 3 3 6" xfId="13965"/>
    <cellStyle name="Cálculo 2 3 4" xfId="6877"/>
    <cellStyle name="Cálculo 2 3 4 2" xfId="8717"/>
    <cellStyle name="Cálculo 2 3 4 2 2" xfId="12591"/>
    <cellStyle name="Cálculo 2 3 4 2 2 2" xfId="15449"/>
    <cellStyle name="Cálculo 2 3 4 2 3" xfId="12934"/>
    <cellStyle name="Cálculo 2 3 4 2 4" xfId="14340"/>
    <cellStyle name="Cálculo 2 3 4 2 5" xfId="14053"/>
    <cellStyle name="Cálculo 2 3 4 3" xfId="12046"/>
    <cellStyle name="Cálculo 2 3 4 3 2" xfId="15131"/>
    <cellStyle name="Cálculo 2 3 4 4" xfId="13045"/>
    <cellStyle name="Cálculo 2 3 4 5" xfId="14425"/>
    <cellStyle name="Cálculo 2 3 4 6" xfId="13764"/>
    <cellStyle name="Cálculo 2 3 5" xfId="7110"/>
    <cellStyle name="Cálculo 2 3 5 2" xfId="8917"/>
    <cellStyle name="Cálculo 2 3 5 2 2" xfId="12776"/>
    <cellStyle name="Cálculo 2 3 5 2 2 2" xfId="15626"/>
    <cellStyle name="Cálculo 2 3 5 2 3" xfId="11793"/>
    <cellStyle name="Cálculo 2 3 5 2 4" xfId="14682"/>
    <cellStyle name="Cálculo 2 3 5 2 5" xfId="14253"/>
    <cellStyle name="Cálculo 2 3 5 3" xfId="12262"/>
    <cellStyle name="Cálculo 2 3 5 3 2" xfId="15336"/>
    <cellStyle name="Cálculo 2 3 5 4" xfId="11091"/>
    <cellStyle name="Cálculo 2 3 5 5" xfId="14450"/>
    <cellStyle name="Cálculo 2 3 5 6" xfId="13990"/>
    <cellStyle name="Cálculo 2 3 6" xfId="7132"/>
    <cellStyle name="Cálculo 2 3 6 2" xfId="8939"/>
    <cellStyle name="Cálculo 2 3 6 2 2" xfId="12796"/>
    <cellStyle name="Cálculo 2 3 6 2 2 2" xfId="15645"/>
    <cellStyle name="Cálculo 2 3 6 2 3" xfId="11785"/>
    <cellStyle name="Cálculo 2 3 6 2 4" xfId="14619"/>
    <cellStyle name="Cálculo 2 3 6 2 5" xfId="14275"/>
    <cellStyle name="Cálculo 2 3 6 3" xfId="12282"/>
    <cellStyle name="Cálculo 2 3 6 3 2" xfId="15355"/>
    <cellStyle name="Cálculo 2 3 6 4" xfId="13305"/>
    <cellStyle name="Cálculo 2 3 6 5" xfId="14437"/>
    <cellStyle name="Cálculo 2 3 6 6" xfId="14012"/>
    <cellStyle name="Cálculo 2 3 7" xfId="6930"/>
    <cellStyle name="Cálculo 2 3 7 2" xfId="12094"/>
    <cellStyle name="Cálculo 2 3 7 2 2" xfId="15174"/>
    <cellStyle name="Cálculo 2 3 7 3" xfId="13224"/>
    <cellStyle name="Cálculo 2 3 7 4" xfId="14368"/>
    <cellStyle name="Cálculo 2 3 7 5" xfId="13815"/>
    <cellStyle name="Cálculo 2 3 8" xfId="11797"/>
    <cellStyle name="Cálculo 2 3 8 2" xfId="11477"/>
    <cellStyle name="Cálculo 2 3 9" xfId="11666"/>
    <cellStyle name="Cálculo 2 4" xfId="6893"/>
    <cellStyle name="Cálculo 2 4 2" xfId="8730"/>
    <cellStyle name="Cálculo 2 4 2 2" xfId="12602"/>
    <cellStyle name="Cálculo 2 4 2 2 2" xfId="15459"/>
    <cellStyle name="Cálculo 2 4 2 3" xfId="11462"/>
    <cellStyle name="Cálculo 2 4 2 4" xfId="14617"/>
    <cellStyle name="Cálculo 2 4 2 5" xfId="14066"/>
    <cellStyle name="Cálculo 2 4 3" xfId="12060"/>
    <cellStyle name="Cálculo 2 4 3 2" xfId="11209"/>
    <cellStyle name="Cálculo 2 4 4" xfId="12846"/>
    <cellStyle name="Cálculo 2 4 5" xfId="14410"/>
    <cellStyle name="Cálculo 2 4 6" xfId="13780"/>
    <cellStyle name="Cálculo 2 5" xfId="6966"/>
    <cellStyle name="Cálculo 2 5 2" xfId="8793"/>
    <cellStyle name="Cálculo 2 5 2 2" xfId="12662"/>
    <cellStyle name="Cálculo 2 5 2 2 2" xfId="15517"/>
    <cellStyle name="Cálculo 2 5 2 3" xfId="12978"/>
    <cellStyle name="Cálculo 2 5 2 4" xfId="14336"/>
    <cellStyle name="Cálculo 2 5 2 5" xfId="14129"/>
    <cellStyle name="Cálculo 2 5 3" xfId="12129"/>
    <cellStyle name="Cálculo 2 5 3 2" xfId="15208"/>
    <cellStyle name="Cálculo 2 5 4" xfId="11082"/>
    <cellStyle name="Cálculo 2 5 5" xfId="14517"/>
    <cellStyle name="Cálculo 2 5 6" xfId="13848"/>
    <cellStyle name="Cálculo 2 6" xfId="6945"/>
    <cellStyle name="Cálculo 2 6 2" xfId="8775"/>
    <cellStyle name="Cálculo 2 6 2 2" xfId="12644"/>
    <cellStyle name="Cálculo 2 6 2 2 2" xfId="15500"/>
    <cellStyle name="Cálculo 2 6 2 3" xfId="12511"/>
    <cellStyle name="Cálculo 2 6 2 4" xfId="14650"/>
    <cellStyle name="Cálculo 2 6 2 5" xfId="14111"/>
    <cellStyle name="Cálculo 2 6 3" xfId="12108"/>
    <cellStyle name="Cálculo 2 6 3 2" xfId="15188"/>
    <cellStyle name="Cálculo 2 6 4" xfId="11732"/>
    <cellStyle name="Cálculo 2 6 5" xfId="14519"/>
    <cellStyle name="Cálculo 2 6 6" xfId="13829"/>
    <cellStyle name="Cálculo 2 7" xfId="6934"/>
    <cellStyle name="Cálculo 2 7 2" xfId="8765"/>
    <cellStyle name="Cálculo 2 7 2 2" xfId="12635"/>
    <cellStyle name="Cálculo 2 7 2 2 2" xfId="15491"/>
    <cellStyle name="Cálculo 2 7 2 3" xfId="12826"/>
    <cellStyle name="Cálculo 2 7 2 4" xfId="14781"/>
    <cellStyle name="Cálculo 2 7 2 5" xfId="14101"/>
    <cellStyle name="Cálculo 2 7 3" xfId="12098"/>
    <cellStyle name="Cálculo 2 7 3 2" xfId="15178"/>
    <cellStyle name="Cálculo 2 7 4" xfId="12924"/>
    <cellStyle name="Cálculo 2 7 5" xfId="14377"/>
    <cellStyle name="Cálculo 2 7 6" xfId="13818"/>
    <cellStyle name="Cálculo 2 8" xfId="6978"/>
    <cellStyle name="Cálculo 2 8 2" xfId="8801"/>
    <cellStyle name="Cálculo 2 8 2 2" xfId="12670"/>
    <cellStyle name="Cálculo 2 8 2 2 2" xfId="15525"/>
    <cellStyle name="Cálculo 2 8 2 3" xfId="12007"/>
    <cellStyle name="Cálculo 2 8 2 4" xfId="14369"/>
    <cellStyle name="Cálculo 2 8 2 5" xfId="14137"/>
    <cellStyle name="Cálculo 2 8 3" xfId="12141"/>
    <cellStyle name="Cálculo 2 8 3 2" xfId="15220"/>
    <cellStyle name="Cálculo 2 8 4" xfId="12016"/>
    <cellStyle name="Cálculo 2 8 5" xfId="14366"/>
    <cellStyle name="Cálculo 2 8 6" xfId="13860"/>
    <cellStyle name="Cálculo 2 9" xfId="6918"/>
    <cellStyle name="Cálculo 2 9 2" xfId="12083"/>
    <cellStyle name="Cálculo 2 9 2 2" xfId="15163"/>
    <cellStyle name="Cálculo 2 9 3" xfId="11211"/>
    <cellStyle name="Cálculo 2 9 4" xfId="14397"/>
    <cellStyle name="Cálculo 2 9 5" xfId="13803"/>
    <cellStyle name="Cancel" xfId="2"/>
    <cellStyle name="Cancel 2" xfId="3"/>
    <cellStyle name="Célula de Verificação 2" xfId="393"/>
    <cellStyle name="Célula de Verificação 2 2" xfId="2916"/>
    <cellStyle name="Célula de Verificação 2 3" xfId="10627"/>
    <cellStyle name="Célula Vinculada 2" xfId="394"/>
    <cellStyle name="Célula Vinculada 2 2" xfId="2917"/>
    <cellStyle name="Célula Vinculada 2 3" xfId="10628"/>
    <cellStyle name="Check Cell" xfId="395"/>
    <cellStyle name="Comma_Arauco Piping list" xfId="131"/>
    <cellStyle name="Comma0" xfId="132"/>
    <cellStyle name="CORES" xfId="133"/>
    <cellStyle name="CORES 10" xfId="13362"/>
    <cellStyle name="CORES 2" xfId="4979"/>
    <cellStyle name="CORES 2 2" xfId="7064"/>
    <cellStyle name="CORES 2 2 2" xfId="8872"/>
    <cellStyle name="CORES 2 2 2 2" xfId="14850"/>
    <cellStyle name="CORES 2 2 2 3" xfId="14630"/>
    <cellStyle name="CORES 2 2 2 4" xfId="14208"/>
    <cellStyle name="CORES 2 2 3" xfId="13944"/>
    <cellStyle name="CORES 2 3" xfId="7097"/>
    <cellStyle name="CORES 2 3 2" xfId="8904"/>
    <cellStyle name="CORES 2 3 2 2" xfId="14859"/>
    <cellStyle name="CORES 2 3 2 3" xfId="14599"/>
    <cellStyle name="CORES 2 3 2 4" xfId="14240"/>
    <cellStyle name="CORES 2 3 3" xfId="13977"/>
    <cellStyle name="CORES 2 4" xfId="7027"/>
    <cellStyle name="CORES 2 4 2" xfId="8840"/>
    <cellStyle name="CORES 2 4 2 2" xfId="14836"/>
    <cellStyle name="CORES 2 4 2 3" xfId="14400"/>
    <cellStyle name="CORES 2 4 2 4" xfId="14176"/>
    <cellStyle name="CORES 2 4 3" xfId="13908"/>
    <cellStyle name="CORES 2 5" xfId="7122"/>
    <cellStyle name="CORES 2 5 2" xfId="8929"/>
    <cellStyle name="CORES 2 5 2 2" xfId="14869"/>
    <cellStyle name="CORES 2 5 2 3" xfId="14627"/>
    <cellStyle name="CORES 2 5 2 4" xfId="14265"/>
    <cellStyle name="CORES 2 5 3" xfId="14002"/>
    <cellStyle name="CORES 2 6" xfId="7144"/>
    <cellStyle name="CORES 2 6 2" xfId="8951"/>
    <cellStyle name="CORES 2 6 2 2" xfId="14878"/>
    <cellStyle name="CORES 2 6 2 3" xfId="14589"/>
    <cellStyle name="CORES 2 6 2 4" xfId="14287"/>
    <cellStyle name="CORES 2 6 3" xfId="14024"/>
    <cellStyle name="CORES 2 7" xfId="8710"/>
    <cellStyle name="CORES 2 7 2" xfId="14784"/>
    <cellStyle name="CORES 2 7 3" xfId="14713"/>
    <cellStyle name="CORES 2 7 4" xfId="14046"/>
    <cellStyle name="CORES 2 8" xfId="13735"/>
    <cellStyle name="CORES 3" xfId="6883"/>
    <cellStyle name="CORES 3 2" xfId="8722"/>
    <cellStyle name="CORES 3 2 2" xfId="14790"/>
    <cellStyle name="CORES 3 2 3" xfId="14705"/>
    <cellStyle name="CORES 3 2 4" xfId="14058"/>
    <cellStyle name="CORES 3 3" xfId="13770"/>
    <cellStyle name="CORES 4" xfId="7012"/>
    <cellStyle name="CORES 4 2" xfId="8829"/>
    <cellStyle name="CORES 4 2 2" xfId="14831"/>
    <cellStyle name="CORES 4 2 3" xfId="14321"/>
    <cellStyle name="CORES 4 2 4" xfId="14165"/>
    <cellStyle name="CORES 4 3" xfId="13894"/>
    <cellStyle name="CORES 5" xfId="6963"/>
    <cellStyle name="CORES 5 2" xfId="8790"/>
    <cellStyle name="CORES 5 2 2" xfId="14812"/>
    <cellStyle name="CORES 5 2 3" xfId="14591"/>
    <cellStyle name="CORES 5 2 4" xfId="14126"/>
    <cellStyle name="CORES 5 3" xfId="13845"/>
    <cellStyle name="CORES 6" xfId="6980"/>
    <cellStyle name="CORES 6 2" xfId="8803"/>
    <cellStyle name="CORES 6 2 2" xfId="14818"/>
    <cellStyle name="CORES 6 2 3" xfId="14301"/>
    <cellStyle name="CORES 6 2 4" xfId="14139"/>
    <cellStyle name="CORES 6 3" xfId="13862"/>
    <cellStyle name="CORES 7" xfId="7043"/>
    <cellStyle name="CORES 7 2" xfId="8854"/>
    <cellStyle name="CORES 7 2 2" xfId="14843"/>
    <cellStyle name="CORES 7 2 3" xfId="14693"/>
    <cellStyle name="CORES 7 2 4" xfId="14190"/>
    <cellStyle name="CORES 7 3" xfId="13924"/>
    <cellStyle name="CORES 8" xfId="8703"/>
    <cellStyle name="CORES 8 2" xfId="14777"/>
    <cellStyle name="CORES 8 3" xfId="14717"/>
    <cellStyle name="CORES 8 4" xfId="14039"/>
    <cellStyle name="CORES 9" xfId="13181"/>
    <cellStyle name="CORES 9 2" xfId="15832"/>
    <cellStyle name="CORES 9 3" xfId="15770"/>
    <cellStyle name="Currency [0]_Arauco Piping list" xfId="134"/>
    <cellStyle name="Currency 2 2" xfId="924"/>
    <cellStyle name="Currency 2 2 2" xfId="3957"/>
    <cellStyle name="Currency 2 2 2 2" xfId="6098"/>
    <cellStyle name="Currency 2 2 2 3" xfId="13692"/>
    <cellStyle name="Currency 2 2 2 4" xfId="13661"/>
    <cellStyle name="Currency 2 2 3" xfId="6793"/>
    <cellStyle name="Currency 2 2 4" xfId="5111"/>
    <cellStyle name="Currency_Arauco Piping list" xfId="135"/>
    <cellStyle name="Currency0" xfId="136"/>
    <cellStyle name="Data" xfId="137"/>
    <cellStyle name="Date" xfId="138"/>
    <cellStyle name="Ênfase1 2" xfId="396"/>
    <cellStyle name="Ênfase1 2 2" xfId="2918"/>
    <cellStyle name="Ênfase1 2 3" xfId="10629"/>
    <cellStyle name="Ênfase2 2" xfId="397"/>
    <cellStyle name="Ênfase2 2 2" xfId="2919"/>
    <cellStyle name="Ênfase2 2 3" xfId="10630"/>
    <cellStyle name="Ênfase3 2" xfId="398"/>
    <cellStyle name="Ênfase3 2 2" xfId="2920"/>
    <cellStyle name="Ênfase3 2 3" xfId="10631"/>
    <cellStyle name="Ênfase4 2" xfId="399"/>
    <cellStyle name="Ênfase4 2 2" xfId="2921"/>
    <cellStyle name="Ênfase4 2 3" xfId="10632"/>
    <cellStyle name="Ênfase5 2" xfId="400"/>
    <cellStyle name="Ênfase5 2 2" xfId="2922"/>
    <cellStyle name="Ênfase5 2 3" xfId="10633"/>
    <cellStyle name="Ênfase6 2" xfId="401"/>
    <cellStyle name="Ênfase6 2 2" xfId="2923"/>
    <cellStyle name="Ênfase6 2 3" xfId="10634"/>
    <cellStyle name="Entrada 2" xfId="402"/>
    <cellStyle name="Entrada 2 10" xfId="10635"/>
    <cellStyle name="Entrada 2 10 2" xfId="13133"/>
    <cellStyle name="Entrada 2 10 2 2" xfId="15750"/>
    <cellStyle name="Entrada 2 10 3" xfId="13355"/>
    <cellStyle name="Entrada 2 11" xfId="13187"/>
    <cellStyle name="Entrada 2 11 2" xfId="15776"/>
    <cellStyle name="Entrada 2 12" xfId="11037"/>
    <cellStyle name="Entrada 2 12 2" xfId="14925"/>
    <cellStyle name="Entrada 2 13" xfId="13141"/>
    <cellStyle name="Entrada 2 14" xfId="14603"/>
    <cellStyle name="Entrada 2 15" xfId="13368"/>
    <cellStyle name="Entrada 2 2" xfId="2924"/>
    <cellStyle name="Entrada 2 2 10" xfId="11581"/>
    <cellStyle name="Entrada 2 2 10 2" xfId="15039"/>
    <cellStyle name="Entrada 2 2 11" xfId="12552"/>
    <cellStyle name="Entrada 2 2 12" xfId="14534"/>
    <cellStyle name="Entrada 2 2 13" xfId="13383"/>
    <cellStyle name="Entrada 2 2 2" xfId="4980"/>
    <cellStyle name="Entrada 2 2 2 10" xfId="14580"/>
    <cellStyle name="Entrada 2 2 2 11" xfId="13736"/>
    <cellStyle name="Entrada 2 2 2 2" xfId="7065"/>
    <cellStyle name="Entrada 2 2 2 2 2" xfId="8873"/>
    <cellStyle name="Entrada 2 2 2 2 2 2" xfId="12737"/>
    <cellStyle name="Entrada 2 2 2 2 2 2 2" xfId="15587"/>
    <cellStyle name="Entrada 2 2 2 2 2 3" xfId="11891"/>
    <cellStyle name="Entrada 2 2 2 2 2 4" xfId="14822"/>
    <cellStyle name="Entrada 2 2 2 2 2 5" xfId="14209"/>
    <cellStyle name="Entrada 2 2 2 2 3" xfId="12222"/>
    <cellStyle name="Entrada 2 2 2 2 3 2" xfId="15296"/>
    <cellStyle name="Entrada 2 2 2 2 4" xfId="13002"/>
    <cellStyle name="Entrada 2 2 2 2 5" xfId="14469"/>
    <cellStyle name="Entrada 2 2 2 2 6" xfId="13945"/>
    <cellStyle name="Entrada 2 2 2 3" xfId="7098"/>
    <cellStyle name="Entrada 2 2 2 3 2" xfId="8905"/>
    <cellStyle name="Entrada 2 2 2 3 2 2" xfId="12766"/>
    <cellStyle name="Entrada 2 2 2 3 2 2 2" xfId="15616"/>
    <cellStyle name="Entrada 2 2 2 3 2 3" xfId="12534"/>
    <cellStyle name="Entrada 2 2 2 3 2 4" xfId="14611"/>
    <cellStyle name="Entrada 2 2 2 3 2 5" xfId="14241"/>
    <cellStyle name="Entrada 2 2 2 3 3" xfId="12252"/>
    <cellStyle name="Entrada 2 2 2 3 3 2" xfId="15326"/>
    <cellStyle name="Entrada 2 2 2 3 4" xfId="11234"/>
    <cellStyle name="Entrada 2 2 2 3 5" xfId="14727"/>
    <cellStyle name="Entrada 2 2 2 3 6" xfId="13978"/>
    <cellStyle name="Entrada 2 2 2 4" xfId="6965"/>
    <cellStyle name="Entrada 2 2 2 4 2" xfId="8792"/>
    <cellStyle name="Entrada 2 2 2 4 2 2" xfId="12661"/>
    <cellStyle name="Entrada 2 2 2 4 2 2 2" xfId="15516"/>
    <cellStyle name="Entrada 2 2 2 4 2 3" xfId="11096"/>
    <cellStyle name="Entrada 2 2 2 4 2 4" xfId="14364"/>
    <cellStyle name="Entrada 2 2 2 4 2 5" xfId="14128"/>
    <cellStyle name="Entrada 2 2 2 4 3" xfId="12128"/>
    <cellStyle name="Entrada 2 2 2 4 3 2" xfId="15207"/>
    <cellStyle name="Entrada 2 2 2 4 4" xfId="11834"/>
    <cellStyle name="Entrada 2 2 2 4 5" xfId="14343"/>
    <cellStyle name="Entrada 2 2 2 4 6" xfId="13847"/>
    <cellStyle name="Entrada 2 2 2 5" xfId="7123"/>
    <cellStyle name="Entrada 2 2 2 5 2" xfId="8930"/>
    <cellStyle name="Entrada 2 2 2 5 2 2" xfId="12788"/>
    <cellStyle name="Entrada 2 2 2 5 2 2 2" xfId="15637"/>
    <cellStyle name="Entrada 2 2 2 5 2 3" xfId="12011"/>
    <cellStyle name="Entrada 2 2 2 5 2 4" xfId="14817"/>
    <cellStyle name="Entrada 2 2 2 5 2 5" xfId="14266"/>
    <cellStyle name="Entrada 2 2 2 5 3" xfId="12274"/>
    <cellStyle name="Entrada 2 2 2 5 3 2" xfId="15347"/>
    <cellStyle name="Entrada 2 2 2 5 4" xfId="11241"/>
    <cellStyle name="Entrada 2 2 2 5 5" xfId="14444"/>
    <cellStyle name="Entrada 2 2 2 5 6" xfId="14003"/>
    <cellStyle name="Entrada 2 2 2 6" xfId="7145"/>
    <cellStyle name="Entrada 2 2 2 6 2" xfId="8952"/>
    <cellStyle name="Entrada 2 2 2 6 2 2" xfId="12808"/>
    <cellStyle name="Entrada 2 2 2 6 2 2 2" xfId="15656"/>
    <cellStyle name="Entrada 2 2 2 6 2 3" xfId="11768"/>
    <cellStyle name="Entrada 2 2 2 6 2 4" xfId="14623"/>
    <cellStyle name="Entrada 2 2 2 6 2 5" xfId="14288"/>
    <cellStyle name="Entrada 2 2 2 6 3" xfId="12294"/>
    <cellStyle name="Entrada 2 2 2 6 3 2" xfId="15366"/>
    <cellStyle name="Entrada 2 2 2 6 4" xfId="12948"/>
    <cellStyle name="Entrada 2 2 2 6 5" xfId="14431"/>
    <cellStyle name="Entrada 2 2 2 6 6" xfId="14025"/>
    <cellStyle name="Entrada 2 2 2 7" xfId="6909"/>
    <cellStyle name="Entrada 2 2 2 7 2" xfId="12075"/>
    <cellStyle name="Entrada 2 2 2 7 2 2" xfId="15155"/>
    <cellStyle name="Entrada 2 2 2 7 3" xfId="10969"/>
    <cellStyle name="Entrada 2 2 2 7 4" xfId="14542"/>
    <cellStyle name="Entrada 2 2 2 7 5" xfId="13794"/>
    <cellStyle name="Entrada 2 2 2 8" xfId="11809"/>
    <cellStyle name="Entrada 2 2 2 8 2" xfId="11492"/>
    <cellStyle name="Entrada 2 2 2 9" xfId="12549"/>
    <cellStyle name="Entrada 2 2 3" xfId="6990"/>
    <cellStyle name="Entrada 2 2 3 2" xfId="8811"/>
    <cellStyle name="Entrada 2 2 3 2 2" xfId="12679"/>
    <cellStyle name="Entrada 2 2 3 2 2 2" xfId="15533"/>
    <cellStyle name="Entrada 2 2 3 2 3" xfId="12942"/>
    <cellStyle name="Entrada 2 2 3 2 4" xfId="14700"/>
    <cellStyle name="Entrada 2 2 3 2 5" xfId="14147"/>
    <cellStyle name="Entrada 2 2 3 3" xfId="12152"/>
    <cellStyle name="Entrada 2 2 3 3 2" xfId="15230"/>
    <cellStyle name="Entrada 2 2 3 4" xfId="12555"/>
    <cellStyle name="Entrada 2 2 3 5" xfId="14501"/>
    <cellStyle name="Entrada 2 2 3 6" xfId="13872"/>
    <cellStyle name="Entrada 2 2 4" xfId="6929"/>
    <cellStyle name="Entrada 2 2 4 2" xfId="8761"/>
    <cellStyle name="Entrada 2 2 4 2 2" xfId="12631"/>
    <cellStyle name="Entrada 2 2 4 2 2 2" xfId="15487"/>
    <cellStyle name="Entrada 2 2 4 2 3" xfId="13150"/>
    <cellStyle name="Entrada 2 2 4 2 4" xfId="14681"/>
    <cellStyle name="Entrada 2 2 4 2 5" xfId="14097"/>
    <cellStyle name="Entrada 2 2 4 3" xfId="12093"/>
    <cellStyle name="Entrada 2 2 4 3 2" xfId="15173"/>
    <cellStyle name="Entrada 2 2 4 4" xfId="13285"/>
    <cellStyle name="Entrada 2 2 4 5" xfId="14524"/>
    <cellStyle name="Entrada 2 2 4 6" xfId="13814"/>
    <cellStyle name="Entrada 2 2 5" xfId="6985"/>
    <cellStyle name="Entrada 2 2 5 2" xfId="8807"/>
    <cellStyle name="Entrada 2 2 5 2 2" xfId="12675"/>
    <cellStyle name="Entrada 2 2 5 2 2 2" xfId="15529"/>
    <cellStyle name="Entrada 2 2 5 2 3" xfId="11977"/>
    <cellStyle name="Entrada 2 2 5 2 4" xfId="14313"/>
    <cellStyle name="Entrada 2 2 5 2 5" xfId="14143"/>
    <cellStyle name="Entrada 2 2 5 3" xfId="12147"/>
    <cellStyle name="Entrada 2 2 5 3 2" xfId="15225"/>
    <cellStyle name="Entrada 2 2 5 4" xfId="13214"/>
    <cellStyle name="Entrada 2 2 5 5" xfId="14506"/>
    <cellStyle name="Entrada 2 2 5 6" xfId="13867"/>
    <cellStyle name="Entrada 2 2 6" xfId="6902"/>
    <cellStyle name="Entrada 2 2 6 2" xfId="8739"/>
    <cellStyle name="Entrada 2 2 6 2 2" xfId="12611"/>
    <cellStyle name="Entrada 2 2 6 2 2 2" xfId="15468"/>
    <cellStyle name="Entrada 2 2 6 2 3" xfId="13084"/>
    <cellStyle name="Entrada 2 2 6 2 4" xfId="14786"/>
    <cellStyle name="Entrada 2 2 6 2 5" xfId="14075"/>
    <cellStyle name="Entrada 2 2 6 3" xfId="12069"/>
    <cellStyle name="Entrada 2 2 6 3 2" xfId="15149"/>
    <cellStyle name="Entrada 2 2 6 4" xfId="12336"/>
    <cellStyle name="Entrada 2 2 6 5" xfId="14528"/>
    <cellStyle name="Entrada 2 2 6 6" xfId="13787"/>
    <cellStyle name="Entrada 2 2 7" xfId="7028"/>
    <cellStyle name="Entrada 2 2 7 2" xfId="8841"/>
    <cellStyle name="Entrada 2 2 7 2 2" xfId="12707"/>
    <cellStyle name="Entrada 2 2 7 2 2 2" xfId="15559"/>
    <cellStyle name="Entrada 2 2 7 2 3" xfId="11925"/>
    <cellStyle name="Entrada 2 2 7 2 4" xfId="14651"/>
    <cellStyle name="Entrada 2 2 7 2 5" xfId="14177"/>
    <cellStyle name="Entrada 2 2 7 3" xfId="12187"/>
    <cellStyle name="Entrada 2 2 7 3 2" xfId="15264"/>
    <cellStyle name="Entrada 2 2 7 4" xfId="11296"/>
    <cellStyle name="Entrada 2 2 7 5" xfId="14482"/>
    <cellStyle name="Entrada 2 2 7 6" xfId="13909"/>
    <cellStyle name="Entrada 2 2 8" xfId="6889"/>
    <cellStyle name="Entrada 2 2 8 2" xfId="12058"/>
    <cellStyle name="Entrada 2 2 8 2 2" xfId="15142"/>
    <cellStyle name="Entrada 2 2 8 3" xfId="11207"/>
    <cellStyle name="Entrada 2 2 8 4" xfId="14412"/>
    <cellStyle name="Entrada 2 2 8 5" xfId="13776"/>
    <cellStyle name="Entrada 2 2 9" xfId="13198"/>
    <cellStyle name="Entrada 2 2 9 2" xfId="15786"/>
    <cellStyle name="Entrada 2 3" xfId="4969"/>
    <cellStyle name="Entrada 2 3 10" xfId="14601"/>
    <cellStyle name="Entrada 2 3 11" xfId="13726"/>
    <cellStyle name="Entrada 2 3 2" xfId="7054"/>
    <cellStyle name="Entrada 2 3 2 2" xfId="8862"/>
    <cellStyle name="Entrada 2 3 2 2 2" xfId="12727"/>
    <cellStyle name="Entrada 2 3 2 2 2 2" xfId="15578"/>
    <cellStyle name="Entrada 2 3 2 2 3" xfId="10979"/>
    <cellStyle name="Entrada 2 3 2 2 4" xfId="14672"/>
    <cellStyle name="Entrada 2 3 2 2 5" xfId="14198"/>
    <cellStyle name="Entrada 2 3 2 3" xfId="12212"/>
    <cellStyle name="Entrada 2 3 2 3 2" xfId="15288"/>
    <cellStyle name="Entrada 2 3 2 4" xfId="12338"/>
    <cellStyle name="Entrada 2 3 2 5" xfId="14473"/>
    <cellStyle name="Entrada 2 3 2 6" xfId="13935"/>
    <cellStyle name="Entrada 2 3 3" xfId="7087"/>
    <cellStyle name="Entrada 2 3 3 2" xfId="8894"/>
    <cellStyle name="Entrada 2 3 3 2 2" xfId="12757"/>
    <cellStyle name="Entrada 2 3 3 2 2 2" xfId="15607"/>
    <cellStyle name="Entrada 2 3 3 2 3" xfId="11921"/>
    <cellStyle name="Entrada 2 3 3 2 4" xfId="14352"/>
    <cellStyle name="Entrada 2 3 3 2 5" xfId="14230"/>
    <cellStyle name="Entrada 2 3 3 3" xfId="12243"/>
    <cellStyle name="Entrada 2 3 3 3 2" xfId="15317"/>
    <cellStyle name="Entrada 2 3 3 4" xfId="13134"/>
    <cellStyle name="Entrada 2 3 3 5" xfId="14311"/>
    <cellStyle name="Entrada 2 3 3 6" xfId="13967"/>
    <cellStyle name="Entrada 2 3 4" xfId="7011"/>
    <cellStyle name="Entrada 2 3 4 2" xfId="8828"/>
    <cellStyle name="Entrada 2 3 4 2 2" xfId="12695"/>
    <cellStyle name="Entrada 2 3 4 2 2 2" xfId="15549"/>
    <cellStyle name="Entrada 2 3 4 2 3" xfId="12009"/>
    <cellStyle name="Entrada 2 3 4 2 4" xfId="14322"/>
    <cellStyle name="Entrada 2 3 4 2 5" xfId="14164"/>
    <cellStyle name="Entrada 2 3 4 3" xfId="12172"/>
    <cellStyle name="Entrada 2 3 4 3 2" xfId="15250"/>
    <cellStyle name="Entrada 2 3 4 4" xfId="11442"/>
    <cellStyle name="Entrada 2 3 4 5" xfId="14306"/>
    <cellStyle name="Entrada 2 3 4 6" xfId="13893"/>
    <cellStyle name="Entrada 2 3 5" xfId="7112"/>
    <cellStyle name="Entrada 2 3 5 2" xfId="8919"/>
    <cellStyle name="Entrada 2 3 5 2 2" xfId="12778"/>
    <cellStyle name="Entrada 2 3 5 2 2 2" xfId="15628"/>
    <cellStyle name="Entrada 2 3 5 2 3" xfId="11531"/>
    <cellStyle name="Entrada 2 3 5 2 4" xfId="14593"/>
    <cellStyle name="Entrada 2 3 5 2 5" xfId="14255"/>
    <cellStyle name="Entrada 2 3 5 3" xfId="12264"/>
    <cellStyle name="Entrada 2 3 5 3 2" xfId="15338"/>
    <cellStyle name="Entrada 2 3 5 4" xfId="13016"/>
    <cellStyle name="Entrada 2 3 5 5" xfId="14448"/>
    <cellStyle name="Entrada 2 3 5 6" xfId="13992"/>
    <cellStyle name="Entrada 2 3 6" xfId="7134"/>
    <cellStyle name="Entrada 2 3 6 2" xfId="8941"/>
    <cellStyle name="Entrada 2 3 6 2 2" xfId="12798"/>
    <cellStyle name="Entrada 2 3 6 2 2 2" xfId="15647"/>
    <cellStyle name="Entrada 2 3 6 2 3" xfId="11995"/>
    <cellStyle name="Entrada 2 3 6 2 4" xfId="14873"/>
    <cellStyle name="Entrada 2 3 6 2 5" xfId="14277"/>
    <cellStyle name="Entrada 2 3 6 3" xfId="12284"/>
    <cellStyle name="Entrada 2 3 6 3 2" xfId="15357"/>
    <cellStyle name="Entrada 2 3 6 4" xfId="10914"/>
    <cellStyle name="Entrada 2 3 6 5" xfId="14435"/>
    <cellStyle name="Entrada 2 3 6 6" xfId="14014"/>
    <cellStyle name="Entrada 2 3 7" xfId="6904"/>
    <cellStyle name="Entrada 2 3 7 2" xfId="12071"/>
    <cellStyle name="Entrada 2 3 7 2 2" xfId="15151"/>
    <cellStyle name="Entrada 2 3 7 3" xfId="11544"/>
    <cellStyle name="Entrada 2 3 7 4" xfId="14406"/>
    <cellStyle name="Entrada 2 3 7 5" xfId="13789"/>
    <cellStyle name="Entrada 2 3 8" xfId="11799"/>
    <cellStyle name="Entrada 2 3 8 2" xfId="11854"/>
    <cellStyle name="Entrada 2 3 9" xfId="11697"/>
    <cellStyle name="Entrada 2 4" xfId="6894"/>
    <cellStyle name="Entrada 2 4 2" xfId="8731"/>
    <cellStyle name="Entrada 2 4 2 2" xfId="12603"/>
    <cellStyle name="Entrada 2 4 2 2 2" xfId="15460"/>
    <cellStyle name="Entrada 2 4 2 3" xfId="11693"/>
    <cellStyle name="Entrada 2 4 2 4" xfId="14829"/>
    <cellStyle name="Entrada 2 4 2 5" xfId="14067"/>
    <cellStyle name="Entrada 2 4 3" xfId="12061"/>
    <cellStyle name="Entrada 2 4 3 2" xfId="10911"/>
    <cellStyle name="Entrada 2 4 4" xfId="11707"/>
    <cellStyle name="Entrada 2 4 5" xfId="14538"/>
    <cellStyle name="Entrada 2 4 6" xfId="13781"/>
    <cellStyle name="Entrada 2 5" xfId="6949"/>
    <cellStyle name="Entrada 2 5 2" xfId="8778"/>
    <cellStyle name="Entrada 2 5 2 2" xfId="12647"/>
    <cellStyle name="Entrada 2 5 2 2 2" xfId="15503"/>
    <cellStyle name="Entrada 2 5 2 3" xfId="12514"/>
    <cellStyle name="Entrada 2 5 2 4" xfId="14827"/>
    <cellStyle name="Entrada 2 5 2 5" xfId="14114"/>
    <cellStyle name="Entrada 2 5 3" xfId="12112"/>
    <cellStyle name="Entrada 2 5 3 2" xfId="15192"/>
    <cellStyle name="Entrada 2 5 4" xfId="12554"/>
    <cellStyle name="Entrada 2 5 5" xfId="14545"/>
    <cellStyle name="Entrada 2 5 6" xfId="13833"/>
    <cellStyle name="Entrada 2 6" xfId="7031"/>
    <cellStyle name="Entrada 2 6 2" xfId="8844"/>
    <cellStyle name="Entrada 2 6 2 2" xfId="12710"/>
    <cellStyle name="Entrada 2 6 2 2 2" xfId="15562"/>
    <cellStyle name="Entrada 2 6 2 3" xfId="12520"/>
    <cellStyle name="Entrada 2 6 2 4" xfId="14821"/>
    <cellStyle name="Entrada 2 6 2 5" xfId="14180"/>
    <cellStyle name="Entrada 2 6 3" xfId="12190"/>
    <cellStyle name="Entrada 2 6 3 2" xfId="15267"/>
    <cellStyle name="Entrada 2 6 4" xfId="11219"/>
    <cellStyle name="Entrada 2 6 5" xfId="14749"/>
    <cellStyle name="Entrada 2 6 6" xfId="13912"/>
    <cellStyle name="Entrada 2 7" xfId="6986"/>
    <cellStyle name="Entrada 2 7 2" xfId="8808"/>
    <cellStyle name="Entrada 2 7 2 2" xfId="12676"/>
    <cellStyle name="Entrada 2 7 2 2 2" xfId="15530"/>
    <cellStyle name="Entrada 2 7 2 3" xfId="12857"/>
    <cellStyle name="Entrada 2 7 2 4" xfId="14333"/>
    <cellStyle name="Entrada 2 7 2 5" xfId="14144"/>
    <cellStyle name="Entrada 2 7 3" xfId="12148"/>
    <cellStyle name="Entrada 2 7 3 2" xfId="15226"/>
    <cellStyle name="Entrada 2 7 4" xfId="11756"/>
    <cellStyle name="Entrada 2 7 5" xfId="14505"/>
    <cellStyle name="Entrada 2 7 6" xfId="13868"/>
    <cellStyle name="Entrada 2 8" xfId="6885"/>
    <cellStyle name="Entrada 2 8 2" xfId="8724"/>
    <cellStyle name="Entrada 2 8 2 2" xfId="12598"/>
    <cellStyle name="Entrada 2 8 2 2 2" xfId="15455"/>
    <cellStyle name="Entrada 2 8 2 3" xfId="12503"/>
    <cellStyle name="Entrada 2 8 2 4" xfId="14703"/>
    <cellStyle name="Entrada 2 8 2 5" xfId="14060"/>
    <cellStyle name="Entrada 2 8 3" xfId="12054"/>
    <cellStyle name="Entrada 2 8 3 2" xfId="15138"/>
    <cellStyle name="Entrada 2 8 4" xfId="12875"/>
    <cellStyle name="Entrada 2 8 5" xfId="14530"/>
    <cellStyle name="Entrada 2 8 6" xfId="13772"/>
    <cellStyle name="Entrada 2 9" xfId="6999"/>
    <cellStyle name="Entrada 2 9 2" xfId="12161"/>
    <cellStyle name="Entrada 2 9 2 2" xfId="15239"/>
    <cellStyle name="Entrada 2 9 3" xfId="11137"/>
    <cellStyle name="Entrada 2 9 4" xfId="14496"/>
    <cellStyle name="Entrada 2 9 5" xfId="13881"/>
    <cellStyle name="Euro" xfId="925"/>
    <cellStyle name="Euro 2" xfId="2926"/>
    <cellStyle name="Euro 3" xfId="2927"/>
    <cellStyle name="Euro 4" xfId="2928"/>
    <cellStyle name="Euro 5" xfId="2929"/>
    <cellStyle name="Euro 6" xfId="2930"/>
    <cellStyle name="Euro 7" xfId="2931"/>
    <cellStyle name="Euro 8" xfId="2925"/>
    <cellStyle name="Excel Built-in Comma" xfId="13277"/>
    <cellStyle name="Excel Built-in Excel Built-in Excel Built-in Excel Built-in Excel Built-in Excel Built-in Excel Built-in Excel Built-in Separador de milhares 4" xfId="139"/>
    <cellStyle name="Excel Built-in Excel Built-in Excel Built-in Excel Built-in Excel Built-in Excel Built-in Excel Built-in Separador de milhares 4" xfId="140"/>
    <cellStyle name="Excel Built-in Normal" xfId="4"/>
    <cellStyle name="Excel Built-in Normal 1" xfId="141"/>
    <cellStyle name="Excel Built-in Normal 2" xfId="142"/>
    <cellStyle name="Excel Built-in Normal 2 2" xfId="926"/>
    <cellStyle name="Excel Built-in Normal 3" xfId="143"/>
    <cellStyle name="Excel Built-in Normal 4" xfId="144"/>
    <cellStyle name="Excel_BuiltIn_Comma" xfId="145"/>
    <cellStyle name="Explanatory Text" xfId="403"/>
    <cellStyle name="Fixed" xfId="146"/>
    <cellStyle name="Fixo" xfId="147"/>
    <cellStyle name="Followed Hyperlink" xfId="148"/>
    <cellStyle name="Good" xfId="404"/>
    <cellStyle name="Grey" xfId="149"/>
    <cellStyle name="Heading" xfId="150"/>
    <cellStyle name="Heading 1" xfId="151"/>
    <cellStyle name="Heading 1 2" xfId="405"/>
    <cellStyle name="Heading 1 3" xfId="7161"/>
    <cellStyle name="Heading 2" xfId="152"/>
    <cellStyle name="Heading 2 2" xfId="406"/>
    <cellStyle name="Heading 2 3" xfId="7162"/>
    <cellStyle name="Heading 3" xfId="407"/>
    <cellStyle name="Heading 4" xfId="408"/>
    <cellStyle name="Heading1" xfId="153"/>
    <cellStyle name="Hiperlink 2" xfId="5"/>
    <cellStyle name="Hiperlink 2 2" xfId="154"/>
    <cellStyle name="Hiperlink 2 3" xfId="155"/>
    <cellStyle name="Hiperlink 3" xfId="6"/>
    <cellStyle name="Hiperlink 4" xfId="409"/>
    <cellStyle name="Hiperlink 4 2" xfId="647"/>
    <cellStyle name="Hiperlink 4 3" xfId="1090"/>
    <cellStyle name="Hiperlink 4 4" xfId="1091"/>
    <cellStyle name="Hiperlink 5" xfId="994"/>
    <cellStyle name="Hiperlink 5 2" xfId="11569"/>
    <cellStyle name="Hiperlink 6" xfId="7163"/>
    <cellStyle name="Hyperlink" xfId="127" builtinId="8"/>
    <cellStyle name="Hyperlink 2" xfId="2932"/>
    <cellStyle name="Incorreto 2" xfId="410"/>
    <cellStyle name="Incorreto 2 2" xfId="2933"/>
    <cellStyle name="Incorreto 2 3" xfId="10636"/>
    <cellStyle name="Indefinido" xfId="156"/>
    <cellStyle name="Input" xfId="411"/>
    <cellStyle name="Input [yellow]" xfId="157"/>
    <cellStyle name="Input [yellow] 10" xfId="13182"/>
    <cellStyle name="Input [yellow] 10 2" xfId="15833"/>
    <cellStyle name="Input [yellow] 10 3" xfId="15771"/>
    <cellStyle name="Input [yellow] 11" xfId="13363"/>
    <cellStyle name="Input [yellow] 2" xfId="4972"/>
    <cellStyle name="Input [yellow] 2 2" xfId="7057"/>
    <cellStyle name="Input [yellow] 2 2 2" xfId="8865"/>
    <cellStyle name="Input [yellow] 2 2 2 2" xfId="12730"/>
    <cellStyle name="Input [yellow] 2 2 2 2 2" xfId="15828"/>
    <cellStyle name="Input [yellow] 2 2 2 2 3" xfId="15581"/>
    <cellStyle name="Input [yellow] 2 2 2 3" xfId="14847"/>
    <cellStyle name="Input [yellow] 2 2 2 4" xfId="14837"/>
    <cellStyle name="Input [yellow] 2 2 2 5" xfId="14201"/>
    <cellStyle name="Input [yellow] 2 2 3" xfId="12215"/>
    <cellStyle name="Input [yellow] 2 2 3 2" xfId="15816"/>
    <cellStyle name="Input [yellow] 2 2 3 3" xfId="15290"/>
    <cellStyle name="Input [yellow] 2 2 4" xfId="13937"/>
    <cellStyle name="Input [yellow] 2 3" xfId="7090"/>
    <cellStyle name="Input [yellow] 2 3 2" xfId="8897"/>
    <cellStyle name="Input [yellow] 2 3 2 2" xfId="12760"/>
    <cellStyle name="Input [yellow] 2 3 2 2 2" xfId="15829"/>
    <cellStyle name="Input [yellow] 2 3 2 2 3" xfId="15610"/>
    <cellStyle name="Input [yellow] 2 3 2 3" xfId="14856"/>
    <cellStyle name="Input [yellow] 2 3 2 4" xfId="14556"/>
    <cellStyle name="Input [yellow] 2 3 2 5" xfId="14233"/>
    <cellStyle name="Input [yellow] 2 3 3" xfId="12246"/>
    <cellStyle name="Input [yellow] 2 3 3 2" xfId="15817"/>
    <cellStyle name="Input [yellow] 2 3 3 3" xfId="15320"/>
    <cellStyle name="Input [yellow] 2 3 4" xfId="13970"/>
    <cellStyle name="Input [yellow] 2 4" xfId="6878"/>
    <cellStyle name="Input [yellow] 2 4 2" xfId="8718"/>
    <cellStyle name="Input [yellow] 2 4 2 2" xfId="12592"/>
    <cellStyle name="Input [yellow] 2 4 2 2 2" xfId="15822"/>
    <cellStyle name="Input [yellow] 2 4 2 2 3" xfId="15450"/>
    <cellStyle name="Input [yellow] 2 4 2 3" xfId="14789"/>
    <cellStyle name="Input [yellow] 2 4 2 4" xfId="14396"/>
    <cellStyle name="Input [yellow] 2 4 2 5" xfId="14054"/>
    <cellStyle name="Input [yellow] 2 4 3" xfId="12047"/>
    <cellStyle name="Input [yellow] 2 4 3 2" xfId="15810"/>
    <cellStyle name="Input [yellow] 2 4 3 3" xfId="15132"/>
    <cellStyle name="Input [yellow] 2 4 4" xfId="13765"/>
    <cellStyle name="Input [yellow] 2 5" xfId="7115"/>
    <cellStyle name="Input [yellow] 2 5 2" xfId="8922"/>
    <cellStyle name="Input [yellow] 2 5 2 2" xfId="12781"/>
    <cellStyle name="Input [yellow] 2 5 2 2 2" xfId="15830"/>
    <cellStyle name="Input [yellow] 2 5 2 2 3" xfId="15631"/>
    <cellStyle name="Input [yellow] 2 5 2 3" xfId="14866"/>
    <cellStyle name="Input [yellow] 2 5 2 4" xfId="14348"/>
    <cellStyle name="Input [yellow] 2 5 2 5" xfId="14258"/>
    <cellStyle name="Input [yellow] 2 5 3" xfId="12267"/>
    <cellStyle name="Input [yellow] 2 5 3 2" xfId="15818"/>
    <cellStyle name="Input [yellow] 2 5 3 3" xfId="15341"/>
    <cellStyle name="Input [yellow] 2 5 4" xfId="13995"/>
    <cellStyle name="Input [yellow] 2 6" xfId="7137"/>
    <cellStyle name="Input [yellow] 2 6 2" xfId="8944"/>
    <cellStyle name="Input [yellow] 2 6 2 2" xfId="12801"/>
    <cellStyle name="Input [yellow] 2 6 2 2 2" xfId="15831"/>
    <cellStyle name="Input [yellow] 2 6 2 2 3" xfId="15650"/>
    <cellStyle name="Input [yellow] 2 6 2 3" xfId="14875"/>
    <cellStyle name="Input [yellow] 2 6 2 4" xfId="14685"/>
    <cellStyle name="Input [yellow] 2 6 2 5" xfId="14280"/>
    <cellStyle name="Input [yellow] 2 6 3" xfId="12287"/>
    <cellStyle name="Input [yellow] 2 6 3 2" xfId="15819"/>
    <cellStyle name="Input [yellow] 2 6 3 3" xfId="15360"/>
    <cellStyle name="Input [yellow] 2 6 4" xfId="14017"/>
    <cellStyle name="Input [yellow] 2 7" xfId="8708"/>
    <cellStyle name="Input [yellow] 2 7 2" xfId="12585"/>
    <cellStyle name="Input [yellow] 2 7 2 2" xfId="15821"/>
    <cellStyle name="Input [yellow] 2 7 2 3" xfId="15444"/>
    <cellStyle name="Input [yellow] 2 7 3" xfId="14782"/>
    <cellStyle name="Input [yellow] 2 7 4" xfId="14596"/>
    <cellStyle name="Input [yellow] 2 7 5" xfId="14044"/>
    <cellStyle name="Input [yellow] 2 8" xfId="11802"/>
    <cellStyle name="Input [yellow] 2 8 2" xfId="15809"/>
    <cellStyle name="Input [yellow] 2 8 3" xfId="15087"/>
    <cellStyle name="Input [yellow] 2 9" xfId="13728"/>
    <cellStyle name="Input [yellow] 3" xfId="6884"/>
    <cellStyle name="Input [yellow] 3 2" xfId="8723"/>
    <cellStyle name="Input [yellow] 3 2 2" xfId="12597"/>
    <cellStyle name="Input [yellow] 3 2 2 2" xfId="15823"/>
    <cellStyle name="Input [yellow] 3 2 2 3" xfId="15454"/>
    <cellStyle name="Input [yellow] 3 2 3" xfId="14791"/>
    <cellStyle name="Input [yellow] 3 2 4" xfId="14704"/>
    <cellStyle name="Input [yellow] 3 2 5" xfId="14059"/>
    <cellStyle name="Input [yellow] 3 3" xfId="12053"/>
    <cellStyle name="Input [yellow] 3 3 2" xfId="15811"/>
    <cellStyle name="Input [yellow] 3 3 3" xfId="15137"/>
    <cellStyle name="Input [yellow] 3 4" xfId="13771"/>
    <cellStyle name="Input [yellow] 4" xfId="7042"/>
    <cellStyle name="Input [yellow] 4 2" xfId="8853"/>
    <cellStyle name="Input [yellow] 4 2 2" xfId="12718"/>
    <cellStyle name="Input [yellow] 4 2 2 2" xfId="15827"/>
    <cellStyle name="Input [yellow] 4 2 2 3" xfId="15570"/>
    <cellStyle name="Input [yellow] 4 2 3" xfId="14842"/>
    <cellStyle name="Input [yellow] 4 2 4" xfId="14874"/>
    <cellStyle name="Input [yellow] 4 2 5" xfId="14189"/>
    <cellStyle name="Input [yellow] 4 3" xfId="12200"/>
    <cellStyle name="Input [yellow] 4 3 2" xfId="15815"/>
    <cellStyle name="Input [yellow] 4 3 3" xfId="15277"/>
    <cellStyle name="Input [yellow] 4 4" xfId="13923"/>
    <cellStyle name="Input [yellow] 5" xfId="7015"/>
    <cellStyle name="Input [yellow] 5 2" xfId="8830"/>
    <cellStyle name="Input [yellow] 5 2 2" xfId="12697"/>
    <cellStyle name="Input [yellow] 5 2 2 2" xfId="15825"/>
    <cellStyle name="Input [yellow] 5 2 2 3" xfId="15550"/>
    <cellStyle name="Input [yellow] 5 2 3" xfId="14832"/>
    <cellStyle name="Input [yellow] 5 2 4" xfId="14299"/>
    <cellStyle name="Input [yellow] 5 2 5" xfId="14166"/>
    <cellStyle name="Input [yellow] 5 3" xfId="12176"/>
    <cellStyle name="Input [yellow] 5 3 2" xfId="15813"/>
    <cellStyle name="Input [yellow] 5 3 3" xfId="15253"/>
    <cellStyle name="Input [yellow] 5 4" xfId="13897"/>
    <cellStyle name="Input [yellow] 6" xfId="7024"/>
    <cellStyle name="Input [yellow] 6 2" xfId="8838"/>
    <cellStyle name="Input [yellow] 6 2 2" xfId="12704"/>
    <cellStyle name="Input [yellow] 6 2 2 2" xfId="15826"/>
    <cellStyle name="Input [yellow] 6 2 2 3" xfId="15557"/>
    <cellStyle name="Input [yellow] 6 2 3" xfId="14835"/>
    <cellStyle name="Input [yellow] 6 2 4" xfId="14564"/>
    <cellStyle name="Input [yellow] 6 2 5" xfId="14174"/>
    <cellStyle name="Input [yellow] 6 3" xfId="12184"/>
    <cellStyle name="Input [yellow] 6 3 2" xfId="15814"/>
    <cellStyle name="Input [yellow] 6 3 3" xfId="15261"/>
    <cellStyle name="Input [yellow] 6 4" xfId="13905"/>
    <cellStyle name="Input [yellow] 7" xfId="6919"/>
    <cellStyle name="Input [yellow] 7 2" xfId="8751"/>
    <cellStyle name="Input [yellow] 7 2 2" xfId="12622"/>
    <cellStyle name="Input [yellow] 7 2 2 2" xfId="15824"/>
    <cellStyle name="Input [yellow] 7 2 2 3" xfId="15478"/>
    <cellStyle name="Input [yellow] 7 2 3" xfId="14803"/>
    <cellStyle name="Input [yellow] 7 2 4" xfId="14677"/>
    <cellStyle name="Input [yellow] 7 2 5" xfId="14087"/>
    <cellStyle name="Input [yellow] 7 3" xfId="12084"/>
    <cellStyle name="Input [yellow] 7 3 2" xfId="15812"/>
    <cellStyle name="Input [yellow] 7 3 3" xfId="15164"/>
    <cellStyle name="Input [yellow] 7 4" xfId="13804"/>
    <cellStyle name="Input [yellow] 8" xfId="8704"/>
    <cellStyle name="Input [yellow] 8 2" xfId="12583"/>
    <cellStyle name="Input [yellow] 8 2 2" xfId="15820"/>
    <cellStyle name="Input [yellow] 8 2 3" xfId="15442"/>
    <cellStyle name="Input [yellow] 8 3" xfId="14778"/>
    <cellStyle name="Input [yellow] 8 4" xfId="14716"/>
    <cellStyle name="Input [yellow] 8 5" xfId="14040"/>
    <cellStyle name="Input [yellow] 9" xfId="8962"/>
    <cellStyle name="Input [yellow] 9 2" xfId="14647"/>
    <cellStyle name="Input [yellow] 9 3" xfId="14882"/>
    <cellStyle name="Input 10" xfId="7002"/>
    <cellStyle name="Input 10 2" xfId="8821"/>
    <cellStyle name="Input 10 2 2" xfId="12689"/>
    <cellStyle name="Input 10 2 2 2" xfId="15543"/>
    <cellStyle name="Input 10 2 3" xfId="11550"/>
    <cellStyle name="Input 10 2 4" xfId="14327"/>
    <cellStyle name="Input 10 2 5" xfId="14157"/>
    <cellStyle name="Input 10 3" xfId="12164"/>
    <cellStyle name="Input 10 3 2" xfId="15242"/>
    <cellStyle name="Input 10 4" xfId="13149"/>
    <cellStyle name="Input 10 5" xfId="14493"/>
    <cellStyle name="Input 10 6" xfId="13884"/>
    <cellStyle name="Input 11" xfId="7020"/>
    <cellStyle name="Input 11 2" xfId="8835"/>
    <cellStyle name="Input 11 2 2" xfId="12701"/>
    <cellStyle name="Input 11 2 2 2" xfId="15554"/>
    <cellStyle name="Input 11 2 3" xfId="11704"/>
    <cellStyle name="Input 11 2 4" xfId="14567"/>
    <cellStyle name="Input 11 2 5" xfId="14171"/>
    <cellStyle name="Input 11 3" xfId="12180"/>
    <cellStyle name="Input 11 3 2" xfId="15257"/>
    <cellStyle name="Input 11 4" xfId="13242"/>
    <cellStyle name="Input 11 5" xfId="14750"/>
    <cellStyle name="Input 11 6" xfId="13902"/>
    <cellStyle name="Input 12" xfId="6998"/>
    <cellStyle name="Input 12 2" xfId="8818"/>
    <cellStyle name="Input 12 2 2" xfId="12686"/>
    <cellStyle name="Input 12 2 2 2" xfId="15540"/>
    <cellStyle name="Input 12 2 3" xfId="11796"/>
    <cellStyle name="Input 12 2 4" xfId="14329"/>
    <cellStyle name="Input 12 2 5" xfId="14154"/>
    <cellStyle name="Input 12 3" xfId="12160"/>
    <cellStyle name="Input 12 3 2" xfId="15238"/>
    <cellStyle name="Input 12 4" xfId="11213"/>
    <cellStyle name="Input 12 5" xfId="14497"/>
    <cellStyle name="Input 12 6" xfId="13880"/>
    <cellStyle name="Input 13" xfId="6920"/>
    <cellStyle name="Input 13 2" xfId="8752"/>
    <cellStyle name="Input 13 2 2" xfId="12623"/>
    <cellStyle name="Input 13 2 2 2" xfId="15479"/>
    <cellStyle name="Input 13 2 3" xfId="13212"/>
    <cellStyle name="Input 13 2 4" xfId="14595"/>
    <cellStyle name="Input 13 2 5" xfId="14088"/>
    <cellStyle name="Input 13 3" xfId="12085"/>
    <cellStyle name="Input 13 3 2" xfId="15165"/>
    <cellStyle name="Input 13 4" xfId="13098"/>
    <cellStyle name="Input 13 5" xfId="14772"/>
    <cellStyle name="Input 13 6" xfId="13805"/>
    <cellStyle name="Input 14" xfId="7001"/>
    <cellStyle name="Input 14 2" xfId="8820"/>
    <cellStyle name="Input 14 2 2" xfId="12688"/>
    <cellStyle name="Input 14 2 2 2" xfId="15542"/>
    <cellStyle name="Input 14 2 3" xfId="11767"/>
    <cellStyle name="Input 14 2 4" xfId="14328"/>
    <cellStyle name="Input 14 2 5" xfId="14156"/>
    <cellStyle name="Input 14 3" xfId="12163"/>
    <cellStyle name="Input 14 3 2" xfId="15241"/>
    <cellStyle name="Input 14 4" xfId="13048"/>
    <cellStyle name="Input 14 5" xfId="14494"/>
    <cellStyle name="Input 14 6" xfId="13883"/>
    <cellStyle name="Input 15" xfId="6995"/>
    <cellStyle name="Input 15 2" xfId="8815"/>
    <cellStyle name="Input 15 2 2" xfId="12683"/>
    <cellStyle name="Input 15 2 2 2" xfId="15537"/>
    <cellStyle name="Input 15 2 3" xfId="11508"/>
    <cellStyle name="Input 15 2 4" xfId="14358"/>
    <cellStyle name="Input 15 2 5" xfId="14151"/>
    <cellStyle name="Input 15 3" xfId="12157"/>
    <cellStyle name="Input 15 3 2" xfId="15235"/>
    <cellStyle name="Input 15 4" xfId="13049"/>
    <cellStyle name="Input 15 5" xfId="14312"/>
    <cellStyle name="Input 15 6" xfId="13877"/>
    <cellStyle name="Input 16" xfId="7046"/>
    <cellStyle name="Input 16 2" xfId="12204"/>
    <cellStyle name="Input 16 2 2" xfId="15280"/>
    <cellStyle name="Input 16 3" xfId="12348"/>
    <cellStyle name="Input 16 4" xfId="14478"/>
    <cellStyle name="Input 16 5" xfId="13927"/>
    <cellStyle name="Input 17" xfId="6975"/>
    <cellStyle name="Input 17 2" xfId="12138"/>
    <cellStyle name="Input 17 2 2" xfId="15217"/>
    <cellStyle name="Input 17 3" xfId="13034"/>
    <cellStyle name="Input 17 4" xfId="14393"/>
    <cellStyle name="Input 17 5" xfId="13857"/>
    <cellStyle name="Input 18" xfId="8707"/>
    <cellStyle name="Input 18 2" xfId="12584"/>
    <cellStyle name="Input 18 2 2" xfId="15443"/>
    <cellStyle name="Input 18 3" xfId="12915"/>
    <cellStyle name="Input 18 4" xfId="15684"/>
    <cellStyle name="Input 18 5" xfId="14043"/>
    <cellStyle name="Input 19" xfId="13188"/>
    <cellStyle name="Input 19 2" xfId="11069"/>
    <cellStyle name="Input 2" xfId="4973"/>
    <cellStyle name="Input 2 10" xfId="14305"/>
    <cellStyle name="Input 2 11" xfId="13729"/>
    <cellStyle name="Input 2 2" xfId="7058"/>
    <cellStyle name="Input 2 2 2" xfId="8866"/>
    <cellStyle name="Input 2 2 2 2" xfId="12731"/>
    <cellStyle name="Input 2 2 2 2 2" xfId="15582"/>
    <cellStyle name="Input 2 2 2 3" xfId="11650"/>
    <cellStyle name="Input 2 2 2 4" xfId="14662"/>
    <cellStyle name="Input 2 2 2 5" xfId="14202"/>
    <cellStyle name="Input 2 2 3" xfId="12216"/>
    <cellStyle name="Input 2 2 3 2" xfId="15291"/>
    <cellStyle name="Input 2 2 4" xfId="11226"/>
    <cellStyle name="Input 2 2 5" xfId="14342"/>
    <cellStyle name="Input 2 2 6" xfId="13938"/>
    <cellStyle name="Input 2 3" xfId="7091"/>
    <cellStyle name="Input 2 3 2" xfId="8898"/>
    <cellStyle name="Input 2 3 2 2" xfId="12761"/>
    <cellStyle name="Input 2 3 2 2 2" xfId="15611"/>
    <cellStyle name="Input 2 3 2 3" xfId="11978"/>
    <cellStyle name="Input 2 3 2 4" xfId="14350"/>
    <cellStyle name="Input 2 3 2 5" xfId="14234"/>
    <cellStyle name="Input 2 3 3" xfId="12247"/>
    <cellStyle name="Input 2 3 3 2" xfId="15321"/>
    <cellStyle name="Input 2 3 4" xfId="11249"/>
    <cellStyle name="Input 2 3 5" xfId="14730"/>
    <cellStyle name="Input 2 3 6" xfId="13971"/>
    <cellStyle name="Input 2 4" xfId="6964"/>
    <cellStyle name="Input 2 4 2" xfId="8791"/>
    <cellStyle name="Input 2 4 2 2" xfId="12660"/>
    <cellStyle name="Input 2 4 2 2 2" xfId="15515"/>
    <cellStyle name="Input 2 4 2 3" xfId="11784"/>
    <cellStyle name="Input 2 4 2 4" xfId="14337"/>
    <cellStyle name="Input 2 4 2 5" xfId="14127"/>
    <cellStyle name="Input 2 4 3" xfId="12127"/>
    <cellStyle name="Input 2 4 3 2" xfId="15206"/>
    <cellStyle name="Input 2 4 4" xfId="12024"/>
    <cellStyle name="Input 2 4 5" xfId="14391"/>
    <cellStyle name="Input 2 4 6" xfId="13846"/>
    <cellStyle name="Input 2 5" xfId="7116"/>
    <cellStyle name="Input 2 5 2" xfId="8923"/>
    <cellStyle name="Input 2 5 2 2" xfId="12782"/>
    <cellStyle name="Input 2 5 2 2 2" xfId="15632"/>
    <cellStyle name="Input 2 5 2 3" xfId="11509"/>
    <cellStyle name="Input 2 5 2 4" xfId="14554"/>
    <cellStyle name="Input 2 5 2 5" xfId="14259"/>
    <cellStyle name="Input 2 5 3" xfId="12268"/>
    <cellStyle name="Input 2 5 3 2" xfId="15342"/>
    <cellStyle name="Input 2 5 4" xfId="12985"/>
    <cellStyle name="Input 2 5 5" xfId="14445"/>
    <cellStyle name="Input 2 5 6" xfId="13996"/>
    <cellStyle name="Input 2 6" xfId="7138"/>
    <cellStyle name="Input 2 6 2" xfId="8945"/>
    <cellStyle name="Input 2 6 2 2" xfId="12802"/>
    <cellStyle name="Input 2 6 2 2 2" xfId="15651"/>
    <cellStyle name="Input 2 6 2 3" xfId="11917"/>
    <cellStyle name="Input 2 6 2 4" xfId="14788"/>
    <cellStyle name="Input 2 6 2 5" xfId="14281"/>
    <cellStyle name="Input 2 6 3" xfId="12288"/>
    <cellStyle name="Input 2 6 3 2" xfId="15361"/>
    <cellStyle name="Input 2 6 4" xfId="12344"/>
    <cellStyle name="Input 2 6 5" xfId="14432"/>
    <cellStyle name="Input 2 6 6" xfId="14018"/>
    <cellStyle name="Input 2 7" xfId="6959"/>
    <cellStyle name="Input 2 7 2" xfId="12122"/>
    <cellStyle name="Input 2 7 2 2" xfId="15202"/>
    <cellStyle name="Input 2 7 3" xfId="11979"/>
    <cellStyle name="Input 2 7 4" xfId="14763"/>
    <cellStyle name="Input 2 7 5" xfId="13841"/>
    <cellStyle name="Input 2 8" xfId="11803"/>
    <cellStyle name="Input 2 8 2" xfId="11100"/>
    <cellStyle name="Input 2 9" xfId="11961"/>
    <cellStyle name="Input 20" xfId="11040"/>
    <cellStyle name="Input 20 2" xfId="14926"/>
    <cellStyle name="Input 21" xfId="11617"/>
    <cellStyle name="Input 21 2" xfId="15049"/>
    <cellStyle name="Input 22" xfId="12556"/>
    <cellStyle name="Input 23" xfId="14588"/>
    <cellStyle name="Input 24" xfId="13369"/>
    <cellStyle name="Input 3" xfId="4986"/>
    <cellStyle name="Input 3 10" xfId="14576"/>
    <cellStyle name="Input 3 11" xfId="13741"/>
    <cellStyle name="Input 3 2" xfId="7071"/>
    <cellStyle name="Input 3 2 2" xfId="8879"/>
    <cellStyle name="Input 3 2 2 2" xfId="12743"/>
    <cellStyle name="Input 3 2 2 2 2" xfId="15593"/>
    <cellStyle name="Input 3 2 2 3" xfId="11644"/>
    <cellStyle name="Input 3 2 2 4" xfId="14690"/>
    <cellStyle name="Input 3 2 2 5" xfId="14215"/>
    <cellStyle name="Input 3 2 3" xfId="12228"/>
    <cellStyle name="Input 3 2 3 2" xfId="15302"/>
    <cellStyle name="Input 3 2 4" xfId="11589"/>
    <cellStyle name="Input 3 2 5" xfId="14466"/>
    <cellStyle name="Input 3 2 6" xfId="13951"/>
    <cellStyle name="Input 3 3" xfId="7104"/>
    <cellStyle name="Input 3 3 2" xfId="8911"/>
    <cellStyle name="Input 3 3 2 2" xfId="12772"/>
    <cellStyle name="Input 3 3 2 2 2" xfId="15622"/>
    <cellStyle name="Input 3 3 2 3" xfId="11923"/>
    <cellStyle name="Input 3 3 2 4" xfId="14637"/>
    <cellStyle name="Input 3 3 2 5" xfId="14247"/>
    <cellStyle name="Input 3 3 3" xfId="12258"/>
    <cellStyle name="Input 3 3 3 2" xfId="15332"/>
    <cellStyle name="Input 3 3 4" xfId="12842"/>
    <cellStyle name="Input 3 3 5" xfId="14452"/>
    <cellStyle name="Input 3 3 6" xfId="13984"/>
    <cellStyle name="Input 3 4" xfId="6969"/>
    <cellStyle name="Input 3 4 2" xfId="8795"/>
    <cellStyle name="Input 3 4 2 2" xfId="12664"/>
    <cellStyle name="Input 3 4 2 2 2" xfId="15519"/>
    <cellStyle name="Input 3 4 2 3" xfId="11459"/>
    <cellStyle name="Input 3 4 2 4" xfId="14363"/>
    <cellStyle name="Input 3 4 2 5" xfId="14131"/>
    <cellStyle name="Input 3 4 3" xfId="12132"/>
    <cellStyle name="Input 3 4 3 2" xfId="15211"/>
    <cellStyle name="Input 3 4 4" xfId="11461"/>
    <cellStyle name="Input 3 4 5" xfId="14515"/>
    <cellStyle name="Input 3 4 6" xfId="13851"/>
    <cellStyle name="Input 3 5" xfId="7129"/>
    <cellStyle name="Input 3 5 2" xfId="8936"/>
    <cellStyle name="Input 3 5 2 2" xfId="12794"/>
    <cellStyle name="Input 3 5 2 2 2" xfId="15643"/>
    <cellStyle name="Input 3 5 2 3" xfId="11415"/>
    <cellStyle name="Input 3 5 2 4" xfId="14815"/>
    <cellStyle name="Input 3 5 2 5" xfId="14272"/>
    <cellStyle name="Input 3 5 3" xfId="12280"/>
    <cellStyle name="Input 3 5 3 2" xfId="15353"/>
    <cellStyle name="Input 3 5 4" xfId="10983"/>
    <cellStyle name="Input 3 5 5" xfId="14439"/>
    <cellStyle name="Input 3 5 6" xfId="14009"/>
    <cellStyle name="Input 3 6" xfId="7151"/>
    <cellStyle name="Input 3 6 2" xfId="8958"/>
    <cellStyle name="Input 3 6 2 2" xfId="12814"/>
    <cellStyle name="Input 3 6 2 2 2" xfId="15662"/>
    <cellStyle name="Input 3 6 2 3" xfId="11770"/>
    <cellStyle name="Input 3 6 2 4" xfId="14663"/>
    <cellStyle name="Input 3 6 2 5" xfId="14294"/>
    <cellStyle name="Input 3 6 3" xfId="12300"/>
    <cellStyle name="Input 3 6 3 2" xfId="15372"/>
    <cellStyle name="Input 3 6 4" xfId="12501"/>
    <cellStyle name="Input 3 6 5" xfId="14429"/>
    <cellStyle name="Input 3 6 6" xfId="14031"/>
    <cellStyle name="Input 3 7" xfId="7050"/>
    <cellStyle name="Input 3 7 2" xfId="12208"/>
    <cellStyle name="Input 3 7 2 2" xfId="15284"/>
    <cellStyle name="Input 3 7 3" xfId="11225"/>
    <cellStyle name="Input 3 7 4" xfId="14475"/>
    <cellStyle name="Input 3 7 5" xfId="13931"/>
    <cellStyle name="Input 3 8" xfId="11815"/>
    <cellStyle name="Input 3 8 2" xfId="11473"/>
    <cellStyle name="Input 3 9" xfId="12550"/>
    <cellStyle name="Input 4" xfId="4999"/>
    <cellStyle name="Input 4 2" xfId="8712"/>
    <cellStyle name="Input 4 2 2" xfId="12587"/>
    <cellStyle name="Input 4 2 2 2" xfId="15445"/>
    <cellStyle name="Input 4 2 3" xfId="13152"/>
    <cellStyle name="Input 4 2 4" xfId="14711"/>
    <cellStyle name="Input 4 2 5" xfId="14048"/>
    <cellStyle name="Input 4 3" xfId="11821"/>
    <cellStyle name="Input 4 3 2" xfId="11396"/>
    <cellStyle name="Input 4 4" xfId="12943"/>
    <cellStyle name="Input 4 5" xfId="14532"/>
    <cellStyle name="Input 4 6" xfId="13745"/>
    <cellStyle name="Input 5" xfId="6895"/>
    <cellStyle name="Input 5 2" xfId="8732"/>
    <cellStyle name="Input 5 2 2" xfId="12604"/>
    <cellStyle name="Input 5 2 2 2" xfId="15461"/>
    <cellStyle name="Input 5 2 3" xfId="12925"/>
    <cellStyle name="Input 5 2 4" xfId="14655"/>
    <cellStyle name="Input 5 2 5" xfId="14068"/>
    <cellStyle name="Input 5 3" xfId="12062"/>
    <cellStyle name="Input 5 3 2" xfId="15143"/>
    <cellStyle name="Input 5 4" xfId="11733"/>
    <cellStyle name="Input 5 5" xfId="14543"/>
    <cellStyle name="Input 5 6" xfId="13782"/>
    <cellStyle name="Input 6" xfId="7000"/>
    <cellStyle name="Input 6 2" xfId="8819"/>
    <cellStyle name="Input 6 2 2" xfId="12687"/>
    <cellStyle name="Input 6 2 2 2" xfId="15541"/>
    <cellStyle name="Input 6 2 3" xfId="12831"/>
    <cellStyle name="Input 6 2 4" xfId="14357"/>
    <cellStyle name="Input 6 2 5" xfId="14155"/>
    <cellStyle name="Input 6 3" xfId="12162"/>
    <cellStyle name="Input 6 3 2" xfId="15240"/>
    <cellStyle name="Input 6 4" xfId="11731"/>
    <cellStyle name="Input 6 5" xfId="14495"/>
    <cellStyle name="Input 6 6" xfId="13882"/>
    <cellStyle name="Input 7" xfId="6942"/>
    <cellStyle name="Input 7 2" xfId="8772"/>
    <cellStyle name="Input 7 2 2" xfId="12642"/>
    <cellStyle name="Input 7 2 2 2" xfId="15498"/>
    <cellStyle name="Input 7 2 3" xfId="12919"/>
    <cellStyle name="Input 7 2 4" xfId="14804"/>
    <cellStyle name="Input 7 2 5" xfId="14108"/>
    <cellStyle name="Input 7 3" xfId="12106"/>
    <cellStyle name="Input 7 3 2" xfId="15186"/>
    <cellStyle name="Input 7 4" xfId="12995"/>
    <cellStyle name="Input 7 5" xfId="14550"/>
    <cellStyle name="Input 7 6" xfId="13826"/>
    <cellStyle name="Input 8" xfId="7007"/>
    <cellStyle name="Input 8 2" xfId="8825"/>
    <cellStyle name="Input 8 2 2" xfId="12692"/>
    <cellStyle name="Input 8 2 2 2" xfId="15546"/>
    <cellStyle name="Input 8 2 3" xfId="11890"/>
    <cellStyle name="Input 8 2 4" xfId="14324"/>
    <cellStyle name="Input 8 2 5" xfId="14161"/>
    <cellStyle name="Input 8 3" xfId="12168"/>
    <cellStyle name="Input 8 3 2" xfId="15246"/>
    <cellStyle name="Input 8 4" xfId="10953"/>
    <cellStyle name="Input 8 5" xfId="14754"/>
    <cellStyle name="Input 8 6" xfId="13889"/>
    <cellStyle name="Input 9" xfId="6886"/>
    <cellStyle name="Input 9 2" xfId="8725"/>
    <cellStyle name="Input 9 2 2" xfId="12599"/>
    <cellStyle name="Input 9 2 2 2" xfId="15456"/>
    <cellStyle name="Input 9 2 3" xfId="12949"/>
    <cellStyle name="Input 9 2 4" xfId="14702"/>
    <cellStyle name="Input 9 2 5" xfId="14061"/>
    <cellStyle name="Input 9 3" xfId="12055"/>
    <cellStyle name="Input 9 3 2" xfId="15139"/>
    <cellStyle name="Input 9 4" xfId="11089"/>
    <cellStyle name="Input 9 5" xfId="14414"/>
    <cellStyle name="Input 9 6" xfId="13773"/>
    <cellStyle name="Linked Cell" xfId="412"/>
    <cellStyle name="material" xfId="158"/>
    <cellStyle name="material 2" xfId="735"/>
    <cellStyle name="material 2 2" xfId="9662"/>
    <cellStyle name="material 3" xfId="7164"/>
    <cellStyle name="material 4" xfId="7165"/>
    <cellStyle name="material 5" xfId="7166"/>
    <cellStyle name="material 6" xfId="7167"/>
    <cellStyle name="material 7" xfId="7168"/>
    <cellStyle name="material 8" xfId="7169"/>
    <cellStyle name="MINIPG" xfId="159"/>
    <cellStyle name="Moeda" xfId="838" builtinId="4"/>
    <cellStyle name="Moeda 10" xfId="160"/>
    <cellStyle name="Moeda 10 2" xfId="736"/>
    <cellStyle name="Moeda 10 3" xfId="7170"/>
    <cellStyle name="Moeda 10 4" xfId="7171"/>
    <cellStyle name="Moeda 10 5" xfId="7172"/>
    <cellStyle name="Moeda 10 6" xfId="7173"/>
    <cellStyle name="Moeda 10 7" xfId="7174"/>
    <cellStyle name="Moeda 10 8" xfId="7175"/>
    <cellStyle name="Moeda 11" xfId="161"/>
    <cellStyle name="Moeda 11 10" xfId="4991"/>
    <cellStyle name="Moeda 11 10 2" xfId="12862"/>
    <cellStyle name="Moeda 11 10 3" xfId="11968"/>
    <cellStyle name="Moeda 11 11" xfId="7176"/>
    <cellStyle name="Moeda 11 12" xfId="7177"/>
    <cellStyle name="Moeda 11 12 2" xfId="7178"/>
    <cellStyle name="Moeda 11 13" xfId="7179"/>
    <cellStyle name="Moeda 11 13 2" xfId="7180"/>
    <cellStyle name="Moeda 11 14" xfId="7181"/>
    <cellStyle name="Moeda 11 15" xfId="7182"/>
    <cellStyle name="Moeda 11 2" xfId="460"/>
    <cellStyle name="Moeda 11 2 2" xfId="840"/>
    <cellStyle name="Moeda 11 2 2 2" xfId="3879"/>
    <cellStyle name="Moeda 11 2 2 2 2" xfId="6021"/>
    <cellStyle name="Moeda 11 2 2 2 3" xfId="13689"/>
    <cellStyle name="Moeda 11 2 2 2 4" xfId="13659"/>
    <cellStyle name="Moeda 11 2 2 3" xfId="6716"/>
    <cellStyle name="Moeda 11 2 2 4" xfId="5034"/>
    <cellStyle name="Moeda 11 2 3" xfId="3775"/>
    <cellStyle name="Moeda 11 2 3 2" xfId="5926"/>
    <cellStyle name="Moeda 11 2 3 3" xfId="13677"/>
    <cellStyle name="Moeda 11 2 3 4" xfId="13660"/>
    <cellStyle name="Moeda 11 2 4" xfId="6687"/>
    <cellStyle name="Moeda 11 2 5" xfId="5005"/>
    <cellStyle name="Moeda 11 3" xfId="841"/>
    <cellStyle name="Moeda 11 3 2" xfId="1096"/>
    <cellStyle name="Moeda 11 3 2 2" xfId="3999"/>
    <cellStyle name="Moeda 11 3 2 2 2" xfId="6114"/>
    <cellStyle name="Moeda 11 3 2 2 3" xfId="13698"/>
    <cellStyle name="Moeda 11 3 2 2 4" xfId="13666"/>
    <cellStyle name="Moeda 11 3 2 3" xfId="6801"/>
    <cellStyle name="Moeda 11 3 2 4" xfId="5119"/>
    <cellStyle name="Moeda 11 3 2 5" xfId="13419"/>
    <cellStyle name="Moeda 11 3 2 6" xfId="13384"/>
    <cellStyle name="Moeda 11 3 3" xfId="1095"/>
    <cellStyle name="Moeda 11 3 3 2" xfId="3998"/>
    <cellStyle name="Moeda 11 3 3 2 2" xfId="6113"/>
    <cellStyle name="Moeda 11 3 3 2 3" xfId="13697"/>
    <cellStyle name="Moeda 11 3 3 2 4" xfId="13663"/>
    <cellStyle name="Moeda 11 3 3 3" xfId="6800"/>
    <cellStyle name="Moeda 11 3 3 4" xfId="5118"/>
    <cellStyle name="Moeda 11 3 4" xfId="3880"/>
    <cellStyle name="Moeda 11 3 4 2" xfId="6022"/>
    <cellStyle name="Moeda 11 3 4 2 2" xfId="11628"/>
    <cellStyle name="Moeda 11 3 4 2 3" xfId="13171"/>
    <cellStyle name="Moeda 11 3 4 3" xfId="13690"/>
    <cellStyle name="Moeda 11 3 4 4" xfId="13651"/>
    <cellStyle name="Moeda 11 3 5" xfId="6717"/>
    <cellStyle name="Moeda 11 3 6" xfId="5035"/>
    <cellStyle name="Moeda 11 4" xfId="1097"/>
    <cellStyle name="Moeda 11 4 2" xfId="7183"/>
    <cellStyle name="Moeda 11 4 3" xfId="7184"/>
    <cellStyle name="Moeda 11 4 4" xfId="13420"/>
    <cellStyle name="Moeda 11 5" xfId="1098"/>
    <cellStyle name="Moeda 11 5 2" xfId="4000"/>
    <cellStyle name="Moeda 11 5 2 2" xfId="6115"/>
    <cellStyle name="Moeda 11 5 2 3" xfId="13699"/>
    <cellStyle name="Moeda 11 5 2 4" xfId="13662"/>
    <cellStyle name="Moeda 11 5 3" xfId="6802"/>
    <cellStyle name="Moeda 11 5 4" xfId="5120"/>
    <cellStyle name="Moeda 11 6" xfId="1099"/>
    <cellStyle name="Moeda 11 7" xfId="1094"/>
    <cellStyle name="Moeda 11 8" xfId="3714"/>
    <cellStyle name="Moeda 11 8 2" xfId="5858"/>
    <cellStyle name="Moeda 11 8 2 2" xfId="11913"/>
    <cellStyle name="Moeda 11 8 2 3" xfId="11532"/>
    <cellStyle name="Moeda 11 8 3" xfId="13313"/>
    <cellStyle name="Moeda 11 8 4" xfId="12557"/>
    <cellStyle name="Moeda 11 8 4 2" xfId="15437"/>
    <cellStyle name="Moeda 11 8 4 3" xfId="13670"/>
    <cellStyle name="Moeda 11 9" xfId="6674"/>
    <cellStyle name="Moeda 11 9 2" xfId="7185"/>
    <cellStyle name="Moeda 11 9 3" xfId="11791"/>
    <cellStyle name="Moeda 12" xfId="1100"/>
    <cellStyle name="Moeda 12 2" xfId="11549"/>
    <cellStyle name="Moeda 13" xfId="1101"/>
    <cellStyle name="Moeda 13 2" xfId="7186"/>
    <cellStyle name="Moeda 13 3" xfId="7187"/>
    <cellStyle name="Moeda 13 4" xfId="13421"/>
    <cellStyle name="Moeda 14" xfId="1102"/>
    <cellStyle name="Moeda 15" xfId="1103"/>
    <cellStyle name="Moeda 16" xfId="1104"/>
    <cellStyle name="Moeda 17" xfId="1105"/>
    <cellStyle name="Moeda 18" xfId="3021"/>
    <cellStyle name="Moeda 18 2" xfId="4428"/>
    <cellStyle name="Moeda 18 2 2" xfId="6020"/>
    <cellStyle name="Moeda 18 3" xfId="4160"/>
    <cellStyle name="Moeda 18 4" xfId="5190"/>
    <cellStyle name="Moeda 19" xfId="3878"/>
    <cellStyle name="Moeda 19 2" xfId="6715"/>
    <cellStyle name="Moeda 19 3" xfId="13688"/>
    <cellStyle name="Moeda 19 4" xfId="13667"/>
    <cellStyle name="Moeda 2" xfId="8"/>
    <cellStyle name="Moeda 2 10" xfId="641"/>
    <cellStyle name="Moeda 2 11" xfId="1106"/>
    <cellStyle name="Moeda 2 12" xfId="7188"/>
    <cellStyle name="Moeda 2 13" xfId="7189"/>
    <cellStyle name="Moeda 2 2" xfId="9"/>
    <cellStyle name="Moeda 2 2 10" xfId="643"/>
    <cellStyle name="Moeda 2 2 11" xfId="7190"/>
    <cellStyle name="Moeda 2 2 12" xfId="7191"/>
    <cellStyle name="Moeda 2 2 2" xfId="10"/>
    <cellStyle name="Moeda 2 2 2 10" xfId="1107"/>
    <cellStyle name="Moeda 2 2 2 11" xfId="7192"/>
    <cellStyle name="Moeda 2 2 2 12" xfId="7193"/>
    <cellStyle name="Moeda 2 2 2 2" xfId="75"/>
    <cellStyle name="Moeda 2 2 2 2 10" xfId="7194"/>
    <cellStyle name="Moeda 2 2 2 2 11" xfId="7195"/>
    <cellStyle name="Moeda 2 2 2 2 2" xfId="637"/>
    <cellStyle name="Moeda 2 2 2 2 3" xfId="1109"/>
    <cellStyle name="Moeda 2 2 2 2 4" xfId="1110"/>
    <cellStyle name="Moeda 2 2 2 2 5" xfId="1111"/>
    <cellStyle name="Moeda 2 2 2 2 6" xfId="1112"/>
    <cellStyle name="Moeda 2 2 2 2 7" xfId="1113"/>
    <cellStyle name="Moeda 2 2 2 2 8" xfId="1114"/>
    <cellStyle name="Moeda 2 2 2 2 9" xfId="1115"/>
    <cellStyle name="Moeda 2 2 2 3" xfId="995"/>
    <cellStyle name="Moeda 2 2 2 3 2" xfId="2935"/>
    <cellStyle name="Moeda 2 2 2 4" xfId="1116"/>
    <cellStyle name="Moeda 2 2 2 5" xfId="1117"/>
    <cellStyle name="Moeda 2 2 2 6" xfId="1118"/>
    <cellStyle name="Moeda 2 2 2 7" xfId="1119"/>
    <cellStyle name="Moeda 2 2 2 8" xfId="1120"/>
    <cellStyle name="Moeda 2 2 2 9" xfId="1121"/>
    <cellStyle name="Moeda 2 2 3" xfId="1122"/>
    <cellStyle name="Moeda 2 2 3 2" xfId="2936"/>
    <cellStyle name="Moeda 2 2 3 3" xfId="7196"/>
    <cellStyle name="Moeda 2 2 4" xfId="1123"/>
    <cellStyle name="Moeda 2 2 4 2" xfId="7197"/>
    <cellStyle name="Moeda 2 2 5" xfId="1124"/>
    <cellStyle name="Moeda 2 2 6" xfId="1125"/>
    <cellStyle name="Moeda 2 2 7" xfId="1126"/>
    <cellStyle name="Moeda 2 2 8" xfId="1127"/>
    <cellStyle name="Moeda 2 2 9" xfId="1128"/>
    <cellStyle name="Moeda 2 3" xfId="11"/>
    <cellStyle name="Moeda 2 3 10" xfId="7198"/>
    <cellStyle name="Moeda 2 3 11" xfId="7199"/>
    <cellStyle name="Moeda 2 3 2" xfId="648"/>
    <cellStyle name="Moeda 2 3 2 2" xfId="7200"/>
    <cellStyle name="Moeda 2 3 3" xfId="1129"/>
    <cellStyle name="Moeda 2 3 3 2" xfId="2937"/>
    <cellStyle name="Moeda 2 3 3 3" xfId="7201"/>
    <cellStyle name="Moeda 2 3 4" xfId="1130"/>
    <cellStyle name="Moeda 2 3 5" xfId="1131"/>
    <cellStyle name="Moeda 2 3 6" xfId="1132"/>
    <cellStyle name="Moeda 2 3 7" xfId="1133"/>
    <cellStyle name="Moeda 2 3 8" xfId="1134"/>
    <cellStyle name="Moeda 2 3 9" xfId="1135"/>
    <cellStyle name="Moeda 2 4" xfId="162"/>
    <cellStyle name="Moeda 2 4 2" xfId="737"/>
    <cellStyle name="Moeda 2 4 3" xfId="7202"/>
    <cellStyle name="Moeda 2 4 4" xfId="7203"/>
    <cellStyle name="Moeda 2 4 5" xfId="7204"/>
    <cellStyle name="Moeda 2 4 6" xfId="7205"/>
    <cellStyle name="Moeda 2 4 7" xfId="7206"/>
    <cellStyle name="Moeda 2 4 8" xfId="7207"/>
    <cellStyle name="Moeda 2 5" xfId="163"/>
    <cellStyle name="Moeda 2 5 2" xfId="842"/>
    <cellStyle name="Moeda 2 5 2 2" xfId="3881"/>
    <cellStyle name="Moeda 2 5 2 2 2" xfId="6023"/>
    <cellStyle name="Moeda 2 5 2 2 2 2" xfId="11087"/>
    <cellStyle name="Moeda 2 5 2 2 2 3" xfId="11152"/>
    <cellStyle name="Moeda 2 5 2 2 3" xfId="13691"/>
    <cellStyle name="Moeda 2 5 2 2 4" xfId="13650"/>
    <cellStyle name="Moeda 2 5 2 3" xfId="6718"/>
    <cellStyle name="Moeda 2 5 2 4" xfId="5036"/>
    <cellStyle name="Moeda 2 5 3" xfId="1137"/>
    <cellStyle name="Moeda 2 5 3 2" xfId="7208"/>
    <cellStyle name="Moeda 2 5 3 3" xfId="7209"/>
    <cellStyle name="Moeda 2 5 4" xfId="1138"/>
    <cellStyle name="Moeda 2 5 5" xfId="1136"/>
    <cellStyle name="Moeda 2 5 6" xfId="3715"/>
    <cellStyle name="Moeda 2 5 6 2" xfId="5859"/>
    <cellStyle name="Moeda 2 5 6 3" xfId="12926"/>
    <cellStyle name="Moeda 2 5 6 3 2" xfId="15697"/>
    <cellStyle name="Moeda 2 5 6 3 3" xfId="13674"/>
    <cellStyle name="Moeda 2 5 6 4" xfId="13671"/>
    <cellStyle name="Moeda 2 5 7" xfId="6675"/>
    <cellStyle name="Moeda 2 5 7 2" xfId="11902"/>
    <cellStyle name="Moeda 2 5 7 3" xfId="13078"/>
    <cellStyle name="Moeda 2 5 8" xfId="4992"/>
    <cellStyle name="Moeda 2 5 8 2" xfId="12891"/>
    <cellStyle name="Moeda 2 5 8 3" xfId="11432"/>
    <cellStyle name="Moeda 2 5 9" xfId="7210"/>
    <cellStyle name="Moeda 2 6" xfId="1139"/>
    <cellStyle name="Moeda 2 7" xfId="1140"/>
    <cellStyle name="Moeda 2 8" xfId="1141"/>
    <cellStyle name="Moeda 2 9" xfId="1142"/>
    <cellStyle name="Moeda 20" xfId="5033"/>
    <cellStyle name="Moeda 21" xfId="15847"/>
    <cellStyle name="Moeda 3" xfId="12"/>
    <cellStyle name="Moeda 3 10" xfId="1143"/>
    <cellStyle name="Moeda 3 11" xfId="1144"/>
    <cellStyle name="Moeda 3 12" xfId="1145"/>
    <cellStyle name="Moeda 3 13" xfId="7211"/>
    <cellStyle name="Moeda 3 14" xfId="7212"/>
    <cellStyle name="Moeda 3 2" xfId="13"/>
    <cellStyle name="Moeda 3 2 10" xfId="1146"/>
    <cellStyle name="Moeda 3 2 11" xfId="1147"/>
    <cellStyle name="Moeda 3 2 12" xfId="7213"/>
    <cellStyle name="Moeda 3 2 13" xfId="7214"/>
    <cellStyle name="Moeda 3 2 2" xfId="14"/>
    <cellStyle name="Moeda 3 2 2 10" xfId="7215"/>
    <cellStyle name="Moeda 3 2 2 11" xfId="7216"/>
    <cellStyle name="Moeda 3 2 2 12" xfId="7217"/>
    <cellStyle name="Moeda 3 2 2 2" xfId="413"/>
    <cellStyle name="Moeda 3 2 2 2 2" xfId="783"/>
    <cellStyle name="Moeda 3 2 2 2 3" xfId="7218"/>
    <cellStyle name="Moeda 3 2 2 2 4" xfId="7219"/>
    <cellStyle name="Moeda 3 2 2 2 5" xfId="7220"/>
    <cellStyle name="Moeda 3 2 2 2 6" xfId="7221"/>
    <cellStyle name="Moeda 3 2 2 2 7" xfId="7222"/>
    <cellStyle name="Moeda 3 2 2 2 8" xfId="7223"/>
    <cellStyle name="Moeda 3 2 2 3" xfId="683"/>
    <cellStyle name="Moeda 3 2 2 4" xfId="1149"/>
    <cellStyle name="Moeda 3 2 2 5" xfId="1150"/>
    <cellStyle name="Moeda 3 2 2 6" xfId="1151"/>
    <cellStyle name="Moeda 3 2 2 7" xfId="1152"/>
    <cellStyle name="Moeda 3 2 2 8" xfId="1153"/>
    <cellStyle name="Moeda 3 2 2 9" xfId="1154"/>
    <cellStyle name="Moeda 3 2 3" xfId="15"/>
    <cellStyle name="Moeda 3 2 3 10" xfId="1155"/>
    <cellStyle name="Moeda 3 2 3 11" xfId="7224"/>
    <cellStyle name="Moeda 3 2 3 12" xfId="7225"/>
    <cellStyle name="Moeda 3 2 3 2" xfId="76"/>
    <cellStyle name="Moeda 3 2 3 2 10" xfId="7226"/>
    <cellStyle name="Moeda 3 2 3 2 11" xfId="7227"/>
    <cellStyle name="Moeda 3 2 3 2 2" xfId="704"/>
    <cellStyle name="Moeda 3 2 3 2 3" xfId="1156"/>
    <cellStyle name="Moeda 3 2 3 2 4" xfId="1157"/>
    <cellStyle name="Moeda 3 2 3 2 5" xfId="1158"/>
    <cellStyle name="Moeda 3 2 3 2 6" xfId="1159"/>
    <cellStyle name="Moeda 3 2 3 2 7" xfId="1160"/>
    <cellStyle name="Moeda 3 2 3 2 8" xfId="1161"/>
    <cellStyle name="Moeda 3 2 3 2 9" xfId="1162"/>
    <cellStyle name="Moeda 3 2 3 3" xfId="684"/>
    <cellStyle name="Moeda 3 2 3 4" xfId="1164"/>
    <cellStyle name="Moeda 3 2 3 5" xfId="1165"/>
    <cellStyle name="Moeda 3 2 3 6" xfId="1166"/>
    <cellStyle name="Moeda 3 2 3 7" xfId="1167"/>
    <cellStyle name="Moeda 3 2 3 8" xfId="1168"/>
    <cellStyle name="Moeda 3 2 3 9" xfId="1169"/>
    <cellStyle name="Moeda 3 2 4" xfId="650"/>
    <cellStyle name="Moeda 3 2 4 2" xfId="7228"/>
    <cellStyle name="Moeda 3 2 5" xfId="1170"/>
    <cellStyle name="Moeda 3 2 6" xfId="1171"/>
    <cellStyle name="Moeda 3 2 7" xfId="1172"/>
    <cellStyle name="Moeda 3 2 8" xfId="1173"/>
    <cellStyle name="Moeda 3 2 9" xfId="1174"/>
    <cellStyle name="Moeda 3 3" xfId="16"/>
    <cellStyle name="Moeda 3 3 10" xfId="7229"/>
    <cellStyle name="Moeda 3 3 11" xfId="7230"/>
    <cellStyle name="Moeda 3 3 2" xfId="685"/>
    <cellStyle name="Moeda 3 3 3" xfId="1175"/>
    <cellStyle name="Moeda 3 3 4" xfId="1176"/>
    <cellStyle name="Moeda 3 3 5" xfId="1177"/>
    <cellStyle name="Moeda 3 3 6" xfId="1178"/>
    <cellStyle name="Moeda 3 3 7" xfId="1179"/>
    <cellStyle name="Moeda 3 3 8" xfId="1180"/>
    <cellStyle name="Moeda 3 3 9" xfId="1181"/>
    <cellStyle name="Moeda 3 4" xfId="432"/>
    <cellStyle name="Moeda 3 4 10" xfId="7231"/>
    <cellStyle name="Moeda 3 4 11" xfId="7232"/>
    <cellStyle name="Moeda 3 4 2" xfId="787"/>
    <cellStyle name="Moeda 3 4 3" xfId="1182"/>
    <cellStyle name="Moeda 3 4 4" xfId="1183"/>
    <cellStyle name="Moeda 3 4 5" xfId="1184"/>
    <cellStyle name="Moeda 3 4 6" xfId="1185"/>
    <cellStyle name="Moeda 3 4 7" xfId="1186"/>
    <cellStyle name="Moeda 3 4 8" xfId="1187"/>
    <cellStyle name="Moeda 3 4 9" xfId="1188"/>
    <cellStyle name="Moeda 3 5" xfId="649"/>
    <cellStyle name="Moeda 3 5 2" xfId="7233"/>
    <cellStyle name="Moeda 3 6" xfId="1189"/>
    <cellStyle name="Moeda 3 6 2" xfId="7234"/>
    <cellStyle name="Moeda 3 7" xfId="1190"/>
    <cellStyle name="Moeda 3 7 2" xfId="7235"/>
    <cellStyle name="Moeda 3 8" xfId="1191"/>
    <cellStyle name="Moeda 3 9" xfId="1192"/>
    <cellStyle name="Moeda 4" xfId="17"/>
    <cellStyle name="Moeda 4 10" xfId="1193"/>
    <cellStyle name="Moeda 4 11" xfId="1194"/>
    <cellStyle name="Moeda 4 12" xfId="7236"/>
    <cellStyle name="Moeda 4 13" xfId="7237"/>
    <cellStyle name="Moeda 4 2" xfId="18"/>
    <cellStyle name="Moeda 4 2 10" xfId="7238"/>
    <cellStyle name="Moeda 4 2 11" xfId="7239"/>
    <cellStyle name="Moeda 4 2 2" xfId="686"/>
    <cellStyle name="Moeda 4 2 3" xfId="1195"/>
    <cellStyle name="Moeda 4 2 4" xfId="1196"/>
    <cellStyle name="Moeda 4 2 5" xfId="1197"/>
    <cellStyle name="Moeda 4 2 6" xfId="1198"/>
    <cellStyle name="Moeda 4 2 7" xfId="1199"/>
    <cellStyle name="Moeda 4 2 8" xfId="1200"/>
    <cellStyle name="Moeda 4 2 9" xfId="1201"/>
    <cellStyle name="Moeda 4 3" xfId="78"/>
    <cellStyle name="Moeda 4 3 10" xfId="2892"/>
    <cellStyle name="Moeda 4 3 10 2" xfId="4398"/>
    <cellStyle name="Moeda 4 3 10 2 2" xfId="6864"/>
    <cellStyle name="Moeda 4 3 10 2 2 2" xfId="11103"/>
    <cellStyle name="Moeda 4 3 10 2 2 3" xfId="11340"/>
    <cellStyle name="Moeda 4 3 10 2 3" xfId="13719"/>
    <cellStyle name="Moeda 4 3 10 2 4" xfId="13669"/>
    <cellStyle name="Moeda 4 3 10 3" xfId="5182"/>
    <cellStyle name="Moeda 4 3 10 4" xfId="13535"/>
    <cellStyle name="Moeda 4 3 11" xfId="7240"/>
    <cellStyle name="Moeda 4 3 2" xfId="706"/>
    <cellStyle name="Moeda 4 3 2 2" xfId="7241"/>
    <cellStyle name="Moeda 4 3 3" xfId="1202"/>
    <cellStyle name="Moeda 4 3 4" xfId="1203"/>
    <cellStyle name="Moeda 4 3 4 2" xfId="7242"/>
    <cellStyle name="Moeda 4 3 5" xfId="1204"/>
    <cellStyle name="Moeda 4 3 6" xfId="1205"/>
    <cellStyle name="Moeda 4 3 7" xfId="1206"/>
    <cellStyle name="Moeda 4 3 8" xfId="1207"/>
    <cellStyle name="Moeda 4 3 9" xfId="1208"/>
    <cellStyle name="Moeda 4 4" xfId="651"/>
    <cellStyle name="Moeda 4 5" xfId="1209"/>
    <cellStyle name="Moeda 4 6" xfId="1210"/>
    <cellStyle name="Moeda 4 7" xfId="1211"/>
    <cellStyle name="Moeda 4 8" xfId="1212"/>
    <cellStyle name="Moeda 4 9" xfId="1213"/>
    <cellStyle name="Moeda 5" xfId="19"/>
    <cellStyle name="Moeda 5 10" xfId="1214"/>
    <cellStyle name="Moeda 5 11" xfId="7243"/>
    <cellStyle name="Moeda 5 12" xfId="7244"/>
    <cellStyle name="Moeda 5 2" xfId="79"/>
    <cellStyle name="Moeda 5 2 10" xfId="4001"/>
    <cellStyle name="Moeda 5 2 10 2" xfId="12397"/>
    <cellStyle name="Moeda 5 2 11" xfId="5860"/>
    <cellStyle name="Moeda 5 2 11 2" xfId="12852"/>
    <cellStyle name="Moeda 5 2 11 3" xfId="11893"/>
    <cellStyle name="Moeda 5 2 12" xfId="7245"/>
    <cellStyle name="Moeda 5 2 2" xfId="164"/>
    <cellStyle name="Moeda 5 2 2 2" xfId="738"/>
    <cellStyle name="Moeda 5 2 2 2 2" xfId="1216"/>
    <cellStyle name="Moeda 5 2 2 2 2 2" xfId="7246"/>
    <cellStyle name="Moeda 5 2 2 2 2 3" xfId="13422"/>
    <cellStyle name="Moeda 5 2 2 2 3" xfId="3855"/>
    <cellStyle name="Moeda 5 2 2 2 3 2" xfId="6004"/>
    <cellStyle name="Moeda 5 2 2 2 3 3" xfId="13684"/>
    <cellStyle name="Moeda 5 2 2 2 3 4" xfId="13668"/>
    <cellStyle name="Moeda 5 2 2 2 4" xfId="6714"/>
    <cellStyle name="Moeda 5 2 2 2 5" xfId="5032"/>
    <cellStyle name="Moeda 5 2 2 3" xfId="1217"/>
    <cellStyle name="Moeda 5 2 2 3 2" xfId="4024"/>
    <cellStyle name="Moeda 5 2 2 3 2 2" xfId="6116"/>
    <cellStyle name="Moeda 5 2 2 3 2 3" xfId="13701"/>
    <cellStyle name="Moeda 5 2 2 3 2 4" xfId="13664"/>
    <cellStyle name="Moeda 5 2 2 3 3" xfId="6803"/>
    <cellStyle name="Moeda 5 2 2 3 4" xfId="5121"/>
    <cellStyle name="Moeda 5 2 2 4" xfId="1218"/>
    <cellStyle name="Moeda 5 2 2 5" xfId="1215"/>
    <cellStyle name="Moeda 5 2 2 6" xfId="3716"/>
    <cellStyle name="Moeda 5 2 2 6 2" xfId="5904"/>
    <cellStyle name="Moeda 5 2 2 6 2 2" xfId="11824"/>
    <cellStyle name="Moeda 5 2 2 6 2 3" xfId="12952"/>
    <cellStyle name="Moeda 5 2 2 6 3" xfId="13675"/>
    <cellStyle name="Moeda 5 2 2 6 4" xfId="13652"/>
    <cellStyle name="Moeda 5 2 2 7" xfId="6676"/>
    <cellStyle name="Moeda 5 2 2 7 2" xfId="11642"/>
    <cellStyle name="Moeda 5 2 2 7 3" xfId="12944"/>
    <cellStyle name="Moeda 5 2 2 8" xfId="4993"/>
    <cellStyle name="Moeda 5 2 2 8 2" xfId="11394"/>
    <cellStyle name="Moeda 5 2 2 8 3" xfId="12551"/>
    <cellStyle name="Moeda 5 2 2 9" xfId="7247"/>
    <cellStyle name="Moeda 5 2 3" xfId="707"/>
    <cellStyle name="Moeda 5 2 3 2" xfId="12464"/>
    <cellStyle name="Moeda 5 2 4" xfId="1219"/>
    <cellStyle name="Moeda 5 2 5" xfId="1220"/>
    <cellStyle name="Moeda 5 2 5 2" xfId="1221"/>
    <cellStyle name="Moeda 5 2 5 2 2" xfId="4026"/>
    <cellStyle name="Moeda 5 2 5 2 2 2" xfId="6118"/>
    <cellStyle name="Moeda 5 2 5 2 2 3" xfId="13703"/>
    <cellStyle name="Moeda 5 2 5 2 2 4" xfId="13654"/>
    <cellStyle name="Moeda 5 2 5 2 3" xfId="6805"/>
    <cellStyle name="Moeda 5 2 5 2 4" xfId="5123"/>
    <cellStyle name="Moeda 5 2 5 3" xfId="1222"/>
    <cellStyle name="Moeda 5 2 5 4" xfId="4025"/>
    <cellStyle name="Moeda 5 2 5 4 2" xfId="6117"/>
    <cellStyle name="Moeda 5 2 5 4 3" xfId="13702"/>
    <cellStyle name="Moeda 5 2 5 4 4" xfId="13665"/>
    <cellStyle name="Moeda 5 2 5 5" xfId="6804"/>
    <cellStyle name="Moeda 5 2 5 6" xfId="5122"/>
    <cellStyle name="Moeda 5 2 5 7" xfId="13423"/>
    <cellStyle name="Moeda 5 2 6" xfId="1223"/>
    <cellStyle name="Moeda 5 2 7" xfId="1224"/>
    <cellStyle name="Moeda 5 2 8" xfId="1225"/>
    <cellStyle name="Moeda 5 2 9" xfId="1226"/>
    <cellStyle name="Moeda 5 3" xfId="652"/>
    <cellStyle name="Moeda 5 4" xfId="1227"/>
    <cellStyle name="Moeda 5 5" xfId="1228"/>
    <cellStyle name="Moeda 5 6" xfId="1229"/>
    <cellStyle name="Moeda 5 7" xfId="1230"/>
    <cellStyle name="Moeda 5 8" xfId="1231"/>
    <cellStyle name="Moeda 5 9" xfId="1232"/>
    <cellStyle name="Moeda 6" xfId="20"/>
    <cellStyle name="Moeda 6 10" xfId="1233"/>
    <cellStyle name="Moeda 6 11" xfId="7248"/>
    <cellStyle name="Moeda 6 12" xfId="7249"/>
    <cellStyle name="Moeda 6 2" xfId="80"/>
    <cellStyle name="Moeda 6 2 10" xfId="7250"/>
    <cellStyle name="Moeda 6 2 11" xfId="7251"/>
    <cellStyle name="Moeda 6 2 2" xfId="708"/>
    <cellStyle name="Moeda 6 2 3" xfId="1234"/>
    <cellStyle name="Moeda 6 2 4" xfId="1235"/>
    <cellStyle name="Moeda 6 2 5" xfId="1236"/>
    <cellStyle name="Moeda 6 2 6" xfId="1237"/>
    <cellStyle name="Moeda 6 2 7" xfId="1238"/>
    <cellStyle name="Moeda 6 2 8" xfId="1239"/>
    <cellStyle name="Moeda 6 2 9" xfId="1240"/>
    <cellStyle name="Moeda 6 3" xfId="653"/>
    <cellStyle name="Moeda 6 4" xfId="1241"/>
    <cellStyle name="Moeda 6 5" xfId="1242"/>
    <cellStyle name="Moeda 6 6" xfId="1243"/>
    <cellStyle name="Moeda 6 7" xfId="1244"/>
    <cellStyle name="Moeda 6 8" xfId="1245"/>
    <cellStyle name="Moeda 6 9" xfId="1246"/>
    <cellStyle name="Moeda 7" xfId="21"/>
    <cellStyle name="Moeda 7 10" xfId="7252"/>
    <cellStyle name="Moeda 7 11" xfId="7253"/>
    <cellStyle name="Moeda 7 2" xfId="654"/>
    <cellStyle name="Moeda 7 3" xfId="1247"/>
    <cellStyle name="Moeda 7 4" xfId="1248"/>
    <cellStyle name="Moeda 7 5" xfId="1249"/>
    <cellStyle name="Moeda 7 6" xfId="1250"/>
    <cellStyle name="Moeda 7 7" xfId="1251"/>
    <cellStyle name="Moeda 7 8" xfId="1252"/>
    <cellStyle name="Moeda 7 9" xfId="1253"/>
    <cellStyle name="Moeda 8" xfId="7"/>
    <cellStyle name="Moeda 8 10" xfId="1254"/>
    <cellStyle name="Moeda 8 11" xfId="1255"/>
    <cellStyle name="Moeda 8 2" xfId="81"/>
    <cellStyle name="Moeda 8 2 10" xfId="7254"/>
    <cellStyle name="Moeda 8 2 11" xfId="7255"/>
    <cellStyle name="Moeda 8 2 2" xfId="709"/>
    <cellStyle name="Moeda 8 2 3" xfId="1256"/>
    <cellStyle name="Moeda 8 2 4" xfId="1257"/>
    <cellStyle name="Moeda 8 2 5" xfId="1258"/>
    <cellStyle name="Moeda 8 2 6" xfId="1259"/>
    <cellStyle name="Moeda 8 2 7" xfId="1260"/>
    <cellStyle name="Moeda 8 2 8" xfId="1261"/>
    <cellStyle name="Moeda 8 2 9" xfId="1262"/>
    <cellStyle name="Moeda 8 3" xfId="82"/>
    <cellStyle name="Moeda 8 3 10" xfId="1264"/>
    <cellStyle name="Moeda 8 3 10 2" xfId="2521"/>
    <cellStyle name="Moeda 8 3 10 3" xfId="2672"/>
    <cellStyle name="Moeda 8 3 11" xfId="1265"/>
    <cellStyle name="Moeda 8 3 11 2" xfId="2520"/>
    <cellStyle name="Moeda 8 3 11 3" xfId="2673"/>
    <cellStyle name="Moeda 8 3 12" xfId="1263"/>
    <cellStyle name="Moeda 8 3 12 2" xfId="2826"/>
    <cellStyle name="Moeda 8 3 12 3" xfId="2671"/>
    <cellStyle name="Moeda 8 3 12 4" xfId="2604"/>
    <cellStyle name="Moeda 8 3 12 5" xfId="2537"/>
    <cellStyle name="Moeda 8 3 2" xfId="83"/>
    <cellStyle name="Moeda 8 3 2 10" xfId="7256"/>
    <cellStyle name="Moeda 8 3 2 11" xfId="7257"/>
    <cellStyle name="Moeda 8 3 2 2" xfId="710"/>
    <cellStyle name="Moeda 8 3 2 3" xfId="1267"/>
    <cellStyle name="Moeda 8 3 2 4" xfId="1268"/>
    <cellStyle name="Moeda 8 3 2 5" xfId="1269"/>
    <cellStyle name="Moeda 8 3 2 6" xfId="1270"/>
    <cellStyle name="Moeda 8 3 2 7" xfId="1271"/>
    <cellStyle name="Moeda 8 3 2 8" xfId="1272"/>
    <cellStyle name="Moeda 8 3 2 9" xfId="1273"/>
    <cellStyle name="Moeda 8 3 3" xfId="433"/>
    <cellStyle name="Moeda 8 3 3 2" xfId="461"/>
    <cellStyle name="Moeda 8 3 3 2 2" xfId="800"/>
    <cellStyle name="Moeda 8 3 3 2 3" xfId="7258"/>
    <cellStyle name="Moeda 8 3 3 2 4" xfId="7259"/>
    <cellStyle name="Moeda 8 3 3 2 5" xfId="7260"/>
    <cellStyle name="Moeda 8 3 3 2 6" xfId="7261"/>
    <cellStyle name="Moeda 8 3 3 2 7" xfId="7262"/>
    <cellStyle name="Moeda 8 3 3 2 8" xfId="7263"/>
    <cellStyle name="Moeda 8 3 3 3" xfId="788"/>
    <cellStyle name="Moeda 8 3 3 3 2" xfId="1275"/>
    <cellStyle name="Moeda 8 3 3 3 2 2" xfId="2828"/>
    <cellStyle name="Moeda 8 3 3 3 2 3" xfId="2675"/>
    <cellStyle name="Moeda 8 3 3 3 2 4" xfId="2606"/>
    <cellStyle name="Moeda 8 3 3 3 2 5" xfId="2539"/>
    <cellStyle name="Moeda 8 3 3 4" xfId="1276"/>
    <cellStyle name="Moeda 8 3 3 4 2" xfId="2519"/>
    <cellStyle name="Moeda 8 3 3 4 3" xfId="2676"/>
    <cellStyle name="Moeda 8 3 3 5" xfId="1274"/>
    <cellStyle name="Moeda 8 3 3 5 2" xfId="2827"/>
    <cellStyle name="Moeda 8 3 3 5 3" xfId="2674"/>
    <cellStyle name="Moeda 8 3 3 5 4" xfId="2605"/>
    <cellStyle name="Moeda 8 3 3 5 5" xfId="2538"/>
    <cellStyle name="Moeda 8 3 3 6" xfId="7264"/>
    <cellStyle name="Moeda 8 3 3 7" xfId="7265"/>
    <cellStyle name="Moeda 8 3 3 8" xfId="7266"/>
    <cellStyle name="Moeda 8 3 3 9" xfId="7267"/>
    <cellStyle name="Moeda 8 3 4" xfId="434"/>
    <cellStyle name="Moeda 8 3 4 2" xfId="462"/>
    <cellStyle name="Moeda 8 3 4 2 2" xfId="801"/>
    <cellStyle name="Moeda 8 3 4 2 3" xfId="7268"/>
    <cellStyle name="Moeda 8 3 4 2 4" xfId="7269"/>
    <cellStyle name="Moeda 8 3 4 2 5" xfId="7270"/>
    <cellStyle name="Moeda 8 3 4 2 6" xfId="7271"/>
    <cellStyle name="Moeda 8 3 4 2 7" xfId="7272"/>
    <cellStyle name="Moeda 8 3 4 2 8" xfId="7273"/>
    <cellStyle name="Moeda 8 3 4 3" xfId="789"/>
    <cellStyle name="Moeda 8 3 4 4" xfId="7274"/>
    <cellStyle name="Moeda 8 3 4 5" xfId="7275"/>
    <cellStyle name="Moeda 8 3 4 6" xfId="7276"/>
    <cellStyle name="Moeda 8 3 4 7" xfId="7277"/>
    <cellStyle name="Moeda 8 3 4 8" xfId="7278"/>
    <cellStyle name="Moeda 8 3 4 9" xfId="7279"/>
    <cellStyle name="Moeda 8 3 5" xfId="463"/>
    <cellStyle name="Moeda 8 3 5 2" xfId="464"/>
    <cellStyle name="Moeda 8 3 5 2 2" xfId="802"/>
    <cellStyle name="Moeda 8 3 5 2 3" xfId="7280"/>
    <cellStyle name="Moeda 8 3 5 2 4" xfId="7281"/>
    <cellStyle name="Moeda 8 3 5 2 5" xfId="7282"/>
    <cellStyle name="Moeda 8 3 5 2 6" xfId="7283"/>
    <cellStyle name="Moeda 8 3 5 2 7" xfId="7284"/>
    <cellStyle name="Moeda 8 3 5 2 8" xfId="7285"/>
    <cellStyle name="Moeda 8 3 5 3" xfId="1277"/>
    <cellStyle name="Moeda 8 3 5 3 2" xfId="2829"/>
    <cellStyle name="Moeda 8 3 5 3 3" xfId="2677"/>
    <cellStyle name="Moeda 8 3 5 3 4" xfId="2607"/>
    <cellStyle name="Moeda 8 3 5 3 5" xfId="2540"/>
    <cellStyle name="Moeda 8 3 6" xfId="465"/>
    <cellStyle name="Moeda 8 3 6 2" xfId="466"/>
    <cellStyle name="Moeda 8 3 6 2 2" xfId="804"/>
    <cellStyle name="Moeda 8 3 6 2 3" xfId="7286"/>
    <cellStyle name="Moeda 8 3 6 2 4" xfId="7287"/>
    <cellStyle name="Moeda 8 3 6 2 5" xfId="7288"/>
    <cellStyle name="Moeda 8 3 6 2 6" xfId="7289"/>
    <cellStyle name="Moeda 8 3 6 2 7" xfId="7290"/>
    <cellStyle name="Moeda 8 3 6 2 8" xfId="7291"/>
    <cellStyle name="Moeda 8 3 6 3" xfId="803"/>
    <cellStyle name="Moeda 8 3 6 3 2" xfId="1279"/>
    <cellStyle name="Moeda 8 3 6 3 2 2" xfId="2831"/>
    <cellStyle name="Moeda 8 3 6 3 2 3" xfId="2679"/>
    <cellStyle name="Moeda 8 3 6 3 2 4" xfId="2609"/>
    <cellStyle name="Moeda 8 3 6 3 2 5" xfId="2542"/>
    <cellStyle name="Moeda 8 3 6 4" xfId="1280"/>
    <cellStyle name="Moeda 8 3 6 4 2" xfId="2518"/>
    <cellStyle name="Moeda 8 3 6 4 3" xfId="2680"/>
    <cellStyle name="Moeda 8 3 6 5" xfId="1278"/>
    <cellStyle name="Moeda 8 3 6 5 2" xfId="2830"/>
    <cellStyle name="Moeda 8 3 6 5 3" xfId="2678"/>
    <cellStyle name="Moeda 8 3 6 5 4" xfId="2608"/>
    <cellStyle name="Moeda 8 3 6 5 5" xfId="2541"/>
    <cellStyle name="Moeda 8 3 6 6" xfId="7292"/>
    <cellStyle name="Moeda 8 3 6 7" xfId="7293"/>
    <cellStyle name="Moeda 8 3 6 8" xfId="7294"/>
    <cellStyle name="Moeda 8 3 6 9" xfId="7295"/>
    <cellStyle name="Moeda 8 3 7" xfId="467"/>
    <cellStyle name="Moeda 8 3 7 2" xfId="1282"/>
    <cellStyle name="Moeda 8 3 7 2 2" xfId="7296"/>
    <cellStyle name="Moeda 8 3 7 3" xfId="1281"/>
    <cellStyle name="Moeda 8 3 7 3 2" xfId="2832"/>
    <cellStyle name="Moeda 8 3 7 3 3" xfId="2681"/>
    <cellStyle name="Moeda 8 3 7 3 4" xfId="2610"/>
    <cellStyle name="Moeda 8 3 7 3 5" xfId="2543"/>
    <cellStyle name="Moeda 8 3 8" xfId="468"/>
    <cellStyle name="Moeda 8 3 8 2" xfId="1283"/>
    <cellStyle name="Moeda 8 3 8 2 2" xfId="7297"/>
    <cellStyle name="Moeda 8 3 8 3" xfId="1284"/>
    <cellStyle name="Moeda 8 3 8 4" xfId="1285"/>
    <cellStyle name="Moeda 8 3 8 4 2" xfId="2517"/>
    <cellStyle name="Moeda 8 3 8 4 3" xfId="2682"/>
    <cellStyle name="Moeda 8 3 8 5" xfId="1286"/>
    <cellStyle name="Moeda 8 3 9" xfId="469"/>
    <cellStyle name="Moeda 8 3 9 2" xfId="1287"/>
    <cellStyle name="Moeda 8 3 9 2 2" xfId="2833"/>
    <cellStyle name="Moeda 8 3 9 2 3" xfId="2683"/>
    <cellStyle name="Moeda 8 3 9 2 4" xfId="2611"/>
    <cellStyle name="Moeda 8 3 9 2 5" xfId="2544"/>
    <cellStyle name="Moeda 8 4" xfId="1288"/>
    <cellStyle name="Moeda 8 5" xfId="1289"/>
    <cellStyle name="Moeda 8 6" xfId="1290"/>
    <cellStyle name="Moeda 8 7" xfId="1291"/>
    <cellStyle name="Moeda 8 8" xfId="1292"/>
    <cellStyle name="Moeda 8 9" xfId="1293"/>
    <cellStyle name="Moeda 9" xfId="84"/>
    <cellStyle name="Moeda 9 10" xfId="1295"/>
    <cellStyle name="Moeda 9 10 2" xfId="2516"/>
    <cellStyle name="Moeda 9 10 3" xfId="2685"/>
    <cellStyle name="Moeda 9 11" xfId="1296"/>
    <cellStyle name="Moeda 9 11 2" xfId="2515"/>
    <cellStyle name="Moeda 9 11 3" xfId="2686"/>
    <cellStyle name="Moeda 9 12" xfId="1294"/>
    <cellStyle name="Moeda 9 12 2" xfId="2834"/>
    <cellStyle name="Moeda 9 12 3" xfId="2684"/>
    <cellStyle name="Moeda 9 12 4" xfId="2612"/>
    <cellStyle name="Moeda 9 12 5" xfId="2545"/>
    <cellStyle name="Moeda 9 2" xfId="85"/>
    <cellStyle name="Moeda 9 2 10" xfId="7298"/>
    <cellStyle name="Moeda 9 2 11" xfId="7299"/>
    <cellStyle name="Moeda 9 2 2" xfId="711"/>
    <cellStyle name="Moeda 9 2 3" xfId="1297"/>
    <cellStyle name="Moeda 9 2 4" xfId="1298"/>
    <cellStyle name="Moeda 9 2 5" xfId="1299"/>
    <cellStyle name="Moeda 9 2 6" xfId="1300"/>
    <cellStyle name="Moeda 9 2 7" xfId="1301"/>
    <cellStyle name="Moeda 9 2 8" xfId="1302"/>
    <cellStyle name="Moeda 9 2 9" xfId="1303"/>
    <cellStyle name="Moeda 9 3" xfId="435"/>
    <cellStyle name="Moeda 9 3 2" xfId="470"/>
    <cellStyle name="Moeda 9 3 2 2" xfId="805"/>
    <cellStyle name="Moeda 9 3 2 3" xfId="7300"/>
    <cellStyle name="Moeda 9 3 2 4" xfId="7301"/>
    <cellStyle name="Moeda 9 3 2 5" xfId="7302"/>
    <cellStyle name="Moeda 9 3 2 6" xfId="7303"/>
    <cellStyle name="Moeda 9 3 2 7" xfId="7304"/>
    <cellStyle name="Moeda 9 3 2 8" xfId="7305"/>
    <cellStyle name="Moeda 9 3 3" xfId="790"/>
    <cellStyle name="Moeda 9 3 3 2" xfId="1305"/>
    <cellStyle name="Moeda 9 3 3 2 2" xfId="2836"/>
    <cellStyle name="Moeda 9 3 3 2 3" xfId="2688"/>
    <cellStyle name="Moeda 9 3 3 2 4" xfId="2614"/>
    <cellStyle name="Moeda 9 3 3 2 5" xfId="2547"/>
    <cellStyle name="Moeda 9 3 4" xfId="1306"/>
    <cellStyle name="Moeda 9 3 4 2" xfId="2514"/>
    <cellStyle name="Moeda 9 3 4 3" xfId="2689"/>
    <cellStyle name="Moeda 9 3 5" xfId="1304"/>
    <cellStyle name="Moeda 9 3 5 2" xfId="2835"/>
    <cellStyle name="Moeda 9 3 5 3" xfId="2687"/>
    <cellStyle name="Moeda 9 3 5 4" xfId="2613"/>
    <cellStyle name="Moeda 9 3 5 5" xfId="2546"/>
    <cellStyle name="Moeda 9 3 6" xfId="7306"/>
    <cellStyle name="Moeda 9 3 7" xfId="7307"/>
    <cellStyle name="Moeda 9 3 8" xfId="7308"/>
    <cellStyle name="Moeda 9 3 9" xfId="7309"/>
    <cellStyle name="Moeda 9 4" xfId="436"/>
    <cellStyle name="Moeda 9 4 2" xfId="471"/>
    <cellStyle name="Moeda 9 4 2 2" xfId="806"/>
    <cellStyle name="Moeda 9 4 2 3" xfId="7310"/>
    <cellStyle name="Moeda 9 4 2 4" xfId="7311"/>
    <cellStyle name="Moeda 9 4 2 5" xfId="7312"/>
    <cellStyle name="Moeda 9 4 2 6" xfId="7313"/>
    <cellStyle name="Moeda 9 4 2 7" xfId="7314"/>
    <cellStyle name="Moeda 9 4 2 8" xfId="7315"/>
    <cellStyle name="Moeda 9 4 3" xfId="791"/>
    <cellStyle name="Moeda 9 4 4" xfId="7316"/>
    <cellStyle name="Moeda 9 4 5" xfId="7317"/>
    <cellStyle name="Moeda 9 4 6" xfId="7318"/>
    <cellStyle name="Moeda 9 4 7" xfId="7319"/>
    <cellStyle name="Moeda 9 4 8" xfId="7320"/>
    <cellStyle name="Moeda 9 4 9" xfId="7321"/>
    <cellStyle name="Moeda 9 5" xfId="472"/>
    <cellStyle name="Moeda 9 5 2" xfId="473"/>
    <cellStyle name="Moeda 9 5 2 2" xfId="807"/>
    <cellStyle name="Moeda 9 5 2 3" xfId="7322"/>
    <cellStyle name="Moeda 9 5 2 4" xfId="7323"/>
    <cellStyle name="Moeda 9 5 2 5" xfId="7324"/>
    <cellStyle name="Moeda 9 5 2 6" xfId="7325"/>
    <cellStyle name="Moeda 9 5 2 7" xfId="7326"/>
    <cellStyle name="Moeda 9 5 2 8" xfId="7327"/>
    <cellStyle name="Moeda 9 5 3" xfId="1307"/>
    <cellStyle name="Moeda 9 5 3 2" xfId="2837"/>
    <cellStyle name="Moeda 9 5 3 3" xfId="2690"/>
    <cellStyle name="Moeda 9 5 3 4" xfId="2615"/>
    <cellStyle name="Moeda 9 5 3 5" xfId="2548"/>
    <cellStyle name="Moeda 9 6" xfId="474"/>
    <cellStyle name="Moeda 9 6 2" xfId="475"/>
    <cellStyle name="Moeda 9 6 2 2" xfId="809"/>
    <cellStyle name="Moeda 9 6 2 3" xfId="7328"/>
    <cellStyle name="Moeda 9 6 2 4" xfId="7329"/>
    <cellStyle name="Moeda 9 6 2 5" xfId="7330"/>
    <cellStyle name="Moeda 9 6 2 6" xfId="7331"/>
    <cellStyle name="Moeda 9 6 2 7" xfId="7332"/>
    <cellStyle name="Moeda 9 6 2 8" xfId="7333"/>
    <cellStyle name="Moeda 9 6 3" xfId="808"/>
    <cellStyle name="Moeda 9 6 3 2" xfId="1309"/>
    <cellStyle name="Moeda 9 6 3 2 2" xfId="2839"/>
    <cellStyle name="Moeda 9 6 3 2 3" xfId="2692"/>
    <cellStyle name="Moeda 9 6 3 2 4" xfId="2617"/>
    <cellStyle name="Moeda 9 6 3 2 5" xfId="2550"/>
    <cellStyle name="Moeda 9 6 4" xfId="1310"/>
    <cellStyle name="Moeda 9 6 4 2" xfId="2513"/>
    <cellStyle name="Moeda 9 6 4 3" xfId="2693"/>
    <cellStyle name="Moeda 9 6 5" xfId="1308"/>
    <cellStyle name="Moeda 9 6 5 2" xfId="2838"/>
    <cellStyle name="Moeda 9 6 5 3" xfId="2691"/>
    <cellStyle name="Moeda 9 6 5 4" xfId="2616"/>
    <cellStyle name="Moeda 9 6 5 5" xfId="2549"/>
    <cellStyle name="Moeda 9 6 6" xfId="7334"/>
    <cellStyle name="Moeda 9 6 7" xfId="7335"/>
    <cellStyle name="Moeda 9 6 8" xfId="7336"/>
    <cellStyle name="Moeda 9 6 9" xfId="7337"/>
    <cellStyle name="Moeda 9 7" xfId="476"/>
    <cellStyle name="Moeda 9 7 2" xfId="1312"/>
    <cellStyle name="Moeda 9 7 2 2" xfId="7338"/>
    <cellStyle name="Moeda 9 7 3" xfId="1311"/>
    <cellStyle name="Moeda 9 7 3 2" xfId="2840"/>
    <cellStyle name="Moeda 9 7 3 3" xfId="2694"/>
    <cellStyle name="Moeda 9 7 3 4" xfId="2618"/>
    <cellStyle name="Moeda 9 7 3 5" xfId="2551"/>
    <cellStyle name="Moeda 9 8" xfId="477"/>
    <cellStyle name="Moeda 9 8 2" xfId="1314"/>
    <cellStyle name="Moeda 9 8 2 2" xfId="7339"/>
    <cellStyle name="Moeda 9 8 3" xfId="1315"/>
    <cellStyle name="Moeda 9 8 4" xfId="1316"/>
    <cellStyle name="Moeda 9 8 4 2" xfId="2512"/>
    <cellStyle name="Moeda 9 8 4 3" xfId="2695"/>
    <cellStyle name="Moeda 9 8 5" xfId="1317"/>
    <cellStyle name="Moeda 9 9" xfId="478"/>
    <cellStyle name="Moeda 9 9 2" xfId="1318"/>
    <cellStyle name="Moeda 9 9 2 2" xfId="2841"/>
    <cellStyle name="Moeda 9 9 2 3" xfId="2696"/>
    <cellStyle name="Moeda 9 9 2 4" xfId="2619"/>
    <cellStyle name="Moeda 9 9 2 5" xfId="2552"/>
    <cellStyle name="Neutra 2" xfId="414"/>
    <cellStyle name="Neutra 2 2" xfId="2938"/>
    <cellStyle name="Neutra 2 3" xfId="10637"/>
    <cellStyle name="Neutral" xfId="415"/>
    <cellStyle name="Normal" xfId="0" builtinId="0"/>
    <cellStyle name="Normal - Style1" xfId="165"/>
    <cellStyle name="Normal 10" xfId="166"/>
    <cellStyle name="Normal 10 10" xfId="7340"/>
    <cellStyle name="Normal 10 2" xfId="479"/>
    <cellStyle name="Normal 10 2 2" xfId="810"/>
    <cellStyle name="Normal 10 2 2 5 2" xfId="11472"/>
    <cellStyle name="Normal 10 2 3" xfId="7341"/>
    <cellStyle name="Normal 10 2 4" xfId="7342"/>
    <cellStyle name="Normal 10 2 5" xfId="7343"/>
    <cellStyle name="Normal 10 2 6" xfId="7344"/>
    <cellStyle name="Normal 10 2 7" xfId="7345"/>
    <cellStyle name="Normal 10 2 8" xfId="7346"/>
    <cellStyle name="Normal 10 3" xfId="739"/>
    <cellStyle name="Normal 10 3 2" xfId="1321"/>
    <cellStyle name="Normal 10 4" xfId="1322"/>
    <cellStyle name="Normal 10 4 2" xfId="7347"/>
    <cellStyle name="Normal 10 4 3" xfId="13426"/>
    <cellStyle name="Normal 10 5" xfId="1320"/>
    <cellStyle name="Normal 10 6" xfId="7348"/>
    <cellStyle name="Normal 10 6 2" xfId="12018"/>
    <cellStyle name="Normal 10 7" xfId="7349"/>
    <cellStyle name="Normal 10 8" xfId="7350"/>
    <cellStyle name="Normal 10 9" xfId="7351"/>
    <cellStyle name="Normal 100" xfId="167"/>
    <cellStyle name="Normal 100 2" xfId="9568"/>
    <cellStyle name="Normal 101" xfId="168"/>
    <cellStyle name="Normal 101 2" xfId="9859"/>
    <cellStyle name="Normal 102" xfId="169"/>
    <cellStyle name="Normal 102 2" xfId="9862"/>
    <cellStyle name="Normal 103" xfId="170"/>
    <cellStyle name="Normal 103 2" xfId="10576"/>
    <cellStyle name="Normal 104" xfId="171"/>
    <cellStyle name="Normal 104 2" xfId="10581"/>
    <cellStyle name="Normal 105" xfId="172"/>
    <cellStyle name="Normal 105 2" xfId="10585"/>
    <cellStyle name="Normal 106" xfId="173"/>
    <cellStyle name="Normal 106 2" xfId="10589"/>
    <cellStyle name="Normal 107" xfId="174"/>
    <cellStyle name="Normal 107 2" xfId="10593"/>
    <cellStyle name="Normal 108" xfId="175"/>
    <cellStyle name="Normal 108 2" xfId="10582"/>
    <cellStyle name="Normal 109" xfId="176"/>
    <cellStyle name="Normal 109 2" xfId="10595"/>
    <cellStyle name="Normal 11" xfId="177"/>
    <cellStyle name="Normal 11 10" xfId="7352"/>
    <cellStyle name="Normal 11 11" xfId="7353"/>
    <cellStyle name="Normal 11 2" xfId="178"/>
    <cellStyle name="Normal 11 2 2" xfId="741"/>
    <cellStyle name="Normal 11 2 3" xfId="7354"/>
    <cellStyle name="Normal 11 2 4" xfId="7355"/>
    <cellStyle name="Normal 11 2 5" xfId="7356"/>
    <cellStyle name="Normal 11 2 6" xfId="7357"/>
    <cellStyle name="Normal 11 2 7" xfId="7358"/>
    <cellStyle name="Normal 11 2 8" xfId="7359"/>
    <cellStyle name="Normal 11 3" xfId="480"/>
    <cellStyle name="Normal 11 3 2" xfId="811"/>
    <cellStyle name="Normal 11 3 2 2" xfId="7360"/>
    <cellStyle name="Normal 11 3 2 2 2" xfId="7361"/>
    <cellStyle name="Normal 11 3 2 2 3" xfId="7362"/>
    <cellStyle name="Normal 11 3 3" xfId="7363"/>
    <cellStyle name="Normal 11 3 4" xfId="7364"/>
    <cellStyle name="Normal 11 3 5" xfId="7365"/>
    <cellStyle name="Normal 11 3 6" xfId="7366"/>
    <cellStyle name="Normal 11 3 7" xfId="7367"/>
    <cellStyle name="Normal 11 3 8" xfId="7368"/>
    <cellStyle name="Normal 11 4" xfId="740"/>
    <cellStyle name="Normal 11 4 2" xfId="1325"/>
    <cellStyle name="Normal 11 5" xfId="1326"/>
    <cellStyle name="Normal 11 5 2" xfId="7369"/>
    <cellStyle name="Normal 11 5 2 2" xfId="7370"/>
    <cellStyle name="Normal 11 5 2 3" xfId="7371"/>
    <cellStyle name="Normal 11 5 3" xfId="7372"/>
    <cellStyle name="Normal 11 5 4" xfId="13427"/>
    <cellStyle name="Normal 11 6" xfId="1324"/>
    <cellStyle name="Normal 11 6 2" xfId="7373"/>
    <cellStyle name="Normal 11 7" xfId="3017"/>
    <cellStyle name="Normal 11 7 2" xfId="3020"/>
    <cellStyle name="Normal 11 7 3" xfId="7374"/>
    <cellStyle name="Normal 11 7 4" xfId="13550"/>
    <cellStyle name="Normal 11 8" xfId="7375"/>
    <cellStyle name="Normal 11 9" xfId="7376"/>
    <cellStyle name="Normal 110" xfId="179"/>
    <cellStyle name="Normal 110 2" xfId="10591"/>
    <cellStyle name="Normal 111" xfId="180"/>
    <cellStyle name="Normal 111 2" xfId="10577"/>
    <cellStyle name="Normal 112" xfId="181"/>
    <cellStyle name="Normal 112 2" xfId="10597"/>
    <cellStyle name="Normal 113" xfId="182"/>
    <cellStyle name="Normal 113 2" xfId="10594"/>
    <cellStyle name="Normal 114" xfId="183"/>
    <cellStyle name="Normal 114 2" xfId="10590"/>
    <cellStyle name="Normal 115" xfId="184"/>
    <cellStyle name="Normal 115 2" xfId="10584"/>
    <cellStyle name="Normal 116" xfId="185"/>
    <cellStyle name="Normal 116 2" xfId="10580"/>
    <cellStyle name="Normal 117" xfId="186"/>
    <cellStyle name="Normal 117 2" xfId="10586"/>
    <cellStyle name="Normal 118" xfId="187"/>
    <cellStyle name="Normal 118 2" xfId="10579"/>
    <cellStyle name="Normal 119" xfId="188"/>
    <cellStyle name="Normal 119 2" xfId="10588"/>
    <cellStyle name="Normal 12" xfId="189"/>
    <cellStyle name="Normal 12 2" xfId="190"/>
    <cellStyle name="Normal 12 2 2" xfId="743"/>
    <cellStyle name="Normal 12 2 3" xfId="7377"/>
    <cellStyle name="Normal 12 2 4" xfId="7378"/>
    <cellStyle name="Normal 12 2 5" xfId="7379"/>
    <cellStyle name="Normal 12 2 6" xfId="7380"/>
    <cellStyle name="Normal 12 2 7" xfId="7381"/>
    <cellStyle name="Normal 12 2 8" xfId="7382"/>
    <cellStyle name="Normal 12 3" xfId="742"/>
    <cellStyle name="Normal 12 3 2" xfId="1329"/>
    <cellStyle name="Normal 12 3 2 2" xfId="2843"/>
    <cellStyle name="Normal 12 3 2 3" xfId="2698"/>
    <cellStyle name="Normal 12 3 2 4" xfId="2621"/>
    <cellStyle name="Normal 12 3 2 5" xfId="2554"/>
    <cellStyle name="Normal 12 4" xfId="1330"/>
    <cellStyle name="Normal 12 4 2" xfId="2511"/>
    <cellStyle name="Normal 12 4 3" xfId="2699"/>
    <cellStyle name="Normal 12 5" xfId="1328"/>
    <cellStyle name="Normal 12 5 2" xfId="2842"/>
    <cellStyle name="Normal 12 5 3" xfId="2697"/>
    <cellStyle name="Normal 12 5 4" xfId="2620"/>
    <cellStyle name="Normal 12 5 5" xfId="2553"/>
    <cellStyle name="Normal 12 6" xfId="7383"/>
    <cellStyle name="Normal 12 7" xfId="7384"/>
    <cellStyle name="Normal 12 8" xfId="7385"/>
    <cellStyle name="Normal 12 9" xfId="7386"/>
    <cellStyle name="Normal 120" xfId="191"/>
    <cellStyle name="Normal 120 2" xfId="10578"/>
    <cellStyle name="Normal 121" xfId="192"/>
    <cellStyle name="Normal 121 2" xfId="10587"/>
    <cellStyle name="Normal 122" xfId="193"/>
    <cellStyle name="Normal 122 2" xfId="10596"/>
    <cellStyle name="Normal 123" xfId="194"/>
    <cellStyle name="Normal 123 2" xfId="10583"/>
    <cellStyle name="Normal 124" xfId="195"/>
    <cellStyle name="Normal 124 2" xfId="10598"/>
    <cellStyle name="Normal 125" xfId="346"/>
    <cellStyle name="Normal 125 10" xfId="13378"/>
    <cellStyle name="Normal 125 2" xfId="782"/>
    <cellStyle name="Normal 125 2 2" xfId="1332"/>
    <cellStyle name="Normal 125 3" xfId="1333"/>
    <cellStyle name="Normal 125 4" xfId="1334"/>
    <cellStyle name="Normal 125 4 2" xfId="7387"/>
    <cellStyle name="Normal 125 4 3" xfId="13429"/>
    <cellStyle name="Normal 125 5" xfId="1331"/>
    <cellStyle name="Normal 125 5 2" xfId="7388"/>
    <cellStyle name="Normal 125 5 3" xfId="13428"/>
    <cellStyle name="Normal 125 6" xfId="7389"/>
    <cellStyle name="Normal 125 7" xfId="7390"/>
    <cellStyle name="Normal 125 8" xfId="7391"/>
    <cellStyle name="Normal 125 9" xfId="7392"/>
    <cellStyle name="Normal 126" xfId="429"/>
    <cellStyle name="Normal 126 2" xfId="785"/>
    <cellStyle name="Normal 126 2 2" xfId="1336"/>
    <cellStyle name="Normal 126 3" xfId="1337"/>
    <cellStyle name="Normal 126 4" xfId="1338"/>
    <cellStyle name="Normal 126 4 2" xfId="7393"/>
    <cellStyle name="Normal 126 4 3" xfId="13431"/>
    <cellStyle name="Normal 126 5" xfId="1335"/>
    <cellStyle name="Normal 126 5 2" xfId="7394"/>
    <cellStyle name="Normal 126 5 3" xfId="13430"/>
    <cellStyle name="Normal 126 6" xfId="7395"/>
    <cellStyle name="Normal 126 7" xfId="7396"/>
    <cellStyle name="Normal 126 8" xfId="7397"/>
    <cellStyle name="Normal 127" xfId="481"/>
    <cellStyle name="Normal 127 2" xfId="927"/>
    <cellStyle name="Normal 127 2 2" xfId="1340"/>
    <cellStyle name="Normal 127 3" xfId="1341"/>
    <cellStyle name="Normal 127 4" xfId="1342"/>
    <cellStyle name="Normal 127 5" xfId="1343"/>
    <cellStyle name="Normal 127 6" xfId="1339"/>
    <cellStyle name="Normal 128" xfId="482"/>
    <cellStyle name="Normal 128 2" xfId="928"/>
    <cellStyle name="Normal 128 2 2" xfId="1345"/>
    <cellStyle name="Normal 128 3" xfId="1346"/>
    <cellStyle name="Normal 128 4" xfId="1347"/>
    <cellStyle name="Normal 128 5" xfId="1348"/>
    <cellStyle name="Normal 128 6" xfId="1344"/>
    <cellStyle name="Normal 129" xfId="483"/>
    <cellStyle name="Normal 129 2" xfId="929"/>
    <cellStyle name="Normal 129 2 2" xfId="7398"/>
    <cellStyle name="Normal 13" xfId="196"/>
    <cellStyle name="Normal 13 10" xfId="7399"/>
    <cellStyle name="Normal 13 10 2" xfId="9864"/>
    <cellStyle name="Normal 13 11" xfId="9023"/>
    <cellStyle name="Normal 13 12" xfId="10649"/>
    <cellStyle name="Normal 13 13" xfId="10781"/>
    <cellStyle name="Normal 13 2" xfId="197"/>
    <cellStyle name="Normal 13 2 10" xfId="10650"/>
    <cellStyle name="Normal 13 2 11" xfId="10782"/>
    <cellStyle name="Normal 13 2 2" xfId="1351"/>
    <cellStyle name="Normal 13 2 2 2" xfId="7400"/>
    <cellStyle name="Normal 13 2 2 2 2" xfId="9763"/>
    <cellStyle name="Normal 13 2 2 2 2 2" xfId="9905"/>
    <cellStyle name="Normal 13 2 2 2 3" xfId="9904"/>
    <cellStyle name="Normal 13 2 2 2 4" xfId="9349"/>
    <cellStyle name="Normal 13 2 2 3" xfId="9483"/>
    <cellStyle name="Normal 13 2 2 3 2" xfId="9906"/>
    <cellStyle name="Normal 13 2 2 4" xfId="9903"/>
    <cellStyle name="Normal 13 2 2 5" xfId="10694"/>
    <cellStyle name="Normal 13 2 2 6" xfId="10826"/>
    <cellStyle name="Normal 13 2 3" xfId="1352"/>
    <cellStyle name="Normal 13 2 3 2" xfId="7401"/>
    <cellStyle name="Normal 13 2 3 2 2" xfId="9804"/>
    <cellStyle name="Normal 13 2 3 2 2 2" xfId="9909"/>
    <cellStyle name="Normal 13 2 3 2 3" xfId="9908"/>
    <cellStyle name="Normal 13 2 3 3" xfId="9523"/>
    <cellStyle name="Normal 13 2 3 3 2" xfId="9910"/>
    <cellStyle name="Normal 13 2 3 3 3" xfId="14892"/>
    <cellStyle name="Normal 13 2 3 3 4" xfId="13432"/>
    <cellStyle name="Normal 13 2 3 4" xfId="9907"/>
    <cellStyle name="Normal 13 2 3 5" xfId="10735"/>
    <cellStyle name="Normal 13 2 3 6" xfId="10865"/>
    <cellStyle name="Normal 13 2 4" xfId="1353"/>
    <cellStyle name="Normal 13 2 4 2" xfId="9618"/>
    <cellStyle name="Normal 13 2 4 2 2" xfId="9912"/>
    <cellStyle name="Normal 13 2 4 3" xfId="9911"/>
    <cellStyle name="Normal 13 2 4 4" xfId="9165"/>
    <cellStyle name="Normal 13 2 5" xfId="1350"/>
    <cellStyle name="Normal 13 2 5 2" xfId="9721"/>
    <cellStyle name="Normal 13 2 5 2 2" xfId="9914"/>
    <cellStyle name="Normal 13 2 5 3" xfId="9913"/>
    <cellStyle name="Normal 13 2 5 4" xfId="9310"/>
    <cellStyle name="Normal 13 2 6" xfId="7402"/>
    <cellStyle name="Normal 13 2 6 2" xfId="9570"/>
    <cellStyle name="Normal 13 2 6 2 2" xfId="9916"/>
    <cellStyle name="Normal 13 2 6 3" xfId="9915"/>
    <cellStyle name="Normal 13 2 6 4" xfId="9092"/>
    <cellStyle name="Normal 13 2 7" xfId="7403"/>
    <cellStyle name="Normal 13 2 7 2" xfId="9917"/>
    <cellStyle name="Normal 13 2 7 3" xfId="9440"/>
    <cellStyle name="Normal 13 2 8" xfId="7404"/>
    <cellStyle name="Normal 13 2 8 2" xfId="9865"/>
    <cellStyle name="Normal 13 2 9" xfId="7405"/>
    <cellStyle name="Normal 13 2 9 2" xfId="9024"/>
    <cellStyle name="Normal 13 3" xfId="1354"/>
    <cellStyle name="Normal 13 3 10" xfId="10651"/>
    <cellStyle name="Normal 13 3 11" xfId="10783"/>
    <cellStyle name="Normal 13 3 2" xfId="7406"/>
    <cellStyle name="Normal 13 3 2 2" xfId="9350"/>
    <cellStyle name="Normal 13 3 2 2 2" xfId="9764"/>
    <cellStyle name="Normal 13 3 2 2 2 2" xfId="9920"/>
    <cellStyle name="Normal 13 3 2 2 3" xfId="9919"/>
    <cellStyle name="Normal 13 3 2 3" xfId="9484"/>
    <cellStyle name="Normal 13 3 2 3 2" xfId="9921"/>
    <cellStyle name="Normal 13 3 2 4" xfId="9918"/>
    <cellStyle name="Normal 13 3 2 5" xfId="10695"/>
    <cellStyle name="Normal 13 3 2 6" xfId="10827"/>
    <cellStyle name="Normal 13 3 2 7" xfId="9211"/>
    <cellStyle name="Normal 13 3 3" xfId="9267"/>
    <cellStyle name="Normal 13 3 3 2" xfId="9384"/>
    <cellStyle name="Normal 13 3 3 2 2" xfId="9805"/>
    <cellStyle name="Normal 13 3 3 2 2 2" xfId="9924"/>
    <cellStyle name="Normal 13 3 3 2 3" xfId="9923"/>
    <cellStyle name="Normal 13 3 3 3" xfId="9524"/>
    <cellStyle name="Normal 13 3 3 3 2" xfId="9925"/>
    <cellStyle name="Normal 13 3 3 4" xfId="9922"/>
    <cellStyle name="Normal 13 3 3 5" xfId="10736"/>
    <cellStyle name="Normal 13 3 3 6" xfId="10866"/>
    <cellStyle name="Normal 13 3 4" xfId="9166"/>
    <cellStyle name="Normal 13 3 4 2" xfId="9619"/>
    <cellStyle name="Normal 13 3 4 2 2" xfId="9927"/>
    <cellStyle name="Normal 13 3 4 3" xfId="9926"/>
    <cellStyle name="Normal 13 3 5" xfId="9311"/>
    <cellStyle name="Normal 13 3 5 2" xfId="9722"/>
    <cellStyle name="Normal 13 3 5 2 2" xfId="9929"/>
    <cellStyle name="Normal 13 3 5 3" xfId="9928"/>
    <cellStyle name="Normal 13 3 6" xfId="9093"/>
    <cellStyle name="Normal 13 3 6 2" xfId="9571"/>
    <cellStyle name="Normal 13 3 6 2 2" xfId="9931"/>
    <cellStyle name="Normal 13 3 6 3" xfId="9930"/>
    <cellStyle name="Normal 13 3 7" xfId="9441"/>
    <cellStyle name="Normal 13 3 7 2" xfId="9932"/>
    <cellStyle name="Normal 13 3 8" xfId="9866"/>
    <cellStyle name="Normal 13 3 9" xfId="9025"/>
    <cellStyle name="Normal 13 4" xfId="1355"/>
    <cellStyle name="Normal 13 4 10" xfId="10687"/>
    <cellStyle name="Normal 13 4 11" xfId="10819"/>
    <cellStyle name="Normal 13 4 2" xfId="2510"/>
    <cellStyle name="Normal 13 4 2 2" xfId="9264"/>
    <cellStyle name="Normal 13 4 2 2 2" xfId="9717"/>
    <cellStyle name="Normal 13 4 2 2 2 2" xfId="9935"/>
    <cellStyle name="Normal 13 4 2 2 3" xfId="9934"/>
    <cellStyle name="Normal 13 4 2 3" xfId="9382"/>
    <cellStyle name="Normal 13 4 2 3 2" xfId="9801"/>
    <cellStyle name="Normal 13 4 2 3 2 2" xfId="9937"/>
    <cellStyle name="Normal 13 4 2 3 3" xfId="9936"/>
    <cellStyle name="Normal 13 4 2 4" xfId="9430"/>
    <cellStyle name="Normal 13 4 2 4 2" xfId="9849"/>
    <cellStyle name="Normal 13 4 2 4 2 2" xfId="9939"/>
    <cellStyle name="Normal 13 4 2 4 3" xfId="9938"/>
    <cellStyle name="Normal 13 4 2 5" xfId="9520"/>
    <cellStyle name="Normal 13 4 2 5 2" xfId="9940"/>
    <cellStyle name="Normal 13 4 2 6" xfId="9933"/>
    <cellStyle name="Normal 13 4 2 7" xfId="10732"/>
    <cellStyle name="Normal 13 4 2 8" xfId="10862"/>
    <cellStyle name="Normal 13 4 2 9" xfId="9132"/>
    <cellStyle name="Normal 13 4 3" xfId="2701"/>
    <cellStyle name="Normal 13 4 3 2" xfId="7407"/>
    <cellStyle name="Normal 13 4 3 2 2" xfId="9718"/>
    <cellStyle name="Normal 13 4 3 2 2 2" xfId="9943"/>
    <cellStyle name="Normal 13 4 3 2 3" xfId="9942"/>
    <cellStyle name="Normal 13 4 3 2 4" xfId="9265"/>
    <cellStyle name="Normal 13 4 3 3" xfId="7408"/>
    <cellStyle name="Normal 13 4 3 3 2" xfId="9802"/>
    <cellStyle name="Normal 13 4 3 3 2 2" xfId="9945"/>
    <cellStyle name="Normal 13 4 3 3 3" xfId="9944"/>
    <cellStyle name="Normal 13 4 3 4" xfId="9521"/>
    <cellStyle name="Normal 13 4 3 4 2" xfId="9946"/>
    <cellStyle name="Normal 13 4 3 5" xfId="9941"/>
    <cellStyle name="Normal 13 4 3 6" xfId="10733"/>
    <cellStyle name="Normal 13 4 3 7" xfId="10863"/>
    <cellStyle name="Normal 13 4 4" xfId="9205"/>
    <cellStyle name="Normal 13 4 4 2" xfId="9657"/>
    <cellStyle name="Normal 13 4 4 2 2" xfId="9948"/>
    <cellStyle name="Normal 13 4 4 3" xfId="9947"/>
    <cellStyle name="Normal 13 4 4 4" xfId="14885"/>
    <cellStyle name="Normal 13 4 4 5" xfId="13433"/>
    <cellStyle name="Normal 13 4 5" xfId="9342"/>
    <cellStyle name="Normal 13 4 5 2" xfId="9756"/>
    <cellStyle name="Normal 13 4 5 2 2" xfId="9950"/>
    <cellStyle name="Normal 13 4 5 3" xfId="9949"/>
    <cellStyle name="Normal 13 4 6" xfId="9429"/>
    <cellStyle name="Normal 13 4 6 2" xfId="9848"/>
    <cellStyle name="Normal 13 4 6 2 2" xfId="9952"/>
    <cellStyle name="Normal 13 4 6 3" xfId="9951"/>
    <cellStyle name="Normal 13 4 7" xfId="9128"/>
    <cellStyle name="Normal 13 4 7 2" xfId="9610"/>
    <cellStyle name="Normal 13 4 7 2 2" xfId="9954"/>
    <cellStyle name="Normal 13 4 7 3" xfId="9953"/>
    <cellStyle name="Normal 13 4 8" xfId="9476"/>
    <cellStyle name="Normal 13 4 8 2" xfId="9955"/>
    <cellStyle name="Normal 13 4 9" xfId="9900"/>
    <cellStyle name="Normal 13 5" xfId="1356"/>
    <cellStyle name="Normal 13 5 2" xfId="2509"/>
    <cellStyle name="Normal 13 5 2 2" xfId="9423"/>
    <cellStyle name="Normal 13 5 2 2 2" xfId="9844"/>
    <cellStyle name="Normal 13 5 2 2 2 2" xfId="9959"/>
    <cellStyle name="Normal 13 5 2 2 3" xfId="9958"/>
    <cellStyle name="Normal 13 5 2 3" xfId="9563"/>
    <cellStyle name="Normal 13 5 2 3 2" xfId="9960"/>
    <cellStyle name="Normal 13 5 2 4" xfId="9957"/>
    <cellStyle name="Normal 13 5 2 5" xfId="10772"/>
    <cellStyle name="Normal 13 5 2 6" xfId="10902"/>
    <cellStyle name="Normal 13 5 2 7" xfId="9299"/>
    <cellStyle name="Normal 13 5 3" xfId="2702"/>
    <cellStyle name="Normal 13 5 3 2" xfId="9663"/>
    <cellStyle name="Normal 13 5 3 2 2" xfId="9962"/>
    <cellStyle name="Normal 13 5 3 3" xfId="9961"/>
    <cellStyle name="Normal 13 5 3 4" xfId="9210"/>
    <cellStyle name="Normal 13 5 4" xfId="9348"/>
    <cellStyle name="Normal 13 5 4 2" xfId="9762"/>
    <cellStyle name="Normal 13 5 4 2 2" xfId="9964"/>
    <cellStyle name="Normal 13 5 4 3" xfId="9963"/>
    <cellStyle name="Normal 13 5 5" xfId="9482"/>
    <cellStyle name="Normal 13 5 5 2" xfId="9965"/>
    <cellStyle name="Normal 13 5 6" xfId="9956"/>
    <cellStyle name="Normal 13 5 7" xfId="10693"/>
    <cellStyle name="Normal 13 5 8" xfId="10825"/>
    <cellStyle name="Normal 13 5 9" xfId="9133"/>
    <cellStyle name="Normal 13 6" xfId="1349"/>
    <cellStyle name="Normal 13 6 2" xfId="2844"/>
    <cellStyle name="Normal 13 6 2 2" xfId="9967"/>
    <cellStyle name="Normal 13 6 2 3" xfId="9617"/>
    <cellStyle name="Normal 13 6 3" xfId="2700"/>
    <cellStyle name="Normal 13 6 3 2" xfId="9966"/>
    <cellStyle name="Normal 13 6 4" xfId="2622"/>
    <cellStyle name="Normal 13 6 5" xfId="2555"/>
    <cellStyle name="Normal 13 6 6" xfId="9164"/>
    <cellStyle name="Normal 13 7" xfId="7409"/>
    <cellStyle name="Normal 13 7 2" xfId="9720"/>
    <cellStyle name="Normal 13 7 2 2" xfId="9969"/>
    <cellStyle name="Normal 13 7 3" xfId="9968"/>
    <cellStyle name="Normal 13 7 4" xfId="9309"/>
    <cellStyle name="Normal 13 8" xfId="7410"/>
    <cellStyle name="Normal 13 8 2" xfId="9569"/>
    <cellStyle name="Normal 13 8 2 2" xfId="9971"/>
    <cellStyle name="Normal 13 8 3" xfId="9970"/>
    <cellStyle name="Normal 13 8 4" xfId="9091"/>
    <cellStyle name="Normal 13 9" xfId="7411"/>
    <cellStyle name="Normal 13 9 2" xfId="9972"/>
    <cellStyle name="Normal 13 9 3" xfId="9439"/>
    <cellStyle name="Normal 130" xfId="484"/>
    <cellStyle name="Normal 130 2" xfId="930"/>
    <cellStyle name="Normal 130 3" xfId="10592"/>
    <cellStyle name="Normal 131" xfId="485"/>
    <cellStyle name="Normal 131 2" xfId="931"/>
    <cellStyle name="Normal 131 2 2" xfId="1358"/>
    <cellStyle name="Normal 131 3" xfId="1359"/>
    <cellStyle name="Normal 131 4" xfId="1360"/>
    <cellStyle name="Normal 131 5" xfId="1361"/>
    <cellStyle name="Normal 131 6" xfId="1357"/>
    <cellStyle name="Normal 132" xfId="486"/>
    <cellStyle name="Normal 132 2" xfId="932"/>
    <cellStyle name="Normal 132 3" xfId="8996"/>
    <cellStyle name="Normal 133" xfId="487"/>
    <cellStyle name="Normal 133 2" xfId="933"/>
    <cellStyle name="Normal 133 3" xfId="9054"/>
    <cellStyle name="Normal 134" xfId="488"/>
    <cellStyle name="Normal 134 2" xfId="934"/>
    <cellStyle name="Normal 134 2 2" xfId="1363"/>
    <cellStyle name="Normal 134 3" xfId="1364"/>
    <cellStyle name="Normal 134 4" xfId="1365"/>
    <cellStyle name="Normal 134 5" xfId="1366"/>
    <cellStyle name="Normal 134 6" xfId="1362"/>
    <cellStyle name="Normal 135" xfId="489"/>
    <cellStyle name="Normal 135 2" xfId="935"/>
    <cellStyle name="Normal 135 3" xfId="10600"/>
    <cellStyle name="Normal 136" xfId="490"/>
    <cellStyle name="Normal 136 2" xfId="936"/>
    <cellStyle name="Normal 136 3" xfId="10602"/>
    <cellStyle name="Normal 137" xfId="491"/>
    <cellStyle name="Normal 137 2" xfId="937"/>
    <cellStyle name="Normal 137 2 2" xfId="1368"/>
    <cellStyle name="Normal 137 3" xfId="1369"/>
    <cellStyle name="Normal 137 4" xfId="1370"/>
    <cellStyle name="Normal 137 5" xfId="1371"/>
    <cellStyle name="Normal 137 6" xfId="1367"/>
    <cellStyle name="Normal 138" xfId="492"/>
    <cellStyle name="Normal 138 2" xfId="938"/>
    <cellStyle name="Normal 138 3" xfId="10599"/>
    <cellStyle name="Normal 139" xfId="493"/>
    <cellStyle name="Normal 139 2" xfId="939"/>
    <cellStyle name="Normal 139 3" xfId="10601"/>
    <cellStyle name="Normal 14" xfId="198"/>
    <cellStyle name="Normal 14 10" xfId="7412"/>
    <cellStyle name="Normal 14 10 2" xfId="9867"/>
    <cellStyle name="Normal 14 11" xfId="9026"/>
    <cellStyle name="Normal 14 12" xfId="10652"/>
    <cellStyle name="Normal 14 13" xfId="10784"/>
    <cellStyle name="Normal 14 2" xfId="199"/>
    <cellStyle name="Normal 14 2 10" xfId="10653"/>
    <cellStyle name="Normal 14 2 11" xfId="10785"/>
    <cellStyle name="Normal 14 2 2" xfId="7413"/>
    <cellStyle name="Normal 14 2 2 2" xfId="9351"/>
    <cellStyle name="Normal 14 2 2 2 2" xfId="9766"/>
    <cellStyle name="Normal 14 2 2 2 2 2" xfId="9975"/>
    <cellStyle name="Normal 14 2 2 2 3" xfId="9974"/>
    <cellStyle name="Normal 14 2 2 3" xfId="9486"/>
    <cellStyle name="Normal 14 2 2 3 2" xfId="9976"/>
    <cellStyle name="Normal 14 2 2 4" xfId="9973"/>
    <cellStyle name="Normal 14 2 2 5" xfId="10697"/>
    <cellStyle name="Normal 14 2 2 6" xfId="10829"/>
    <cellStyle name="Normal 14 2 2 7" xfId="9212"/>
    <cellStyle name="Normal 14 2 3" xfId="7414"/>
    <cellStyle name="Normal 14 2 3 2" xfId="9386"/>
    <cellStyle name="Normal 14 2 3 2 2" xfId="9807"/>
    <cellStyle name="Normal 14 2 3 2 2 2" xfId="9979"/>
    <cellStyle name="Normal 14 2 3 2 3" xfId="9978"/>
    <cellStyle name="Normal 14 2 3 3" xfId="9526"/>
    <cellStyle name="Normal 14 2 3 3 2" xfId="9980"/>
    <cellStyle name="Normal 14 2 3 4" xfId="9977"/>
    <cellStyle name="Normal 14 2 3 5" xfId="10738"/>
    <cellStyle name="Normal 14 2 3 6" xfId="10868"/>
    <cellStyle name="Normal 14 2 4" xfId="7415"/>
    <cellStyle name="Normal 14 2 4 2" xfId="9621"/>
    <cellStyle name="Normal 14 2 4 2 2" xfId="9982"/>
    <cellStyle name="Normal 14 2 4 3" xfId="9981"/>
    <cellStyle name="Normal 14 2 4 4" xfId="9168"/>
    <cellStyle name="Normal 14 2 5" xfId="7416"/>
    <cellStyle name="Normal 14 2 5 2" xfId="9724"/>
    <cellStyle name="Normal 14 2 5 2 2" xfId="9984"/>
    <cellStyle name="Normal 14 2 5 3" xfId="9983"/>
    <cellStyle name="Normal 14 2 5 4" xfId="9313"/>
    <cellStyle name="Normal 14 2 6" xfId="7417"/>
    <cellStyle name="Normal 14 2 6 2" xfId="9573"/>
    <cellStyle name="Normal 14 2 6 2 2" xfId="9986"/>
    <cellStyle name="Normal 14 2 6 3" xfId="9985"/>
    <cellStyle name="Normal 14 2 6 4" xfId="9095"/>
    <cellStyle name="Normal 14 2 7" xfId="7418"/>
    <cellStyle name="Normal 14 2 7 2" xfId="9987"/>
    <cellStyle name="Normal 14 2 7 3" xfId="9443"/>
    <cellStyle name="Normal 14 2 8" xfId="7419"/>
    <cellStyle name="Normal 14 2 8 2" xfId="9868"/>
    <cellStyle name="Normal 14 2 9" xfId="7420"/>
    <cellStyle name="Normal 14 2 9 2" xfId="9027"/>
    <cellStyle name="Normal 14 3" xfId="1373"/>
    <cellStyle name="Normal 14 3 10" xfId="10654"/>
    <cellStyle name="Normal 14 3 11" xfId="10786"/>
    <cellStyle name="Normal 14 3 2" xfId="7421"/>
    <cellStyle name="Normal 14 3 2 2" xfId="9352"/>
    <cellStyle name="Normal 14 3 2 2 2" xfId="9767"/>
    <cellStyle name="Normal 14 3 2 2 2 2" xfId="9990"/>
    <cellStyle name="Normal 14 3 2 2 3" xfId="9989"/>
    <cellStyle name="Normal 14 3 2 3" xfId="9487"/>
    <cellStyle name="Normal 14 3 2 3 2" xfId="9991"/>
    <cellStyle name="Normal 14 3 2 4" xfId="9988"/>
    <cellStyle name="Normal 14 3 2 5" xfId="10698"/>
    <cellStyle name="Normal 14 3 2 6" xfId="10830"/>
    <cellStyle name="Normal 14 3 2 7" xfId="9213"/>
    <cellStyle name="Normal 14 3 3" xfId="9269"/>
    <cellStyle name="Normal 14 3 3 2" xfId="9387"/>
    <cellStyle name="Normal 14 3 3 2 2" xfId="9808"/>
    <cellStyle name="Normal 14 3 3 2 2 2" xfId="9994"/>
    <cellStyle name="Normal 14 3 3 2 3" xfId="9993"/>
    <cellStyle name="Normal 14 3 3 3" xfId="9527"/>
    <cellStyle name="Normal 14 3 3 3 2" xfId="9995"/>
    <cellStyle name="Normal 14 3 3 4" xfId="9992"/>
    <cellStyle name="Normal 14 3 3 5" xfId="10739"/>
    <cellStyle name="Normal 14 3 3 6" xfId="10869"/>
    <cellStyle name="Normal 14 3 4" xfId="9169"/>
    <cellStyle name="Normal 14 3 4 2" xfId="9622"/>
    <cellStyle name="Normal 14 3 4 2 2" xfId="9997"/>
    <cellStyle name="Normal 14 3 4 3" xfId="9996"/>
    <cellStyle name="Normal 14 3 5" xfId="9314"/>
    <cellStyle name="Normal 14 3 5 2" xfId="9725"/>
    <cellStyle name="Normal 14 3 5 2 2" xfId="9999"/>
    <cellStyle name="Normal 14 3 5 3" xfId="9998"/>
    <cellStyle name="Normal 14 3 6" xfId="9096"/>
    <cellStyle name="Normal 14 3 6 2" xfId="9574"/>
    <cellStyle name="Normal 14 3 6 2 2" xfId="10001"/>
    <cellStyle name="Normal 14 3 6 3" xfId="10000"/>
    <cellStyle name="Normal 14 3 7" xfId="9444"/>
    <cellStyle name="Normal 14 3 7 2" xfId="10002"/>
    <cellStyle name="Normal 14 3 8" xfId="9869"/>
    <cellStyle name="Normal 14 3 9" xfId="9028"/>
    <cellStyle name="Normal 14 4" xfId="1374"/>
    <cellStyle name="Normal 14 4 2" xfId="7422"/>
    <cellStyle name="Normal 14 4 2 2" xfId="9765"/>
    <cellStyle name="Normal 14 4 2 2 2" xfId="10005"/>
    <cellStyle name="Normal 14 4 2 3" xfId="10004"/>
    <cellStyle name="Normal 14 4 3" xfId="9485"/>
    <cellStyle name="Normal 14 4 3 2" xfId="10006"/>
    <cellStyle name="Normal 14 4 3 3" xfId="14891"/>
    <cellStyle name="Normal 14 4 3 4" xfId="13434"/>
    <cellStyle name="Normal 14 4 4" xfId="10003"/>
    <cellStyle name="Normal 14 4 5" xfId="10696"/>
    <cellStyle name="Normal 14 4 6" xfId="10828"/>
    <cellStyle name="Normal 14 5" xfId="1375"/>
    <cellStyle name="Normal 14 5 2" xfId="2508"/>
    <cellStyle name="Normal 14 5 2 2" xfId="9806"/>
    <cellStyle name="Normal 14 5 2 2 2" xfId="10009"/>
    <cellStyle name="Normal 14 5 2 3" xfId="10008"/>
    <cellStyle name="Normal 14 5 2 4" xfId="9385"/>
    <cellStyle name="Normal 14 5 3" xfId="2704"/>
    <cellStyle name="Normal 14 5 3 2" xfId="10010"/>
    <cellStyle name="Normal 14 5 3 3" xfId="9525"/>
    <cellStyle name="Normal 14 5 4" xfId="10007"/>
    <cellStyle name="Normal 14 5 5" xfId="10737"/>
    <cellStyle name="Normal 14 5 6" xfId="10867"/>
    <cellStyle name="Normal 14 5 7" xfId="9268"/>
    <cellStyle name="Normal 14 6" xfId="1376"/>
    <cellStyle name="Normal 14 6 2" xfId="2507"/>
    <cellStyle name="Normal 14 6 2 2" xfId="10012"/>
    <cellStyle name="Normal 14 6 2 3" xfId="9620"/>
    <cellStyle name="Normal 14 6 3" xfId="2705"/>
    <cellStyle name="Normal 14 6 3 2" xfId="10011"/>
    <cellStyle name="Normal 14 6 4" xfId="9167"/>
    <cellStyle name="Normal 14 7" xfId="1372"/>
    <cellStyle name="Normal 14 7 2" xfId="2845"/>
    <cellStyle name="Normal 14 7 2 2" xfId="10014"/>
    <cellStyle name="Normal 14 7 2 3" xfId="9723"/>
    <cellStyle name="Normal 14 7 3" xfId="2703"/>
    <cellStyle name="Normal 14 7 3 2" xfId="10013"/>
    <cellStyle name="Normal 14 7 4" xfId="2623"/>
    <cellStyle name="Normal 14 7 5" xfId="2556"/>
    <cellStyle name="Normal 14 7 6" xfId="9312"/>
    <cellStyle name="Normal 14 8" xfId="7423"/>
    <cellStyle name="Normal 14 8 2" xfId="9572"/>
    <cellStyle name="Normal 14 8 2 2" xfId="10016"/>
    <cellStyle name="Normal 14 8 3" xfId="10015"/>
    <cellStyle name="Normal 14 8 4" xfId="9094"/>
    <cellStyle name="Normal 14 9" xfId="7424"/>
    <cellStyle name="Normal 14 9 2" xfId="10017"/>
    <cellStyle name="Normal 14 9 3" xfId="9442"/>
    <cellStyle name="Normal 140" xfId="494"/>
    <cellStyle name="Normal 140 2" xfId="940"/>
    <cellStyle name="Normal 140 2 2" xfId="1378"/>
    <cellStyle name="Normal 140 3" xfId="1379"/>
    <cellStyle name="Normal 140 4" xfId="1380"/>
    <cellStyle name="Normal 140 5" xfId="1381"/>
    <cellStyle name="Normal 140 6" xfId="1377"/>
    <cellStyle name="Normal 141" xfId="495"/>
    <cellStyle name="Normal 141 2" xfId="1383"/>
    <cellStyle name="Normal 141 2 2" xfId="7425"/>
    <cellStyle name="Normal 141 2 2 2" xfId="7426"/>
    <cellStyle name="Normal 141 2 2 3" xfId="13036"/>
    <cellStyle name="Normal 141 2 3" xfId="7427"/>
    <cellStyle name="Normal 141 2 4" xfId="7428"/>
    <cellStyle name="Normal 141 2 5" xfId="13435"/>
    <cellStyle name="Normal 141 3" xfId="1384"/>
    <cellStyle name="Normal 141 3 2" xfId="2506"/>
    <cellStyle name="Normal 141 3 3" xfId="2706"/>
    <cellStyle name="Normal 141 4" xfId="1385"/>
    <cellStyle name="Normal 141 5" xfId="1382"/>
    <cellStyle name="Normal 142" xfId="496"/>
    <cellStyle name="Normal 142 2" xfId="1387"/>
    <cellStyle name="Normal 142 2 2" xfId="7429"/>
    <cellStyle name="Normal 142 2 2 2" xfId="7430"/>
    <cellStyle name="Normal 142 2 2 3" xfId="13032"/>
    <cellStyle name="Normal 142 2 3" xfId="7431"/>
    <cellStyle name="Normal 142 2 4" xfId="7432"/>
    <cellStyle name="Normal 142 2 5" xfId="13436"/>
    <cellStyle name="Normal 142 3" xfId="1388"/>
    <cellStyle name="Normal 142 3 2" xfId="2505"/>
    <cellStyle name="Normal 142 3 3" xfId="2707"/>
    <cellStyle name="Normal 142 4" xfId="1389"/>
    <cellStyle name="Normal 142 5" xfId="1386"/>
    <cellStyle name="Normal 143" xfId="497"/>
    <cellStyle name="Normal 143 2" xfId="941"/>
    <cellStyle name="Normal 143 2 2" xfId="1391"/>
    <cellStyle name="Normal 143 3" xfId="1392"/>
    <cellStyle name="Normal 143 4" xfId="1393"/>
    <cellStyle name="Normal 143 5" xfId="1394"/>
    <cellStyle name="Normal 143 6" xfId="1390"/>
    <cellStyle name="Normal 144" xfId="498"/>
    <cellStyle name="Normal 144 2" xfId="1396"/>
    <cellStyle name="Normal 144 2 2" xfId="7433"/>
    <cellStyle name="Normal 144 2 2 2" xfId="7434"/>
    <cellStyle name="Normal 144 2 2 3" xfId="12885"/>
    <cellStyle name="Normal 144 2 3" xfId="7435"/>
    <cellStyle name="Normal 144 2 4" xfId="7436"/>
    <cellStyle name="Normal 144 2 5" xfId="13437"/>
    <cellStyle name="Normal 144 3" xfId="1397"/>
    <cellStyle name="Normal 144 3 2" xfId="2504"/>
    <cellStyle name="Normal 144 3 3" xfId="2708"/>
    <cellStyle name="Normal 144 4" xfId="1398"/>
    <cellStyle name="Normal 144 5" xfId="1395"/>
    <cellStyle name="Normal 145" xfId="499"/>
    <cellStyle name="Normal 145 2" xfId="1400"/>
    <cellStyle name="Normal 145 2 2" xfId="7437"/>
    <cellStyle name="Normal 145 2 2 2" xfId="7438"/>
    <cellStyle name="Normal 145 2 2 3" xfId="13010"/>
    <cellStyle name="Normal 145 2 3" xfId="7439"/>
    <cellStyle name="Normal 145 2 4" xfId="7440"/>
    <cellStyle name="Normal 145 2 5" xfId="13438"/>
    <cellStyle name="Normal 145 3" xfId="1401"/>
    <cellStyle name="Normal 145 3 2" xfId="2503"/>
    <cellStyle name="Normal 145 3 3" xfId="2709"/>
    <cellStyle name="Normal 145 4" xfId="1402"/>
    <cellStyle name="Normal 145 5" xfId="1399"/>
    <cellStyle name="Normal 146" xfId="500"/>
    <cellStyle name="Normal 146 2" xfId="1403"/>
    <cellStyle name="Normal 146 2 2" xfId="7441"/>
    <cellStyle name="Normal 146 3" xfId="1404"/>
    <cellStyle name="Normal 146 4" xfId="1405"/>
    <cellStyle name="Normal 146 4 2" xfId="2502"/>
    <cellStyle name="Normal 146 4 3" xfId="2710"/>
    <cellStyle name="Normal 146 5" xfId="1406"/>
    <cellStyle name="Normal 147" xfId="501"/>
    <cellStyle name="Normal 147 2" xfId="1408"/>
    <cellStyle name="Normal 147 2 2" xfId="7442"/>
    <cellStyle name="Normal 147 2 2 2" xfId="7443"/>
    <cellStyle name="Normal 147 2 2 3" xfId="12364"/>
    <cellStyle name="Normal 147 2 3" xfId="7444"/>
    <cellStyle name="Normal 147 2 4" xfId="7445"/>
    <cellStyle name="Normal 147 2 5" xfId="13439"/>
    <cellStyle name="Normal 147 3" xfId="1409"/>
    <cellStyle name="Normal 147 3 2" xfId="2501"/>
    <cellStyle name="Normal 147 3 3" xfId="2711"/>
    <cellStyle name="Normal 147 4" xfId="1410"/>
    <cellStyle name="Normal 147 5" xfId="1407"/>
    <cellStyle name="Normal 148" xfId="502"/>
    <cellStyle name="Normal 148 2" xfId="1412"/>
    <cellStyle name="Normal 148 2 2" xfId="7446"/>
    <cellStyle name="Normal 148 2 2 2" xfId="7447"/>
    <cellStyle name="Normal 148 2 2 3" xfId="12893"/>
    <cellStyle name="Normal 148 2 3" xfId="7448"/>
    <cellStyle name="Normal 148 2 4" xfId="7449"/>
    <cellStyle name="Normal 148 2 5" xfId="13440"/>
    <cellStyle name="Normal 148 3" xfId="1413"/>
    <cellStyle name="Normal 148 3 2" xfId="2500"/>
    <cellStyle name="Normal 148 3 3" xfId="2712"/>
    <cellStyle name="Normal 148 4" xfId="1414"/>
    <cellStyle name="Normal 148 5" xfId="1411"/>
    <cellStyle name="Normal 149" xfId="503"/>
    <cellStyle name="Normal 149 2" xfId="1415"/>
    <cellStyle name="Normal 149 2 2" xfId="7450"/>
    <cellStyle name="Normal 149 3" xfId="1416"/>
    <cellStyle name="Normal 149 4" xfId="1417"/>
    <cellStyle name="Normal 149 4 2" xfId="2499"/>
    <cellStyle name="Normal 149 4 3" xfId="2713"/>
    <cellStyle name="Normal 149 5" xfId="1418"/>
    <cellStyle name="Normal 15" xfId="200"/>
    <cellStyle name="Normal 15 2" xfId="201"/>
    <cellStyle name="Normal 15 3" xfId="1419"/>
    <cellStyle name="Normal 15 4" xfId="1420"/>
    <cellStyle name="Normal 15 4 2" xfId="1421"/>
    <cellStyle name="Normal 15 4 3" xfId="2714"/>
    <cellStyle name="Normal 15 5" xfId="1422"/>
    <cellStyle name="Normal 150" xfId="504"/>
    <cellStyle name="Normal 150 2" xfId="1424"/>
    <cellStyle name="Normal 150 2 2" xfId="7451"/>
    <cellStyle name="Normal 150 2 2 2" xfId="7452"/>
    <cellStyle name="Normal 150 2 2 3" xfId="11827"/>
    <cellStyle name="Normal 150 2 3" xfId="7453"/>
    <cellStyle name="Normal 150 2 4" xfId="7454"/>
    <cellStyle name="Normal 150 2 5" xfId="13441"/>
    <cellStyle name="Normal 150 3" xfId="1425"/>
    <cellStyle name="Normal 150 3 2" xfId="2498"/>
    <cellStyle name="Normal 150 3 3" xfId="2715"/>
    <cellStyle name="Normal 150 4" xfId="1426"/>
    <cellStyle name="Normal 150 5" xfId="1423"/>
    <cellStyle name="Normal 151" xfId="505"/>
    <cellStyle name="Normal 151 2" xfId="1428"/>
    <cellStyle name="Normal 151 2 2" xfId="7455"/>
    <cellStyle name="Normal 151 2 2 2" xfId="7456"/>
    <cellStyle name="Normal 151 2 2 3" xfId="12930"/>
    <cellStyle name="Normal 151 2 3" xfId="7457"/>
    <cellStyle name="Normal 151 2 4" xfId="7458"/>
    <cellStyle name="Normal 151 2 5" xfId="13442"/>
    <cellStyle name="Normal 151 3" xfId="1429"/>
    <cellStyle name="Normal 151 3 2" xfId="2497"/>
    <cellStyle name="Normal 151 3 3" xfId="2716"/>
    <cellStyle name="Normal 151 4" xfId="1430"/>
    <cellStyle name="Normal 151 5" xfId="1427"/>
    <cellStyle name="Normal 152" xfId="506"/>
    <cellStyle name="Normal 152 2" xfId="1431"/>
    <cellStyle name="Normal 152 2 2" xfId="7459"/>
    <cellStyle name="Normal 152 3" xfId="1432"/>
    <cellStyle name="Normal 152 4" xfId="1433"/>
    <cellStyle name="Normal 152 4 2" xfId="2496"/>
    <cellStyle name="Normal 152 4 3" xfId="2717"/>
    <cellStyle name="Normal 152 5" xfId="1434"/>
    <cellStyle name="Normal 153" xfId="507"/>
    <cellStyle name="Normal 153 2" xfId="1436"/>
    <cellStyle name="Normal 153 2 2" xfId="7460"/>
    <cellStyle name="Normal 153 2 2 2" xfId="7461"/>
    <cellStyle name="Normal 153 2 2 3" xfId="12972"/>
    <cellStyle name="Normal 153 2 3" xfId="7462"/>
    <cellStyle name="Normal 153 2 4" xfId="7463"/>
    <cellStyle name="Normal 153 2 5" xfId="13443"/>
    <cellStyle name="Normal 153 3" xfId="1437"/>
    <cellStyle name="Normal 153 3 2" xfId="2495"/>
    <cellStyle name="Normal 153 3 3" xfId="2718"/>
    <cellStyle name="Normal 153 4" xfId="1438"/>
    <cellStyle name="Normal 153 5" xfId="1435"/>
    <cellStyle name="Normal 154" xfId="508"/>
    <cellStyle name="Normal 154 2" xfId="1440"/>
    <cellStyle name="Normal 154 2 2" xfId="7464"/>
    <cellStyle name="Normal 154 2 2 2" xfId="7465"/>
    <cellStyle name="Normal 154 2 2 3" xfId="12963"/>
    <cellStyle name="Normal 154 2 3" xfId="7466"/>
    <cellStyle name="Normal 154 2 4" xfId="7467"/>
    <cellStyle name="Normal 154 2 5" xfId="13444"/>
    <cellStyle name="Normal 154 3" xfId="1441"/>
    <cellStyle name="Normal 154 3 2" xfId="2494"/>
    <cellStyle name="Normal 154 3 3" xfId="2719"/>
    <cellStyle name="Normal 154 4" xfId="1442"/>
    <cellStyle name="Normal 154 5" xfId="1439"/>
    <cellStyle name="Normal 155" xfId="509"/>
    <cellStyle name="Normal 155 2" xfId="1444"/>
    <cellStyle name="Normal 155 2 2" xfId="7468"/>
    <cellStyle name="Normal 155 2 2 2" xfId="7469"/>
    <cellStyle name="Normal 155 2 2 3" xfId="12870"/>
    <cellStyle name="Normal 155 2 3" xfId="7470"/>
    <cellStyle name="Normal 155 2 4" xfId="7471"/>
    <cellStyle name="Normal 155 2 5" xfId="13445"/>
    <cellStyle name="Normal 155 3" xfId="1445"/>
    <cellStyle name="Normal 155 4" xfId="1446"/>
    <cellStyle name="Normal 155 5" xfId="1447"/>
    <cellStyle name="Normal 155 5 2" xfId="2493"/>
    <cellStyle name="Normal 155 5 3" xfId="2720"/>
    <cellStyle name="Normal 155 6" xfId="1448"/>
    <cellStyle name="Normal 155 7" xfId="1443"/>
    <cellStyle name="Normal 156" xfId="510"/>
    <cellStyle name="Normal 156 2" xfId="1450"/>
    <cellStyle name="Normal 156 2 2" xfId="7472"/>
    <cellStyle name="Normal 156 2 2 2" xfId="7473"/>
    <cellStyle name="Normal 156 2 2 3" xfId="12365"/>
    <cellStyle name="Normal 156 2 3" xfId="7474"/>
    <cellStyle name="Normal 156 2 4" xfId="7475"/>
    <cellStyle name="Normal 156 2 5" xfId="13446"/>
    <cellStyle name="Normal 156 3" xfId="1451"/>
    <cellStyle name="Normal 156 3 2" xfId="2492"/>
    <cellStyle name="Normal 156 3 3" xfId="2721"/>
    <cellStyle name="Normal 156 4" xfId="1452"/>
    <cellStyle name="Normal 156 5" xfId="1449"/>
    <cellStyle name="Normal 157" xfId="511"/>
    <cellStyle name="Normal 157 2" xfId="1453"/>
    <cellStyle name="Normal 157 2 2" xfId="7476"/>
    <cellStyle name="Normal 157 3" xfId="1454"/>
    <cellStyle name="Normal 157 3 2" xfId="2491"/>
    <cellStyle name="Normal 157 3 3" xfId="2722"/>
    <cellStyle name="Normal 157 4" xfId="1455"/>
    <cellStyle name="Normal 158" xfId="512"/>
    <cellStyle name="Normal 158 2" xfId="1456"/>
    <cellStyle name="Normal 158 2 2" xfId="7477"/>
    <cellStyle name="Normal 158 3" xfId="1457"/>
    <cellStyle name="Normal 158 3 2" xfId="2490"/>
    <cellStyle name="Normal 158 3 3" xfId="2723"/>
    <cellStyle name="Normal 158 4" xfId="1458"/>
    <cellStyle name="Normal 159" xfId="513"/>
    <cellStyle name="Normal 159 2" xfId="1460"/>
    <cellStyle name="Normal 159 2 2" xfId="7478"/>
    <cellStyle name="Normal 159 2 2 2" xfId="7479"/>
    <cellStyle name="Normal 159 2 2 3" xfId="12969"/>
    <cellStyle name="Normal 159 2 3" xfId="7480"/>
    <cellStyle name="Normal 159 2 4" xfId="7481"/>
    <cellStyle name="Normal 159 2 5" xfId="13447"/>
    <cellStyle name="Normal 159 3" xfId="1461"/>
    <cellStyle name="Normal 159 3 2" xfId="2489"/>
    <cellStyle name="Normal 159 3 3" xfId="2724"/>
    <cellStyle name="Normal 159 4" xfId="1462"/>
    <cellStyle name="Normal 159 5" xfId="1459"/>
    <cellStyle name="Normal 16" xfId="202"/>
    <cellStyle name="Normal 16 10" xfId="9870"/>
    <cellStyle name="Normal 16 11" xfId="9029"/>
    <cellStyle name="Normal 16 12" xfId="10655"/>
    <cellStyle name="Normal 16 13" xfId="10787"/>
    <cellStyle name="Normal 16 2" xfId="203"/>
    <cellStyle name="Normal 16 2 10" xfId="10656"/>
    <cellStyle name="Normal 16 2 11" xfId="10788"/>
    <cellStyle name="Normal 16 2 2" xfId="9215"/>
    <cellStyle name="Normal 16 2 2 2" xfId="9354"/>
    <cellStyle name="Normal 16 2 2 2 2" xfId="9769"/>
    <cellStyle name="Normal 16 2 2 2 2 2" xfId="10020"/>
    <cellStyle name="Normal 16 2 2 2 3" xfId="10019"/>
    <cellStyle name="Normal 16 2 2 3" xfId="9489"/>
    <cellStyle name="Normal 16 2 2 3 2" xfId="10021"/>
    <cellStyle name="Normal 16 2 2 4" xfId="10018"/>
    <cellStyle name="Normal 16 2 2 5" xfId="10700"/>
    <cellStyle name="Normal 16 2 2 6" xfId="10832"/>
    <cellStyle name="Normal 16 2 3" xfId="9271"/>
    <cellStyle name="Normal 16 2 3 2" xfId="9389"/>
    <cellStyle name="Normal 16 2 3 2 2" xfId="9810"/>
    <cellStyle name="Normal 16 2 3 2 2 2" xfId="10024"/>
    <cellStyle name="Normal 16 2 3 2 3" xfId="10023"/>
    <cellStyle name="Normal 16 2 3 3" xfId="9529"/>
    <cellStyle name="Normal 16 2 3 3 2" xfId="10025"/>
    <cellStyle name="Normal 16 2 3 4" xfId="10022"/>
    <cellStyle name="Normal 16 2 3 5" xfId="10741"/>
    <cellStyle name="Normal 16 2 3 6" xfId="10871"/>
    <cellStyle name="Normal 16 2 4" xfId="9171"/>
    <cellStyle name="Normal 16 2 4 2" xfId="9624"/>
    <cellStyle name="Normal 16 2 4 2 2" xfId="10027"/>
    <cellStyle name="Normal 16 2 4 3" xfId="10026"/>
    <cellStyle name="Normal 16 2 5" xfId="9316"/>
    <cellStyle name="Normal 16 2 5 2" xfId="9727"/>
    <cellStyle name="Normal 16 2 5 2 2" xfId="10029"/>
    <cellStyle name="Normal 16 2 5 3" xfId="10028"/>
    <cellStyle name="Normal 16 2 6" xfId="9098"/>
    <cellStyle name="Normal 16 2 6 2" xfId="9577"/>
    <cellStyle name="Normal 16 2 6 2 2" xfId="10031"/>
    <cellStyle name="Normal 16 2 6 3" xfId="10030"/>
    <cellStyle name="Normal 16 2 7" xfId="9446"/>
    <cellStyle name="Normal 16 2 7 2" xfId="10032"/>
    <cellStyle name="Normal 16 2 8" xfId="9871"/>
    <cellStyle name="Normal 16 2 9" xfId="9030"/>
    <cellStyle name="Normal 16 3" xfId="8968"/>
    <cellStyle name="Normal 16 3 10" xfId="10657"/>
    <cellStyle name="Normal 16 3 11" xfId="10789"/>
    <cellStyle name="Normal 16 3 2" xfId="9216"/>
    <cellStyle name="Normal 16 3 2 2" xfId="9355"/>
    <cellStyle name="Normal 16 3 2 2 2" xfId="9770"/>
    <cellStyle name="Normal 16 3 2 2 2 2" xfId="10035"/>
    <cellStyle name="Normal 16 3 2 2 3" xfId="10034"/>
    <cellStyle name="Normal 16 3 2 3" xfId="9490"/>
    <cellStyle name="Normal 16 3 2 3 2" xfId="10036"/>
    <cellStyle name="Normal 16 3 2 4" xfId="10033"/>
    <cellStyle name="Normal 16 3 2 5" xfId="10701"/>
    <cellStyle name="Normal 16 3 2 6" xfId="10833"/>
    <cellStyle name="Normal 16 3 3" xfId="9272"/>
    <cellStyle name="Normal 16 3 3 2" xfId="9390"/>
    <cellStyle name="Normal 16 3 3 2 2" xfId="9811"/>
    <cellStyle name="Normal 16 3 3 2 2 2" xfId="10039"/>
    <cellStyle name="Normal 16 3 3 2 3" xfId="10038"/>
    <cellStyle name="Normal 16 3 3 3" xfId="9530"/>
    <cellStyle name="Normal 16 3 3 3 2" xfId="10040"/>
    <cellStyle name="Normal 16 3 3 4" xfId="10037"/>
    <cellStyle name="Normal 16 3 3 5" xfId="10742"/>
    <cellStyle name="Normal 16 3 3 6" xfId="10872"/>
    <cellStyle name="Normal 16 3 4" xfId="9172"/>
    <cellStyle name="Normal 16 3 4 2" xfId="9625"/>
    <cellStyle name="Normal 16 3 4 2 2" xfId="10042"/>
    <cellStyle name="Normal 16 3 4 3" xfId="10041"/>
    <cellStyle name="Normal 16 3 5" xfId="9317"/>
    <cellStyle name="Normal 16 3 5 2" xfId="9728"/>
    <cellStyle name="Normal 16 3 5 2 2" xfId="10044"/>
    <cellStyle name="Normal 16 3 5 3" xfId="10043"/>
    <cellStyle name="Normal 16 3 6" xfId="9099"/>
    <cellStyle name="Normal 16 3 6 2" xfId="9578"/>
    <cellStyle name="Normal 16 3 6 2 2" xfId="10046"/>
    <cellStyle name="Normal 16 3 6 3" xfId="10045"/>
    <cellStyle name="Normal 16 3 7" xfId="9447"/>
    <cellStyle name="Normal 16 3 7 2" xfId="10047"/>
    <cellStyle name="Normal 16 3 8" xfId="9872"/>
    <cellStyle name="Normal 16 3 9" xfId="9031"/>
    <cellStyle name="Normal 16 4" xfId="9214"/>
    <cellStyle name="Normal 16 4 2" xfId="9353"/>
    <cellStyle name="Normal 16 4 2 2" xfId="9768"/>
    <cellStyle name="Normal 16 4 2 2 2" xfId="10050"/>
    <cellStyle name="Normal 16 4 2 3" xfId="10049"/>
    <cellStyle name="Normal 16 4 3" xfId="9488"/>
    <cellStyle name="Normal 16 4 3 2" xfId="10051"/>
    <cellStyle name="Normal 16 4 4" xfId="10048"/>
    <cellStyle name="Normal 16 4 5" xfId="10699"/>
    <cellStyle name="Normal 16 4 6" xfId="10831"/>
    <cellStyle name="Normal 16 5" xfId="9270"/>
    <cellStyle name="Normal 16 5 2" xfId="9388"/>
    <cellStyle name="Normal 16 5 2 2" xfId="9809"/>
    <cellStyle name="Normal 16 5 2 2 2" xfId="10054"/>
    <cellStyle name="Normal 16 5 2 3" xfId="10053"/>
    <cellStyle name="Normal 16 5 3" xfId="9528"/>
    <cellStyle name="Normal 16 5 3 2" xfId="10055"/>
    <cellStyle name="Normal 16 5 4" xfId="10052"/>
    <cellStyle name="Normal 16 5 5" xfId="10740"/>
    <cellStyle name="Normal 16 5 6" xfId="10870"/>
    <cellStyle name="Normal 16 6" xfId="9170"/>
    <cellStyle name="Normal 16 6 2" xfId="9623"/>
    <cellStyle name="Normal 16 6 2 2" xfId="10057"/>
    <cellStyle name="Normal 16 6 3" xfId="10056"/>
    <cellStyle name="Normal 16 7" xfId="9315"/>
    <cellStyle name="Normal 16 7 2" xfId="9726"/>
    <cellStyle name="Normal 16 7 2 2" xfId="10059"/>
    <cellStyle name="Normal 16 7 3" xfId="10058"/>
    <cellStyle name="Normal 16 8" xfId="9097"/>
    <cellStyle name="Normal 16 8 2" xfId="9576"/>
    <cellStyle name="Normal 16 8 2 2" xfId="10061"/>
    <cellStyle name="Normal 16 8 3" xfId="10060"/>
    <cellStyle name="Normal 16 9" xfId="9445"/>
    <cellStyle name="Normal 16 9 2" xfId="10062"/>
    <cellStyle name="Normal 160" xfId="514"/>
    <cellStyle name="Normal 160 2" xfId="1464"/>
    <cellStyle name="Normal 160 2 2" xfId="7482"/>
    <cellStyle name="Normal 160 2 2 2" xfId="7483"/>
    <cellStyle name="Normal 160 2 2 3" xfId="13172"/>
    <cellStyle name="Normal 160 2 3" xfId="7484"/>
    <cellStyle name="Normal 160 2 4" xfId="7485"/>
    <cellStyle name="Normal 160 2 5" xfId="13448"/>
    <cellStyle name="Normal 160 3" xfId="1465"/>
    <cellStyle name="Normal 160 3 2" xfId="2488"/>
    <cellStyle name="Normal 160 3 3" xfId="2725"/>
    <cellStyle name="Normal 160 4" xfId="1466"/>
    <cellStyle name="Normal 160 5" xfId="1463"/>
    <cellStyle name="Normal 161" xfId="515"/>
    <cellStyle name="Normal 161 2" xfId="1468"/>
    <cellStyle name="Normal 161 2 2" xfId="7486"/>
    <cellStyle name="Normal 161 2 2 2" xfId="7487"/>
    <cellStyle name="Normal 161 2 2 3" xfId="11528"/>
    <cellStyle name="Normal 161 2 3" xfId="7488"/>
    <cellStyle name="Normal 161 2 4" xfId="7489"/>
    <cellStyle name="Normal 161 2 5" xfId="13449"/>
    <cellStyle name="Normal 161 3" xfId="1469"/>
    <cellStyle name="Normal 161 3 2" xfId="2487"/>
    <cellStyle name="Normal 161 3 3" xfId="2726"/>
    <cellStyle name="Normal 161 4" xfId="1470"/>
    <cellStyle name="Normal 161 5" xfId="1467"/>
    <cellStyle name="Normal 162" xfId="516"/>
    <cellStyle name="Normal 162 2" xfId="1472"/>
    <cellStyle name="Normal 162 2 2" xfId="7490"/>
    <cellStyle name="Normal 162 2 2 2" xfId="7491"/>
    <cellStyle name="Normal 162 2 2 3" xfId="12824"/>
    <cellStyle name="Normal 162 2 3" xfId="7492"/>
    <cellStyle name="Normal 162 2 4" xfId="7493"/>
    <cellStyle name="Normal 162 2 5" xfId="13450"/>
    <cellStyle name="Normal 162 3" xfId="1473"/>
    <cellStyle name="Normal 162 3 2" xfId="2486"/>
    <cellStyle name="Normal 162 3 3" xfId="2727"/>
    <cellStyle name="Normal 162 4" xfId="1474"/>
    <cellStyle name="Normal 162 5" xfId="1471"/>
    <cellStyle name="Normal 162 6" xfId="10603"/>
    <cellStyle name="Normal 163" xfId="517"/>
    <cellStyle name="Normal 163 2" xfId="1476"/>
    <cellStyle name="Normal 163 2 2" xfId="7494"/>
    <cellStyle name="Normal 163 2 2 2" xfId="7495"/>
    <cellStyle name="Normal 163 2 2 3" xfId="13019"/>
    <cellStyle name="Normal 163 2 3" xfId="7496"/>
    <cellStyle name="Normal 163 2 4" xfId="7497"/>
    <cellStyle name="Normal 163 2 5" xfId="13451"/>
    <cellStyle name="Normal 163 3" xfId="1477"/>
    <cellStyle name="Normal 163 3 2" xfId="2485"/>
    <cellStyle name="Normal 163 3 3" xfId="2728"/>
    <cellStyle name="Normal 163 4" xfId="1478"/>
    <cellStyle name="Normal 163 5" xfId="1475"/>
    <cellStyle name="Normal 164" xfId="518"/>
    <cellStyle name="Normal 164 2" xfId="1479"/>
    <cellStyle name="Normal 164 2 2" xfId="7498"/>
    <cellStyle name="Normal 164 3" xfId="1480"/>
    <cellStyle name="Normal 164 4" xfId="1481"/>
    <cellStyle name="Normal 164 4 2" xfId="2484"/>
    <cellStyle name="Normal 164 4 3" xfId="2729"/>
    <cellStyle name="Normal 164 5" xfId="1482"/>
    <cellStyle name="Normal 165" xfId="519"/>
    <cellStyle name="Normal 165 2" xfId="1483"/>
    <cellStyle name="Normal 165 2 2" xfId="7499"/>
    <cellStyle name="Normal 165 3" xfId="1484"/>
    <cellStyle name="Normal 165 4" xfId="1485"/>
    <cellStyle name="Normal 165 4 2" xfId="2483"/>
    <cellStyle name="Normal 165 4 3" xfId="2730"/>
    <cellStyle name="Normal 165 5" xfId="1486"/>
    <cellStyle name="Normal 166" xfId="520"/>
    <cellStyle name="Normal 166 2" xfId="1488"/>
    <cellStyle name="Normal 166 2 2" xfId="7500"/>
    <cellStyle name="Normal 166 2 2 2" xfId="7501"/>
    <cellStyle name="Normal 166 2 2 3" xfId="12424"/>
    <cellStyle name="Normal 166 2 3" xfId="7502"/>
    <cellStyle name="Normal 166 2 4" xfId="7503"/>
    <cellStyle name="Normal 166 2 5" xfId="13452"/>
    <cellStyle name="Normal 166 3" xfId="1489"/>
    <cellStyle name="Normal 166 3 2" xfId="2482"/>
    <cellStyle name="Normal 166 3 3" xfId="2731"/>
    <cellStyle name="Normal 166 4" xfId="1490"/>
    <cellStyle name="Normal 166 5" xfId="1487"/>
    <cellStyle name="Normal 167" xfId="521"/>
    <cellStyle name="Normal 167 2" xfId="1492"/>
    <cellStyle name="Normal 167 2 2" xfId="7504"/>
    <cellStyle name="Normal 167 2 2 2" xfId="7505"/>
    <cellStyle name="Normal 167 2 2 3" xfId="12366"/>
    <cellStyle name="Normal 167 2 3" xfId="7506"/>
    <cellStyle name="Normal 167 2 4" xfId="7507"/>
    <cellStyle name="Normal 167 2 5" xfId="13453"/>
    <cellStyle name="Normal 167 3" xfId="1493"/>
    <cellStyle name="Normal 167 3 2" xfId="2481"/>
    <cellStyle name="Normal 167 3 3" xfId="2732"/>
    <cellStyle name="Normal 167 4" xfId="1494"/>
    <cellStyle name="Normal 167 5" xfId="1491"/>
    <cellStyle name="Normal 168" xfId="522"/>
    <cellStyle name="Normal 168 2" xfId="1495"/>
    <cellStyle name="Normal 168 2 2" xfId="7508"/>
    <cellStyle name="Normal 168 3" xfId="1496"/>
    <cellStyle name="Normal 168 4" xfId="1497"/>
    <cellStyle name="Normal 168 4 2" xfId="2480"/>
    <cellStyle name="Normal 168 4 3" xfId="2733"/>
    <cellStyle name="Normal 168 5" xfId="1498"/>
    <cellStyle name="Normal 169" xfId="523"/>
    <cellStyle name="Normal 169 2" xfId="1500"/>
    <cellStyle name="Normal 169 2 2" xfId="7509"/>
    <cellStyle name="Normal 169 2 2 2" xfId="7510"/>
    <cellStyle name="Normal 169 2 2 3" xfId="12997"/>
    <cellStyle name="Normal 169 2 3" xfId="7511"/>
    <cellStyle name="Normal 169 2 4" xfId="7512"/>
    <cellStyle name="Normal 169 2 5" xfId="13454"/>
    <cellStyle name="Normal 169 3" xfId="1501"/>
    <cellStyle name="Normal 169 3 2" xfId="2479"/>
    <cellStyle name="Normal 169 3 3" xfId="2734"/>
    <cellStyle name="Normal 169 4" xfId="1502"/>
    <cellStyle name="Normal 169 5" xfId="1499"/>
    <cellStyle name="Normal 17" xfId="204"/>
    <cellStyle name="Normal 17 2" xfId="744"/>
    <cellStyle name="Normal 17 2 2" xfId="9664"/>
    <cellStyle name="Normal 17 3" xfId="7513"/>
    <cellStyle name="Normal 17 4" xfId="7514"/>
    <cellStyle name="Normal 17 5" xfId="7515"/>
    <cellStyle name="Normal 17 6" xfId="7516"/>
    <cellStyle name="Normal 17 7" xfId="7517"/>
    <cellStyle name="Normal 17 8" xfId="7518"/>
    <cellStyle name="Normal 170" xfId="524"/>
    <cellStyle name="Normal 170 2" xfId="1503"/>
    <cellStyle name="Normal 170 2 2" xfId="7519"/>
    <cellStyle name="Normal 170 3" xfId="1504"/>
    <cellStyle name="Normal 170 4" xfId="1505"/>
    <cellStyle name="Normal 170 4 2" xfId="2478"/>
    <cellStyle name="Normal 170 4 3" xfId="2735"/>
    <cellStyle name="Normal 170 5" xfId="1506"/>
    <cellStyle name="Normal 171" xfId="525"/>
    <cellStyle name="Normal 171 2" xfId="1508"/>
    <cellStyle name="Normal 171 2 2" xfId="7520"/>
    <cellStyle name="Normal 171 2 2 2" xfId="7521"/>
    <cellStyle name="Normal 171 2 2 3" xfId="12859"/>
    <cellStyle name="Normal 171 2 3" xfId="7522"/>
    <cellStyle name="Normal 171 2 4" xfId="7523"/>
    <cellStyle name="Normal 171 2 5" xfId="13455"/>
    <cellStyle name="Normal 171 3" xfId="1509"/>
    <cellStyle name="Normal 171 3 2" xfId="2477"/>
    <cellStyle name="Normal 171 3 3" xfId="2736"/>
    <cellStyle name="Normal 171 4" xfId="1510"/>
    <cellStyle name="Normal 171 5" xfId="1507"/>
    <cellStyle name="Normal 172" xfId="526"/>
    <cellStyle name="Normal 172 2" xfId="1511"/>
    <cellStyle name="Normal 172 2 2" xfId="7524"/>
    <cellStyle name="Normal 172 3" xfId="1512"/>
    <cellStyle name="Normal 172 4" xfId="1513"/>
    <cellStyle name="Normal 172 4 2" xfId="2476"/>
    <cellStyle name="Normal 172 4 3" xfId="2737"/>
    <cellStyle name="Normal 172 5" xfId="1514"/>
    <cellStyle name="Normal 172 6" xfId="10779"/>
    <cellStyle name="Normal 173" xfId="527"/>
    <cellStyle name="Normal 173 2" xfId="1516"/>
    <cellStyle name="Normal 173 2 2" xfId="7525"/>
    <cellStyle name="Normal 173 2 2 2" xfId="7526"/>
    <cellStyle name="Normal 173 2 2 3" xfId="13035"/>
    <cellStyle name="Normal 173 2 3" xfId="7527"/>
    <cellStyle name="Normal 173 2 4" xfId="7528"/>
    <cellStyle name="Normal 173 2 5" xfId="13456"/>
    <cellStyle name="Normal 173 3" xfId="1517"/>
    <cellStyle name="Normal 173 3 2" xfId="2475"/>
    <cellStyle name="Normal 173 3 3" xfId="2738"/>
    <cellStyle name="Normal 173 4" xfId="1518"/>
    <cellStyle name="Normal 173 5" xfId="1515"/>
    <cellStyle name="Normal 174" xfId="528"/>
    <cellStyle name="Normal 174 2" xfId="1519"/>
    <cellStyle name="Normal 174 2 2" xfId="7529"/>
    <cellStyle name="Normal 174 3" xfId="1520"/>
    <cellStyle name="Normal 174 4" xfId="1521"/>
    <cellStyle name="Normal 174 4 2" xfId="2474"/>
    <cellStyle name="Normal 174 4 3" xfId="2739"/>
    <cellStyle name="Normal 174 5" xfId="1522"/>
    <cellStyle name="Normal 175" xfId="529"/>
    <cellStyle name="Normal 176" xfId="530"/>
    <cellStyle name="Normal 176 2" xfId="1523"/>
    <cellStyle name="Normal 176 2 2" xfId="7530"/>
    <cellStyle name="Normal 176 3" xfId="1524"/>
    <cellStyle name="Normal 176 4" xfId="1525"/>
    <cellStyle name="Normal 176 4 2" xfId="2473"/>
    <cellStyle name="Normal 176 4 3" xfId="2740"/>
    <cellStyle name="Normal 176 5" xfId="1526"/>
    <cellStyle name="Normal 177" xfId="531"/>
    <cellStyle name="Normal 177 2" xfId="1528"/>
    <cellStyle name="Normal 177 2 2" xfId="7531"/>
    <cellStyle name="Normal 177 2 2 2" xfId="7532"/>
    <cellStyle name="Normal 177 2 2 3" xfId="11309"/>
    <cellStyle name="Normal 177 2 3" xfId="7533"/>
    <cellStyle name="Normal 177 2 4" xfId="7534"/>
    <cellStyle name="Normal 177 2 5" xfId="13457"/>
    <cellStyle name="Normal 177 3" xfId="1529"/>
    <cellStyle name="Normal 177 3 2" xfId="2472"/>
    <cellStyle name="Normal 177 3 3" xfId="2741"/>
    <cellStyle name="Normal 177 4" xfId="1530"/>
    <cellStyle name="Normal 177 5" xfId="1527"/>
    <cellStyle name="Normal 178" xfId="532"/>
    <cellStyle name="Normal 178 2" xfId="1532"/>
    <cellStyle name="Normal 178 2 2" xfId="7535"/>
    <cellStyle name="Normal 178 2 2 2" xfId="7536"/>
    <cellStyle name="Normal 178 2 2 3" xfId="13018"/>
    <cellStyle name="Normal 178 2 3" xfId="7537"/>
    <cellStyle name="Normal 178 2 4" xfId="7538"/>
    <cellStyle name="Normal 178 2 5" xfId="13458"/>
    <cellStyle name="Normal 178 3" xfId="1533"/>
    <cellStyle name="Normal 178 3 2" xfId="2471"/>
    <cellStyle name="Normal 178 3 3" xfId="2742"/>
    <cellStyle name="Normal 178 4" xfId="1534"/>
    <cellStyle name="Normal 178 5" xfId="1531"/>
    <cellStyle name="Normal 179" xfId="533"/>
    <cellStyle name="Normal 179 2" xfId="1535"/>
    <cellStyle name="Normal 179 2 2" xfId="7539"/>
    <cellStyle name="Normal 179 3" xfId="1536"/>
    <cellStyle name="Normal 179 4" xfId="1537"/>
    <cellStyle name="Normal 179 4 2" xfId="2470"/>
    <cellStyle name="Normal 179 4 3" xfId="2743"/>
    <cellStyle name="Normal 179 5" xfId="1538"/>
    <cellStyle name="Normal 18" xfId="205"/>
    <cellStyle name="Normal 18 2" xfId="745"/>
    <cellStyle name="Normal 18 2 2" xfId="9665"/>
    <cellStyle name="Normal 18 3" xfId="7540"/>
    <cellStyle name="Normal 18 4" xfId="7541"/>
    <cellStyle name="Normal 18 5" xfId="7542"/>
    <cellStyle name="Normal 18 6" xfId="7543"/>
    <cellStyle name="Normal 18 7" xfId="7544"/>
    <cellStyle name="Normal 18 8" xfId="7545"/>
    <cellStyle name="Normal 180" xfId="534"/>
    <cellStyle name="Normal 180 2" xfId="1540"/>
    <cellStyle name="Normal 180 2 2" xfId="7546"/>
    <cellStyle name="Normal 180 2 2 2" xfId="7547"/>
    <cellStyle name="Normal 180 2 2 3" xfId="12921"/>
    <cellStyle name="Normal 180 2 3" xfId="7548"/>
    <cellStyle name="Normal 180 2 4" xfId="7549"/>
    <cellStyle name="Normal 180 2 5" xfId="13459"/>
    <cellStyle name="Normal 180 3" xfId="1541"/>
    <cellStyle name="Normal 180 3 2" xfId="2469"/>
    <cellStyle name="Normal 180 3 3" xfId="2744"/>
    <cellStyle name="Normal 180 4" xfId="1542"/>
    <cellStyle name="Normal 180 5" xfId="1539"/>
    <cellStyle name="Normal 181" xfId="535"/>
    <cellStyle name="Normal 181 2" xfId="1544"/>
    <cellStyle name="Normal 181 2 2" xfId="7550"/>
    <cellStyle name="Normal 181 2 2 2" xfId="7551"/>
    <cellStyle name="Normal 181 2 2 3" xfId="12367"/>
    <cellStyle name="Normal 181 2 3" xfId="7552"/>
    <cellStyle name="Normal 181 2 4" xfId="7553"/>
    <cellStyle name="Normal 181 2 5" xfId="13460"/>
    <cellStyle name="Normal 181 3" xfId="1545"/>
    <cellStyle name="Normal 181 3 2" xfId="2468"/>
    <cellStyle name="Normal 181 3 3" xfId="2745"/>
    <cellStyle name="Normal 181 4" xfId="1546"/>
    <cellStyle name="Normal 181 5" xfId="1543"/>
    <cellStyle name="Normal 182" xfId="536"/>
    <cellStyle name="Normal 182 2" xfId="1547"/>
    <cellStyle name="Normal 182 2 2" xfId="7554"/>
    <cellStyle name="Normal 182 3" xfId="1548"/>
    <cellStyle name="Normal 182 4" xfId="1549"/>
    <cellStyle name="Normal 182 4 2" xfId="2467"/>
    <cellStyle name="Normal 182 4 3" xfId="2746"/>
    <cellStyle name="Normal 182 5" xfId="1550"/>
    <cellStyle name="Normal 183" xfId="537"/>
    <cellStyle name="Normal 183 2" xfId="1552"/>
    <cellStyle name="Normal 183 2 2" xfId="7555"/>
    <cellStyle name="Normal 183 2 2 2" xfId="7556"/>
    <cellStyle name="Normal 183 2 2 3" xfId="12996"/>
    <cellStyle name="Normal 183 2 3" xfId="7557"/>
    <cellStyle name="Normal 183 2 4" xfId="7558"/>
    <cellStyle name="Normal 183 2 5" xfId="13461"/>
    <cellStyle name="Normal 183 3" xfId="1553"/>
    <cellStyle name="Normal 183 3 2" xfId="2466"/>
    <cellStyle name="Normal 183 3 3" xfId="2747"/>
    <cellStyle name="Normal 183 4" xfId="1554"/>
    <cellStyle name="Normal 183 5" xfId="1551"/>
    <cellStyle name="Normal 184" xfId="538"/>
    <cellStyle name="Normal 184 2" xfId="1555"/>
    <cellStyle name="Normal 184 2 2" xfId="7559"/>
    <cellStyle name="Normal 184 3" xfId="1556"/>
    <cellStyle name="Normal 184 4" xfId="1557"/>
    <cellStyle name="Normal 184 4 2" xfId="2465"/>
    <cellStyle name="Normal 184 4 3" xfId="2748"/>
    <cellStyle name="Normal 184 5" xfId="1558"/>
    <cellStyle name="Normal 185" xfId="539"/>
    <cellStyle name="Normal 185 2" xfId="1560"/>
    <cellStyle name="Normal 185 2 2" xfId="7560"/>
    <cellStyle name="Normal 185 2 2 2" xfId="7561"/>
    <cellStyle name="Normal 185 2 2 3" xfId="11151"/>
    <cellStyle name="Normal 185 2 3" xfId="7562"/>
    <cellStyle name="Normal 185 2 4" xfId="7563"/>
    <cellStyle name="Normal 185 2 5" xfId="13462"/>
    <cellStyle name="Normal 185 3" xfId="1561"/>
    <cellStyle name="Normal 185 3 2" xfId="2464"/>
    <cellStyle name="Normal 185 3 3" xfId="2749"/>
    <cellStyle name="Normal 185 4" xfId="1562"/>
    <cellStyle name="Normal 185 5" xfId="1559"/>
    <cellStyle name="Normal 186" xfId="540"/>
    <cellStyle name="Normal 186 2" xfId="1563"/>
    <cellStyle name="Normal 186 2 2" xfId="7564"/>
    <cellStyle name="Normal 186 3" xfId="1564"/>
    <cellStyle name="Normal 186 4" xfId="1565"/>
    <cellStyle name="Normal 186 4 2" xfId="2463"/>
    <cellStyle name="Normal 186 4 3" xfId="2750"/>
    <cellStyle name="Normal 186 5" xfId="1566"/>
    <cellStyle name="Normal 187" xfId="541"/>
    <cellStyle name="Normal 188" xfId="542"/>
    <cellStyle name="Normal 188 2" xfId="1568"/>
    <cellStyle name="Normal 188 3" xfId="1569"/>
    <cellStyle name="Normal 188 4" xfId="1570"/>
    <cellStyle name="Normal 188 5" xfId="1571"/>
    <cellStyle name="Normal 188 6" xfId="1567"/>
    <cellStyle name="Normal 189" xfId="543"/>
    <cellStyle name="Normal 189 2" xfId="1573"/>
    <cellStyle name="Normal 189 2 2" xfId="7565"/>
    <cellStyle name="Normal 189 2 2 2" xfId="7566"/>
    <cellStyle name="Normal 189 2 2 3" xfId="12848"/>
    <cellStyle name="Normal 189 2 3" xfId="7567"/>
    <cellStyle name="Normal 189 2 4" xfId="7568"/>
    <cellStyle name="Normal 189 2 5" xfId="13463"/>
    <cellStyle name="Normal 189 3" xfId="1574"/>
    <cellStyle name="Normal 189 3 2" xfId="2462"/>
    <cellStyle name="Normal 189 3 3" xfId="2751"/>
    <cellStyle name="Normal 189 4" xfId="1575"/>
    <cellStyle name="Normal 189 5" xfId="1572"/>
    <cellStyle name="Normal 19" xfId="206"/>
    <cellStyle name="Normal 19 2" xfId="746"/>
    <cellStyle name="Normal 19 2 2" xfId="9666"/>
    <cellStyle name="Normal 19 3" xfId="7569"/>
    <cellStyle name="Normal 19 4" xfId="7570"/>
    <cellStyle name="Normal 19 5" xfId="7571"/>
    <cellStyle name="Normal 19 6" xfId="7572"/>
    <cellStyle name="Normal 19 7" xfId="7573"/>
    <cellStyle name="Normal 19 8" xfId="7574"/>
    <cellStyle name="Normal 190" xfId="544"/>
    <cellStyle name="Normal 190 2" xfId="1577"/>
    <cellStyle name="Normal 190 3" xfId="1578"/>
    <cellStyle name="Normal 190 4" xfId="1579"/>
    <cellStyle name="Normal 190 5" xfId="1580"/>
    <cellStyle name="Normal 190 6" xfId="1576"/>
    <cellStyle name="Normal 191" xfId="545"/>
    <cellStyle name="Normal 192" xfId="546"/>
    <cellStyle name="Normal 192 2" xfId="1582"/>
    <cellStyle name="Normal 192 2 2" xfId="7575"/>
    <cellStyle name="Normal 192 2 2 2" xfId="7576"/>
    <cellStyle name="Normal 192 2 2 3" xfId="12429"/>
    <cellStyle name="Normal 192 2 3" xfId="7577"/>
    <cellStyle name="Normal 192 2 4" xfId="7578"/>
    <cellStyle name="Normal 192 2 5" xfId="13464"/>
    <cellStyle name="Normal 192 3" xfId="1583"/>
    <cellStyle name="Normal 192 3 2" xfId="2461"/>
    <cellStyle name="Normal 192 3 3" xfId="2752"/>
    <cellStyle name="Normal 192 4" xfId="1584"/>
    <cellStyle name="Normal 192 5" xfId="1581"/>
    <cellStyle name="Normal 193" xfId="547"/>
    <cellStyle name="Normal 193 2" xfId="1586"/>
    <cellStyle name="Normal 193 3" xfId="1587"/>
    <cellStyle name="Normal 193 4" xfId="1588"/>
    <cellStyle name="Normal 193 5" xfId="1589"/>
    <cellStyle name="Normal 193 6" xfId="1585"/>
    <cellStyle name="Normal 194" xfId="548"/>
    <cellStyle name="Normal 195" xfId="549"/>
    <cellStyle name="Normal 195 2" xfId="1591"/>
    <cellStyle name="Normal 195 2 2" xfId="7579"/>
    <cellStyle name="Normal 195 2 2 2" xfId="7580"/>
    <cellStyle name="Normal 195 2 2 3" xfId="12914"/>
    <cellStyle name="Normal 195 2 3" xfId="7581"/>
    <cellStyle name="Normal 195 2 4" xfId="7582"/>
    <cellStyle name="Normal 195 2 5" xfId="13465"/>
    <cellStyle name="Normal 195 3" xfId="1592"/>
    <cellStyle name="Normal 195 3 2" xfId="2460"/>
    <cellStyle name="Normal 195 3 3" xfId="2753"/>
    <cellStyle name="Normal 195 4" xfId="1593"/>
    <cellStyle name="Normal 195 5" xfId="1590"/>
    <cellStyle name="Normal 196" xfId="550"/>
    <cellStyle name="Normal 196 2" xfId="1595"/>
    <cellStyle name="Normal 196 3" xfId="1596"/>
    <cellStyle name="Normal 196 4" xfId="1597"/>
    <cellStyle name="Normal 196 5" xfId="1594"/>
    <cellStyle name="Normal 197" xfId="551"/>
    <cellStyle name="Normal 198" xfId="645"/>
    <cellStyle name="Normal 198 2" xfId="1598"/>
    <cellStyle name="Normal 198 2 2" xfId="7583"/>
    <cellStyle name="Normal 198 2 3" xfId="13466"/>
    <cellStyle name="Normal 198 3" xfId="7584"/>
    <cellStyle name="Normal 198 3 2" xfId="7585"/>
    <cellStyle name="Normal 198 3 3" xfId="7586"/>
    <cellStyle name="Normal 198 3 4" xfId="7156"/>
    <cellStyle name="Normal 199" xfId="666"/>
    <cellStyle name="Normal 199 2" xfId="7587"/>
    <cellStyle name="Normal 199 2 2" xfId="12576"/>
    <cellStyle name="Normal 199 2 3" xfId="12829"/>
    <cellStyle name="Normal 199 3" xfId="7588"/>
    <cellStyle name="Normal 199 3 2" xfId="7589"/>
    <cellStyle name="Normal 199 3 3" xfId="7590"/>
    <cellStyle name="Normal 2" xfId="22"/>
    <cellStyle name="Normal 2 10" xfId="1599"/>
    <cellStyle name="Normal 2 10 2" xfId="15846"/>
    <cellStyle name="Normal 2 11" xfId="1600"/>
    <cellStyle name="Normal 2 12" xfId="1601"/>
    <cellStyle name="Normal 2 13" xfId="1602"/>
    <cellStyle name="Normal 2 14" xfId="1603"/>
    <cellStyle name="Normal 2 15" xfId="1604"/>
    <cellStyle name="Normal 2 16" xfId="7591"/>
    <cellStyle name="Normal 2 17" xfId="7592"/>
    <cellStyle name="Normal 2 2" xfId="23"/>
    <cellStyle name="Normal 2 2 10" xfId="639"/>
    <cellStyle name="Normal 2 2 11" xfId="1605"/>
    <cellStyle name="Normal 2 2 12" xfId="7593"/>
    <cellStyle name="Normal 2 2 13" xfId="7594"/>
    <cellStyle name="Normal 2 2 2" xfId="24"/>
    <cellStyle name="Normal 2 2 2 10" xfId="1606"/>
    <cellStyle name="Normal 2 2 2 11" xfId="7595"/>
    <cellStyle name="Normal 2 2 2 12" xfId="7596"/>
    <cellStyle name="Normal 2 2 2 2" xfId="25"/>
    <cellStyle name="Normal 2 2 2 2 10" xfId="7597"/>
    <cellStyle name="Normal 2 2 2 2 11" xfId="7598"/>
    <cellStyle name="Normal 2 2 2 2 2" xfId="635"/>
    <cellStyle name="Normal 2 2 2 2 3" xfId="1607"/>
    <cellStyle name="Normal 2 2 2 2 4" xfId="1608"/>
    <cellStyle name="Normal 2 2 2 2 5" xfId="1609"/>
    <cellStyle name="Normal 2 2 2 2 6" xfId="1610"/>
    <cellStyle name="Normal 2 2 2 2 7" xfId="1611"/>
    <cellStyle name="Normal 2 2 2 2 8" xfId="1612"/>
    <cellStyle name="Normal 2 2 2 2 9" xfId="1613"/>
    <cellStyle name="Normal 2 2 2 3" xfId="843"/>
    <cellStyle name="Normal 2 2 2 3 2" xfId="7599"/>
    <cellStyle name="Normal 2 2 2 4" xfId="1614"/>
    <cellStyle name="Normal 2 2 2 5" xfId="1615"/>
    <cellStyle name="Normal 2 2 2 6" xfId="1616"/>
    <cellStyle name="Normal 2 2 2 7" xfId="1617"/>
    <cellStyle name="Normal 2 2 2 8" xfId="1618"/>
    <cellStyle name="Normal 2 2 2 9" xfId="1619"/>
    <cellStyle name="Normal 2 2 3" xfId="26"/>
    <cellStyle name="Normal 2 2 3 10" xfId="3016"/>
    <cellStyle name="Normal 2 2 3 11" xfId="7600"/>
    <cellStyle name="Normal 2 2 3 12" xfId="7601"/>
    <cellStyle name="Normal 2 2 3 13" xfId="10638"/>
    <cellStyle name="Normal 2 2 3 2" xfId="74"/>
    <cellStyle name="Normal 2 2 3 2 2" xfId="634"/>
    <cellStyle name="Normal 2 2 3 2 2 2" xfId="7602"/>
    <cellStyle name="Normal 2 2 3 2 3" xfId="2939"/>
    <cellStyle name="Normal 2 2 3 2 3 2" xfId="7603"/>
    <cellStyle name="Normal 2 2 3 2 3 2 2" xfId="11189"/>
    <cellStyle name="Normal 2 2 3 2 3 2 3" xfId="11080"/>
    <cellStyle name="Normal 2 2 3 2 3 3" xfId="7604"/>
    <cellStyle name="Normal 2 2 3 2 3 4" xfId="13536"/>
    <cellStyle name="Normal 2 2 3 2 4" xfId="7605"/>
    <cellStyle name="Normal 2 2 3 2 5" xfId="7606"/>
    <cellStyle name="Normal 2 2 3 2 6" xfId="7607"/>
    <cellStyle name="Normal 2 2 3 2 7" xfId="7608"/>
    <cellStyle name="Normal 2 2 3 2 8" xfId="7609"/>
    <cellStyle name="Normal 2 2 3 3" xfId="844"/>
    <cellStyle name="Normal 2 2 3 3 2" xfId="2940"/>
    <cellStyle name="Normal 2 2 3 4" xfId="1620"/>
    <cellStyle name="Normal 2 2 3 4 2" xfId="2941"/>
    <cellStyle name="Normal 2 2 3 5" xfId="1621"/>
    <cellStyle name="Normal 2 2 3 5 2" xfId="2942"/>
    <cellStyle name="Normal 2 2 3 6" xfId="1622"/>
    <cellStyle name="Normal 2 2 3 6 2" xfId="2943"/>
    <cellStyle name="Normal 2 2 3 7" xfId="1623"/>
    <cellStyle name="Normal 2 2 3 7 2" xfId="2944"/>
    <cellStyle name="Normal 2 2 3 8" xfId="1624"/>
    <cellStyle name="Normal 2 2 3 8 2" xfId="7610"/>
    <cellStyle name="Normal 2 2 3 9" xfId="1625"/>
    <cellStyle name="Normal 2 2 3 9 2" xfId="2945"/>
    <cellStyle name="Normal 2 2 3_cálculo da esp das camadas" xfId="2946"/>
    <cellStyle name="Normal 2 2 4" xfId="1626"/>
    <cellStyle name="Normal 2 2 4 2" xfId="7611"/>
    <cellStyle name="Normal 2 2 5" xfId="1627"/>
    <cellStyle name="Normal 2 2 5 2" xfId="7612"/>
    <cellStyle name="Normal 2 2 6" xfId="1628"/>
    <cellStyle name="Normal 2 2 6 2" xfId="7613"/>
    <cellStyle name="Normal 2 2 7" xfId="1629"/>
    <cellStyle name="Normal 2 2 7 2" xfId="7614"/>
    <cellStyle name="Normal 2 2 8" xfId="1630"/>
    <cellStyle name="Normal 2 2 8 2" xfId="7615"/>
    <cellStyle name="Normal 2 2 9" xfId="1631"/>
    <cellStyle name="Normal 2 2 9 2" xfId="7616"/>
    <cellStyle name="Normal 2 2_cálculo da esp das camadas" xfId="2947"/>
    <cellStyle name="Normal 2 3" xfId="27"/>
    <cellStyle name="Normal 2 3 10" xfId="1632"/>
    <cellStyle name="Normal 2 3 11" xfId="7617"/>
    <cellStyle name="Normal 2 3 12" xfId="7618"/>
    <cellStyle name="Normal 2 3 2" xfId="86"/>
    <cellStyle name="Normal 2 3 2 10" xfId="7619"/>
    <cellStyle name="Normal 2 3 2 11" xfId="7620"/>
    <cellStyle name="Normal 2 3 2 2" xfId="712"/>
    <cellStyle name="Normal 2 3 2 3" xfId="1633"/>
    <cellStyle name="Normal 2 3 2 4" xfId="1634"/>
    <cellStyle name="Normal 2 3 2 5" xfId="1635"/>
    <cellStyle name="Normal 2 3 2 6" xfId="1636"/>
    <cellStyle name="Normal 2 3 2 7" xfId="1637"/>
    <cellStyle name="Normal 2 3 2 8" xfId="1638"/>
    <cellStyle name="Normal 2 3 2 9" xfId="1639"/>
    <cellStyle name="Normal 2 3 3" xfId="656"/>
    <cellStyle name="Normal 2 3 4" xfId="1640"/>
    <cellStyle name="Normal 2 3 5" xfId="1641"/>
    <cellStyle name="Normal 2 3 6" xfId="1642"/>
    <cellStyle name="Normal 2 3 7" xfId="1643"/>
    <cellStyle name="Normal 2 3 8" xfId="1644"/>
    <cellStyle name="Normal 2 3 9" xfId="1645"/>
    <cellStyle name="Normal 2 4" xfId="28"/>
    <cellStyle name="Normal 2 4 10" xfId="1646"/>
    <cellStyle name="Normal 2 4 11" xfId="7621"/>
    <cellStyle name="Normal 2 4 12" xfId="7622"/>
    <cellStyle name="Normal 2 4 13" xfId="10604"/>
    <cellStyle name="Normal 2 4 2" xfId="87"/>
    <cellStyle name="Normal 2 4 2 10" xfId="7623"/>
    <cellStyle name="Normal 2 4 2 11" xfId="7624"/>
    <cellStyle name="Normal 2 4 2 2" xfId="713"/>
    <cellStyle name="Normal 2 4 2 3" xfId="1647"/>
    <cellStyle name="Normal 2 4 2 4" xfId="1648"/>
    <cellStyle name="Normal 2 4 2 5" xfId="1649"/>
    <cellStyle name="Normal 2 4 2 6" xfId="1650"/>
    <cellStyle name="Normal 2 4 2 7" xfId="1651"/>
    <cellStyle name="Normal 2 4 2 8" xfId="1652"/>
    <cellStyle name="Normal 2 4 2 9" xfId="1653"/>
    <cellStyle name="Normal 2 4 3" xfId="657"/>
    <cellStyle name="Normal 2 4 3 2" xfId="2948"/>
    <cellStyle name="Normal 2 4 3 3" xfId="7625"/>
    <cellStyle name="Normal 2 4 4" xfId="1654"/>
    <cellStyle name="Normal 2 4 5" xfId="1655"/>
    <cellStyle name="Normal 2 4 6" xfId="1656"/>
    <cellStyle name="Normal 2 4 7" xfId="1657"/>
    <cellStyle name="Normal 2 4 8" xfId="1658"/>
    <cellStyle name="Normal 2 4 9" xfId="1659"/>
    <cellStyle name="Normal 2 5" xfId="29"/>
    <cellStyle name="Normal 2 5 10" xfId="1660"/>
    <cellStyle name="Normal 2 5 10 2" xfId="7626"/>
    <cellStyle name="Normal 2 5 10 3" xfId="13467"/>
    <cellStyle name="Normal 2 5 11" xfId="1661"/>
    <cellStyle name="Normal 2 5 11 2" xfId="7627"/>
    <cellStyle name="Normal 2 5 11 3" xfId="13468"/>
    <cellStyle name="Normal 2 5 12" xfId="7628"/>
    <cellStyle name="Normal 2 5 13" xfId="7629"/>
    <cellStyle name="Normal 2 5 2" xfId="69"/>
    <cellStyle name="Normal 2 5 2 10" xfId="1662"/>
    <cellStyle name="Normal 2 5 2 10 2" xfId="7630"/>
    <cellStyle name="Normal 2 5 2 10 3" xfId="13469"/>
    <cellStyle name="Normal 2 5 2 11" xfId="1663"/>
    <cellStyle name="Normal 2 5 2 11 2" xfId="7631"/>
    <cellStyle name="Normal 2 5 2 11 3" xfId="13470"/>
    <cellStyle name="Normal 2 5 2 12" xfId="7632"/>
    <cellStyle name="Normal 2 5 2 2" xfId="88"/>
    <cellStyle name="Normal 2 5 2 2 10" xfId="7633"/>
    <cellStyle name="Normal 2 5 2 2 11" xfId="7634"/>
    <cellStyle name="Normal 2 5 2 2 2" xfId="714"/>
    <cellStyle name="Normal 2 5 2 2 3" xfId="1664"/>
    <cellStyle name="Normal 2 5 2 2 4" xfId="1665"/>
    <cellStyle name="Normal 2 5 2 2 5" xfId="1666"/>
    <cellStyle name="Normal 2 5 2 2 6" xfId="1667"/>
    <cellStyle name="Normal 2 5 2 2 7" xfId="1668"/>
    <cellStyle name="Normal 2 5 2 2 8" xfId="1669"/>
    <cellStyle name="Normal 2 5 2 2 9" xfId="1670"/>
    <cellStyle name="Normal 2 5 2 3" xfId="701"/>
    <cellStyle name="Normal 2 5 2 3 2" xfId="1671"/>
    <cellStyle name="Normal 2 5 2 4" xfId="996"/>
    <cellStyle name="Normal 2 5 2 5" xfId="1672"/>
    <cellStyle name="Normal 2 5 2 5 2" xfId="7635"/>
    <cellStyle name="Normal 2 5 2 5 3" xfId="13471"/>
    <cellStyle name="Normal 2 5 2 6" xfId="1673"/>
    <cellStyle name="Normal 2 5 2 6 2" xfId="7636"/>
    <cellStyle name="Normal 2 5 2 6 3" xfId="13472"/>
    <cellStyle name="Normal 2 5 2 7" xfId="1674"/>
    <cellStyle name="Normal 2 5 2 7 2" xfId="7637"/>
    <cellStyle name="Normal 2 5 2 7 3" xfId="13473"/>
    <cellStyle name="Normal 2 5 2 8" xfId="1675"/>
    <cellStyle name="Normal 2 5 2 8 2" xfId="7638"/>
    <cellStyle name="Normal 2 5 2 8 3" xfId="13474"/>
    <cellStyle name="Normal 2 5 2 9" xfId="1676"/>
    <cellStyle name="Normal 2 5 2 9 2" xfId="7639"/>
    <cellStyle name="Normal 2 5 2 9 3" xfId="13475"/>
    <cellStyle name="Normal 2 5 3" xfId="89"/>
    <cellStyle name="Normal 2 5 3 10" xfId="1677"/>
    <cellStyle name="Normal 2 5 3 11" xfId="4432"/>
    <cellStyle name="Normal 2 5 3 11 2" xfId="11765"/>
    <cellStyle name="Normal 2 5 3 11 2 2" xfId="15076"/>
    <cellStyle name="Normal 2 5 3 11 2 3" xfId="13720"/>
    <cellStyle name="Normal 2 5 3 12" xfId="7640"/>
    <cellStyle name="Normal 2 5 3 13" xfId="7641"/>
    <cellStyle name="Normal 2 5 3 2" xfId="207"/>
    <cellStyle name="Normal 2 5 3 2 10" xfId="1679"/>
    <cellStyle name="Normal 2 5 3 2 11" xfId="1680"/>
    <cellStyle name="Normal 2 5 3 2 11 2" xfId="7642"/>
    <cellStyle name="Normal 2 5 3 2 11 3" xfId="13476"/>
    <cellStyle name="Normal 2 5 3 2 12" xfId="1681"/>
    <cellStyle name="Normal 2 5 3 2 13" xfId="1678"/>
    <cellStyle name="Normal 2 5 3 2 2" xfId="747"/>
    <cellStyle name="Normal 2 5 3 2 2 2" xfId="1682"/>
    <cellStyle name="Normal 2 5 3 2 3" xfId="1683"/>
    <cellStyle name="Normal 2 5 3 2 3 2" xfId="7643"/>
    <cellStyle name="Normal 2 5 3 2 4" xfId="1684"/>
    <cellStyle name="Normal 2 5 3 2 5" xfId="1685"/>
    <cellStyle name="Normal 2 5 3 2 6" xfId="1686"/>
    <cellStyle name="Normal 2 5 3 2 6 2" xfId="7644"/>
    <cellStyle name="Normal 2 5 3 2 6 3" xfId="13477"/>
    <cellStyle name="Normal 2 5 3 2 7" xfId="1687"/>
    <cellStyle name="Normal 2 5 3 2 8" xfId="1688"/>
    <cellStyle name="Normal 2 5 3 2 9" xfId="1689"/>
    <cellStyle name="Normal 2 5 3 3" xfId="552"/>
    <cellStyle name="Normal 2 5 3 3 2" xfId="812"/>
    <cellStyle name="Normal 2 5 3 3 3" xfId="7645"/>
    <cellStyle name="Normal 2 5 3 3 4" xfId="7646"/>
    <cellStyle name="Normal 2 5 3 3 5" xfId="7647"/>
    <cellStyle name="Normal 2 5 3 3 6" xfId="7648"/>
    <cellStyle name="Normal 2 5 3 3 7" xfId="7649"/>
    <cellStyle name="Normal 2 5 3 3 8" xfId="7650"/>
    <cellStyle name="Normal 2 5 3 4" xfId="715"/>
    <cellStyle name="Normal 2 5 3 4 2" xfId="1690"/>
    <cellStyle name="Normal 2 5 3 4 2 2" xfId="7651"/>
    <cellStyle name="Normal 2 5 3 4 2 3" xfId="13478"/>
    <cellStyle name="Normal 2 5 3 5" xfId="997"/>
    <cellStyle name="Normal 2 5 3 5 2" xfId="1691"/>
    <cellStyle name="Normal 2 5 3 6" xfId="1692"/>
    <cellStyle name="Normal 2 5 3 7" xfId="1693"/>
    <cellStyle name="Normal 2 5 3 8" xfId="1694"/>
    <cellStyle name="Normal 2 5 3 9" xfId="1695"/>
    <cellStyle name="Normal 2 5 4" xfId="687"/>
    <cellStyle name="Normal 2 5 4 2" xfId="1697"/>
    <cellStyle name="Normal 2 5 4 3" xfId="1696"/>
    <cellStyle name="Normal 2 5 5" xfId="1698"/>
    <cellStyle name="Normal 2 5 5 2" xfId="7652"/>
    <cellStyle name="Normal 2 5 5 3" xfId="13479"/>
    <cellStyle name="Normal 2 5 6" xfId="1699"/>
    <cellStyle name="Normal 2 5 6 2" xfId="7653"/>
    <cellStyle name="Normal 2 5 6 3" xfId="13480"/>
    <cellStyle name="Normal 2 5 7" xfId="1700"/>
    <cellStyle name="Normal 2 5 7 2" xfId="7654"/>
    <cellStyle name="Normal 2 5 7 3" xfId="13481"/>
    <cellStyle name="Normal 2 5 8" xfId="1701"/>
    <cellStyle name="Normal 2 5 8 2" xfId="7655"/>
    <cellStyle name="Normal 2 5 8 3" xfId="13482"/>
    <cellStyle name="Normal 2 5 9" xfId="1702"/>
    <cellStyle name="Normal 2 5 9 2" xfId="7656"/>
    <cellStyle name="Normal 2 5 9 3" xfId="13483"/>
    <cellStyle name="Normal 2 6" xfId="63"/>
    <cellStyle name="Normal 2 6 10" xfId="1703"/>
    <cellStyle name="Normal 2 6 11" xfId="1704"/>
    <cellStyle name="Normal 2 6 12" xfId="7657"/>
    <cellStyle name="Normal 2 6 13" xfId="7658"/>
    <cellStyle name="Normal 2 6 2" xfId="64"/>
    <cellStyle name="Normal 2 6 2 10" xfId="7659"/>
    <cellStyle name="Normal 2 6 2 11" xfId="7660"/>
    <cellStyle name="Normal 2 6 2 2" xfId="698"/>
    <cellStyle name="Normal 2 6 2 3" xfId="1705"/>
    <cellStyle name="Normal 2 6 2 4" xfId="1706"/>
    <cellStyle name="Normal 2 6 2 5" xfId="1707"/>
    <cellStyle name="Normal 2 6 2 6" xfId="1708"/>
    <cellStyle name="Normal 2 6 2 7" xfId="1709"/>
    <cellStyle name="Normal 2 6 2 8" xfId="1710"/>
    <cellStyle name="Normal 2 6 2 9" xfId="1711"/>
    <cellStyle name="Normal 2 6 3" xfId="90"/>
    <cellStyle name="Normal 2 6 3 10" xfId="7661"/>
    <cellStyle name="Normal 2 6 3 11" xfId="7662"/>
    <cellStyle name="Normal 2 6 3 2" xfId="716"/>
    <cellStyle name="Normal 2 6 3 3" xfId="1712"/>
    <cellStyle name="Normal 2 6 3 4" xfId="1713"/>
    <cellStyle name="Normal 2 6 3 5" xfId="1714"/>
    <cellStyle name="Normal 2 6 3 6" xfId="1715"/>
    <cellStyle name="Normal 2 6 3 7" xfId="1716"/>
    <cellStyle name="Normal 2 6 3 8" xfId="1717"/>
    <cellStyle name="Normal 2 6 3 9" xfId="1718"/>
    <cellStyle name="Normal 2 6 4" xfId="697"/>
    <cellStyle name="Normal 2 6 5" xfId="1719"/>
    <cellStyle name="Normal 2 6 6" xfId="1720"/>
    <cellStyle name="Normal 2 6 7" xfId="1721"/>
    <cellStyle name="Normal 2 6 8" xfId="1722"/>
    <cellStyle name="Normal 2 6 9" xfId="1723"/>
    <cellStyle name="Normal 2 7" xfId="437"/>
    <cellStyle name="Normal 2 7 10" xfId="7663"/>
    <cellStyle name="Normal 2 7 11" xfId="7664"/>
    <cellStyle name="Normal 2 7 2" xfId="792"/>
    <cellStyle name="Normal 2 7 3" xfId="1724"/>
    <cellStyle name="Normal 2 7 4" xfId="1725"/>
    <cellStyle name="Normal 2 7 5" xfId="1726"/>
    <cellStyle name="Normal 2 7 6" xfId="1727"/>
    <cellStyle name="Normal 2 7 7" xfId="1728"/>
    <cellStyle name="Normal 2 7 8" xfId="1729"/>
    <cellStyle name="Normal 2 7 9" xfId="1730"/>
    <cellStyle name="Normal 2 8" xfId="655"/>
    <cellStyle name="Normal 2 9" xfId="1731"/>
    <cellStyle name="Normal 2 9 2" xfId="11541"/>
    <cellStyle name="Normal 20" xfId="208"/>
    <cellStyle name="Normal 20 2" xfId="748"/>
    <cellStyle name="Normal 20 2 2" xfId="9667"/>
    <cellStyle name="Normal 20 3" xfId="7665"/>
    <cellStyle name="Normal 20 4" xfId="7666"/>
    <cellStyle name="Normal 20 5" xfId="7667"/>
    <cellStyle name="Normal 20 6" xfId="7668"/>
    <cellStyle name="Normal 20 7" xfId="7669"/>
    <cellStyle name="Normal 20 8" xfId="7670"/>
    <cellStyle name="Normal 200" xfId="676"/>
    <cellStyle name="Normal 200 2" xfId="7671"/>
    <cellStyle name="Normal 200 2 2" xfId="7672"/>
    <cellStyle name="Normal 200 2 3" xfId="7673"/>
    <cellStyle name="Normal 200 2 4" xfId="11341"/>
    <cellStyle name="Normal 200 2 5" xfId="12618"/>
    <cellStyle name="Normal 200 3" xfId="7674"/>
    <cellStyle name="Normal 201" xfId="677"/>
    <cellStyle name="Normal 201 2" xfId="1732"/>
    <cellStyle name="Normal 201 2 2" xfId="2846"/>
    <cellStyle name="Normal 201 2 3" xfId="2754"/>
    <cellStyle name="Normal 201 2 4" xfId="2624"/>
    <cellStyle name="Normal 201 2 5" xfId="2557"/>
    <cellStyle name="Normal 201 3" xfId="11696"/>
    <cellStyle name="Normal 202" xfId="675"/>
    <cellStyle name="Normal 202 2" xfId="1733"/>
    <cellStyle name="Normal 203" xfId="678"/>
    <cellStyle name="Normal 203 2" xfId="1734"/>
    <cellStyle name="Normal 203 2 2" xfId="2847"/>
    <cellStyle name="Normal 203 2 3" xfId="2755"/>
    <cellStyle name="Normal 203 2 4" xfId="2625"/>
    <cellStyle name="Normal 203 2 5" xfId="2558"/>
    <cellStyle name="Normal 203 3" xfId="11685"/>
    <cellStyle name="Normal 204" xfId="674"/>
    <cellStyle name="Normal 204 2" xfId="1735"/>
    <cellStyle name="Normal 205" xfId="679"/>
    <cellStyle name="Normal 205 2" xfId="1736"/>
    <cellStyle name="Normal 206" xfId="680"/>
    <cellStyle name="Normal 206 2" xfId="1737"/>
    <cellStyle name="Normal 207" xfId="681"/>
    <cellStyle name="Normal 207 2" xfId="1738"/>
    <cellStyle name="Normal 208" xfId="646"/>
    <cellStyle name="Normal 208 2" xfId="1739"/>
    <cellStyle name="Normal 209" xfId="682"/>
    <cellStyle name="Normal 209 2" xfId="1740"/>
    <cellStyle name="Normal 21" xfId="209"/>
    <cellStyle name="Normal 21 2" xfId="749"/>
    <cellStyle name="Normal 21 2 2" xfId="9668"/>
    <cellStyle name="Normal 21 3" xfId="7675"/>
    <cellStyle name="Normal 21 4" xfId="7676"/>
    <cellStyle name="Normal 21 5" xfId="7677"/>
    <cellStyle name="Normal 21 6" xfId="7678"/>
    <cellStyle name="Normal 21 7" xfId="7679"/>
    <cellStyle name="Normal 21 8" xfId="7680"/>
    <cellStyle name="Normal 210" xfId="839"/>
    <cellStyle name="Normal 210 2" xfId="942"/>
    <cellStyle name="Normal 210 2 2" xfId="1741"/>
    <cellStyle name="Normal 211" xfId="943"/>
    <cellStyle name="Normal 211 2" xfId="944"/>
    <cellStyle name="Normal 211 3" xfId="998"/>
    <cellStyle name="Normal 211 4" xfId="1742"/>
    <cellStyle name="Normal 211 4 2" xfId="2848"/>
    <cellStyle name="Normal 211 4 3" xfId="2756"/>
    <cellStyle name="Normal 211 4 4" xfId="2626"/>
    <cellStyle name="Normal 211 4 5" xfId="2559"/>
    <cellStyle name="Normal 211 5" xfId="11752"/>
    <cellStyle name="Normal 211 5 2" xfId="11246"/>
    <cellStyle name="Normal 212" xfId="945"/>
    <cellStyle name="Normal 212 2" xfId="946"/>
    <cellStyle name="Normal 212 3" xfId="999"/>
    <cellStyle name="Normal 212 4" xfId="13113"/>
    <cellStyle name="Normal 212 4 2" xfId="12466"/>
    <cellStyle name="Normal 213" xfId="947"/>
    <cellStyle name="Normal 213 2" xfId="948"/>
    <cellStyle name="Normal 213 3" xfId="1743"/>
    <cellStyle name="Normal 213 4" xfId="13321"/>
    <cellStyle name="Normal 213 4 2" xfId="10926"/>
    <cellStyle name="Normal 214" xfId="949"/>
    <cellStyle name="Normal 214 2" xfId="950"/>
    <cellStyle name="Normal 214 3" xfId="1000"/>
    <cellStyle name="Normal 214 4" xfId="1744"/>
    <cellStyle name="Normal 214 4 2" xfId="2849"/>
    <cellStyle name="Normal 214 4 3" xfId="2757"/>
    <cellStyle name="Normal 214 4 4" xfId="2627"/>
    <cellStyle name="Normal 214 4 5" xfId="2560"/>
    <cellStyle name="Normal 214 5" xfId="12393"/>
    <cellStyle name="Normal 214 5 2" xfId="11307"/>
    <cellStyle name="Normal 215" xfId="951"/>
    <cellStyle name="Normal 215 2" xfId="952"/>
    <cellStyle name="Normal 215 3" xfId="1745"/>
    <cellStyle name="Normal 215 4" xfId="13259"/>
    <cellStyle name="Normal 215 4 2" xfId="12403"/>
    <cellStyle name="Normal 216" xfId="953"/>
    <cellStyle name="Normal 216 2" xfId="954"/>
    <cellStyle name="Normal 216 3" xfId="1001"/>
    <cellStyle name="Normal 216 4" xfId="11562"/>
    <cellStyle name="Normal 216 4 2" xfId="12293"/>
    <cellStyle name="Normal 217" xfId="955"/>
    <cellStyle name="Normal 217 2" xfId="956"/>
    <cellStyle name="Normal 217 3" xfId="1746"/>
    <cellStyle name="Normal 217 3 2" xfId="2850"/>
    <cellStyle name="Normal 217 3 3" xfId="2758"/>
    <cellStyle name="Normal 217 3 4" xfId="2628"/>
    <cellStyle name="Normal 217 3 5" xfId="2561"/>
    <cellStyle name="Normal 217 3 6" xfId="13484"/>
    <cellStyle name="Normal 217 3 7" xfId="13385"/>
    <cellStyle name="Normal 217 4" xfId="7681"/>
    <cellStyle name="Normal 217 4 2" xfId="12465"/>
    <cellStyle name="Normal 217 4 2 2" xfId="12586"/>
    <cellStyle name="Normal 218" xfId="957"/>
    <cellStyle name="Normal 218 2" xfId="958"/>
    <cellStyle name="Normal 218 3" xfId="1002"/>
    <cellStyle name="Normal 218 4" xfId="11107"/>
    <cellStyle name="Normal 218 4 2" xfId="12807"/>
    <cellStyle name="Normal 219" xfId="959"/>
    <cellStyle name="Normal 219 2" xfId="960"/>
    <cellStyle name="Normal 219 3" xfId="1747"/>
    <cellStyle name="Normal 219 4" xfId="13298"/>
    <cellStyle name="Normal 219 4 2" xfId="11514"/>
    <cellStyle name="Normal 22" xfId="210"/>
    <cellStyle name="Normal 22 2" xfId="750"/>
    <cellStyle name="Normal 22 2 2" xfId="9669"/>
    <cellStyle name="Normal 22 3" xfId="7682"/>
    <cellStyle name="Normal 22 4" xfId="7683"/>
    <cellStyle name="Normal 22 5" xfId="7684"/>
    <cellStyle name="Normal 22 6" xfId="7685"/>
    <cellStyle name="Normal 22 7" xfId="7686"/>
    <cellStyle name="Normal 22 8" xfId="7687"/>
    <cellStyle name="Normal 220" xfId="961"/>
    <cellStyle name="Normal 220 2" xfId="962"/>
    <cellStyle name="Normal 220 3" xfId="1003"/>
    <cellStyle name="Normal 220 4" xfId="1748"/>
    <cellStyle name="Normal 220 4 2" xfId="2851"/>
    <cellStyle name="Normal 220 4 3" xfId="2759"/>
    <cellStyle name="Normal 220 4 4" xfId="2629"/>
    <cellStyle name="Normal 220 4 5" xfId="2562"/>
    <cellStyle name="Normal 220 5" xfId="11637"/>
    <cellStyle name="Normal 220 5 2" xfId="11112"/>
    <cellStyle name="Normal 221" xfId="963"/>
    <cellStyle name="Normal 221 2" xfId="964"/>
    <cellStyle name="Normal 221 3" xfId="1004"/>
    <cellStyle name="Normal 221 4" xfId="13235"/>
    <cellStyle name="Normal 221 4 2" xfId="13180"/>
    <cellStyle name="Normal 222" xfId="965"/>
    <cellStyle name="Normal 222 2" xfId="966"/>
    <cellStyle name="Normal 222 3" xfId="1749"/>
    <cellStyle name="Normal 222 4" xfId="11774"/>
    <cellStyle name="Normal 222 4 2" xfId="12596"/>
    <cellStyle name="Normal 223" xfId="967"/>
    <cellStyle name="Normal 223 2" xfId="968"/>
    <cellStyle name="Normal 223 3" xfId="1750"/>
    <cellStyle name="Normal 223 3 2" xfId="2852"/>
    <cellStyle name="Normal 223 3 3" xfId="2760"/>
    <cellStyle name="Normal 223 3 4" xfId="2630"/>
    <cellStyle name="Normal 223 3 5" xfId="2563"/>
    <cellStyle name="Normal 223 3 6" xfId="13485"/>
    <cellStyle name="Normal 223 3 7" xfId="13386"/>
    <cellStyle name="Normal 223 4" xfId="7688"/>
    <cellStyle name="Normal 223 4 2" xfId="11839"/>
    <cellStyle name="Normal 223 4 2 2" xfId="12052"/>
    <cellStyle name="Normal 224" xfId="969"/>
    <cellStyle name="Normal 224 2" xfId="970"/>
    <cellStyle name="Normal 224 3" xfId="1751"/>
    <cellStyle name="Normal 224 4" xfId="12402"/>
    <cellStyle name="Normal 224 4 2" xfId="11485"/>
    <cellStyle name="Normal 225" xfId="971"/>
    <cellStyle name="Normal 225 2" xfId="972"/>
    <cellStyle name="Normal 225 3" xfId="1752"/>
    <cellStyle name="Normal 225 4" xfId="13088"/>
    <cellStyle name="Normal 225 4 2" xfId="12877"/>
    <cellStyle name="Normal 226" xfId="973"/>
    <cellStyle name="Normal 226 2" xfId="974"/>
    <cellStyle name="Normal 226 3" xfId="1005"/>
    <cellStyle name="Normal 226 4" xfId="11306"/>
    <cellStyle name="Normal 226 4 2" xfId="13338"/>
    <cellStyle name="Normal 227" xfId="975"/>
    <cellStyle name="Normal 227 2" xfId="976"/>
    <cellStyle name="Normal 227 3" xfId="1753"/>
    <cellStyle name="Normal 227 4" xfId="13115"/>
    <cellStyle name="Normal 227 4 2" xfId="13274"/>
    <cellStyle name="Normal 228" xfId="977"/>
    <cellStyle name="Normal 228 2" xfId="978"/>
    <cellStyle name="Normal 228 3" xfId="1006"/>
    <cellStyle name="Normal 228 4" xfId="1754"/>
    <cellStyle name="Normal 228 4 2" xfId="2853"/>
    <cellStyle name="Normal 228 4 3" xfId="2761"/>
    <cellStyle name="Normal 228 4 4" xfId="2631"/>
    <cellStyle name="Normal 228 4 5" xfId="2564"/>
    <cellStyle name="Normal 228 5" xfId="11898"/>
    <cellStyle name="Normal 228 5 2" xfId="12988"/>
    <cellStyle name="Normal 229" xfId="979"/>
    <cellStyle name="Normal 229 2" xfId="980"/>
    <cellStyle name="Normal 229 3" xfId="1755"/>
    <cellStyle name="Normal 229 4" xfId="11563"/>
    <cellStyle name="Normal 229 4 2" xfId="12659"/>
    <cellStyle name="Normal 23" xfId="211"/>
    <cellStyle name="Normal 23 2" xfId="751"/>
    <cellStyle name="Normal 23 2 2" xfId="9670"/>
    <cellStyle name="Normal 23 3" xfId="7689"/>
    <cellStyle name="Normal 23 4" xfId="7690"/>
    <cellStyle name="Normal 23 5" xfId="7691"/>
    <cellStyle name="Normal 23 6" xfId="7692"/>
    <cellStyle name="Normal 23 7" xfId="7693"/>
    <cellStyle name="Normal 23 8" xfId="7694"/>
    <cellStyle name="Normal 230" xfId="845"/>
    <cellStyle name="Normal 230 2" xfId="981"/>
    <cellStyle name="Normal 230 2 2" xfId="1756"/>
    <cellStyle name="Normal 230 3" xfId="1007"/>
    <cellStyle name="Normal 230 4" xfId="11004"/>
    <cellStyle name="Normal 230 4 2" xfId="11374"/>
    <cellStyle name="Normal 231" xfId="982"/>
    <cellStyle name="Normal 231 2" xfId="983"/>
    <cellStyle name="Normal 231 3" xfId="1757"/>
    <cellStyle name="Normal 231 4" xfId="12375"/>
    <cellStyle name="Normal 231 4 2" xfId="12173"/>
    <cellStyle name="Normal 232" xfId="984"/>
    <cellStyle name="Normal 232 2" xfId="985"/>
    <cellStyle name="Normal 232 3" xfId="1758"/>
    <cellStyle name="Normal 232 4" xfId="11725"/>
    <cellStyle name="Normal 232 4 2" xfId="12391"/>
    <cellStyle name="Normal 233" xfId="1008"/>
    <cellStyle name="Normal 233 2" xfId="1009"/>
    <cellStyle name="Normal 233 3" xfId="1759"/>
    <cellStyle name="Normal 233 3 2" xfId="2854"/>
    <cellStyle name="Normal 233 3 3" xfId="2762"/>
    <cellStyle name="Normal 233 3 4" xfId="2632"/>
    <cellStyle name="Normal 233 3 5" xfId="2565"/>
    <cellStyle name="Normal 233 3 6" xfId="13486"/>
    <cellStyle name="Normal 233 3 7" xfId="13387"/>
    <cellStyle name="Normal 233 4" xfId="7695"/>
    <cellStyle name="Normal 233 4 2" xfId="12981"/>
    <cellStyle name="Normal 233 4 2 2" xfId="12126"/>
    <cellStyle name="Normal 234" xfId="1010"/>
    <cellStyle name="Normal 234 2" xfId="1011"/>
    <cellStyle name="Normal 234 3" xfId="1760"/>
    <cellStyle name="Normal 234 4" xfId="11564"/>
    <cellStyle name="Normal 234 4 2" xfId="12696"/>
    <cellStyle name="Normal 235" xfId="1012"/>
    <cellStyle name="Normal 235 2" xfId="1013"/>
    <cellStyle name="Normal 235 3" xfId="1089"/>
    <cellStyle name="Normal 235 3 2" xfId="2825"/>
    <cellStyle name="Normal 235 3 3" xfId="2670"/>
    <cellStyle name="Normal 235 3 4" xfId="2603"/>
    <cellStyle name="Normal 235 3 5" xfId="2536"/>
    <cellStyle name="Normal 235 3 6" xfId="13418"/>
    <cellStyle name="Normal 235 3 7" xfId="13388"/>
    <cellStyle name="Normal 235 4" xfId="7696"/>
    <cellStyle name="Normal 235 4 2" xfId="11005"/>
    <cellStyle name="Normal 235 4 2 2" xfId="11109"/>
    <cellStyle name="Normal 236" xfId="1014"/>
    <cellStyle name="Normal 236 2" xfId="1015"/>
    <cellStyle name="Normal 236 3" xfId="2447"/>
    <cellStyle name="Normal 236 3 2" xfId="2891"/>
    <cellStyle name="Normal 236 3 3" xfId="2824"/>
    <cellStyle name="Normal 236 3 4" xfId="2669"/>
    <cellStyle name="Normal 236 3 5" xfId="2602"/>
    <cellStyle name="Normal 236 4" xfId="11536"/>
    <cellStyle name="Normal 236 4 2" xfId="11475"/>
    <cellStyle name="Normal 237" xfId="1016"/>
    <cellStyle name="Normal 237 2" xfId="2522"/>
    <cellStyle name="Normal 237 3" xfId="11973"/>
    <cellStyle name="Normal 237 3 2" xfId="11375"/>
    <cellStyle name="Normal 238" xfId="1017"/>
    <cellStyle name="Normal 238 2" xfId="1018"/>
    <cellStyle name="Normal 238 3" xfId="7697"/>
    <cellStyle name="Normal 238 3 2" xfId="13154"/>
    <cellStyle name="Normal 238 3 2 2" xfId="13317"/>
    <cellStyle name="Normal 239" xfId="1019"/>
    <cellStyle name="Normal 239 2" xfId="2530"/>
    <cellStyle name="Normal 239 3" xfId="11006"/>
    <cellStyle name="Normal 239 3 2" xfId="13255"/>
    <cellStyle name="Normal 24" xfId="212"/>
    <cellStyle name="Normal 24 2" xfId="752"/>
    <cellStyle name="Normal 24 2 2" xfId="9671"/>
    <cellStyle name="Normal 24 3" xfId="7698"/>
    <cellStyle name="Normal 24 4" xfId="7699"/>
    <cellStyle name="Normal 24 5" xfId="7700"/>
    <cellStyle name="Normal 24 6" xfId="7701"/>
    <cellStyle name="Normal 24 7" xfId="7702"/>
    <cellStyle name="Normal 24 8" xfId="7703"/>
    <cellStyle name="Normal 240" xfId="1020"/>
    <cellStyle name="Normal 240 2" xfId="1021"/>
    <cellStyle name="Normal 240 3" xfId="7704"/>
    <cellStyle name="Normal 240 3 2" xfId="13116"/>
    <cellStyle name="Normal 240 3 2 2" xfId="12719"/>
    <cellStyle name="Normal 241" xfId="1022"/>
    <cellStyle name="Normal 241 2" xfId="2531"/>
    <cellStyle name="Normal 241 3" xfId="11500"/>
    <cellStyle name="Normal 241 3 2" xfId="12143"/>
    <cellStyle name="Normal 242" xfId="1023"/>
    <cellStyle name="Normal 242 2" xfId="1024"/>
    <cellStyle name="Normal 242 3" xfId="7705"/>
    <cellStyle name="Normal 242 3 2" xfId="11453"/>
    <cellStyle name="Normal 242 3 2 2" xfId="11285"/>
    <cellStyle name="Normal 243" xfId="1025"/>
    <cellStyle name="Normal 243 2" xfId="2532"/>
    <cellStyle name="Normal 243 3" xfId="12989"/>
    <cellStyle name="Normal 243 3 2" xfId="12201"/>
    <cellStyle name="Normal 244" xfId="1026"/>
    <cellStyle name="Normal 244 2" xfId="1027"/>
    <cellStyle name="Normal 244 3" xfId="7706"/>
    <cellStyle name="Normal 244 3 2" xfId="13339"/>
    <cellStyle name="Normal 244 3 2 2" xfId="12672"/>
    <cellStyle name="Normal 245" xfId="1028"/>
    <cellStyle name="Normal 245 2" xfId="2533"/>
    <cellStyle name="Normal 245 3" xfId="13275"/>
    <cellStyle name="Normal 245 3 2" xfId="11479"/>
    <cellStyle name="Normal 246" xfId="1029"/>
    <cellStyle name="Normal 246 2" xfId="1030"/>
    <cellStyle name="Normal 246 3" xfId="7707"/>
    <cellStyle name="Normal 246 3 2" xfId="11010"/>
    <cellStyle name="Normal 246 3 2 2" xfId="11376"/>
    <cellStyle name="Normal 247" xfId="1031"/>
    <cellStyle name="Normal 247 2" xfId="11007"/>
    <cellStyle name="Normal 247 2 2" xfId="12039"/>
    <cellStyle name="Normal 248" xfId="1032"/>
    <cellStyle name="Normal 248 2" xfId="1033"/>
    <cellStyle name="Normal 248 3" xfId="7708"/>
    <cellStyle name="Normal 248 3 2" xfId="12390"/>
    <cellStyle name="Normal 248 3 2 2" xfId="13294"/>
    <cellStyle name="Normal 249" xfId="1034"/>
    <cellStyle name="Normal 249 2" xfId="11009"/>
    <cellStyle name="Normal 249 2 2" xfId="13231"/>
    <cellStyle name="Normal 25" xfId="213"/>
    <cellStyle name="Normal 25 2" xfId="753"/>
    <cellStyle name="Normal 25 2 2" xfId="9672"/>
    <cellStyle name="Normal 25 3" xfId="7709"/>
    <cellStyle name="Normal 25 4" xfId="7710"/>
    <cellStyle name="Normal 25 5" xfId="7711"/>
    <cellStyle name="Normal 25 6" xfId="7712"/>
    <cellStyle name="Normal 25 7" xfId="7713"/>
    <cellStyle name="Normal 25 8" xfId="7714"/>
    <cellStyle name="Normal 250" xfId="1035"/>
    <cellStyle name="Normal 250 2" xfId="1036"/>
    <cellStyle name="Normal 250 3" xfId="11008"/>
    <cellStyle name="Normal 250 3 2" xfId="11919"/>
    <cellStyle name="Normal 251" xfId="1037"/>
    <cellStyle name="Normal 251 2" xfId="1038"/>
    <cellStyle name="Normal 251 3" xfId="7715"/>
    <cellStyle name="Normal 251 3 2" xfId="12353"/>
    <cellStyle name="Normal 251 3 2 2" xfId="12907"/>
    <cellStyle name="Normal 252" xfId="1039"/>
    <cellStyle name="Normal 252 2" xfId="1040"/>
    <cellStyle name="Normal 252 3" xfId="7716"/>
    <cellStyle name="Normal 252 3 2" xfId="11290"/>
    <cellStyle name="Normal 252 3 2 2" xfId="11247"/>
    <cellStyle name="Normal 253" xfId="1041"/>
    <cellStyle name="Normal 253 2" xfId="1042"/>
    <cellStyle name="Normal 253 3" xfId="7717"/>
    <cellStyle name="Normal 253 3 2" xfId="11634"/>
    <cellStyle name="Normal 253 3 2 2" xfId="12582"/>
    <cellStyle name="Normal 254" xfId="1043"/>
    <cellStyle name="Normal 254 2" xfId="1044"/>
    <cellStyle name="Normal 254 3" xfId="12861"/>
    <cellStyle name="Normal 254 3 2" xfId="12404"/>
    <cellStyle name="Normal 255" xfId="1045"/>
    <cellStyle name="Normal 255 2" xfId="1046"/>
    <cellStyle name="Normal 255 3" xfId="7718"/>
    <cellStyle name="Normal 255 3 2" xfId="13318"/>
    <cellStyle name="Normal 255 3 2 2" xfId="11702"/>
    <cellStyle name="Normal 256" xfId="1047"/>
    <cellStyle name="Normal 256 2" xfId="7719"/>
    <cellStyle name="Normal 256 2 2" xfId="13256"/>
    <cellStyle name="Normal 256 2 2 2" xfId="11153"/>
    <cellStyle name="Normal 257" xfId="1048"/>
    <cellStyle name="Normal 257 2" xfId="1049"/>
    <cellStyle name="Normal 257 3" xfId="7720"/>
    <cellStyle name="Normal 257 3 2" xfId="13117"/>
    <cellStyle name="Normal 257 3 2 2" xfId="11129"/>
    <cellStyle name="Normal 258" xfId="1050"/>
    <cellStyle name="Normal 258 2" xfId="1051"/>
    <cellStyle name="Normal 258 3" xfId="7721"/>
    <cellStyle name="Normal 258 3 2" xfId="11011"/>
    <cellStyle name="Normal 258 3 2 2" xfId="11308"/>
    <cellStyle name="Normal 259" xfId="1052"/>
    <cellStyle name="Normal 259 2" xfId="11119"/>
    <cellStyle name="Normal 259 2 2" xfId="12029"/>
    <cellStyle name="Normal 26" xfId="214"/>
    <cellStyle name="Normal 26 2" xfId="754"/>
    <cellStyle name="Normal 26 2 2" xfId="9673"/>
    <cellStyle name="Normal 26 3" xfId="7722"/>
    <cellStyle name="Normal 26 4" xfId="7723"/>
    <cellStyle name="Normal 26 5" xfId="7724"/>
    <cellStyle name="Normal 26 6" xfId="7725"/>
    <cellStyle name="Normal 26 7" xfId="7726"/>
    <cellStyle name="Normal 26 8" xfId="7727"/>
    <cellStyle name="Normal 260" xfId="1053"/>
    <cellStyle name="Normal 260 2" xfId="1054"/>
    <cellStyle name="Normal 260 3" xfId="7728"/>
    <cellStyle name="Normal 260 3 2" xfId="11565"/>
    <cellStyle name="Normal 260 3 2 2" xfId="11952"/>
    <cellStyle name="Normal 261" xfId="1055"/>
    <cellStyle name="Normal 261 2" xfId="7729"/>
    <cellStyle name="Normal 261 2 2" xfId="11012"/>
    <cellStyle name="Normal 261 2 2 2" xfId="11497"/>
    <cellStyle name="Normal 262" xfId="1056"/>
    <cellStyle name="Normal 262 2" xfId="1057"/>
    <cellStyle name="Normal 262 3" xfId="7730"/>
    <cellStyle name="Normal 262 3 2" xfId="11266"/>
    <cellStyle name="Normal 262 3 2 2" xfId="12903"/>
    <cellStyle name="Normal 263" xfId="1058"/>
    <cellStyle name="Normal 263 2" xfId="7731"/>
    <cellStyle name="Normal 263 2 2" xfId="12415"/>
    <cellStyle name="Normal 263 2 2 2" xfId="10937"/>
    <cellStyle name="Normal 264" xfId="1059"/>
    <cellStyle name="Normal 264 2" xfId="7732"/>
    <cellStyle name="Normal 264 2 2" xfId="11835"/>
    <cellStyle name="Normal 264 2 2 2" xfId="11840"/>
    <cellStyle name="Normal 265" xfId="1060"/>
    <cellStyle name="Normal 265 2" xfId="12880"/>
    <cellStyle name="Normal 265 2 2" xfId="10925"/>
    <cellStyle name="Normal 266" xfId="1061"/>
    <cellStyle name="Normal 266 2" xfId="11243"/>
    <cellStyle name="Normal 266 2 2" xfId="12869"/>
    <cellStyle name="Normal 267" xfId="1062"/>
    <cellStyle name="Normal 267 2" xfId="7733"/>
    <cellStyle name="Normal 267 2 2" xfId="11138"/>
    <cellStyle name="Normal 267 2 2 2" xfId="13273"/>
    <cellStyle name="Normal 268" xfId="1063"/>
    <cellStyle name="Normal 268 2" xfId="11013"/>
    <cellStyle name="Normal 268 2 2" xfId="13337"/>
    <cellStyle name="Normal 269" xfId="1064"/>
    <cellStyle name="Normal 269 2" xfId="11264"/>
    <cellStyle name="Normal 269 2 2" xfId="12376"/>
    <cellStyle name="Normal 27" xfId="215"/>
    <cellStyle name="Normal 27 2" xfId="755"/>
    <cellStyle name="Normal 27 2 2" xfId="9674"/>
    <cellStyle name="Normal 27 3" xfId="7734"/>
    <cellStyle name="Normal 27 4" xfId="7735"/>
    <cellStyle name="Normal 27 5" xfId="7736"/>
    <cellStyle name="Normal 27 6" xfId="7737"/>
    <cellStyle name="Normal 27 7" xfId="7738"/>
    <cellStyle name="Normal 27 8" xfId="7739"/>
    <cellStyle name="Normal 270" xfId="1065"/>
    <cellStyle name="Normal 270 2" xfId="7740"/>
    <cellStyle name="Normal 270 2 2" xfId="11566"/>
    <cellStyle name="Normal 270 2 2 2" xfId="10938"/>
    <cellStyle name="Normal 271" xfId="1066"/>
    <cellStyle name="Normal 271 2" xfId="11003"/>
    <cellStyle name="Normal 271 2 2" xfId="12787"/>
    <cellStyle name="Normal 272" xfId="1067"/>
    <cellStyle name="Normal 272 2" xfId="7741"/>
    <cellStyle name="Normal 272 2 2" xfId="13118"/>
    <cellStyle name="Normal 272 2 2 2" xfId="11575"/>
    <cellStyle name="Normal 273" xfId="1068"/>
    <cellStyle name="Normal 273 2" xfId="11983"/>
    <cellStyle name="Normal 273 2 2" xfId="12467"/>
    <cellStyle name="Normal 274" xfId="1069"/>
    <cellStyle name="Normal 274 2" xfId="11305"/>
    <cellStyle name="Normal 274 2 2" xfId="11031"/>
    <cellStyle name="Normal 275" xfId="1070"/>
    <cellStyle name="Normal 275 2" xfId="7742"/>
    <cellStyle name="Normal 275 2 2" xfId="11567"/>
    <cellStyle name="Normal 275 2 2 2" xfId="10939"/>
    <cellStyle name="Normal 276" xfId="1071"/>
    <cellStyle name="Normal 276 2" xfId="12374"/>
    <cellStyle name="Normal 276 2 2" xfId="11064"/>
    <cellStyle name="Normal 277" xfId="993"/>
    <cellStyle name="Normal 277 2" xfId="11014"/>
    <cellStyle name="Normal 277 2 2" xfId="11250"/>
    <cellStyle name="Normal 278" xfId="1088"/>
    <cellStyle name="Normal 278 2" xfId="11269"/>
    <cellStyle name="Normal 278 2 2" xfId="11525"/>
    <cellStyle name="Normal 279" xfId="3018"/>
    <cellStyle name="Normal 279 2" xfId="7743"/>
    <cellStyle name="Normal 279 2 2" xfId="12982"/>
    <cellStyle name="Normal 279 2 2 2" xfId="12904"/>
    <cellStyle name="Normal 279 3" xfId="13551"/>
    <cellStyle name="Normal 28" xfId="216"/>
    <cellStyle name="Normal 28 2" xfId="756"/>
    <cellStyle name="Normal 28 2 2" xfId="9675"/>
    <cellStyle name="Normal 28 3" xfId="7744"/>
    <cellStyle name="Normal 28 4" xfId="7745"/>
    <cellStyle name="Normal 28 5" xfId="7746"/>
    <cellStyle name="Normal 28 6" xfId="7747"/>
    <cellStyle name="Normal 28 7" xfId="7748"/>
    <cellStyle name="Normal 28 8" xfId="7749"/>
    <cellStyle name="Normal 280" xfId="2934"/>
    <cellStyle name="Normal 280 2" xfId="11015"/>
    <cellStyle name="Normal 280 2 2" xfId="12945"/>
    <cellStyle name="Normal 281" xfId="3019"/>
    <cellStyle name="Normal 281 2" xfId="7750"/>
    <cellStyle name="Normal 281 2 2" xfId="13119"/>
    <cellStyle name="Normal 281 2 2 2" xfId="13316"/>
    <cellStyle name="Normal 281 3" xfId="13552"/>
    <cellStyle name="Normal 282" xfId="7751"/>
    <cellStyle name="Normal 282 2" xfId="13005"/>
    <cellStyle name="Normal 282 2 2" xfId="13254"/>
    <cellStyle name="Normal 283" xfId="7752"/>
    <cellStyle name="Normal 283 2" xfId="7753"/>
    <cellStyle name="Normal 283 2 2" xfId="13128"/>
    <cellStyle name="Normal 283 2 3" xfId="13329"/>
    <cellStyle name="Normal 283 2 4" xfId="11568"/>
    <cellStyle name="Normal 283 3" xfId="14036"/>
    <cellStyle name="Normal 284" xfId="7754"/>
    <cellStyle name="Normal 284 2" xfId="12388"/>
    <cellStyle name="Normal 284 2 2" xfId="13127"/>
    <cellStyle name="Normal 285" xfId="7755"/>
    <cellStyle name="Normal 285 2" xfId="11504"/>
    <cellStyle name="Normal 285 2 2" xfId="11512"/>
    <cellStyle name="Normal 286" xfId="7756"/>
    <cellStyle name="Normal 286 2" xfId="11016"/>
    <cellStyle name="Normal 286 2 2" xfId="11286"/>
    <cellStyle name="Normal 287" xfId="7757"/>
    <cellStyle name="Normal 287 2" xfId="10923"/>
    <cellStyle name="Normal 287 2 2" xfId="11032"/>
    <cellStyle name="Normal 288" xfId="7758"/>
    <cellStyle name="Normal 288 2" xfId="13120"/>
    <cellStyle name="Normal 288 2 2" xfId="11576"/>
    <cellStyle name="Normal 289" xfId="7759"/>
    <cellStyle name="Normal 289 2" xfId="12878"/>
    <cellStyle name="Normal 289 2 2" xfId="11291"/>
    <cellStyle name="Normal 29" xfId="217"/>
    <cellStyle name="Normal 29 2" xfId="757"/>
    <cellStyle name="Normal 29 2 2" xfId="9676"/>
    <cellStyle name="Normal 29 3" xfId="7760"/>
    <cellStyle name="Normal 29 4" xfId="7761"/>
    <cellStyle name="Normal 29 5" xfId="7762"/>
    <cellStyle name="Normal 29 6" xfId="7763"/>
    <cellStyle name="Normal 29 7" xfId="7764"/>
    <cellStyle name="Normal 29 8" xfId="7765"/>
    <cellStyle name="Normal 290" xfId="7766"/>
    <cellStyle name="Normal 290 2" xfId="13320"/>
    <cellStyle name="Normal 290 2 2" xfId="11377"/>
    <cellStyle name="Normal 291" xfId="7767"/>
    <cellStyle name="Normal 291 2" xfId="13258"/>
    <cellStyle name="Normal 291 2 2" xfId="13293"/>
    <cellStyle name="Normal 292" xfId="7768"/>
    <cellStyle name="Normal 292 2" xfId="13122"/>
    <cellStyle name="Normal 292 2 2" xfId="13230"/>
    <cellStyle name="Normal 293" xfId="7769"/>
    <cellStyle name="Normal 293 2" xfId="13121"/>
    <cellStyle name="Normal 293 2 2" xfId="11690"/>
    <cellStyle name="Normal 294" xfId="7770"/>
    <cellStyle name="Normal 294 2" xfId="12394"/>
    <cellStyle name="Normal 294 2 2" xfId="11033"/>
    <cellStyle name="Normal 295" xfId="7771"/>
    <cellStyle name="Normal 295 2" xfId="11570"/>
    <cellStyle name="Normal 295 2 2" xfId="12407"/>
    <cellStyle name="Normal 296" xfId="7772"/>
    <cellStyle name="Normal 296 2" xfId="11017"/>
    <cellStyle name="Normal 296 2 2" xfId="13129"/>
    <cellStyle name="Normal 297" xfId="7773"/>
    <cellStyle name="Normal 297 2" xfId="11265"/>
    <cellStyle name="Normal 297 2 2" xfId="11577"/>
    <cellStyle name="Normal 298" xfId="7774"/>
    <cellStyle name="Normal 298 2" xfId="11293"/>
    <cellStyle name="Normal 298 2 2" xfId="12379"/>
    <cellStyle name="Normal 299" xfId="2535"/>
    <cellStyle name="Normal 299 2" xfId="11474"/>
    <cellStyle name="Normal 299 2 2" xfId="11161"/>
    <cellStyle name="Normal 3" xfId="30"/>
    <cellStyle name="Normal 3 10" xfId="1761"/>
    <cellStyle name="Normal 3 11" xfId="1762"/>
    <cellStyle name="Normal 3 12" xfId="7775"/>
    <cellStyle name="Normal 3 13" xfId="7776"/>
    <cellStyle name="Normal 3 2" xfId="31"/>
    <cellStyle name="Normal 3 2 2" xfId="218"/>
    <cellStyle name="Normal 3 2 2 2" xfId="758"/>
    <cellStyle name="Normal 3 2 2 3" xfId="7777"/>
    <cellStyle name="Normal 3 2 2 4" xfId="7778"/>
    <cellStyle name="Normal 3 2 2 5" xfId="7779"/>
    <cellStyle name="Normal 3 2 2 6" xfId="7780"/>
    <cellStyle name="Normal 3 2 2 7" xfId="7781"/>
    <cellStyle name="Normal 3 2 2 8" xfId="7782"/>
    <cellStyle name="Normal 3 2 3" xfId="219"/>
    <cellStyle name="Normal 3 2 3 2" xfId="9173"/>
    <cellStyle name="Normal 3 2 4" xfId="2949"/>
    <cellStyle name="Normal 3 2 4 2" xfId="7783"/>
    <cellStyle name="Normal 3 3" xfId="91"/>
    <cellStyle name="Normal 3 3 10" xfId="3776"/>
    <cellStyle name="Normal 3 3 11" xfId="7784"/>
    <cellStyle name="Normal 3 3 12" xfId="7785"/>
    <cellStyle name="Normal 3 3 2" xfId="220"/>
    <cellStyle name="Normal 3 3 2 2" xfId="1764"/>
    <cellStyle name="Normal 3 3 2 3" xfId="1765"/>
    <cellStyle name="Normal 3 3 2 4" xfId="1766"/>
    <cellStyle name="Normal 3 3 2 5" xfId="1763"/>
    <cellStyle name="Normal 3 3 2 6" xfId="7786"/>
    <cellStyle name="Normal 3 3 2 7" xfId="7787"/>
    <cellStyle name="Normal 3 3 2 8" xfId="7788"/>
    <cellStyle name="Normal 3 3 2 9" xfId="7789"/>
    <cellStyle name="Normal 3 3 3" xfId="717"/>
    <cellStyle name="Normal 3 3 4" xfId="1767"/>
    <cellStyle name="Normal 3 3 5" xfId="1768"/>
    <cellStyle name="Normal 3 3 5 2" xfId="1769"/>
    <cellStyle name="Normal 3 3 5 3" xfId="1770"/>
    <cellStyle name="Normal 3 3 5 4" xfId="13487"/>
    <cellStyle name="Normal 3 3 6" xfId="1771"/>
    <cellStyle name="Normal 3 3 7" xfId="1772"/>
    <cellStyle name="Normal 3 3 8" xfId="1773"/>
    <cellStyle name="Normal 3 3 9" xfId="1774"/>
    <cellStyle name="Normal 3 4" xfId="658"/>
    <cellStyle name="Normal 3 4 2" xfId="2950"/>
    <cellStyle name="Normal 3 4 2 2" xfId="9677"/>
    <cellStyle name="Normal 3 5" xfId="1775"/>
    <cellStyle name="Normal 3 6" xfId="1776"/>
    <cellStyle name="Normal 3 7" xfId="1777"/>
    <cellStyle name="Normal 3 8" xfId="1778"/>
    <cellStyle name="Normal 3 9" xfId="1779"/>
    <cellStyle name="Normal 30" xfId="221"/>
    <cellStyle name="Normal 30 2" xfId="759"/>
    <cellStyle name="Normal 30 2 2" xfId="9678"/>
    <cellStyle name="Normal 30 3" xfId="7790"/>
    <cellStyle name="Normal 30 4" xfId="7791"/>
    <cellStyle name="Normal 30 5" xfId="7792"/>
    <cellStyle name="Normal 30 6" xfId="7793"/>
    <cellStyle name="Normal 30 7" xfId="7794"/>
    <cellStyle name="Normal 30 8" xfId="7795"/>
    <cellStyle name="Normal 300" xfId="7796"/>
    <cellStyle name="Normal 300 2" xfId="13297"/>
    <cellStyle name="Normal 300 2 2" xfId="11578"/>
    <cellStyle name="Normal 301" xfId="7797"/>
    <cellStyle name="Normal 301 2" xfId="10934"/>
    <cellStyle name="Normal 301 2 2" xfId="13335"/>
    <cellStyle name="Normal 302" xfId="7798"/>
    <cellStyle name="Normal 302 2" xfId="11866"/>
    <cellStyle name="Normal 302 2 2" xfId="12358"/>
    <cellStyle name="Normal 303" xfId="7799"/>
    <cellStyle name="Normal 303 2" xfId="11895"/>
    <cellStyle name="Normal 303 2 2" xfId="11110"/>
    <cellStyle name="Normal 304" xfId="7800"/>
    <cellStyle name="Normal 304 2" xfId="11772"/>
    <cellStyle name="Normal 304 2 2" xfId="11035"/>
    <cellStyle name="Normal 305" xfId="7801"/>
    <cellStyle name="Normal 305 2" xfId="12956"/>
    <cellStyle name="Normal 305 2 2" xfId="13144"/>
    <cellStyle name="Normal 306" xfId="7802"/>
    <cellStyle name="Normal 306 2" xfId="11244"/>
    <cellStyle name="Normal 306 2 2" xfId="13130"/>
    <cellStyle name="Normal 307" xfId="7803"/>
    <cellStyle name="Normal 307 2" xfId="13234"/>
    <cellStyle name="Normal 307 2 2" xfId="11034"/>
    <cellStyle name="Normal 308" xfId="7804"/>
    <cellStyle name="Normal 308 2" xfId="11681"/>
    <cellStyle name="Normal 308 2 2" xfId="13271"/>
    <cellStyle name="Normal 309" xfId="7805"/>
    <cellStyle name="Normal 309 2" xfId="12401"/>
    <cellStyle name="Normal 309 2 2" xfId="13007"/>
    <cellStyle name="Normal 31" xfId="222"/>
    <cellStyle name="Normal 31 2" xfId="760"/>
    <cellStyle name="Normal 31 2 2" xfId="9679"/>
    <cellStyle name="Normal 31 3" xfId="7806"/>
    <cellStyle name="Normal 31 4" xfId="7807"/>
    <cellStyle name="Normal 31 5" xfId="7808"/>
    <cellStyle name="Normal 31 6" xfId="7809"/>
    <cellStyle name="Normal 31 7" xfId="7810"/>
    <cellStyle name="Normal 31 8" xfId="7811"/>
    <cellStyle name="Normal 310" xfId="7812"/>
    <cellStyle name="Normal 310 2" xfId="11019"/>
    <cellStyle name="Normal 310 2 2" xfId="11580"/>
    <cellStyle name="Normal 311" xfId="7813"/>
    <cellStyle name="Normal 311 2" xfId="11018"/>
    <cellStyle name="Normal 311 2 2" xfId="11579"/>
    <cellStyle name="Normal 312" xfId="7814"/>
    <cellStyle name="Normal 312 2" xfId="11367"/>
    <cellStyle name="Normal 312 2 2" xfId="11281"/>
    <cellStyle name="Normal 313" xfId="7815"/>
    <cellStyle name="Normal 313 2" xfId="11971"/>
    <cellStyle name="Normal 313 2 2" xfId="11036"/>
    <cellStyle name="Normal 314" xfId="7816"/>
    <cellStyle name="Normal 315" xfId="7817"/>
    <cellStyle name="Normal 315 2" xfId="11021"/>
    <cellStyle name="Normal 316" xfId="7818"/>
    <cellStyle name="Normal 317" xfId="7819"/>
    <cellStyle name="Normal 317 2" xfId="11601"/>
    <cellStyle name="Normal 318" xfId="7820"/>
    <cellStyle name="Normal 318 2" xfId="11020"/>
    <cellStyle name="Normal 319" xfId="7821"/>
    <cellStyle name="Normal 32" xfId="223"/>
    <cellStyle name="Normal 32 2" xfId="761"/>
    <cellStyle name="Normal 32 2 2" xfId="9680"/>
    <cellStyle name="Normal 32 3" xfId="7822"/>
    <cellStyle name="Normal 32 4" xfId="7823"/>
    <cellStyle name="Normal 32 5" xfId="7824"/>
    <cellStyle name="Normal 32 6" xfId="7825"/>
    <cellStyle name="Normal 32 7" xfId="7826"/>
    <cellStyle name="Normal 32 8" xfId="7827"/>
    <cellStyle name="Normal 320" xfId="7828"/>
    <cellStyle name="Normal 320 2" xfId="11727"/>
    <cellStyle name="Normal 321" xfId="7829"/>
    <cellStyle name="Normal 321 2" xfId="11988"/>
    <cellStyle name="Normal 322" xfId="7830"/>
    <cellStyle name="Normal 322 2" xfId="13003"/>
    <cellStyle name="Normal 322 2 2" xfId="13131"/>
    <cellStyle name="Normal 323" xfId="7831"/>
    <cellStyle name="Normal 323 2" xfId="11518"/>
    <cellStyle name="Normal 323 2 2" xfId="13145"/>
    <cellStyle name="Normal 324" xfId="7832"/>
    <cellStyle name="Normal 324 2" xfId="13340"/>
    <cellStyle name="Normal 324 2 2" xfId="11584"/>
    <cellStyle name="Normal 325" xfId="7833"/>
    <cellStyle name="Normal 325 2" xfId="11022"/>
    <cellStyle name="Normal 325 2 2" xfId="11523"/>
    <cellStyle name="Normal 326" xfId="7834"/>
    <cellStyle name="Normal 326 2" xfId="11023"/>
    <cellStyle name="Normal 326 2 2" xfId="11252"/>
    <cellStyle name="Normal 327" xfId="7835"/>
    <cellStyle name="Normal 327 2" xfId="11859"/>
    <cellStyle name="Normal 327 2 2" xfId="13314"/>
    <cellStyle name="Normal 328" xfId="7836"/>
    <cellStyle name="Normal 328 2" xfId="12955"/>
    <cellStyle name="Normal 328 2 2" xfId="13252"/>
    <cellStyle name="Normal 329" xfId="7837"/>
    <cellStyle name="Normal 329 2" xfId="13276"/>
    <cellStyle name="Normal 329 2 2" xfId="13132"/>
    <cellStyle name="Normal 33" xfId="224"/>
    <cellStyle name="Normal 33 2" xfId="762"/>
    <cellStyle name="Normal 33 2 2" xfId="9681"/>
    <cellStyle name="Normal 33 3" xfId="7838"/>
    <cellStyle name="Normal 33 4" xfId="7839"/>
    <cellStyle name="Normal 33 5" xfId="7840"/>
    <cellStyle name="Normal 33 6" xfId="7841"/>
    <cellStyle name="Normal 33 7" xfId="7842"/>
    <cellStyle name="Normal 33 8" xfId="7843"/>
    <cellStyle name="Normal 330" xfId="7844"/>
    <cellStyle name="Normal 330 2" xfId="13123"/>
    <cellStyle name="Normal 330 2 2" xfId="12396"/>
    <cellStyle name="Normal 331" xfId="7845"/>
    <cellStyle name="Normal 331 2" xfId="11024"/>
    <cellStyle name="Normal 331 2 2" xfId="11583"/>
    <cellStyle name="Normal 332" xfId="7846"/>
    <cellStyle name="Normal 332 2" xfId="12389"/>
    <cellStyle name="Normal 332 2 2" xfId="11154"/>
    <cellStyle name="Normal 333" xfId="7847"/>
    <cellStyle name="Normal 333 2" xfId="11571"/>
    <cellStyle name="Normal 333 2 2" xfId="11513"/>
    <cellStyle name="Normal 334" xfId="7848"/>
    <cellStyle name="Normal 334 2" xfId="11025"/>
    <cellStyle name="Normal 334 2 2" xfId="12417"/>
    <cellStyle name="Normal 335" xfId="7849"/>
    <cellStyle name="Normal 335 2" xfId="12352"/>
    <cellStyle name="Normal 335 2 2" xfId="12883"/>
    <cellStyle name="Normal 336" xfId="7850"/>
    <cellStyle name="Normal 336 2" xfId="11490"/>
    <cellStyle name="Normal 336 2 2" xfId="13024"/>
    <cellStyle name="Normal 337" xfId="7851"/>
    <cellStyle name="Normal 337 2" xfId="11678"/>
    <cellStyle name="Normal 337 2 2" xfId="10915"/>
    <cellStyle name="Normal 338" xfId="7852"/>
    <cellStyle name="Normal 338 2" xfId="11368"/>
    <cellStyle name="Normal 338 2 2" xfId="11585"/>
    <cellStyle name="Normal 339" xfId="7853"/>
    <cellStyle name="Normal 339 2" xfId="11369"/>
    <cellStyle name="Normal 339 2 2" xfId="12405"/>
    <cellStyle name="Normal 34" xfId="225"/>
    <cellStyle name="Normal 34 2" xfId="763"/>
    <cellStyle name="Normal 34 2 2" xfId="9682"/>
    <cellStyle name="Normal 34 3" xfId="7854"/>
    <cellStyle name="Normal 34 4" xfId="7855"/>
    <cellStyle name="Normal 34 5" xfId="7856"/>
    <cellStyle name="Normal 34 6" xfId="7857"/>
    <cellStyle name="Normal 34 7" xfId="7858"/>
    <cellStyle name="Normal 34 8" xfId="7859"/>
    <cellStyle name="Normal 340" xfId="7860"/>
    <cellStyle name="Normal 340 2" xfId="11370"/>
    <cellStyle name="Normal 340 2 2" xfId="11587"/>
    <cellStyle name="Normal 341" xfId="7861"/>
    <cellStyle name="Normal 341 2" xfId="13319"/>
    <cellStyle name="Normal 341 2 2" xfId="11586"/>
    <cellStyle name="Normal 342" xfId="7862"/>
    <cellStyle name="Normal 342 2" xfId="11371"/>
    <cellStyle name="Normal 342 2 2" xfId="12377"/>
    <cellStyle name="Normal 343" xfId="7863"/>
    <cellStyle name="Normal 343 2" xfId="13257"/>
    <cellStyle name="Normal 343 2 2" xfId="11304"/>
    <cellStyle name="Normal 344" xfId="7864"/>
    <cellStyle name="Normal 344 2" xfId="12013"/>
    <cellStyle name="Normal 344 2 2" xfId="11582"/>
    <cellStyle name="Normal 345" xfId="7865"/>
    <cellStyle name="Normal 345 2" xfId="11573"/>
    <cellStyle name="Normal 345 2 2" xfId="11588"/>
    <cellStyle name="Normal 346" xfId="7866"/>
    <cellStyle name="Normal 346 2" xfId="11933"/>
    <cellStyle name="Normal 346 2 2" xfId="11482"/>
    <cellStyle name="Normal 347" xfId="7867"/>
    <cellStyle name="Normal 347 2" xfId="10906"/>
    <cellStyle name="Normal 347 2 2" xfId="12983"/>
    <cellStyle name="Normal 348" xfId="7868"/>
    <cellStyle name="Normal 348 2" xfId="12567"/>
    <cellStyle name="Normal 348 2 2" xfId="10941"/>
    <cellStyle name="Normal 349" xfId="7869"/>
    <cellStyle name="Normal 349 2" xfId="11294"/>
    <cellStyle name="Normal 349 2 2" xfId="10940"/>
    <cellStyle name="Normal 35" xfId="226"/>
    <cellStyle name="Normal 35 2" xfId="764"/>
    <cellStyle name="Normal 35 2 2" xfId="9683"/>
    <cellStyle name="Normal 35 3" xfId="7870"/>
    <cellStyle name="Normal 35 4" xfId="7871"/>
    <cellStyle name="Normal 35 5" xfId="7872"/>
    <cellStyle name="Normal 35 6" xfId="7873"/>
    <cellStyle name="Normal 35 7" xfId="7874"/>
    <cellStyle name="Normal 35 8" xfId="7875"/>
    <cellStyle name="Normal 350" xfId="7876"/>
    <cellStyle name="Normal 350 2" xfId="11028"/>
    <cellStyle name="Normal 350 2 2" xfId="12369"/>
    <cellStyle name="Normal 351" xfId="7877"/>
    <cellStyle name="Normal 351 2" xfId="10907"/>
    <cellStyle name="Normal 351 2 2" xfId="11527"/>
    <cellStyle name="Normal 352" xfId="7878"/>
    <cellStyle name="Normal 352 2" xfId="10924"/>
    <cellStyle name="Normal 352 2 2" xfId="13336"/>
    <cellStyle name="Normal 353" xfId="7879"/>
    <cellStyle name="Normal 353 2" xfId="12568"/>
    <cellStyle name="Normal 353 2 2" xfId="13272"/>
    <cellStyle name="Normal 354" xfId="7880"/>
    <cellStyle name="Normal 354 2" xfId="11909"/>
    <cellStyle name="Normal 354 2 2" xfId="11155"/>
    <cellStyle name="Normal 355" xfId="7881"/>
    <cellStyle name="Normal 355 2" xfId="12570"/>
    <cellStyle name="Normal 355 2 2" xfId="10908"/>
    <cellStyle name="Normal 356" xfId="7882"/>
    <cellStyle name="Normal 356 2" xfId="7883"/>
    <cellStyle name="Normal 356 3" xfId="7884"/>
    <cellStyle name="Normal 356 3 2" xfId="7885"/>
    <cellStyle name="Normal 356 4" xfId="13296"/>
    <cellStyle name="Normal 356 4 2" xfId="11282"/>
    <cellStyle name="Normal 357" xfId="7886"/>
    <cellStyle name="Normal 357 2" xfId="7887"/>
    <cellStyle name="Normal 357 3" xfId="7888"/>
    <cellStyle name="Normal 357 3 2" xfId="7889"/>
    <cellStyle name="Normal 357 4" xfId="11819"/>
    <cellStyle name="Normal 357 4 2" xfId="10943"/>
    <cellStyle name="Normal 358" xfId="7890"/>
    <cellStyle name="Normal 358 2" xfId="13233"/>
    <cellStyle name="Normal 358 2 2" xfId="10942"/>
    <cellStyle name="Normal 359" xfId="7891"/>
    <cellStyle name="Normal 359 2" xfId="12569"/>
    <cellStyle name="Normal 359 2 2" xfId="11251"/>
    <cellStyle name="Normal 36" xfId="227"/>
    <cellStyle name="Normal 36 2" xfId="765"/>
    <cellStyle name="Normal 36 2 2" xfId="9684"/>
    <cellStyle name="Normal 36 3" xfId="7892"/>
    <cellStyle name="Normal 36 4" xfId="7893"/>
    <cellStyle name="Normal 36 5" xfId="7894"/>
    <cellStyle name="Normal 36 6" xfId="7895"/>
    <cellStyle name="Normal 36 7" xfId="7896"/>
    <cellStyle name="Normal 36 8" xfId="7897"/>
    <cellStyle name="Normal 360" xfId="7898"/>
    <cellStyle name="Normal 360 2" xfId="12911"/>
    <cellStyle name="Normal 360 2 2" xfId="11289"/>
    <cellStyle name="Normal 361" xfId="7899"/>
    <cellStyle name="Normal 361 2" xfId="13295"/>
    <cellStyle name="Normal 361 2 2" xfId="12990"/>
    <cellStyle name="Normal 362" xfId="7900"/>
    <cellStyle name="Normal 362 2" xfId="11372"/>
    <cellStyle name="Normal 362 2 2" xfId="13315"/>
    <cellStyle name="Normal 363" xfId="7901"/>
    <cellStyle name="Normal 363 2" xfId="13023"/>
    <cellStyle name="Normal 363 2 2" xfId="10944"/>
    <cellStyle name="Normal 364" xfId="7902"/>
    <cellStyle name="Normal 364 2" xfId="11782"/>
    <cellStyle name="Normal 364 2 2" xfId="10945"/>
    <cellStyle name="Normal 365" xfId="7903"/>
    <cellStyle name="Normal 365 2" xfId="11373"/>
    <cellStyle name="Normal 365 2 2" xfId="11038"/>
    <cellStyle name="Normal 366" xfId="7904"/>
    <cellStyle name="Normal 366 2" xfId="13232"/>
    <cellStyle name="Normal 366 2 2" xfId="13253"/>
    <cellStyle name="Normal 367" xfId="7905"/>
    <cellStyle name="Normal 367 2" xfId="11145"/>
    <cellStyle name="Normal 367 2 2" xfId="12395"/>
    <cellStyle name="Normal 368" xfId="7906"/>
    <cellStyle name="Normal 368 2" xfId="11245"/>
    <cellStyle name="Normal 368 2 2" xfId="10946"/>
    <cellStyle name="Normal 369" xfId="7907"/>
    <cellStyle name="Normal 369 2" xfId="11467"/>
    <cellStyle name="Normal 369 2 2" xfId="11267"/>
    <cellStyle name="Normal 37" xfId="228"/>
    <cellStyle name="Normal 37 10" xfId="9032"/>
    <cellStyle name="Normal 37 11" xfId="10658"/>
    <cellStyle name="Normal 37 12" xfId="10790"/>
    <cellStyle name="Normal 37 2" xfId="229"/>
    <cellStyle name="Normal 37 2 10" xfId="10659"/>
    <cellStyle name="Normal 37 2 11" xfId="10791"/>
    <cellStyle name="Normal 37 2 2" xfId="9218"/>
    <cellStyle name="Normal 37 2 2 2" xfId="9357"/>
    <cellStyle name="Normal 37 2 2 2 2" xfId="9772"/>
    <cellStyle name="Normal 37 2 2 2 2 2" xfId="10065"/>
    <cellStyle name="Normal 37 2 2 2 3" xfId="10064"/>
    <cellStyle name="Normal 37 2 2 3" xfId="9492"/>
    <cellStyle name="Normal 37 2 2 3 2" xfId="10066"/>
    <cellStyle name="Normal 37 2 2 4" xfId="10063"/>
    <cellStyle name="Normal 37 2 2 5" xfId="10704"/>
    <cellStyle name="Normal 37 2 2 6" xfId="10835"/>
    <cellStyle name="Normal 37 2 3" xfId="9274"/>
    <cellStyle name="Normal 37 2 3 2" xfId="9392"/>
    <cellStyle name="Normal 37 2 3 2 2" xfId="9813"/>
    <cellStyle name="Normal 37 2 3 2 2 2" xfId="10069"/>
    <cellStyle name="Normal 37 2 3 2 3" xfId="10068"/>
    <cellStyle name="Normal 37 2 3 3" xfId="9532"/>
    <cellStyle name="Normal 37 2 3 3 2" xfId="10070"/>
    <cellStyle name="Normal 37 2 3 4" xfId="10067"/>
    <cellStyle name="Normal 37 2 3 5" xfId="10744"/>
    <cellStyle name="Normal 37 2 3 6" xfId="10874"/>
    <cellStyle name="Normal 37 2 4" xfId="9175"/>
    <cellStyle name="Normal 37 2 4 2" xfId="9627"/>
    <cellStyle name="Normal 37 2 4 2 2" xfId="10072"/>
    <cellStyle name="Normal 37 2 4 3" xfId="10071"/>
    <cellStyle name="Normal 37 2 5" xfId="9319"/>
    <cellStyle name="Normal 37 2 5 2" xfId="9730"/>
    <cellStyle name="Normal 37 2 5 2 2" xfId="10074"/>
    <cellStyle name="Normal 37 2 5 3" xfId="10073"/>
    <cellStyle name="Normal 37 2 6" xfId="9101"/>
    <cellStyle name="Normal 37 2 6 2" xfId="9580"/>
    <cellStyle name="Normal 37 2 6 2 2" xfId="10076"/>
    <cellStyle name="Normal 37 2 6 3" xfId="10075"/>
    <cellStyle name="Normal 37 2 7" xfId="9449"/>
    <cellStyle name="Normal 37 2 7 2" xfId="10077"/>
    <cellStyle name="Normal 37 2 8" xfId="9874"/>
    <cellStyle name="Normal 37 2 9" xfId="9033"/>
    <cellStyle name="Normal 37 3" xfId="9217"/>
    <cellStyle name="Normal 37 3 2" xfId="9356"/>
    <cellStyle name="Normal 37 3 2 2" xfId="9771"/>
    <cellStyle name="Normal 37 3 2 2 2" xfId="10080"/>
    <cellStyle name="Normal 37 3 2 3" xfId="10079"/>
    <cellStyle name="Normal 37 3 3" xfId="9491"/>
    <cellStyle name="Normal 37 3 3 2" xfId="10081"/>
    <cellStyle name="Normal 37 3 4" xfId="10078"/>
    <cellStyle name="Normal 37 3 5" xfId="10703"/>
    <cellStyle name="Normal 37 3 6" xfId="10834"/>
    <cellStyle name="Normal 37 4" xfId="9273"/>
    <cellStyle name="Normal 37 4 2" xfId="9391"/>
    <cellStyle name="Normal 37 4 2 2" xfId="9812"/>
    <cellStyle name="Normal 37 4 2 2 2" xfId="10084"/>
    <cellStyle name="Normal 37 4 2 3" xfId="10083"/>
    <cellStyle name="Normal 37 4 3" xfId="9531"/>
    <cellStyle name="Normal 37 4 3 2" xfId="10085"/>
    <cellStyle name="Normal 37 4 4" xfId="10082"/>
    <cellStyle name="Normal 37 4 5" xfId="10743"/>
    <cellStyle name="Normal 37 4 6" xfId="10873"/>
    <cellStyle name="Normal 37 5" xfId="9174"/>
    <cellStyle name="Normal 37 5 2" xfId="9626"/>
    <cellStyle name="Normal 37 5 2 2" xfId="10087"/>
    <cellStyle name="Normal 37 5 3" xfId="10086"/>
    <cellStyle name="Normal 37 6" xfId="9318"/>
    <cellStyle name="Normal 37 6 2" xfId="9729"/>
    <cellStyle name="Normal 37 6 2 2" xfId="10089"/>
    <cellStyle name="Normal 37 6 3" xfId="10088"/>
    <cellStyle name="Normal 37 7" xfId="9100"/>
    <cellStyle name="Normal 37 7 2" xfId="9579"/>
    <cellStyle name="Normal 37 7 2 2" xfId="10091"/>
    <cellStyle name="Normal 37 7 3" xfId="10090"/>
    <cellStyle name="Normal 37 8" xfId="9448"/>
    <cellStyle name="Normal 37 8 2" xfId="10092"/>
    <cellStyle name="Normal 37 9" xfId="9873"/>
    <cellStyle name="Normal 370" xfId="7908"/>
    <cellStyle name="Normal 370 2" xfId="11029"/>
    <cellStyle name="Normal 370 2 2" xfId="12416"/>
    <cellStyle name="Normal 371" xfId="7909"/>
    <cellStyle name="Normal 371 2" xfId="13125"/>
    <cellStyle name="Normal 371 2 2" xfId="12994"/>
    <cellStyle name="Normal 372" xfId="7910"/>
    <cellStyle name="Normal 372 2" xfId="12380"/>
    <cellStyle name="Normal 372 2 2" xfId="13292"/>
    <cellStyle name="Normal 373" xfId="7911"/>
    <cellStyle name="Normal 373 2" xfId="13104"/>
    <cellStyle name="Normal 373 2 2" xfId="13229"/>
    <cellStyle name="Normal 374" xfId="7912"/>
    <cellStyle name="Normal 374 2" xfId="13126"/>
    <cellStyle name="Normal 374 2 2" xfId="11163"/>
    <cellStyle name="Normal 375" xfId="7913"/>
    <cellStyle name="Normal 375 2" xfId="11574"/>
    <cellStyle name="Normal 375 2 2" xfId="13022"/>
    <cellStyle name="Normal 376" xfId="7914"/>
    <cellStyle name="Normal 376 2" xfId="12359"/>
    <cellStyle name="Normal 376 2 2" xfId="11248"/>
    <cellStyle name="Normal 377" xfId="7915"/>
    <cellStyle name="Normal 377 2" xfId="13165"/>
    <cellStyle name="Normal 377 2 2" xfId="10947"/>
    <cellStyle name="Normal 378" xfId="7916"/>
    <cellStyle name="Normal 378 2" xfId="10935"/>
    <cellStyle name="Normal 378 2 2" xfId="12406"/>
    <cellStyle name="Normal 379" xfId="7917"/>
    <cellStyle name="Normal 379 2" xfId="11030"/>
    <cellStyle name="Normal 379 2 2" xfId="10949"/>
    <cellStyle name="Normal 38" xfId="230"/>
    <cellStyle name="Normal 38 10" xfId="10660"/>
    <cellStyle name="Normal 38 11" xfId="10792"/>
    <cellStyle name="Normal 38 12" xfId="8963"/>
    <cellStyle name="Normal 38 2" xfId="766"/>
    <cellStyle name="Normal 38 2 2" xfId="9358"/>
    <cellStyle name="Normal 38 2 2 2" xfId="9773"/>
    <cellStyle name="Normal 38 2 2 2 2" xfId="10095"/>
    <cellStyle name="Normal 38 2 2 3" xfId="10094"/>
    <cellStyle name="Normal 38 2 3" xfId="9493"/>
    <cellStyle name="Normal 38 2 3 2" xfId="10096"/>
    <cellStyle name="Normal 38 2 4" xfId="10093"/>
    <cellStyle name="Normal 38 2 5" xfId="10705"/>
    <cellStyle name="Normal 38 2 6" xfId="10836"/>
    <cellStyle name="Normal 38 2 7" xfId="9219"/>
    <cellStyle name="Normal 38 3" xfId="7918"/>
    <cellStyle name="Normal 38 3 2" xfId="9393"/>
    <cellStyle name="Normal 38 3 2 2" xfId="9814"/>
    <cellStyle name="Normal 38 3 2 2 2" xfId="10099"/>
    <cellStyle name="Normal 38 3 2 3" xfId="10098"/>
    <cellStyle name="Normal 38 3 3" xfId="9533"/>
    <cellStyle name="Normal 38 3 3 2" xfId="10100"/>
    <cellStyle name="Normal 38 3 4" xfId="10097"/>
    <cellStyle name="Normal 38 3 5" xfId="10745"/>
    <cellStyle name="Normal 38 3 6" xfId="10875"/>
    <cellStyle name="Normal 38 3 7" xfId="9275"/>
    <cellStyle name="Normal 38 4" xfId="7919"/>
    <cellStyle name="Normal 38 4 2" xfId="9628"/>
    <cellStyle name="Normal 38 4 2 2" xfId="10102"/>
    <cellStyle name="Normal 38 4 3" xfId="10101"/>
    <cellStyle name="Normal 38 4 4" xfId="9176"/>
    <cellStyle name="Normal 38 5" xfId="7920"/>
    <cellStyle name="Normal 38 5 2" xfId="9731"/>
    <cellStyle name="Normal 38 5 2 2" xfId="10104"/>
    <cellStyle name="Normal 38 5 3" xfId="10103"/>
    <cellStyle name="Normal 38 5 4" xfId="9320"/>
    <cellStyle name="Normal 38 6" xfId="7921"/>
    <cellStyle name="Normal 38 6 2" xfId="9581"/>
    <cellStyle name="Normal 38 6 2 2" xfId="10106"/>
    <cellStyle name="Normal 38 6 3" xfId="10105"/>
    <cellStyle name="Normal 38 6 4" xfId="9102"/>
    <cellStyle name="Normal 38 7" xfId="7922"/>
    <cellStyle name="Normal 38 7 2" xfId="10107"/>
    <cellStyle name="Normal 38 7 3" xfId="9450"/>
    <cellStyle name="Normal 38 8" xfId="7923"/>
    <cellStyle name="Normal 38 8 2" xfId="9875"/>
    <cellStyle name="Normal 38 9" xfId="9034"/>
    <cellStyle name="Normal 380" xfId="7924"/>
    <cellStyle name="Normal 380 2" xfId="11273"/>
    <cellStyle name="Normal 380 2 2" xfId="10948"/>
    <cellStyle name="Normal 381" xfId="7925"/>
    <cellStyle name="Normal 381 2" xfId="13006"/>
    <cellStyle name="Normal 381 2 2" xfId="12378"/>
    <cellStyle name="Normal 382" xfId="7926"/>
    <cellStyle name="Normal 382 2" xfId="13334"/>
    <cellStyle name="Normal 382 2 2" xfId="11072"/>
    <cellStyle name="Normal 383" xfId="7927"/>
    <cellStyle name="Normal 383 2" xfId="13270"/>
    <cellStyle name="Normal 383 2 2" xfId="10950"/>
    <cellStyle name="Normal 384" xfId="7928"/>
    <cellStyle name="Normal 384 2" xfId="12736"/>
    <cellStyle name="Normal 384 2 2" xfId="11039"/>
    <cellStyle name="Normal 385" xfId="7929"/>
    <cellStyle name="Normal 385 2" xfId="10936"/>
    <cellStyle name="Normal 385 2 2" xfId="12357"/>
    <cellStyle name="Normal 386" xfId="7930"/>
    <cellStyle name="Normal 386 2" xfId="11543"/>
    <cellStyle name="Normal 386 2 2" xfId="12980"/>
    <cellStyle name="Normal 387" xfId="7931"/>
    <cellStyle name="Normal 387 2" xfId="12221"/>
    <cellStyle name="Normal 387 2 2" xfId="10952"/>
    <cellStyle name="Normal 388" xfId="7932"/>
    <cellStyle name="Normal 388 2" xfId="11808"/>
    <cellStyle name="Normal 388 2 2" xfId="10951"/>
    <cellStyle name="Normal 389" xfId="7933"/>
    <cellStyle name="Normal 389 2" xfId="11253"/>
    <cellStyle name="Normal 389 2 2" xfId="12370"/>
    <cellStyle name="Normal 39" xfId="231"/>
    <cellStyle name="Normal 39 2" xfId="9220"/>
    <cellStyle name="Normal 39 2 2" xfId="9685"/>
    <cellStyle name="Normal 39 3" xfId="9139"/>
    <cellStyle name="Normal 39 4" xfId="9066"/>
    <cellStyle name="Normal 39 5" xfId="8998"/>
    <cellStyle name="Normal 39 6" xfId="8970"/>
    <cellStyle name="Normal 390" xfId="7934"/>
    <cellStyle name="Normal 391" xfId="7935"/>
    <cellStyle name="Normal 392" xfId="7936"/>
    <cellStyle name="Normal 393" xfId="7937"/>
    <cellStyle name="Normal 394" xfId="7938"/>
    <cellStyle name="Normal 395" xfId="7939"/>
    <cellStyle name="Normal 396" xfId="7940"/>
    <cellStyle name="Normal 397" xfId="7941"/>
    <cellStyle name="Normal 398" xfId="7942"/>
    <cellStyle name="Normal 399" xfId="7943"/>
    <cellStyle name="Normal 4" xfId="32"/>
    <cellStyle name="Normal 4 10" xfId="1780"/>
    <cellStyle name="Normal 4 11" xfId="7944"/>
    <cellStyle name="Normal 4 12" xfId="7945"/>
    <cellStyle name="Normal 4 2" xfId="92"/>
    <cellStyle name="Normal 4 2 10" xfId="2951"/>
    <cellStyle name="Normal 4 2 10 2" xfId="4456"/>
    <cellStyle name="Normal 4 2 10 2 2" xfId="13080"/>
    <cellStyle name="Normal 4 2 10 3" xfId="7946"/>
    <cellStyle name="Normal 4 2 10 4" xfId="13537"/>
    <cellStyle name="Normal 4 2 11" xfId="7947"/>
    <cellStyle name="Normal 4 2 12" xfId="7948"/>
    <cellStyle name="Normal 4 2 2" xfId="232"/>
    <cellStyle name="Normal 4 2 2 2" xfId="1782"/>
    <cellStyle name="Normal 4 2 2 2 2" xfId="7949"/>
    <cellStyle name="Normal 4 2 2 3" xfId="1783"/>
    <cellStyle name="Normal 4 2 2 3 2" xfId="7950"/>
    <cellStyle name="Normal 4 2 2 4" xfId="1784"/>
    <cellStyle name="Normal 4 2 2 5" xfId="1781"/>
    <cellStyle name="Normal 4 2 2 6" xfId="2952"/>
    <cellStyle name="Normal 4 2 2 6 2" xfId="7951"/>
    <cellStyle name="Normal 4 2 2 6 2 2" xfId="12578"/>
    <cellStyle name="Normal 4 2 2 6 2 3" xfId="12448"/>
    <cellStyle name="Normal 4 2 2 6 3" xfId="7952"/>
    <cellStyle name="Normal 4 2 2 6 4" xfId="13538"/>
    <cellStyle name="Normal 4 2 2 7" xfId="7953"/>
    <cellStyle name="Normal 4 2 2 8" xfId="7954"/>
    <cellStyle name="Normal 4 2 2 9" xfId="7955"/>
    <cellStyle name="Normal 4 2 3" xfId="718"/>
    <cellStyle name="Normal 4 2 3 2" xfId="7956"/>
    <cellStyle name="Normal 4 2 4" xfId="1785"/>
    <cellStyle name="Normal 4 2 4 2" xfId="7957"/>
    <cellStyle name="Normal 4 2 5" xfId="1786"/>
    <cellStyle name="Normal 4 2 5 2" xfId="1787"/>
    <cellStyle name="Normal 4 2 5 3" xfId="1788"/>
    <cellStyle name="Normal 4 2 5 4" xfId="13488"/>
    <cellStyle name="Normal 4 2 6" xfId="1789"/>
    <cellStyle name="Normal 4 2 6 2" xfId="7958"/>
    <cellStyle name="Normal 4 2 7" xfId="1790"/>
    <cellStyle name="Normal 4 2 8" xfId="1791"/>
    <cellStyle name="Normal 4 2 9" xfId="1792"/>
    <cellStyle name="Normal 4 3" xfId="233"/>
    <cellStyle name="Normal 4 3 2" xfId="767"/>
    <cellStyle name="Normal 4 3 2 2" xfId="7959"/>
    <cellStyle name="Normal 4 3 3" xfId="2953"/>
    <cellStyle name="Normal 4 3 3 2" xfId="7960"/>
    <cellStyle name="Normal 4 3 3 2 2" xfId="13330"/>
    <cellStyle name="Normal 4 3 3 2 3" xfId="11342"/>
    <cellStyle name="Normal 4 3 3 3" xfId="7961"/>
    <cellStyle name="Normal 4 3 3 4" xfId="13539"/>
    <cellStyle name="Normal 4 3 4" xfId="7962"/>
    <cellStyle name="Normal 4 3 5" xfId="7963"/>
    <cellStyle name="Normal 4 3 6" xfId="7964"/>
    <cellStyle name="Normal 4 3 7" xfId="7965"/>
    <cellStyle name="Normal 4 3 8" xfId="7966"/>
    <cellStyle name="Normal 4 3 9" xfId="9221"/>
    <cellStyle name="Normal 4 4" xfId="659"/>
    <cellStyle name="Normal 4 4 2" xfId="2954"/>
    <cellStyle name="Normal 4 5" xfId="1793"/>
    <cellStyle name="Normal 4 5 2" xfId="10606"/>
    <cellStyle name="Normal 4 6" xfId="1794"/>
    <cellStyle name="Normal 4 7" xfId="1795"/>
    <cellStyle name="Normal 4 8" xfId="1796"/>
    <cellStyle name="Normal 4 9" xfId="1797"/>
    <cellStyle name="Normal 40" xfId="234"/>
    <cellStyle name="Normal 40 2" xfId="9222"/>
    <cellStyle name="Normal 40 2 2" xfId="9686"/>
    <cellStyle name="Normal 40 3" xfId="9140"/>
    <cellStyle name="Normal 40 4" xfId="9067"/>
    <cellStyle name="Normal 40 5" xfId="8999"/>
    <cellStyle name="Normal 40 6" xfId="8971"/>
    <cellStyle name="Normal 400" xfId="7967"/>
    <cellStyle name="Normal 401" xfId="7968"/>
    <cellStyle name="Normal 402" xfId="7969"/>
    <cellStyle name="Normal 403" xfId="7970"/>
    <cellStyle name="Normal 404" xfId="7971"/>
    <cellStyle name="Normal 405" xfId="7972"/>
    <cellStyle name="Normal 406" xfId="7973"/>
    <cellStyle name="Normal 407" xfId="7974"/>
    <cellStyle name="Normal 408" xfId="7975"/>
    <cellStyle name="Normal 409" xfId="2534"/>
    <cellStyle name="Normal 409 2" xfId="7976"/>
    <cellStyle name="Normal 409 3" xfId="13534"/>
    <cellStyle name="Normal 41" xfId="235"/>
    <cellStyle name="Normal 41 2" xfId="9223"/>
    <cellStyle name="Normal 41 2 2" xfId="9687"/>
    <cellStyle name="Normal 41 3" xfId="9141"/>
    <cellStyle name="Normal 41 4" xfId="9068"/>
    <cellStyle name="Normal 41 5" xfId="9000"/>
    <cellStyle name="Normal 41 6" xfId="8972"/>
    <cellStyle name="Normal 410" xfId="7977"/>
    <cellStyle name="Normal 411" xfId="7978"/>
    <cellStyle name="Normal 412" xfId="7979"/>
    <cellStyle name="Normal 413" xfId="7980"/>
    <cellStyle name="Normal 414" xfId="7981"/>
    <cellStyle name="Normal 415" xfId="7982"/>
    <cellStyle name="Normal 416" xfId="7983"/>
    <cellStyle name="Normal 417" xfId="7984"/>
    <cellStyle name="Normal 418" xfId="7985"/>
    <cellStyle name="Normal 419" xfId="7986"/>
    <cellStyle name="Normal 42" xfId="236"/>
    <cellStyle name="Normal 42 2" xfId="9224"/>
    <cellStyle name="Normal 42 2 2" xfId="9688"/>
    <cellStyle name="Normal 42 3" xfId="9142"/>
    <cellStyle name="Normal 42 4" xfId="9069"/>
    <cellStyle name="Normal 42 5" xfId="9001"/>
    <cellStyle name="Normal 42 6" xfId="8973"/>
    <cellStyle name="Normal 420" xfId="7987"/>
    <cellStyle name="Normal 421" xfId="7988"/>
    <cellStyle name="Normal 422" xfId="7989"/>
    <cellStyle name="Normal 423" xfId="7990"/>
    <cellStyle name="Normal 424" xfId="7991"/>
    <cellStyle name="Normal 425" xfId="7992"/>
    <cellStyle name="Normal 426" xfId="7993"/>
    <cellStyle name="Normal 427" xfId="7994"/>
    <cellStyle name="Normal 428" xfId="7995"/>
    <cellStyle name="Normal 429" xfId="7996"/>
    <cellStyle name="Normal 43" xfId="237"/>
    <cellStyle name="Normal 43 2" xfId="9225"/>
    <cellStyle name="Normal 43 2 2" xfId="9689"/>
    <cellStyle name="Normal 43 3" xfId="9143"/>
    <cellStyle name="Normal 43 4" xfId="9070"/>
    <cellStyle name="Normal 43 5" xfId="9002"/>
    <cellStyle name="Normal 43 6" xfId="8974"/>
    <cellStyle name="Normal 430" xfId="7997"/>
    <cellStyle name="Normal 431" xfId="7998"/>
    <cellStyle name="Normal 432" xfId="7999"/>
    <cellStyle name="Normal 433" xfId="8000"/>
    <cellStyle name="Normal 434" xfId="8001"/>
    <cellStyle name="Normal 435" xfId="8002"/>
    <cellStyle name="Normal 436" xfId="8003"/>
    <cellStyle name="Normal 437" xfId="8004"/>
    <cellStyle name="Normal 438" xfId="8005"/>
    <cellStyle name="Normal 439" xfId="8006"/>
    <cellStyle name="Normal 44" xfId="238"/>
    <cellStyle name="Normal 44 2" xfId="9226"/>
    <cellStyle name="Normal 44 2 2" xfId="9690"/>
    <cellStyle name="Normal 44 3" xfId="9144"/>
    <cellStyle name="Normal 44 4" xfId="9071"/>
    <cellStyle name="Normal 44 5" xfId="9003"/>
    <cellStyle name="Normal 44 6" xfId="8975"/>
    <cellStyle name="Normal 440" xfId="8007"/>
    <cellStyle name="Normal 441" xfId="8008"/>
    <cellStyle name="Normal 442" xfId="8009"/>
    <cellStyle name="Normal 443" xfId="8010"/>
    <cellStyle name="Normal 444" xfId="8011"/>
    <cellStyle name="Normal 445" xfId="8012"/>
    <cellStyle name="Normal 446" xfId="8013"/>
    <cellStyle name="Normal 447" xfId="8014"/>
    <cellStyle name="Normal 448" xfId="8015"/>
    <cellStyle name="Normal 449" xfId="8016"/>
    <cellStyle name="Normal 45" xfId="239"/>
    <cellStyle name="Normal 45 2" xfId="9227"/>
    <cellStyle name="Normal 45 2 2" xfId="9691"/>
    <cellStyle name="Normal 45 3" xfId="9145"/>
    <cellStyle name="Normal 45 4" xfId="9072"/>
    <cellStyle name="Normal 45 5" xfId="9004"/>
    <cellStyle name="Normal 45 6" xfId="8976"/>
    <cellStyle name="Normal 450" xfId="8017"/>
    <cellStyle name="Normal 451" xfId="986"/>
    <cellStyle name="Normal 452" xfId="8018"/>
    <cellStyle name="Normal 453" xfId="8019"/>
    <cellStyle name="Normal 454" xfId="8020"/>
    <cellStyle name="Normal 455" xfId="8021"/>
    <cellStyle name="Normal 456" xfId="8961"/>
    <cellStyle name="Normal 457" xfId="15836"/>
    <cellStyle name="Normal 458" xfId="15837"/>
    <cellStyle name="Normal 459" xfId="15838"/>
    <cellStyle name="Normal 46" xfId="240"/>
    <cellStyle name="Normal 46 2" xfId="9228"/>
    <cellStyle name="Normal 46 2 2" xfId="9692"/>
    <cellStyle name="Normal 46 3" xfId="9146"/>
    <cellStyle name="Normal 46 4" xfId="9073"/>
    <cellStyle name="Normal 46 5" xfId="9005"/>
    <cellStyle name="Normal 46 6" xfId="8977"/>
    <cellStyle name="Normal 460" xfId="15839"/>
    <cellStyle name="Normal 461" xfId="15840"/>
    <cellStyle name="Normal 462" xfId="15841"/>
    <cellStyle name="Normal 463" xfId="15842"/>
    <cellStyle name="Normal 464" xfId="15843"/>
    <cellStyle name="Normal 465" xfId="15844"/>
    <cellStyle name="Normal 466" xfId="15845"/>
    <cellStyle name="Normal 47" xfId="241"/>
    <cellStyle name="Normal 47 2" xfId="9229"/>
    <cellStyle name="Normal 47 2 2" xfId="9693"/>
    <cellStyle name="Normal 47 3" xfId="9147"/>
    <cellStyle name="Normal 47 4" xfId="9074"/>
    <cellStyle name="Normal 47 5" xfId="9006"/>
    <cellStyle name="Normal 47 6" xfId="8978"/>
    <cellStyle name="Normal 48" xfId="242"/>
    <cellStyle name="Normal 48 2" xfId="9230"/>
    <cellStyle name="Normal 48 2 2" xfId="9694"/>
    <cellStyle name="Normal 48 3" xfId="9148"/>
    <cellStyle name="Normal 48 4" xfId="9075"/>
    <cellStyle name="Normal 48 5" xfId="9007"/>
    <cellStyle name="Normal 48 6" xfId="8979"/>
    <cellStyle name="Normal 49" xfId="243"/>
    <cellStyle name="Normal 49 2" xfId="9231"/>
    <cellStyle name="Normal 49 2 2" xfId="9695"/>
    <cellStyle name="Normal 49 3" xfId="9149"/>
    <cellStyle name="Normal 49 4" xfId="9076"/>
    <cellStyle name="Normal 49 5" xfId="9008"/>
    <cellStyle name="Normal 49 6" xfId="8980"/>
    <cellStyle name="Normal 5" xfId="33"/>
    <cellStyle name="Normal 5 10" xfId="9451"/>
    <cellStyle name="Normal 5 10 2" xfId="10108"/>
    <cellStyle name="Normal 5 11" xfId="9876"/>
    <cellStyle name="Normal 5 12" xfId="9035"/>
    <cellStyle name="Normal 5 13" xfId="10639"/>
    <cellStyle name="Normal 5 14" xfId="10661"/>
    <cellStyle name="Normal 5 15" xfId="10793"/>
    <cellStyle name="Normal 5 2" xfId="34"/>
    <cellStyle name="Normal 5 2 10" xfId="9877"/>
    <cellStyle name="Normal 5 2 11" xfId="9036"/>
    <cellStyle name="Normal 5 2 12" xfId="10662"/>
    <cellStyle name="Normal 5 2 13" xfId="10794"/>
    <cellStyle name="Normal 5 2 2" xfId="72"/>
    <cellStyle name="Normal 5 2 2 10" xfId="1798"/>
    <cellStyle name="Normal 5 2 2 10 2" xfId="10663"/>
    <cellStyle name="Normal 5 2 2 11" xfId="1799"/>
    <cellStyle name="Normal 5 2 2 11 2" xfId="10795"/>
    <cellStyle name="Normal 5 2 2 12" xfId="1800"/>
    <cellStyle name="Normal 5 2 2 13" xfId="8022"/>
    <cellStyle name="Normal 5 2 2 14" xfId="8023"/>
    <cellStyle name="Normal 5 2 2 2" xfId="93"/>
    <cellStyle name="Normal 5 2 2 2 10" xfId="8024"/>
    <cellStyle name="Normal 5 2 2 2 11" xfId="8025"/>
    <cellStyle name="Normal 5 2 2 2 12" xfId="9232"/>
    <cellStyle name="Normal 5 2 2 2 2" xfId="719"/>
    <cellStyle name="Normal 5 2 2 2 2 2" xfId="9775"/>
    <cellStyle name="Normal 5 2 2 2 2 2 2" xfId="10111"/>
    <cellStyle name="Normal 5 2 2 2 2 3" xfId="10110"/>
    <cellStyle name="Normal 5 2 2 2 2 4" xfId="9359"/>
    <cellStyle name="Normal 5 2 2 2 3" xfId="1801"/>
    <cellStyle name="Normal 5 2 2 2 3 2" xfId="10112"/>
    <cellStyle name="Normal 5 2 2 2 3 3" xfId="9496"/>
    <cellStyle name="Normal 5 2 2 2 4" xfId="1802"/>
    <cellStyle name="Normal 5 2 2 2 4 2" xfId="10109"/>
    <cellStyle name="Normal 5 2 2 2 5" xfId="1803"/>
    <cellStyle name="Normal 5 2 2 2 5 2" xfId="10708"/>
    <cellStyle name="Normal 5 2 2 2 6" xfId="1804"/>
    <cellStyle name="Normal 5 2 2 2 6 2" xfId="10839"/>
    <cellStyle name="Normal 5 2 2 2 7" xfId="1805"/>
    <cellStyle name="Normal 5 2 2 2 8" xfId="1806"/>
    <cellStyle name="Normal 5 2 2 2 9" xfId="1807"/>
    <cellStyle name="Normal 5 2 2 3" xfId="438"/>
    <cellStyle name="Normal 5 2 2 3 2" xfId="9396"/>
    <cellStyle name="Normal 5 2 2 3 2 2" xfId="9817"/>
    <cellStyle name="Normal 5 2 2 3 2 2 2" xfId="10115"/>
    <cellStyle name="Normal 5 2 2 3 2 3" xfId="10114"/>
    <cellStyle name="Normal 5 2 2 3 3" xfId="9536"/>
    <cellStyle name="Normal 5 2 2 3 3 2" xfId="10116"/>
    <cellStyle name="Normal 5 2 2 3 4" xfId="10113"/>
    <cellStyle name="Normal 5 2 2 3 5" xfId="10748"/>
    <cellStyle name="Normal 5 2 2 3 6" xfId="10878"/>
    <cellStyle name="Normal 5 2 2 4" xfId="439"/>
    <cellStyle name="Normal 5 2 2 4 2" xfId="1809"/>
    <cellStyle name="Normal 5 2 2 4 2 2" xfId="10117"/>
    <cellStyle name="Normal 5 2 2 4 2 3" xfId="9631"/>
    <cellStyle name="Normal 5 2 2 4 3" xfId="1810"/>
    <cellStyle name="Normal 5 2 2 4 4" xfId="1811"/>
    <cellStyle name="Normal 5 2 2 4 5" xfId="1808"/>
    <cellStyle name="Normal 5 2 2 4 6" xfId="8026"/>
    <cellStyle name="Normal 5 2 2 4 7" xfId="8027"/>
    <cellStyle name="Normal 5 2 2 4 8" xfId="8028"/>
    <cellStyle name="Normal 5 2 2 4 9" xfId="8029"/>
    <cellStyle name="Normal 5 2 2 5" xfId="1072"/>
    <cellStyle name="Normal 5 2 2 5 2" xfId="9734"/>
    <cellStyle name="Normal 5 2 2 5 2 2" xfId="10119"/>
    <cellStyle name="Normal 5 2 2 5 3" xfId="10118"/>
    <cellStyle name="Normal 5 2 2 6" xfId="1812"/>
    <cellStyle name="Normal 5 2 2 6 2" xfId="9584"/>
    <cellStyle name="Normal 5 2 2 6 2 2" xfId="10121"/>
    <cellStyle name="Normal 5 2 2 6 3" xfId="10120"/>
    <cellStyle name="Normal 5 2 2 6 4" xfId="9105"/>
    <cellStyle name="Normal 5 2 2 7" xfId="1813"/>
    <cellStyle name="Normal 5 2 2 7 2" xfId="10122"/>
    <cellStyle name="Normal 5 2 2 7 3" xfId="9453"/>
    <cellStyle name="Normal 5 2 2 8" xfId="1814"/>
    <cellStyle name="Normal 5 2 2 8 2" xfId="9878"/>
    <cellStyle name="Normal 5 2 2 9" xfId="1815"/>
    <cellStyle name="Normal 5 2 2 9 2" xfId="9037"/>
    <cellStyle name="Normal 5 2 3" xfId="94"/>
    <cellStyle name="Normal 5 2 3 10" xfId="10664"/>
    <cellStyle name="Normal 5 2 3 11" xfId="10796"/>
    <cellStyle name="Normal 5 2 3 2" xfId="244"/>
    <cellStyle name="Normal 5 2 3 2 2" xfId="768"/>
    <cellStyle name="Normal 5 2 3 2 2 2" xfId="1817"/>
    <cellStyle name="Normal 5 2 3 2 2 2 2" xfId="10124"/>
    <cellStyle name="Normal 5 2 3 2 2 3" xfId="10123"/>
    <cellStyle name="Normal 5 2 3 2 3" xfId="1818"/>
    <cellStyle name="Normal 5 2 3 2 3 2" xfId="10125"/>
    <cellStyle name="Normal 5 2 3 2 3 3" xfId="9497"/>
    <cellStyle name="Normal 5 2 3 2 4" xfId="1819"/>
    <cellStyle name="Normal 5 2 3 2 5" xfId="1816"/>
    <cellStyle name="Normal 5 2 3 2 6" xfId="8030"/>
    <cellStyle name="Normal 5 2 3 2 7" xfId="8031"/>
    <cellStyle name="Normal 5 2 3 2 8" xfId="8032"/>
    <cellStyle name="Normal 5 2 3 2 9" xfId="8033"/>
    <cellStyle name="Normal 5 2 3 3" xfId="553"/>
    <cellStyle name="Normal 5 2 3 3 2" xfId="813"/>
    <cellStyle name="Normal 5 2 3 3 2 2" xfId="9818"/>
    <cellStyle name="Normal 5 2 3 3 2 2 2" xfId="10128"/>
    <cellStyle name="Normal 5 2 3 3 2 3" xfId="10127"/>
    <cellStyle name="Normal 5 2 3 3 2 4" xfId="9397"/>
    <cellStyle name="Normal 5 2 3 3 3" xfId="8034"/>
    <cellStyle name="Normal 5 2 3 3 3 2" xfId="10129"/>
    <cellStyle name="Normal 5 2 3 3 3 3" xfId="9537"/>
    <cellStyle name="Normal 5 2 3 3 4" xfId="8035"/>
    <cellStyle name="Normal 5 2 3 3 4 2" xfId="10126"/>
    <cellStyle name="Normal 5 2 3 3 5" xfId="8036"/>
    <cellStyle name="Normal 5 2 3 3 5 2" xfId="10749"/>
    <cellStyle name="Normal 5 2 3 3 6" xfId="8037"/>
    <cellStyle name="Normal 5 2 3 3 6 2" xfId="10879"/>
    <cellStyle name="Normal 5 2 3 3 7" xfId="8038"/>
    <cellStyle name="Normal 5 2 3 3 8" xfId="8039"/>
    <cellStyle name="Normal 5 2 3 3 9" xfId="9277"/>
    <cellStyle name="Normal 5 2 3 4" xfId="4244"/>
    <cellStyle name="Normal 5 2 3 4 2" xfId="9632"/>
    <cellStyle name="Normal 5 2 3 4 2 2" xfId="10131"/>
    <cellStyle name="Normal 5 2 3 4 2 3" xfId="11965"/>
    <cellStyle name="Normal 5 2 3 4 2 4" xfId="10919"/>
    <cellStyle name="Normal 5 2 3 4 3" xfId="10130"/>
    <cellStyle name="Normal 5 2 3 5" xfId="8040"/>
    <cellStyle name="Normal 5 2 3 5 2" xfId="9735"/>
    <cellStyle name="Normal 5 2 3 5 2 2" xfId="10133"/>
    <cellStyle name="Normal 5 2 3 5 3" xfId="10132"/>
    <cellStyle name="Normal 5 2 3 6" xfId="9106"/>
    <cellStyle name="Normal 5 2 3 6 2" xfId="9585"/>
    <cellStyle name="Normal 5 2 3 6 2 2" xfId="10135"/>
    <cellStyle name="Normal 5 2 3 6 3" xfId="10134"/>
    <cellStyle name="Normal 5 2 3 7" xfId="9454"/>
    <cellStyle name="Normal 5 2 3 7 2" xfId="10136"/>
    <cellStyle name="Normal 5 2 3 8" xfId="9879"/>
    <cellStyle name="Normal 5 2 3 9" xfId="9038"/>
    <cellStyle name="Normal 5 2 4" xfId="126"/>
    <cellStyle name="Normal 5 2 4 10" xfId="2955"/>
    <cellStyle name="Normal 5 2 4 10 2" xfId="8041"/>
    <cellStyle name="Normal 5 2 4 10 2 2" xfId="13266"/>
    <cellStyle name="Normal 5 2 4 10 2 3" xfId="11533"/>
    <cellStyle name="Normal 5 2 4 10 3" xfId="8042"/>
    <cellStyle name="Normal 5 2 4 10 4" xfId="13540"/>
    <cellStyle name="Normal 5 2 4 11" xfId="8043"/>
    <cellStyle name="Normal 5 2 4 2" xfId="734"/>
    <cellStyle name="Normal 5 2 4 2 2" xfId="8044"/>
    <cellStyle name="Normal 5 2 4 2 2 2" xfId="10138"/>
    <cellStyle name="Normal 5 2 4 2 3" xfId="10137"/>
    <cellStyle name="Normal 5 2 4 3" xfId="1820"/>
    <cellStyle name="Normal 5 2 4 3 2" xfId="10139"/>
    <cellStyle name="Normal 5 2 4 3 3" xfId="9495"/>
    <cellStyle name="Normal 5 2 4 4" xfId="1821"/>
    <cellStyle name="Normal 5 2 4 4 2" xfId="8045"/>
    <cellStyle name="Normal 5 2 4 5" xfId="1822"/>
    <cellStyle name="Normal 5 2 4 5 2" xfId="10707"/>
    <cellStyle name="Normal 5 2 4 6" xfId="1823"/>
    <cellStyle name="Normal 5 2 4 6 2" xfId="10838"/>
    <cellStyle name="Normal 5 2 4 7" xfId="1824"/>
    <cellStyle name="Normal 5 2 4 8" xfId="1825"/>
    <cellStyle name="Normal 5 2 4 9" xfId="1826"/>
    <cellStyle name="Normal 5 2 5" xfId="440"/>
    <cellStyle name="Normal 5 2 5 2" xfId="9395"/>
    <cellStyle name="Normal 5 2 5 2 2" xfId="9816"/>
    <cellStyle name="Normal 5 2 5 2 2 2" xfId="10142"/>
    <cellStyle name="Normal 5 2 5 2 3" xfId="10141"/>
    <cellStyle name="Normal 5 2 5 3" xfId="9535"/>
    <cellStyle name="Normal 5 2 5 3 2" xfId="10143"/>
    <cellStyle name="Normal 5 2 5 4" xfId="10140"/>
    <cellStyle name="Normal 5 2 5 5" xfId="10747"/>
    <cellStyle name="Normal 5 2 5 6" xfId="10877"/>
    <cellStyle name="Normal 5 2 6" xfId="688"/>
    <cellStyle name="Normal 5 2 6 2" xfId="9630"/>
    <cellStyle name="Normal 5 2 6 2 2" xfId="10145"/>
    <cellStyle name="Normal 5 2 6 3" xfId="10144"/>
    <cellStyle name="Normal 5 2 6 4" xfId="9178"/>
    <cellStyle name="Normal 5 2 7" xfId="8046"/>
    <cellStyle name="Normal 5 2 7 2" xfId="9733"/>
    <cellStyle name="Normal 5 2 7 2 2" xfId="10147"/>
    <cellStyle name="Normal 5 2 7 3" xfId="10146"/>
    <cellStyle name="Normal 5 2 7 4" xfId="9322"/>
    <cellStyle name="Normal 5 2 8" xfId="8047"/>
    <cellStyle name="Normal 5 2 8 2" xfId="9583"/>
    <cellStyle name="Normal 5 2 8 2 2" xfId="10149"/>
    <cellStyle name="Normal 5 2 8 3" xfId="10148"/>
    <cellStyle name="Normal 5 2 8 4" xfId="9104"/>
    <cellStyle name="Normal 5 2 9" xfId="9452"/>
    <cellStyle name="Normal 5 2 9 2" xfId="10150"/>
    <cellStyle name="Normal 5 3" xfId="70"/>
    <cellStyle name="Normal 5 3 10" xfId="1827"/>
    <cellStyle name="Normal 5 3 10 2" xfId="10665"/>
    <cellStyle name="Normal 5 3 11" xfId="8048"/>
    <cellStyle name="Normal 5 3 11 2" xfId="10797"/>
    <cellStyle name="Normal 5 3 12" xfId="8049"/>
    <cellStyle name="Normal 5 3 2" xfId="95"/>
    <cellStyle name="Normal 5 3 2 2" xfId="441"/>
    <cellStyle name="Normal 5 3 2 2 2" xfId="9776"/>
    <cellStyle name="Normal 5 3 2 2 2 2" xfId="10153"/>
    <cellStyle name="Normal 5 3 2 2 3" xfId="10152"/>
    <cellStyle name="Normal 5 3 2 3" xfId="9498"/>
    <cellStyle name="Normal 5 3 2 3 2" xfId="10154"/>
    <cellStyle name="Normal 5 3 2 4" xfId="10151"/>
    <cellStyle name="Normal 5 3 2 5" xfId="10709"/>
    <cellStyle name="Normal 5 3 2 6" xfId="10840"/>
    <cellStyle name="Normal 5 3 3" xfId="702"/>
    <cellStyle name="Normal 5 3 3 2" xfId="9398"/>
    <cellStyle name="Normal 5 3 3 2 2" xfId="9819"/>
    <cellStyle name="Normal 5 3 3 2 2 2" xfId="10157"/>
    <cellStyle name="Normal 5 3 3 2 3" xfId="10156"/>
    <cellStyle name="Normal 5 3 3 3" xfId="9538"/>
    <cellStyle name="Normal 5 3 3 3 2" xfId="10158"/>
    <cellStyle name="Normal 5 3 3 4" xfId="10155"/>
    <cellStyle name="Normal 5 3 3 5" xfId="10750"/>
    <cellStyle name="Normal 5 3 3 6" xfId="10880"/>
    <cellStyle name="Normal 5 3 3 7" xfId="9278"/>
    <cellStyle name="Normal 5 3 4" xfId="1828"/>
    <cellStyle name="Normal 5 3 4 2" xfId="9633"/>
    <cellStyle name="Normal 5 3 4 2 2" xfId="10160"/>
    <cellStyle name="Normal 5 3 4 3" xfId="10159"/>
    <cellStyle name="Normal 5 3 4 4" xfId="9179"/>
    <cellStyle name="Normal 5 3 5" xfId="1829"/>
    <cellStyle name="Normal 5 3 5 2" xfId="9736"/>
    <cellStyle name="Normal 5 3 5 2 2" xfId="10162"/>
    <cellStyle name="Normal 5 3 5 3" xfId="10161"/>
    <cellStyle name="Normal 5 3 5 4" xfId="9323"/>
    <cellStyle name="Normal 5 3 6" xfId="1830"/>
    <cellStyle name="Normal 5 3 6 2" xfId="9586"/>
    <cellStyle name="Normal 5 3 6 2 2" xfId="10164"/>
    <cellStyle name="Normal 5 3 6 3" xfId="10163"/>
    <cellStyle name="Normal 5 3 6 4" xfId="9107"/>
    <cellStyle name="Normal 5 3 7" xfId="1831"/>
    <cellStyle name="Normal 5 3 7 2" xfId="10165"/>
    <cellStyle name="Normal 5 3 7 3" xfId="9455"/>
    <cellStyle name="Normal 5 3 8" xfId="1832"/>
    <cellStyle name="Normal 5 3 8 2" xfId="9880"/>
    <cellStyle name="Normal 5 3 9" xfId="1833"/>
    <cellStyle name="Normal 5 3 9 2" xfId="9039"/>
    <cellStyle name="Normal 5 4" xfId="245"/>
    <cellStyle name="Normal 5 4 10" xfId="10666"/>
    <cellStyle name="Normal 5 4 11" xfId="10798"/>
    <cellStyle name="Normal 5 4 2" xfId="442"/>
    <cellStyle name="Normal 5 4 2 2" xfId="9360"/>
    <cellStyle name="Normal 5 4 2 2 2" xfId="9777"/>
    <cellStyle name="Normal 5 4 2 2 2 2" xfId="10168"/>
    <cellStyle name="Normal 5 4 2 2 3" xfId="10167"/>
    <cellStyle name="Normal 5 4 2 3" xfId="9499"/>
    <cellStyle name="Normal 5 4 2 3 2" xfId="10169"/>
    <cellStyle name="Normal 5 4 2 4" xfId="10166"/>
    <cellStyle name="Normal 5 4 2 5" xfId="10710"/>
    <cellStyle name="Normal 5 4 2 6" xfId="10841"/>
    <cellStyle name="Normal 5 4 3" xfId="9279"/>
    <cellStyle name="Normal 5 4 3 2" xfId="9399"/>
    <cellStyle name="Normal 5 4 3 2 2" xfId="9820"/>
    <cellStyle name="Normal 5 4 3 2 2 2" xfId="10172"/>
    <cellStyle name="Normal 5 4 3 2 3" xfId="10171"/>
    <cellStyle name="Normal 5 4 3 3" xfId="9539"/>
    <cellStyle name="Normal 5 4 3 3 2" xfId="10173"/>
    <cellStyle name="Normal 5 4 3 4" xfId="10170"/>
    <cellStyle name="Normal 5 4 3 5" xfId="10751"/>
    <cellStyle name="Normal 5 4 3 6" xfId="10881"/>
    <cellStyle name="Normal 5 4 4" xfId="9180"/>
    <cellStyle name="Normal 5 4 4 2" xfId="9634"/>
    <cellStyle name="Normal 5 4 4 2 2" xfId="10175"/>
    <cellStyle name="Normal 5 4 4 3" xfId="10174"/>
    <cellStyle name="Normal 5 4 5" xfId="9324"/>
    <cellStyle name="Normal 5 4 5 2" xfId="9737"/>
    <cellStyle name="Normal 5 4 5 2 2" xfId="10177"/>
    <cellStyle name="Normal 5 4 5 3" xfId="10176"/>
    <cellStyle name="Normal 5 4 6" xfId="9108"/>
    <cellStyle name="Normal 5 4 6 2" xfId="9587"/>
    <cellStyle name="Normal 5 4 6 2 2" xfId="10179"/>
    <cellStyle name="Normal 5 4 6 3" xfId="10178"/>
    <cellStyle name="Normal 5 4 7" xfId="9456"/>
    <cellStyle name="Normal 5 4 7 2" xfId="10180"/>
    <cellStyle name="Normal 5 4 8" xfId="9881"/>
    <cellStyle name="Normal 5 4 9" xfId="9040"/>
    <cellStyle name="Normal 5 5" xfId="443"/>
    <cellStyle name="Normal 5 5 2" xfId="444"/>
    <cellStyle name="Normal 5 5 2 2" xfId="9774"/>
    <cellStyle name="Normal 5 5 2 2 2" xfId="10183"/>
    <cellStyle name="Normal 5 5 2 3" xfId="10182"/>
    <cellStyle name="Normal 5 5 3" xfId="9494"/>
    <cellStyle name="Normal 5 5 3 2" xfId="10184"/>
    <cellStyle name="Normal 5 5 4" xfId="10181"/>
    <cellStyle name="Normal 5 5 5" xfId="10706"/>
    <cellStyle name="Normal 5 5 6" xfId="10837"/>
    <cellStyle name="Normal 5 6" xfId="445"/>
    <cellStyle name="Normal 5 6 2" xfId="9394"/>
    <cellStyle name="Normal 5 6 2 2" xfId="9815"/>
    <cellStyle name="Normal 5 6 2 2 2" xfId="10187"/>
    <cellStyle name="Normal 5 6 2 3" xfId="10186"/>
    <cellStyle name="Normal 5 6 3" xfId="9534"/>
    <cellStyle name="Normal 5 6 3 2" xfId="10188"/>
    <cellStyle name="Normal 5 6 4" xfId="10185"/>
    <cellStyle name="Normal 5 6 5" xfId="10746"/>
    <cellStyle name="Normal 5 6 6" xfId="10876"/>
    <cellStyle name="Normal 5 7" xfId="9177"/>
    <cellStyle name="Normal 5 7 2" xfId="9629"/>
    <cellStyle name="Normal 5 7 2 2" xfId="10190"/>
    <cellStyle name="Normal 5 7 3" xfId="10189"/>
    <cellStyle name="Normal 5 8" xfId="9321"/>
    <cellStyle name="Normal 5 8 2" xfId="9732"/>
    <cellStyle name="Normal 5 8 2 2" xfId="10192"/>
    <cellStyle name="Normal 5 8 3" xfId="10191"/>
    <cellStyle name="Normal 5 9" xfId="9103"/>
    <cellStyle name="Normal 5 9 2" xfId="9582"/>
    <cellStyle name="Normal 5 9 2 2" xfId="10194"/>
    <cellStyle name="Normal 5 9 3" xfId="10193"/>
    <cellStyle name="Normal 50" xfId="246"/>
    <cellStyle name="Normal 50 2" xfId="9233"/>
    <cellStyle name="Normal 50 2 2" xfId="9696"/>
    <cellStyle name="Normal 50 3" xfId="9150"/>
    <cellStyle name="Normal 50 4" xfId="9077"/>
    <cellStyle name="Normal 50 5" xfId="9009"/>
    <cellStyle name="Normal 50 6" xfId="8981"/>
    <cellStyle name="Normal 51" xfId="247"/>
    <cellStyle name="Normal 51 2" xfId="9234"/>
    <cellStyle name="Normal 51 2 2" xfId="9697"/>
    <cellStyle name="Normal 51 3" xfId="9151"/>
    <cellStyle name="Normal 51 4" xfId="9078"/>
    <cellStyle name="Normal 51 5" xfId="9010"/>
    <cellStyle name="Normal 51 6" xfId="8982"/>
    <cellStyle name="Normal 52" xfId="248"/>
    <cellStyle name="Normal 52 2" xfId="9235"/>
    <cellStyle name="Normal 52 2 2" xfId="9698"/>
    <cellStyle name="Normal 52 3" xfId="9152"/>
    <cellStyle name="Normal 52 4" xfId="9079"/>
    <cellStyle name="Normal 52 5" xfId="9011"/>
    <cellStyle name="Normal 52 6" xfId="8983"/>
    <cellStyle name="Normal 53" xfId="249"/>
    <cellStyle name="Normal 53 2" xfId="9236"/>
    <cellStyle name="Normal 53 2 2" xfId="9699"/>
    <cellStyle name="Normal 53 3" xfId="9153"/>
    <cellStyle name="Normal 53 4" xfId="9080"/>
    <cellStyle name="Normal 53 5" xfId="9012"/>
    <cellStyle name="Normal 53 6" xfId="8984"/>
    <cellStyle name="Normal 54" xfId="250"/>
    <cellStyle name="Normal 54 2" xfId="9237"/>
    <cellStyle name="Normal 54 2 2" xfId="9700"/>
    <cellStyle name="Normal 54 3" xfId="9154"/>
    <cellStyle name="Normal 54 4" xfId="9081"/>
    <cellStyle name="Normal 54 5" xfId="9013"/>
    <cellStyle name="Normal 54 6" xfId="8985"/>
    <cellStyle name="Normal 55" xfId="251"/>
    <cellStyle name="Normal 55 2" xfId="9238"/>
    <cellStyle name="Normal 55 2 2" xfId="9701"/>
    <cellStyle name="Normal 55 3" xfId="9155"/>
    <cellStyle name="Normal 55 4" xfId="9082"/>
    <cellStyle name="Normal 55 5" xfId="9014"/>
    <cellStyle name="Normal 55 6" xfId="8986"/>
    <cellStyle name="Normal 56" xfId="252"/>
    <cellStyle name="Normal 56 2" xfId="9239"/>
    <cellStyle name="Normal 56 2 2" xfId="9702"/>
    <cellStyle name="Normal 56 3" xfId="9156"/>
    <cellStyle name="Normal 56 4" xfId="9083"/>
    <cellStyle name="Normal 56 5" xfId="9015"/>
    <cellStyle name="Normal 56 6" xfId="8987"/>
    <cellStyle name="Normal 57" xfId="253"/>
    <cellStyle name="Normal 57 2" xfId="9240"/>
    <cellStyle name="Normal 57 2 2" xfId="9703"/>
    <cellStyle name="Normal 57 3" xfId="9157"/>
    <cellStyle name="Normal 57 4" xfId="9084"/>
    <cellStyle name="Normal 57 5" xfId="9016"/>
    <cellStyle name="Normal 57 6" xfId="8988"/>
    <cellStyle name="Normal 58" xfId="254"/>
    <cellStyle name="Normal 58 2" xfId="9241"/>
    <cellStyle name="Normal 58 2 2" xfId="9704"/>
    <cellStyle name="Normal 58 3" xfId="9158"/>
    <cellStyle name="Normal 58 4" xfId="9085"/>
    <cellStyle name="Normal 58 5" xfId="9017"/>
    <cellStyle name="Normal 58 6" xfId="8989"/>
    <cellStyle name="Normal 59" xfId="255"/>
    <cellStyle name="Normal 59 2" xfId="9242"/>
    <cellStyle name="Normal 59 2 2" xfId="9705"/>
    <cellStyle name="Normal 59 3" xfId="9159"/>
    <cellStyle name="Normal 59 4" xfId="9086"/>
    <cellStyle name="Normal 59 5" xfId="9018"/>
    <cellStyle name="Normal 59 6" xfId="8990"/>
    <cellStyle name="Normal 6" xfId="1"/>
    <cellStyle name="Normal 6 10" xfId="9065"/>
    <cellStyle name="Normal 6 10 2" xfId="9567"/>
    <cellStyle name="Normal 6 10 2 2" xfId="10196"/>
    <cellStyle name="Normal 6 10 3" xfId="10195"/>
    <cellStyle name="Normal 6 11" xfId="9438"/>
    <cellStyle name="Normal 6 11 2" xfId="10197"/>
    <cellStyle name="Normal 6 12" xfId="9863"/>
    <cellStyle name="Normal 6 13" xfId="8997"/>
    <cellStyle name="Normal 6 14" xfId="10648"/>
    <cellStyle name="Normal 6 15" xfId="10780"/>
    <cellStyle name="Normal 6 2" xfId="97"/>
    <cellStyle name="Normal 6 2 10" xfId="9457"/>
    <cellStyle name="Normal 6 2 10 2" xfId="10198"/>
    <cellStyle name="Normal 6 2 11" xfId="9882"/>
    <cellStyle name="Normal 6 2 12" xfId="9041"/>
    <cellStyle name="Normal 6 2 13" xfId="10667"/>
    <cellStyle name="Normal 6 2 14" xfId="10799"/>
    <cellStyle name="Normal 6 2 2" xfId="256"/>
    <cellStyle name="Normal 6 2 2 10" xfId="9883"/>
    <cellStyle name="Normal 6 2 2 11" xfId="9042"/>
    <cellStyle name="Normal 6 2 2 12" xfId="10668"/>
    <cellStyle name="Normal 6 2 2 13" xfId="10800"/>
    <cellStyle name="Normal 6 2 2 2" xfId="257"/>
    <cellStyle name="Normal 6 2 2 2 10" xfId="10669"/>
    <cellStyle name="Normal 6 2 2 2 11" xfId="10801"/>
    <cellStyle name="Normal 6 2 2 2 2" xfId="9245"/>
    <cellStyle name="Normal 6 2 2 2 2 2" xfId="9364"/>
    <cellStyle name="Normal 6 2 2 2 2 2 2" xfId="9781"/>
    <cellStyle name="Normal 6 2 2 2 2 2 2 2" xfId="10201"/>
    <cellStyle name="Normal 6 2 2 2 2 2 3" xfId="10200"/>
    <cellStyle name="Normal 6 2 2 2 2 3" xfId="9502"/>
    <cellStyle name="Normal 6 2 2 2 2 3 2" xfId="10202"/>
    <cellStyle name="Normal 6 2 2 2 2 4" xfId="10199"/>
    <cellStyle name="Normal 6 2 2 2 2 5" xfId="10713"/>
    <cellStyle name="Normal 6 2 2 2 2 6" xfId="10844"/>
    <cellStyle name="Normal 6 2 2 2 3" xfId="9282"/>
    <cellStyle name="Normal 6 2 2 2 3 2" xfId="9402"/>
    <cellStyle name="Normal 6 2 2 2 3 2 2" xfId="9823"/>
    <cellStyle name="Normal 6 2 2 2 3 2 2 2" xfId="10205"/>
    <cellStyle name="Normal 6 2 2 2 3 2 3" xfId="10204"/>
    <cellStyle name="Normal 6 2 2 2 3 3" xfId="9542"/>
    <cellStyle name="Normal 6 2 2 2 3 3 2" xfId="10206"/>
    <cellStyle name="Normal 6 2 2 2 3 4" xfId="10203"/>
    <cellStyle name="Normal 6 2 2 2 3 5" xfId="10754"/>
    <cellStyle name="Normal 6 2 2 2 3 6" xfId="10884"/>
    <cellStyle name="Normal 6 2 2 2 4" xfId="9183"/>
    <cellStyle name="Normal 6 2 2 2 4 2" xfId="9637"/>
    <cellStyle name="Normal 6 2 2 2 4 2 2" xfId="10208"/>
    <cellStyle name="Normal 6 2 2 2 4 3" xfId="10207"/>
    <cellStyle name="Normal 6 2 2 2 5" xfId="9327"/>
    <cellStyle name="Normal 6 2 2 2 5 2" xfId="9740"/>
    <cellStyle name="Normal 6 2 2 2 5 2 2" xfId="10210"/>
    <cellStyle name="Normal 6 2 2 2 5 3" xfId="10209"/>
    <cellStyle name="Normal 6 2 2 2 6" xfId="9111"/>
    <cellStyle name="Normal 6 2 2 2 6 2" xfId="9590"/>
    <cellStyle name="Normal 6 2 2 2 6 2 2" xfId="10212"/>
    <cellStyle name="Normal 6 2 2 2 6 3" xfId="10211"/>
    <cellStyle name="Normal 6 2 2 2 7" xfId="9459"/>
    <cellStyle name="Normal 6 2 2 2 7 2" xfId="10213"/>
    <cellStyle name="Normal 6 2 2 2 8" xfId="9884"/>
    <cellStyle name="Normal 6 2 2 2 9" xfId="9043"/>
    <cellStyle name="Normal 6 2 2 3" xfId="8965"/>
    <cellStyle name="Normal 6 2 2 3 10" xfId="10670"/>
    <cellStyle name="Normal 6 2 2 3 11" xfId="10802"/>
    <cellStyle name="Normal 6 2 2 3 2" xfId="9246"/>
    <cellStyle name="Normal 6 2 2 3 2 2" xfId="9365"/>
    <cellStyle name="Normal 6 2 2 3 2 2 2" xfId="9782"/>
    <cellStyle name="Normal 6 2 2 3 2 2 2 2" xfId="10216"/>
    <cellStyle name="Normal 6 2 2 3 2 2 3" xfId="10215"/>
    <cellStyle name="Normal 6 2 2 3 2 3" xfId="9503"/>
    <cellStyle name="Normal 6 2 2 3 2 3 2" xfId="10217"/>
    <cellStyle name="Normal 6 2 2 3 2 4" xfId="10214"/>
    <cellStyle name="Normal 6 2 2 3 2 5" xfId="10714"/>
    <cellStyle name="Normal 6 2 2 3 2 6" xfId="10845"/>
    <cellStyle name="Normal 6 2 2 3 3" xfId="9283"/>
    <cellStyle name="Normal 6 2 2 3 3 2" xfId="9403"/>
    <cellStyle name="Normal 6 2 2 3 3 2 2" xfId="9824"/>
    <cellStyle name="Normal 6 2 2 3 3 2 2 2" xfId="10220"/>
    <cellStyle name="Normal 6 2 2 3 3 2 3" xfId="10219"/>
    <cellStyle name="Normal 6 2 2 3 3 3" xfId="9543"/>
    <cellStyle name="Normal 6 2 2 3 3 3 2" xfId="10221"/>
    <cellStyle name="Normal 6 2 2 3 3 4" xfId="10218"/>
    <cellStyle name="Normal 6 2 2 3 3 5" xfId="10755"/>
    <cellStyle name="Normal 6 2 2 3 3 6" xfId="10885"/>
    <cellStyle name="Normal 6 2 2 3 4" xfId="9184"/>
    <cellStyle name="Normal 6 2 2 3 4 2" xfId="9638"/>
    <cellStyle name="Normal 6 2 2 3 4 2 2" xfId="10223"/>
    <cellStyle name="Normal 6 2 2 3 4 3" xfId="10222"/>
    <cellStyle name="Normal 6 2 2 3 5" xfId="9328"/>
    <cellStyle name="Normal 6 2 2 3 5 2" xfId="9741"/>
    <cellStyle name="Normal 6 2 2 3 5 2 2" xfId="10225"/>
    <cellStyle name="Normal 6 2 2 3 5 3" xfId="10224"/>
    <cellStyle name="Normal 6 2 2 3 6" xfId="9112"/>
    <cellStyle name="Normal 6 2 2 3 6 2" xfId="9591"/>
    <cellStyle name="Normal 6 2 2 3 6 2 2" xfId="10227"/>
    <cellStyle name="Normal 6 2 2 3 6 3" xfId="10226"/>
    <cellStyle name="Normal 6 2 2 3 7" xfId="9460"/>
    <cellStyle name="Normal 6 2 2 3 7 2" xfId="10228"/>
    <cellStyle name="Normal 6 2 2 3 8" xfId="9885"/>
    <cellStyle name="Normal 6 2 2 3 9" xfId="9044"/>
    <cellStyle name="Normal 6 2 2 4" xfId="9244"/>
    <cellStyle name="Normal 6 2 2 4 2" xfId="9363"/>
    <cellStyle name="Normal 6 2 2 4 2 2" xfId="9780"/>
    <cellStyle name="Normal 6 2 2 4 2 2 2" xfId="10231"/>
    <cellStyle name="Normal 6 2 2 4 2 3" xfId="10230"/>
    <cellStyle name="Normal 6 2 2 4 3" xfId="9501"/>
    <cellStyle name="Normal 6 2 2 4 3 2" xfId="10232"/>
    <cellStyle name="Normal 6 2 2 4 4" xfId="10229"/>
    <cellStyle name="Normal 6 2 2 4 5" xfId="10712"/>
    <cellStyle name="Normal 6 2 2 4 6" xfId="10843"/>
    <cellStyle name="Normal 6 2 2 5" xfId="9281"/>
    <cellStyle name="Normal 6 2 2 5 2" xfId="9401"/>
    <cellStyle name="Normal 6 2 2 5 2 2" xfId="9822"/>
    <cellStyle name="Normal 6 2 2 5 2 2 2" xfId="10235"/>
    <cellStyle name="Normal 6 2 2 5 2 3" xfId="10234"/>
    <cellStyle name="Normal 6 2 2 5 3" xfId="9541"/>
    <cellStyle name="Normal 6 2 2 5 3 2" xfId="10236"/>
    <cellStyle name="Normal 6 2 2 5 4" xfId="10233"/>
    <cellStyle name="Normal 6 2 2 5 5" xfId="10753"/>
    <cellStyle name="Normal 6 2 2 5 6" xfId="10883"/>
    <cellStyle name="Normal 6 2 2 6" xfId="9182"/>
    <cellStyle name="Normal 6 2 2 6 2" xfId="9636"/>
    <cellStyle name="Normal 6 2 2 6 2 2" xfId="10238"/>
    <cellStyle name="Normal 6 2 2 6 3" xfId="10237"/>
    <cellStyle name="Normal 6 2 2 7" xfId="9326"/>
    <cellStyle name="Normal 6 2 2 7 2" xfId="9739"/>
    <cellStyle name="Normal 6 2 2 7 2 2" xfId="10240"/>
    <cellStyle name="Normal 6 2 2 7 3" xfId="10239"/>
    <cellStyle name="Normal 6 2 2 8" xfId="9110"/>
    <cellStyle name="Normal 6 2 2 8 2" xfId="9589"/>
    <cellStyle name="Normal 6 2 2 8 2 2" xfId="10242"/>
    <cellStyle name="Normal 6 2 2 8 3" xfId="10241"/>
    <cellStyle name="Normal 6 2 2 9" xfId="9458"/>
    <cellStyle name="Normal 6 2 2 9 2" xfId="10243"/>
    <cellStyle name="Normal 6 2 3" xfId="258"/>
    <cellStyle name="Normal 6 2 3 10" xfId="10671"/>
    <cellStyle name="Normal 6 2 3 11" xfId="10803"/>
    <cellStyle name="Normal 6 2 3 2" xfId="8050"/>
    <cellStyle name="Normal 6 2 3 2 2" xfId="9366"/>
    <cellStyle name="Normal 6 2 3 2 2 2" xfId="9783"/>
    <cellStyle name="Normal 6 2 3 2 2 2 2" xfId="10246"/>
    <cellStyle name="Normal 6 2 3 2 2 3" xfId="10245"/>
    <cellStyle name="Normal 6 2 3 2 3" xfId="9504"/>
    <cellStyle name="Normal 6 2 3 2 3 2" xfId="10247"/>
    <cellStyle name="Normal 6 2 3 2 4" xfId="10244"/>
    <cellStyle name="Normal 6 2 3 2 5" xfId="10715"/>
    <cellStyle name="Normal 6 2 3 2 6" xfId="10846"/>
    <cellStyle name="Normal 6 2 3 2 7" xfId="9247"/>
    <cellStyle name="Normal 6 2 3 3" xfId="9284"/>
    <cellStyle name="Normal 6 2 3 3 2" xfId="9404"/>
    <cellStyle name="Normal 6 2 3 3 2 2" xfId="9825"/>
    <cellStyle name="Normal 6 2 3 3 2 2 2" xfId="10250"/>
    <cellStyle name="Normal 6 2 3 3 2 3" xfId="10249"/>
    <cellStyle name="Normal 6 2 3 3 3" xfId="9544"/>
    <cellStyle name="Normal 6 2 3 3 3 2" xfId="10251"/>
    <cellStyle name="Normal 6 2 3 3 4" xfId="10248"/>
    <cellStyle name="Normal 6 2 3 3 5" xfId="10756"/>
    <cellStyle name="Normal 6 2 3 3 6" xfId="10886"/>
    <cellStyle name="Normal 6 2 3 4" xfId="9185"/>
    <cellStyle name="Normal 6 2 3 4 2" xfId="9639"/>
    <cellStyle name="Normal 6 2 3 4 2 2" xfId="10253"/>
    <cellStyle name="Normal 6 2 3 4 3" xfId="10252"/>
    <cellStyle name="Normal 6 2 3 5" xfId="9329"/>
    <cellStyle name="Normal 6 2 3 5 2" xfId="9742"/>
    <cellStyle name="Normal 6 2 3 5 2 2" xfId="10255"/>
    <cellStyle name="Normal 6 2 3 5 3" xfId="10254"/>
    <cellStyle name="Normal 6 2 3 6" xfId="9113"/>
    <cellStyle name="Normal 6 2 3 6 2" xfId="9592"/>
    <cellStyle name="Normal 6 2 3 6 2 2" xfId="10257"/>
    <cellStyle name="Normal 6 2 3 6 3" xfId="10256"/>
    <cellStyle name="Normal 6 2 3 7" xfId="9461"/>
    <cellStyle name="Normal 6 2 3 7 2" xfId="10258"/>
    <cellStyle name="Normal 6 2 3 8" xfId="9886"/>
    <cellStyle name="Normal 6 2 3 9" xfId="9045"/>
    <cellStyle name="Normal 6 2 4" xfId="431"/>
    <cellStyle name="Normal 6 2 4 10" xfId="10672"/>
    <cellStyle name="Normal 6 2 4 11" xfId="10804"/>
    <cellStyle name="Normal 6 2 4 2" xfId="786"/>
    <cellStyle name="Normal 6 2 4 2 2" xfId="8051"/>
    <cellStyle name="Normal 6 2 4 2 2 2" xfId="9784"/>
    <cellStyle name="Normal 6 2 4 2 2 2 2" xfId="10261"/>
    <cellStyle name="Normal 6 2 4 2 2 3" xfId="10260"/>
    <cellStyle name="Normal 6 2 4 2 3" xfId="9505"/>
    <cellStyle name="Normal 6 2 4 2 3 2" xfId="10262"/>
    <cellStyle name="Normal 6 2 4 2 4" xfId="10259"/>
    <cellStyle name="Normal 6 2 4 2 5" xfId="10716"/>
    <cellStyle name="Normal 6 2 4 2 6" xfId="10847"/>
    <cellStyle name="Normal 6 2 4 3" xfId="8052"/>
    <cellStyle name="Normal 6 2 4 3 2" xfId="9405"/>
    <cellStyle name="Normal 6 2 4 3 2 2" xfId="9826"/>
    <cellStyle name="Normal 6 2 4 3 2 2 2" xfId="10265"/>
    <cellStyle name="Normal 6 2 4 3 2 3" xfId="10264"/>
    <cellStyle name="Normal 6 2 4 3 3" xfId="9545"/>
    <cellStyle name="Normal 6 2 4 3 3 2" xfId="10266"/>
    <cellStyle name="Normal 6 2 4 3 4" xfId="10263"/>
    <cellStyle name="Normal 6 2 4 3 5" xfId="10757"/>
    <cellStyle name="Normal 6 2 4 3 6" xfId="10887"/>
    <cellStyle name="Normal 6 2 4 3 7" xfId="9285"/>
    <cellStyle name="Normal 6 2 4 4" xfId="8053"/>
    <cellStyle name="Normal 6 2 4 4 2" xfId="9640"/>
    <cellStyle name="Normal 6 2 4 4 2 2" xfId="10268"/>
    <cellStyle name="Normal 6 2 4 4 3" xfId="10267"/>
    <cellStyle name="Normal 6 2 4 4 4" xfId="9186"/>
    <cellStyle name="Normal 6 2 4 5" xfId="8054"/>
    <cellStyle name="Normal 6 2 4 5 2" xfId="9743"/>
    <cellStyle name="Normal 6 2 4 5 2 2" xfId="10270"/>
    <cellStyle name="Normal 6 2 4 5 3" xfId="10269"/>
    <cellStyle name="Normal 6 2 4 5 4" xfId="9330"/>
    <cellStyle name="Normal 6 2 4 6" xfId="8055"/>
    <cellStyle name="Normal 6 2 4 6 2" xfId="9593"/>
    <cellStyle name="Normal 6 2 4 6 2 2" xfId="10272"/>
    <cellStyle name="Normal 6 2 4 6 3" xfId="10271"/>
    <cellStyle name="Normal 6 2 4 6 4" xfId="9114"/>
    <cellStyle name="Normal 6 2 4 7" xfId="8056"/>
    <cellStyle name="Normal 6 2 4 7 2" xfId="10273"/>
    <cellStyle name="Normal 6 2 4 7 3" xfId="9462"/>
    <cellStyle name="Normal 6 2 4 8" xfId="8057"/>
    <cellStyle name="Normal 6 2 4 8 2" xfId="9887"/>
    <cellStyle name="Normal 6 2 4 9" xfId="9046"/>
    <cellStyle name="Normal 6 2 5" xfId="9243"/>
    <cellStyle name="Normal 6 2 5 2" xfId="9362"/>
    <cellStyle name="Normal 6 2 5 2 2" xfId="9779"/>
    <cellStyle name="Normal 6 2 5 2 2 2" xfId="10276"/>
    <cellStyle name="Normal 6 2 5 2 3" xfId="10275"/>
    <cellStyle name="Normal 6 2 5 3" xfId="9500"/>
    <cellStyle name="Normal 6 2 5 3 2" xfId="10277"/>
    <cellStyle name="Normal 6 2 5 4" xfId="10274"/>
    <cellStyle name="Normal 6 2 5 5" xfId="10711"/>
    <cellStyle name="Normal 6 2 5 6" xfId="10842"/>
    <cellStyle name="Normal 6 2 6" xfId="9280"/>
    <cellStyle name="Normal 6 2 6 2" xfId="9400"/>
    <cellStyle name="Normal 6 2 6 2 2" xfId="9821"/>
    <cellStyle name="Normal 6 2 6 2 2 2" xfId="10280"/>
    <cellStyle name="Normal 6 2 6 2 3" xfId="10279"/>
    <cellStyle name="Normal 6 2 6 3" xfId="9540"/>
    <cellStyle name="Normal 6 2 6 3 2" xfId="10281"/>
    <cellStyle name="Normal 6 2 6 4" xfId="10278"/>
    <cellStyle name="Normal 6 2 6 5" xfId="10752"/>
    <cellStyle name="Normal 6 2 6 6" xfId="10882"/>
    <cellStyle name="Normal 6 2 7" xfId="9181"/>
    <cellStyle name="Normal 6 2 7 2" xfId="9635"/>
    <cellStyle name="Normal 6 2 7 2 2" xfId="10283"/>
    <cellStyle name="Normal 6 2 7 3" xfId="10282"/>
    <cellStyle name="Normal 6 2 8" xfId="9325"/>
    <cellStyle name="Normal 6 2 8 2" xfId="9738"/>
    <cellStyle name="Normal 6 2 8 2 2" xfId="10285"/>
    <cellStyle name="Normal 6 2 8 3" xfId="10284"/>
    <cellStyle name="Normal 6 2 9" xfId="9109"/>
    <cellStyle name="Normal 6 2 9 2" xfId="9588"/>
    <cellStyle name="Normal 6 2 9 2 2" xfId="10287"/>
    <cellStyle name="Normal 6 2 9 3" xfId="10286"/>
    <cellStyle name="Normal 6 3" xfId="98"/>
    <cellStyle name="Normal 6 3 10" xfId="987"/>
    <cellStyle name="Normal 6 3 10 2" xfId="9888"/>
    <cellStyle name="Normal 6 3 11" xfId="1834"/>
    <cellStyle name="Normal 6 3 11 2" xfId="9047"/>
    <cellStyle name="Normal 6 3 12" xfId="8058"/>
    <cellStyle name="Normal 6 3 12 2" xfId="10673"/>
    <cellStyle name="Normal 6 3 13" xfId="8059"/>
    <cellStyle name="Normal 6 3 13 2" xfId="10805"/>
    <cellStyle name="Normal 6 3 2" xfId="259"/>
    <cellStyle name="Normal 6 3 2 10" xfId="1836"/>
    <cellStyle name="Normal 6 3 2 10 2" xfId="10674"/>
    <cellStyle name="Normal 6 3 2 11" xfId="1837"/>
    <cellStyle name="Normal 6 3 2 11 2" xfId="10806"/>
    <cellStyle name="Normal 6 3 2 12" xfId="1835"/>
    <cellStyle name="Normal 6 3 2 2" xfId="554"/>
    <cellStyle name="Normal 6 3 2 2 2" xfId="1839"/>
    <cellStyle name="Normal 6 3 2 2 2 2" xfId="9786"/>
    <cellStyle name="Normal 6 3 2 2 2 2 2" xfId="10290"/>
    <cellStyle name="Normal 6 3 2 2 2 3" xfId="10289"/>
    <cellStyle name="Normal 6 3 2 2 2 4" xfId="9368"/>
    <cellStyle name="Normal 6 3 2 2 3" xfId="1840"/>
    <cellStyle name="Normal 6 3 2 2 3 2" xfId="10291"/>
    <cellStyle name="Normal 6 3 2 2 4" xfId="1841"/>
    <cellStyle name="Normal 6 3 2 2 4 2" xfId="10288"/>
    <cellStyle name="Normal 6 3 2 2 5" xfId="1838"/>
    <cellStyle name="Normal 6 3 2 2 5 2" xfId="10718"/>
    <cellStyle name="Normal 6 3 2 2 6" xfId="8060"/>
    <cellStyle name="Normal 6 3 2 2 6 2" xfId="10849"/>
    <cellStyle name="Normal 6 3 2 2 7" xfId="8061"/>
    <cellStyle name="Normal 6 3 2 2 8" xfId="8062"/>
    <cellStyle name="Normal 6 3 2 2 9" xfId="8063"/>
    <cellStyle name="Normal 6 3 2 3" xfId="1842"/>
    <cellStyle name="Normal 6 3 2 3 2" xfId="9407"/>
    <cellStyle name="Normal 6 3 2 3 2 2" xfId="9828"/>
    <cellStyle name="Normal 6 3 2 3 2 2 2" xfId="10294"/>
    <cellStyle name="Normal 6 3 2 3 2 3" xfId="10293"/>
    <cellStyle name="Normal 6 3 2 3 3" xfId="9547"/>
    <cellStyle name="Normal 6 3 2 3 3 2" xfId="10295"/>
    <cellStyle name="Normal 6 3 2 3 4" xfId="10292"/>
    <cellStyle name="Normal 6 3 2 3 5" xfId="10759"/>
    <cellStyle name="Normal 6 3 2 3 6" xfId="10889"/>
    <cellStyle name="Normal 6 3 2 3 7" xfId="9287"/>
    <cellStyle name="Normal 6 3 2 4" xfId="1843"/>
    <cellStyle name="Normal 6 3 2 4 2" xfId="9642"/>
    <cellStyle name="Normal 6 3 2 4 2 2" xfId="10297"/>
    <cellStyle name="Normal 6 3 2 4 3" xfId="10296"/>
    <cellStyle name="Normal 6 3 2 4 4" xfId="9188"/>
    <cellStyle name="Normal 6 3 2 5" xfId="1844"/>
    <cellStyle name="Normal 6 3 2 5 2" xfId="1845"/>
    <cellStyle name="Normal 6 3 2 5 2 2" xfId="10299"/>
    <cellStyle name="Normal 6 3 2 5 3" xfId="1846"/>
    <cellStyle name="Normal 6 3 2 5 3 2" xfId="10298"/>
    <cellStyle name="Normal 6 3 2 5 4" xfId="13489"/>
    <cellStyle name="Normal 6 3 2 6" xfId="1847"/>
    <cellStyle name="Normal 6 3 2 6 2" xfId="8064"/>
    <cellStyle name="Normal 6 3 2 6 2 2" xfId="10301"/>
    <cellStyle name="Normal 6 3 2 6 3" xfId="10300"/>
    <cellStyle name="Normal 6 3 2 6 3 2" xfId="14898"/>
    <cellStyle name="Normal 6 3 2 6 3 3" xfId="13490"/>
    <cellStyle name="Normal 6 3 2 7" xfId="1848"/>
    <cellStyle name="Normal 6 3 2 7 2" xfId="10302"/>
    <cellStyle name="Normal 6 3 2 7 3" xfId="9464"/>
    <cellStyle name="Normal 6 3 2 8" xfId="1849"/>
    <cellStyle name="Normal 6 3 2 8 2" xfId="9889"/>
    <cellStyle name="Normal 6 3 2 9" xfId="1850"/>
    <cellStyle name="Normal 6 3 2 9 2" xfId="9048"/>
    <cellStyle name="Normal 6 3 3" xfId="260"/>
    <cellStyle name="Normal 6 3 3 10" xfId="10675"/>
    <cellStyle name="Normal 6 3 3 11" xfId="10807"/>
    <cellStyle name="Normal 6 3 3 2" xfId="9249"/>
    <cellStyle name="Normal 6 3 3 2 2" xfId="9369"/>
    <cellStyle name="Normal 6 3 3 2 2 2" xfId="9787"/>
    <cellStyle name="Normal 6 3 3 2 2 2 2" xfId="10305"/>
    <cellStyle name="Normal 6 3 3 2 2 3" xfId="10304"/>
    <cellStyle name="Normal 6 3 3 2 3" xfId="9507"/>
    <cellStyle name="Normal 6 3 3 2 3 2" xfId="10306"/>
    <cellStyle name="Normal 6 3 3 2 4" xfId="10303"/>
    <cellStyle name="Normal 6 3 3 2 5" xfId="10719"/>
    <cellStyle name="Normal 6 3 3 2 6" xfId="10850"/>
    <cellStyle name="Normal 6 3 3 3" xfId="9288"/>
    <cellStyle name="Normal 6 3 3 3 2" xfId="9408"/>
    <cellStyle name="Normal 6 3 3 3 2 2" xfId="9829"/>
    <cellStyle name="Normal 6 3 3 3 2 2 2" xfId="10309"/>
    <cellStyle name="Normal 6 3 3 3 2 3" xfId="10308"/>
    <cellStyle name="Normal 6 3 3 3 3" xfId="9548"/>
    <cellStyle name="Normal 6 3 3 3 3 2" xfId="10310"/>
    <cellStyle name="Normal 6 3 3 3 4" xfId="10307"/>
    <cellStyle name="Normal 6 3 3 3 5" xfId="10760"/>
    <cellStyle name="Normal 6 3 3 3 6" xfId="10890"/>
    <cellStyle name="Normal 6 3 3 4" xfId="9189"/>
    <cellStyle name="Normal 6 3 3 4 2" xfId="9643"/>
    <cellStyle name="Normal 6 3 3 4 2 2" xfId="10312"/>
    <cellStyle name="Normal 6 3 3 4 3" xfId="10311"/>
    <cellStyle name="Normal 6 3 3 5" xfId="9332"/>
    <cellStyle name="Normal 6 3 3 5 2" xfId="9745"/>
    <cellStyle name="Normal 6 3 3 5 2 2" xfId="10314"/>
    <cellStyle name="Normal 6 3 3 5 3" xfId="10313"/>
    <cellStyle name="Normal 6 3 3 6" xfId="9116"/>
    <cellStyle name="Normal 6 3 3 6 2" xfId="9595"/>
    <cellStyle name="Normal 6 3 3 6 2 2" xfId="10316"/>
    <cellStyle name="Normal 6 3 3 6 3" xfId="10315"/>
    <cellStyle name="Normal 6 3 3 7" xfId="9465"/>
    <cellStyle name="Normal 6 3 3 7 2" xfId="10317"/>
    <cellStyle name="Normal 6 3 3 8" xfId="9890"/>
    <cellStyle name="Normal 6 3 3 9" xfId="9049"/>
    <cellStyle name="Normal 6 3 4" xfId="720"/>
    <cellStyle name="Normal 6 3 4 2" xfId="9367"/>
    <cellStyle name="Normal 6 3 4 2 2" xfId="9785"/>
    <cellStyle name="Normal 6 3 4 2 2 2" xfId="10320"/>
    <cellStyle name="Normal 6 3 4 2 3" xfId="10319"/>
    <cellStyle name="Normal 6 3 4 3" xfId="9506"/>
    <cellStyle name="Normal 6 3 4 3 2" xfId="10321"/>
    <cellStyle name="Normal 6 3 4 4" xfId="10318"/>
    <cellStyle name="Normal 6 3 4 5" xfId="10717"/>
    <cellStyle name="Normal 6 3 4 6" xfId="10848"/>
    <cellStyle name="Normal 6 3 4 7" xfId="9248"/>
    <cellStyle name="Normal 6 3 5" xfId="1851"/>
    <cellStyle name="Normal 6 3 5 2" xfId="9406"/>
    <cellStyle name="Normal 6 3 5 2 2" xfId="9827"/>
    <cellStyle name="Normal 6 3 5 2 2 2" xfId="10324"/>
    <cellStyle name="Normal 6 3 5 2 3" xfId="10323"/>
    <cellStyle name="Normal 6 3 5 3" xfId="9546"/>
    <cellStyle name="Normal 6 3 5 3 2" xfId="10325"/>
    <cellStyle name="Normal 6 3 5 4" xfId="10322"/>
    <cellStyle name="Normal 6 3 5 5" xfId="10758"/>
    <cellStyle name="Normal 6 3 5 6" xfId="10888"/>
    <cellStyle name="Normal 6 3 5 7" xfId="9286"/>
    <cellStyle name="Normal 6 3 6" xfId="1852"/>
    <cellStyle name="Normal 6 3 6 2" xfId="9641"/>
    <cellStyle name="Normal 6 3 6 2 2" xfId="10327"/>
    <cellStyle name="Normal 6 3 6 3" xfId="10326"/>
    <cellStyle name="Normal 6 3 6 4" xfId="9187"/>
    <cellStyle name="Normal 6 3 7" xfId="1853"/>
    <cellStyle name="Normal 6 3 7 2" xfId="9744"/>
    <cellStyle name="Normal 6 3 7 2 2" xfId="10329"/>
    <cellStyle name="Normal 6 3 7 3" xfId="10328"/>
    <cellStyle name="Normal 6 3 7 4" xfId="9331"/>
    <cellStyle name="Normal 6 3 8" xfId="1854"/>
    <cellStyle name="Normal 6 3 8 2" xfId="9594"/>
    <cellStyle name="Normal 6 3 8 2 2" xfId="10331"/>
    <cellStyle name="Normal 6 3 8 3" xfId="10330"/>
    <cellStyle name="Normal 6 3 8 4" xfId="9115"/>
    <cellStyle name="Normal 6 3 9" xfId="1855"/>
    <cellStyle name="Normal 6 3 9 2" xfId="10332"/>
    <cellStyle name="Normal 6 3 9 3" xfId="9463"/>
    <cellStyle name="Normal 6 4" xfId="99"/>
    <cellStyle name="Normal 6 4 10" xfId="1856"/>
    <cellStyle name="Normal 6 4 10 2" xfId="10676"/>
    <cellStyle name="Normal 6 4 11" xfId="1857"/>
    <cellStyle name="Normal 6 4 11 2" xfId="10808"/>
    <cellStyle name="Normal 6 4 12" xfId="8065"/>
    <cellStyle name="Normal 6 4 13" xfId="8066"/>
    <cellStyle name="Normal 6 4 2" xfId="261"/>
    <cellStyle name="Normal 6 4 2 2" xfId="446"/>
    <cellStyle name="Normal 6 4 2 2 2" xfId="9788"/>
    <cellStyle name="Normal 6 4 2 2 2 2" xfId="10335"/>
    <cellStyle name="Normal 6 4 2 2 3" xfId="10334"/>
    <cellStyle name="Normal 6 4 2 3" xfId="9508"/>
    <cellStyle name="Normal 6 4 2 3 2" xfId="10336"/>
    <cellStyle name="Normal 6 4 2 4" xfId="10333"/>
    <cellStyle name="Normal 6 4 2 5" xfId="10720"/>
    <cellStyle name="Normal 6 4 2 6" xfId="10851"/>
    <cellStyle name="Normal 6 4 3" xfId="447"/>
    <cellStyle name="Normal 6 4 3 10" xfId="8067"/>
    <cellStyle name="Normal 6 4 3 11" xfId="8068"/>
    <cellStyle name="Normal 6 4 3 12" xfId="9289"/>
    <cellStyle name="Normal 6 4 3 2" xfId="793"/>
    <cellStyle name="Normal 6 4 3 2 2" xfId="9830"/>
    <cellStyle name="Normal 6 4 3 2 2 2" xfId="10339"/>
    <cellStyle name="Normal 6 4 3 2 3" xfId="10338"/>
    <cellStyle name="Normal 6 4 3 2 4" xfId="9409"/>
    <cellStyle name="Normal 6 4 3 3" xfId="1858"/>
    <cellStyle name="Normal 6 4 3 3 2" xfId="10340"/>
    <cellStyle name="Normal 6 4 3 3 3" xfId="9549"/>
    <cellStyle name="Normal 6 4 3 4" xfId="1859"/>
    <cellStyle name="Normal 6 4 3 4 2" xfId="10337"/>
    <cellStyle name="Normal 6 4 3 5" xfId="1860"/>
    <cellStyle name="Normal 6 4 3 5 2" xfId="10761"/>
    <cellStyle name="Normal 6 4 3 6" xfId="1861"/>
    <cellStyle name="Normal 6 4 3 6 2" xfId="10891"/>
    <cellStyle name="Normal 6 4 3 7" xfId="1862"/>
    <cellStyle name="Normal 6 4 3 8" xfId="1863"/>
    <cellStyle name="Normal 6 4 3 9" xfId="1864"/>
    <cellStyle name="Normal 6 4 4" xfId="555"/>
    <cellStyle name="Normal 6 4 4 2" xfId="814"/>
    <cellStyle name="Normal 6 4 4 2 2" xfId="10342"/>
    <cellStyle name="Normal 6 4 4 2 3" xfId="9644"/>
    <cellStyle name="Normal 6 4 4 3" xfId="8069"/>
    <cellStyle name="Normal 6 4 4 3 2" xfId="10341"/>
    <cellStyle name="Normal 6 4 4 4" xfId="8070"/>
    <cellStyle name="Normal 6 4 4 5" xfId="8071"/>
    <cellStyle name="Normal 6 4 4 6" xfId="8072"/>
    <cellStyle name="Normal 6 4 4 7" xfId="8073"/>
    <cellStyle name="Normal 6 4 4 8" xfId="8074"/>
    <cellStyle name="Normal 6 4 4 9" xfId="9190"/>
    <cellStyle name="Normal 6 4 5" xfId="1865"/>
    <cellStyle name="Normal 6 4 5 2" xfId="9746"/>
    <cellStyle name="Normal 6 4 5 2 2" xfId="10344"/>
    <cellStyle name="Normal 6 4 5 3" xfId="10343"/>
    <cellStyle name="Normal 6 4 5 4" xfId="9333"/>
    <cellStyle name="Normal 6 4 6" xfId="1866"/>
    <cellStyle name="Normal 6 4 6 2" xfId="9596"/>
    <cellStyle name="Normal 6 4 6 2 2" xfId="10346"/>
    <cellStyle name="Normal 6 4 6 3" xfId="10345"/>
    <cellStyle name="Normal 6 4 6 4" xfId="9117"/>
    <cellStyle name="Normal 6 4 7" xfId="1867"/>
    <cellStyle name="Normal 6 4 7 2" xfId="10347"/>
    <cellStyle name="Normal 6 4 7 3" xfId="9466"/>
    <cellStyle name="Normal 6 4 8" xfId="1868"/>
    <cellStyle name="Normal 6 4 8 2" xfId="9891"/>
    <cellStyle name="Normal 6 4 9" xfId="1869"/>
    <cellStyle name="Normal 6 4 9 2" xfId="9050"/>
    <cellStyle name="Normal 6 5" xfId="96"/>
    <cellStyle name="Normal 6 5 10" xfId="10677"/>
    <cellStyle name="Normal 6 5 11" xfId="10809"/>
    <cellStyle name="Normal 6 5 2" xfId="448"/>
    <cellStyle name="Normal 6 5 2 2" xfId="9370"/>
    <cellStyle name="Normal 6 5 2 2 2" xfId="9789"/>
    <cellStyle name="Normal 6 5 2 2 2 2" xfId="10350"/>
    <cellStyle name="Normal 6 5 2 2 3" xfId="10349"/>
    <cellStyle name="Normal 6 5 2 3" xfId="9509"/>
    <cellStyle name="Normal 6 5 2 3 2" xfId="10351"/>
    <cellStyle name="Normal 6 5 2 4" xfId="10348"/>
    <cellStyle name="Normal 6 5 2 5" xfId="10721"/>
    <cellStyle name="Normal 6 5 2 6" xfId="10852"/>
    <cellStyle name="Normal 6 5 3" xfId="9290"/>
    <cellStyle name="Normal 6 5 3 2" xfId="9410"/>
    <cellStyle name="Normal 6 5 3 2 2" xfId="9831"/>
    <cellStyle name="Normal 6 5 3 2 2 2" xfId="10354"/>
    <cellStyle name="Normal 6 5 3 2 3" xfId="10353"/>
    <cellStyle name="Normal 6 5 3 3" xfId="9550"/>
    <cellStyle name="Normal 6 5 3 3 2" xfId="10355"/>
    <cellStyle name="Normal 6 5 3 4" xfId="10352"/>
    <cellStyle name="Normal 6 5 3 5" xfId="10762"/>
    <cellStyle name="Normal 6 5 3 6" xfId="10892"/>
    <cellStyle name="Normal 6 5 4" xfId="9191"/>
    <cellStyle name="Normal 6 5 4 2" xfId="9645"/>
    <cellStyle name="Normal 6 5 4 2 2" xfId="10357"/>
    <cellStyle name="Normal 6 5 4 3" xfId="10356"/>
    <cellStyle name="Normal 6 5 5" xfId="9334"/>
    <cellStyle name="Normal 6 5 5 2" xfId="9747"/>
    <cellStyle name="Normal 6 5 5 2 2" xfId="10359"/>
    <cellStyle name="Normal 6 5 5 3" xfId="10358"/>
    <cellStyle name="Normal 6 5 6" xfId="9118"/>
    <cellStyle name="Normal 6 5 6 2" xfId="9597"/>
    <cellStyle name="Normal 6 5 6 2 2" xfId="10361"/>
    <cellStyle name="Normal 6 5 6 3" xfId="10360"/>
    <cellStyle name="Normal 6 5 7" xfId="9467"/>
    <cellStyle name="Normal 6 5 7 2" xfId="10362"/>
    <cellStyle name="Normal 6 5 8" xfId="9892"/>
    <cellStyle name="Normal 6 5 9" xfId="9051"/>
    <cellStyle name="Normal 6 6" xfId="125"/>
    <cellStyle name="Normal 6 6 10" xfId="8075"/>
    <cellStyle name="Normal 6 6 2" xfId="262"/>
    <cellStyle name="Normal 6 6 2 2" xfId="769"/>
    <cellStyle name="Normal 6 6 2 2 2" xfId="10365"/>
    <cellStyle name="Normal 6 6 2 2 3" xfId="9778"/>
    <cellStyle name="Normal 6 6 2 3" xfId="8076"/>
    <cellStyle name="Normal 6 6 2 3 2" xfId="10364"/>
    <cellStyle name="Normal 6 6 2 4" xfId="8077"/>
    <cellStyle name="Normal 6 6 2 5" xfId="8078"/>
    <cellStyle name="Normal 6 6 2 6" xfId="8079"/>
    <cellStyle name="Normal 6 6 2 7" xfId="8080"/>
    <cellStyle name="Normal 6 6 2 8" xfId="8081"/>
    <cellStyle name="Normal 6 6 2 9" xfId="9361"/>
    <cellStyle name="Normal 6 6 3" xfId="1871"/>
    <cellStyle name="Normal 6 6 3 2" xfId="8082"/>
    <cellStyle name="Normal 6 6 3 2 2" xfId="13012"/>
    <cellStyle name="Normal 6 6 3 2 3" xfId="11721"/>
    <cellStyle name="Normal 6 6 3 3" xfId="8083"/>
    <cellStyle name="Normal 6 6 3 4" xfId="8084"/>
    <cellStyle name="Normal 6 6 3 5" xfId="13491"/>
    <cellStyle name="Normal 6 6 4" xfId="1872"/>
    <cellStyle name="Normal 6 6 4 2" xfId="2459"/>
    <cellStyle name="Normal 6 6 4 2 2" xfId="8085"/>
    <cellStyle name="Normal 6 6 4 2 3" xfId="8086"/>
    <cellStyle name="Normal 6 6 4 3" xfId="2763"/>
    <cellStyle name="Normal 6 6 4 4" xfId="10363"/>
    <cellStyle name="Normal 6 6 5" xfId="1873"/>
    <cellStyle name="Normal 6 6 6" xfId="1870"/>
    <cellStyle name="Normal 6 6 7" xfId="8087"/>
    <cellStyle name="Normal 6 6 8" xfId="8088"/>
    <cellStyle name="Normal 6 6 9" xfId="8089"/>
    <cellStyle name="Normal 6 7" xfId="263"/>
    <cellStyle name="Normal 6 7 10" xfId="9266"/>
    <cellStyle name="Normal 6 7 2" xfId="556"/>
    <cellStyle name="Normal 6 7 2 2" xfId="815"/>
    <cellStyle name="Normal 6 7 2 2 2" xfId="1875"/>
    <cellStyle name="Normal 6 7 2 2 2 2" xfId="2856"/>
    <cellStyle name="Normal 6 7 2 2 2 3" xfId="2765"/>
    <cellStyle name="Normal 6 7 2 2 2 4" xfId="2634"/>
    <cellStyle name="Normal 6 7 2 2 2 5" xfId="2567"/>
    <cellStyle name="Normal 6 7 2 2 2 6" xfId="10368"/>
    <cellStyle name="Normal 6 7 2 2 3" xfId="9803"/>
    <cellStyle name="Normal 6 7 2 3" xfId="1876"/>
    <cellStyle name="Normal 6 7 2 3 2" xfId="10367"/>
    <cellStyle name="Normal 6 7 2 4" xfId="1877"/>
    <cellStyle name="Normal 6 7 2 4 2" xfId="2458"/>
    <cellStyle name="Normal 6 7 2 4 3" xfId="2766"/>
    <cellStyle name="Normal 6 7 2 5" xfId="1874"/>
    <cellStyle name="Normal 6 7 2 5 2" xfId="2855"/>
    <cellStyle name="Normal 6 7 2 5 3" xfId="2764"/>
    <cellStyle name="Normal 6 7 2 5 4" xfId="2633"/>
    <cellStyle name="Normal 6 7 2 5 5" xfId="2566"/>
    <cellStyle name="Normal 6 7 2 6" xfId="8090"/>
    <cellStyle name="Normal 6 7 2 7" xfId="8091"/>
    <cellStyle name="Normal 6 7 2 8" xfId="8092"/>
    <cellStyle name="Normal 6 7 2 9" xfId="9383"/>
    <cellStyle name="Normal 6 7 3" xfId="770"/>
    <cellStyle name="Normal 6 7 3 2" xfId="8093"/>
    <cellStyle name="Normal 6 7 3 2 2" xfId="8094"/>
    <cellStyle name="Normal 6 7 3 2 3" xfId="8095"/>
    <cellStyle name="Normal 6 7 3 2 4" xfId="10369"/>
    <cellStyle name="Normal 6 7 3 3" xfId="9522"/>
    <cellStyle name="Normal 6 7 4" xfId="8096"/>
    <cellStyle name="Normal 6 7 4 2" xfId="10366"/>
    <cellStyle name="Normal 6 7 5" xfId="8097"/>
    <cellStyle name="Normal 6 7 5 2" xfId="10734"/>
    <cellStyle name="Normal 6 7 6" xfId="8098"/>
    <cellStyle name="Normal 6 7 6 2" xfId="10864"/>
    <cellStyle name="Normal 6 7 7" xfId="8099"/>
    <cellStyle name="Normal 6 7 8" xfId="8100"/>
    <cellStyle name="Normal 6 7 9" xfId="8101"/>
    <cellStyle name="Normal 6 8" xfId="557"/>
    <cellStyle name="Normal 6 8 2" xfId="558"/>
    <cellStyle name="Normal 6 8 2 2" xfId="816"/>
    <cellStyle name="Normal 6 8 2 2 2" xfId="1879"/>
    <cellStyle name="Normal 6 8 2 2 2 2" xfId="2858"/>
    <cellStyle name="Normal 6 8 2 2 2 3" xfId="2768"/>
    <cellStyle name="Normal 6 8 2 2 2 4" xfId="2636"/>
    <cellStyle name="Normal 6 8 2 2 2 5" xfId="2569"/>
    <cellStyle name="Normal 6 8 2 2 3" xfId="10371"/>
    <cellStyle name="Normal 6 8 2 3" xfId="1880"/>
    <cellStyle name="Normal 6 8 2 4" xfId="1881"/>
    <cellStyle name="Normal 6 8 2 4 2" xfId="2457"/>
    <cellStyle name="Normal 6 8 2 4 3" xfId="2769"/>
    <cellStyle name="Normal 6 8 2 5" xfId="1878"/>
    <cellStyle name="Normal 6 8 2 5 2" xfId="2857"/>
    <cellStyle name="Normal 6 8 2 5 3" xfId="2767"/>
    <cellStyle name="Normal 6 8 2 5 4" xfId="2635"/>
    <cellStyle name="Normal 6 8 2 5 5" xfId="2568"/>
    <cellStyle name="Normal 6 8 2 6" xfId="8102"/>
    <cellStyle name="Normal 6 8 2 7" xfId="8103"/>
    <cellStyle name="Normal 6 8 2 8" xfId="8104"/>
    <cellStyle name="Normal 6 8 2 9" xfId="9616"/>
    <cellStyle name="Normal 6 8 3" xfId="8105"/>
    <cellStyle name="Normal 6 8 3 2" xfId="8106"/>
    <cellStyle name="Normal 6 8 3 3" xfId="8107"/>
    <cellStyle name="Normal 6 8 3 4" xfId="10370"/>
    <cellStyle name="Normal 6 8 4" xfId="9138"/>
    <cellStyle name="Normal 6 9" xfId="846"/>
    <cellStyle name="Normal 6 9 2" xfId="8108"/>
    <cellStyle name="Normal 6 9 2 2" xfId="10373"/>
    <cellStyle name="Normal 6 9 2 3" xfId="9719"/>
    <cellStyle name="Normal 6 9 3" xfId="10372"/>
    <cellStyle name="Normal 6 9 4" xfId="9308"/>
    <cellStyle name="Normal 60" xfId="264"/>
    <cellStyle name="Normal 60 2" xfId="9250"/>
    <cellStyle name="Normal 60 2 2" xfId="9706"/>
    <cellStyle name="Normal 60 3" xfId="9160"/>
    <cellStyle name="Normal 60 4" xfId="9087"/>
    <cellStyle name="Normal 60 5" xfId="9019"/>
    <cellStyle name="Normal 60 6" xfId="8991"/>
    <cellStyle name="Normal 61" xfId="265"/>
    <cellStyle name="Normal 61 2" xfId="9251"/>
    <cellStyle name="Normal 61 2 2" xfId="9707"/>
    <cellStyle name="Normal 61 3" xfId="9161"/>
    <cellStyle name="Normal 61 4" xfId="9088"/>
    <cellStyle name="Normal 61 5" xfId="9020"/>
    <cellStyle name="Normal 61 6" xfId="8992"/>
    <cellStyle name="Normal 62" xfId="266"/>
    <cellStyle name="Normal 62 2" xfId="9252"/>
    <cellStyle name="Normal 62 2 2" xfId="9708"/>
    <cellStyle name="Normal 62 3" xfId="9162"/>
    <cellStyle name="Normal 62 4" xfId="9089"/>
    <cellStyle name="Normal 62 5" xfId="9021"/>
    <cellStyle name="Normal 62 6" xfId="8993"/>
    <cellStyle name="Normal 63" xfId="267"/>
    <cellStyle name="Normal 63 2" xfId="9253"/>
    <cellStyle name="Normal 63 2 2" xfId="9709"/>
    <cellStyle name="Normal 63 3" xfId="9163"/>
    <cellStyle name="Normal 63 4" xfId="9090"/>
    <cellStyle name="Normal 63 5" xfId="9022"/>
    <cellStyle name="Normal 63 6" xfId="8994"/>
    <cellStyle name="Normal 64" xfId="268"/>
    <cellStyle name="Normal 64 10" xfId="10821"/>
    <cellStyle name="Normal 64 11" xfId="8995"/>
    <cellStyle name="Normal 64 2" xfId="9062"/>
    <cellStyle name="Normal 64 2 2" xfId="9613"/>
    <cellStyle name="Normal 64 3" xfId="9207"/>
    <cellStyle name="Normal 64 3 2" xfId="9659"/>
    <cellStyle name="Normal 64 3 2 2" xfId="10375"/>
    <cellStyle name="Normal 64 3 3" xfId="10374"/>
    <cellStyle name="Normal 64 4" xfId="9344"/>
    <cellStyle name="Normal 64 4 2" xfId="9758"/>
    <cellStyle name="Normal 64 4 2 2" xfId="10377"/>
    <cellStyle name="Normal 64 4 3" xfId="10376"/>
    <cellStyle name="Normal 64 5" xfId="9130"/>
    <cellStyle name="Normal 64 5 2" xfId="9612"/>
    <cellStyle name="Normal 64 5 2 2" xfId="10379"/>
    <cellStyle name="Normal 64 5 3" xfId="10378"/>
    <cellStyle name="Normal 64 6" xfId="9478"/>
    <cellStyle name="Normal 64 6 2" xfId="10380"/>
    <cellStyle name="Normal 64 7" xfId="9902"/>
    <cellStyle name="Normal 64 8" xfId="9061"/>
    <cellStyle name="Normal 64 9" xfId="10689"/>
    <cellStyle name="Normal 65" xfId="269"/>
    <cellStyle name="Normal 65 2" xfId="9302"/>
    <cellStyle name="Normal 65 2 2" xfId="9426"/>
    <cellStyle name="Normal 65 2 2 2" xfId="9847"/>
    <cellStyle name="Normal 65 2 2 2 2" xfId="10383"/>
    <cellStyle name="Normal 65 2 2 3" xfId="10382"/>
    <cellStyle name="Normal 65 2 3" xfId="9566"/>
    <cellStyle name="Normal 65 2 3 2" xfId="10384"/>
    <cellStyle name="Normal 65 2 4" xfId="10381"/>
    <cellStyle name="Normal 65 2 5" xfId="10775"/>
    <cellStyle name="Normal 65 2 6" xfId="10905"/>
    <cellStyle name="Normal 65 3" xfId="9614"/>
    <cellStyle name="Normal 65 4" xfId="9063"/>
    <cellStyle name="Normal 66" xfId="270"/>
    <cellStyle name="Normal 66 2" xfId="9263"/>
    <cellStyle name="Normal 66 2 2" xfId="10777"/>
    <cellStyle name="Normal 66 3" xfId="9209"/>
    <cellStyle name="Normal 66 3 2" xfId="9661"/>
    <cellStyle name="Normal 66 3 2 2" xfId="10386"/>
    <cellStyle name="Normal 66 3 3" xfId="10385"/>
    <cellStyle name="Normal 66 4" xfId="9346"/>
    <cellStyle name="Normal 66 4 2" xfId="9760"/>
    <cellStyle name="Normal 66 4 2 2" xfId="10388"/>
    <cellStyle name="Normal 66 4 3" xfId="10387"/>
    <cellStyle name="Normal 66 5" xfId="9480"/>
    <cellStyle name="Normal 66 5 2" xfId="10389"/>
    <cellStyle name="Normal 66 6" xfId="10691"/>
    <cellStyle name="Normal 66 7" xfId="10823"/>
    <cellStyle name="Normal 66 8" xfId="9131"/>
    <cellStyle name="Normal 67" xfId="271"/>
    <cellStyle name="Normal 67 2" xfId="9347"/>
    <cellStyle name="Normal 67 2 2" xfId="9761"/>
    <cellStyle name="Normal 67 2 2 2" xfId="10392"/>
    <cellStyle name="Normal 67 2 3" xfId="10391"/>
    <cellStyle name="Normal 67 3" xfId="9481"/>
    <cellStyle name="Normal 67 3 2" xfId="10393"/>
    <cellStyle name="Normal 67 4" xfId="10390"/>
    <cellStyle name="Normal 67 5" xfId="10692"/>
    <cellStyle name="Normal 67 6" xfId="10778"/>
    <cellStyle name="Normal 67 7" xfId="10824"/>
    <cellStyle name="Normal 68" xfId="272"/>
    <cellStyle name="Normal 68 2" xfId="10681"/>
    <cellStyle name="Normal 68 3" xfId="9276"/>
    <cellStyle name="Normal 69" xfId="273"/>
    <cellStyle name="Normal 69 2" xfId="10702"/>
    <cellStyle name="Normal 69 3" xfId="9136"/>
    <cellStyle name="Normal 7" xfId="65"/>
    <cellStyle name="Normal 7 10" xfId="8109"/>
    <cellStyle name="Normal 7 11" xfId="8110"/>
    <cellStyle name="Normal 7 2" xfId="274"/>
    <cellStyle name="Normal 7 2 2" xfId="771"/>
    <cellStyle name="Normal 7 2 2 2" xfId="8111"/>
    <cellStyle name="Normal 7 2 2 2 2" xfId="9711"/>
    <cellStyle name="Normal 7 2 3" xfId="2956"/>
    <cellStyle name="Normal 7 2 3 2" xfId="8112"/>
    <cellStyle name="Normal 7 2 3 2 2" xfId="12325"/>
    <cellStyle name="Normal 7 2 3 2 3" xfId="11450"/>
    <cellStyle name="Normal 7 2 3 3" xfId="8113"/>
    <cellStyle name="Normal 7 2 3 4" xfId="13541"/>
    <cellStyle name="Normal 7 2 4" xfId="8114"/>
    <cellStyle name="Normal 7 2 5" xfId="8115"/>
    <cellStyle name="Normal 7 2 6" xfId="8116"/>
    <cellStyle name="Normal 7 2 7" xfId="8117"/>
    <cellStyle name="Normal 7 2 8" xfId="8118"/>
    <cellStyle name="Normal 7 3" xfId="699"/>
    <cellStyle name="Normal 7 3 2" xfId="2957"/>
    <cellStyle name="Normal 7 3 2 2" xfId="9710"/>
    <cellStyle name="Normal 7 4" xfId="1882"/>
    <cellStyle name="Normal 7 4 2" xfId="2958"/>
    <cellStyle name="Normal 7 5" xfId="1883"/>
    <cellStyle name="Normal 7 5 2" xfId="2959"/>
    <cellStyle name="Normal 7 6" xfId="1884"/>
    <cellStyle name="Normal 7 6 2" xfId="2960"/>
    <cellStyle name="Normal 7 7" xfId="1885"/>
    <cellStyle name="Normal 7 7 2" xfId="2961"/>
    <cellStyle name="Normal 7 8" xfId="1886"/>
    <cellStyle name="Normal 7 8 2" xfId="2962"/>
    <cellStyle name="Normal 7 9" xfId="1887"/>
    <cellStyle name="Normal 7_cálculo da esp das camadas" xfId="2963"/>
    <cellStyle name="Normal 70" xfId="275"/>
    <cellStyle name="Normal 70 2" xfId="9204"/>
    <cellStyle name="Normal 71" xfId="276"/>
    <cellStyle name="Normal 71 2" xfId="9303"/>
    <cellStyle name="Normal 72" xfId="277"/>
    <cellStyle name="Normal 72 2" xfId="9304"/>
    <cellStyle name="Normal 73" xfId="278"/>
    <cellStyle name="Normal 73 2" xfId="9137"/>
    <cellStyle name="Normal 74" xfId="279"/>
    <cellStyle name="Normal 74 2" xfId="9306"/>
    <cellStyle name="Normal 75" xfId="280"/>
    <cellStyle name="Normal 75 2" xfId="9305"/>
    <cellStyle name="Normal 76" xfId="281"/>
    <cellStyle name="Normal 76 2" xfId="9307"/>
    <cellStyle name="Normal 77" xfId="282"/>
    <cellStyle name="Normal 77 2" xfId="9373"/>
    <cellStyle name="Normal 78" xfId="283"/>
    <cellStyle name="Normal 78 2" xfId="9427"/>
    <cellStyle name="Normal 79" xfId="284"/>
    <cellStyle name="Normal 79 2" xfId="9428"/>
    <cellStyle name="Normal 8" xfId="71"/>
    <cellStyle name="Normal 8 10" xfId="8119"/>
    <cellStyle name="Normal 8 11" xfId="8120"/>
    <cellStyle name="Normal 8 2" xfId="285"/>
    <cellStyle name="Normal 8 2 2" xfId="772"/>
    <cellStyle name="Normal 8 2 2 2" xfId="9712"/>
    <cellStyle name="Normal 8 2 3" xfId="8121"/>
    <cellStyle name="Normal 8 2 4" xfId="8122"/>
    <cellStyle name="Normal 8 2 5" xfId="8123"/>
    <cellStyle name="Normal 8 2 6" xfId="8124"/>
    <cellStyle name="Normal 8 2 7" xfId="8125"/>
    <cellStyle name="Normal 8 2 8" xfId="8126"/>
    <cellStyle name="Normal 8 3" xfId="703"/>
    <cellStyle name="Normal 8 3 2" xfId="8127"/>
    <cellStyle name="Normal 8 4" xfId="1888"/>
    <cellStyle name="Normal 8 4 2" xfId="8128"/>
    <cellStyle name="Normal 8 5" xfId="1889"/>
    <cellStyle name="Normal 8 5 2" xfId="2964"/>
    <cellStyle name="Normal 8 5 2 2" xfId="8129"/>
    <cellStyle name="Normal 8 5 3" xfId="8130"/>
    <cellStyle name="Normal 8 6" xfId="1890"/>
    <cellStyle name="Normal 8 7" xfId="1891"/>
    <cellStyle name="Normal 8 8" xfId="1892"/>
    <cellStyle name="Normal 8 9" xfId="1893"/>
    <cellStyle name="Normal 80" xfId="286"/>
    <cellStyle name="Normal 80 2" xfId="9064"/>
    <cellStyle name="Normal 81" xfId="287"/>
    <cellStyle name="Normal 81 2" xfId="9127"/>
    <cellStyle name="Normal 82" xfId="288"/>
    <cellStyle name="Normal 82 2" xfId="9435"/>
    <cellStyle name="Normal 83" xfId="289"/>
    <cellStyle name="Normal 83 2" xfId="9436"/>
    <cellStyle name="Normal 84" xfId="290"/>
    <cellStyle name="Normal 84 2" xfId="9434"/>
    <cellStyle name="Normal 85" xfId="291"/>
    <cellStyle name="Normal 85 2" xfId="9433"/>
    <cellStyle name="Normal 86" xfId="292"/>
    <cellStyle name="Normal 86 2" xfId="9432"/>
    <cellStyle name="Normal 87" xfId="293"/>
    <cellStyle name="Normal 87 2" xfId="9437"/>
    <cellStyle name="Normal 88" xfId="294"/>
    <cellStyle name="Normal 88 2" xfId="9855"/>
    <cellStyle name="Normal 89" xfId="295"/>
    <cellStyle name="Normal 89 2" xfId="9856"/>
    <cellStyle name="Normal 9" xfId="296"/>
    <cellStyle name="Normal 9 10" xfId="8131"/>
    <cellStyle name="Normal 9 2" xfId="559"/>
    <cellStyle name="Normal 9 2 2" xfId="817"/>
    <cellStyle name="Normal 9 2 3" xfId="8132"/>
    <cellStyle name="Normal 9 2 4" xfId="8133"/>
    <cellStyle name="Normal 9 2 5" xfId="8134"/>
    <cellStyle name="Normal 9 2 6" xfId="8135"/>
    <cellStyle name="Normal 9 2 7" xfId="8136"/>
    <cellStyle name="Normal 9 2 8" xfId="8137"/>
    <cellStyle name="Normal 9 3" xfId="773"/>
    <cellStyle name="Normal 9 3 2" xfId="1895"/>
    <cellStyle name="Normal 9 3 2 2" xfId="8138"/>
    <cellStyle name="Normal 9 3 2 3" xfId="13492"/>
    <cellStyle name="Normal 9 4" xfId="1896"/>
    <cellStyle name="Normal 9 4 2" xfId="8139"/>
    <cellStyle name="Normal 9 4 3" xfId="8140"/>
    <cellStyle name="Normal 9 5" xfId="1894"/>
    <cellStyle name="Normal 9 5 2" xfId="8141"/>
    <cellStyle name="Normal 9 6" xfId="2965"/>
    <cellStyle name="Normal 9 6 2" xfId="8142"/>
    <cellStyle name="Normal 9 6 3" xfId="8143"/>
    <cellStyle name="Normal 9 6 3 2" xfId="11670"/>
    <cellStyle name="Normal 9 6 3 3" xfId="11148"/>
    <cellStyle name="Normal 9 6 4" xfId="8144"/>
    <cellStyle name="Normal 9 6 5" xfId="13542"/>
    <cellStyle name="Normal 9 7" xfId="8145"/>
    <cellStyle name="Normal 9 8" xfId="8146"/>
    <cellStyle name="Normal 9 9" xfId="8147"/>
    <cellStyle name="Normal 90" xfId="297"/>
    <cellStyle name="Normal 90 2" xfId="9854"/>
    <cellStyle name="Normal 91" xfId="298"/>
    <cellStyle name="Normal 91 2" xfId="9598"/>
    <cellStyle name="Normal 92" xfId="299"/>
    <cellStyle name="Normal 92 2" xfId="9853"/>
    <cellStyle name="Normal 93" xfId="300"/>
    <cellStyle name="Normal 93 2" xfId="9851"/>
    <cellStyle name="Normal 94" xfId="301"/>
    <cellStyle name="Normal 94 2" xfId="9575"/>
    <cellStyle name="Normal 95" xfId="302"/>
    <cellStyle name="Normal 95 2" xfId="9860"/>
    <cellStyle name="Normal 96" xfId="303"/>
    <cellStyle name="Normal 96 2" xfId="9852"/>
    <cellStyle name="Normal 97" xfId="304"/>
    <cellStyle name="Normal 97 2" xfId="9858"/>
    <cellStyle name="Normal 98" xfId="305"/>
    <cellStyle name="Normal 98 2" xfId="9857"/>
    <cellStyle name="Normal 99" xfId="306"/>
    <cellStyle name="Normal 99 2" xfId="9861"/>
    <cellStyle name="Normal_Pesquisa no referencial 10 de maio de 2013" xfId="124"/>
    <cellStyle name="Normal1" xfId="307"/>
    <cellStyle name="Normal2" xfId="308"/>
    <cellStyle name="Normal2 10" xfId="13364"/>
    <cellStyle name="Normal2 2" xfId="4978"/>
    <cellStyle name="Normal2 2 2" xfId="7063"/>
    <cellStyle name="Normal2 2 2 2" xfId="8871"/>
    <cellStyle name="Normal2 2 2 2 2" xfId="14849"/>
    <cellStyle name="Normal2 2 2 2 3" xfId="14806"/>
    <cellStyle name="Normal2 2 2 2 4" xfId="14207"/>
    <cellStyle name="Normal2 2 2 3" xfId="13943"/>
    <cellStyle name="Normal2 2 3" xfId="7096"/>
    <cellStyle name="Normal2 2 3 2" xfId="8903"/>
    <cellStyle name="Normal2 2 3 2 2" xfId="14858"/>
    <cellStyle name="Normal2 2 3 2 3" xfId="14316"/>
    <cellStyle name="Normal2 2 3 2 4" xfId="14239"/>
    <cellStyle name="Normal2 2 3 3" xfId="13976"/>
    <cellStyle name="Normal2 2 4" xfId="6981"/>
    <cellStyle name="Normal2 2 4 2" xfId="8804"/>
    <cellStyle name="Normal2 2 4 2 2" xfId="14819"/>
    <cellStyle name="Normal2 2 4 2 3" xfId="14335"/>
    <cellStyle name="Normal2 2 4 2 4" xfId="14140"/>
    <cellStyle name="Normal2 2 4 3" xfId="13863"/>
    <cellStyle name="Normal2 2 5" xfId="7121"/>
    <cellStyle name="Normal2 2 5 2" xfId="8928"/>
    <cellStyle name="Normal2 2 5 2 2" xfId="14868"/>
    <cellStyle name="Normal2 2 5 2 3" xfId="14297"/>
    <cellStyle name="Normal2 2 5 2 4" xfId="14264"/>
    <cellStyle name="Normal2 2 5 3" xfId="14001"/>
    <cellStyle name="Normal2 2 6" xfId="7143"/>
    <cellStyle name="Normal2 2 6 2" xfId="8950"/>
    <cellStyle name="Normal2 2 6 2 2" xfId="14877"/>
    <cellStyle name="Normal2 2 6 2 3" xfId="14671"/>
    <cellStyle name="Normal2 2 6 2 4" xfId="14286"/>
    <cellStyle name="Normal2 2 6 3" xfId="14023"/>
    <cellStyle name="Normal2 2 7" xfId="8709"/>
    <cellStyle name="Normal2 2 7 2" xfId="14783"/>
    <cellStyle name="Normal2 2 7 3" xfId="14341"/>
    <cellStyle name="Normal2 2 7 4" xfId="14045"/>
    <cellStyle name="Normal2 2 8" xfId="13734"/>
    <cellStyle name="Normal2 3" xfId="6890"/>
    <cellStyle name="Normal2 3 2" xfId="8727"/>
    <cellStyle name="Normal2 3 2 2" xfId="14794"/>
    <cellStyle name="Normal2 3 2 3" xfId="14338"/>
    <cellStyle name="Normal2 3 2 4" xfId="14063"/>
    <cellStyle name="Normal2 3 3" xfId="13777"/>
    <cellStyle name="Normal2 4" xfId="7016"/>
    <cellStyle name="Normal2 4 2" xfId="8831"/>
    <cellStyle name="Normal2 4 2 2" xfId="14833"/>
    <cellStyle name="Normal2 4 2 3" xfId="14320"/>
    <cellStyle name="Normal2 4 2 4" xfId="14167"/>
    <cellStyle name="Normal2 4 3" xfId="13898"/>
    <cellStyle name="Normal2 5" xfId="6914"/>
    <cellStyle name="Normal2 5 2" xfId="8747"/>
    <cellStyle name="Normal2 5 2 2" xfId="14802"/>
    <cellStyle name="Normal2 5 2 3" xfId="14641"/>
    <cellStyle name="Normal2 5 2 4" xfId="14083"/>
    <cellStyle name="Normal2 5 3" xfId="13799"/>
    <cellStyle name="Normal2 6" xfId="6923"/>
    <cellStyle name="Normal2 6 2" xfId="8755"/>
    <cellStyle name="Normal2 6 2 2" xfId="14805"/>
    <cellStyle name="Normal2 6 2 3" xfId="14695"/>
    <cellStyle name="Normal2 6 2 4" xfId="14091"/>
    <cellStyle name="Normal2 6 3" xfId="13808"/>
    <cellStyle name="Normal2 7" xfId="7038"/>
    <cellStyle name="Normal2 7 2" xfId="8849"/>
    <cellStyle name="Normal2 7 2 2" xfId="14841"/>
    <cellStyle name="Normal2 7 2 3" xfId="14635"/>
    <cellStyle name="Normal2 7 2 4" xfId="14185"/>
    <cellStyle name="Normal2 7 3" xfId="13919"/>
    <cellStyle name="Normal2 8" xfId="8705"/>
    <cellStyle name="Normal2 8 2" xfId="14779"/>
    <cellStyle name="Normal2 8 3" xfId="14715"/>
    <cellStyle name="Normal2 8 4" xfId="14041"/>
    <cellStyle name="Normal2 9" xfId="13183"/>
    <cellStyle name="Normal2 9 2" xfId="15834"/>
    <cellStyle name="Normal2 9 3" xfId="15772"/>
    <cellStyle name="Normal3" xfId="309"/>
    <cellStyle name="Normal3 10" xfId="13365"/>
    <cellStyle name="Normal3 2" xfId="4988"/>
    <cellStyle name="Normal3 2 2" xfId="7073"/>
    <cellStyle name="Normal3 2 2 2" xfId="8881"/>
    <cellStyle name="Normal3 2 2 2 2" xfId="14853"/>
    <cellStyle name="Normal3 2 2 2 3" xfId="14639"/>
    <cellStyle name="Normal3 2 2 2 4" xfId="14217"/>
    <cellStyle name="Normal3 2 2 3" xfId="13953"/>
    <cellStyle name="Normal3 2 3" xfId="7106"/>
    <cellStyle name="Normal3 2 3 2" xfId="8913"/>
    <cellStyle name="Normal3 2 3 2 2" xfId="14862"/>
    <cellStyle name="Normal3 2 3 2 3" xfId="14614"/>
    <cellStyle name="Normal3 2 3 2 4" xfId="14249"/>
    <cellStyle name="Normal3 2 3 3" xfId="13986"/>
    <cellStyle name="Normal3 2 4" xfId="7109"/>
    <cellStyle name="Normal3 2 4 2" xfId="8916"/>
    <cellStyle name="Normal3 2 4 2 2" xfId="14863"/>
    <cellStyle name="Normal3 2 4 2 3" xfId="14661"/>
    <cellStyle name="Normal3 2 4 2 4" xfId="14252"/>
    <cellStyle name="Normal3 2 4 3" xfId="13989"/>
    <cellStyle name="Normal3 2 5" xfId="7131"/>
    <cellStyle name="Normal3 2 5 2" xfId="8938"/>
    <cellStyle name="Normal3 2 5 2 2" xfId="14872"/>
    <cellStyle name="Normal3 2 5 2 3" xfId="14796"/>
    <cellStyle name="Normal3 2 5 2 4" xfId="14274"/>
    <cellStyle name="Normal3 2 5 3" xfId="14011"/>
    <cellStyle name="Normal3 2 6" xfId="7153"/>
    <cellStyle name="Normal3 2 6 2" xfId="8960"/>
    <cellStyle name="Normal3 2 6 2 2" xfId="14881"/>
    <cellStyle name="Normal3 2 6 2 3" xfId="14668"/>
    <cellStyle name="Normal3 2 6 2 4" xfId="14296"/>
    <cellStyle name="Normal3 2 6 3" xfId="14033"/>
    <cellStyle name="Normal3 2 7" xfId="8711"/>
    <cellStyle name="Normal3 2 7 2" xfId="14785"/>
    <cellStyle name="Normal3 2 7 3" xfId="14712"/>
    <cellStyle name="Normal3 2 7 4" xfId="14047"/>
    <cellStyle name="Normal3 2 8" xfId="13743"/>
    <cellStyle name="Normal3 3" xfId="6891"/>
    <cellStyle name="Normal3 3 2" xfId="8728"/>
    <cellStyle name="Normal3 3 2 2" xfId="14795"/>
    <cellStyle name="Normal3 3 2 3" xfId="14365"/>
    <cellStyle name="Normal3 3 2 4" xfId="14064"/>
    <cellStyle name="Normal3 3 3" xfId="13778"/>
    <cellStyle name="Normal3 4" xfId="6943"/>
    <cellStyle name="Normal3 4 2" xfId="8773"/>
    <cellStyle name="Normal3 4 2 2" xfId="14809"/>
    <cellStyle name="Normal3 4 2 3" xfId="14629"/>
    <cellStyle name="Normal3 4 2 4" xfId="14109"/>
    <cellStyle name="Normal3 4 3" xfId="13827"/>
    <cellStyle name="Normal3 5" xfId="6872"/>
    <cellStyle name="Normal3 5 2" xfId="8713"/>
    <cellStyle name="Normal3 5 2 2" xfId="14787"/>
    <cellStyle name="Normal3 5 2 3" xfId="14710"/>
    <cellStyle name="Normal3 5 2 4" xfId="14049"/>
    <cellStyle name="Normal3 5 3" xfId="13759"/>
    <cellStyle name="Normal3 6" xfId="6908"/>
    <cellStyle name="Normal3 6 2" xfId="8743"/>
    <cellStyle name="Normal3 6 2 2" xfId="14801"/>
    <cellStyle name="Normal3 6 2 3" xfId="14698"/>
    <cellStyle name="Normal3 6 2 4" xfId="14079"/>
    <cellStyle name="Normal3 6 3" xfId="13793"/>
    <cellStyle name="Normal3 7" xfId="7004"/>
    <cellStyle name="Normal3 7 2" xfId="8822"/>
    <cellStyle name="Normal3 7 2 2" xfId="14828"/>
    <cellStyle name="Normal3 7 2 3" xfId="14326"/>
    <cellStyle name="Normal3 7 2 4" xfId="14158"/>
    <cellStyle name="Normal3 7 3" xfId="13886"/>
    <cellStyle name="Normal3 8" xfId="8706"/>
    <cellStyle name="Normal3 8 2" xfId="14780"/>
    <cellStyle name="Normal3 8 3" xfId="14714"/>
    <cellStyle name="Normal3 8 4" xfId="14042"/>
    <cellStyle name="Normal3 9" xfId="13184"/>
    <cellStyle name="Normal3 9 2" xfId="15835"/>
    <cellStyle name="Normal3 9 3" xfId="15773"/>
    <cellStyle name="Nota 2" xfId="416"/>
    <cellStyle name="Nota 2 10" xfId="7033"/>
    <cellStyle name="Nota 2 10 2" xfId="12192"/>
    <cellStyle name="Nota 2 10 2 2" xfId="15269"/>
    <cellStyle name="Nota 2 10 3" xfId="13061"/>
    <cellStyle name="Nota 2 10 3 2" xfId="15729"/>
    <cellStyle name="Nota 2 10 4" xfId="11507"/>
    <cellStyle name="Nota 2 10 5" xfId="14386"/>
    <cellStyle name="Nota 2 10 6" xfId="13914"/>
    <cellStyle name="Nota 2 11" xfId="10640"/>
    <cellStyle name="Nota 2 11 2" xfId="13135"/>
    <cellStyle name="Nota 2 11 2 2" xfId="15751"/>
    <cellStyle name="Nota 2 11 3" xfId="13356"/>
    <cellStyle name="Nota 2 12" xfId="13189"/>
    <cellStyle name="Nota 2 12 2" xfId="13344"/>
    <cellStyle name="Nota 2 12 2 2" xfId="15802"/>
    <cellStyle name="Nota 2 12 3" xfId="15777"/>
    <cellStyle name="Nota 2 13" xfId="11043"/>
    <cellStyle name="Nota 2 13 2" xfId="14927"/>
    <cellStyle name="Nota 2 14" xfId="11689"/>
    <cellStyle name="Nota 2 14 2" xfId="15067"/>
    <cellStyle name="Nota 2 15" xfId="11623"/>
    <cellStyle name="Nota 2 16" xfId="14598"/>
    <cellStyle name="Nota 2 17" xfId="13370"/>
    <cellStyle name="Nota 2 2" xfId="784"/>
    <cellStyle name="Nota 2 2 10" xfId="13194"/>
    <cellStyle name="Nota 2 2 10 2" xfId="13346"/>
    <cellStyle name="Nota 2 2 10 2 2" xfId="15804"/>
    <cellStyle name="Nota 2 2 10 3" xfId="15782"/>
    <cellStyle name="Nota 2 2 11" xfId="11127"/>
    <cellStyle name="Nota 2 2 11 2" xfId="14950"/>
    <cellStyle name="Nota 2 2 12" xfId="11463"/>
    <cellStyle name="Nota 2 2 12 2" xfId="15027"/>
    <cellStyle name="Nota 2 2 13" xfId="11994"/>
    <cellStyle name="Nota 2 2 14" xfId="14398"/>
    <cellStyle name="Nota 2 2 15" xfId="13375"/>
    <cellStyle name="Nota 2 2 2" xfId="4976"/>
    <cellStyle name="Nota 2 2 2 10" xfId="11622"/>
    <cellStyle name="Nota 2 2 2 10 2" xfId="15051"/>
    <cellStyle name="Nota 2 2 2 11" xfId="11438"/>
    <cellStyle name="Nota 2 2 2 12" xfId="15706"/>
    <cellStyle name="Nota 2 2 2 13" xfId="13732"/>
    <cellStyle name="Nota 2 2 2 2" xfId="7061"/>
    <cellStyle name="Nota 2 2 2 2 2" xfId="8869"/>
    <cellStyle name="Nota 2 2 2 2 2 2" xfId="12734"/>
    <cellStyle name="Nota 2 2 2 2 2 2 2" xfId="15585"/>
    <cellStyle name="Nota 2 2 2 2 2 3" xfId="10971"/>
    <cellStyle name="Nota 2 2 2 2 2 3 2" xfId="14920"/>
    <cellStyle name="Nota 2 2 2 2 2 4" xfId="12528"/>
    <cellStyle name="Nota 2 2 2 2 2 5" xfId="14820"/>
    <cellStyle name="Nota 2 2 2 2 2 6" xfId="14205"/>
    <cellStyle name="Nota 2 2 2 2 3" xfId="12219"/>
    <cellStyle name="Nota 2 2 2 2 3 2" xfId="15294"/>
    <cellStyle name="Nota 2 2 2 2 4" xfId="12828"/>
    <cellStyle name="Nota 2 2 2 2 4 2" xfId="15672"/>
    <cellStyle name="Nota 2 2 2 2 5" xfId="12971"/>
    <cellStyle name="Nota 2 2 2 2 6" xfId="14584"/>
    <cellStyle name="Nota 2 2 2 2 7" xfId="13941"/>
    <cellStyle name="Nota 2 2 2 3" xfId="6950"/>
    <cellStyle name="Nota 2 2 2 3 2" xfId="8779"/>
    <cellStyle name="Nota 2 2 2 3 2 2" xfId="12648"/>
    <cellStyle name="Nota 2 2 2 3 2 2 2" xfId="15504"/>
    <cellStyle name="Nota 2 2 2 3 2 3" xfId="11335"/>
    <cellStyle name="Nota 2 2 2 3 2 3 2" xfId="15000"/>
    <cellStyle name="Nota 2 2 2 3 2 4" xfId="11647"/>
    <cellStyle name="Nota 2 2 2 3 2 5" xfId="14654"/>
    <cellStyle name="Nota 2 2 2 3 2 6" xfId="14115"/>
    <cellStyle name="Nota 2 2 2 3 3" xfId="12113"/>
    <cellStyle name="Nota 2 2 2 3 3 2" xfId="15193"/>
    <cellStyle name="Nota 2 2 2 3 4" xfId="12910"/>
    <cellStyle name="Nota 2 2 2 3 4 2" xfId="15696"/>
    <cellStyle name="Nota 2 2 2 3 5" xfId="11700"/>
    <cellStyle name="Nota 2 2 2 3 6" xfId="14549"/>
    <cellStyle name="Nota 2 2 2 3 7" xfId="13834"/>
    <cellStyle name="Nota 2 2 2 4" xfId="7094"/>
    <cellStyle name="Nota 2 2 2 4 2" xfId="8901"/>
    <cellStyle name="Nota 2 2 2 4 2 2" xfId="12764"/>
    <cellStyle name="Nota 2 2 2 4 2 2 2" xfId="15614"/>
    <cellStyle name="Nota 2 2 2 4 2 3" xfId="11320"/>
    <cellStyle name="Nota 2 2 2 4 2 3 2" xfId="14985"/>
    <cellStyle name="Nota 2 2 2 4 2 4" xfId="11448"/>
    <cellStyle name="Nota 2 2 2 4 2 5" xfId="14318"/>
    <cellStyle name="Nota 2 2 2 4 2 6" xfId="14237"/>
    <cellStyle name="Nota 2 2 2 4 3" xfId="12250"/>
    <cellStyle name="Nota 2 2 2 4 3 2" xfId="15324"/>
    <cellStyle name="Nota 2 2 2 4 4" xfId="13057"/>
    <cellStyle name="Nota 2 2 2 4 4 2" xfId="15725"/>
    <cellStyle name="Nota 2 2 2 4 5" xfId="11232"/>
    <cellStyle name="Nota 2 2 2 4 6" xfId="14729"/>
    <cellStyle name="Nota 2 2 2 4 7" xfId="13974"/>
    <cellStyle name="Nota 2 2 2 5" xfId="6927"/>
    <cellStyle name="Nota 2 2 2 5 2" xfId="8759"/>
    <cellStyle name="Nota 2 2 2 5 2 2" xfId="12629"/>
    <cellStyle name="Nota 2 2 2 5 2 2 2" xfId="15485"/>
    <cellStyle name="Nota 2 2 2 5 2 3" xfId="13138"/>
    <cellStyle name="Nota 2 2 2 5 2 3 2" xfId="15753"/>
    <cellStyle name="Nota 2 2 2 5 2 4" xfId="11838"/>
    <cellStyle name="Nota 2 2 2 5 2 5" xfId="14638"/>
    <cellStyle name="Nota 2 2 2 5 2 6" xfId="14095"/>
    <cellStyle name="Nota 2 2 2 5 3" xfId="12091"/>
    <cellStyle name="Nota 2 2 2 5 3 2" xfId="15171"/>
    <cellStyle name="Nota 2 2 2 5 4" xfId="13074"/>
    <cellStyle name="Nota 2 2 2 5 4 2" xfId="15742"/>
    <cellStyle name="Nota 2 2 2 5 5" xfId="13225"/>
    <cellStyle name="Nota 2 2 2 5 6" xfId="14525"/>
    <cellStyle name="Nota 2 2 2 5 7" xfId="13812"/>
    <cellStyle name="Nota 2 2 2 6" xfId="7119"/>
    <cellStyle name="Nota 2 2 2 6 2" xfId="8926"/>
    <cellStyle name="Nota 2 2 2 6 2 2" xfId="12785"/>
    <cellStyle name="Nota 2 2 2 6 2 2 2" xfId="15635"/>
    <cellStyle name="Nota 2 2 2 6 2 3" xfId="12435"/>
    <cellStyle name="Nota 2 2 2 6 2 3 2" xfId="15399"/>
    <cellStyle name="Nota 2 2 2 6 2 4" xfId="11967"/>
    <cellStyle name="Nota 2 2 2 6 2 5" xfId="14346"/>
    <cellStyle name="Nota 2 2 2 6 2 6" xfId="14262"/>
    <cellStyle name="Nota 2 2 2 6 3" xfId="12271"/>
    <cellStyle name="Nota 2 2 2 6 3 2" xfId="15345"/>
    <cellStyle name="Nota 2 2 2 6 4" xfId="12535"/>
    <cellStyle name="Nota 2 2 2 6 4 2" xfId="15423"/>
    <cellStyle name="Nota 2 2 2 6 5" xfId="11128"/>
    <cellStyle name="Nota 2 2 2 6 6" xfId="14724"/>
    <cellStyle name="Nota 2 2 2 6 7" xfId="13999"/>
    <cellStyle name="Nota 2 2 2 7" xfId="7141"/>
    <cellStyle name="Nota 2 2 2 7 2" xfId="8948"/>
    <cellStyle name="Nota 2 2 2 7 2 2" xfId="12805"/>
    <cellStyle name="Nota 2 2 2 7 2 2 2" xfId="15654"/>
    <cellStyle name="Nota 2 2 2 7 2 3" xfId="11074"/>
    <cellStyle name="Nota 2 2 2 7 2 3 2" xfId="14939"/>
    <cellStyle name="Nota 2 2 2 7 2 4" xfId="11417"/>
    <cellStyle name="Nota 2 2 2 7 2 5" xfId="14678"/>
    <cellStyle name="Nota 2 2 2 7 2 6" xfId="14284"/>
    <cellStyle name="Nota 2 2 2 7 3" xfId="12291"/>
    <cellStyle name="Nota 2 2 2 7 3 2" xfId="15364"/>
    <cellStyle name="Nota 2 2 2 7 4" xfId="12820"/>
    <cellStyle name="Nota 2 2 2 7 4 2" xfId="15667"/>
    <cellStyle name="Nota 2 2 2 7 5" xfId="12498"/>
    <cellStyle name="Nota 2 2 2 7 6" xfId="14722"/>
    <cellStyle name="Nota 2 2 2 7 7" xfId="14021"/>
    <cellStyle name="Nota 2 2 2 8" xfId="7048"/>
    <cellStyle name="Nota 2 2 2 8 2" xfId="12206"/>
    <cellStyle name="Nota 2 2 2 8 2 2" xfId="15282"/>
    <cellStyle name="Nota 2 2 2 8 3" xfId="11425"/>
    <cellStyle name="Nota 2 2 2 8 3 2" xfId="15016"/>
    <cellStyle name="Nota 2 2 2 8 4" xfId="12400"/>
    <cellStyle name="Nota 2 2 2 8 5" xfId="14476"/>
    <cellStyle name="Nota 2 2 2 8 6" xfId="13929"/>
    <cellStyle name="Nota 2 2 2 9" xfId="11806"/>
    <cellStyle name="Nota 2 2 2 9 2" xfId="11529"/>
    <cellStyle name="Nota 2 2 3" xfId="6911"/>
    <cellStyle name="Nota 2 2 3 2" xfId="8745"/>
    <cellStyle name="Nota 2 2 3 2 2" xfId="12616"/>
    <cellStyle name="Nota 2 2 3 2 2 2" xfId="15473"/>
    <cellStyle name="Nota 2 2 3 2 3" xfId="13168"/>
    <cellStyle name="Nota 2 2 3 2 3 2" xfId="15763"/>
    <cellStyle name="Nota 2 2 3 2 4" xfId="12882"/>
    <cellStyle name="Nota 2 2 3 2 5" xfId="14691"/>
    <cellStyle name="Nota 2 2 3 2 6" xfId="14081"/>
    <cellStyle name="Nota 2 2 3 3" xfId="12077"/>
    <cellStyle name="Nota 2 2 3 3 2" xfId="15157"/>
    <cellStyle name="Nota 2 2 3 4" xfId="13140"/>
    <cellStyle name="Nota 2 2 3 4 2" xfId="15755"/>
    <cellStyle name="Nota 2 2 3 5" xfId="11884"/>
    <cellStyle name="Nota 2 2 3 6" xfId="14551"/>
    <cellStyle name="Nota 2 2 3 7" xfId="13796"/>
    <cellStyle name="Nota 2 2 4" xfId="6928"/>
    <cellStyle name="Nota 2 2 4 2" xfId="8760"/>
    <cellStyle name="Nota 2 2 4 2 2" xfId="12630"/>
    <cellStyle name="Nota 2 2 4 2 2 2" xfId="15486"/>
    <cellStyle name="Nota 2 2 4 2 3" xfId="12825"/>
    <cellStyle name="Nota 2 2 4 2 3 2" xfId="15670"/>
    <cellStyle name="Nota 2 2 4 2 4" xfId="11818"/>
    <cellStyle name="Nota 2 2 4 2 5" xfId="14857"/>
    <cellStyle name="Nota 2 2 4 2 6" xfId="14096"/>
    <cellStyle name="Nota 2 2 4 3" xfId="12092"/>
    <cellStyle name="Nota 2 2 4 3 2" xfId="15172"/>
    <cellStyle name="Nota 2 2 4 4" xfId="12950"/>
    <cellStyle name="Nota 2 2 4 4 2" xfId="15703"/>
    <cellStyle name="Nota 2 2 4 5" xfId="11986"/>
    <cellStyle name="Nota 2 2 4 6" xfId="14379"/>
    <cellStyle name="Nota 2 2 4 7" xfId="13813"/>
    <cellStyle name="Nota 2 2 5" xfId="7039"/>
    <cellStyle name="Nota 2 2 5 2" xfId="8850"/>
    <cellStyle name="Nota 2 2 5 2 2" xfId="12715"/>
    <cellStyle name="Nota 2 2 5 2 2 2" xfId="15567"/>
    <cellStyle name="Nota 2 2 5 2 3" xfId="12443"/>
    <cellStyle name="Nota 2 2 5 2 3 2" xfId="15407"/>
    <cellStyle name="Nota 2 2 5 2 4" xfId="12916"/>
    <cellStyle name="Nota 2 2 5 2 5" xfId="14797"/>
    <cellStyle name="Nota 2 2 5 2 6" xfId="14186"/>
    <cellStyle name="Nota 2 2 5 3" xfId="12197"/>
    <cellStyle name="Nota 2 2 5 3 2" xfId="15274"/>
    <cellStyle name="Nota 2 2 5 4" xfId="13062"/>
    <cellStyle name="Nota 2 2 5 4 2" xfId="15730"/>
    <cellStyle name="Nota 2 2 5 5" xfId="12387"/>
    <cellStyle name="Nota 2 2 5 6" xfId="14744"/>
    <cellStyle name="Nota 2 2 5 7" xfId="13920"/>
    <cellStyle name="Nota 2 2 6" xfId="6955"/>
    <cellStyle name="Nota 2 2 6 2" xfId="8784"/>
    <cellStyle name="Nota 2 2 6 2 2" xfId="12653"/>
    <cellStyle name="Nota 2 2 6 2 2 2" xfId="15509"/>
    <cellStyle name="Nota 2 2 6 2 3" xfId="11333"/>
    <cellStyle name="Nota 2 2 6 2 3 2" xfId="14998"/>
    <cellStyle name="Nota 2 2 6 2 4" xfId="11048"/>
    <cellStyle name="Nota 2 2 6 2 5" xfId="14615"/>
    <cellStyle name="Nota 2 2 6 2 6" xfId="14120"/>
    <cellStyle name="Nota 2 2 6 3" xfId="12118"/>
    <cellStyle name="Nota 2 2 6 3 2" xfId="15198"/>
    <cellStyle name="Nota 2 2 6 4" xfId="10928"/>
    <cellStyle name="Nota 2 2 6 4 2" xfId="14917"/>
    <cellStyle name="Nota 2 2 6 5" xfId="13220"/>
    <cellStyle name="Nota 2 2 6 6" xfId="14766"/>
    <cellStyle name="Nota 2 2 6 7" xfId="13837"/>
    <cellStyle name="Nota 2 2 7" xfId="6970"/>
    <cellStyle name="Nota 2 2 7 2" xfId="8796"/>
    <cellStyle name="Nota 2 2 7 2 2" xfId="12665"/>
    <cellStyle name="Nota 2 2 7 2 2 2" xfId="15520"/>
    <cellStyle name="Nota 2 2 7 2 3" xfId="12445"/>
    <cellStyle name="Nota 2 2 7 2 3 2" xfId="15409"/>
    <cellStyle name="Nota 2 2 7 2 4" xfId="11915"/>
    <cellStyle name="Nota 2 2 7 2 5" xfId="14569"/>
    <cellStyle name="Nota 2 2 7 2 6" xfId="14132"/>
    <cellStyle name="Nota 2 2 7 3" xfId="12133"/>
    <cellStyle name="Nota 2 2 7 3 2" xfId="15212"/>
    <cellStyle name="Nota 2 2 7 4" xfId="13066"/>
    <cellStyle name="Nota 2 2 7 4 2" xfId="15734"/>
    <cellStyle name="Nota 2 2 7 5" xfId="13085"/>
    <cellStyle name="Nota 2 2 7 6" xfId="14514"/>
    <cellStyle name="Nota 2 2 7 7" xfId="13852"/>
    <cellStyle name="Nota 2 2 8" xfId="6936"/>
    <cellStyle name="Nota 2 2 8 2" xfId="8767"/>
    <cellStyle name="Nota 2 2 8 2 2" xfId="12637"/>
    <cellStyle name="Nota 2 2 8 2 2 2" xfId="15493"/>
    <cellStyle name="Nota 2 2 8 2 3" xfId="11339"/>
    <cellStyle name="Nota 2 2 8 2 3 2" xfId="15004"/>
    <cellStyle name="Nota 2 2 8 2 4" xfId="12508"/>
    <cellStyle name="Nota 2 2 8 2 5" xfId="14669"/>
    <cellStyle name="Nota 2 2 8 2 6" xfId="14103"/>
    <cellStyle name="Nota 2 2 8 3" xfId="12100"/>
    <cellStyle name="Nota 2 2 8 3 2" xfId="15180"/>
    <cellStyle name="Nota 2 2 8 4" xfId="13179"/>
    <cellStyle name="Nota 2 2 8 4 2" xfId="15769"/>
    <cellStyle name="Nota 2 2 8 5" xfId="13219"/>
    <cellStyle name="Nota 2 2 8 6" xfId="14376"/>
    <cellStyle name="Nota 2 2 8 7" xfId="13820"/>
    <cellStyle name="Nota 2 2 9" xfId="7037"/>
    <cellStyle name="Nota 2 2 9 2" xfId="12196"/>
    <cellStyle name="Nota 2 2 9 2 2" xfId="15273"/>
    <cellStyle name="Nota 2 2 9 3" xfId="12538"/>
    <cellStyle name="Nota 2 2 9 3 2" xfId="15426"/>
    <cellStyle name="Nota 2 2 9 4" xfId="11222"/>
    <cellStyle name="Nota 2 2 9 5" xfId="14745"/>
    <cellStyle name="Nota 2 2 9 6" xfId="13918"/>
    <cellStyle name="Nota 2 3" xfId="4982"/>
    <cellStyle name="Nota 2 3 10" xfId="11621"/>
    <cellStyle name="Nota 2 3 10 2" xfId="15050"/>
    <cellStyle name="Nota 2 3 11" xfId="11625"/>
    <cellStyle name="Nota 2 3 12" xfId="14607"/>
    <cellStyle name="Nota 2 3 13" xfId="13389"/>
    <cellStyle name="Nota 2 3 2" xfId="7067"/>
    <cellStyle name="Nota 2 3 2 2" xfId="8875"/>
    <cellStyle name="Nota 2 3 2 2 2" xfId="12739"/>
    <cellStyle name="Nota 2 3 2 2 2 2" xfId="15589"/>
    <cellStyle name="Nota 2 3 2 2 3" xfId="11323"/>
    <cellStyle name="Nota 2 3 2 2 3 2" xfId="14988"/>
    <cellStyle name="Nota 2 3 2 2 4" xfId="12041"/>
    <cellStyle name="Nota 2 3 2 2 5" xfId="14626"/>
    <cellStyle name="Nota 2 3 2 2 6" xfId="14211"/>
    <cellStyle name="Nota 2 3 2 3" xfId="12224"/>
    <cellStyle name="Nota 2 3 2 3 2" xfId="15298"/>
    <cellStyle name="Nota 2 3 2 4" xfId="11424"/>
    <cellStyle name="Nota 2 3 2 4 2" xfId="15015"/>
    <cellStyle name="Nota 2 3 2 5" xfId="11744"/>
    <cellStyle name="Nota 2 3 2 6" xfId="14468"/>
    <cellStyle name="Nota 2 3 2 7" xfId="13947"/>
    <cellStyle name="Nota 2 3 3" xfId="7080"/>
    <cellStyle name="Nota 2 3 3 2" xfId="8887"/>
    <cellStyle name="Nota 2 3 3 2 2" xfId="12750"/>
    <cellStyle name="Nota 2 3 3 2 2 2" xfId="15600"/>
    <cellStyle name="Nota 2 3 3 2 3" xfId="12440"/>
    <cellStyle name="Nota 2 3 3 2 3 2" xfId="15404"/>
    <cellStyle name="Nota 2 3 3 2 4" xfId="12529"/>
    <cellStyle name="Nota 2 3 3 2 5" xfId="14561"/>
    <cellStyle name="Nota 2 3 3 2 6" xfId="14223"/>
    <cellStyle name="Nota 2 3 3 3" xfId="12236"/>
    <cellStyle name="Nota 2 3 3 3 2" xfId="15310"/>
    <cellStyle name="Nota 2 3 3 4" xfId="12536"/>
    <cellStyle name="Nota 2 3 3 4 2" xfId="15424"/>
    <cellStyle name="Nota 2 3 3 5" xfId="12973"/>
    <cellStyle name="Nota 2 3 3 6" xfId="14461"/>
    <cellStyle name="Nota 2 3 3 7" xfId="13960"/>
    <cellStyle name="Nota 2 3 4" xfId="7100"/>
    <cellStyle name="Nota 2 3 4 2" xfId="8907"/>
    <cellStyle name="Nota 2 3 4 2 2" xfId="12768"/>
    <cellStyle name="Nota 2 3 4 2 2 2" xfId="15618"/>
    <cellStyle name="Nota 2 3 4 2 3" xfId="11319"/>
    <cellStyle name="Nota 2 3 4 2 3 2" xfId="14984"/>
    <cellStyle name="Nota 2 3 4 2 4" xfId="11495"/>
    <cellStyle name="Nota 2 3 4 2 5" xfId="14582"/>
    <cellStyle name="Nota 2 3 4 2 6" xfId="14243"/>
    <cellStyle name="Nota 2 3 4 3" xfId="12254"/>
    <cellStyle name="Nota 2 3 4 3 2" xfId="15328"/>
    <cellStyle name="Nota 2 3 4 4" xfId="11421"/>
    <cellStyle name="Nota 2 3 4 4 2" xfId="15012"/>
    <cellStyle name="Nota 2 3 4 5" xfId="12872"/>
    <cellStyle name="Nota 2 3 4 6" xfId="14304"/>
    <cellStyle name="Nota 2 3 4 7" xfId="13980"/>
    <cellStyle name="Nota 2 3 5" xfId="7107"/>
    <cellStyle name="Nota 2 3 5 2" xfId="8914"/>
    <cellStyle name="Nota 2 3 5 2 2" xfId="12774"/>
    <cellStyle name="Nota 2 3 5 2 2 2" xfId="15624"/>
    <cellStyle name="Nota 2 3 5 2 3" xfId="12437"/>
    <cellStyle name="Nota 2 3 5 2 3 2" xfId="15401"/>
    <cellStyle name="Nota 2 3 5 2 4" xfId="11663"/>
    <cellStyle name="Nota 2 3 5 2 5" xfId="14696"/>
    <cellStyle name="Nota 2 3 5 2 6" xfId="14250"/>
    <cellStyle name="Nota 2 3 5 3" xfId="12260"/>
    <cellStyle name="Nota 2 3 5 3 2" xfId="15334"/>
    <cellStyle name="Nota 2 3 5 4" xfId="12909"/>
    <cellStyle name="Nota 2 3 5 4 2" xfId="15695"/>
    <cellStyle name="Nota 2 3 5 5" xfId="11236"/>
    <cellStyle name="Nota 2 3 5 6" xfId="14726"/>
    <cellStyle name="Nota 2 3 5 7" xfId="13987"/>
    <cellStyle name="Nota 2 3 6" xfId="7125"/>
    <cellStyle name="Nota 2 3 6 2" xfId="8932"/>
    <cellStyle name="Nota 2 3 6 2 2" xfId="12790"/>
    <cellStyle name="Nota 2 3 6 2 2 2" xfId="15639"/>
    <cellStyle name="Nota 2 3 6 2 3" xfId="11315"/>
    <cellStyle name="Nota 2 3 6 2 3 2" xfId="14980"/>
    <cellStyle name="Nota 2 3 6 2 4" xfId="11686"/>
    <cellStyle name="Nota 2 3 6 2 5" xfId="14807"/>
    <cellStyle name="Nota 2 3 6 2 6" xfId="14268"/>
    <cellStyle name="Nota 2 3 6 3" xfId="12276"/>
    <cellStyle name="Nota 2 3 6 3 2" xfId="15349"/>
    <cellStyle name="Nota 2 3 6 4" xfId="11419"/>
    <cellStyle name="Nota 2 3 6 4 2" xfId="15010"/>
    <cellStyle name="Nota 2 3 6 5" xfId="11503"/>
    <cellStyle name="Nota 2 3 6 6" xfId="14443"/>
    <cellStyle name="Nota 2 3 6 7" xfId="14005"/>
    <cellStyle name="Nota 2 3 7" xfId="7147"/>
    <cellStyle name="Nota 2 3 7 2" xfId="8954"/>
    <cellStyle name="Nota 2 3 7 2 2" xfId="12810"/>
    <cellStyle name="Nota 2 3 7 2 2 2" xfId="15658"/>
    <cellStyle name="Nota 2 3 7 2 3" xfId="12433"/>
    <cellStyle name="Nota 2 3 7 2 3 2" xfId="15397"/>
    <cellStyle name="Nota 2 3 7 2 4" xfId="11441"/>
    <cellStyle name="Nota 2 3 7 2 5" xfId="14665"/>
    <cellStyle name="Nota 2 3 7 2 6" xfId="14290"/>
    <cellStyle name="Nota 2 3 7 3" xfId="12296"/>
    <cellStyle name="Nota 2 3 7 3 2" xfId="15368"/>
    <cellStyle name="Nota 2 3 7 4" xfId="12816"/>
    <cellStyle name="Nota 2 3 7 4 2" xfId="15664"/>
    <cellStyle name="Nota 2 3 7 5" xfId="11844"/>
    <cellStyle name="Nota 2 3 7 6" xfId="14571"/>
    <cellStyle name="Nota 2 3 7 7" xfId="14027"/>
    <cellStyle name="Nota 2 3 8" xfId="6879"/>
    <cellStyle name="Nota 2 3 8 2" xfId="12048"/>
    <cellStyle name="Nota 2 3 8 2 2" xfId="15133"/>
    <cellStyle name="Nota 2 3 8 3" xfId="13077"/>
    <cellStyle name="Nota 2 3 8 3 2" xfId="15745"/>
    <cellStyle name="Nota 2 3 8 4" xfId="11205"/>
    <cellStyle name="Nota 2 3 8 5" xfId="14415"/>
    <cellStyle name="Nota 2 3 8 6" xfId="13766"/>
    <cellStyle name="Nota 2 3 9" xfId="11811"/>
    <cellStyle name="Nota 2 3 9 2" xfId="15090"/>
    <cellStyle name="Nota 2 4" xfId="6896"/>
    <cellStyle name="Nota 2 4 2" xfId="8733"/>
    <cellStyle name="Nota 2 4 2 2" xfId="12605"/>
    <cellStyle name="Nota 2 4 2 2 2" xfId="15462"/>
    <cellStyle name="Nota 2 4 2 3" xfId="12932"/>
    <cellStyle name="Nota 2 4 2 3 2" xfId="15701"/>
    <cellStyle name="Nota 2 4 2 4" xfId="12004"/>
    <cellStyle name="Nota 2 4 2 5" xfId="14808"/>
    <cellStyle name="Nota 2 4 2 6" xfId="14069"/>
    <cellStyle name="Nota 2 4 3" xfId="12063"/>
    <cellStyle name="Nota 2 4 3 2" xfId="15144"/>
    <cellStyle name="Nota 2 4 4" xfId="13076"/>
    <cellStyle name="Nota 2 4 4 2" xfId="15744"/>
    <cellStyle name="Nota 2 4 5" xfId="11831"/>
    <cellStyle name="Nota 2 4 6" xfId="14548"/>
    <cellStyle name="Nota 2 4 7" xfId="13390"/>
    <cellStyle name="Nota 2 5" xfId="6901"/>
    <cellStyle name="Nota 2 5 2" xfId="8738"/>
    <cellStyle name="Nota 2 5 2 2" xfId="12610"/>
    <cellStyle name="Nota 2 5 2 2 2" xfId="15467"/>
    <cellStyle name="Nota 2 5 2 3" xfId="13041"/>
    <cellStyle name="Nota 2 5 2 3 2" xfId="15717"/>
    <cellStyle name="Nota 2 5 2 4" xfId="13055"/>
    <cellStyle name="Nota 2 5 2 5" xfId="14621"/>
    <cellStyle name="Nota 2 5 2 6" xfId="14074"/>
    <cellStyle name="Nota 2 5 3" xfId="12068"/>
    <cellStyle name="Nota 2 5 3 2" xfId="15148"/>
    <cellStyle name="Nota 2 5 4" xfId="13148"/>
    <cellStyle name="Nota 2 5 4 2" xfId="15757"/>
    <cellStyle name="Nota 2 5 5" xfId="11894"/>
    <cellStyle name="Nota 2 5 6" xfId="14408"/>
    <cellStyle name="Nota 2 5 7" xfId="13391"/>
    <cellStyle name="Nota 2 6" xfId="6952"/>
    <cellStyle name="Nota 2 6 2" xfId="8781"/>
    <cellStyle name="Nota 2 6 2 2" xfId="12650"/>
    <cellStyle name="Nota 2 6 2 2 2" xfId="15506"/>
    <cellStyle name="Nota 2 6 2 3" xfId="11334"/>
    <cellStyle name="Nota 2 6 2 3 2" xfId="14999"/>
    <cellStyle name="Nota 2 6 2 4" xfId="12515"/>
    <cellStyle name="Nota 2 6 2 5" xfId="14660"/>
    <cellStyle name="Nota 2 6 2 6" xfId="14117"/>
    <cellStyle name="Nota 2 6 3" xfId="12115"/>
    <cellStyle name="Nota 2 6 3 2" xfId="15195"/>
    <cellStyle name="Nota 2 6 4" xfId="13069"/>
    <cellStyle name="Nota 2 6 4 2" xfId="15737"/>
    <cellStyle name="Nota 2 6 5" xfId="11735"/>
    <cellStyle name="Nota 2 6 6" xfId="14374"/>
    <cellStyle name="Nota 2 6 7" xfId="13392"/>
    <cellStyle name="Nota 2 7" xfId="6931"/>
    <cellStyle name="Nota 2 7 2" xfId="8762"/>
    <cellStyle name="Nota 2 7 2 2" xfId="12632"/>
    <cellStyle name="Nota 2 7 2 2 2" xfId="15488"/>
    <cellStyle name="Nota 2 7 2 3" xfId="10972"/>
    <cellStyle name="Nota 2 7 2 3 2" xfId="14921"/>
    <cellStyle name="Nota 2 7 2 4" xfId="12385"/>
    <cellStyle name="Nota 2 7 2 5" xfId="14848"/>
    <cellStyle name="Nota 2 7 2 6" xfId="14098"/>
    <cellStyle name="Nota 2 7 3" xfId="12095"/>
    <cellStyle name="Nota 2 7 3 2" xfId="15175"/>
    <cellStyle name="Nota 2 7 4" xfId="13071"/>
    <cellStyle name="Nota 2 7 4 2" xfId="15739"/>
    <cellStyle name="Nota 2 7 5" xfId="11969"/>
    <cellStyle name="Nota 2 7 6" xfId="14523"/>
    <cellStyle name="Nota 2 7 7" xfId="13393"/>
    <cellStyle name="Nota 2 8" xfId="6951"/>
    <cellStyle name="Nota 2 8 2" xfId="8780"/>
    <cellStyle name="Nota 2 8 2 2" xfId="12649"/>
    <cellStyle name="Nota 2 8 2 2 2" xfId="15505"/>
    <cellStyle name="Nota 2 8 2 3" xfId="11079"/>
    <cellStyle name="Nota 2 8 2 3 2" xfId="14944"/>
    <cellStyle name="Nota 2 8 2 4" xfId="12000"/>
    <cellStyle name="Nota 2 8 2 5" xfId="14628"/>
    <cellStyle name="Nota 2 8 2 6" xfId="14116"/>
    <cellStyle name="Nota 2 8 3" xfId="12114"/>
    <cellStyle name="Nota 2 8 3 2" xfId="15194"/>
    <cellStyle name="Nota 2 8 4" xfId="13068"/>
    <cellStyle name="Nota 2 8 4 2" xfId="15736"/>
    <cellStyle name="Nota 2 8 5" xfId="12844"/>
    <cellStyle name="Nota 2 8 6" xfId="14518"/>
    <cellStyle name="Nota 2 8 7" xfId="13394"/>
    <cellStyle name="Nota 2 9" xfId="6910"/>
    <cellStyle name="Nota 2 9 2" xfId="8744"/>
    <cellStyle name="Nota 2 9 2 2" xfId="12615"/>
    <cellStyle name="Nota 2 9 2 2 2" xfId="15472"/>
    <cellStyle name="Nota 2 9 2 3" xfId="12866"/>
    <cellStyle name="Nota 2 9 2 3 2" xfId="15685"/>
    <cellStyle name="Nota 2 9 2 4" xfId="13216"/>
    <cellStyle name="Nota 2 9 2 5" xfId="14871"/>
    <cellStyle name="Nota 2 9 2 6" xfId="14080"/>
    <cellStyle name="Nota 2 9 3" xfId="12076"/>
    <cellStyle name="Nota 2 9 3 2" xfId="15156"/>
    <cellStyle name="Nota 2 9 4" xfId="13162"/>
    <cellStyle name="Nota 2 9 4 2" xfId="15762"/>
    <cellStyle name="Nota 2 9 5" xfId="11633"/>
    <cellStyle name="Nota 2 9 6" xfId="14547"/>
    <cellStyle name="Nota 2 9 7" xfId="13795"/>
    <cellStyle name="Nota 3" xfId="988"/>
    <cellStyle name="Nota 3 10" xfId="6873"/>
    <cellStyle name="Nota 3 10 2" xfId="12042"/>
    <cellStyle name="Nota 3 10 2 2" xfId="15127"/>
    <cellStyle name="Nota 3 10 3" xfId="11053"/>
    <cellStyle name="Nota 3 10 3 2" xfId="14934"/>
    <cellStyle name="Nota 3 10 4" xfId="11147"/>
    <cellStyle name="Nota 3 10 5" xfId="14345"/>
    <cellStyle name="Nota 3 10 6" xfId="13760"/>
    <cellStyle name="Nota 3 11" xfId="13195"/>
    <cellStyle name="Nota 3 11 2" xfId="13347"/>
    <cellStyle name="Nota 3 11 2 2" xfId="15805"/>
    <cellStyle name="Nota 3 11 3" xfId="15783"/>
    <cellStyle name="Nota 3 12" xfId="11169"/>
    <cellStyle name="Nota 3 12 2" xfId="14954"/>
    <cellStyle name="Nota 3 13" xfId="11652"/>
    <cellStyle name="Nota 3 13 2" xfId="15059"/>
    <cellStyle name="Nota 3 14" xfId="12889"/>
    <cellStyle name="Nota 3 15" xfId="14575"/>
    <cellStyle name="Nota 3 16" xfId="13376"/>
    <cellStyle name="Nota 3 2" xfId="989"/>
    <cellStyle name="Nota 3 2 10" xfId="13196"/>
    <cellStyle name="Nota 3 2 10 2" xfId="13348"/>
    <cellStyle name="Nota 3 2 10 2 2" xfId="15806"/>
    <cellStyle name="Nota 3 2 10 3" xfId="15784"/>
    <cellStyle name="Nota 3 2 11" xfId="11170"/>
    <cellStyle name="Nota 3 2 11 2" xfId="14955"/>
    <cellStyle name="Nota 3 2 12" xfId="11480"/>
    <cellStyle name="Nota 3 2 12 2" xfId="15032"/>
    <cellStyle name="Nota 3 2 13" xfId="11436"/>
    <cellStyle name="Nota 3 2 14" xfId="14395"/>
    <cellStyle name="Nota 3 2 15" xfId="13377"/>
    <cellStyle name="Nota 3 2 2" xfId="4983"/>
    <cellStyle name="Nota 3 2 2 10" xfId="11433"/>
    <cellStyle name="Nota 3 2 2 10 2" xfId="15022"/>
    <cellStyle name="Nota 3 2 2 11" xfId="12900"/>
    <cellStyle name="Nota 3 2 2 12" xfId="14583"/>
    <cellStyle name="Nota 3 2 2 13" xfId="13738"/>
    <cellStyle name="Nota 3 2 2 2" xfId="7068"/>
    <cellStyle name="Nota 3 2 2 2 2" xfId="8876"/>
    <cellStyle name="Nota 3 2 2 2 2 2" xfId="12740"/>
    <cellStyle name="Nota 3 2 2 2 2 2 2" xfId="15590"/>
    <cellStyle name="Nota 3 2 2 2 2 3" xfId="12441"/>
    <cellStyle name="Nota 3 2 2 2 2 3 2" xfId="15405"/>
    <cellStyle name="Nota 3 2 2 2 2 4" xfId="12008"/>
    <cellStyle name="Nota 3 2 2 2 2 5" xfId="14879"/>
    <cellStyle name="Nota 3 2 2 2 2 6" xfId="14212"/>
    <cellStyle name="Nota 3 2 2 2 3" xfId="12225"/>
    <cellStyle name="Nota 3 2 2 2 3 2" xfId="15299"/>
    <cellStyle name="Nota 3 2 2 2 4" xfId="12840"/>
    <cellStyle name="Nota 3 2 2 2 4 2" xfId="15678"/>
    <cellStyle name="Nota 3 2 2 2 5" xfId="13262"/>
    <cellStyle name="Nota 3 2 2 2 6" xfId="14737"/>
    <cellStyle name="Nota 3 2 2 2 7" xfId="13948"/>
    <cellStyle name="Nota 3 2 2 3" xfId="7081"/>
    <cellStyle name="Nota 3 2 2 3 2" xfId="8888"/>
    <cellStyle name="Nota 3 2 2 3 2 2" xfId="12751"/>
    <cellStyle name="Nota 3 2 2 3 2 2 2" xfId="15601"/>
    <cellStyle name="Nota 3 2 2 3 2 3" xfId="11321"/>
    <cellStyle name="Nota 3 2 2 3 2 3 2" xfId="14986"/>
    <cellStyle name="Nota 3 2 2 3 2 4" xfId="12530"/>
    <cellStyle name="Nota 3 2 2 3 2 5" xfId="14355"/>
    <cellStyle name="Nota 3 2 2 3 2 6" xfId="14224"/>
    <cellStyle name="Nota 3 2 2 3 3" xfId="12237"/>
    <cellStyle name="Nota 3 2 2 3 3 2" xfId="15311"/>
    <cellStyle name="Nota 3 2 2 3 4" xfId="11422"/>
    <cellStyle name="Nota 3 2 2 3 4 2" xfId="15013"/>
    <cellStyle name="Nota 3 2 2 3 5" xfId="11657"/>
    <cellStyle name="Nota 3 2 2 3 6" xfId="14460"/>
    <cellStyle name="Nota 3 2 2 3 7" xfId="13961"/>
    <cellStyle name="Nota 3 2 2 4" xfId="7101"/>
    <cellStyle name="Nota 3 2 2 4 2" xfId="8908"/>
    <cellStyle name="Nota 3 2 2 4 2 2" xfId="12769"/>
    <cellStyle name="Nota 3 2 2 4 2 2 2" xfId="15619"/>
    <cellStyle name="Nota 3 2 2 4 2 3" xfId="11075"/>
    <cellStyle name="Nota 3 2 2 4 2 3 2" xfId="14940"/>
    <cellStyle name="Nota 3 2 2 4 2 4" xfId="11684"/>
    <cellStyle name="Nota 3 2 2 4 2 5" xfId="14399"/>
    <cellStyle name="Nota 3 2 2 4 2 6" xfId="14244"/>
    <cellStyle name="Nota 3 2 2 4 3" xfId="12255"/>
    <cellStyle name="Nota 3 2 2 4 3 2" xfId="15329"/>
    <cellStyle name="Nota 3 2 2 4 4" xfId="13169"/>
    <cellStyle name="Nota 3 2 2 4 4 2" xfId="15764"/>
    <cellStyle name="Nota 3 2 2 4 5" xfId="11922"/>
    <cellStyle name="Nota 3 2 2 4 6" xfId="14455"/>
    <cellStyle name="Nota 3 2 2 4 7" xfId="13981"/>
    <cellStyle name="Nota 3 2 2 5" xfId="6944"/>
    <cellStyle name="Nota 3 2 2 5 2" xfId="8774"/>
    <cellStyle name="Nota 3 2 2 5 2 2" xfId="12643"/>
    <cellStyle name="Nota 3 2 2 5 2 2 2" xfId="15499"/>
    <cellStyle name="Nota 3 2 2 5 2 3" xfId="11337"/>
    <cellStyle name="Nota 3 2 2 5 2 3 2" xfId="15002"/>
    <cellStyle name="Nota 3 2 2 5 2 4" xfId="12510"/>
    <cellStyle name="Nota 3 2 2 5 2 5" xfId="14824"/>
    <cellStyle name="Nota 3 2 2 5 2 6" xfId="14110"/>
    <cellStyle name="Nota 3 2 2 5 3" xfId="12107"/>
    <cellStyle name="Nota 3 2 2 5 3 2" xfId="15187"/>
    <cellStyle name="Nota 3 2 2 5 4" xfId="12888"/>
    <cellStyle name="Nota 3 2 2 5 4 2" xfId="15690"/>
    <cellStyle name="Nota 3 2 2 5 5" xfId="11949"/>
    <cellStyle name="Nota 3 2 2 5 6" xfId="14375"/>
    <cellStyle name="Nota 3 2 2 5 7" xfId="13828"/>
    <cellStyle name="Nota 3 2 2 6" xfId="7126"/>
    <cellStyle name="Nota 3 2 2 6 2" xfId="8933"/>
    <cellStyle name="Nota 3 2 2 6 2 2" xfId="12791"/>
    <cellStyle name="Nota 3 2 2 6 2 2 2" xfId="15640"/>
    <cellStyle name="Nota 3 2 2 6 2 3" xfId="11314"/>
    <cellStyle name="Nota 3 2 2 6 2 3 2" xfId="14979"/>
    <cellStyle name="Nota 3 2 2 6 2 4" xfId="11892"/>
    <cellStyle name="Nota 3 2 2 6 2 5" xfId="14632"/>
    <cellStyle name="Nota 3 2 2 6 2 6" xfId="14269"/>
    <cellStyle name="Nota 3 2 2 6 3" xfId="12277"/>
    <cellStyle name="Nota 3 2 2 6 3 2" xfId="15350"/>
    <cellStyle name="Nota 3 2 2 6 4" xfId="10920"/>
    <cellStyle name="Nota 3 2 2 6 4 2" xfId="14915"/>
    <cellStyle name="Nota 3 2 2 6 5" xfId="10913"/>
    <cellStyle name="Nota 3 2 2 6 6" xfId="14442"/>
    <cellStyle name="Nota 3 2 2 6 7" xfId="14006"/>
    <cellStyle name="Nota 3 2 2 7" xfId="7148"/>
    <cellStyle name="Nota 3 2 2 7 2" xfId="8955"/>
    <cellStyle name="Nota 3 2 2 7 2 2" xfId="12811"/>
    <cellStyle name="Nota 3 2 2 7 2 2 2" xfId="15659"/>
    <cellStyle name="Nota 3 2 2 7 2 3" xfId="12432"/>
    <cellStyle name="Nota 3 2 2 7 2 3 2" xfId="15396"/>
    <cellStyle name="Nota 3 2 2 7 2 4" xfId="11668"/>
    <cellStyle name="Nota 3 2 2 7 2 5" xfId="14800"/>
    <cellStyle name="Nota 3 2 2 7 2 6" xfId="14291"/>
    <cellStyle name="Nota 3 2 2 7 3" xfId="12297"/>
    <cellStyle name="Nota 3 2 2 7 3 2" xfId="15369"/>
    <cellStyle name="Nota 3 2 2 7 4" xfId="12819"/>
    <cellStyle name="Nota 3 2 2 7 4 2" xfId="15666"/>
    <cellStyle name="Nota 3 2 2 7 5" xfId="12500"/>
    <cellStyle name="Nota 3 2 2 7 6" xfId="14721"/>
    <cellStyle name="Nota 3 2 2 7 7" xfId="14028"/>
    <cellStyle name="Nota 3 2 2 8" xfId="6948"/>
    <cellStyle name="Nota 3 2 2 8 2" xfId="12111"/>
    <cellStyle name="Nota 3 2 2 8 2 2" xfId="15191"/>
    <cellStyle name="Nota 3 2 2 8 3" xfId="13067"/>
    <cellStyle name="Nota 3 2 2 8 3 2" xfId="15735"/>
    <cellStyle name="Nota 3 2 2 8 4" xfId="11874"/>
    <cellStyle name="Nota 3 2 2 8 5" xfId="14540"/>
    <cellStyle name="Nota 3 2 2 8 6" xfId="13832"/>
    <cellStyle name="Nota 3 2 2 9" xfId="11812"/>
    <cellStyle name="Nota 3 2 2 9 2" xfId="11393"/>
    <cellStyle name="Nota 3 2 3" xfId="6917"/>
    <cellStyle name="Nota 3 2 3 2" xfId="8750"/>
    <cellStyle name="Nota 3 2 3 2 2" xfId="12621"/>
    <cellStyle name="Nota 3 2 3 2 2 2" xfId="15477"/>
    <cellStyle name="Nota 3 2 3 2 3" xfId="13038"/>
    <cellStyle name="Nota 3 2 3 2 3 2" xfId="15714"/>
    <cellStyle name="Nota 3 2 3 2 4" xfId="13213"/>
    <cellStyle name="Nota 3 2 3 2 5" xfId="14852"/>
    <cellStyle name="Nota 3 2 3 2 6" xfId="14086"/>
    <cellStyle name="Nota 3 2 3 3" xfId="12082"/>
    <cellStyle name="Nota 3 2 3 3 2" xfId="15162"/>
    <cellStyle name="Nota 3 2 3 4" xfId="12899"/>
    <cellStyle name="Nota 3 2 3 4 2" xfId="15693"/>
    <cellStyle name="Nota 3 2 3 5" xfId="12834"/>
    <cellStyle name="Nota 3 2 3 6" xfId="14402"/>
    <cellStyle name="Nota 3 2 3 7" xfId="13802"/>
    <cellStyle name="Nota 3 2 4" xfId="6939"/>
    <cellStyle name="Nota 3 2 4 2" xfId="8770"/>
    <cellStyle name="Nota 3 2 4 2 2" xfId="12640"/>
    <cellStyle name="Nota 3 2 4 2 2 2" xfId="15496"/>
    <cellStyle name="Nota 3 2 4 2 3" xfId="12447"/>
    <cellStyle name="Nota 3 2 4 2 3 2" xfId="15411"/>
    <cellStyle name="Nota 3 2 4 2 4" xfId="11867"/>
    <cellStyle name="Nota 3 2 4 2 5" xfId="14826"/>
    <cellStyle name="Nota 3 2 4 2 6" xfId="14106"/>
    <cellStyle name="Nota 3 2 4 3" xfId="12103"/>
    <cellStyle name="Nota 3 2 4 3 2" xfId="15183"/>
    <cellStyle name="Nota 3 2 4 4" xfId="13070"/>
    <cellStyle name="Nota 3 2 4 4 2" xfId="15738"/>
    <cellStyle name="Nota 3 2 4 5" xfId="11649"/>
    <cellStyle name="Nota 3 2 4 6" xfId="14537"/>
    <cellStyle name="Nota 3 2 4 7" xfId="13823"/>
    <cellStyle name="Nota 3 2 5" xfId="6958"/>
    <cellStyle name="Nota 3 2 5 2" xfId="8787"/>
    <cellStyle name="Nota 3 2 5 2 2" xfId="12656"/>
    <cellStyle name="Nota 3 2 5 2 2 2" xfId="15512"/>
    <cellStyle name="Nota 3 2 5 2 3" xfId="11078"/>
    <cellStyle name="Nota 3 2 5 2 3 2" xfId="14943"/>
    <cellStyle name="Nota 3 2 5 2 4" xfId="11612"/>
    <cellStyle name="Nota 3 2 5 2 5" xfId="14613"/>
    <cellStyle name="Nota 3 2 5 2 6" xfId="14123"/>
    <cellStyle name="Nota 3 2 5 3" xfId="12121"/>
    <cellStyle name="Nota 3 2 5 3 2" xfId="15201"/>
    <cellStyle name="Nota 3 2 5 4" xfId="12544"/>
    <cellStyle name="Nota 3 2 5 4 2" xfId="15432"/>
    <cellStyle name="Nota 3 2 5 5" xfId="13218"/>
    <cellStyle name="Nota 3 2 5 6" xfId="14764"/>
    <cellStyle name="Nota 3 2 5 7" xfId="13840"/>
    <cellStyle name="Nota 3 2 6" xfId="6888"/>
    <cellStyle name="Nota 3 2 6 2" xfId="8726"/>
    <cellStyle name="Nota 3 2 6 2 2" xfId="12600"/>
    <cellStyle name="Nota 3 2 6 2 2 2" xfId="15457"/>
    <cellStyle name="Nota 3 2 6 2 3" xfId="12837"/>
    <cellStyle name="Nota 3 2 6 2 3 2" xfId="15675"/>
    <cellStyle name="Nota 3 2 6 2 4" xfId="13052"/>
    <cellStyle name="Nota 3 2 6 2 5" xfId="14388"/>
    <cellStyle name="Nota 3 2 6 2 6" xfId="14062"/>
    <cellStyle name="Nota 3 2 6 3" xfId="12057"/>
    <cellStyle name="Nota 3 2 6 3 2" xfId="15141"/>
    <cellStyle name="Nota 3 2 6 4" xfId="12935"/>
    <cellStyle name="Nota 3 2 6 4 2" xfId="15702"/>
    <cellStyle name="Nota 3 2 6 5" xfId="11208"/>
    <cellStyle name="Nota 3 2 6 6" xfId="14424"/>
    <cellStyle name="Nota 3 2 6 7" xfId="13775"/>
    <cellStyle name="Nota 3 2 7" xfId="6924"/>
    <cellStyle name="Nota 3 2 7 2" xfId="8756"/>
    <cellStyle name="Nota 3 2 7 2 2" xfId="12626"/>
    <cellStyle name="Nota 3 2 7 2 2 2" xfId="15482"/>
    <cellStyle name="Nota 3 2 7 2 3" xfId="13139"/>
    <cellStyle name="Nota 3 2 7 2 3 2" xfId="15754"/>
    <cellStyle name="Nota 3 2 7 2 4" xfId="13209"/>
    <cellStyle name="Nota 3 2 7 2 5" xfId="14867"/>
    <cellStyle name="Nota 3 2 7 2 6" xfId="14092"/>
    <cellStyle name="Nota 3 2 7 3" xfId="12088"/>
    <cellStyle name="Nota 3 2 7 3 2" xfId="15168"/>
    <cellStyle name="Nota 3 2 7 4" xfId="11429"/>
    <cellStyle name="Nota 3 2 7 4 2" xfId="15020"/>
    <cellStyle name="Nota 3 2 7 5" xfId="11297"/>
    <cellStyle name="Nota 3 2 7 6" xfId="14769"/>
    <cellStyle name="Nota 3 2 7 7" xfId="13809"/>
    <cellStyle name="Nota 3 2 8" xfId="6915"/>
    <cellStyle name="Nota 3 2 8 2" xfId="8748"/>
    <cellStyle name="Nota 3 2 8 2 2" xfId="12619"/>
    <cellStyle name="Nota 3 2 8 2 2 2" xfId="15475"/>
    <cellStyle name="Nota 3 2 8 2 3" xfId="13039"/>
    <cellStyle name="Nota 3 2 8 2 3 2" xfId="15715"/>
    <cellStyle name="Nota 3 2 8 2 4" xfId="13215"/>
    <cellStyle name="Nota 3 2 8 2 5" xfId="14861"/>
    <cellStyle name="Nota 3 2 8 2 6" xfId="14084"/>
    <cellStyle name="Nota 3 2 8 3" xfId="12080"/>
    <cellStyle name="Nota 3 2 8 3 2" xfId="15160"/>
    <cellStyle name="Nota 3 2 8 4" xfId="12976"/>
    <cellStyle name="Nota 3 2 8 4 2" xfId="15708"/>
    <cellStyle name="Nota 3 2 8 5" xfId="13244"/>
    <cellStyle name="Nota 3 2 8 6" xfId="14403"/>
    <cellStyle name="Nota 3 2 8 7" xfId="13800"/>
    <cellStyle name="Nota 3 2 9" xfId="6976"/>
    <cellStyle name="Nota 3 2 9 2" xfId="12139"/>
    <cellStyle name="Nota 3 2 9 2 2" xfId="15218"/>
    <cellStyle name="Nota 3 2 9 3" xfId="13065"/>
    <cellStyle name="Nota 3 2 9 3 2" xfId="15733"/>
    <cellStyle name="Nota 3 2 9 4" xfId="11777"/>
    <cellStyle name="Nota 3 2 9 5" xfId="14759"/>
    <cellStyle name="Nota 3 2 9 6" xfId="13858"/>
    <cellStyle name="Nota 3 3" xfId="4970"/>
    <cellStyle name="Nota 3 3 10" xfId="11611"/>
    <cellStyle name="Nota 3 3 10 2" xfId="15047"/>
    <cellStyle name="Nota 3 3 11" xfId="11962"/>
    <cellStyle name="Nota 3 3 12" xfId="14587"/>
    <cellStyle name="Nota 3 3 13" xfId="13395"/>
    <cellStyle name="Nota 3 3 2" xfId="7055"/>
    <cellStyle name="Nota 3 3 2 2" xfId="8863"/>
    <cellStyle name="Nota 3 3 2 2 2" xfId="12728"/>
    <cellStyle name="Nota 3 3 2 2 2 2" xfId="15579"/>
    <cellStyle name="Nota 3 3 2 2 3" xfId="11077"/>
    <cellStyle name="Nota 3 3 2 2 3 2" xfId="14942"/>
    <cellStyle name="Nota 3 3 2 2 4" xfId="11412"/>
    <cellStyle name="Nota 3 3 2 2 5" xfId="14590"/>
    <cellStyle name="Nota 3 3 2 2 6" xfId="14199"/>
    <cellStyle name="Nota 3 3 2 3" xfId="12213"/>
    <cellStyle name="Nota 3 3 2 3 2" xfId="15289"/>
    <cellStyle name="Nota 3 3 2 4" xfId="11426"/>
    <cellStyle name="Nota 3 3 2 4 2" xfId="15017"/>
    <cellStyle name="Nota 3 3 2 5" xfId="11846"/>
    <cellStyle name="Nota 3 3 2 6" xfId="14741"/>
    <cellStyle name="Nota 3 3 2 7" xfId="13396"/>
    <cellStyle name="Nota 3 3 3" xfId="7021"/>
    <cellStyle name="Nota 3 3 3 2" xfId="8836"/>
    <cellStyle name="Nota 3 3 3 2 2" xfId="12702"/>
    <cellStyle name="Nota 3 3 3 2 2 2" xfId="15555"/>
    <cellStyle name="Nota 3 3 3 2 3" xfId="11471"/>
    <cellStyle name="Nota 3 3 3 2 3 2" xfId="15031"/>
    <cellStyle name="Nota 3 3 3 2 4" xfId="12027"/>
    <cellStyle name="Nota 3 3 3 2 5" xfId="14566"/>
    <cellStyle name="Nota 3 3 3 2 6" xfId="14172"/>
    <cellStyle name="Nota 3 3 3 3" xfId="12181"/>
    <cellStyle name="Nota 3 3 3 3 2" xfId="15258"/>
    <cellStyle name="Nota 3 3 3 4" xfId="12541"/>
    <cellStyle name="Nota 3 3 3 4 2" xfId="15429"/>
    <cellStyle name="Nota 3 3 3 5" xfId="11451"/>
    <cellStyle name="Nota 3 3 3 6" xfId="14487"/>
    <cellStyle name="Nota 3 3 3 7" xfId="13397"/>
    <cellStyle name="Nota 3 3 4" xfId="7088"/>
    <cellStyle name="Nota 3 3 4 2" xfId="8895"/>
    <cellStyle name="Nota 3 3 4 2 2" xfId="12758"/>
    <cellStyle name="Nota 3 3 4 2 2 2" xfId="15608"/>
    <cellStyle name="Nota 3 3 4 2 3" xfId="12439"/>
    <cellStyle name="Nota 3 3 4 2 3 2" xfId="15403"/>
    <cellStyle name="Nota 3 3 4 2 4" xfId="12273"/>
    <cellStyle name="Nota 3 3 4 2 5" xfId="14557"/>
    <cellStyle name="Nota 3 3 4 2 6" xfId="14231"/>
    <cellStyle name="Nota 3 3 4 3" xfId="12244"/>
    <cellStyle name="Nota 3 3 4 3 2" xfId="15318"/>
    <cellStyle name="Nota 3 3 4 4" xfId="13178"/>
    <cellStyle name="Nota 3 3 4 4 2" xfId="15768"/>
    <cellStyle name="Nota 3 3 4 5" xfId="13114"/>
    <cellStyle name="Nota 3 3 4 6" xfId="14732"/>
    <cellStyle name="Nota 3 3 4 7" xfId="13968"/>
    <cellStyle name="Nota 3 3 5" xfId="6906"/>
    <cellStyle name="Nota 3 3 5 2" xfId="8741"/>
    <cellStyle name="Nota 3 3 5 2 2" xfId="12613"/>
    <cellStyle name="Nota 3 3 5 2 2 2" xfId="15470"/>
    <cellStyle name="Nota 3 3 5 2 3" xfId="13040"/>
    <cellStyle name="Nota 3 3 5 2 3 2" xfId="15716"/>
    <cellStyle name="Nota 3 3 5 2 4" xfId="12897"/>
    <cellStyle name="Nota 3 3 5 2 5" xfId="14670"/>
    <cellStyle name="Nota 3 3 5 2 6" xfId="14077"/>
    <cellStyle name="Nota 3 3 5 3" xfId="12073"/>
    <cellStyle name="Nota 3 3 5 3 2" xfId="15153"/>
    <cellStyle name="Nota 3 3 5 4" xfId="13075"/>
    <cellStyle name="Nota 3 3 5 4 2" xfId="15743"/>
    <cellStyle name="Nota 3 3 5 5" xfId="12034"/>
    <cellStyle name="Nota 3 3 5 6" xfId="14405"/>
    <cellStyle name="Nota 3 3 5 7" xfId="13791"/>
    <cellStyle name="Nota 3 3 6" xfId="7113"/>
    <cellStyle name="Nota 3 3 6 2" xfId="8920"/>
    <cellStyle name="Nota 3 3 6 2 2" xfId="12779"/>
    <cellStyle name="Nota 3 3 6 2 2 2" xfId="15629"/>
    <cellStyle name="Nota 3 3 6 2 3" xfId="11316"/>
    <cellStyle name="Nota 3 3 6 2 3 2" xfId="14981"/>
    <cellStyle name="Nota 3 3 6 2 4" xfId="11661"/>
    <cellStyle name="Nota 3 3 6 2 5" xfId="14315"/>
    <cellStyle name="Nota 3 3 6 2 6" xfId="14256"/>
    <cellStyle name="Nota 3 3 6 3" xfId="12265"/>
    <cellStyle name="Nota 3 3 6 3 2" xfId="15339"/>
    <cellStyle name="Nota 3 3 6 4" xfId="12957"/>
    <cellStyle name="Nota 3 3 6 4 2" xfId="15704"/>
    <cellStyle name="Nota 3 3 6 5" xfId="12342"/>
    <cellStyle name="Nota 3 3 6 6" xfId="14447"/>
    <cellStyle name="Nota 3 3 6 7" xfId="13993"/>
    <cellStyle name="Nota 3 3 7" xfId="7135"/>
    <cellStyle name="Nota 3 3 7 2" xfId="8942"/>
    <cellStyle name="Nota 3 3 7 2 2" xfId="12799"/>
    <cellStyle name="Nota 3 3 7 2 2 2" xfId="15648"/>
    <cellStyle name="Nota 3 3 7 2 3" xfId="11312"/>
    <cellStyle name="Nota 3 3 7 2 3 2" xfId="14977"/>
    <cellStyle name="Nota 3 3 7 2 4" xfId="12558"/>
    <cellStyle name="Nota 3 3 7 2 5" xfId="14692"/>
    <cellStyle name="Nota 3 3 7 2 6" xfId="14278"/>
    <cellStyle name="Nota 3 3 7 3" xfId="12285"/>
    <cellStyle name="Nota 3 3 7 3 2" xfId="15358"/>
    <cellStyle name="Nota 3 3 7 4" xfId="12827"/>
    <cellStyle name="Nota 3 3 7 4 2" xfId="15671"/>
    <cellStyle name="Nota 3 3 7 5" xfId="11242"/>
    <cellStyle name="Nota 3 3 7 6" xfId="14434"/>
    <cellStyle name="Nota 3 3 7 7" xfId="14015"/>
    <cellStyle name="Nota 3 3 8" xfId="7014"/>
    <cellStyle name="Nota 3 3 8 2" xfId="12175"/>
    <cellStyle name="Nota 3 3 8 2 2" xfId="15252"/>
    <cellStyle name="Nota 3 3 8 3" xfId="13064"/>
    <cellStyle name="Nota 3 3 8 3 2" xfId="15732"/>
    <cellStyle name="Nota 3 3 8 4" xfId="11542"/>
    <cellStyle name="Nota 3 3 8 5" xfId="14752"/>
    <cellStyle name="Nota 3 3 8 6" xfId="13896"/>
    <cellStyle name="Nota 3 3 9" xfId="11800"/>
    <cellStyle name="Nota 3 3 9 2" xfId="15085"/>
    <cellStyle name="Nota 3 4" xfId="6916"/>
    <cellStyle name="Nota 3 4 2" xfId="8749"/>
    <cellStyle name="Nota 3 4 2 2" xfId="12620"/>
    <cellStyle name="Nota 3 4 2 2 2" xfId="15476"/>
    <cellStyle name="Nota 3 4 2 3" xfId="12908"/>
    <cellStyle name="Nota 3 4 2 3 2" xfId="15694"/>
    <cellStyle name="Nota 3 4 2 4" xfId="11951"/>
    <cellStyle name="Nota 3 4 2 5" xfId="14684"/>
    <cellStyle name="Nota 3 4 2 6" xfId="14085"/>
    <cellStyle name="Nota 3 4 3" xfId="12081"/>
    <cellStyle name="Nota 3 4 3 2" xfId="15161"/>
    <cellStyle name="Nota 3 4 4" xfId="11430"/>
    <cellStyle name="Nota 3 4 4 2" xfId="15021"/>
    <cellStyle name="Nota 3 4 5" xfId="11749"/>
    <cellStyle name="Nota 3 4 6" xfId="14526"/>
    <cellStyle name="Nota 3 4 7" xfId="13801"/>
    <cellStyle name="Nota 3 5" xfId="6946"/>
    <cellStyle name="Nota 3 5 2" xfId="8776"/>
    <cellStyle name="Nota 3 5 2 2" xfId="12645"/>
    <cellStyle name="Nota 3 5 2 2 2" xfId="15501"/>
    <cellStyle name="Nota 3 5 2 3" xfId="11468"/>
    <cellStyle name="Nota 3 5 2 3 2" xfId="15028"/>
    <cellStyle name="Nota 3 5 2 4" xfId="12512"/>
    <cellStyle name="Nota 3 5 2 5" xfId="14834"/>
    <cellStyle name="Nota 3 5 2 6" xfId="14112"/>
    <cellStyle name="Nota 3 5 3" xfId="12109"/>
    <cellStyle name="Nota 3 5 3 2" xfId="15189"/>
    <cellStyle name="Nota 3 5 4" xfId="13170"/>
    <cellStyle name="Nota 3 5 4 2" xfId="15765"/>
    <cellStyle name="Nota 3 5 5" xfId="11999"/>
    <cellStyle name="Nota 3 5 6" xfId="14372"/>
    <cellStyle name="Nota 3 5 7" xfId="13830"/>
    <cellStyle name="Nota 3 6" xfId="7040"/>
    <cellStyle name="Nota 3 6 2" xfId="8851"/>
    <cellStyle name="Nota 3 6 2 2" xfId="12716"/>
    <cellStyle name="Nota 3 6 2 2 2" xfId="15568"/>
    <cellStyle name="Nota 3 6 2 3" xfId="11326"/>
    <cellStyle name="Nota 3 6 2 3 2" xfId="14991"/>
    <cellStyle name="Nota 3 6 2 4" xfId="11466"/>
    <cellStyle name="Nota 3 6 2 5" xfId="14620"/>
    <cellStyle name="Nota 3 6 2 6" xfId="14187"/>
    <cellStyle name="Nota 3 6 3" xfId="12198"/>
    <cellStyle name="Nota 3 6 3 2" xfId="15275"/>
    <cellStyle name="Nota 3 6 4" xfId="13063"/>
    <cellStyle name="Nota 3 6 4 2" xfId="15731"/>
    <cellStyle name="Nota 3 6 5" xfId="11221"/>
    <cellStyle name="Nota 3 6 6" xfId="14394"/>
    <cellStyle name="Nota 3 6 7" xfId="13921"/>
    <cellStyle name="Nota 3 7" xfId="6926"/>
    <cellStyle name="Nota 3 7 2" xfId="8758"/>
    <cellStyle name="Nota 3 7 2 2" xfId="12628"/>
    <cellStyle name="Nota 3 7 2 2 2" xfId="15484"/>
    <cellStyle name="Nota 3 7 2 3" xfId="13158"/>
    <cellStyle name="Nota 3 7 2 3 2" xfId="15759"/>
    <cellStyle name="Nota 3 7 2 4" xfId="11671"/>
    <cellStyle name="Nota 3 7 2 5" xfId="14813"/>
    <cellStyle name="Nota 3 7 2 6" xfId="14094"/>
    <cellStyle name="Nota 3 7 3" xfId="12090"/>
    <cellStyle name="Nota 3 7 3 2" xfId="15170"/>
    <cellStyle name="Nota 3 7 4" xfId="13073"/>
    <cellStyle name="Nota 3 7 4 2" xfId="15741"/>
    <cellStyle name="Nota 3 7 5" xfId="13286"/>
    <cellStyle name="Nota 3 7 6" xfId="14344"/>
    <cellStyle name="Nota 3 7 7" xfId="13811"/>
    <cellStyle name="Nota 3 8" xfId="6875"/>
    <cellStyle name="Nota 3 8 2" xfId="8715"/>
    <cellStyle name="Nota 3 8 2 2" xfId="12589"/>
    <cellStyle name="Nota 3 8 2 2 2" xfId="15447"/>
    <cellStyle name="Nota 3 8 2 3" xfId="12856"/>
    <cellStyle name="Nota 3 8 2 3 2" xfId="15682"/>
    <cellStyle name="Nota 3 8 2 4" xfId="12868"/>
    <cellStyle name="Nota 3 8 2 5" xfId="14708"/>
    <cellStyle name="Nota 3 8 2 6" xfId="14051"/>
    <cellStyle name="Nota 3 8 3" xfId="12044"/>
    <cellStyle name="Nota 3 8 3 2" xfId="15129"/>
    <cellStyle name="Nota 3 8 4" xfId="12977"/>
    <cellStyle name="Nota 3 8 4 2" xfId="15709"/>
    <cellStyle name="Nota 3 8 5" xfId="12933"/>
    <cellStyle name="Nota 3 8 6" xfId="14417"/>
    <cellStyle name="Nota 3 8 7" xfId="13762"/>
    <cellStyle name="Nota 3 9" xfId="7009"/>
    <cellStyle name="Nota 3 9 2" xfId="8826"/>
    <cellStyle name="Nota 3 9 2 2" xfId="12693"/>
    <cellStyle name="Nota 3 9 2 2 2" xfId="15547"/>
    <cellStyle name="Nota 3 9 2 3" xfId="11470"/>
    <cellStyle name="Nota 3 9 2 3 2" xfId="15030"/>
    <cellStyle name="Nota 3 9 2 4" xfId="11667"/>
    <cellStyle name="Nota 3 9 2 5" xfId="14323"/>
    <cellStyle name="Nota 3 9 2 6" xfId="14162"/>
    <cellStyle name="Nota 3 9 3" xfId="12170"/>
    <cellStyle name="Nota 3 9 3 2" xfId="15248"/>
    <cellStyle name="Nota 3 9 4" xfId="10930"/>
    <cellStyle name="Nota 3 9 4 2" xfId="14918"/>
    <cellStyle name="Nota 3 9 5" xfId="13009"/>
    <cellStyle name="Nota 3 9 6" xfId="14492"/>
    <cellStyle name="Nota 3 9 7" xfId="13891"/>
    <cellStyle name="Nota 4" xfId="12418"/>
    <cellStyle name="Nota 4 2" xfId="12937"/>
    <cellStyle name="Note" xfId="417"/>
    <cellStyle name="Note 10" xfId="6988"/>
    <cellStyle name="Note 10 2" xfId="12150"/>
    <cellStyle name="Note 10 2 2" xfId="15228"/>
    <cellStyle name="Note 10 3" xfId="11052"/>
    <cellStyle name="Note 10 3 2" xfId="14933"/>
    <cellStyle name="Note 10 4" xfId="10966"/>
    <cellStyle name="Note 10 5" xfId="14503"/>
    <cellStyle name="Note 10 6" xfId="13870"/>
    <cellStyle name="Note 11" xfId="13190"/>
    <cellStyle name="Note 11 2" xfId="13345"/>
    <cellStyle name="Note 11 2 2" xfId="15803"/>
    <cellStyle name="Note 11 3" xfId="15778"/>
    <cellStyle name="Note 12" xfId="11044"/>
    <cellStyle name="Note 12 2" xfId="14928"/>
    <cellStyle name="Note 13" xfId="11865"/>
    <cellStyle name="Note 13 2" xfId="15105"/>
    <cellStyle name="Note 14" xfId="11763"/>
    <cellStyle name="Note 15" xfId="14610"/>
    <cellStyle name="Note 16" xfId="13371"/>
    <cellStyle name="Note 2" xfId="2966"/>
    <cellStyle name="Note 2 10" xfId="13199"/>
    <cellStyle name="Note 2 10 2" xfId="13349"/>
    <cellStyle name="Note 2 10 2 2" xfId="15807"/>
    <cellStyle name="Note 2 10 3" xfId="15787"/>
    <cellStyle name="Note 2 11" xfId="11592"/>
    <cellStyle name="Note 2 11 2" xfId="15041"/>
    <cellStyle name="Note 2 12" xfId="11885"/>
    <cellStyle name="Note 2 12 2" xfId="15108"/>
    <cellStyle name="Note 2 13" xfId="11959"/>
    <cellStyle name="Note 2 14" xfId="14573"/>
    <cellStyle name="Note 2 15" xfId="13398"/>
    <cellStyle name="Note 2 2" xfId="4984"/>
    <cellStyle name="Note 2 2 10" xfId="11958"/>
    <cellStyle name="Note 2 2 10 2" xfId="15121"/>
    <cellStyle name="Note 2 2 11" xfId="12858"/>
    <cellStyle name="Note 2 2 12" xfId="14600"/>
    <cellStyle name="Note 2 2 13" xfId="13739"/>
    <cellStyle name="Note 2 2 2" xfId="7069"/>
    <cellStyle name="Note 2 2 2 2" xfId="8877"/>
    <cellStyle name="Note 2 2 2 2 2" xfId="12741"/>
    <cellStyle name="Note 2 2 2 2 2 2" xfId="15591"/>
    <cellStyle name="Note 2 2 2 2 3" xfId="11322"/>
    <cellStyle name="Note 2 2 2 2 3 2" xfId="14987"/>
    <cellStyle name="Note 2 2 2 2 4" xfId="11435"/>
    <cellStyle name="Note 2 2 2 2 5" xfId="14697"/>
    <cellStyle name="Note 2 2 2 2 6" xfId="14213"/>
    <cellStyle name="Note 2 2 2 3" xfId="12226"/>
    <cellStyle name="Note 2 2 2 3 2" xfId="15300"/>
    <cellStyle name="Note 2 2 2 4" xfId="13059"/>
    <cellStyle name="Note 2 2 2 4 2" xfId="15727"/>
    <cellStyle name="Note 2 2 2 5" xfId="12340"/>
    <cellStyle name="Note 2 2 2 6" xfId="14467"/>
    <cellStyle name="Note 2 2 2 7" xfId="13949"/>
    <cellStyle name="Note 2 2 3" xfId="7082"/>
    <cellStyle name="Note 2 2 3 2" xfId="8889"/>
    <cellStyle name="Note 2 2 3 2 2" xfId="12752"/>
    <cellStyle name="Note 2 2 3 2 2 2" xfId="15602"/>
    <cellStyle name="Note 2 2 3 2 3" xfId="11076"/>
    <cellStyle name="Note 2 2 3 2 3 2" xfId="14941"/>
    <cellStyle name="Note 2 2 3 2 4" xfId="12531"/>
    <cellStyle name="Note 2 2 3 2 5" xfId="14560"/>
    <cellStyle name="Note 2 2 3 2 6" xfId="14225"/>
    <cellStyle name="Note 2 2 3 3" xfId="12238"/>
    <cellStyle name="Note 2 2 3 3 2" xfId="15312"/>
    <cellStyle name="Note 2 2 3 4" xfId="11423"/>
    <cellStyle name="Note 2 2 3 4 2" xfId="15014"/>
    <cellStyle name="Note 2 2 3 5" xfId="12830"/>
    <cellStyle name="Note 2 2 3 6" xfId="14459"/>
    <cellStyle name="Note 2 2 3 7" xfId="13962"/>
    <cellStyle name="Note 2 2 4" xfId="7102"/>
    <cellStyle name="Note 2 2 4 2" xfId="8909"/>
    <cellStyle name="Note 2 2 4 2 2" xfId="12770"/>
    <cellStyle name="Note 2 2 4 2 2 2" xfId="15620"/>
    <cellStyle name="Note 2 2 4 2 3" xfId="11318"/>
    <cellStyle name="Note 2 2 4 2 3 2" xfId="14983"/>
    <cellStyle name="Note 2 2 4 2 4" xfId="11960"/>
    <cellStyle name="Note 2 2 4 2 5" xfId="14667"/>
    <cellStyle name="Note 2 2 4 2 6" xfId="14245"/>
    <cellStyle name="Note 2 2 4 3" xfId="12256"/>
    <cellStyle name="Note 2 2 4 3 2" xfId="15330"/>
    <cellStyle name="Note 2 2 4 4" xfId="11420"/>
    <cellStyle name="Note 2 2 4 4 2" xfId="15011"/>
    <cellStyle name="Note 2 2 4 5" xfId="13300"/>
    <cellStyle name="Note 2 2 4 6" xfId="14454"/>
    <cellStyle name="Note 2 2 4 7" xfId="13982"/>
    <cellStyle name="Note 2 2 5" xfId="7034"/>
    <cellStyle name="Note 2 2 5 2" xfId="8846"/>
    <cellStyle name="Note 2 2 5 2 2" xfId="12712"/>
    <cellStyle name="Note 2 2 5 2 2 2" xfId="15564"/>
    <cellStyle name="Note 2 2 5 2 3" xfId="11327"/>
    <cellStyle name="Note 2 2 5 2 3 2" xfId="14992"/>
    <cellStyle name="Note 2 2 5 2 4" xfId="12522"/>
    <cellStyle name="Note 2 2 5 2 5" xfId="14839"/>
    <cellStyle name="Note 2 2 5 2 6" xfId="14182"/>
    <cellStyle name="Note 2 2 5 3" xfId="12193"/>
    <cellStyle name="Note 2 2 5 3 2" xfId="15270"/>
    <cellStyle name="Note 2 2 5 4" xfId="12539"/>
    <cellStyle name="Note 2 2 5 4 2" xfId="15427"/>
    <cellStyle name="Note 2 2 5 5" xfId="12422"/>
    <cellStyle name="Note 2 2 5 6" xfId="14748"/>
    <cellStyle name="Note 2 2 5 7" xfId="13915"/>
    <cellStyle name="Note 2 2 6" xfId="7127"/>
    <cellStyle name="Note 2 2 6 2" xfId="8934"/>
    <cellStyle name="Note 2 2 6 2 2" xfId="12792"/>
    <cellStyle name="Note 2 2 6 2 2 2" xfId="15641"/>
    <cellStyle name="Note 2 2 6 2 3" xfId="11313"/>
    <cellStyle name="Note 2 2 6 2 3 2" xfId="14978"/>
    <cellStyle name="Note 2 2 6 2 4" xfId="11496"/>
    <cellStyle name="Note 2 2 6 2 5" xfId="14810"/>
    <cellStyle name="Note 2 2 6 2 6" xfId="14270"/>
    <cellStyle name="Note 2 2 6 3" xfId="12278"/>
    <cellStyle name="Note 2 2 6 3 2" xfId="15351"/>
    <cellStyle name="Note 2 2 6 4" xfId="13160"/>
    <cellStyle name="Note 2 2 6 4 2" xfId="15760"/>
    <cellStyle name="Note 2 2 6 5" xfId="11240"/>
    <cellStyle name="Note 2 2 6 6" xfId="14441"/>
    <cellStyle name="Note 2 2 6 7" xfId="14007"/>
    <cellStyle name="Note 2 2 7" xfId="7149"/>
    <cellStyle name="Note 2 2 7 2" xfId="8956"/>
    <cellStyle name="Note 2 2 7 2 2" xfId="12812"/>
    <cellStyle name="Note 2 2 7 2 2 2" xfId="15660"/>
    <cellStyle name="Note 2 2 7 2 3" xfId="12431"/>
    <cellStyle name="Note 2 2 7 2 3 2" xfId="15395"/>
    <cellStyle name="Note 2 2 7 2 4" xfId="11869"/>
    <cellStyle name="Note 2 2 7 2 5" xfId="14625"/>
    <cellStyle name="Note 2 2 7 2 6" xfId="14292"/>
    <cellStyle name="Note 2 2 7 3" xfId="12298"/>
    <cellStyle name="Note 2 2 7 3 2" xfId="15370"/>
    <cellStyle name="Note 2 2 7 4" xfId="12833"/>
    <cellStyle name="Note 2 2 7 4 2" xfId="15674"/>
    <cellStyle name="Note 2 2 7 5" xfId="13101"/>
    <cellStyle name="Note 2 2 7 6" xfId="14430"/>
    <cellStyle name="Note 2 2 7 7" xfId="14029"/>
    <cellStyle name="Note 2 2 8" xfId="7013"/>
    <cellStyle name="Note 2 2 8 2" xfId="12174"/>
    <cellStyle name="Note 2 2 8 2 2" xfId="15251"/>
    <cellStyle name="Note 2 2 8 3" xfId="12898"/>
    <cellStyle name="Note 2 2 8 3 2" xfId="15692"/>
    <cellStyle name="Note 2 2 8 4" xfId="11787"/>
    <cellStyle name="Note 2 2 8 5" xfId="14490"/>
    <cellStyle name="Note 2 2 8 6" xfId="13895"/>
    <cellStyle name="Note 2 2 9" xfId="11813"/>
    <cellStyle name="Note 2 2 9 2" xfId="11101"/>
    <cellStyle name="Note 2 3" xfId="6991"/>
    <cellStyle name="Note 2 3 2" xfId="8812"/>
    <cellStyle name="Note 2 3 2 2" xfId="12680"/>
    <cellStyle name="Note 2 3 2 2 2" xfId="15534"/>
    <cellStyle name="Note 2 3 2 3" xfId="11330"/>
    <cellStyle name="Note 2 3 2 3 2" xfId="14995"/>
    <cellStyle name="Note 2 3 2 4" xfId="12845"/>
    <cellStyle name="Note 2 3 2 5" xfId="14359"/>
    <cellStyle name="Note 2 3 2 6" xfId="14148"/>
    <cellStyle name="Note 2 3 3" xfId="12153"/>
    <cellStyle name="Note 2 3 3 2" xfId="15231"/>
    <cellStyle name="Note 2 3 4" xfId="11428"/>
    <cellStyle name="Note 2 3 4 2" xfId="15019"/>
    <cellStyle name="Note 2 3 5" xfId="11963"/>
    <cellStyle name="Note 2 3 6" xfId="14500"/>
    <cellStyle name="Note 2 3 7" xfId="13873"/>
    <cellStyle name="Note 2 4" xfId="7047"/>
    <cellStyle name="Note 2 4 2" xfId="8857"/>
    <cellStyle name="Note 2 4 2 2" xfId="12722"/>
    <cellStyle name="Note 2 4 2 2 2" xfId="15573"/>
    <cellStyle name="Note 2 4 2 3" xfId="11325"/>
    <cellStyle name="Note 2 4 2 3 2" xfId="14990"/>
    <cellStyle name="Note 2 4 2 4" xfId="11759"/>
    <cellStyle name="Note 2 4 2 5" xfId="14830"/>
    <cellStyle name="Note 2 4 2 6" xfId="14193"/>
    <cellStyle name="Note 2 4 3" xfId="12205"/>
    <cellStyle name="Note 2 4 3 2" xfId="15281"/>
    <cellStyle name="Note 2 4 4" xfId="12537"/>
    <cellStyle name="Note 2 4 4 2" xfId="15425"/>
    <cellStyle name="Note 2 4 5" xfId="11224"/>
    <cellStyle name="Note 2 4 6" xfId="14477"/>
    <cellStyle name="Note 2 4 7" xfId="13928"/>
    <cellStyle name="Note 2 5" xfId="6979"/>
    <cellStyle name="Note 2 5 2" xfId="8802"/>
    <cellStyle name="Note 2 5 2 2" xfId="12671"/>
    <cellStyle name="Note 2 5 2 2 2" xfId="15526"/>
    <cellStyle name="Note 2 5 2 3" xfId="11469"/>
    <cellStyle name="Note 2 5 2 3 2" xfId="15029"/>
    <cellStyle name="Note 2 5 2 4" xfId="11701"/>
    <cellStyle name="Note 2 5 2 5" xfId="14362"/>
    <cellStyle name="Note 2 5 2 6" xfId="14138"/>
    <cellStyle name="Note 2 5 3" xfId="12142"/>
    <cellStyle name="Note 2 5 3 2" xfId="15221"/>
    <cellStyle name="Note 2 5 4" xfId="13177"/>
    <cellStyle name="Note 2 5 4 2" xfId="15767"/>
    <cellStyle name="Note 2 5 5" xfId="11991"/>
    <cellStyle name="Note 2 5 6" xfId="14509"/>
    <cellStyle name="Note 2 5 7" xfId="13861"/>
    <cellStyle name="Note 2 6" xfId="6987"/>
    <cellStyle name="Note 2 6 2" xfId="8809"/>
    <cellStyle name="Note 2 6 2 2" xfId="12677"/>
    <cellStyle name="Note 2 6 2 2 2" xfId="15531"/>
    <cellStyle name="Note 2 6 2 3" xfId="12444"/>
    <cellStyle name="Note 2 6 2 3 2" xfId="15408"/>
    <cellStyle name="Note 2 6 2 4" xfId="11738"/>
    <cellStyle name="Note 2 6 2 5" xfId="14361"/>
    <cellStyle name="Note 2 6 2 6" xfId="14145"/>
    <cellStyle name="Note 2 6 3" xfId="12149"/>
    <cellStyle name="Note 2 6 3 2" xfId="15227"/>
    <cellStyle name="Note 2 6 4" xfId="12887"/>
    <cellStyle name="Note 2 6 4 2" xfId="15689"/>
    <cellStyle name="Note 2 6 5" xfId="11914"/>
    <cellStyle name="Note 2 6 6" xfId="14504"/>
    <cellStyle name="Note 2 6 7" xfId="13869"/>
    <cellStyle name="Note 2 7" xfId="7051"/>
    <cellStyle name="Note 2 7 2" xfId="8859"/>
    <cellStyle name="Note 2 7 2 2" xfId="12724"/>
    <cellStyle name="Note 2 7 2 2 2" xfId="15575"/>
    <cellStyle name="Note 2 7 2 3" xfId="12442"/>
    <cellStyle name="Note 2 7 2 3 2" xfId="15406"/>
    <cellStyle name="Note 2 7 2 4" xfId="12524"/>
    <cellStyle name="Note 2 7 2 5" xfId="14855"/>
    <cellStyle name="Note 2 7 2 6" xfId="14195"/>
    <cellStyle name="Note 2 7 3" xfId="12209"/>
    <cellStyle name="Note 2 7 3 2" xfId="15285"/>
    <cellStyle name="Note 2 7 4" xfId="13060"/>
    <cellStyle name="Note 2 7 4 2" xfId="15728"/>
    <cellStyle name="Note 2 7 5" xfId="11279"/>
    <cellStyle name="Note 2 7 6" xfId="14474"/>
    <cellStyle name="Note 2 7 7" xfId="13932"/>
    <cellStyle name="Note 2 8" xfId="7108"/>
    <cellStyle name="Note 2 8 2" xfId="8915"/>
    <cellStyle name="Note 2 8 2 2" xfId="12775"/>
    <cellStyle name="Note 2 8 2 2 2" xfId="15625"/>
    <cellStyle name="Note 2 8 2 3" xfId="12436"/>
    <cellStyle name="Note 2 8 2 3 2" xfId="15400"/>
    <cellStyle name="Note 2 8 2 4" xfId="11751"/>
    <cellStyle name="Note 2 8 2 5" xfId="14689"/>
    <cellStyle name="Note 2 8 2 6" xfId="14251"/>
    <cellStyle name="Note 2 8 3" xfId="12261"/>
    <cellStyle name="Note 2 8 3 2" xfId="15335"/>
    <cellStyle name="Note 2 8 4" xfId="13056"/>
    <cellStyle name="Note 2 8 4 2" xfId="15724"/>
    <cellStyle name="Note 2 8 5" xfId="10965"/>
    <cellStyle name="Note 2 8 6" xfId="14572"/>
    <cellStyle name="Note 2 8 7" xfId="13988"/>
    <cellStyle name="Note 2 9" xfId="6993"/>
    <cellStyle name="Note 2 9 2" xfId="12155"/>
    <cellStyle name="Note 2 9 2 2" xfId="15233"/>
    <cellStyle name="Note 2 9 3" xfId="11427"/>
    <cellStyle name="Note 2 9 3 2" xfId="15018"/>
    <cellStyle name="Note 2 9 4" xfId="11212"/>
    <cellStyle name="Note 2 9 5" xfId="14757"/>
    <cellStyle name="Note 2 9 6" xfId="13875"/>
    <cellStyle name="Note 3" xfId="4971"/>
    <cellStyle name="Note 3 10" xfId="11095"/>
    <cellStyle name="Note 3 10 2" xfId="14946"/>
    <cellStyle name="Note 3 11" xfId="12033"/>
    <cellStyle name="Note 3 12" xfId="14577"/>
    <cellStyle name="Note 3 13" xfId="13399"/>
    <cellStyle name="Note 3 2" xfId="7056"/>
    <cellStyle name="Note 3 2 2" xfId="8864"/>
    <cellStyle name="Note 3 2 2 2" xfId="12729"/>
    <cellStyle name="Note 3 2 2 2 2" xfId="15580"/>
    <cellStyle name="Note 3 2 2 3" xfId="11324"/>
    <cellStyle name="Note 3 2 2 3 2" xfId="14989"/>
    <cellStyle name="Note 3 2 2 4" xfId="12527"/>
    <cellStyle name="Note 3 2 2 5" xfId="14618"/>
    <cellStyle name="Note 3 2 2 6" xfId="14200"/>
    <cellStyle name="Note 3 2 3" xfId="12214"/>
    <cellStyle name="Note 3 2 3 2" xfId="11714"/>
    <cellStyle name="Note 3 2 4" xfId="11125"/>
    <cellStyle name="Note 3 2 4 2" xfId="14949"/>
    <cellStyle name="Note 3 2 5" xfId="11452"/>
    <cellStyle name="Note 3 2 6" xfId="14472"/>
    <cellStyle name="Note 3 2 7" xfId="13936"/>
    <cellStyle name="Note 3 3" xfId="6968"/>
    <cellStyle name="Note 3 3 2" xfId="8794"/>
    <cellStyle name="Note 3 3 2 2" xfId="12663"/>
    <cellStyle name="Note 3 3 2 2 2" xfId="15518"/>
    <cellStyle name="Note 3 3 2 3" xfId="12446"/>
    <cellStyle name="Note 3 3 2 3 2" xfId="15410"/>
    <cellStyle name="Note 3 3 2 4" xfId="11877"/>
    <cellStyle name="Note 3 3 2 5" xfId="14570"/>
    <cellStyle name="Note 3 3 2 6" xfId="14130"/>
    <cellStyle name="Note 3 3 3" xfId="12131"/>
    <cellStyle name="Note 3 3 3 2" xfId="15210"/>
    <cellStyle name="Note 3 3 4" xfId="12543"/>
    <cellStyle name="Note 3 3 4 2" xfId="15431"/>
    <cellStyle name="Note 3 3 5" xfId="11606"/>
    <cellStyle name="Note 3 3 6" xfId="14516"/>
    <cellStyle name="Note 3 3 7" xfId="13850"/>
    <cellStyle name="Note 3 4" xfId="7089"/>
    <cellStyle name="Note 3 4 2" xfId="8896"/>
    <cellStyle name="Note 3 4 2 2" xfId="12759"/>
    <cellStyle name="Note 3 4 2 2 2" xfId="15609"/>
    <cellStyle name="Note 3 4 2 3" xfId="12438"/>
    <cellStyle name="Note 3 4 2 3 2" xfId="15402"/>
    <cellStyle name="Note 3 4 2 4" xfId="11903"/>
    <cellStyle name="Note 3 4 2 5" xfId="14351"/>
    <cellStyle name="Note 3 4 2 6" xfId="14232"/>
    <cellStyle name="Note 3 4 3" xfId="12245"/>
    <cellStyle name="Note 3 4 3 2" xfId="15319"/>
    <cellStyle name="Note 3 4 4" xfId="13153"/>
    <cellStyle name="Note 3 4 4 2" xfId="15758"/>
    <cellStyle name="Note 3 4 5" xfId="11231"/>
    <cellStyle name="Note 3 4 6" xfId="14731"/>
    <cellStyle name="Note 3 4 7" xfId="13969"/>
    <cellStyle name="Note 3 5" xfId="6996"/>
    <cellStyle name="Note 3 5 2" xfId="8816"/>
    <cellStyle name="Note 3 5 2 2" xfId="12684"/>
    <cellStyle name="Note 3 5 2 2 2" xfId="15538"/>
    <cellStyle name="Note 3 5 2 3" xfId="11331"/>
    <cellStyle name="Note 3 5 2 3 2" xfId="14996"/>
    <cellStyle name="Note 3 5 2 4" xfId="11443"/>
    <cellStyle name="Note 3 5 2 5" xfId="14331"/>
    <cellStyle name="Note 3 5 2 6" xfId="14152"/>
    <cellStyle name="Note 3 5 3" xfId="12158"/>
    <cellStyle name="Note 3 5 3 2" xfId="15236"/>
    <cellStyle name="Note 3 5 4" xfId="12542"/>
    <cellStyle name="Note 3 5 4 2" xfId="15430"/>
    <cellStyle name="Note 3 5 5" xfId="12906"/>
    <cellStyle name="Note 3 5 6" xfId="14499"/>
    <cellStyle name="Note 3 5 7" xfId="13878"/>
    <cellStyle name="Note 3 6" xfId="7114"/>
    <cellStyle name="Note 3 6 2" xfId="8921"/>
    <cellStyle name="Note 3 6 2 2" xfId="12780"/>
    <cellStyle name="Note 3 6 2 2 2" xfId="15630"/>
    <cellStyle name="Note 3 6 2 3" xfId="11317"/>
    <cellStyle name="Note 3 6 2 3 2" xfId="14982"/>
    <cellStyle name="Note 3 6 2 4" xfId="11789"/>
    <cellStyle name="Note 3 6 2 5" xfId="14314"/>
    <cellStyle name="Note 3 6 2 6" xfId="14257"/>
    <cellStyle name="Note 3 6 3" xfId="12266"/>
    <cellStyle name="Note 3 6 3 2" xfId="15340"/>
    <cellStyle name="Note 3 6 4" xfId="11114"/>
    <cellStyle name="Note 3 6 4 2" xfId="14948"/>
    <cellStyle name="Note 3 6 5" xfId="11237"/>
    <cellStyle name="Note 3 6 6" xfId="14446"/>
    <cellStyle name="Note 3 6 7" xfId="13994"/>
    <cellStyle name="Note 3 7" xfId="7136"/>
    <cellStyle name="Note 3 7 2" xfId="8943"/>
    <cellStyle name="Note 3 7 2 2" xfId="12800"/>
    <cellStyle name="Note 3 7 2 2 2" xfId="15649"/>
    <cellStyle name="Note 3 7 2 3" xfId="12434"/>
    <cellStyle name="Note 3 7 2 3 2" xfId="15398"/>
    <cellStyle name="Note 3 7 2 4" xfId="11632"/>
    <cellStyle name="Note 3 7 2 5" xfId="14864"/>
    <cellStyle name="Note 3 7 2 6" xfId="14279"/>
    <cellStyle name="Note 3 7 3" xfId="12286"/>
    <cellStyle name="Note 3 7 3 2" xfId="15359"/>
    <cellStyle name="Note 3 7 4" xfId="12975"/>
    <cellStyle name="Note 3 7 4 2" xfId="15707"/>
    <cellStyle name="Note 3 7 5" xfId="13100"/>
    <cellStyle name="Note 3 7 6" xfId="14433"/>
    <cellStyle name="Note 3 7 7" xfId="14016"/>
    <cellStyle name="Note 3 8" xfId="7074"/>
    <cellStyle name="Note 3 8 2" xfId="12230"/>
    <cellStyle name="Note 3 8 2 2" xfId="15304"/>
    <cellStyle name="Note 3 8 3" xfId="13058"/>
    <cellStyle name="Note 3 8 3 2" xfId="15726"/>
    <cellStyle name="Note 3 8 4" xfId="11261"/>
    <cellStyle name="Note 3 8 5" xfId="14419"/>
    <cellStyle name="Note 3 8 6" xfId="13954"/>
    <cellStyle name="Note 3 9" xfId="11801"/>
    <cellStyle name="Note 3 9 2" xfId="11391"/>
    <cellStyle name="Note 3 9 3" xfId="15086"/>
    <cellStyle name="Note 3 9 4" xfId="13727"/>
    <cellStyle name="Note 4" xfId="6897"/>
    <cellStyle name="Note 4 2" xfId="8734"/>
    <cellStyle name="Note 4 2 2" xfId="12606"/>
    <cellStyle name="Note 4 2 2 2" xfId="15463"/>
    <cellStyle name="Note 4 2 3" xfId="12851"/>
    <cellStyle name="Note 4 2 3 2" xfId="15680"/>
    <cellStyle name="Note 4 2 4" xfId="13054"/>
    <cellStyle name="Note 4 2 5" xfId="14633"/>
    <cellStyle name="Note 4 2 6" xfId="14070"/>
    <cellStyle name="Note 4 3" xfId="12064"/>
    <cellStyle name="Note 4 3 2" xfId="12372"/>
    <cellStyle name="Note 4 4" xfId="12965"/>
    <cellStyle name="Note 4 4 2" xfId="15705"/>
    <cellStyle name="Note 4 5" xfId="11883"/>
    <cellStyle name="Note 4 6" xfId="14552"/>
    <cellStyle name="Note 4 7" xfId="13783"/>
    <cellStyle name="Note 5" xfId="6947"/>
    <cellStyle name="Note 5 2" xfId="8777"/>
    <cellStyle name="Note 5 2 2" xfId="12646"/>
    <cellStyle name="Note 5 2 2 2" xfId="15502"/>
    <cellStyle name="Note 5 2 3" xfId="11336"/>
    <cellStyle name="Note 5 2 3 2" xfId="15001"/>
    <cellStyle name="Note 5 2 4" xfId="12513"/>
    <cellStyle name="Note 5 2 5" xfId="14659"/>
    <cellStyle name="Note 5 2 6" xfId="14113"/>
    <cellStyle name="Note 5 3" xfId="12110"/>
    <cellStyle name="Note 5 3 2" xfId="15190"/>
    <cellStyle name="Note 5 4" xfId="13147"/>
    <cellStyle name="Note 5 4 2" xfId="15756"/>
    <cellStyle name="Note 5 5" xfId="10980"/>
    <cellStyle name="Note 5 6" xfId="14536"/>
    <cellStyle name="Note 5 7" xfId="13831"/>
    <cellStyle name="Note 6" xfId="6957"/>
    <cellStyle name="Note 6 2" xfId="8786"/>
    <cellStyle name="Note 6 2 2" xfId="12655"/>
    <cellStyle name="Note 6 2 2 2" xfId="15511"/>
    <cellStyle name="Note 6 2 3" xfId="11332"/>
    <cellStyle name="Note 6 2 3 2" xfId="14997"/>
    <cellStyle name="Note 6 2 4" xfId="13221"/>
    <cellStyle name="Note 6 2 5" xfId="14687"/>
    <cellStyle name="Note 6 2 6" xfId="14122"/>
    <cellStyle name="Note 6 3" xfId="12120"/>
    <cellStyle name="Note 6 3 2" xfId="15200"/>
    <cellStyle name="Note 6 4" xfId="13161"/>
    <cellStyle name="Note 6 4 2" xfId="15761"/>
    <cellStyle name="Note 6 5" xfId="11757"/>
    <cellStyle name="Note 6 6" xfId="14373"/>
    <cellStyle name="Note 6 7" xfId="13839"/>
    <cellStyle name="Note 7" xfId="6932"/>
    <cellStyle name="Note 7 2" xfId="8763"/>
    <cellStyle name="Note 7 2 2" xfId="12633"/>
    <cellStyle name="Note 7 2 2 2" xfId="15489"/>
    <cellStyle name="Note 7 2 3" xfId="11338"/>
    <cellStyle name="Note 7 2 3 2" xfId="15003"/>
    <cellStyle name="Note 7 2 4" xfId="13173"/>
    <cellStyle name="Note 7 2 5" xfId="14674"/>
    <cellStyle name="Note 7 2 6" xfId="14099"/>
    <cellStyle name="Note 7 3" xfId="12096"/>
    <cellStyle name="Note 7 3 2" xfId="15176"/>
    <cellStyle name="Note 7 4" xfId="13072"/>
    <cellStyle name="Note 7 4 2" xfId="15740"/>
    <cellStyle name="Note 7 5" xfId="13028"/>
    <cellStyle name="Note 7 6" xfId="14378"/>
    <cellStyle name="Note 7 7" xfId="13816"/>
    <cellStyle name="Note 8" xfId="7017"/>
    <cellStyle name="Note 8 2" xfId="8832"/>
    <cellStyle name="Note 8 2 2" xfId="12698"/>
    <cellStyle name="Note 8 2 2 2" xfId="15551"/>
    <cellStyle name="Note 8 2 3" xfId="11329"/>
    <cellStyle name="Note 8 2 3 2" xfId="14994"/>
    <cellStyle name="Note 8 2 4" xfId="12516"/>
    <cellStyle name="Note 8 2 5" xfId="14319"/>
    <cellStyle name="Note 8 2 6" xfId="14168"/>
    <cellStyle name="Note 8 3" xfId="12177"/>
    <cellStyle name="Note 8 3 2" xfId="15254"/>
    <cellStyle name="Note 8 4" xfId="12841"/>
    <cellStyle name="Note 8 4 2" xfId="15679"/>
    <cellStyle name="Note 8 5" xfId="11875"/>
    <cellStyle name="Note 8 6" xfId="14489"/>
    <cellStyle name="Note 8 7" xfId="13899"/>
    <cellStyle name="Note 9" xfId="7030"/>
    <cellStyle name="Note 9 2" xfId="8843"/>
    <cellStyle name="Note 9 2 2" xfId="12709"/>
    <cellStyle name="Note 9 2 2 2" xfId="15561"/>
    <cellStyle name="Note 9 2 3" xfId="11328"/>
    <cellStyle name="Note 9 2 3 2" xfId="14993"/>
    <cellStyle name="Note 9 2 4" xfId="12519"/>
    <cellStyle name="Note 9 2 5" xfId="14616"/>
    <cellStyle name="Note 9 2 6" xfId="14179"/>
    <cellStyle name="Note 9 3" xfId="12189"/>
    <cellStyle name="Note 9 3 2" xfId="15266"/>
    <cellStyle name="Note 9 4" xfId="12540"/>
    <cellStyle name="Note 9 4 2" xfId="15428"/>
    <cellStyle name="Note 9 5" xfId="11220"/>
    <cellStyle name="Note 9 6" xfId="14420"/>
    <cellStyle name="Note 9 7" xfId="13911"/>
    <cellStyle name="Numero" xfId="2967"/>
    <cellStyle name="Numero 2" xfId="8148"/>
    <cellStyle name="Output" xfId="418"/>
    <cellStyle name="Output 10" xfId="13191"/>
    <cellStyle name="Output 10 2" xfId="15779"/>
    <cellStyle name="Output 11" xfId="11045"/>
    <cellStyle name="Output 11 2" xfId="14929"/>
    <cellStyle name="Output 12" xfId="11445"/>
    <cellStyle name="Output 12 2" xfId="15025"/>
    <cellStyle name="Output 13" xfId="14605"/>
    <cellStyle name="Output 14" xfId="13372"/>
    <cellStyle name="Output 2" xfId="4977"/>
    <cellStyle name="Output 2 10" xfId="11807"/>
    <cellStyle name="Output 2 10 2" xfId="11506"/>
    <cellStyle name="Output 2 10 2 2" xfId="15033"/>
    <cellStyle name="Output 2 10 3" xfId="15089"/>
    <cellStyle name="Output 2 11" xfId="11845"/>
    <cellStyle name="Output 2 11 2" xfId="15096"/>
    <cellStyle name="Output 2 12" xfId="14774"/>
    <cellStyle name="Output 2 13" xfId="13733"/>
    <cellStyle name="Output 2 2" xfId="7062"/>
    <cellStyle name="Output 2 2 2" xfId="8870"/>
    <cellStyle name="Output 2 2 2 2" xfId="12735"/>
    <cellStyle name="Output 2 2 2 2 2" xfId="15586"/>
    <cellStyle name="Output 2 2 2 3" xfId="11414"/>
    <cellStyle name="Output 2 2 2 3 2" xfId="15007"/>
    <cellStyle name="Output 2 2 2 4" xfId="14645"/>
    <cellStyle name="Output 2 2 2 5" xfId="14206"/>
    <cellStyle name="Output 2 2 3" xfId="12220"/>
    <cellStyle name="Output 2 2 3 2" xfId="15295"/>
    <cellStyle name="Output 2 2 4" xfId="11227"/>
    <cellStyle name="Output 2 2 4 2" xfId="14963"/>
    <cellStyle name="Output 2 2 5" xfId="14470"/>
    <cellStyle name="Output 2 2 6" xfId="13942"/>
    <cellStyle name="Output 2 3" xfId="7077"/>
    <cellStyle name="Output 2 3 2" xfId="8884"/>
    <cellStyle name="Output 2 3 2 2" xfId="12747"/>
    <cellStyle name="Output 2 3 2 2 2" xfId="15597"/>
    <cellStyle name="Output 2 3 2 3" xfId="11719"/>
    <cellStyle name="Output 2 3 2 3 2" xfId="15072"/>
    <cellStyle name="Output 2 3 2 4" xfId="14851"/>
    <cellStyle name="Output 2 3 2 5" xfId="14220"/>
    <cellStyle name="Output 2 3 3" xfId="12233"/>
    <cellStyle name="Output 2 3 3 2" xfId="15307"/>
    <cellStyle name="Output 2 3 4" xfId="11049"/>
    <cellStyle name="Output 2 3 4 2" xfId="14932"/>
    <cellStyle name="Output 2 3 5" xfId="14464"/>
    <cellStyle name="Output 2 3 6" xfId="13957"/>
    <cellStyle name="Output 2 4" xfId="6874"/>
    <cellStyle name="Output 2 4 2" xfId="8714"/>
    <cellStyle name="Output 2 4 2 2" xfId="12588"/>
    <cellStyle name="Output 2 4 2 2 2" xfId="15446"/>
    <cellStyle name="Output 2 4 2 3" xfId="13176"/>
    <cellStyle name="Output 2 4 2 3 2" xfId="15766"/>
    <cellStyle name="Output 2 4 2 4" xfId="14709"/>
    <cellStyle name="Output 2 4 2 5" xfId="14050"/>
    <cellStyle name="Output 2 4 3" xfId="12043"/>
    <cellStyle name="Output 2 4 3 2" xfId="15128"/>
    <cellStyle name="Output 2 4 4" xfId="13029"/>
    <cellStyle name="Output 2 4 4 2" xfId="15713"/>
    <cellStyle name="Output 2 4 5" xfId="14531"/>
    <cellStyle name="Output 2 4 6" xfId="13761"/>
    <cellStyle name="Output 2 5" xfId="7095"/>
    <cellStyle name="Output 2 5 2" xfId="8902"/>
    <cellStyle name="Output 2 5 2 2" xfId="12765"/>
    <cellStyle name="Output 2 5 2 2 2" xfId="15615"/>
    <cellStyle name="Output 2 5 2 3" xfId="11551"/>
    <cellStyle name="Output 2 5 2 3 2" xfId="15036"/>
    <cellStyle name="Output 2 5 2 4" xfId="14317"/>
    <cellStyle name="Output 2 5 2 5" xfId="14238"/>
    <cellStyle name="Output 2 5 3" xfId="12251"/>
    <cellStyle name="Output 2 5 3 2" xfId="15325"/>
    <cellStyle name="Output 2 5 4" xfId="11262"/>
    <cellStyle name="Output 2 5 4 2" xfId="14970"/>
    <cellStyle name="Output 2 5 5" xfId="14728"/>
    <cellStyle name="Output 2 5 6" xfId="13975"/>
    <cellStyle name="Output 2 6" xfId="6997"/>
    <cellStyle name="Output 2 6 2" xfId="8817"/>
    <cellStyle name="Output 2 6 2 2" xfId="12685"/>
    <cellStyle name="Output 2 6 2 2 2" xfId="15539"/>
    <cellStyle name="Output 2 6 2 3" xfId="11672"/>
    <cellStyle name="Output 2 6 2 3 2" xfId="15066"/>
    <cellStyle name="Output 2 6 2 4" xfId="14330"/>
    <cellStyle name="Output 2 6 2 5" xfId="14153"/>
    <cellStyle name="Output 2 6 3" xfId="12159"/>
    <cellStyle name="Output 2 6 3 2" xfId="15237"/>
    <cellStyle name="Output 2 6 4" xfId="11214"/>
    <cellStyle name="Output 2 6 4 2" xfId="14959"/>
    <cellStyle name="Output 2 6 5" xfId="14498"/>
    <cellStyle name="Output 2 6 6" xfId="13879"/>
    <cellStyle name="Output 2 7" xfId="7120"/>
    <cellStyle name="Output 2 7 2" xfId="8927"/>
    <cellStyle name="Output 2 7 2 2" xfId="12786"/>
    <cellStyle name="Output 2 7 2 2 2" xfId="15636"/>
    <cellStyle name="Output 2 7 2 3" xfId="11614"/>
    <cellStyle name="Output 2 7 2 3 2" xfId="15048"/>
    <cellStyle name="Output 2 7 2 4" xfId="14298"/>
    <cellStyle name="Output 2 7 2 5" xfId="14263"/>
    <cellStyle name="Output 2 7 3" xfId="12272"/>
    <cellStyle name="Output 2 7 3 2" xfId="15346"/>
    <cellStyle name="Output 2 7 4" xfId="12927"/>
    <cellStyle name="Output 2 7 4 2" xfId="15698"/>
    <cellStyle name="Output 2 7 5" xfId="14310"/>
    <cellStyle name="Output 2 7 6" xfId="14000"/>
    <cellStyle name="Output 2 8" xfId="7142"/>
    <cellStyle name="Output 2 8 2" xfId="8949"/>
    <cellStyle name="Output 2 8 2 2" xfId="12806"/>
    <cellStyle name="Output 2 8 2 2 2" xfId="15655"/>
    <cellStyle name="Output 2 8 2 3" xfId="11418"/>
    <cellStyle name="Output 2 8 2 3 2" xfId="15009"/>
    <cellStyle name="Output 2 8 2 4" xfId="14845"/>
    <cellStyle name="Output 2 8 2 5" xfId="14285"/>
    <cellStyle name="Output 2 8 3" xfId="12292"/>
    <cellStyle name="Output 2 8 3 2" xfId="15365"/>
    <cellStyle name="Output 2 8 4" xfId="13284"/>
    <cellStyle name="Output 2 8 4 2" xfId="15797"/>
    <cellStyle name="Output 2 8 5" xfId="14309"/>
    <cellStyle name="Output 2 8 6" xfId="14022"/>
    <cellStyle name="Output 2 9" xfId="6941"/>
    <cellStyle name="Output 2 9 2" xfId="12105"/>
    <cellStyle name="Output 2 9 2 2" xfId="15185"/>
    <cellStyle name="Output 2 9 3" xfId="11776"/>
    <cellStyle name="Output 2 9 3 2" xfId="15079"/>
    <cellStyle name="Output 2 9 4" xfId="14546"/>
    <cellStyle name="Output 2 9 5" xfId="13825"/>
    <cellStyle name="Output 3" xfId="6898"/>
    <cellStyle name="Output 3 2" xfId="8735"/>
    <cellStyle name="Output 3 2 2" xfId="12607"/>
    <cellStyle name="Output 3 2 2 2" xfId="15464"/>
    <cellStyle name="Output 3 2 3" xfId="13053"/>
    <cellStyle name="Output 3 2 3 2" xfId="15723"/>
    <cellStyle name="Output 3 2 4" xfId="14825"/>
    <cellStyle name="Output 3 2 5" xfId="14071"/>
    <cellStyle name="Output 3 3" xfId="12065"/>
    <cellStyle name="Output 3 3 2" xfId="13047"/>
    <cellStyle name="Output 3 3 2 2" xfId="15720"/>
    <cellStyle name="Output 3 3 3" xfId="15145"/>
    <cellStyle name="Output 3 4" xfId="11932"/>
    <cellStyle name="Output 3 4 2" xfId="15116"/>
    <cellStyle name="Output 3 5" xfId="14529"/>
    <cellStyle name="Output 3 6" xfId="13784"/>
    <cellStyle name="Output 4" xfId="6937"/>
    <cellStyle name="Output 4 2" xfId="8768"/>
    <cellStyle name="Output 4 2 2" xfId="12638"/>
    <cellStyle name="Output 4 2 2 2" xfId="15494"/>
    <cellStyle name="Output 4 2 3" xfId="11940"/>
    <cellStyle name="Output 4 2 3 2" xfId="15118"/>
    <cellStyle name="Output 4 2 4" xfId="14823"/>
    <cellStyle name="Output 4 2 5" xfId="14104"/>
    <cellStyle name="Output 4 3" xfId="12101"/>
    <cellStyle name="Output 4 3 2" xfId="15181"/>
    <cellStyle name="Output 4 4" xfId="11594"/>
    <cellStyle name="Output 4 4 2" xfId="15043"/>
    <cellStyle name="Output 4 5" xfId="14520"/>
    <cellStyle name="Output 4 6" xfId="13821"/>
    <cellStyle name="Output 5" xfId="7035"/>
    <cellStyle name="Output 5 2" xfId="8847"/>
    <cellStyle name="Output 5 2 2" xfId="12713"/>
    <cellStyle name="Output 5 2 2 2" xfId="15565"/>
    <cellStyle name="Output 5 2 3" xfId="12523"/>
    <cellStyle name="Output 5 2 3 2" xfId="15419"/>
    <cellStyle name="Output 5 2 4" xfId="14664"/>
    <cellStyle name="Output 5 2 5" xfId="14183"/>
    <cellStyle name="Output 5 3" xfId="12194"/>
    <cellStyle name="Output 5 3 2" xfId="15271"/>
    <cellStyle name="Output 5 4" xfId="13343"/>
    <cellStyle name="Output 5 4 2" xfId="15801"/>
    <cellStyle name="Output 5 5" xfId="14747"/>
    <cellStyle name="Output 5 6" xfId="13916"/>
    <cellStyle name="Output 6" xfId="7049"/>
    <cellStyle name="Output 6 2" xfId="8858"/>
    <cellStyle name="Output 6 2 2" xfId="12723"/>
    <cellStyle name="Output 6 2 2 2" xfId="15574"/>
    <cellStyle name="Output 6 2 3" xfId="11669"/>
    <cellStyle name="Output 6 2 3 2" xfId="15065"/>
    <cellStyle name="Output 6 2 4" xfId="14656"/>
    <cellStyle name="Output 6 2 5" xfId="14194"/>
    <cellStyle name="Output 6 3" xfId="12207"/>
    <cellStyle name="Output 6 3 2" xfId="15283"/>
    <cellStyle name="Output 6 4" xfId="10912"/>
    <cellStyle name="Output 6 4 2" xfId="14914"/>
    <cellStyle name="Output 6 5" xfId="14742"/>
    <cellStyle name="Output 6 6" xfId="13930"/>
    <cellStyle name="Output 7" xfId="7044"/>
    <cellStyle name="Output 7 2" xfId="8855"/>
    <cellStyle name="Output 7 2 2" xfId="12720"/>
    <cellStyle name="Output 7 2 2 2" xfId="15571"/>
    <cellStyle name="Output 7 2 3" xfId="10927"/>
    <cellStyle name="Output 7 2 3 2" xfId="14916"/>
    <cellStyle name="Output 7 2 4" xfId="14865"/>
    <cellStyle name="Output 7 2 5" xfId="14191"/>
    <cellStyle name="Output 7 3" xfId="12202"/>
    <cellStyle name="Output 7 3 2" xfId="15278"/>
    <cellStyle name="Output 7 4" xfId="12563"/>
    <cellStyle name="Output 7 4 2" xfId="15438"/>
    <cellStyle name="Output 7 5" xfId="14479"/>
    <cellStyle name="Output 7 6" xfId="13925"/>
    <cellStyle name="Output 8" xfId="6935"/>
    <cellStyle name="Output 8 2" xfId="8766"/>
    <cellStyle name="Output 8 2 2" xfId="12636"/>
    <cellStyle name="Output 8 2 2 2" xfId="15492"/>
    <cellStyle name="Output 8 2 3" xfId="12507"/>
    <cellStyle name="Output 8 2 3 2" xfId="15415"/>
    <cellStyle name="Output 8 2 4" xfId="14642"/>
    <cellStyle name="Output 8 2 5" xfId="14102"/>
    <cellStyle name="Output 8 3" xfId="12099"/>
    <cellStyle name="Output 8 3 2" xfId="15179"/>
    <cellStyle name="Output 8 4" xfId="12580"/>
    <cellStyle name="Output 8 4 2" xfId="15440"/>
    <cellStyle name="Output 8 5" xfId="14521"/>
    <cellStyle name="Output 8 6" xfId="13819"/>
    <cellStyle name="Output 9" xfId="7008"/>
    <cellStyle name="Output 9 2" xfId="12169"/>
    <cellStyle name="Output 9 2 2" xfId="15247"/>
    <cellStyle name="Output 9 3" xfId="12896"/>
    <cellStyle name="Output 9 3 2" xfId="15691"/>
    <cellStyle name="Output 9 4" xfId="14753"/>
    <cellStyle name="Output 9 5" xfId="13890"/>
    <cellStyle name="Percent [2]" xfId="310"/>
    <cellStyle name="Percent [2] 2" xfId="774"/>
    <cellStyle name="Percent [2] 2 2" xfId="9713"/>
    <cellStyle name="Percent [2] 3" xfId="8149"/>
    <cellStyle name="Percent [2] 4" xfId="8150"/>
    <cellStyle name="Percent [2] 5" xfId="8151"/>
    <cellStyle name="Percent [2] 6" xfId="8152"/>
    <cellStyle name="Percent [2] 7" xfId="8153"/>
    <cellStyle name="Percent [2] 8" xfId="8154"/>
    <cellStyle name="Percent_Sheet1" xfId="311"/>
    <cellStyle name="Percentual" xfId="312"/>
    <cellStyle name="Ponto" xfId="313"/>
    <cellStyle name="Porcentagem" xfId="923" builtinId="5"/>
    <cellStyle name="Porcentagem 10" xfId="1897"/>
    <cellStyle name="Porcentagem 11" xfId="1898"/>
    <cellStyle name="Porcentagem 12" xfId="1899"/>
    <cellStyle name="Porcentagem 13" xfId="1900"/>
    <cellStyle name="Porcentagem 14" xfId="1901"/>
    <cellStyle name="Porcentagem 15" xfId="1902"/>
    <cellStyle name="Porcentagem 2" xfId="36"/>
    <cellStyle name="Porcentagem 2 10" xfId="644"/>
    <cellStyle name="Porcentagem 2 11" xfId="1903"/>
    <cellStyle name="Porcentagem 2 12" xfId="1904"/>
    <cellStyle name="Porcentagem 2 13" xfId="8155"/>
    <cellStyle name="Porcentagem 2 14" xfId="8156"/>
    <cellStyle name="Porcentagem 2 2" xfId="37"/>
    <cellStyle name="Porcentagem 2 2 10" xfId="1905"/>
    <cellStyle name="Porcentagem 2 2 11" xfId="8157"/>
    <cellStyle name="Porcentagem 2 2 12" xfId="8158"/>
    <cellStyle name="Porcentagem 2 2 2" xfId="100"/>
    <cellStyle name="Porcentagem 2 2 2 10" xfId="8159"/>
    <cellStyle name="Porcentagem 2 2 2 11" xfId="8160"/>
    <cellStyle name="Porcentagem 2 2 2 2" xfId="638"/>
    <cellStyle name="Porcentagem 2 2 2 3" xfId="1906"/>
    <cellStyle name="Porcentagem 2 2 2 4" xfId="1907"/>
    <cellStyle name="Porcentagem 2 2 2 5" xfId="1908"/>
    <cellStyle name="Porcentagem 2 2 2 6" xfId="1909"/>
    <cellStyle name="Porcentagem 2 2 2 7" xfId="1910"/>
    <cellStyle name="Porcentagem 2 2 2 8" xfId="1911"/>
    <cellStyle name="Porcentagem 2 2 2 9" xfId="1912"/>
    <cellStyle name="Porcentagem 2 2 3" xfId="847"/>
    <cellStyle name="Porcentagem 2 2 4" xfId="1913"/>
    <cellStyle name="Porcentagem 2 2 5" xfId="1914"/>
    <cellStyle name="Porcentagem 2 2 6" xfId="1915"/>
    <cellStyle name="Porcentagem 2 2 7" xfId="1916"/>
    <cellStyle name="Porcentagem 2 2 8" xfId="1917"/>
    <cellStyle name="Porcentagem 2 2 9" xfId="1918"/>
    <cellStyle name="Porcentagem 2 3" xfId="38"/>
    <cellStyle name="Porcentagem 2 3 10" xfId="8161"/>
    <cellStyle name="Porcentagem 2 3 11" xfId="8162"/>
    <cellStyle name="Porcentagem 2 3 2" xfId="689"/>
    <cellStyle name="Porcentagem 2 3 2 2" xfId="8163"/>
    <cellStyle name="Porcentagem 2 3 3" xfId="1919"/>
    <cellStyle name="Porcentagem 2 3 4" xfId="1920"/>
    <cellStyle name="Porcentagem 2 3 5" xfId="1921"/>
    <cellStyle name="Porcentagem 2 3 6" xfId="1922"/>
    <cellStyle name="Porcentagem 2 3 7" xfId="1923"/>
    <cellStyle name="Porcentagem 2 3 8" xfId="1924"/>
    <cellStyle name="Porcentagem 2 3 9" xfId="1925"/>
    <cellStyle name="Porcentagem 2 4" xfId="39"/>
    <cellStyle name="Porcentagem 2 4 10" xfId="1926"/>
    <cellStyle name="Porcentagem 2 4 11" xfId="8164"/>
    <cellStyle name="Porcentagem 2 4 12" xfId="8165"/>
    <cellStyle name="Porcentagem 2 4 2" xfId="77"/>
    <cellStyle name="Porcentagem 2 4 2 10" xfId="8166"/>
    <cellStyle name="Porcentagem 2 4 2 11" xfId="8167"/>
    <cellStyle name="Porcentagem 2 4 2 2" xfId="705"/>
    <cellStyle name="Porcentagem 2 4 2 3" xfId="1927"/>
    <cellStyle name="Porcentagem 2 4 2 4" xfId="1928"/>
    <cellStyle name="Porcentagem 2 4 2 5" xfId="1929"/>
    <cellStyle name="Porcentagem 2 4 2 6" xfId="1930"/>
    <cellStyle name="Porcentagem 2 4 2 7" xfId="1931"/>
    <cellStyle name="Porcentagem 2 4 2 8" xfId="1932"/>
    <cellStyle name="Porcentagem 2 4 2 9" xfId="1933"/>
    <cellStyle name="Porcentagem 2 4 3" xfId="690"/>
    <cellStyle name="Porcentagem 2 4 4" xfId="1934"/>
    <cellStyle name="Porcentagem 2 4 5" xfId="1935"/>
    <cellStyle name="Porcentagem 2 4 6" xfId="1936"/>
    <cellStyle name="Porcentagem 2 4 7" xfId="1937"/>
    <cellStyle name="Porcentagem 2 4 8" xfId="1938"/>
    <cellStyle name="Porcentagem 2 4 9" xfId="1939"/>
    <cellStyle name="Porcentagem 2 5" xfId="848"/>
    <cellStyle name="Porcentagem 2 5 2" xfId="8168"/>
    <cellStyle name="Porcentagem 2 6" xfId="1940"/>
    <cellStyle name="Porcentagem 2 7" xfId="1941"/>
    <cellStyle name="Porcentagem 2 8" xfId="1942"/>
    <cellStyle name="Porcentagem 2 9" xfId="1943"/>
    <cellStyle name="Porcentagem 3" xfId="40"/>
    <cellStyle name="Porcentagem 3 10" xfId="1944"/>
    <cellStyle name="Porcentagem 3 11" xfId="1945"/>
    <cellStyle name="Porcentagem 3 12" xfId="1946"/>
    <cellStyle name="Porcentagem 3 13" xfId="8169"/>
    <cellStyle name="Porcentagem 3 14" xfId="8170"/>
    <cellStyle name="Porcentagem 3 2" xfId="41"/>
    <cellStyle name="Porcentagem 3 2 10" xfId="1947"/>
    <cellStyle name="Porcentagem 3 2 11" xfId="1948"/>
    <cellStyle name="Porcentagem 3 2 12" xfId="8171"/>
    <cellStyle name="Porcentagem 3 2 13" xfId="8172"/>
    <cellStyle name="Porcentagem 3 2 2" xfId="42"/>
    <cellStyle name="Porcentagem 3 2 2 10" xfId="8173"/>
    <cellStyle name="Porcentagem 3 2 2 11" xfId="8174"/>
    <cellStyle name="Porcentagem 3 2 2 2" xfId="691"/>
    <cellStyle name="Porcentagem 3 2 2 3" xfId="1949"/>
    <cellStyle name="Porcentagem 3 2 2 4" xfId="1950"/>
    <cellStyle name="Porcentagem 3 2 2 5" xfId="1951"/>
    <cellStyle name="Porcentagem 3 2 2 6" xfId="1952"/>
    <cellStyle name="Porcentagem 3 2 2 7" xfId="1953"/>
    <cellStyle name="Porcentagem 3 2 2 8" xfId="1954"/>
    <cellStyle name="Porcentagem 3 2 2 9" xfId="1955"/>
    <cellStyle name="Porcentagem 3 2 3" xfId="101"/>
    <cellStyle name="Porcentagem 3 2 3 10" xfId="1956"/>
    <cellStyle name="Porcentagem 3 2 3 10 2" xfId="1957"/>
    <cellStyle name="Porcentagem 3 2 3 10 3" xfId="8175"/>
    <cellStyle name="Porcentagem 3 2 3 10 4" xfId="13493"/>
    <cellStyle name="Porcentagem 3 2 3 11" xfId="3737"/>
    <cellStyle name="Porcentagem 3 2 3 12" xfId="8176"/>
    <cellStyle name="Porcentagem 3 2 3 2" xfId="314"/>
    <cellStyle name="Porcentagem 3 2 3 2 10" xfId="8177"/>
    <cellStyle name="Porcentagem 3 2 3 2 11" xfId="8178"/>
    <cellStyle name="Porcentagem 3 2 3 2 12" xfId="8179"/>
    <cellStyle name="Porcentagem 3 2 3 2 12 2" xfId="8180"/>
    <cellStyle name="Porcentagem 3 2 3 2 13" xfId="8181"/>
    <cellStyle name="Porcentagem 3 2 3 2 13 2" xfId="8182"/>
    <cellStyle name="Porcentagem 3 2 3 2 14" xfId="8183"/>
    <cellStyle name="Porcentagem 3 2 3 2 15" xfId="8184"/>
    <cellStyle name="Porcentagem 3 2 3 2 2" xfId="560"/>
    <cellStyle name="Porcentagem 3 2 3 2 3" xfId="1073"/>
    <cellStyle name="Porcentagem 3 2 3 2 3 2" xfId="1959"/>
    <cellStyle name="Porcentagem 3 2 3 2 4" xfId="1960"/>
    <cellStyle name="Porcentagem 3 2 3 2 4 2" xfId="8185"/>
    <cellStyle name="Porcentagem 3 2 3 2 5" xfId="1961"/>
    <cellStyle name="Porcentagem 3 2 3 2 5 2" xfId="8186"/>
    <cellStyle name="Porcentagem 3 2 3 2 5 3" xfId="8187"/>
    <cellStyle name="Porcentagem 3 2 3 2 5 4" xfId="13494"/>
    <cellStyle name="Porcentagem 3 2 3 2 6" xfId="1958"/>
    <cellStyle name="Porcentagem 3 2 3 2 7" xfId="8188"/>
    <cellStyle name="Porcentagem 3 2 3 2 8" xfId="8189"/>
    <cellStyle name="Porcentagem 3 2 3 2 8 2" xfId="8190"/>
    <cellStyle name="Porcentagem 3 2 3 2 9" xfId="8191"/>
    <cellStyle name="Porcentagem 3 2 3 2 9 2" xfId="8192"/>
    <cellStyle name="Porcentagem 3 2 3 3" xfId="721"/>
    <cellStyle name="Porcentagem 3 2 3 4" xfId="1962"/>
    <cellStyle name="Porcentagem 3 2 3 5" xfId="1963"/>
    <cellStyle name="Porcentagem 3 2 3 5 2" xfId="1964"/>
    <cellStyle name="Porcentagem 3 2 3 5 2 2" xfId="1965"/>
    <cellStyle name="Porcentagem 3 2 3 5 3" xfId="1966"/>
    <cellStyle name="Porcentagem 3 2 3 5 4" xfId="1967"/>
    <cellStyle name="Porcentagem 3 2 3 5 5" xfId="13495"/>
    <cellStyle name="Porcentagem 3 2 3 6" xfId="1968"/>
    <cellStyle name="Porcentagem 3 2 3 7" xfId="1969"/>
    <cellStyle name="Porcentagem 3 2 3 8" xfId="1970"/>
    <cellStyle name="Porcentagem 3 2 3 9" xfId="1971"/>
    <cellStyle name="Porcentagem 3 2 4" xfId="315"/>
    <cellStyle name="Porcentagem 3 2 4 2" xfId="775"/>
    <cellStyle name="Porcentagem 3 2 4 3" xfId="8193"/>
    <cellStyle name="Porcentagem 3 2 4 4" xfId="8194"/>
    <cellStyle name="Porcentagem 3 2 4 5" xfId="8195"/>
    <cellStyle name="Porcentagem 3 2 4 6" xfId="8196"/>
    <cellStyle name="Porcentagem 3 2 4 7" xfId="8197"/>
    <cellStyle name="Porcentagem 3 2 4 8" xfId="8198"/>
    <cellStyle name="Porcentagem 3 2 5" xfId="661"/>
    <cellStyle name="Porcentagem 3 2 6" xfId="1972"/>
    <cellStyle name="Porcentagem 3 2 7" xfId="1973"/>
    <cellStyle name="Porcentagem 3 2 8" xfId="1974"/>
    <cellStyle name="Porcentagem 3 2 9" xfId="1975"/>
    <cellStyle name="Porcentagem 3 3" xfId="43"/>
    <cellStyle name="Porcentagem 3 3 10" xfId="8199"/>
    <cellStyle name="Porcentagem 3 3 11" xfId="8200"/>
    <cellStyle name="Porcentagem 3 3 12" xfId="9254"/>
    <cellStyle name="Porcentagem 3 3 2" xfId="692"/>
    <cellStyle name="Porcentagem 3 3 2 2" xfId="8201"/>
    <cellStyle name="Porcentagem 3 3 3" xfId="1976"/>
    <cellStyle name="Porcentagem 3 3 3 2" xfId="2968"/>
    <cellStyle name="Porcentagem 3 3 4" xfId="1977"/>
    <cellStyle name="Porcentagem 3 3 5" xfId="1978"/>
    <cellStyle name="Porcentagem 3 3 6" xfId="1979"/>
    <cellStyle name="Porcentagem 3 3 7" xfId="1980"/>
    <cellStyle name="Porcentagem 3 3 8" xfId="1981"/>
    <cellStyle name="Porcentagem 3 3 9" xfId="1982"/>
    <cellStyle name="Porcentagem 3 4" xfId="102"/>
    <cellStyle name="Porcentagem 3 4 10" xfId="4059"/>
    <cellStyle name="Porcentagem 3 4 11" xfId="8202"/>
    <cellStyle name="Porcentagem 3 4 12" xfId="8203"/>
    <cellStyle name="Porcentagem 3 4 2" xfId="316"/>
    <cellStyle name="Porcentagem 3 4 2 2" xfId="1984"/>
    <cellStyle name="Porcentagem 3 4 2 3" xfId="1985"/>
    <cellStyle name="Porcentagem 3 4 2 4" xfId="1986"/>
    <cellStyle name="Porcentagem 3 4 2 5" xfId="1983"/>
    <cellStyle name="Porcentagem 3 4 2 6" xfId="8204"/>
    <cellStyle name="Porcentagem 3 4 2 7" xfId="8205"/>
    <cellStyle name="Porcentagem 3 4 2 8" xfId="8206"/>
    <cellStyle name="Porcentagem 3 4 2 9" xfId="8207"/>
    <cellStyle name="Porcentagem 3 4 3" xfId="722"/>
    <cellStyle name="Porcentagem 3 4 3 2" xfId="8208"/>
    <cellStyle name="Porcentagem 3 4 4" xfId="1987"/>
    <cellStyle name="Porcentagem 3 4 5" xfId="1988"/>
    <cellStyle name="Porcentagem 3 4 5 2" xfId="1989"/>
    <cellStyle name="Porcentagem 3 4 5 3" xfId="1990"/>
    <cellStyle name="Porcentagem 3 4 5 4" xfId="13496"/>
    <cellStyle name="Porcentagem 3 4 6" xfId="1991"/>
    <cellStyle name="Porcentagem 3 4 7" xfId="1992"/>
    <cellStyle name="Porcentagem 3 4 8" xfId="1993"/>
    <cellStyle name="Porcentagem 3 4 9" xfId="1994"/>
    <cellStyle name="Porcentagem 3 5" xfId="317"/>
    <cellStyle name="Porcentagem 3 5 2" xfId="776"/>
    <cellStyle name="Porcentagem 3 5 3" xfId="8209"/>
    <cellStyle name="Porcentagem 3 5 4" xfId="8210"/>
    <cellStyle name="Porcentagem 3 5 5" xfId="8211"/>
    <cellStyle name="Porcentagem 3 5 6" xfId="8212"/>
    <cellStyle name="Porcentagem 3 5 7" xfId="8213"/>
    <cellStyle name="Porcentagem 3 5 8" xfId="8214"/>
    <cellStyle name="Porcentagem 3 6" xfId="660"/>
    <cellStyle name="Porcentagem 3 7" xfId="1995"/>
    <cellStyle name="Porcentagem 3 8" xfId="1996"/>
    <cellStyle name="Porcentagem 3 9" xfId="1997"/>
    <cellStyle name="Porcentagem 4" xfId="44"/>
    <cellStyle name="Porcentagem 4 10" xfId="8215"/>
    <cellStyle name="Porcentagem 4 11" xfId="8216"/>
    <cellStyle name="Porcentagem 4 2" xfId="318"/>
    <cellStyle name="Porcentagem 4 2 2" xfId="777"/>
    <cellStyle name="Porcentagem 4 2 2 2" xfId="9609"/>
    <cellStyle name="Porcentagem 4 2 3" xfId="8217"/>
    <cellStyle name="Porcentagem 4 2 4" xfId="8218"/>
    <cellStyle name="Porcentagem 4 2 5" xfId="8219"/>
    <cellStyle name="Porcentagem 4 2 6" xfId="8220"/>
    <cellStyle name="Porcentagem 4 2 7" xfId="8221"/>
    <cellStyle name="Porcentagem 4 2 8" xfId="8222"/>
    <cellStyle name="Porcentagem 4 3" xfId="662"/>
    <cellStyle name="Porcentagem 4 3 2" xfId="8223"/>
    <cellStyle name="Porcentagem 4 4" xfId="1998"/>
    <cellStyle name="Porcentagem 4 4 2" xfId="8224"/>
    <cellStyle name="Porcentagem 4 5" xfId="1999"/>
    <cellStyle name="Porcentagem 4 5 2" xfId="8225"/>
    <cellStyle name="Porcentagem 4 6" xfId="2000"/>
    <cellStyle name="Porcentagem 4 6 2" xfId="8226"/>
    <cellStyle name="Porcentagem 4 7" xfId="2001"/>
    <cellStyle name="Porcentagem 4 7 2" xfId="8227"/>
    <cellStyle name="Porcentagem 4 8" xfId="2002"/>
    <cellStyle name="Porcentagem 4 9" xfId="2003"/>
    <cellStyle name="Porcentagem 5" xfId="35"/>
    <cellStyle name="Porcentagem 5 10" xfId="2004"/>
    <cellStyle name="Porcentagem 5 11" xfId="2005"/>
    <cellStyle name="Porcentagem 5 2" xfId="103"/>
    <cellStyle name="Porcentagem 5 2 10" xfId="2969"/>
    <cellStyle name="Porcentagem 5 2 10 2" xfId="4179"/>
    <cellStyle name="Porcentagem 5 2 10 2 2" xfId="11065"/>
    <cellStyle name="Porcentagem 5 2 10 3" xfId="8228"/>
    <cellStyle name="Porcentagem 5 2 10 4" xfId="13543"/>
    <cellStyle name="Porcentagem 5 2 11" xfId="8229"/>
    <cellStyle name="Porcentagem 5 2 12" xfId="8230"/>
    <cellStyle name="Porcentagem 5 2 2" xfId="319"/>
    <cellStyle name="Porcentagem 5 2 2 2" xfId="2007"/>
    <cellStyle name="Porcentagem 5 2 2 2 2" xfId="8231"/>
    <cellStyle name="Porcentagem 5 2 2 3" xfId="2008"/>
    <cellStyle name="Porcentagem 5 2 2 4" xfId="2009"/>
    <cellStyle name="Porcentagem 5 2 2 5" xfId="2006"/>
    <cellStyle name="Porcentagem 5 2 2 6" xfId="8232"/>
    <cellStyle name="Porcentagem 5 2 2 7" xfId="8233"/>
    <cellStyle name="Porcentagem 5 2 2 8" xfId="8234"/>
    <cellStyle name="Porcentagem 5 2 2 9" xfId="8235"/>
    <cellStyle name="Porcentagem 5 2 3" xfId="723"/>
    <cellStyle name="Porcentagem 5 2 4" xfId="2010"/>
    <cellStyle name="Porcentagem 5 2 4 2" xfId="8236"/>
    <cellStyle name="Porcentagem 5 2 5" xfId="2011"/>
    <cellStyle name="Porcentagem 5 2 5 2" xfId="2012"/>
    <cellStyle name="Porcentagem 5 2 5 3" xfId="2013"/>
    <cellStyle name="Porcentagem 5 2 5 4" xfId="13497"/>
    <cellStyle name="Porcentagem 5 2 6" xfId="2014"/>
    <cellStyle name="Porcentagem 5 2 7" xfId="2015"/>
    <cellStyle name="Porcentagem 5 2 8" xfId="2016"/>
    <cellStyle name="Porcentagem 5 2 9" xfId="2017"/>
    <cellStyle name="Porcentagem 5 3" xfId="104"/>
    <cellStyle name="Porcentagem 5 3 10" xfId="2019"/>
    <cellStyle name="Porcentagem 5 3 10 2" xfId="1092"/>
    <cellStyle name="Porcentagem 5 3 10 3" xfId="2771"/>
    <cellStyle name="Porcentagem 5 3 10 3 2" xfId="8237"/>
    <cellStyle name="Porcentagem 5 3 10 3 3" xfId="8238"/>
    <cellStyle name="Porcentagem 5 3 10 4" xfId="11311"/>
    <cellStyle name="Porcentagem 5 3 10 4 2" xfId="14976"/>
    <cellStyle name="Porcentagem 5 3 10 4 3" xfId="13498"/>
    <cellStyle name="Porcentagem 5 3 11" xfId="2020"/>
    <cellStyle name="Porcentagem 5 3 11 2" xfId="1093"/>
    <cellStyle name="Porcentagem 5 3 11 3" xfId="2772"/>
    <cellStyle name="Porcentagem 5 3 12" xfId="2018"/>
    <cellStyle name="Porcentagem 5 3 12 2" xfId="2859"/>
    <cellStyle name="Porcentagem 5 3 12 3" xfId="2770"/>
    <cellStyle name="Porcentagem 5 3 12 4" xfId="2637"/>
    <cellStyle name="Porcentagem 5 3 12 5" xfId="2570"/>
    <cellStyle name="Porcentagem 5 3 13" xfId="2970"/>
    <cellStyle name="Porcentagem 5 3 2" xfId="105"/>
    <cellStyle name="Porcentagem 5 3 2 10" xfId="8239"/>
    <cellStyle name="Porcentagem 5 3 2 11" xfId="8240"/>
    <cellStyle name="Porcentagem 5 3 2 2" xfId="724"/>
    <cellStyle name="Porcentagem 5 3 2 3" xfId="2021"/>
    <cellStyle name="Porcentagem 5 3 2 4" xfId="2022"/>
    <cellStyle name="Porcentagem 5 3 2 5" xfId="2023"/>
    <cellStyle name="Porcentagem 5 3 2 6" xfId="2024"/>
    <cellStyle name="Porcentagem 5 3 2 7" xfId="2025"/>
    <cellStyle name="Porcentagem 5 3 2 8" xfId="2026"/>
    <cellStyle name="Porcentagem 5 3 2 9" xfId="2027"/>
    <cellStyle name="Porcentagem 5 3 3" xfId="449"/>
    <cellStyle name="Porcentagem 5 3 3 2" xfId="561"/>
    <cellStyle name="Porcentagem 5 3 3 2 2" xfId="818"/>
    <cellStyle name="Porcentagem 5 3 3 2 3" xfId="8241"/>
    <cellStyle name="Porcentagem 5 3 3 2 4" xfId="8242"/>
    <cellStyle name="Porcentagem 5 3 3 2 5" xfId="8243"/>
    <cellStyle name="Porcentagem 5 3 3 2 6" xfId="8244"/>
    <cellStyle name="Porcentagem 5 3 3 2 7" xfId="8245"/>
    <cellStyle name="Porcentagem 5 3 3 2 8" xfId="8246"/>
    <cellStyle name="Porcentagem 5 3 3 3" xfId="794"/>
    <cellStyle name="Porcentagem 5 3 3 3 2" xfId="2029"/>
    <cellStyle name="Porcentagem 5 3 3 3 2 2" xfId="2861"/>
    <cellStyle name="Porcentagem 5 3 3 3 2 2 2" xfId="8247"/>
    <cellStyle name="Porcentagem 5 3 3 3 2 2 3" xfId="8248"/>
    <cellStyle name="Porcentagem 5 3 3 3 2 3" xfId="2774"/>
    <cellStyle name="Porcentagem 5 3 3 3 2 4" xfId="2639"/>
    <cellStyle name="Porcentagem 5 3 3 3 2 5" xfId="2572"/>
    <cellStyle name="Porcentagem 5 3 3 3 2 6" xfId="11718"/>
    <cellStyle name="Porcentagem 5 3 3 3 2 6 2" xfId="15071"/>
    <cellStyle name="Porcentagem 5 3 3 3 2 6 3" xfId="13499"/>
    <cellStyle name="Porcentagem 5 3 3 4" xfId="2030"/>
    <cellStyle name="Porcentagem 5 3 3 4 2" xfId="1108"/>
    <cellStyle name="Porcentagem 5 3 3 4 3" xfId="2775"/>
    <cellStyle name="Porcentagem 5 3 3 5" xfId="2028"/>
    <cellStyle name="Porcentagem 5 3 3 5 2" xfId="2860"/>
    <cellStyle name="Porcentagem 5 3 3 5 3" xfId="2773"/>
    <cellStyle name="Porcentagem 5 3 3 5 4" xfId="2638"/>
    <cellStyle name="Porcentagem 5 3 3 5 5" xfId="2571"/>
    <cellStyle name="Porcentagem 5 3 3 6" xfId="8249"/>
    <cellStyle name="Porcentagem 5 3 3 7" xfId="8250"/>
    <cellStyle name="Porcentagem 5 3 3 8" xfId="8251"/>
    <cellStyle name="Porcentagem 5 3 3 9" xfId="8252"/>
    <cellStyle name="Porcentagem 5 3 4" xfId="450"/>
    <cellStyle name="Porcentagem 5 3 4 2" xfId="562"/>
    <cellStyle name="Porcentagem 5 3 4 2 2" xfId="819"/>
    <cellStyle name="Porcentagem 5 3 4 2 3" xfId="8253"/>
    <cellStyle name="Porcentagem 5 3 4 2 4" xfId="8254"/>
    <cellStyle name="Porcentagem 5 3 4 2 5" xfId="8255"/>
    <cellStyle name="Porcentagem 5 3 4 2 6" xfId="8256"/>
    <cellStyle name="Porcentagem 5 3 4 2 7" xfId="8257"/>
    <cellStyle name="Porcentagem 5 3 4 2 8" xfId="8258"/>
    <cellStyle name="Porcentagem 5 3 4 3" xfId="795"/>
    <cellStyle name="Porcentagem 5 3 4 4" xfId="8259"/>
    <cellStyle name="Porcentagem 5 3 4 5" xfId="8260"/>
    <cellStyle name="Porcentagem 5 3 4 6" xfId="8261"/>
    <cellStyle name="Porcentagem 5 3 4 7" xfId="8262"/>
    <cellStyle name="Porcentagem 5 3 4 8" xfId="8263"/>
    <cellStyle name="Porcentagem 5 3 4 9" xfId="8264"/>
    <cellStyle name="Porcentagem 5 3 5" xfId="563"/>
    <cellStyle name="Porcentagem 5 3 5 2" xfId="564"/>
    <cellStyle name="Porcentagem 5 3 5 2 2" xfId="820"/>
    <cellStyle name="Porcentagem 5 3 5 2 3" xfId="8265"/>
    <cellStyle name="Porcentagem 5 3 5 2 4" xfId="8266"/>
    <cellStyle name="Porcentagem 5 3 5 2 5" xfId="8267"/>
    <cellStyle name="Porcentagem 5 3 5 2 6" xfId="8268"/>
    <cellStyle name="Porcentagem 5 3 5 2 7" xfId="8269"/>
    <cellStyle name="Porcentagem 5 3 5 2 8" xfId="8270"/>
    <cellStyle name="Porcentagem 5 3 5 3" xfId="2031"/>
    <cellStyle name="Porcentagem 5 3 5 3 2" xfId="2862"/>
    <cellStyle name="Porcentagem 5 3 5 3 3" xfId="2776"/>
    <cellStyle name="Porcentagem 5 3 5 3 4" xfId="2640"/>
    <cellStyle name="Porcentagem 5 3 5 3 5" xfId="2573"/>
    <cellStyle name="Porcentagem 5 3 6" xfId="565"/>
    <cellStyle name="Porcentagem 5 3 6 2" xfId="566"/>
    <cellStyle name="Porcentagem 5 3 6 2 2" xfId="822"/>
    <cellStyle name="Porcentagem 5 3 6 2 3" xfId="8271"/>
    <cellStyle name="Porcentagem 5 3 6 2 4" xfId="8272"/>
    <cellStyle name="Porcentagem 5 3 6 2 5" xfId="8273"/>
    <cellStyle name="Porcentagem 5 3 6 2 6" xfId="8274"/>
    <cellStyle name="Porcentagem 5 3 6 2 7" xfId="8275"/>
    <cellStyle name="Porcentagem 5 3 6 2 8" xfId="8276"/>
    <cellStyle name="Porcentagem 5 3 6 3" xfId="821"/>
    <cellStyle name="Porcentagem 5 3 6 3 2" xfId="2033"/>
    <cellStyle name="Porcentagem 5 3 6 3 2 2" xfId="2864"/>
    <cellStyle name="Porcentagem 5 3 6 3 2 3" xfId="2778"/>
    <cellStyle name="Porcentagem 5 3 6 3 2 4" xfId="2642"/>
    <cellStyle name="Porcentagem 5 3 6 3 2 5" xfId="2575"/>
    <cellStyle name="Porcentagem 5 3 6 4" xfId="2034"/>
    <cellStyle name="Porcentagem 5 3 6 4 2" xfId="1148"/>
    <cellStyle name="Porcentagem 5 3 6 4 3" xfId="2779"/>
    <cellStyle name="Porcentagem 5 3 6 5" xfId="2032"/>
    <cellStyle name="Porcentagem 5 3 6 5 2" xfId="2863"/>
    <cellStyle name="Porcentagem 5 3 6 5 3" xfId="2777"/>
    <cellStyle name="Porcentagem 5 3 6 5 4" xfId="2641"/>
    <cellStyle name="Porcentagem 5 3 6 5 5" xfId="2574"/>
    <cellStyle name="Porcentagem 5 3 6 6" xfId="8277"/>
    <cellStyle name="Porcentagem 5 3 6 7" xfId="8278"/>
    <cellStyle name="Porcentagem 5 3 6 8" xfId="8279"/>
    <cellStyle name="Porcentagem 5 3 6 9" xfId="8280"/>
    <cellStyle name="Porcentagem 5 3 7" xfId="567"/>
    <cellStyle name="Porcentagem 5 3 7 2" xfId="2036"/>
    <cellStyle name="Porcentagem 5 3 7 2 2" xfId="8281"/>
    <cellStyle name="Porcentagem 5 3 7 3" xfId="2035"/>
    <cellStyle name="Porcentagem 5 3 7 3 2" xfId="2865"/>
    <cellStyle name="Porcentagem 5 3 7 3 3" xfId="2780"/>
    <cellStyle name="Porcentagem 5 3 7 3 4" xfId="2643"/>
    <cellStyle name="Porcentagem 5 3 7 3 5" xfId="2576"/>
    <cellStyle name="Porcentagem 5 3 8" xfId="568"/>
    <cellStyle name="Porcentagem 5 3 8 2" xfId="2037"/>
    <cellStyle name="Porcentagem 5 3 8 2 2" xfId="8282"/>
    <cellStyle name="Porcentagem 5 3 8 3" xfId="2038"/>
    <cellStyle name="Porcentagem 5 3 8 4" xfId="2039"/>
    <cellStyle name="Porcentagem 5 3 8 4 2" xfId="1163"/>
    <cellStyle name="Porcentagem 5 3 8 4 3" xfId="2781"/>
    <cellStyle name="Porcentagem 5 3 8 5" xfId="2040"/>
    <cellStyle name="Porcentagem 5 3 9" xfId="569"/>
    <cellStyle name="Porcentagem 5 3 9 2" xfId="2041"/>
    <cellStyle name="Porcentagem 5 3 9 2 2" xfId="2866"/>
    <cellStyle name="Porcentagem 5 3 9 2 3" xfId="2782"/>
    <cellStyle name="Porcentagem 5 3 9 2 4" xfId="2644"/>
    <cellStyle name="Porcentagem 5 3 9 2 5" xfId="2577"/>
    <cellStyle name="Porcentagem 5 4" xfId="2042"/>
    <cellStyle name="Porcentagem 5 4 2" xfId="2971"/>
    <cellStyle name="Porcentagem 5 5" xfId="2043"/>
    <cellStyle name="Porcentagem 5 6" xfId="2044"/>
    <cellStyle name="Porcentagem 5 7" xfId="2045"/>
    <cellStyle name="Porcentagem 5 8" xfId="2046"/>
    <cellStyle name="Porcentagem 5 9" xfId="2047"/>
    <cellStyle name="Porcentagem 6" xfId="66"/>
    <cellStyle name="Porcentagem 6 10" xfId="8283"/>
    <cellStyle name="Porcentagem 6 10 2" xfId="9052"/>
    <cellStyle name="Porcentagem 6 11" xfId="8284"/>
    <cellStyle name="Porcentagem 6 11 2" xfId="10679"/>
    <cellStyle name="Porcentagem 6 12" xfId="10810"/>
    <cellStyle name="Porcentagem 6 2" xfId="320"/>
    <cellStyle name="Porcentagem 6 2 10" xfId="10680"/>
    <cellStyle name="Porcentagem 6 2 11" xfId="10811"/>
    <cellStyle name="Porcentagem 6 2 12" xfId="8969"/>
    <cellStyle name="Porcentagem 6 2 2" xfId="778"/>
    <cellStyle name="Porcentagem 6 2 2 2" xfId="9372"/>
    <cellStyle name="Porcentagem 6 2 2 2 2" xfId="9791"/>
    <cellStyle name="Porcentagem 6 2 2 2 2 2" xfId="10396"/>
    <cellStyle name="Porcentagem 6 2 2 2 3" xfId="10395"/>
    <cellStyle name="Porcentagem 6 2 2 3" xfId="9510"/>
    <cellStyle name="Porcentagem 6 2 2 3 2" xfId="10397"/>
    <cellStyle name="Porcentagem 6 2 2 4" xfId="10394"/>
    <cellStyle name="Porcentagem 6 2 2 5" xfId="10723"/>
    <cellStyle name="Porcentagem 6 2 2 6" xfId="10854"/>
    <cellStyle name="Porcentagem 6 2 2 7" xfId="9255"/>
    <cellStyle name="Porcentagem 6 2 3" xfId="8285"/>
    <cellStyle name="Porcentagem 6 2 3 2" xfId="9412"/>
    <cellStyle name="Porcentagem 6 2 3 2 2" xfId="9833"/>
    <cellStyle name="Porcentagem 6 2 3 2 2 2" xfId="10400"/>
    <cellStyle name="Porcentagem 6 2 3 2 3" xfId="10399"/>
    <cellStyle name="Porcentagem 6 2 3 3" xfId="9552"/>
    <cellStyle name="Porcentagem 6 2 3 3 2" xfId="10401"/>
    <cellStyle name="Porcentagem 6 2 3 4" xfId="10398"/>
    <cellStyle name="Porcentagem 6 2 3 5" xfId="10764"/>
    <cellStyle name="Porcentagem 6 2 3 6" xfId="10894"/>
    <cellStyle name="Porcentagem 6 2 3 7" xfId="9292"/>
    <cellStyle name="Porcentagem 6 2 4" xfId="8286"/>
    <cellStyle name="Porcentagem 6 2 4 2" xfId="9647"/>
    <cellStyle name="Porcentagem 6 2 4 2 2" xfId="10403"/>
    <cellStyle name="Porcentagem 6 2 4 3" xfId="10402"/>
    <cellStyle name="Porcentagem 6 2 4 4" xfId="9193"/>
    <cellStyle name="Porcentagem 6 2 5" xfId="8287"/>
    <cellStyle name="Porcentagem 6 2 5 2" xfId="9749"/>
    <cellStyle name="Porcentagem 6 2 5 2 2" xfId="10405"/>
    <cellStyle name="Porcentagem 6 2 5 3" xfId="10404"/>
    <cellStyle name="Porcentagem 6 2 5 4" xfId="9336"/>
    <cellStyle name="Porcentagem 6 2 6" xfId="8288"/>
    <cellStyle name="Porcentagem 6 2 6 2" xfId="9600"/>
    <cellStyle name="Porcentagem 6 2 6 2 2" xfId="10407"/>
    <cellStyle name="Porcentagem 6 2 6 3" xfId="10406"/>
    <cellStyle name="Porcentagem 6 2 6 4" xfId="9120"/>
    <cellStyle name="Porcentagem 6 2 7" xfId="8289"/>
    <cellStyle name="Porcentagem 6 2 7 2" xfId="10408"/>
    <cellStyle name="Porcentagem 6 2 7 3" xfId="9469"/>
    <cellStyle name="Porcentagem 6 2 8" xfId="8290"/>
    <cellStyle name="Porcentagem 6 2 8 2" xfId="9894"/>
    <cellStyle name="Porcentagem 6 2 9" xfId="9053"/>
    <cellStyle name="Porcentagem 6 3" xfId="321"/>
    <cellStyle name="Porcentagem 6 3 10" xfId="8291"/>
    <cellStyle name="Porcentagem 6 3 11" xfId="8292"/>
    <cellStyle name="Porcentagem 6 3 12" xfId="8293"/>
    <cellStyle name="Porcentagem 6 3 12 2" xfId="8294"/>
    <cellStyle name="Porcentagem 6 3 13" xfId="8295"/>
    <cellStyle name="Porcentagem 6 3 13 2" xfId="8296"/>
    <cellStyle name="Porcentagem 6 3 14" xfId="8297"/>
    <cellStyle name="Porcentagem 6 3 15" xfId="8298"/>
    <cellStyle name="Porcentagem 6 3 2" xfId="570"/>
    <cellStyle name="Porcentagem 6 3 2 2" xfId="2049"/>
    <cellStyle name="Porcentagem 6 3 2 2 2" xfId="8299"/>
    <cellStyle name="Porcentagem 6 3 2 2 2 2" xfId="10411"/>
    <cellStyle name="Porcentagem 6 3 2 2 3" xfId="9790"/>
    <cellStyle name="Porcentagem 6 3 2 2 3 2" xfId="14896"/>
    <cellStyle name="Porcentagem 6 3 2 2 3 3" xfId="13500"/>
    <cellStyle name="Porcentagem 6 3 2 3" xfId="10410"/>
    <cellStyle name="Porcentagem 6 3 2 4" xfId="9371"/>
    <cellStyle name="Porcentagem 6 3 3" xfId="1074"/>
    <cellStyle name="Porcentagem 6 3 3 2" xfId="2051"/>
    <cellStyle name="Porcentagem 6 3 3 2 2" xfId="10412"/>
    <cellStyle name="Porcentagem 6 3 3 2 2 2" xfId="14900"/>
    <cellStyle name="Porcentagem 6 3 3 2 2 3" xfId="13501"/>
    <cellStyle name="Porcentagem 6 3 3 2 3" xfId="13400"/>
    <cellStyle name="Porcentagem 6 3 3 3" xfId="2050"/>
    <cellStyle name="Porcentagem 6 3 3 4" xfId="8300"/>
    <cellStyle name="Porcentagem 6 3 4" xfId="2052"/>
    <cellStyle name="Porcentagem 6 3 4 2" xfId="8301"/>
    <cellStyle name="Porcentagem 6 3 4 3" xfId="8302"/>
    <cellStyle name="Porcentagem 6 3 4 4" xfId="10409"/>
    <cellStyle name="Porcentagem 6 3 4 4 2" xfId="14899"/>
    <cellStyle name="Porcentagem 6 3 4 4 3" xfId="13502"/>
    <cellStyle name="Porcentagem 6 3 5" xfId="2053"/>
    <cellStyle name="Porcentagem 6 3 5 2" xfId="8303"/>
    <cellStyle name="Porcentagem 6 3 5 3" xfId="10722"/>
    <cellStyle name="Porcentagem 6 3 6" xfId="2054"/>
    <cellStyle name="Porcentagem 6 3 6 2" xfId="10853"/>
    <cellStyle name="Porcentagem 6 3 7" xfId="2048"/>
    <cellStyle name="Porcentagem 6 3 8" xfId="8304"/>
    <cellStyle name="Porcentagem 6 3 8 2" xfId="8305"/>
    <cellStyle name="Porcentagem 6 3 9" xfId="8306"/>
    <cellStyle name="Porcentagem 6 3 9 2" xfId="8307"/>
    <cellStyle name="Porcentagem 6 4" xfId="700"/>
    <cellStyle name="Porcentagem 6 4 2" xfId="8308"/>
    <cellStyle name="Porcentagem 6 4 2 2" xfId="9832"/>
    <cellStyle name="Porcentagem 6 4 2 2 2" xfId="10415"/>
    <cellStyle name="Porcentagem 6 4 2 3" xfId="10414"/>
    <cellStyle name="Porcentagem 6 4 2 4" xfId="9411"/>
    <cellStyle name="Porcentagem 6 4 3" xfId="9551"/>
    <cellStyle name="Porcentagem 6 4 3 2" xfId="10416"/>
    <cellStyle name="Porcentagem 6 4 4" xfId="10413"/>
    <cellStyle name="Porcentagem 6 4 5" xfId="10763"/>
    <cellStyle name="Porcentagem 6 4 6" xfId="10893"/>
    <cellStyle name="Porcentagem 6 4 7" xfId="9291"/>
    <cellStyle name="Porcentagem 6 5" xfId="2055"/>
    <cellStyle name="Porcentagem 6 5 2" xfId="8309"/>
    <cellStyle name="Porcentagem 6 5 2 2" xfId="10418"/>
    <cellStyle name="Porcentagem 6 5 2 3" xfId="9646"/>
    <cellStyle name="Porcentagem 6 5 3" xfId="10417"/>
    <cellStyle name="Porcentagem 6 5 4" xfId="9192"/>
    <cellStyle name="Porcentagem 6 6" xfId="2056"/>
    <cellStyle name="Porcentagem 6 6 2" xfId="8310"/>
    <cellStyle name="Porcentagem 6 6 2 2" xfId="10420"/>
    <cellStyle name="Porcentagem 6 6 2 3" xfId="9748"/>
    <cellStyle name="Porcentagem 6 6 3" xfId="10419"/>
    <cellStyle name="Porcentagem 6 6 4" xfId="9335"/>
    <cellStyle name="Porcentagem 6 7" xfId="2057"/>
    <cellStyle name="Porcentagem 6 7 2" xfId="8311"/>
    <cellStyle name="Porcentagem 6 7 2 2" xfId="10422"/>
    <cellStyle name="Porcentagem 6 7 2 3" xfId="9599"/>
    <cellStyle name="Porcentagem 6 7 3" xfId="10421"/>
    <cellStyle name="Porcentagem 6 7 4" xfId="9119"/>
    <cellStyle name="Porcentagem 6 8" xfId="2058"/>
    <cellStyle name="Porcentagem 6 8 2" xfId="10423"/>
    <cellStyle name="Porcentagem 6 8 3" xfId="9468"/>
    <cellStyle name="Porcentagem 6 9" xfId="2059"/>
    <cellStyle name="Porcentagem 6 9 2" xfId="9893"/>
    <cellStyle name="Porcentagem 7" xfId="106"/>
    <cellStyle name="Porcentagem 7 10" xfId="571"/>
    <cellStyle name="Porcentagem 7 10 2" xfId="2061"/>
    <cellStyle name="Porcentagem 7 10 2 2" xfId="2868"/>
    <cellStyle name="Porcentagem 7 10 2 3" xfId="2784"/>
    <cellStyle name="Porcentagem 7 10 2 4" xfId="2646"/>
    <cellStyle name="Porcentagem 7 10 2 5" xfId="2579"/>
    <cellStyle name="Porcentagem 7 11" xfId="2062"/>
    <cellStyle name="Porcentagem 7 11 2" xfId="1266"/>
    <cellStyle name="Porcentagem 7 11 3" xfId="2785"/>
    <cellStyle name="Porcentagem 7 11 3 2" xfId="8312"/>
    <cellStyle name="Porcentagem 7 11 3 3" xfId="8313"/>
    <cellStyle name="Porcentagem 7 11 4" xfId="11172"/>
    <cellStyle name="Porcentagem 7 11 4 2" xfId="14956"/>
    <cellStyle name="Porcentagem 7 11 4 3" xfId="13503"/>
    <cellStyle name="Porcentagem 7 12" xfId="2063"/>
    <cellStyle name="Porcentagem 7 12 2" xfId="2064"/>
    <cellStyle name="Porcentagem 7 12 3" xfId="8314"/>
    <cellStyle name="Porcentagem 7 12 4" xfId="13504"/>
    <cellStyle name="Porcentagem 7 13" xfId="2060"/>
    <cellStyle name="Porcentagem 7 13 2" xfId="2867"/>
    <cellStyle name="Porcentagem 7 13 3" xfId="2783"/>
    <cellStyle name="Porcentagem 7 13 4" xfId="2645"/>
    <cellStyle name="Porcentagem 7 13 5" xfId="2578"/>
    <cellStyle name="Porcentagem 7 14" xfId="2972"/>
    <cellStyle name="Porcentagem 7 14 2" xfId="4235"/>
    <cellStyle name="Porcentagem 7 2" xfId="107"/>
    <cellStyle name="Porcentagem 7 2 10" xfId="8315"/>
    <cellStyle name="Porcentagem 7 2 11" xfId="8316"/>
    <cellStyle name="Porcentagem 7 2 2" xfId="725"/>
    <cellStyle name="Porcentagem 7 2 3" xfId="2065"/>
    <cellStyle name="Porcentagem 7 2 4" xfId="2066"/>
    <cellStyle name="Porcentagem 7 2 5" xfId="2067"/>
    <cellStyle name="Porcentagem 7 2 6" xfId="2068"/>
    <cellStyle name="Porcentagem 7 2 7" xfId="2069"/>
    <cellStyle name="Porcentagem 7 2 8" xfId="2070"/>
    <cellStyle name="Porcentagem 7 2 9" xfId="2071"/>
    <cellStyle name="Porcentagem 7 3" xfId="322"/>
    <cellStyle name="Porcentagem 7 3 10" xfId="8317"/>
    <cellStyle name="Porcentagem 7 3 11" xfId="8318"/>
    <cellStyle name="Porcentagem 7 3 12" xfId="8319"/>
    <cellStyle name="Porcentagem 7 3 12 2" xfId="8320"/>
    <cellStyle name="Porcentagem 7 3 13" xfId="8321"/>
    <cellStyle name="Porcentagem 7 3 13 2" xfId="8322"/>
    <cellStyle name="Porcentagem 7 3 14" xfId="8323"/>
    <cellStyle name="Porcentagem 7 3 15" xfId="8324"/>
    <cellStyle name="Porcentagem 7 3 2" xfId="572"/>
    <cellStyle name="Porcentagem 7 3 2 2" xfId="823"/>
    <cellStyle name="Porcentagem 7 3 2 3" xfId="8325"/>
    <cellStyle name="Porcentagem 7 3 2 4" xfId="8326"/>
    <cellStyle name="Porcentagem 7 3 2 5" xfId="8327"/>
    <cellStyle name="Porcentagem 7 3 2 6" xfId="8328"/>
    <cellStyle name="Porcentagem 7 3 2 7" xfId="8329"/>
    <cellStyle name="Porcentagem 7 3 2 8" xfId="8330"/>
    <cellStyle name="Porcentagem 7 3 3" xfId="1076"/>
    <cellStyle name="Porcentagem 7 3 3 2" xfId="1313"/>
    <cellStyle name="Porcentagem 7 3 3 2 2" xfId="8331"/>
    <cellStyle name="Porcentagem 7 3 3 2 3" xfId="13424"/>
    <cellStyle name="Porcentagem 7 3 3 3" xfId="2073"/>
    <cellStyle name="Porcentagem 7 3 3 3 2" xfId="2870"/>
    <cellStyle name="Porcentagem 7 3 3 3 3" xfId="2787"/>
    <cellStyle name="Porcentagem 7 3 3 3 4" xfId="2648"/>
    <cellStyle name="Porcentagem 7 3 3 3 5" xfId="2581"/>
    <cellStyle name="Porcentagem 7 3 4" xfId="1075"/>
    <cellStyle name="Porcentagem 7 3 4 2" xfId="8332"/>
    <cellStyle name="Porcentagem 7 3 5" xfId="2074"/>
    <cellStyle name="Porcentagem 7 3 5 2" xfId="1319"/>
    <cellStyle name="Porcentagem 7 3 5 2 2" xfId="8333"/>
    <cellStyle name="Porcentagem 7 3 5 2 3" xfId="13425"/>
    <cellStyle name="Porcentagem 7 3 5 3" xfId="2788"/>
    <cellStyle name="Porcentagem 7 3 5 3 2" xfId="8334"/>
    <cellStyle name="Porcentagem 7 3 5 3 3" xfId="8335"/>
    <cellStyle name="Porcentagem 7 3 5 4" xfId="13102"/>
    <cellStyle name="Porcentagem 7 3 5 4 2" xfId="15748"/>
    <cellStyle name="Porcentagem 7 3 5 4 3" xfId="13505"/>
    <cellStyle name="Porcentagem 7 3 6" xfId="2072"/>
    <cellStyle name="Porcentagem 7 3 6 2" xfId="2869"/>
    <cellStyle name="Porcentagem 7 3 6 3" xfId="2786"/>
    <cellStyle name="Porcentagem 7 3 6 4" xfId="2647"/>
    <cellStyle name="Porcentagem 7 3 6 5" xfId="2580"/>
    <cellStyle name="Porcentagem 7 3 7" xfId="8336"/>
    <cellStyle name="Porcentagem 7 3 8" xfId="8337"/>
    <cellStyle name="Porcentagem 7 3 8 2" xfId="8338"/>
    <cellStyle name="Porcentagem 7 3 9" xfId="8339"/>
    <cellStyle name="Porcentagem 7 3 9 2" xfId="8340"/>
    <cellStyle name="Porcentagem 7 4" xfId="451"/>
    <cellStyle name="Porcentagem 7 4 2" xfId="573"/>
    <cellStyle name="Porcentagem 7 4 2 2" xfId="824"/>
    <cellStyle name="Porcentagem 7 4 2 3" xfId="8341"/>
    <cellStyle name="Porcentagem 7 4 2 4" xfId="8342"/>
    <cellStyle name="Porcentagem 7 4 2 5" xfId="8343"/>
    <cellStyle name="Porcentagem 7 4 2 6" xfId="8344"/>
    <cellStyle name="Porcentagem 7 4 2 7" xfId="8345"/>
    <cellStyle name="Porcentagem 7 4 2 8" xfId="8346"/>
    <cellStyle name="Porcentagem 7 4 3" xfId="796"/>
    <cellStyle name="Porcentagem 7 4 4" xfId="8347"/>
    <cellStyle name="Porcentagem 7 4 5" xfId="8348"/>
    <cellStyle name="Porcentagem 7 4 6" xfId="8349"/>
    <cellStyle name="Porcentagem 7 4 7" xfId="8350"/>
    <cellStyle name="Porcentagem 7 4 8" xfId="8351"/>
    <cellStyle name="Porcentagem 7 4 9" xfId="8352"/>
    <cellStyle name="Porcentagem 7 5" xfId="574"/>
    <cellStyle name="Porcentagem 7 5 2" xfId="575"/>
    <cellStyle name="Porcentagem 7 5 2 2" xfId="825"/>
    <cellStyle name="Porcentagem 7 5 2 3" xfId="8353"/>
    <cellStyle name="Porcentagem 7 5 2 4" xfId="8354"/>
    <cellStyle name="Porcentagem 7 5 2 5" xfId="8355"/>
    <cellStyle name="Porcentagem 7 5 2 6" xfId="8356"/>
    <cellStyle name="Porcentagem 7 5 2 7" xfId="8357"/>
    <cellStyle name="Porcentagem 7 5 2 8" xfId="8358"/>
    <cellStyle name="Porcentagem 7 5 3" xfId="2075"/>
    <cellStyle name="Porcentagem 7 5 3 2" xfId="2871"/>
    <cellStyle name="Porcentagem 7 5 3 3" xfId="2789"/>
    <cellStyle name="Porcentagem 7 5 3 4" xfId="2649"/>
    <cellStyle name="Porcentagem 7 5 3 5" xfId="2582"/>
    <cellStyle name="Porcentagem 7 6" xfId="576"/>
    <cellStyle name="Porcentagem 7 6 2" xfId="577"/>
    <cellStyle name="Porcentagem 7 6 2 2" xfId="827"/>
    <cellStyle name="Porcentagem 7 6 2 3" xfId="8359"/>
    <cellStyle name="Porcentagem 7 6 2 4" xfId="8360"/>
    <cellStyle name="Porcentagem 7 6 2 5" xfId="8361"/>
    <cellStyle name="Porcentagem 7 6 2 6" xfId="8362"/>
    <cellStyle name="Porcentagem 7 6 2 7" xfId="8363"/>
    <cellStyle name="Porcentagem 7 6 2 8" xfId="8364"/>
    <cellStyle name="Porcentagem 7 6 3" xfId="826"/>
    <cellStyle name="Porcentagem 7 6 3 2" xfId="2077"/>
    <cellStyle name="Porcentagem 7 6 3 2 2" xfId="2873"/>
    <cellStyle name="Porcentagem 7 6 3 2 3" xfId="2791"/>
    <cellStyle name="Porcentagem 7 6 3 2 4" xfId="2651"/>
    <cellStyle name="Porcentagem 7 6 3 2 5" xfId="2584"/>
    <cellStyle name="Porcentagem 7 6 4" xfId="2078"/>
    <cellStyle name="Porcentagem 7 6 4 2" xfId="1323"/>
    <cellStyle name="Porcentagem 7 6 4 3" xfId="2792"/>
    <cellStyle name="Porcentagem 7 6 5" xfId="2076"/>
    <cellStyle name="Porcentagem 7 6 5 2" xfId="2872"/>
    <cellStyle name="Porcentagem 7 6 5 3" xfId="2790"/>
    <cellStyle name="Porcentagem 7 6 5 4" xfId="2650"/>
    <cellStyle name="Porcentagem 7 6 5 5" xfId="2583"/>
    <cellStyle name="Porcentagem 7 6 6" xfId="8365"/>
    <cellStyle name="Porcentagem 7 6 7" xfId="8366"/>
    <cellStyle name="Porcentagem 7 6 8" xfId="8367"/>
    <cellStyle name="Porcentagem 7 6 9" xfId="8368"/>
    <cellStyle name="Porcentagem 7 7" xfId="578"/>
    <cellStyle name="Porcentagem 7 7 2" xfId="579"/>
    <cellStyle name="Porcentagem 7 7 2 2" xfId="2079"/>
    <cellStyle name="Porcentagem 7 7 3" xfId="2080"/>
    <cellStyle name="Porcentagem 7 7 3 2" xfId="2081"/>
    <cellStyle name="Porcentagem 7 7 3 3" xfId="2793"/>
    <cellStyle name="Porcentagem 7 7 4" xfId="2082"/>
    <cellStyle name="Porcentagem 7 7 5" xfId="2083"/>
    <cellStyle name="Porcentagem 7 8" xfId="580"/>
    <cellStyle name="Porcentagem 7 8 2" xfId="2084"/>
    <cellStyle name="Porcentagem 7 8 2 2" xfId="8369"/>
    <cellStyle name="Porcentagem 7 8 3" xfId="2085"/>
    <cellStyle name="Porcentagem 7 8 4" xfId="2086"/>
    <cellStyle name="Porcentagem 7 8 4 2" xfId="1327"/>
    <cellStyle name="Porcentagem 7 8 4 3" xfId="2794"/>
    <cellStyle name="Porcentagem 7 8 5" xfId="2087"/>
    <cellStyle name="Porcentagem 7 9" xfId="581"/>
    <cellStyle name="Porcentagem 7 9 2" xfId="2088"/>
    <cellStyle name="Porcentagem 7 9 2 2" xfId="2874"/>
    <cellStyle name="Porcentagem 7 9 2 3" xfId="2795"/>
    <cellStyle name="Porcentagem 7 9 2 4" xfId="2652"/>
    <cellStyle name="Porcentagem 7 9 2 5" xfId="2585"/>
    <cellStyle name="Porcentagem 8" xfId="2089"/>
    <cellStyle name="Porcentagem 8 2" xfId="2973"/>
    <cellStyle name="Porcentagem 8 3" xfId="10776"/>
    <cellStyle name="Porcentagem 9" xfId="2090"/>
    <cellStyle name="Porcentagem 9 2" xfId="8370"/>
    <cellStyle name="Porcentagem 9 2 2" xfId="8371"/>
    <cellStyle name="Result" xfId="323"/>
    <cellStyle name="Result2" xfId="324"/>
    <cellStyle name="Saída 2" xfId="419"/>
    <cellStyle name="Saída 2 10" xfId="6982"/>
    <cellStyle name="Saída 2 10 2" xfId="12144"/>
    <cellStyle name="Saída 2 10 2 2" xfId="15222"/>
    <cellStyle name="Saída 2 10 3" xfId="11938"/>
    <cellStyle name="Saída 2 10 3 2" xfId="15117"/>
    <cellStyle name="Saída 2 10 4" xfId="14508"/>
    <cellStyle name="Saída 2 10 5" xfId="13864"/>
    <cellStyle name="Saída 2 11" xfId="10641"/>
    <cellStyle name="Saída 2 11 2" xfId="13136"/>
    <cellStyle name="Saída 2 11 2 2" xfId="15752"/>
    <cellStyle name="Saída 2 11 3" xfId="13357"/>
    <cellStyle name="Saída 2 11 3 2" xfId="15808"/>
    <cellStyle name="Saída 2 11 4" xfId="14904"/>
    <cellStyle name="Saída 2 12" xfId="13192"/>
    <cellStyle name="Saída 2 12 2" xfId="15780"/>
    <cellStyle name="Saída 2 13" xfId="11046"/>
    <cellStyle name="Saída 2 13 2" xfId="14930"/>
    <cellStyle name="Saída 2 14" xfId="12546"/>
    <cellStyle name="Saída 2 14 2" xfId="15434"/>
    <cellStyle name="Saída 2 15" xfId="14581"/>
    <cellStyle name="Saída 2 16" xfId="13373"/>
    <cellStyle name="Saída 2 2" xfId="2974"/>
    <cellStyle name="Saída 2 2 10" xfId="13200"/>
    <cellStyle name="Saída 2 2 10 2" xfId="15788"/>
    <cellStyle name="Saída 2 2 11" xfId="11593"/>
    <cellStyle name="Saída 2 2 11 2" xfId="15042"/>
    <cellStyle name="Saída 2 2 12" xfId="11437"/>
    <cellStyle name="Saída 2 2 12 2" xfId="15023"/>
    <cellStyle name="Saída 2 2 13" xfId="14609"/>
    <cellStyle name="Saída 2 2 14" xfId="13401"/>
    <cellStyle name="Saída 2 2 2" xfId="4987"/>
    <cellStyle name="Saída 2 2 2 10" xfId="11816"/>
    <cellStyle name="Saída 2 2 2 10 2" xfId="12427"/>
    <cellStyle name="Saída 2 2 2 10 2 2" xfId="15393"/>
    <cellStyle name="Saída 2 2 2 10 3" xfId="15092"/>
    <cellStyle name="Saída 2 2 2 11" xfId="11830"/>
    <cellStyle name="Saída 2 2 2 11 2" xfId="15093"/>
    <cellStyle name="Saída 2 2 2 12" xfId="14533"/>
    <cellStyle name="Saída 2 2 2 13" xfId="13742"/>
    <cellStyle name="Saída 2 2 2 2" xfId="7072"/>
    <cellStyle name="Saída 2 2 2 2 2" xfId="8880"/>
    <cellStyle name="Saída 2 2 2 2 2 2" xfId="12744"/>
    <cellStyle name="Saída 2 2 2 2 2 2 2" xfId="15594"/>
    <cellStyle name="Saída 2 2 2 2 2 3" xfId="11788"/>
    <cellStyle name="Saída 2 2 2 2 2 3 2" xfId="15082"/>
    <cellStyle name="Saída 2 2 2 2 2 4" xfId="14814"/>
    <cellStyle name="Saída 2 2 2 2 2 5" xfId="14216"/>
    <cellStyle name="Saída 2 2 2 2 3" xfId="12229"/>
    <cellStyle name="Saída 2 2 2 2 3 2" xfId="15303"/>
    <cellStyle name="Saída 2 2 2 2 4" xfId="11229"/>
    <cellStyle name="Saída 2 2 2 2 4 2" xfId="14965"/>
    <cellStyle name="Saída 2 2 2 2 5" xfId="14735"/>
    <cellStyle name="Saída 2 2 2 2 6" xfId="13952"/>
    <cellStyle name="Saída 2 2 2 3" xfId="7079"/>
    <cellStyle name="Saída 2 2 2 3 2" xfId="8886"/>
    <cellStyle name="Saída 2 2 2 3 2 2" xfId="12749"/>
    <cellStyle name="Saída 2 2 2 3 2 2 2" xfId="15599"/>
    <cellStyle name="Saída 2 2 2 3 2 3" xfId="11591"/>
    <cellStyle name="Saída 2 2 2 3 2 3 2" xfId="15040"/>
    <cellStyle name="Saída 2 2 2 3 2 4" xfId="14594"/>
    <cellStyle name="Saída 2 2 2 3 2 5" xfId="14222"/>
    <cellStyle name="Saída 2 2 2 3 3" xfId="12235"/>
    <cellStyle name="Saída 2 2 2 3 3 2" xfId="15309"/>
    <cellStyle name="Saída 2 2 2 3 4" xfId="11133"/>
    <cellStyle name="Saída 2 2 2 3 4 2" xfId="14951"/>
    <cellStyle name="Saída 2 2 2 3 5" xfId="14462"/>
    <cellStyle name="Saída 2 2 2 3 6" xfId="13959"/>
    <cellStyle name="Saída 2 2 2 4" xfId="7084"/>
    <cellStyle name="Saída 2 2 2 4 2" xfId="8891"/>
    <cellStyle name="Saída 2 2 2 4 2 2" xfId="12754"/>
    <cellStyle name="Saída 2 2 2 4 2 2 2" xfId="15604"/>
    <cellStyle name="Saída 2 2 2 4 2 3" xfId="12533"/>
    <cellStyle name="Saída 2 2 2 4 2 3 2" xfId="15422"/>
    <cellStyle name="Saída 2 2 2 4 2 4" xfId="14559"/>
    <cellStyle name="Saída 2 2 2 4 2 5" xfId="14227"/>
    <cellStyle name="Saída 2 2 2 4 3" xfId="12240"/>
    <cellStyle name="Saída 2 2 2 4 3 2" xfId="15314"/>
    <cellStyle name="Saída 2 2 2 4 4" xfId="13261"/>
    <cellStyle name="Saída 2 2 2 4 4 2" xfId="15795"/>
    <cellStyle name="Saída 2 2 2 4 5" xfId="14385"/>
    <cellStyle name="Saída 2 2 2 4 6" xfId="13964"/>
    <cellStyle name="Saída 2 2 2 5" xfId="7105"/>
    <cellStyle name="Saída 2 2 2 5 2" xfId="8912"/>
    <cellStyle name="Saída 2 2 2 5 2 2" xfId="12773"/>
    <cellStyle name="Saída 2 2 2 5 2 2 2" xfId="15623"/>
    <cellStyle name="Saída 2 2 2 5 2 3" xfId="11882"/>
    <cellStyle name="Saída 2 2 2 5 2 3 2" xfId="15107"/>
    <cellStyle name="Saída 2 2 2 5 2 4" xfId="14657"/>
    <cellStyle name="Saída 2 2 2 5 2 5" xfId="14248"/>
    <cellStyle name="Saída 2 2 2 5 3" xfId="12259"/>
    <cellStyle name="Saída 2 2 2 5 3 2" xfId="15333"/>
    <cellStyle name="Saída 2 2 2 5 4" xfId="12874"/>
    <cellStyle name="Saída 2 2 2 5 4 2" xfId="15686"/>
    <cellStyle name="Saída 2 2 2 5 5" xfId="14451"/>
    <cellStyle name="Saída 2 2 2 5 6" xfId="13985"/>
    <cellStyle name="Saída 2 2 2 6" xfId="6907"/>
    <cellStyle name="Saída 2 2 2 6 2" xfId="8742"/>
    <cellStyle name="Saída 2 2 2 6 2 2" xfId="12614"/>
    <cellStyle name="Saída 2 2 2 6 2 2 2" xfId="15471"/>
    <cellStyle name="Saída 2 2 2 6 2 3" xfId="12506"/>
    <cellStyle name="Saída 2 2 2 6 2 3 2" xfId="15414"/>
    <cellStyle name="Saída 2 2 2 6 2 4" xfId="14880"/>
    <cellStyle name="Saída 2 2 2 6 2 5" xfId="14078"/>
    <cellStyle name="Saída 2 2 2 6 3" xfId="12074"/>
    <cellStyle name="Saída 2 2 2 6 3 2" xfId="15154"/>
    <cellStyle name="Saída 2 2 2 6 4" xfId="12335"/>
    <cellStyle name="Saída 2 2 2 6 4 2" xfId="15381"/>
    <cellStyle name="Saída 2 2 2 6 5" xfId="14404"/>
    <cellStyle name="Saída 2 2 2 6 6" xfId="13792"/>
    <cellStyle name="Saída 2 2 2 7" xfId="7130"/>
    <cellStyle name="Saída 2 2 2 7 2" xfId="8937"/>
    <cellStyle name="Saída 2 2 2 7 2 2" xfId="12795"/>
    <cellStyle name="Saída 2 2 2 7 2 2 2" xfId="15644"/>
    <cellStyle name="Saída 2 2 2 7 2 3" xfId="11786"/>
    <cellStyle name="Saída 2 2 2 7 2 3 2" xfId="15081"/>
    <cellStyle name="Saída 2 2 2 7 2 4" xfId="14640"/>
    <cellStyle name="Saída 2 2 2 7 2 5" xfId="14273"/>
    <cellStyle name="Saída 2 2 2 7 3" xfId="12281"/>
    <cellStyle name="Saída 2 2 2 7 3 2" xfId="15354"/>
    <cellStyle name="Saída 2 2 2 7 4" xfId="12929"/>
    <cellStyle name="Saída 2 2 2 7 4 2" xfId="15700"/>
    <cellStyle name="Saída 2 2 2 7 5" xfId="14438"/>
    <cellStyle name="Saída 2 2 2 7 6" xfId="14010"/>
    <cellStyle name="Saída 2 2 2 8" xfId="7152"/>
    <cellStyle name="Saída 2 2 2 8 2" xfId="8959"/>
    <cellStyle name="Saída 2 2 2 8 2 2" xfId="12815"/>
    <cellStyle name="Saída 2 2 2 8 2 2 2" xfId="15663"/>
    <cellStyle name="Saída 2 2 2 8 2 3" xfId="11916"/>
    <cellStyle name="Saída 2 2 2 8 2 3 2" xfId="15113"/>
    <cellStyle name="Saída 2 2 2 8 2 4" xfId="14844"/>
    <cellStyle name="Saída 2 2 2 8 2 5" xfId="14295"/>
    <cellStyle name="Saída 2 2 2 8 3" xfId="12301"/>
    <cellStyle name="Saída 2 2 2 8 3 2" xfId="15373"/>
    <cellStyle name="Saída 2 2 2 8 4" xfId="13015"/>
    <cellStyle name="Saída 2 2 2 8 4 2" xfId="15712"/>
    <cellStyle name="Saída 2 2 2 8 5" xfId="14719"/>
    <cellStyle name="Saída 2 2 2 8 6" xfId="14032"/>
    <cellStyle name="Saída 2 2 2 9" xfId="7155"/>
    <cellStyle name="Saída 2 2 2 9 2" xfId="12303"/>
    <cellStyle name="Saída 2 2 2 9 2 2" xfId="15375"/>
    <cellStyle name="Saída 2 2 2 9 3" xfId="11063"/>
    <cellStyle name="Saída 2 2 2 9 3 2" xfId="14938"/>
    <cellStyle name="Saída 2 2 2 9 4" xfId="14428"/>
    <cellStyle name="Saída 2 2 2 9 5" xfId="14035"/>
    <cellStyle name="Saída 2 2 3" xfId="6992"/>
    <cellStyle name="Saída 2 2 3 2" xfId="8813"/>
    <cellStyle name="Saída 2 2 3 2 2" xfId="12681"/>
    <cellStyle name="Saída 2 2 3 2 2 2" xfId="15535"/>
    <cellStyle name="Saída 2 2 3 2 3" xfId="12832"/>
    <cellStyle name="Saída 2 2 3 2 3 2" xfId="15673"/>
    <cellStyle name="Saída 2 2 3 2 4" xfId="14332"/>
    <cellStyle name="Saída 2 2 3 2 5" xfId="14149"/>
    <cellStyle name="Saída 2 2 3 3" xfId="12154"/>
    <cellStyle name="Saída 2 2 3 3 2" xfId="15232"/>
    <cellStyle name="Saída 2 2 3 4" xfId="11771"/>
    <cellStyle name="Saída 2 2 3 4 2" xfId="15078"/>
    <cellStyle name="Saída 2 2 3 5" xfId="14387"/>
    <cellStyle name="Saída 2 2 3 6" xfId="13874"/>
    <cellStyle name="Saída 2 2 4" xfId="7023"/>
    <cellStyle name="Saída 2 2 4 2" xfId="8837"/>
    <cellStyle name="Saída 2 2 4 2 2" xfId="12703"/>
    <cellStyle name="Saída 2 2 4 2 2 2" xfId="15556"/>
    <cellStyle name="Saída 2 2 4 2 3" xfId="11836"/>
    <cellStyle name="Saída 2 2 4 2 3 2" xfId="15095"/>
    <cellStyle name="Saída 2 2 4 2 4" xfId="14565"/>
    <cellStyle name="Saída 2 2 4 2 5" xfId="14173"/>
    <cellStyle name="Saída 2 2 4 3" xfId="12183"/>
    <cellStyle name="Saída 2 2 4 3 2" xfId="15260"/>
    <cellStyle name="Saída 2 2 4 4" xfId="11216"/>
    <cellStyle name="Saída 2 2 4 4 2" xfId="14960"/>
    <cellStyle name="Saída 2 2 4 5" xfId="14486"/>
    <cellStyle name="Saída 2 2 4 6" xfId="13904"/>
    <cellStyle name="Saída 2 2 5" xfId="6938"/>
    <cellStyle name="Saída 2 2 5 2" xfId="8769"/>
    <cellStyle name="Saída 2 2 5 2 2" xfId="12639"/>
    <cellStyle name="Saída 2 2 5 2 2 2" xfId="15495"/>
    <cellStyle name="Saída 2 2 5 2 3" xfId="12509"/>
    <cellStyle name="Saída 2 2 5 2 3 2" xfId="15416"/>
    <cellStyle name="Saída 2 2 5 2 4" xfId="14649"/>
    <cellStyle name="Saída 2 2 5 2 5" xfId="14105"/>
    <cellStyle name="Saída 2 2 5 3" xfId="12102"/>
    <cellStyle name="Saída 2 2 5 3 2" xfId="15182"/>
    <cellStyle name="Saída 2 2 5 4" xfId="11645"/>
    <cellStyle name="Saída 2 2 5 4 2" xfId="15057"/>
    <cellStyle name="Saída 2 2 5 5" xfId="14371"/>
    <cellStyle name="Saída 2 2 5 6" xfId="13822"/>
    <cellStyle name="Saída 2 2 6" xfId="7032"/>
    <cellStyle name="Saída 2 2 6 2" xfId="8845"/>
    <cellStyle name="Saída 2 2 6 2 2" xfId="12711"/>
    <cellStyle name="Saída 2 2 6 2 2 2" xfId="15563"/>
    <cellStyle name="Saída 2 2 6 2 3" xfId="12521"/>
    <cellStyle name="Saída 2 2 6 2 3 2" xfId="15418"/>
    <cellStyle name="Saída 2 2 6 2 4" xfId="14646"/>
    <cellStyle name="Saída 2 2 6 2 5" xfId="14181"/>
    <cellStyle name="Saída 2 2 6 3" xfId="12191"/>
    <cellStyle name="Saída 2 2 6 3 2" xfId="15268"/>
    <cellStyle name="Saída 2 2 6 4" xfId="11060"/>
    <cellStyle name="Saída 2 2 6 4 2" xfId="14936"/>
    <cellStyle name="Saída 2 2 6 5" xfId="14480"/>
    <cellStyle name="Saída 2 2 6 6" xfId="13913"/>
    <cellStyle name="Saída 2 2 7" xfId="6972"/>
    <cellStyle name="Saída 2 2 7 2" xfId="8798"/>
    <cellStyle name="Saída 2 2 7 2 2" xfId="12667"/>
    <cellStyle name="Saída 2 2 7 2 2 2" xfId="15522"/>
    <cellStyle name="Saída 2 2 7 2 3" xfId="11643"/>
    <cellStyle name="Saída 2 2 7 2 3 2" xfId="15056"/>
    <cellStyle name="Saída 2 2 7 2 4" xfId="14418"/>
    <cellStyle name="Saída 2 2 7 2 5" xfId="14134"/>
    <cellStyle name="Saída 2 2 7 3" xfId="12135"/>
    <cellStyle name="Saída 2 2 7 3 2" xfId="15214"/>
    <cellStyle name="Saída 2 2 7 4" xfId="11646"/>
    <cellStyle name="Saída 2 2 7 4 2" xfId="15058"/>
    <cellStyle name="Saída 2 2 7 5" xfId="14512"/>
    <cellStyle name="Saída 2 2 7 6" xfId="13854"/>
    <cellStyle name="Saída 2 2 8" xfId="6882"/>
    <cellStyle name="Saída 2 2 8 2" xfId="8721"/>
    <cellStyle name="Saída 2 2 8 2 2" xfId="12595"/>
    <cellStyle name="Saída 2 2 8 2 2 2" xfId="15453"/>
    <cellStyle name="Saída 2 2 8 2 3" xfId="13051"/>
    <cellStyle name="Saída 2 2 8 2 3 2" xfId="15722"/>
    <cellStyle name="Saída 2 2 8 2 4" xfId="14706"/>
    <cellStyle name="Saída 2 2 8 2 5" xfId="14057"/>
    <cellStyle name="Saída 2 2 8 3" xfId="12051"/>
    <cellStyle name="Saída 2 2 8 3 2" xfId="15136"/>
    <cellStyle name="Saída 2 2 8 4" xfId="11206"/>
    <cellStyle name="Saída 2 2 8 4 2" xfId="14958"/>
    <cellStyle name="Saída 2 2 8 5" xfId="14544"/>
    <cellStyle name="Saída 2 2 8 6" xfId="13769"/>
    <cellStyle name="Saída 2 2 9" xfId="7022"/>
    <cellStyle name="Saída 2 2 9 2" xfId="12182"/>
    <cellStyle name="Saída 2 2 9 2 2" xfId="15259"/>
    <cellStyle name="Saída 2 2 9 3" xfId="11223"/>
    <cellStyle name="Saída 2 2 9 3 2" xfId="14962"/>
    <cellStyle name="Saída 2 2 9 4" xfId="14485"/>
    <cellStyle name="Saída 2 2 9 5" xfId="13903"/>
    <cellStyle name="Saída 2 3" xfId="4975"/>
    <cellStyle name="Saída 2 3 10" xfId="11805"/>
    <cellStyle name="Saída 2 3 10 2" xfId="11548"/>
    <cellStyle name="Saída 2 3 10 2 2" xfId="15035"/>
    <cellStyle name="Saída 2 3 10 3" xfId="15088"/>
    <cellStyle name="Saída 2 3 11" xfId="11943"/>
    <cellStyle name="Saída 2 3 11 2" xfId="15119"/>
    <cellStyle name="Saída 2 3 12" xfId="14775"/>
    <cellStyle name="Saída 2 3 13" xfId="13731"/>
    <cellStyle name="Saída 2 3 2" xfId="7060"/>
    <cellStyle name="Saída 2 3 2 2" xfId="8868"/>
    <cellStyle name="Saída 2 3 2 2 2" xfId="12733"/>
    <cellStyle name="Saída 2 3 2 2 2 2" xfId="15584"/>
    <cellStyle name="Saída 2 3 2 2 3" xfId="11413"/>
    <cellStyle name="Saída 2 3 2 2 3 2" xfId="15006"/>
    <cellStyle name="Saída 2 3 2 2 4" xfId="14622"/>
    <cellStyle name="Saída 2 3 2 2 5" xfId="14204"/>
    <cellStyle name="Saída 2 3 2 3" xfId="12218"/>
    <cellStyle name="Saída 2 3 2 3 2" xfId="15293"/>
    <cellStyle name="Saída 2 3 2 4" xfId="12356"/>
    <cellStyle name="Saída 2 3 2 4 2" xfId="15388"/>
    <cellStyle name="Saída 2 3 2 5" xfId="14739"/>
    <cellStyle name="Saída 2 3 2 6" xfId="13940"/>
    <cellStyle name="Saída 2 3 3" xfId="7076"/>
    <cellStyle name="Saída 2 3 3 2" xfId="8883"/>
    <cellStyle name="Saída 2 3 3 2 2" xfId="12746"/>
    <cellStyle name="Saída 2 3 3 2 2 2" xfId="15596"/>
    <cellStyle name="Saída 2 3 3 2 3" xfId="11755"/>
    <cellStyle name="Saída 2 3 3 2 3 2" xfId="15075"/>
    <cellStyle name="Saída 2 3 3 2 4" xfId="14683"/>
    <cellStyle name="Saída 2 3 3 2 5" xfId="14219"/>
    <cellStyle name="Saída 2 3 3 3" xfId="12232"/>
    <cellStyle name="Saída 2 3 3 3 2" xfId="15306"/>
    <cellStyle name="Saída 2 3 3 4" xfId="12992"/>
    <cellStyle name="Saída 2 3 3 4 2" xfId="15710"/>
    <cellStyle name="Saída 2 3 3 5" xfId="14382"/>
    <cellStyle name="Saída 2 3 3 6" xfId="13956"/>
    <cellStyle name="Saída 2 3 4" xfId="6940"/>
    <cellStyle name="Saída 2 3 4 2" xfId="8771"/>
    <cellStyle name="Saída 2 3 4 2 2" xfId="12641"/>
    <cellStyle name="Saída 2 3 4 2 2 2" xfId="15497"/>
    <cellStyle name="Saída 2 3 4 2 3" xfId="11730"/>
    <cellStyle name="Saída 2 3 4 2 3 2" xfId="15073"/>
    <cellStyle name="Saída 2 3 4 2 4" xfId="14653"/>
    <cellStyle name="Saída 2 3 4 2 5" xfId="14107"/>
    <cellStyle name="Saída 2 3 4 3" xfId="12104"/>
    <cellStyle name="Saída 2 3 4 3 2" xfId="15184"/>
    <cellStyle name="Saída 2 3 4 4" xfId="13217"/>
    <cellStyle name="Saída 2 3 4 4 2" xfId="15792"/>
    <cellStyle name="Saída 2 3 4 5" xfId="14541"/>
    <cellStyle name="Saída 2 3 4 6" xfId="13824"/>
    <cellStyle name="Saída 2 3 5" xfId="7093"/>
    <cellStyle name="Saída 2 3 5 2" xfId="8900"/>
    <cellStyle name="Saída 2 3 5 2 2" xfId="12763"/>
    <cellStyle name="Saída 2 3 5 2 2 2" xfId="15613"/>
    <cellStyle name="Saída 2 3 5 2 3" xfId="11852"/>
    <cellStyle name="Saída 2 3 5 2 3 2" xfId="15101"/>
    <cellStyle name="Saída 2 3 5 2 4" xfId="14349"/>
    <cellStyle name="Saída 2 3 5 2 5" xfId="14236"/>
    <cellStyle name="Saída 2 3 5 3" xfId="12249"/>
    <cellStyle name="Saída 2 3 5 3 2" xfId="15323"/>
    <cellStyle name="Saída 2 3 5 4" xfId="11233"/>
    <cellStyle name="Saída 2 3 5 4 2" xfId="14967"/>
    <cellStyle name="Saída 2 3 5 5" xfId="14308"/>
    <cellStyle name="Saída 2 3 5 6" xfId="13973"/>
    <cellStyle name="Saída 2 3 6" xfId="6881"/>
    <cellStyle name="Saída 2 3 6 2" xfId="8720"/>
    <cellStyle name="Saída 2 3 6 2 2" xfId="12594"/>
    <cellStyle name="Saída 2 3 6 2 2 2" xfId="15452"/>
    <cellStyle name="Saída 2 3 6 2 3" xfId="11864"/>
    <cellStyle name="Saída 2 3 6 2 3 2" xfId="15104"/>
    <cellStyle name="Saída 2 3 6 2 4" xfId="14707"/>
    <cellStyle name="Saída 2 3 6 2 5" xfId="14056"/>
    <cellStyle name="Saída 2 3 6 3" xfId="12050"/>
    <cellStyle name="Saída 2 3 6 3 2" xfId="15135"/>
    <cellStyle name="Saída 2 3 6 4" xfId="12879"/>
    <cellStyle name="Saída 2 3 6 4 2" xfId="15687"/>
    <cellStyle name="Saída 2 3 6 5" xfId="14539"/>
    <cellStyle name="Saída 2 3 6 6" xfId="13768"/>
    <cellStyle name="Saída 2 3 7" xfId="7118"/>
    <cellStyle name="Saída 2 3 7 2" xfId="8925"/>
    <cellStyle name="Saída 2 3 7 2 2" xfId="12784"/>
    <cellStyle name="Saída 2 3 7 2 2 2" xfId="15634"/>
    <cellStyle name="Saída 2 3 7 2 3" xfId="11654"/>
    <cellStyle name="Saída 2 3 7 2 3 2" xfId="15061"/>
    <cellStyle name="Saída 2 3 7 2 4" xfId="14553"/>
    <cellStyle name="Saída 2 3 7 2 5" xfId="14261"/>
    <cellStyle name="Saída 2 3 7 3" xfId="12270"/>
    <cellStyle name="Saída 2 3 7 3 2" xfId="15344"/>
    <cellStyle name="Saída 2 3 7 4" xfId="11238"/>
    <cellStyle name="Saída 2 3 7 4 2" xfId="14968"/>
    <cellStyle name="Saída 2 3 7 5" xfId="14725"/>
    <cellStyle name="Saída 2 3 7 6" xfId="13998"/>
    <cellStyle name="Saída 2 3 8" xfId="7140"/>
    <cellStyle name="Saída 2 3 8 2" xfId="8947"/>
    <cellStyle name="Saída 2 3 8 2 2" xfId="12804"/>
    <cellStyle name="Saída 2 3 8 2 2 2" xfId="15653"/>
    <cellStyle name="Saída 2 3 8 2 3" xfId="11416"/>
    <cellStyle name="Saída 2 3 8 2 3 2" xfId="15008"/>
    <cellStyle name="Saída 2 3 8 2 4" xfId="14854"/>
    <cellStyle name="Saída 2 3 8 2 5" xfId="14283"/>
    <cellStyle name="Saída 2 3 8 3" xfId="12290"/>
    <cellStyle name="Saída 2 3 8 3 2" xfId="15363"/>
    <cellStyle name="Saída 2 3 8 4" xfId="11298"/>
    <cellStyle name="Saída 2 3 8 4 2" xfId="14973"/>
    <cellStyle name="Saída 2 3 8 5" xfId="14723"/>
    <cellStyle name="Saída 2 3 8 6" xfId="14020"/>
    <cellStyle name="Saída 2 3 9" xfId="7003"/>
    <cellStyle name="Saída 2 3 9 2" xfId="12165"/>
    <cellStyle name="Saída 2 3 9 2 2" xfId="15243"/>
    <cellStyle name="Saída 2 3 9 3" xfId="11299"/>
    <cellStyle name="Saída 2 3 9 3 2" xfId="14974"/>
    <cellStyle name="Saída 2 3 9 4" xfId="14381"/>
    <cellStyle name="Saída 2 3 9 5" xfId="13885"/>
    <cellStyle name="Saída 2 4" xfId="6899"/>
    <cellStyle name="Saída 2 4 2" xfId="8736"/>
    <cellStyle name="Saída 2 4 2 2" xfId="12608"/>
    <cellStyle name="Saída 2 4 2 2 2" xfId="15465"/>
    <cellStyle name="Saída 2 4 2 3" xfId="12839"/>
    <cellStyle name="Saída 2 4 2 3 2" xfId="15677"/>
    <cellStyle name="Saída 2 4 2 4" xfId="14652"/>
    <cellStyle name="Saída 2 4 2 5" xfId="14072"/>
    <cellStyle name="Saída 2 4 3" xfId="12066"/>
    <cellStyle name="Saída 2 4 3 2" xfId="13326"/>
    <cellStyle name="Saída 2 4 3 2 2" xfId="15800"/>
    <cellStyle name="Saída 2 4 3 3" xfId="15146"/>
    <cellStyle name="Saída 2 4 4" xfId="11928"/>
    <cellStyle name="Saída 2 4 4 2" xfId="15115"/>
    <cellStyle name="Saída 2 4 5" xfId="14423"/>
    <cellStyle name="Saída 2 4 6" xfId="13785"/>
    <cellStyle name="Saída 2 5" xfId="6974"/>
    <cellStyle name="Saída 2 5 2" xfId="8799"/>
    <cellStyle name="Saída 2 5 2 2" xfId="12668"/>
    <cellStyle name="Saída 2 5 2 2 2" xfId="15523"/>
    <cellStyle name="Saída 2 5 2 3" xfId="11717"/>
    <cellStyle name="Saída 2 5 2 3 2" xfId="15070"/>
    <cellStyle name="Saída 2 5 2 4" xfId="14427"/>
    <cellStyle name="Saída 2 5 2 5" xfId="14135"/>
    <cellStyle name="Saída 2 5 3" xfId="12137"/>
    <cellStyle name="Saída 2 5 3 2" xfId="15216"/>
    <cellStyle name="Saída 2 5 4" xfId="12553"/>
    <cellStyle name="Saída 2 5 4 2" xfId="15436"/>
    <cellStyle name="Saída 2 5 5" xfId="14510"/>
    <cellStyle name="Saída 2 5 6" xfId="13856"/>
    <cellStyle name="Saída 2 6" xfId="6880"/>
    <cellStyle name="Saída 2 6 2" xfId="8719"/>
    <cellStyle name="Saída 2 6 2 2" xfId="12593"/>
    <cellStyle name="Saída 2 6 2 2 2" xfId="15451"/>
    <cellStyle name="Saída 2 6 2 3" xfId="11850"/>
    <cellStyle name="Saída 2 6 2 3 2" xfId="15099"/>
    <cellStyle name="Saída 2 6 2 4" xfId="14339"/>
    <cellStyle name="Saída 2 6 2 5" xfId="14055"/>
    <cellStyle name="Saída 2 6 3" xfId="12049"/>
    <cellStyle name="Saída 2 6 3 2" xfId="15134"/>
    <cellStyle name="Saída 2 6 4" xfId="13044"/>
    <cellStyle name="Saída 2 6 4 2" xfId="15718"/>
    <cellStyle name="Saída 2 6 5" xfId="14773"/>
    <cellStyle name="Saída 2 6 6" xfId="13767"/>
    <cellStyle name="Saída 2 7" xfId="6983"/>
    <cellStyle name="Saída 2 7 2" xfId="8805"/>
    <cellStyle name="Saída 2 7 2 2" xfId="12673"/>
    <cellStyle name="Saída 2 7 2 2 2" xfId="15527"/>
    <cellStyle name="Saída 2 7 2 3" xfId="11630"/>
    <cellStyle name="Saída 2 7 2 3 2" xfId="15054"/>
    <cellStyle name="Saída 2 7 2 4" xfId="14334"/>
    <cellStyle name="Saída 2 7 2 5" xfId="14141"/>
    <cellStyle name="Saída 2 7 3" xfId="12145"/>
    <cellStyle name="Saída 2 7 3 2" xfId="15223"/>
    <cellStyle name="Saída 2 7 4" xfId="11907"/>
    <cellStyle name="Saída 2 7 4 2" xfId="15111"/>
    <cellStyle name="Saída 2 7 5" xfId="14507"/>
    <cellStyle name="Saída 2 7 6" xfId="13865"/>
    <cellStyle name="Saída 2 8" xfId="6912"/>
    <cellStyle name="Saída 2 8 2" xfId="8746"/>
    <cellStyle name="Saída 2 8 2 2" xfId="12617"/>
    <cellStyle name="Saída 2 8 2 2 2" xfId="15474"/>
    <cellStyle name="Saída 2 8 2 3" xfId="13211"/>
    <cellStyle name="Saída 2 8 2 3 2" xfId="15791"/>
    <cellStyle name="Saída 2 8 2 4" xfId="14816"/>
    <cellStyle name="Saída 2 8 2 5" xfId="14082"/>
    <cellStyle name="Saída 2 8 3" xfId="12078"/>
    <cellStyle name="Saída 2 8 3 2" xfId="15158"/>
    <cellStyle name="Saída 2 8 4" xfId="13046"/>
    <cellStyle name="Saída 2 8 4 2" xfId="15719"/>
    <cellStyle name="Saída 2 8 5" xfId="14527"/>
    <cellStyle name="Saída 2 8 6" xfId="13797"/>
    <cellStyle name="Saída 2 9" xfId="7041"/>
    <cellStyle name="Saída 2 9 2" xfId="8852"/>
    <cellStyle name="Saída 2 9 2 2" xfId="12717"/>
    <cellStyle name="Saída 2 9 2 2 2" xfId="15569"/>
    <cellStyle name="Saída 2 9 2 3" xfId="11411"/>
    <cellStyle name="Saída 2 9 2 3 2" xfId="15005"/>
    <cellStyle name="Saída 2 9 2 4" xfId="14624"/>
    <cellStyle name="Saída 2 9 2 5" xfId="14188"/>
    <cellStyle name="Saída 2 9 3" xfId="12199"/>
    <cellStyle name="Saída 2 9 3 2" xfId="15276"/>
    <cellStyle name="Saída 2 9 4" xfId="12337"/>
    <cellStyle name="Saída 2 9 4 2" xfId="15382"/>
    <cellStyle name="Saída 2 9 5" xfId="14367"/>
    <cellStyle name="Saída 2 9 6" xfId="13922"/>
    <cellStyle name="Sep. milhar [0]" xfId="325"/>
    <cellStyle name="Separador de m" xfId="326"/>
    <cellStyle name="Separador de milhares 2" xfId="45"/>
    <cellStyle name="Separador de milhares 2 10" xfId="2091"/>
    <cellStyle name="Separador de milhares 2 10 2" xfId="3220"/>
    <cellStyle name="Separador de milhares 2 10 2 2" xfId="4556"/>
    <cellStyle name="Separador de milhares 2 10 2 3" xfId="5389"/>
    <cellStyle name="Separador de milhares 2 10 3" xfId="4060"/>
    <cellStyle name="Separador de milhares 2 10 3 2" xfId="6119"/>
    <cellStyle name="Separador de milhares 2 11" xfId="2092"/>
    <cellStyle name="Separador de milhares 2 11 2" xfId="3221"/>
    <cellStyle name="Separador de milhares 2 11 2 2" xfId="4557"/>
    <cellStyle name="Separador de milhares 2 11 2 3" xfId="5390"/>
    <cellStyle name="Separador de milhares 2 11 3" xfId="4334"/>
    <cellStyle name="Separador de milhares 2 11 3 2" xfId="6120"/>
    <cellStyle name="Separador de milhares 2 12" xfId="2093"/>
    <cellStyle name="Separador de milhares 2 12 2" xfId="3222"/>
    <cellStyle name="Separador de milhares 2 12 2 2" xfId="4558"/>
    <cellStyle name="Separador de milhares 2 12 2 3" xfId="5391"/>
    <cellStyle name="Separador de milhares 2 12 3" xfId="4218"/>
    <cellStyle name="Separador de milhares 2 12 3 2" xfId="6121"/>
    <cellStyle name="Separador de milhares 2 13" xfId="3022"/>
    <cellStyle name="Separador de milhares 2 13 2" xfId="3702"/>
    <cellStyle name="Separador de milhares 2 13 2 2" xfId="5867"/>
    <cellStyle name="Separador de milhares 2 13 3" xfId="5191"/>
    <cellStyle name="Separador de milhares 2 13 4" xfId="12414"/>
    <cellStyle name="Separador de milhares 2 13 4 2" xfId="15392"/>
    <cellStyle name="Separador de milhares 2 13 4 3" xfId="13553"/>
    <cellStyle name="Separador de milhares 2 14" xfId="8372"/>
    <cellStyle name="Separador de milhares 2 14 2" xfId="12970"/>
    <cellStyle name="Separador de milhares 2 14 3" xfId="12579"/>
    <cellStyle name="Separador de milhares 2 15" xfId="8373"/>
    <cellStyle name="Separador de milhares 2 16" xfId="8374"/>
    <cellStyle name="Separador de milhares 2 2" xfId="46"/>
    <cellStyle name="Separador de milhares 2 2 10" xfId="2094"/>
    <cellStyle name="Separador de milhares 2 2 10 2" xfId="3223"/>
    <cellStyle name="Separador de milhares 2 2 10 2 2" xfId="4559"/>
    <cellStyle name="Separador de milhares 2 2 10 2 3" xfId="5392"/>
    <cellStyle name="Separador de milhares 2 2 10 3" xfId="4433"/>
    <cellStyle name="Separador de milhares 2 2 10 3 2" xfId="6122"/>
    <cellStyle name="Separador de milhares 2 2 11" xfId="3023"/>
    <cellStyle name="Separador de milhares 2 2 11 2" xfId="4453"/>
    <cellStyle name="Separador de milhares 2 2 11 2 2" xfId="5868"/>
    <cellStyle name="Separador de milhares 2 2 11 3" xfId="5192"/>
    <cellStyle name="Separador de milhares 2 2 11 3 2" xfId="12384"/>
    <cellStyle name="Separador de milhares 2 2 11 3 3" xfId="12987"/>
    <cellStyle name="Separador de milhares 2 2 11 4" xfId="13554"/>
    <cellStyle name="Separador de milhares 2 2 12" xfId="8375"/>
    <cellStyle name="Separador de milhares 2 2 12 2" xfId="10955"/>
    <cellStyle name="Separador de milhares 2 2 12 3" xfId="10982"/>
    <cellStyle name="Separador de milhares 2 2 13" xfId="8376"/>
    <cellStyle name="Separador de milhares 2 2 14" xfId="8377"/>
    <cellStyle name="Separador de milhares 2 2 2" xfId="108"/>
    <cellStyle name="Separador de milhares 2 2 2 10" xfId="3035"/>
    <cellStyle name="Separador de milhares 2 2 2 10 2" xfId="4488"/>
    <cellStyle name="Separador de milhares 2 2 2 10 3" xfId="5204"/>
    <cellStyle name="Separador de milhares 2 2 2 10 3 2" xfId="12331"/>
    <cellStyle name="Separador de milhares 2 2 2 10 3 3" xfId="12871"/>
    <cellStyle name="Separador de milhares 2 2 2 10 4" xfId="13565"/>
    <cellStyle name="Separador de milhares 2 2 2 11" xfId="3809"/>
    <cellStyle name="Separador de milhares 2 2 2 11 2" xfId="5888"/>
    <cellStyle name="Separador de milhares 2 2 2 11 2 2" xfId="11403"/>
    <cellStyle name="Separador de milhares 2 2 2 11 2 3" xfId="11820"/>
    <cellStyle name="Separador de milhares 2 2 2 11 3" xfId="13679"/>
    <cellStyle name="Separador de milhares 2 2 2 12" xfId="8378"/>
    <cellStyle name="Separador de milhares 2 2 2 13" xfId="8379"/>
    <cellStyle name="Separador de milhares 2 2 2 2" xfId="726"/>
    <cellStyle name="Separador de milhares 2 2 2 2 2" xfId="2975"/>
    <cellStyle name="Separador de milhares 2 2 2 2 3" xfId="3111"/>
    <cellStyle name="Separador de milhares 2 2 2 2 3 2" xfId="4526"/>
    <cellStyle name="Separador de milhares 2 2 2 2 3 3" xfId="5280"/>
    <cellStyle name="Separador de milhares 2 2 2 2 3 3 2" xfId="11398"/>
    <cellStyle name="Separador de milhares 2 2 2 2 3 3 3" xfId="12986"/>
    <cellStyle name="Separador de milhares 2 2 2 2 3 4" xfId="13598"/>
    <cellStyle name="Separador de milhares 2 2 2 2 4" xfId="4221"/>
    <cellStyle name="Separador de milhares 2 2 2 2 4 2" xfId="5996"/>
    <cellStyle name="Separador de milhares 2 2 2 2 5" xfId="8380"/>
    <cellStyle name="Separador de milhares 2 2 2 3" xfId="2095"/>
    <cellStyle name="Separador de milhares 2 2 2 3 2" xfId="3224"/>
    <cellStyle name="Separador de milhares 2 2 2 3 2 2" xfId="4560"/>
    <cellStyle name="Separador de milhares 2 2 2 3 2 3" xfId="5393"/>
    <cellStyle name="Separador de milhares 2 2 2 3 2 3 2" xfId="11182"/>
    <cellStyle name="Separador de milhares 2 2 2 3 2 3 3" xfId="13163"/>
    <cellStyle name="Separador de milhares 2 2 2 3 2 4" xfId="13619"/>
    <cellStyle name="Separador de milhares 2 2 2 3 3" xfId="3875"/>
    <cellStyle name="Separador de milhares 2 2 2 3 3 2" xfId="6123"/>
    <cellStyle name="Separador de milhares 2 2 2 3 4" xfId="8381"/>
    <cellStyle name="Separador de milhares 2 2 2 4" xfId="2096"/>
    <cellStyle name="Separador de milhares 2 2 2 4 2" xfId="3225"/>
    <cellStyle name="Separador de milhares 2 2 2 4 2 2" xfId="4561"/>
    <cellStyle name="Separador de milhares 2 2 2 4 2 3" xfId="5394"/>
    <cellStyle name="Separador de milhares 2 2 2 4 3" xfId="3838"/>
    <cellStyle name="Separador de milhares 2 2 2 4 3 2" xfId="6124"/>
    <cellStyle name="Separador de milhares 2 2 2 5" xfId="2097"/>
    <cellStyle name="Separador de milhares 2 2 2 5 2" xfId="3226"/>
    <cellStyle name="Separador de milhares 2 2 2 5 2 2" xfId="4562"/>
    <cellStyle name="Separador de milhares 2 2 2 5 2 3" xfId="5395"/>
    <cellStyle name="Separador de milhares 2 2 2 5 3" xfId="4329"/>
    <cellStyle name="Separador de milhares 2 2 2 5 3 2" xfId="6125"/>
    <cellStyle name="Separador de milhares 2 2 2 6" xfId="2098"/>
    <cellStyle name="Separador de milhares 2 2 2 6 2" xfId="3227"/>
    <cellStyle name="Separador de milhares 2 2 2 6 2 2" xfId="4563"/>
    <cellStyle name="Separador de milhares 2 2 2 6 2 3" xfId="5396"/>
    <cellStyle name="Separador de milhares 2 2 2 6 3" xfId="3720"/>
    <cellStyle name="Separador de milhares 2 2 2 6 3 2" xfId="6126"/>
    <cellStyle name="Separador de milhares 2 2 2 7" xfId="2099"/>
    <cellStyle name="Separador de milhares 2 2 2 7 2" xfId="3228"/>
    <cellStyle name="Separador de milhares 2 2 2 7 2 2" xfId="4564"/>
    <cellStyle name="Separador de milhares 2 2 2 7 2 3" xfId="5397"/>
    <cellStyle name="Separador de milhares 2 2 2 7 3" xfId="4356"/>
    <cellStyle name="Separador de milhares 2 2 2 7 3 2" xfId="6127"/>
    <cellStyle name="Separador de milhares 2 2 2 8" xfId="2100"/>
    <cellStyle name="Separador de milhares 2 2 2 8 2" xfId="3229"/>
    <cellStyle name="Separador de milhares 2 2 2 8 2 2" xfId="4565"/>
    <cellStyle name="Separador de milhares 2 2 2 8 2 3" xfId="5398"/>
    <cellStyle name="Separador de milhares 2 2 2 8 3" xfId="3719"/>
    <cellStyle name="Separador de milhares 2 2 2 8 3 2" xfId="6128"/>
    <cellStyle name="Separador de milhares 2 2 2 9" xfId="2101"/>
    <cellStyle name="Separador de milhares 2 2 2 9 2" xfId="3230"/>
    <cellStyle name="Separador de milhares 2 2 2 9 2 2" xfId="4566"/>
    <cellStyle name="Separador de milhares 2 2 2 9 2 3" xfId="5399"/>
    <cellStyle name="Separador de milhares 2 2 2 9 3" xfId="4004"/>
    <cellStyle name="Separador de milhares 2 2 2 9 3 2" xfId="6129"/>
    <cellStyle name="Separador de milhares 2 2 3" xfId="664"/>
    <cellStyle name="Separador de milhares 2 2 3 2" xfId="3099"/>
    <cellStyle name="Separador de milhares 2 2 3 2 2" xfId="4514"/>
    <cellStyle name="Separador de milhares 2 2 3 2 3" xfId="5268"/>
    <cellStyle name="Separador de milhares 2 2 3 2 3 2" xfId="13025"/>
    <cellStyle name="Separador de milhares 2 2 3 2 3 3" xfId="11070"/>
    <cellStyle name="Separador de milhares 2 2 3 2 4" xfId="13595"/>
    <cellStyle name="Separador de milhares 2 2 3 3" xfId="3844"/>
    <cellStyle name="Separador de milhares 2 2 3 3 2" xfId="5983"/>
    <cellStyle name="Separador de milhares 2 2 3 4" xfId="8382"/>
    <cellStyle name="Separador de milhares 2 2 3 4 2" xfId="7157"/>
    <cellStyle name="Separador de milhares 2 2 4" xfId="2102"/>
    <cellStyle name="Separador de milhares 2 2 4 2" xfId="3231"/>
    <cellStyle name="Separador de milhares 2 2 4 2 2" xfId="4567"/>
    <cellStyle name="Separador de milhares 2 2 4 2 3" xfId="5400"/>
    <cellStyle name="Separador de milhares 2 2 4 2 3 2" xfId="10974"/>
    <cellStyle name="Separador de milhares 2 2 4 2 3 3" xfId="11088"/>
    <cellStyle name="Separador de milhares 2 2 4 2 4" xfId="13620"/>
    <cellStyle name="Separador de milhares 2 2 4 3" xfId="4103"/>
    <cellStyle name="Separador de milhares 2 2 4 3 2" xfId="6130"/>
    <cellStyle name="Separador de milhares 2 2 4 4" xfId="8383"/>
    <cellStyle name="Separador de milhares 2 2 5" xfId="2103"/>
    <cellStyle name="Separador de milhares 2 2 5 2" xfId="3232"/>
    <cellStyle name="Separador de milhares 2 2 5 2 2" xfId="4568"/>
    <cellStyle name="Separador de milhares 2 2 5 2 3" xfId="5401"/>
    <cellStyle name="Separador de milhares 2 2 5 2 3 2" xfId="11123"/>
    <cellStyle name="Separador de milhares 2 2 5 2 3 3" xfId="12421"/>
    <cellStyle name="Separador de milhares 2 2 5 2 4" xfId="13621"/>
    <cellStyle name="Separador de milhares 2 2 5 3" xfId="3713"/>
    <cellStyle name="Separador de milhares 2 2 5 3 2" xfId="6131"/>
    <cellStyle name="Separador de milhares 2 2 5 4" xfId="8384"/>
    <cellStyle name="Separador de milhares 2 2 6" xfId="2104"/>
    <cellStyle name="Separador de milhares 2 2 6 2" xfId="3233"/>
    <cellStyle name="Separador de milhares 2 2 6 2 2" xfId="4569"/>
    <cellStyle name="Separador de milhares 2 2 6 2 3" xfId="5402"/>
    <cellStyle name="Separador de milhares 2 2 6 2 3 2" xfId="12939"/>
    <cellStyle name="Separador de milhares 2 2 6 2 3 3" xfId="11150"/>
    <cellStyle name="Separador de milhares 2 2 6 2 4" xfId="13622"/>
    <cellStyle name="Separador de milhares 2 2 6 3" xfId="4034"/>
    <cellStyle name="Separador de milhares 2 2 6 3 2" xfId="6132"/>
    <cellStyle name="Separador de milhares 2 2 6 4" xfId="8385"/>
    <cellStyle name="Separador de milhares 2 2 7" xfId="2105"/>
    <cellStyle name="Separador de milhares 2 2 7 2" xfId="3234"/>
    <cellStyle name="Separador de milhares 2 2 7 2 2" xfId="4570"/>
    <cellStyle name="Separador de milhares 2 2 7 2 3" xfId="5403"/>
    <cellStyle name="Separador de milhares 2 2 7 2 3 2" xfId="12480"/>
    <cellStyle name="Separador de milhares 2 2 7 2 3 3" xfId="12922"/>
    <cellStyle name="Separador de milhares 2 2 7 2 4" xfId="13623"/>
    <cellStyle name="Separador de milhares 2 2 7 3" xfId="4084"/>
    <cellStyle name="Separador de milhares 2 2 7 3 2" xfId="6133"/>
    <cellStyle name="Separador de milhares 2 2 7 4" xfId="8386"/>
    <cellStyle name="Separador de milhares 2 2 8" xfId="2106"/>
    <cellStyle name="Separador de milhares 2 2 8 2" xfId="3235"/>
    <cellStyle name="Separador de milhares 2 2 8 2 2" xfId="4571"/>
    <cellStyle name="Separador de milhares 2 2 8 2 3" xfId="5404"/>
    <cellStyle name="Separador de milhares 2 2 8 3" xfId="3968"/>
    <cellStyle name="Separador de milhares 2 2 8 3 2" xfId="6134"/>
    <cellStyle name="Separador de milhares 2 2 9" xfId="2107"/>
    <cellStyle name="Separador de milhares 2 2 9 2" xfId="3236"/>
    <cellStyle name="Separador de milhares 2 2 9 2 2" xfId="4572"/>
    <cellStyle name="Separador de milhares 2 2 9 2 3" xfId="5405"/>
    <cellStyle name="Separador de milhares 2 2 9 3" xfId="4408"/>
    <cellStyle name="Separador de milhares 2 2 9 3 2" xfId="6135"/>
    <cellStyle name="Separador de milhares 2 3" xfId="47"/>
    <cellStyle name="Separador de milhares 2 3 10" xfId="2108"/>
    <cellStyle name="Separador de milhares 2 3 10 2" xfId="3237"/>
    <cellStyle name="Separador de milhares 2 3 10 2 2" xfId="4573"/>
    <cellStyle name="Separador de milhares 2 3 10 2 3" xfId="5406"/>
    <cellStyle name="Separador de milhares 2 3 10 3" xfId="4233"/>
    <cellStyle name="Separador de milhares 2 3 10 3 2" xfId="6136"/>
    <cellStyle name="Separador de milhares 2 3 11" xfId="3024"/>
    <cellStyle name="Separador de milhares 2 3 11 2" xfId="4242"/>
    <cellStyle name="Separador de milhares 2 3 11 2 2" xfId="5869"/>
    <cellStyle name="Separador de milhares 2 3 11 3" xfId="5193"/>
    <cellStyle name="Separador de milhares 2 3 11 3 2" xfId="13157"/>
    <cellStyle name="Separador de milhares 2 3 11 3 3" xfId="11618"/>
    <cellStyle name="Separador de milhares 2 3 11 4" xfId="13555"/>
    <cellStyle name="Separador de milhares 2 3 12" xfId="8387"/>
    <cellStyle name="Separador de milhares 2 3 12 2" xfId="11464"/>
    <cellStyle name="Separador de milhares 2 3 12 3" xfId="13001"/>
    <cellStyle name="Separador de milhares 2 3 13" xfId="8388"/>
    <cellStyle name="Separador de milhares 2 3 14" xfId="8389"/>
    <cellStyle name="Separador de milhares 2 3 2" xfId="109"/>
    <cellStyle name="Separador de milhares 2 3 2 10" xfId="3036"/>
    <cellStyle name="Separador de milhares 2 3 2 10 2" xfId="4489"/>
    <cellStyle name="Separador de milhares 2 3 2 10 3" xfId="5205"/>
    <cellStyle name="Separador de milhares 2 3 2 10 3 2" xfId="12329"/>
    <cellStyle name="Separador de milhares 2 3 2 10 3 3" xfId="11741"/>
    <cellStyle name="Separador de milhares 2 3 2 10 4" xfId="13566"/>
    <cellStyle name="Separador de milhares 2 3 2 11" xfId="3800"/>
    <cellStyle name="Separador de milhares 2 3 2 11 2" xfId="5889"/>
    <cellStyle name="Separador de milhares 2 3 2 11 2 2" xfId="11404"/>
    <cellStyle name="Separador de milhares 2 3 2 11 2 3" xfId="11439"/>
    <cellStyle name="Separador de milhares 2 3 2 11 3" xfId="13678"/>
    <cellStyle name="Separador de milhares 2 3 2 12" xfId="8390"/>
    <cellStyle name="Separador de milhares 2 3 2 13" xfId="8391"/>
    <cellStyle name="Separador de milhares 2 3 2 2" xfId="727"/>
    <cellStyle name="Separador de milhares 2 3 2 2 2" xfId="3112"/>
    <cellStyle name="Separador de milhares 2 3 2 2 2 2" xfId="4527"/>
    <cellStyle name="Separador de milhares 2 3 2 2 2 3" xfId="5281"/>
    <cellStyle name="Separador de milhares 2 3 2 2 3" xfId="3985"/>
    <cellStyle name="Separador de milhares 2 3 2 2 3 2" xfId="5997"/>
    <cellStyle name="Separador de milhares 2 3 2 3" xfId="2109"/>
    <cellStyle name="Separador de milhares 2 3 2 3 2" xfId="3238"/>
    <cellStyle name="Separador de milhares 2 3 2 3 2 2" xfId="4574"/>
    <cellStyle name="Separador de milhares 2 3 2 3 2 3" xfId="5407"/>
    <cellStyle name="Separador de milhares 2 3 2 3 3" xfId="3871"/>
    <cellStyle name="Separador de milhares 2 3 2 3 3 2" xfId="6137"/>
    <cellStyle name="Separador de milhares 2 3 2 4" xfId="2110"/>
    <cellStyle name="Separador de milhares 2 3 2 4 2" xfId="3239"/>
    <cellStyle name="Separador de milhares 2 3 2 4 2 2" xfId="4575"/>
    <cellStyle name="Separador de milhares 2 3 2 4 2 3" xfId="5408"/>
    <cellStyle name="Separador de milhares 2 3 2 4 3" xfId="4187"/>
    <cellStyle name="Separador de milhares 2 3 2 4 3 2" xfId="6138"/>
    <cellStyle name="Separador de milhares 2 3 2 5" xfId="2111"/>
    <cellStyle name="Separador de milhares 2 3 2 5 2" xfId="3240"/>
    <cellStyle name="Separador de milhares 2 3 2 5 2 2" xfId="4576"/>
    <cellStyle name="Separador de milhares 2 3 2 5 2 3" xfId="5409"/>
    <cellStyle name="Separador de milhares 2 3 2 5 3" xfId="3962"/>
    <cellStyle name="Separador de milhares 2 3 2 5 3 2" xfId="6139"/>
    <cellStyle name="Separador de milhares 2 3 2 6" xfId="2112"/>
    <cellStyle name="Separador de milhares 2 3 2 6 2" xfId="3241"/>
    <cellStyle name="Separador de milhares 2 3 2 6 2 2" xfId="4577"/>
    <cellStyle name="Separador de milhares 2 3 2 6 2 3" xfId="5410"/>
    <cellStyle name="Separador de milhares 2 3 2 6 3" xfId="3738"/>
    <cellStyle name="Separador de milhares 2 3 2 6 3 2" xfId="6140"/>
    <cellStyle name="Separador de milhares 2 3 2 7" xfId="2113"/>
    <cellStyle name="Separador de milhares 2 3 2 7 2" xfId="3242"/>
    <cellStyle name="Separador de milhares 2 3 2 7 2 2" xfId="4578"/>
    <cellStyle name="Separador de milhares 2 3 2 7 2 3" xfId="5411"/>
    <cellStyle name="Separador de milhares 2 3 2 7 3" xfId="4046"/>
    <cellStyle name="Separador de milhares 2 3 2 7 3 2" xfId="6141"/>
    <cellStyle name="Separador de milhares 2 3 2 8" xfId="2114"/>
    <cellStyle name="Separador de milhares 2 3 2 8 2" xfId="3243"/>
    <cellStyle name="Separador de milhares 2 3 2 8 2 2" xfId="4579"/>
    <cellStyle name="Separador de milhares 2 3 2 8 2 3" xfId="5412"/>
    <cellStyle name="Separador de milhares 2 3 2 8 3" xfId="4014"/>
    <cellStyle name="Separador de milhares 2 3 2 8 3 2" xfId="6142"/>
    <cellStyle name="Separador de milhares 2 3 2 9" xfId="2115"/>
    <cellStyle name="Separador de milhares 2 3 2 9 2" xfId="3244"/>
    <cellStyle name="Separador de milhares 2 3 2 9 2 2" xfId="4580"/>
    <cellStyle name="Separador de milhares 2 3 2 9 2 3" xfId="5413"/>
    <cellStyle name="Separador de milhares 2 3 2 9 3" xfId="4328"/>
    <cellStyle name="Separador de milhares 2 3 2 9 3 2" xfId="6143"/>
    <cellStyle name="Separador de milhares 2 3 3" xfId="665"/>
    <cellStyle name="Separador de milhares 2 3 3 2" xfId="3100"/>
    <cellStyle name="Separador de milhares 2 3 3 2 2" xfId="4515"/>
    <cellStyle name="Separador de milhares 2 3 3 2 3" xfId="5269"/>
    <cellStyle name="Separador de milhares 2 3 3 3" xfId="4343"/>
    <cellStyle name="Separador de milhares 2 3 3 3 2" xfId="5984"/>
    <cellStyle name="Separador de milhares 2 3 4" xfId="2116"/>
    <cellStyle name="Separador de milhares 2 3 4 2" xfId="3245"/>
    <cellStyle name="Separador de milhares 2 3 4 2 2" xfId="4581"/>
    <cellStyle name="Separador de milhares 2 3 4 2 3" xfId="5414"/>
    <cellStyle name="Separador de milhares 2 3 4 3" xfId="3842"/>
    <cellStyle name="Separador de milhares 2 3 4 3 2" xfId="6144"/>
    <cellStyle name="Separador de milhares 2 3 5" xfId="2117"/>
    <cellStyle name="Separador de milhares 2 3 5 2" xfId="3246"/>
    <cellStyle name="Separador de milhares 2 3 5 2 2" xfId="4582"/>
    <cellStyle name="Separador de milhares 2 3 5 2 3" xfId="5415"/>
    <cellStyle name="Separador de milhares 2 3 5 3" xfId="4036"/>
    <cellStyle name="Separador de milhares 2 3 5 3 2" xfId="6145"/>
    <cellStyle name="Separador de milhares 2 3 6" xfId="2118"/>
    <cellStyle name="Separador de milhares 2 3 6 2" xfId="3247"/>
    <cellStyle name="Separador de milhares 2 3 6 2 2" xfId="4583"/>
    <cellStyle name="Separador de milhares 2 3 6 2 3" xfId="5416"/>
    <cellStyle name="Separador de milhares 2 3 6 3" xfId="4213"/>
    <cellStyle name="Separador de milhares 2 3 6 3 2" xfId="6146"/>
    <cellStyle name="Separador de milhares 2 3 7" xfId="2119"/>
    <cellStyle name="Separador de milhares 2 3 7 2" xfId="3248"/>
    <cellStyle name="Separador de milhares 2 3 7 2 2" xfId="4584"/>
    <cellStyle name="Separador de milhares 2 3 7 2 3" xfId="5417"/>
    <cellStyle name="Separador de milhares 2 3 7 3" xfId="4279"/>
    <cellStyle name="Separador de milhares 2 3 7 3 2" xfId="6147"/>
    <cellStyle name="Separador de milhares 2 3 8" xfId="2120"/>
    <cellStyle name="Separador de milhares 2 3 8 2" xfId="3249"/>
    <cellStyle name="Separador de milhares 2 3 8 2 2" xfId="4585"/>
    <cellStyle name="Separador de milhares 2 3 8 2 3" xfId="5418"/>
    <cellStyle name="Separador de milhares 2 3 8 3" xfId="3803"/>
    <cellStyle name="Separador de milhares 2 3 8 3 2" xfId="6148"/>
    <cellStyle name="Separador de milhares 2 3 9" xfId="2121"/>
    <cellStyle name="Separador de milhares 2 3 9 2" xfId="3250"/>
    <cellStyle name="Separador de milhares 2 3 9 2 2" xfId="4586"/>
    <cellStyle name="Separador de milhares 2 3 9 2 3" xfId="5419"/>
    <cellStyle name="Separador de milhares 2 3 9 3" xfId="4376"/>
    <cellStyle name="Separador de milhares 2 3 9 3 2" xfId="6149"/>
    <cellStyle name="Separador de milhares 2 4" xfId="48"/>
    <cellStyle name="Separador de milhares 2 4 10" xfId="3025"/>
    <cellStyle name="Separador de milhares 2 4 10 2" xfId="4126"/>
    <cellStyle name="Separador de milhares 2 4 10 2 2" xfId="5870"/>
    <cellStyle name="Separador de milhares 2 4 10 3" xfId="5194"/>
    <cellStyle name="Separador de milhares 2 4 10 3 2" xfId="10910"/>
    <cellStyle name="Separador de milhares 2 4 10 3 3" xfId="11736"/>
    <cellStyle name="Separador de milhares 2 4 10 4" xfId="13556"/>
    <cellStyle name="Separador de milhares 2 4 11" xfId="8392"/>
    <cellStyle name="Separador de milhares 2 4 11 2" xfId="12855"/>
    <cellStyle name="Separador de milhares 2 4 11 3" xfId="11626"/>
    <cellStyle name="Separador de milhares 2 4 12" xfId="8393"/>
    <cellStyle name="Separador de milhares 2 4 13" xfId="8394"/>
    <cellStyle name="Separador de milhares 2 4 2" xfId="693"/>
    <cellStyle name="Separador de milhares 2 4 2 2" xfId="3107"/>
    <cellStyle name="Separador de milhares 2 4 2 2 2" xfId="4522"/>
    <cellStyle name="Separador de milhares 2 4 2 2 3" xfId="5276"/>
    <cellStyle name="Separador de milhares 2 4 2 2 3 2" xfId="11164"/>
    <cellStyle name="Separador de milhares 2 4 2 2 3 3" xfId="11970"/>
    <cellStyle name="Separador de milhares 2 4 2 2 4" xfId="13596"/>
    <cellStyle name="Separador de milhares 2 4 2 3" xfId="4144"/>
    <cellStyle name="Separador de milhares 2 4 2 3 2" xfId="5992"/>
    <cellStyle name="Separador de milhares 2 4 2 4" xfId="8395"/>
    <cellStyle name="Separador de milhares 2 4 3" xfId="2122"/>
    <cellStyle name="Separador de milhares 2 4 3 2" xfId="2976"/>
    <cellStyle name="Separador de milhares 2 4 3 3" xfId="3251"/>
    <cellStyle name="Separador de milhares 2 4 3 3 2" xfId="4587"/>
    <cellStyle name="Separador de milhares 2 4 3 3 3" xfId="5420"/>
    <cellStyle name="Separador de milhares 2 4 3 4" xfId="4104"/>
    <cellStyle name="Separador de milhares 2 4 3 4 2" xfId="6150"/>
    <cellStyle name="Separador de milhares 2 4 4" xfId="2123"/>
    <cellStyle name="Separador de milhares 2 4 4 2" xfId="3252"/>
    <cellStyle name="Separador de milhares 2 4 4 2 2" xfId="4588"/>
    <cellStyle name="Separador de milhares 2 4 4 2 3" xfId="5421"/>
    <cellStyle name="Separador de milhares 2 4 4 3" xfId="4236"/>
    <cellStyle name="Separador de milhares 2 4 4 3 2" xfId="6151"/>
    <cellStyle name="Separador de milhares 2 4 5" xfId="2124"/>
    <cellStyle name="Separador de milhares 2 4 5 2" xfId="3253"/>
    <cellStyle name="Separador de milhares 2 4 5 2 2" xfId="4589"/>
    <cellStyle name="Separador de milhares 2 4 5 2 3" xfId="5422"/>
    <cellStyle name="Separador de milhares 2 4 5 3" xfId="4474"/>
    <cellStyle name="Separador de milhares 2 4 5 3 2" xfId="6152"/>
    <cellStyle name="Separador de milhares 2 4 6" xfId="2125"/>
    <cellStyle name="Separador de milhares 2 4 6 2" xfId="3254"/>
    <cellStyle name="Separador de milhares 2 4 6 2 2" xfId="4590"/>
    <cellStyle name="Separador de milhares 2 4 6 2 3" xfId="5423"/>
    <cellStyle name="Separador de milhares 2 4 6 3" xfId="3873"/>
    <cellStyle name="Separador de milhares 2 4 6 3 2" xfId="6153"/>
    <cellStyle name="Separador de milhares 2 4 7" xfId="2126"/>
    <cellStyle name="Separador de milhares 2 4 7 2" xfId="3255"/>
    <cellStyle name="Separador de milhares 2 4 7 2 2" xfId="4591"/>
    <cellStyle name="Separador de milhares 2 4 7 2 3" xfId="5424"/>
    <cellStyle name="Separador de milhares 2 4 7 3" xfId="4431"/>
    <cellStyle name="Separador de milhares 2 4 7 3 2" xfId="6154"/>
    <cellStyle name="Separador de milhares 2 4 8" xfId="2127"/>
    <cellStyle name="Separador de milhares 2 4 8 2" xfId="3256"/>
    <cellStyle name="Separador de milhares 2 4 8 2 2" xfId="4592"/>
    <cellStyle name="Separador de milhares 2 4 8 2 3" xfId="5425"/>
    <cellStyle name="Separador de milhares 2 4 8 3" xfId="4184"/>
    <cellStyle name="Separador de milhares 2 4 8 3 2" xfId="6155"/>
    <cellStyle name="Separador de milhares 2 4 9" xfId="2128"/>
    <cellStyle name="Separador de milhares 2 4 9 2" xfId="3257"/>
    <cellStyle name="Separador de milhares 2 4 9 2 2" xfId="4593"/>
    <cellStyle name="Separador de milhares 2 4 9 2 3" xfId="5426"/>
    <cellStyle name="Separador de milhares 2 4 9 3" xfId="4068"/>
    <cellStyle name="Separador de milhares 2 4 9 3 2" xfId="6156"/>
    <cellStyle name="Separador de milhares 2 5" xfId="663"/>
    <cellStyle name="Separador de milhares 2 5 2" xfId="2977"/>
    <cellStyle name="Separador de milhares 2 5 2 2" xfId="3669"/>
    <cellStyle name="Separador de milhares 2 5 2 2 2" xfId="4947"/>
    <cellStyle name="Separador de milhares 2 5 2 2 3" xfId="5838"/>
    <cellStyle name="Separador de milhares 2 5 2 2 3 2" xfId="12037"/>
    <cellStyle name="Separador de milhares 2 5 2 2 3 3" xfId="12012"/>
    <cellStyle name="Separador de milhares 2 5 2 3" xfId="8396"/>
    <cellStyle name="Separador de milhares 2 5 3" xfId="2978"/>
    <cellStyle name="Separador de milhares 2 5 3 2" xfId="8397"/>
    <cellStyle name="Separador de milhares 2 5 4" xfId="3098"/>
    <cellStyle name="Separador de milhares 2 5 4 2" xfId="4513"/>
    <cellStyle name="Separador de milhares 2 5 4 3" xfId="5267"/>
    <cellStyle name="Separador de milhares 2 5 4 3 2" xfId="13226"/>
    <cellStyle name="Separador de milhares 2 5 4 3 3" xfId="12035"/>
    <cellStyle name="Separador de milhares 2 5 4 4" xfId="13594"/>
    <cellStyle name="Separador de milhares 2 5 5" xfId="4256"/>
    <cellStyle name="Separador de milhares 2 5 5 2" xfId="5982"/>
    <cellStyle name="Separador de milhares 2 5 6" xfId="8398"/>
    <cellStyle name="Separador de milhares 2 6" xfId="2129"/>
    <cellStyle name="Separador de milhares 2 6 2" xfId="3258"/>
    <cellStyle name="Separador de milhares 2 6 2 2" xfId="4594"/>
    <cellStyle name="Separador de milhares 2 6 2 3" xfId="5427"/>
    <cellStyle name="Separador de milhares 2 6 3" xfId="4484"/>
    <cellStyle name="Separador de milhares 2 6 3 2" xfId="6157"/>
    <cellStyle name="Separador de milhares 2 7" xfId="2130"/>
    <cellStyle name="Separador de milhares 2 7 2" xfId="3259"/>
    <cellStyle name="Separador de milhares 2 7 2 2" xfId="4595"/>
    <cellStyle name="Separador de milhares 2 7 2 3" xfId="5428"/>
    <cellStyle name="Separador de milhares 2 7 3" xfId="4344"/>
    <cellStyle name="Separador de milhares 2 7 3 2" xfId="6158"/>
    <cellStyle name="Separador de milhares 2 8" xfId="2131"/>
    <cellStyle name="Separador de milhares 2 8 2" xfId="3260"/>
    <cellStyle name="Separador de milhares 2 8 2 2" xfId="4596"/>
    <cellStyle name="Separador de milhares 2 8 2 3" xfId="5429"/>
    <cellStyle name="Separador de milhares 2 8 3" xfId="4350"/>
    <cellStyle name="Separador de milhares 2 8 3 2" xfId="6159"/>
    <cellStyle name="Separador de milhares 2 9" xfId="2132"/>
    <cellStyle name="Separador de milhares 2 9 2" xfId="3261"/>
    <cellStyle name="Separador de milhares 2 9 2 2" xfId="4597"/>
    <cellStyle name="Separador de milhares 2 9 2 3" xfId="5430"/>
    <cellStyle name="Separador de milhares 2 9 3" xfId="3841"/>
    <cellStyle name="Separador de milhares 2 9 3 2" xfId="6160"/>
    <cellStyle name="Separador de milhares 3" xfId="49"/>
    <cellStyle name="Separador de milhares 3 10" xfId="2133"/>
    <cellStyle name="Separador de milhares 3 10 2" xfId="3262"/>
    <cellStyle name="Separador de milhares 3 10 2 2" xfId="4598"/>
    <cellStyle name="Separador de milhares 3 10 2 3" xfId="5431"/>
    <cellStyle name="Separador de milhares 3 10 2 3 2" xfId="11775"/>
    <cellStyle name="Separador de milhares 3 10 2 3 3" xfId="11886"/>
    <cellStyle name="Separador de milhares 3 10 2 4" xfId="13624"/>
    <cellStyle name="Separador de milhares 3 10 3" xfId="3763"/>
    <cellStyle name="Separador de milhares 3 10 3 2" xfId="6161"/>
    <cellStyle name="Separador de milhares 3 10 4" xfId="8399"/>
    <cellStyle name="Separador de milhares 3 11" xfId="3867"/>
    <cellStyle name="Separador de milhares 3 11 2" xfId="5871"/>
    <cellStyle name="Separador de milhares 3 11 2 2" xfId="12408"/>
    <cellStyle name="Separador de milhares 3 11 2 2 2" xfId="15391"/>
    <cellStyle name="Separador de milhares 3 11 2 2 3" xfId="13750"/>
    <cellStyle name="Separador de milhares 3 11 2 3" xfId="11997"/>
    <cellStyle name="Separador de milhares 3 11 2 4" xfId="11724"/>
    <cellStyle name="Separador de milhares 3 11 3" xfId="11847"/>
    <cellStyle name="Separador de milhares 3 11 3 2" xfId="15097"/>
    <cellStyle name="Separador de milhares 3 11 3 3" xfId="13686"/>
    <cellStyle name="Separador de milhares 3 11 4" xfId="11041"/>
    <cellStyle name="Separador de milhares 3 12" xfId="8400"/>
    <cellStyle name="Separador de milhares 3 12 2" xfId="8401"/>
    <cellStyle name="Separador de milhares 3 12 2 2" xfId="10956"/>
    <cellStyle name="Separador de milhares 3 12 2 3" xfId="11964"/>
    <cellStyle name="Separador de milhares 3 12 3" xfId="11116"/>
    <cellStyle name="Separador de milhares 3 12 4" xfId="11600"/>
    <cellStyle name="Separador de milhares 3 13" xfId="8402"/>
    <cellStyle name="Separador de milhares 3 13 2" xfId="8403"/>
    <cellStyle name="Separador de milhares 3 13 2 2" xfId="11073"/>
    <cellStyle name="Separador de milhares 3 13 2 3" xfId="11537"/>
    <cellStyle name="Separador de milhares 3 13 3" xfId="12381"/>
    <cellStyle name="Separador de milhares 3 13 4" xfId="11742"/>
    <cellStyle name="Separador de milhares 3 2" xfId="111"/>
    <cellStyle name="Separador de milhares 3 2 10" xfId="2134"/>
    <cellStyle name="Separador de milhares 3 2 10 2" xfId="3263"/>
    <cellStyle name="Separador de milhares 3 2 10 2 2" xfId="4599"/>
    <cellStyle name="Separador de milhares 3 2 10 2 3" xfId="5432"/>
    <cellStyle name="Separador de milhares 3 2 10 2 3 2" xfId="11901"/>
    <cellStyle name="Separador de milhares 3 2 10 2 3 3" xfId="11440"/>
    <cellStyle name="Separador de milhares 3 2 10 2 4" xfId="13625"/>
    <cellStyle name="Separador de milhares 3 2 10 3" xfId="4168"/>
    <cellStyle name="Separador de milhares 3 2 10 3 2" xfId="6162"/>
    <cellStyle name="Separador de milhares 3 2 10 4" xfId="8404"/>
    <cellStyle name="Separador de milhares 3 2 11" xfId="2979"/>
    <cellStyle name="Separador de milhares 3 2 11 2" xfId="3670"/>
    <cellStyle name="Separador de milhares 3 2 11 2 2" xfId="4948"/>
    <cellStyle name="Separador de milhares 3 2 11 2 3" xfId="5839"/>
    <cellStyle name="Separador de milhares 3 2 11 2 3 2" xfId="11993"/>
    <cellStyle name="Separador de milhares 3 2 11 2 3 3" xfId="11344"/>
    <cellStyle name="Separador de milhares 3 2 11 2 4" xfId="12306"/>
    <cellStyle name="Separador de milhares 3 2 11 2 4 2" xfId="15377"/>
    <cellStyle name="Separador de milhares 3 2 11 2 4 3" xfId="13635"/>
    <cellStyle name="Separador de milhares 3 2 11 3" xfId="4186"/>
    <cellStyle name="Separador de milhares 3 2 11 3 2" xfId="5891"/>
    <cellStyle name="Separador de milhares 3 2 11 3 2 2" xfId="11402"/>
    <cellStyle name="Separador de milhares 3 2 11 3 2 3" xfId="11608"/>
    <cellStyle name="Separador de milhares 3 2 11 3 3" xfId="11926"/>
    <cellStyle name="Separador de milhares 3 2 11 4" xfId="8405"/>
    <cellStyle name="Separador de milhares 3 2 11 4 2" xfId="13159"/>
    <cellStyle name="Separador de milhares 3 2 11 4 3" xfId="13095"/>
    <cellStyle name="Separador de milhares 3 2 11 5" xfId="13544"/>
    <cellStyle name="Separador de milhares 3 2 12" xfId="8406"/>
    <cellStyle name="Separador de milhares 3 2 12 2" xfId="14037"/>
    <cellStyle name="Separador de milhares 3 2 12 3" xfId="13379"/>
    <cellStyle name="Separador de milhares 3 2 2" xfId="112"/>
    <cellStyle name="Separador de milhares 3 2 2 2" xfId="849"/>
    <cellStyle name="Separador de milhares 3 2 2 2 2" xfId="3134"/>
    <cellStyle name="Separador de milhares 3 2 2 2 2 2" xfId="4339"/>
    <cellStyle name="Separador de milhares 3 2 2 2 2 2 2" xfId="6534"/>
    <cellStyle name="Separador de milhares 3 2 2 2 2 3" xfId="5303"/>
    <cellStyle name="Separador de milhares 3 2 2 2 2 3 2" xfId="12938"/>
    <cellStyle name="Separador de milhares 3 2 2 2 2 3 3" xfId="12449"/>
    <cellStyle name="Separador de milhares 3 2 2 2 2 4" xfId="12360"/>
    <cellStyle name="Separador de milhares 3 2 2 2 2 4 2" xfId="15389"/>
    <cellStyle name="Separador de milhares 3 2 2 2 2 4 3" xfId="13603"/>
    <cellStyle name="Separador de milhares 3 2 2 2 3" xfId="3883"/>
    <cellStyle name="Separador de milhares 3 2 2 2 3 2" xfId="6024"/>
    <cellStyle name="Separador de milhares 3 2 2 2 4" xfId="6719"/>
    <cellStyle name="Separador de milhares 3 2 2 2 5" xfId="5037"/>
    <cellStyle name="Separador de milhares 3 2 2 3" xfId="2980"/>
    <cellStyle name="Separador de milhares 3 2 2 3 2" xfId="3671"/>
    <cellStyle name="Separador de milhares 3 2 2 3 2 2" xfId="4949"/>
    <cellStyle name="Separador de milhares 3 2 2 3 2 3" xfId="5840"/>
    <cellStyle name="Separador de milhares 3 2 2 3 2 3 2" xfId="12488"/>
    <cellStyle name="Separador de milhares 3 2 2 3 2 3 3" xfId="11345"/>
    <cellStyle name="Separador de milhares 3 2 2 3 2 4" xfId="11255"/>
    <cellStyle name="Separador de milhares 3 2 2 3 3" xfId="8407"/>
    <cellStyle name="Separador de milhares 3 2 2 3 3 2" xfId="12901"/>
    <cellStyle name="Separador de milhares 3 2 2 3 3 3" xfId="10954"/>
    <cellStyle name="Separador de milhares 3 2 2 3 4" xfId="11300"/>
    <cellStyle name="Separador de milhares 3 2 2 3 4 2" xfId="14975"/>
    <cellStyle name="Separador de milhares 3 2 2 3 4 3" xfId="13545"/>
    <cellStyle name="Separador de milhares 3 2 2 4" xfId="5892"/>
    <cellStyle name="Separador de milhares 3 2 2 4 2" xfId="12308"/>
    <cellStyle name="Separador de milhares 3 2 2 4 2 2" xfId="15378"/>
    <cellStyle name="Separador de milhares 3 2 2 4 2 3" xfId="13751"/>
    <cellStyle name="Separador de milhares 3 2 2 4 3" xfId="11054"/>
    <cellStyle name="Separador de milhares 3 2 2 4 4" xfId="11343"/>
    <cellStyle name="Separador de milhares 3 2 3" xfId="327"/>
    <cellStyle name="Separador de milhares 3 2 3 2" xfId="582"/>
    <cellStyle name="Separador de milhares 3 2 3 2 2" xfId="850"/>
    <cellStyle name="Separador de milhares 3 2 3 2 2 2" xfId="3135"/>
    <cellStyle name="Separador de milhares 3 2 3 2 2 2 2" xfId="4373"/>
    <cellStyle name="Separador de milhares 3 2 3 2 2 2 2 2" xfId="6535"/>
    <cellStyle name="Separador de milhares 3 2 3 2 2 2 3" xfId="5304"/>
    <cellStyle name="Separador de milhares 3 2 3 2 2 3" xfId="3884"/>
    <cellStyle name="Separador de milhares 3 2 3 2 2 3 2" xfId="6025"/>
    <cellStyle name="Separador de milhares 3 2 3 2 2 4" xfId="6720"/>
    <cellStyle name="Separador de milhares 3 2 3 2 2 5" xfId="5038"/>
    <cellStyle name="Separador de milhares 3 2 3 2 3" xfId="5927"/>
    <cellStyle name="Separador de milhares 3 2 3 3" xfId="851"/>
    <cellStyle name="Separador de milhares 3 2 3 3 2" xfId="2135"/>
    <cellStyle name="Separador de milhares 3 2 3 3 2 2" xfId="3264"/>
    <cellStyle name="Separador de milhares 3 2 3 3 2 2 2" xfId="4600"/>
    <cellStyle name="Separador de milhares 3 2 3 3 2 2 3" xfId="5433"/>
    <cellStyle name="Separador de milhares 3 2 3 3 2 2 3 2" xfId="11683"/>
    <cellStyle name="Separador de milhares 3 2 3 3 2 2 3 3" xfId="11346"/>
    <cellStyle name="Separador de milhares 3 2 3 3 2 2 4" xfId="12307"/>
    <cellStyle name="Separador de milhares 3 2 3 3 2 3" xfId="4022"/>
    <cellStyle name="Separador de milhares 3 2 3 3 2 3 2" xfId="6163"/>
    <cellStyle name="Separador de milhares 3 2 3 3 2 4" xfId="13506"/>
    <cellStyle name="Separador de milhares 3 2 3 3 3" xfId="3136"/>
    <cellStyle name="Separador de milhares 3 2 3 3 3 2" xfId="3795"/>
    <cellStyle name="Separador de milhares 3 2 3 3 3 2 2" xfId="6536"/>
    <cellStyle name="Separador de milhares 3 2 3 3 3 3" xfId="5305"/>
    <cellStyle name="Separador de milhares 3 2 3 3 3 3 2" xfId="12471"/>
    <cellStyle name="Separador de milhares 3 2 3 3 3 3 3" xfId="11347"/>
    <cellStyle name="Separador de milhares 3 2 3 3 3 4" xfId="11274"/>
    <cellStyle name="Separador de milhares 3 2 3 3 3 4 2" xfId="14971"/>
    <cellStyle name="Separador de milhares 3 2 3 3 3 4 3" xfId="13604"/>
    <cellStyle name="Separador de milhares 3 2 3 3 4" xfId="3885"/>
    <cellStyle name="Separador de milhares 3 2 3 3 4 2" xfId="6026"/>
    <cellStyle name="Separador de milhares 3 2 3 3 4 2 2" xfId="11888"/>
    <cellStyle name="Separador de milhares 3 2 3 3 4 2 3" xfId="11121"/>
    <cellStyle name="Separador de milhares 3 2 3 3 4 3" xfId="12853"/>
    <cellStyle name="Separador de milhares 3 2 3 3 4 3 2" xfId="15681"/>
    <cellStyle name="Separador de milhares 3 2 3 3 4 3 3" xfId="13655"/>
    <cellStyle name="Separador de milhares 3 2 3 3 5" xfId="6721"/>
    <cellStyle name="Separador de milhares 3 2 3 3 6" xfId="5039"/>
    <cellStyle name="Separador de milhares 3 2 3 4" xfId="5905"/>
    <cellStyle name="Separador de milhares 3 2 3 4 2" xfId="11627"/>
    <cellStyle name="Separador de milhares 3 2 3 4 2 2" xfId="15053"/>
    <cellStyle name="Separador de milhares 3 2 3 4 2 3" xfId="13752"/>
    <cellStyle name="Separador de milhares 3 2 3 4 3" xfId="13333"/>
    <cellStyle name="Separador de milhares 3 2 3 4 4" xfId="11705"/>
    <cellStyle name="Separador de milhares 3 2 4" xfId="583"/>
    <cellStyle name="Separador de milhares 3 2 4 10" xfId="8408"/>
    <cellStyle name="Separador de milhares 3 2 4 10 2" xfId="13269"/>
    <cellStyle name="Separador de milhares 3 2 4 10 3" xfId="11270"/>
    <cellStyle name="Separador de milhares 3 2 4 2" xfId="852"/>
    <cellStyle name="Separador de milhares 3 2 4 2 2" xfId="2137"/>
    <cellStyle name="Separador de milhares 3 2 4 2 2 2" xfId="3266"/>
    <cellStyle name="Separador de milhares 3 2 4 2 2 2 2" xfId="4602"/>
    <cellStyle name="Separador de milhares 3 2 4 2 2 2 3" xfId="5435"/>
    <cellStyle name="Separador de milhares 3 2 4 2 2 2 3 2" xfId="11183"/>
    <cellStyle name="Separador de milhares 3 2 4 2 2 2 3 3" xfId="11908"/>
    <cellStyle name="Separador de milhares 3 2 4 2 2 2 4" xfId="13626"/>
    <cellStyle name="Separador de milhares 3 2 4 2 2 3" xfId="3860"/>
    <cellStyle name="Separador de milhares 3 2 4 2 2 3 2" xfId="6165"/>
    <cellStyle name="Separador de milhares 3 2 4 2 2 3 2 2" xfId="12966"/>
    <cellStyle name="Separador de milhares 3 2 4 2 2 3 2 3" xfId="12450"/>
    <cellStyle name="Separador de milhares 3 2 4 2 2 3 3" xfId="10957"/>
    <cellStyle name="Separador de milhares 3 2 4 2 2 4" xfId="8409"/>
    <cellStyle name="Separador de milhares 3 2 4 2 3" xfId="3137"/>
    <cellStyle name="Separador de milhares 3 2 4 2 3 2" xfId="3990"/>
    <cellStyle name="Separador de milhares 3 2 4 2 3 2 2" xfId="6537"/>
    <cellStyle name="Separador de milhares 3 2 4 2 3 3" xfId="5306"/>
    <cellStyle name="Separador de milhares 3 2 4 2 3 3 2" xfId="12472"/>
    <cellStyle name="Separador de milhares 3 2 4 2 3 3 3" xfId="12309"/>
    <cellStyle name="Separador de milhares 3 2 4 2 3 4" xfId="13605"/>
    <cellStyle name="Separador de milhares 3 2 4 2 3 5" xfId="13402"/>
    <cellStyle name="Separador de milhares 3 2 4 2 4" xfId="3886"/>
    <cellStyle name="Separador de milhares 3 2 4 2 4 2" xfId="6027"/>
    <cellStyle name="Separador de milhares 3 2 4 2 5" xfId="6722"/>
    <cellStyle name="Separador de milhares 3 2 4 2 6" xfId="5040"/>
    <cellStyle name="Separador de milhares 3 2 4 3" xfId="2138"/>
    <cellStyle name="Separador de milhares 3 2 4 3 2" xfId="3267"/>
    <cellStyle name="Separador de milhares 3 2 4 3 2 2" xfId="4603"/>
    <cellStyle name="Separador de milhares 3 2 4 3 2 3" xfId="5436"/>
    <cellStyle name="Separador de milhares 3 2 4 3 3" xfId="3802"/>
    <cellStyle name="Separador de milhares 3 2 4 3 3 2" xfId="6166"/>
    <cellStyle name="Separador de milhares 3 2 4 4" xfId="2139"/>
    <cellStyle name="Separador de milhares 3 2 4 4 2" xfId="3268"/>
    <cellStyle name="Separador de milhares 3 2 4 4 2 2" xfId="4604"/>
    <cellStyle name="Separador de milhares 3 2 4 4 2 3" xfId="5437"/>
    <cellStyle name="Separador de milhares 3 2 4 4 3" xfId="4337"/>
    <cellStyle name="Separador de milhares 3 2 4 4 3 2" xfId="6167"/>
    <cellStyle name="Separador de milhares 3 2 4 5" xfId="2140"/>
    <cellStyle name="Separador de milhares 3 2 4 5 2" xfId="3269"/>
    <cellStyle name="Separador de milhares 3 2 4 5 2 2" xfId="4605"/>
    <cellStyle name="Separador de milhares 3 2 4 5 2 3" xfId="5438"/>
    <cellStyle name="Separador de milhares 3 2 4 5 3" xfId="3874"/>
    <cellStyle name="Separador de milhares 3 2 4 5 3 2" xfId="6168"/>
    <cellStyle name="Separador de milhares 3 2 4 6" xfId="2136"/>
    <cellStyle name="Separador de milhares 3 2 4 6 2" xfId="3265"/>
    <cellStyle name="Separador de milhares 3 2 4 6 2 2" xfId="4601"/>
    <cellStyle name="Separador de milhares 3 2 4 6 2 3" xfId="5434"/>
    <cellStyle name="Separador de milhares 3 2 4 6 3" xfId="3785"/>
    <cellStyle name="Separador de milhares 3 2 4 6 3 2" xfId="6164"/>
    <cellStyle name="Separador de milhares 3 2 4 7" xfId="5928"/>
    <cellStyle name="Separador de milhares 3 2 4 7 2" xfId="11521"/>
    <cellStyle name="Separador de milhares 3 2 4 7 2 2" xfId="15034"/>
    <cellStyle name="Separador de milhares 3 2 4 7 2 3" xfId="13754"/>
    <cellStyle name="Separador de milhares 3 2 4 7 3" xfId="11947"/>
    <cellStyle name="Separador de milhares 3 2 4 7 4" xfId="12001"/>
    <cellStyle name="Separador de milhares 3 2 4 8" xfId="8410"/>
    <cellStyle name="Separador de milhares 3 2 4 8 2" xfId="12311"/>
    <cellStyle name="Separador de milhares 3 2 4 8 3" xfId="11348"/>
    <cellStyle name="Separador de milhares 3 2 4 9" xfId="8411"/>
    <cellStyle name="Separador de milhares 3 2 4 9 2" xfId="12310"/>
    <cellStyle name="Separador de milhares 3 2 4 9 3" xfId="11349"/>
    <cellStyle name="Separador de milhares 3 2 5" xfId="584"/>
    <cellStyle name="Separador de milhares 3 2 5 2" xfId="853"/>
    <cellStyle name="Separador de milhares 3 2 5 2 2" xfId="2142"/>
    <cellStyle name="Separador de milhares 3 2 5 2 2 2" xfId="3271"/>
    <cellStyle name="Separador de milhares 3 2 5 2 2 2 2" xfId="4607"/>
    <cellStyle name="Separador de milhares 3 2 5 2 2 2 3" xfId="5440"/>
    <cellStyle name="Separador de milhares 3 2 5 2 2 3" xfId="3796"/>
    <cellStyle name="Separador de milhares 3 2 5 2 2 3 2" xfId="6170"/>
    <cellStyle name="Separador de milhares 3 2 5 2 2 4" xfId="13507"/>
    <cellStyle name="Separador de milhares 3 2 5 2 2 5" xfId="13403"/>
    <cellStyle name="Separador de milhares 3 2 5 2 3" xfId="3138"/>
    <cellStyle name="Separador de milhares 3 2 5 2 3 2" xfId="3868"/>
    <cellStyle name="Separador de milhares 3 2 5 2 3 2 2" xfId="6538"/>
    <cellStyle name="Separador de milhares 3 2 5 2 3 3" xfId="5307"/>
    <cellStyle name="Separador de milhares 3 2 5 2 3 3 2" xfId="12473"/>
    <cellStyle name="Separador de milhares 3 2 5 2 3 3 3" xfId="11780"/>
    <cellStyle name="Separador de milhares 3 2 5 2 4" xfId="3887"/>
    <cellStyle name="Separador de milhares 3 2 5 2 4 2" xfId="6028"/>
    <cellStyle name="Separador de milhares 3 2 5 2 5" xfId="6723"/>
    <cellStyle name="Separador de milhares 3 2 5 2 6" xfId="5041"/>
    <cellStyle name="Separador de milhares 3 2 5 3" xfId="2143"/>
    <cellStyle name="Separador de milhares 3 2 5 3 2" xfId="3272"/>
    <cellStyle name="Separador de milhares 3 2 5 3 2 2" xfId="4608"/>
    <cellStyle name="Separador de milhares 3 2 5 3 2 3" xfId="5441"/>
    <cellStyle name="Separador de milhares 3 2 5 3 3" xfId="3701"/>
    <cellStyle name="Separador de milhares 3 2 5 3 3 2" xfId="6171"/>
    <cellStyle name="Separador de milhares 3 2 5 4" xfId="2144"/>
    <cellStyle name="Separador de milhares 3 2 5 4 2" xfId="3273"/>
    <cellStyle name="Separador de milhares 3 2 5 4 2 2" xfId="4609"/>
    <cellStyle name="Separador de milhares 3 2 5 4 2 3" xfId="5442"/>
    <cellStyle name="Separador de milhares 3 2 5 4 3" xfId="4248"/>
    <cellStyle name="Separador de milhares 3 2 5 4 3 2" xfId="6172"/>
    <cellStyle name="Separador de milhares 3 2 5 5" xfId="2141"/>
    <cellStyle name="Separador de milhares 3 2 5 5 2" xfId="3270"/>
    <cellStyle name="Separador de milhares 3 2 5 5 2 2" xfId="4606"/>
    <cellStyle name="Separador de milhares 3 2 5 5 2 3" xfId="5439"/>
    <cellStyle name="Separador de milhares 3 2 5 5 3" xfId="4027"/>
    <cellStyle name="Separador de milhares 3 2 5 5 3 2" xfId="6169"/>
    <cellStyle name="Separador de milhares 3 2 5 6" xfId="5929"/>
    <cellStyle name="Separador de milhares 3 2 6" xfId="854"/>
    <cellStyle name="Separador de milhares 3 2 6 2" xfId="1077"/>
    <cellStyle name="Separador de milhares 3 2 6 2 2" xfId="3209"/>
    <cellStyle name="Separador de milhares 3 2 6 2 2 2" xfId="4551"/>
    <cellStyle name="Separador de milhares 3 2 6 2 2 3" xfId="5378"/>
    <cellStyle name="Separador de milhares 3 2 6 2 3" xfId="3741"/>
    <cellStyle name="Separador de milhares 3 2 6 2 3 2" xfId="6102"/>
    <cellStyle name="Separador de milhares 3 2 6 3" xfId="2145"/>
    <cellStyle name="Separador de milhares 3 2 6 3 2" xfId="3274"/>
    <cellStyle name="Separador de milhares 3 2 6 3 2 2" xfId="4610"/>
    <cellStyle name="Separador de milhares 3 2 6 3 2 3" xfId="5443"/>
    <cellStyle name="Separador de milhares 3 2 6 3 2 3 2" xfId="12481"/>
    <cellStyle name="Separador de milhares 3 2 6 3 2 3 3" xfId="11158"/>
    <cellStyle name="Separador de milhares 3 2 6 3 2 4" xfId="11254"/>
    <cellStyle name="Separador de milhares 3 2 6 3 3" xfId="4231"/>
    <cellStyle name="Separador de milhares 3 2 6 3 3 2" xfId="6173"/>
    <cellStyle name="Separador de milhares 3 2 6 3 4" xfId="13508"/>
    <cellStyle name="Separador de milhares 3 2 6 4" xfId="3139"/>
    <cellStyle name="Separador de milhares 3 2 6 4 2" xfId="4118"/>
    <cellStyle name="Separador de milhares 3 2 6 4 2 2" xfId="6539"/>
    <cellStyle name="Separador de milhares 3 2 6 4 3" xfId="5308"/>
    <cellStyle name="Separador de milhares 3 2 6 4 3 2" xfId="12474"/>
    <cellStyle name="Separador de milhares 3 2 6 4 3 3" xfId="11489"/>
    <cellStyle name="Separador de milhares 3 2 6 5" xfId="3888"/>
    <cellStyle name="Separador de milhares 3 2 6 5 2" xfId="6029"/>
    <cellStyle name="Separador de milhares 3 2 6 6" xfId="6724"/>
    <cellStyle name="Separador de milhares 3 2 6 7" xfId="5042"/>
    <cellStyle name="Separador de milhares 3 2 7" xfId="1078"/>
    <cellStyle name="Separador de milhares 3 2 7 2" xfId="2147"/>
    <cellStyle name="Separador de milhares 3 2 7 2 2" xfId="3276"/>
    <cellStyle name="Separador de milhares 3 2 7 2 2 2" xfId="4612"/>
    <cellStyle name="Separador de milhares 3 2 7 2 2 3" xfId="5445"/>
    <cellStyle name="Separador de milhares 3 2 7 2 3" xfId="3747"/>
    <cellStyle name="Separador de milhares 3 2 7 2 3 2" xfId="6175"/>
    <cellStyle name="Separador de milhares 3 2 7 3" xfId="2146"/>
    <cellStyle name="Separador de milhares 3 2 7 3 2" xfId="3275"/>
    <cellStyle name="Separador de milhares 3 2 7 3 2 2" xfId="4611"/>
    <cellStyle name="Separador de milhares 3 2 7 3 2 3" xfId="5444"/>
    <cellStyle name="Separador de milhares 3 2 7 3 3" xfId="4476"/>
    <cellStyle name="Separador de milhares 3 2 7 3 3 2" xfId="6174"/>
    <cellStyle name="Separador de milhares 3 2 7 4" xfId="3210"/>
    <cellStyle name="Separador de milhares 3 2 7 4 2" xfId="4552"/>
    <cellStyle name="Separador de milhares 3 2 7 4 3" xfId="5379"/>
    <cellStyle name="Separador de milhares 3 2 7 4 3 2" xfId="11179"/>
    <cellStyle name="Separador de milhares 3 2 7 4 3 3" xfId="12854"/>
    <cellStyle name="Separador de milhares 3 2 7 5" xfId="4140"/>
    <cellStyle name="Separador de milhares 3 2 7 5 2" xfId="6103"/>
    <cellStyle name="Separador de milhares 3 2 8" xfId="2148"/>
    <cellStyle name="Separador de milhares 3 2 8 2" xfId="2149"/>
    <cellStyle name="Separador de milhares 3 2 8 2 2" xfId="3278"/>
    <cellStyle name="Separador de milhares 3 2 8 2 2 2" xfId="4614"/>
    <cellStyle name="Separador de milhares 3 2 8 2 2 3" xfId="5447"/>
    <cellStyle name="Separador de milhares 3 2 8 2 3" xfId="4005"/>
    <cellStyle name="Separador de milhares 3 2 8 2 3 2" xfId="6177"/>
    <cellStyle name="Separador de milhares 3 2 8 3" xfId="3277"/>
    <cellStyle name="Separador de milhares 3 2 8 3 2" xfId="4613"/>
    <cellStyle name="Separador de milhares 3 2 8 3 3" xfId="5446"/>
    <cellStyle name="Separador de milhares 3 2 8 4" xfId="4123"/>
    <cellStyle name="Separador de milhares 3 2 8 4 2" xfId="6176"/>
    <cellStyle name="Separador de milhares 3 2 9" xfId="2150"/>
    <cellStyle name="Separador de milhares 3 2 9 2" xfId="2151"/>
    <cellStyle name="Separador de milhares 3 2 9 2 2" xfId="3280"/>
    <cellStyle name="Separador de milhares 3 2 9 2 2 2" xfId="4616"/>
    <cellStyle name="Separador de milhares 3 2 9 2 2 3" xfId="5449"/>
    <cellStyle name="Separador de milhares 3 2 9 2 3" xfId="3823"/>
    <cellStyle name="Separador de milhares 3 2 9 2 3 2" xfId="6179"/>
    <cellStyle name="Separador de milhares 3 2 9 3" xfId="3279"/>
    <cellStyle name="Separador de milhares 3 2 9 3 2" xfId="4615"/>
    <cellStyle name="Separador de milhares 3 2 9 3 3" xfId="5448"/>
    <cellStyle name="Separador de milhares 3 2 9 4" xfId="3787"/>
    <cellStyle name="Separador de milhares 3 2 9 4 2" xfId="6178"/>
    <cellStyle name="Separador de milhares 3 3" xfId="113"/>
    <cellStyle name="Separador de milhares 3 3 2" xfId="328"/>
    <cellStyle name="Separador de milhares 3 3 2 2" xfId="585"/>
    <cellStyle name="Separador de milhares 3 3 2 2 2" xfId="855"/>
    <cellStyle name="Separador de milhares 3 3 2 2 2 2" xfId="3140"/>
    <cellStyle name="Separador de milhares 3 3 2 2 2 2 2" xfId="4086"/>
    <cellStyle name="Separador de milhares 3 3 2 2 2 2 2 2" xfId="6540"/>
    <cellStyle name="Separador de milhares 3 3 2 2 2 2 3" xfId="5309"/>
    <cellStyle name="Separador de milhares 3 3 2 2 2 3" xfId="3889"/>
    <cellStyle name="Separador de milhares 3 3 2 2 2 3 2" xfId="6030"/>
    <cellStyle name="Separador de milhares 3 3 2 2 2 4" xfId="6725"/>
    <cellStyle name="Separador de milhares 3 3 2 2 2 5" xfId="5043"/>
    <cellStyle name="Separador de milhares 3 3 2 2 3" xfId="5930"/>
    <cellStyle name="Separador de milhares 3 3 2 3" xfId="856"/>
    <cellStyle name="Separador de milhares 3 3 2 3 2" xfId="1079"/>
    <cellStyle name="Separador de milhares 3 3 2 3 2 2" xfId="2152"/>
    <cellStyle name="Separador de milhares 3 3 2 3 2 2 2" xfId="3281"/>
    <cellStyle name="Separador de milhares 3 3 2 3 2 2 2 2" xfId="4617"/>
    <cellStyle name="Separador de milhares 3 3 2 3 2 2 2 3" xfId="5450"/>
    <cellStyle name="Separador de milhares 3 3 2 3 2 2 3" xfId="4388"/>
    <cellStyle name="Separador de milhares 3 3 2 3 2 2 3 2" xfId="6180"/>
    <cellStyle name="Separador de milhares 3 3 2 3 2 3" xfId="3211"/>
    <cellStyle name="Separador de milhares 3 3 2 3 2 3 2" xfId="4553"/>
    <cellStyle name="Separador de milhares 3 3 2 3 2 3 3" xfId="5380"/>
    <cellStyle name="Separador de milhares 3 3 2 3 2 3 3 2" xfId="11180"/>
    <cellStyle name="Separador de milhares 3 3 2 3 2 3 3 3" xfId="13312"/>
    <cellStyle name="Separador de milhares 3 3 2 3 2 4" xfId="4076"/>
    <cellStyle name="Separador de milhares 3 3 2 3 2 4 2" xfId="6104"/>
    <cellStyle name="Separador de milhares 3 3 2 3 3" xfId="3141"/>
    <cellStyle name="Separador de milhares 3 3 2 3 3 2" xfId="3758"/>
    <cellStyle name="Separador de milhares 3 3 2 3 3 2 2" xfId="6541"/>
    <cellStyle name="Separador de milhares 3 3 2 3 3 3" xfId="5310"/>
    <cellStyle name="Separador de milhares 3 3 2 3 3 3 2" xfId="11143"/>
    <cellStyle name="Separador de milhares 3 3 2 3 3 3 3" xfId="13246"/>
    <cellStyle name="Separador de milhares 3 3 2 3 3 4" xfId="13606"/>
    <cellStyle name="Separador de milhares 3 3 2 3 4" xfId="3890"/>
    <cellStyle name="Separador de milhares 3 3 2 3 4 2" xfId="6031"/>
    <cellStyle name="Separador de milhares 3 3 2 3 4 2 2" xfId="11987"/>
    <cellStyle name="Separador de milhares 3 3 2 3 4 2 3" xfId="13251"/>
    <cellStyle name="Separador de milhares 3 3 2 3 4 3" xfId="13656"/>
    <cellStyle name="Separador de milhares 3 3 2 3 4 4" xfId="13404"/>
    <cellStyle name="Separador de milhares 3 3 2 3 5" xfId="6726"/>
    <cellStyle name="Separador de milhares 3 3 2 3 6" xfId="5044"/>
    <cellStyle name="Separador de milhares 3 3 2 4" xfId="5906"/>
    <cellStyle name="Separador de milhares 3 3 2 4 2" xfId="8412"/>
    <cellStyle name="Separador de milhares 3 3 2 4 2 2" xfId="11140"/>
    <cellStyle name="Separador de milhares 3 3 2 4 2 3" xfId="12962"/>
    <cellStyle name="Separador de milhares 3 3 2 4 3" xfId="12312"/>
    <cellStyle name="Separador de milhares 3 3 2 4 3 2" xfId="15379"/>
    <cellStyle name="Separador de milhares 3 3 2 4 3 3" xfId="13753"/>
    <cellStyle name="Separador de milhares 3 3 2 4 4" xfId="12025"/>
    <cellStyle name="Separador de milhares 3 3 2 4 5" xfId="13087"/>
    <cellStyle name="Separador de milhares 3 3 2 5" xfId="8413"/>
    <cellStyle name="Separador de milhares 3 3 2 5 2" xfId="8414"/>
    <cellStyle name="Separador de milhares 3 3 2 5 2 2" xfId="11117"/>
    <cellStyle name="Separador de milhares 3 3 2 5 2 3" xfId="11878"/>
    <cellStyle name="Separador de milhares 3 3 2 5 3" xfId="12398"/>
    <cellStyle name="Separador de milhares 3 3 2 5 4" xfId="13237"/>
    <cellStyle name="Separador de milhares 3 3 2 6" xfId="8415"/>
    <cellStyle name="Separador de milhares 3 3 2 6 2" xfId="8416"/>
    <cellStyle name="Separador de milhares 3 3 2 6 2 2" xfId="11511"/>
    <cellStyle name="Separador de milhares 3 3 2 6 2 3" xfId="13281"/>
    <cellStyle name="Separador de milhares 3 3 2 6 3" xfId="10958"/>
    <cellStyle name="Separador de milhares 3 3 2 6 4" xfId="13303"/>
    <cellStyle name="Separador de milhares 3 3 2 7" xfId="8417"/>
    <cellStyle name="Separador de milhares 3 3 2 7 2" xfId="8418"/>
    <cellStyle name="Separador de milhares 3 3 2 7 2 2" xfId="11664"/>
    <cellStyle name="Separador de milhares 3 3 2 7 2 3" xfId="13205"/>
    <cellStyle name="Separador de milhares 3 3 2 7 3" xfId="11156"/>
    <cellStyle name="Separador de milhares 3 3 2 7 4" xfId="13241"/>
    <cellStyle name="Separador de milhares 3 3 2 8" xfId="8419"/>
    <cellStyle name="Separador de milhares 3 3 2 8 2" xfId="8420"/>
    <cellStyle name="Separador de milhares 3 3 2 8 2 2" xfId="13228"/>
    <cellStyle name="Separador de milhares 3 3 2 8 2 3" xfId="10964"/>
    <cellStyle name="Separador de milhares 3 3 2 8 3" xfId="13291"/>
    <cellStyle name="Separador de milhares 3 3 2 8 4" xfId="13208"/>
    <cellStyle name="Separador de milhares 3 3 2 9" xfId="8421"/>
    <cellStyle name="Separador de milhares 3 3 2 9 2" xfId="8422"/>
    <cellStyle name="Separador de milhares 3 3 2 9 2 2" xfId="12865"/>
    <cellStyle name="Separador de milhares 3 3 2 9 2 3" xfId="13207"/>
    <cellStyle name="Separador de milhares 3 3 2 9 3" xfId="13089"/>
    <cellStyle name="Separador de milhares 3 3 2 9 4" xfId="13206"/>
    <cellStyle name="Separador de milhares 3 3 3" xfId="857"/>
    <cellStyle name="Separador de milhares 3 3 3 2" xfId="2154"/>
    <cellStyle name="Separador de milhares 3 3 3 2 2" xfId="3283"/>
    <cellStyle name="Separador de milhares 3 3 3 2 2 2" xfId="4619"/>
    <cellStyle name="Separador de milhares 3 3 3 2 2 3" xfId="5452"/>
    <cellStyle name="Separador de milhares 3 3 3 2 3" xfId="4099"/>
    <cellStyle name="Separador de milhares 3 3 3 2 3 2" xfId="6182"/>
    <cellStyle name="Separador de milhares 3 3 3 3" xfId="2153"/>
    <cellStyle name="Separador de milhares 3 3 3 3 2" xfId="3282"/>
    <cellStyle name="Separador de milhares 3 3 3 3 2 2" xfId="4618"/>
    <cellStyle name="Separador de milhares 3 3 3 3 2 3" xfId="5451"/>
    <cellStyle name="Separador de milhares 3 3 3 3 3" xfId="4357"/>
    <cellStyle name="Separador de milhares 3 3 3 3 3 2" xfId="6181"/>
    <cellStyle name="Separador de milhares 3 3 3 4" xfId="3142"/>
    <cellStyle name="Separador de milhares 3 3 3 4 2" xfId="3972"/>
    <cellStyle name="Separador de milhares 3 3 3 4 2 2" xfId="6542"/>
    <cellStyle name="Separador de milhares 3 3 3 4 3" xfId="5311"/>
    <cellStyle name="Separador de milhares 3 3 3 5" xfId="3891"/>
    <cellStyle name="Separador de milhares 3 3 3 5 2" xfId="6032"/>
    <cellStyle name="Separador de milhares 3 3 3 6" xfId="6727"/>
    <cellStyle name="Separador de milhares 3 3 3 7" xfId="5045"/>
    <cellStyle name="Separador de milhares 3 3 4" xfId="2981"/>
    <cellStyle name="Separador de milhares 3 3 4 2" xfId="3712"/>
    <cellStyle name="Separador de milhares 3 3 4 2 2" xfId="5893"/>
    <cellStyle name="Separador de milhares 3 3 4 2 2 2" xfId="11981"/>
    <cellStyle name="Separador de milhares 3 3 4 2 2 3" xfId="11131"/>
    <cellStyle name="Separador de milhares 3 3 4 2 3" xfId="13673"/>
    <cellStyle name="Separador de milhares 3 3 5" xfId="8423"/>
    <cellStyle name="Separador de milhares 3 3 5 2" xfId="11457"/>
    <cellStyle name="Separador de milhares 3 3 5 3" xfId="11068"/>
    <cellStyle name="Separador de milhares 3 3 6" xfId="8424"/>
    <cellStyle name="Separador de milhares 3 3 6 2" xfId="14038"/>
    <cellStyle name="Separador de milhares 3 3 6 3" xfId="13380"/>
    <cellStyle name="Separador de milhares 3 4" xfId="114"/>
    <cellStyle name="Separador de milhares 3 4 2" xfId="858"/>
    <cellStyle name="Separador de milhares 3 4 2 2" xfId="3143"/>
    <cellStyle name="Separador de milhares 3 4 2 2 2" xfId="3784"/>
    <cellStyle name="Separador de milhares 3 4 2 2 2 2" xfId="6543"/>
    <cellStyle name="Separador de milhares 3 4 2 2 3" xfId="5312"/>
    <cellStyle name="Separador de milhares 3 4 2 3" xfId="3892"/>
    <cellStyle name="Separador de milhares 3 4 2 3 2" xfId="6033"/>
    <cellStyle name="Separador de milhares 3 4 2 4" xfId="6728"/>
    <cellStyle name="Separador de milhares 3 4 2 5" xfId="5046"/>
    <cellStyle name="Separador de milhares 3 4 3" xfId="5894"/>
    <cellStyle name="Separador de milhares 3 5" xfId="110"/>
    <cellStyle name="Separador de milhares 3 5 2" xfId="859"/>
    <cellStyle name="Separador de milhares 3 5 2 2" xfId="3144"/>
    <cellStyle name="Separador de milhares 3 5 2 2 2" xfId="3755"/>
    <cellStyle name="Separador de milhares 3 5 2 2 2 2" xfId="6544"/>
    <cellStyle name="Separador de milhares 3 5 2 2 3" xfId="5313"/>
    <cellStyle name="Separador de milhares 3 5 2 2 3 2" xfId="12917"/>
    <cellStyle name="Separador de milhares 3 5 2 2 3 3" xfId="12959"/>
    <cellStyle name="Separador de milhares 3 5 2 2 4" xfId="13607"/>
    <cellStyle name="Separador de milhares 3 5 2 3" xfId="3893"/>
    <cellStyle name="Separador de milhares 3 5 2 3 2" xfId="6034"/>
    <cellStyle name="Separador de milhares 3 5 2 4" xfId="6729"/>
    <cellStyle name="Separador de milhares 3 5 2 5" xfId="5047"/>
    <cellStyle name="Separador de milhares 3 5 3" xfId="2982"/>
    <cellStyle name="Separador de milhares 3 5 3 2" xfId="8425"/>
    <cellStyle name="Separador de milhares 3 5 3 2 2" xfId="12412"/>
    <cellStyle name="Separador de milhares 3 5 3 2 3" xfId="11071"/>
    <cellStyle name="Separador de milhares 3 5 3 3" xfId="8426"/>
    <cellStyle name="Separador de milhares 3 5 3 4" xfId="13546"/>
    <cellStyle name="Separador de milhares 3 5 4" xfId="5890"/>
    <cellStyle name="Separador de milhares 3 5 4 2" xfId="11405"/>
    <cellStyle name="Separador de milhares 3 5 4 3" xfId="13302"/>
    <cellStyle name="Separador de milhares 3 6" xfId="586"/>
    <cellStyle name="Separador de milhares 3 6 2" xfId="587"/>
    <cellStyle name="Separador de milhares 3 6 2 2" xfId="860"/>
    <cellStyle name="Separador de milhares 3 6 2 2 2" xfId="3145"/>
    <cellStyle name="Separador de milhares 3 6 2 2 2 2" xfId="4338"/>
    <cellStyle name="Separador de milhares 3 6 2 2 2 2 2" xfId="6545"/>
    <cellStyle name="Separador de milhares 3 6 2 2 2 3" xfId="5314"/>
    <cellStyle name="Separador de milhares 3 6 2 2 3" xfId="3894"/>
    <cellStyle name="Separador de milhares 3 6 2 2 3 2" xfId="6035"/>
    <cellStyle name="Separador de milhares 3 6 2 2 4" xfId="6730"/>
    <cellStyle name="Separador de milhares 3 6 2 2 5" xfId="5048"/>
    <cellStyle name="Separador de milhares 3 6 2 3" xfId="5932"/>
    <cellStyle name="Separador de milhares 3 6 3" xfId="861"/>
    <cellStyle name="Separador de milhares 3 6 3 2" xfId="3146"/>
    <cellStyle name="Separador de milhares 3 6 3 2 2" xfId="3824"/>
    <cellStyle name="Separador de milhares 3 6 3 2 2 2" xfId="6546"/>
    <cellStyle name="Separador de milhares 3 6 3 2 3" xfId="5315"/>
    <cellStyle name="Separador de milhares 3 6 3 3" xfId="3895"/>
    <cellStyle name="Separador de milhares 3 6 3 3 2" xfId="6036"/>
    <cellStyle name="Separador de milhares 3 6 3 4" xfId="6731"/>
    <cellStyle name="Separador de milhares 3 6 3 5" xfId="5049"/>
    <cellStyle name="Separador de milhares 3 6 4" xfId="5931"/>
    <cellStyle name="Separador de milhares 3 7" xfId="588"/>
    <cellStyle name="Separador de milhares 3 7 2" xfId="862"/>
    <cellStyle name="Separador de milhares 3 7 2 2" xfId="2155"/>
    <cellStyle name="Separador de milhares 3 7 2 2 2" xfId="3284"/>
    <cellStyle name="Separador de milhares 3 7 2 2 2 2" xfId="4620"/>
    <cellStyle name="Separador de milhares 3 7 2 2 2 3" xfId="5453"/>
    <cellStyle name="Separador de milhares 3 7 2 2 3" xfId="4412"/>
    <cellStyle name="Separador de milhares 3 7 2 2 3 2" xfId="6183"/>
    <cellStyle name="Separador de milhares 3 7 2 3" xfId="3147"/>
    <cellStyle name="Separador de milhares 3 7 2 3 2" xfId="4112"/>
    <cellStyle name="Separador de milhares 3 7 2 3 2 2" xfId="6547"/>
    <cellStyle name="Separador de milhares 3 7 2 3 3" xfId="5316"/>
    <cellStyle name="Separador de milhares 3 7 2 4" xfId="3896"/>
    <cellStyle name="Separador de milhares 3 7 2 4 2" xfId="6037"/>
    <cellStyle name="Separador de milhares 3 7 2 5" xfId="6732"/>
    <cellStyle name="Separador de milhares 3 7 2 6" xfId="5050"/>
    <cellStyle name="Separador de milhares 3 7 3" xfId="5933"/>
    <cellStyle name="Separador de milhares 3 8" xfId="863"/>
    <cellStyle name="Separador de milhares 3 8 2" xfId="1080"/>
    <cellStyle name="Separador de milhares 3 8 2 2" xfId="2157"/>
    <cellStyle name="Separador de milhares 3 8 2 2 2" xfId="3286"/>
    <cellStyle name="Separador de milhares 3 8 2 2 2 2" xfId="4622"/>
    <cellStyle name="Separador de milhares 3 8 2 2 2 3" xfId="5455"/>
    <cellStyle name="Separador de milhares 3 8 2 2 3" xfId="4196"/>
    <cellStyle name="Separador de milhares 3 8 2 2 3 2" xfId="6185"/>
    <cellStyle name="Separador de milhares 3 8 2 3" xfId="3212"/>
    <cellStyle name="Separador de milhares 3 8 2 3 2" xfId="4554"/>
    <cellStyle name="Separador de milhares 3 8 2 3 3" xfId="5381"/>
    <cellStyle name="Separador de milhares 3 8 2 3 3 2" xfId="12479"/>
    <cellStyle name="Separador de milhares 3 8 2 3 3 3" xfId="11120"/>
    <cellStyle name="Separador de milhares 3 8 2 4" xfId="4128"/>
    <cellStyle name="Separador de milhares 3 8 2 4 2" xfId="6105"/>
    <cellStyle name="Separador de milhares 3 8 3" xfId="2156"/>
    <cellStyle name="Separador de milhares 3 8 3 2" xfId="3285"/>
    <cellStyle name="Separador de milhares 3 8 3 2 2" xfId="4621"/>
    <cellStyle name="Separador de milhares 3 8 3 2 3" xfId="5454"/>
    <cellStyle name="Separador de milhares 3 8 3 3" xfId="4455"/>
    <cellStyle name="Separador de milhares 3 8 3 3 2" xfId="6184"/>
    <cellStyle name="Separador de milhares 3 8 4" xfId="3148"/>
    <cellStyle name="Separador de milhares 3 8 4 2" xfId="4191"/>
    <cellStyle name="Separador de milhares 3 8 4 2 2" xfId="6548"/>
    <cellStyle name="Separador de milhares 3 8 4 3" xfId="5317"/>
    <cellStyle name="Separador de milhares 3 8 4 3 2" xfId="11167"/>
    <cellStyle name="Separador de milhares 3 8 4 3 3" xfId="13341"/>
    <cellStyle name="Separador de milhares 3 8 4 4" xfId="12313"/>
    <cellStyle name="Separador de milhares 3 8 5" xfId="3897"/>
    <cellStyle name="Separador de milhares 3 8 5 2" xfId="6038"/>
    <cellStyle name="Separador de milhares 3 8 6" xfId="6733"/>
    <cellStyle name="Separador de milhares 3 8 7" xfId="5051"/>
    <cellStyle name="Separador de milhares 3 9" xfId="2158"/>
    <cellStyle name="Separador de milhares 3 9 2" xfId="2159"/>
    <cellStyle name="Separador de milhares 3 9 2 2" xfId="3288"/>
    <cellStyle name="Separador de milhares 3 9 2 2 2" xfId="4624"/>
    <cellStyle name="Separador de milhares 3 9 2 2 3" xfId="5457"/>
    <cellStyle name="Separador de milhares 3 9 2 3" xfId="3751"/>
    <cellStyle name="Separador de milhares 3 9 2 3 2" xfId="6187"/>
    <cellStyle name="Separador de milhares 3 9 3" xfId="3287"/>
    <cellStyle name="Separador de milhares 3 9 3 2" xfId="4623"/>
    <cellStyle name="Separador de milhares 3 9 3 3" xfId="5456"/>
    <cellStyle name="Separador de milhares 3 9 4" xfId="3856"/>
    <cellStyle name="Separador de milhares 3 9 4 2" xfId="6186"/>
    <cellStyle name="Separador de milhares 4" xfId="329"/>
    <cellStyle name="Separador de milhares 4 2" xfId="990"/>
    <cellStyle name="Separador de milhares 4 2 2" xfId="2984"/>
    <cellStyle name="Separador de milhares 4 2 2 2" xfId="3673"/>
    <cellStyle name="Separador de milhares 4 2 2 2 2" xfId="4951"/>
    <cellStyle name="Separador de milhares 4 2 2 2 3" xfId="5842"/>
    <cellStyle name="Separador de milhares 4 2 2 2 3 2" xfId="11734"/>
    <cellStyle name="Separador de milhares 4 2 2 2 3 3" xfId="13240"/>
    <cellStyle name="Separador de milhares 4 2 2 2 4" xfId="13636"/>
    <cellStyle name="Separador de milhares 4 2 2 3" xfId="8427"/>
    <cellStyle name="Separador de milhares 4 2 2 3 2" xfId="11534"/>
    <cellStyle name="Separador de milhares 4 2 2 4" xfId="8428"/>
    <cellStyle name="Separador de milhares 4 2 3" xfId="2983"/>
    <cellStyle name="Separador de milhares 4 2 3 2" xfId="3672"/>
    <cellStyle name="Separador de milhares 4 2 3 2 2" xfId="4950"/>
    <cellStyle name="Separador de milhares 4 2 3 2 3" xfId="5841"/>
    <cellStyle name="Separador de milhares 4 2 3 3" xfId="4416"/>
    <cellStyle name="Separador de milhares 4 2 3 3 2" xfId="6865"/>
    <cellStyle name="Separador de milhares 4 2 3 4" xfId="5183"/>
    <cellStyle name="Separador de milhares 4 2 4" xfId="6099"/>
    <cellStyle name="Separador de milhares 4 2 5" xfId="8429"/>
    <cellStyle name="Separador de milhares 4 3" xfId="991"/>
    <cellStyle name="Separador de milhares 4 3 2" xfId="2985"/>
    <cellStyle name="Separador de milhares 4 3 2 2" xfId="3674"/>
    <cellStyle name="Separador de milhares 4 3 2 2 2" xfId="4952"/>
    <cellStyle name="Separador de milhares 4 3 2 2 3" xfId="5843"/>
    <cellStyle name="Separador de milhares 4 3 2 2 3 2" xfId="11849"/>
    <cellStyle name="Separador de milhares 4 3 2 2 3 3" xfId="11753"/>
    <cellStyle name="Separador de milhares 4 3 2 3" xfId="8430"/>
    <cellStyle name="Separador de milhares 4 3 3" xfId="3208"/>
    <cellStyle name="Separador de milhares 4 3 3 2" xfId="4550"/>
    <cellStyle name="Separador de milhares 4 3 3 3" xfId="5377"/>
    <cellStyle name="Separador de milhares 4 3 3 3 2" xfId="11178"/>
    <cellStyle name="Separador de milhares 4 3 3 3 3" xfId="11162"/>
    <cellStyle name="Separador de milhares 4 3 3 4" xfId="13618"/>
    <cellStyle name="Separador de milhares 4 3 3 5" xfId="13405"/>
    <cellStyle name="Separador de milhares 4 3 4" xfId="4448"/>
    <cellStyle name="Separador de milhares 4 3 4 2" xfId="6100"/>
    <cellStyle name="Separador de milhares 4 4" xfId="8431"/>
    <cellStyle name="Separador de milhares 4 4 2" xfId="12315"/>
    <cellStyle name="Separador de milhares 4 4 3" xfId="13204"/>
    <cellStyle name="Separador de milhares 4 5" xfId="8432"/>
    <cellStyle name="Separador de milhares 4 5 2" xfId="12314"/>
    <cellStyle name="Separador de milhares 4 5 3" xfId="13096"/>
    <cellStyle name="Separador de milhares 5" xfId="2986"/>
    <cellStyle name="Separador de milhares 5 2" xfId="2987"/>
    <cellStyle name="Separador de milhares 5 2 2" xfId="8433"/>
    <cellStyle name="Separador de milhares 5 3" xfId="3675"/>
    <cellStyle name="Separador de milhares 5 3 2" xfId="4953"/>
    <cellStyle name="Separador de milhares 5 3 3" xfId="5844"/>
    <cellStyle name="Separador de milhares 5 3 3 2" xfId="11603"/>
    <cellStyle name="Separador de milhares 5 3 3 3" xfId="12003"/>
    <cellStyle name="Separador de milhares 5 4" xfId="8434"/>
    <cellStyle name="Separador de milhares 6" xfId="2988"/>
    <cellStyle name="Separador de milhares 7" xfId="2989"/>
    <cellStyle name="Separador de milhares 7 10" xfId="8435"/>
    <cellStyle name="Separador de milhares 7 2" xfId="2990"/>
    <cellStyle name="Separador de milhares 7 2 2" xfId="3677"/>
    <cellStyle name="Separador de milhares 7 2 2 2" xfId="4955"/>
    <cellStyle name="Separador de milhares 7 2 2 3" xfId="5846"/>
    <cellStyle name="Separador de milhares 7 2 2 3 2" xfId="11989"/>
    <cellStyle name="Separador de milhares 7 2 2 3 3" xfId="13203"/>
    <cellStyle name="Separador de milhares 7 2 2 4" xfId="13638"/>
    <cellStyle name="Separador de milhares 7 2 3" xfId="8436"/>
    <cellStyle name="Separador de milhares 7 2 3 2" xfId="13310"/>
    <cellStyle name="Separador de milhares 7 2 4" xfId="8437"/>
    <cellStyle name="Separador de milhares 7 3" xfId="2991"/>
    <cellStyle name="Separador de milhares 7 3 2" xfId="3678"/>
    <cellStyle name="Separador de milhares 7 3 2 2" xfId="4956"/>
    <cellStyle name="Separador de milhares 7 3 2 3" xfId="5847"/>
    <cellStyle name="Separador de milhares 7 3 2 3 2" xfId="11860"/>
    <cellStyle name="Separador de milhares 7 3 2 3 3" xfId="12354"/>
    <cellStyle name="Separador de milhares 7 3 2 4" xfId="13639"/>
    <cellStyle name="Separador de milhares 7 3 3" xfId="8438"/>
    <cellStyle name="Separador de milhares 7 3 3 2" xfId="11708"/>
    <cellStyle name="Separador de milhares 7 3 4" xfId="8439"/>
    <cellStyle name="Separador de milhares 7 4" xfId="2992"/>
    <cellStyle name="Separador de milhares 7 4 2" xfId="3679"/>
    <cellStyle name="Separador de milhares 7 4 2 2" xfId="4957"/>
    <cellStyle name="Separador de milhares 7 4 2 3" xfId="5848"/>
    <cellStyle name="Separador de milhares 7 4 2 3 2" xfId="11679"/>
    <cellStyle name="Separador de milhares 7 4 2 3 3" xfId="11157"/>
    <cellStyle name="Separador de milhares 7 4 2 4" xfId="13640"/>
    <cellStyle name="Separador de milhares 7 4 3" xfId="8440"/>
    <cellStyle name="Separador de milhares 7 4 3 2" xfId="13249"/>
    <cellStyle name="Separador de milhares 7 4 4" xfId="8441"/>
    <cellStyle name="Separador de milhares 7 5" xfId="2993"/>
    <cellStyle name="Separador de milhares 7 5 2" xfId="3680"/>
    <cellStyle name="Separador de milhares 7 5 2 2" xfId="4958"/>
    <cellStyle name="Separador de milhares 7 5 2 3" xfId="5849"/>
    <cellStyle name="Separador de milhares 7 5 2 3 2" xfId="11934"/>
    <cellStyle name="Separador de milhares 7 5 2 3 3" xfId="10932"/>
    <cellStyle name="Separador de milhares 7 5 2 4" xfId="13641"/>
    <cellStyle name="Separador de milhares 7 5 3" xfId="8442"/>
    <cellStyle name="Separador de milhares 7 5 3 2" xfId="11953"/>
    <cellStyle name="Separador de milhares 7 5 4" xfId="8443"/>
    <cellStyle name="Separador de milhares 7 6" xfId="2994"/>
    <cellStyle name="Separador de milhares 7 6 2" xfId="3681"/>
    <cellStyle name="Separador de milhares 7 6 2 2" xfId="4959"/>
    <cellStyle name="Separador de milhares 7 6 2 3" xfId="5850"/>
    <cellStyle name="Separador de milhares 7 6 2 3 2" xfId="11746"/>
    <cellStyle name="Separador de milhares 7 6 2 3 3" xfId="13202"/>
    <cellStyle name="Separador de milhares 7 6 2 4" xfId="13642"/>
    <cellStyle name="Separador de milhares 7 6 3" xfId="8444"/>
    <cellStyle name="Separador de milhares 7 6 3 2" xfId="12326"/>
    <cellStyle name="Separador de milhares 7 6 4" xfId="8445"/>
    <cellStyle name="Separador de milhares 7 7" xfId="2995"/>
    <cellStyle name="Separador de milhares 7 7 2" xfId="3682"/>
    <cellStyle name="Separador de milhares 7 7 2 2" xfId="4960"/>
    <cellStyle name="Separador de milhares 7 7 2 3" xfId="5851"/>
    <cellStyle name="Separador de milhares 7 7 2 3 2" xfId="12489"/>
    <cellStyle name="Separador de milhares 7 7 2 3 3" xfId="11540"/>
    <cellStyle name="Separador de milhares 7 7 2 4" xfId="13643"/>
    <cellStyle name="Separador de milhares 7 7 3" xfId="8446"/>
    <cellStyle name="Separador de milhares 7 7 3 2" xfId="12030"/>
    <cellStyle name="Separador de milhares 7 7 4" xfId="8447"/>
    <cellStyle name="Separador de milhares 7 8" xfId="3676"/>
    <cellStyle name="Separador de milhares 7 8 2" xfId="4954"/>
    <cellStyle name="Separador de milhares 7 8 3" xfId="5845"/>
    <cellStyle name="Separador de milhares 7 8 3 2" xfId="11706"/>
    <cellStyle name="Separador de milhares 7 8 3 3" xfId="13000"/>
    <cellStyle name="Separador de milhares 7 8 4" xfId="13637"/>
    <cellStyle name="Separador de milhares 7 9" xfId="8448"/>
    <cellStyle name="Separador de milhares 7 9 2" xfId="11880"/>
    <cellStyle name="Separador de milhares 8" xfId="2996"/>
    <cellStyle name="Separador de milhares 8 2" xfId="8449"/>
    <cellStyle name="Sepavador de milhares [0]_Pasta2" xfId="330"/>
    <cellStyle name="Standard_RP100_01 (metr.)" xfId="331"/>
    <cellStyle name="sub-total" xfId="2997"/>
    <cellStyle name="sub-total 2" xfId="3683"/>
    <cellStyle name="sub-total 2 2" xfId="4961"/>
    <cellStyle name="sub-total 2 3" xfId="5852"/>
    <cellStyle name="sub-total 3" xfId="4420"/>
    <cellStyle name="sub-total 3 2" xfId="6866"/>
    <cellStyle name="sub-total 4" xfId="5184"/>
    <cellStyle name="Texto de Aviso 2" xfId="420"/>
    <cellStyle name="Texto de Aviso 2 2" xfId="2998"/>
    <cellStyle name="Texto Explicativo 2" xfId="421"/>
    <cellStyle name="Texto Explicativo 2 2" xfId="2999"/>
    <cellStyle name="Title" xfId="422"/>
    <cellStyle name="Título 1 1" xfId="3000"/>
    <cellStyle name="Título 1 2" xfId="423"/>
    <cellStyle name="Título 1 2 2" xfId="3001"/>
    <cellStyle name="Título 1 2 3" xfId="10642"/>
    <cellStyle name="Título 2 2" xfId="424"/>
    <cellStyle name="Título 2 2 2" xfId="3002"/>
    <cellStyle name="Título 2 2 3" xfId="10643"/>
    <cellStyle name="Título 3 2" xfId="425"/>
    <cellStyle name="Título 3 2 2" xfId="3003"/>
    <cellStyle name="Título 3 2 3" xfId="10644"/>
    <cellStyle name="Título 4 2" xfId="426"/>
    <cellStyle name="Título 4 2 2" xfId="3004"/>
    <cellStyle name="Título 4 2 3" xfId="10645"/>
    <cellStyle name="Título 5" xfId="427"/>
    <cellStyle name="Título 5 2" xfId="3005"/>
    <cellStyle name="Titulo1" xfId="332"/>
    <cellStyle name="Titulo2" xfId="333"/>
    <cellStyle name="Total 2" xfId="428"/>
    <cellStyle name="Total 2 10" xfId="6887"/>
    <cellStyle name="Total 2 10 2" xfId="12056"/>
    <cellStyle name="Total 2 10 2 2" xfId="15140"/>
    <cellStyle name="Total 2 10 3" xfId="12928"/>
    <cellStyle name="Total 2 10 3 2" xfId="15699"/>
    <cellStyle name="Total 2 10 4" xfId="14413"/>
    <cellStyle name="Total 2 10 5" xfId="13774"/>
    <cellStyle name="Total 2 11" xfId="13193"/>
    <cellStyle name="Total 2 11 2" xfId="15781"/>
    <cellStyle name="Total 2 12" xfId="11047"/>
    <cellStyle name="Total 2 12 2" xfId="14931"/>
    <cellStyle name="Total 2 13" xfId="12545"/>
    <cellStyle name="Total 2 13 2" xfId="15433"/>
    <cellStyle name="Total 2 14" xfId="14578"/>
    <cellStyle name="Total 2 15" xfId="13374"/>
    <cellStyle name="Total 2 2" xfId="3006"/>
    <cellStyle name="Total 2 2 10" xfId="13201"/>
    <cellStyle name="Total 2 2 10 2" xfId="15789"/>
    <cellStyle name="Total 2 2 11" xfId="11595"/>
    <cellStyle name="Total 2 2 11 2" xfId="15044"/>
    <cellStyle name="Total 2 2 12" xfId="11945"/>
    <cellStyle name="Total 2 2 12 2" xfId="15120"/>
    <cellStyle name="Total 2 2 13" xfId="14602"/>
    <cellStyle name="Total 2 2 14" xfId="13406"/>
    <cellStyle name="Total 2 2 2" xfId="4968"/>
    <cellStyle name="Total 2 2 2 10" xfId="11798"/>
    <cellStyle name="Total 2 2 2 10 2" xfId="12998"/>
    <cellStyle name="Total 2 2 2 10 2 2" xfId="15711"/>
    <cellStyle name="Total 2 2 2 10 3" xfId="15084"/>
    <cellStyle name="Total 2 2 2 11" xfId="12547"/>
    <cellStyle name="Total 2 2 2 11 2" xfId="15435"/>
    <cellStyle name="Total 2 2 2 12" xfId="14585"/>
    <cellStyle name="Total 2 2 2 13" xfId="13725"/>
    <cellStyle name="Total 2 2 2 2" xfId="7053"/>
    <cellStyle name="Total 2 2 2 2 2" xfId="8861"/>
    <cellStyle name="Total 2 2 2 2 2 2" xfId="12726"/>
    <cellStyle name="Total 2 2 2 2 2 2 2" xfId="15577"/>
    <cellStyle name="Total 2 2 2 2 2 3" xfId="12526"/>
    <cellStyle name="Total 2 2 2 2 2 3 2" xfId="15420"/>
    <cellStyle name="Total 2 2 2 2 2 4" xfId="14846"/>
    <cellStyle name="Total 2 2 2 2 2 5" xfId="14197"/>
    <cellStyle name="Total 2 2 2 2 3" xfId="12211"/>
    <cellStyle name="Total 2 2 2 2 3 2" xfId="15287"/>
    <cellStyle name="Total 2 2 2 2 4" xfId="12339"/>
    <cellStyle name="Total 2 2 2 2 4 2" xfId="15383"/>
    <cellStyle name="Total 2 2 2 2 5" xfId="14471"/>
    <cellStyle name="Total 2 2 2 2 6" xfId="13934"/>
    <cellStyle name="Total 2 2 2 3" xfId="7075"/>
    <cellStyle name="Total 2 2 2 3 2" xfId="8882"/>
    <cellStyle name="Total 2 2 2 3 2 2" xfId="12745"/>
    <cellStyle name="Total 2 2 2 3 2 2 2" xfId="15595"/>
    <cellStyle name="Total 2 2 2 3 2 3" xfId="11624"/>
    <cellStyle name="Total 2 2 2 3 2 3 2" xfId="15052"/>
    <cellStyle name="Total 2 2 2 3 2 4" xfId="14860"/>
    <cellStyle name="Total 2 2 2 3 2 5" xfId="14218"/>
    <cellStyle name="Total 2 2 2 3 3" xfId="12231"/>
    <cellStyle name="Total 2 2 2 3 3 2" xfId="15305"/>
    <cellStyle name="Total 2 2 2 3 4" xfId="13050"/>
    <cellStyle name="Total 2 2 2 3 4 2" xfId="15721"/>
    <cellStyle name="Total 2 2 2 3 5" xfId="14465"/>
    <cellStyle name="Total 2 2 2 3 6" xfId="13955"/>
    <cellStyle name="Total 2 2 2 4" xfId="7010"/>
    <cellStyle name="Total 2 2 2 4 2" xfId="8827"/>
    <cellStyle name="Total 2 2 2 4 2 2" xfId="12694"/>
    <cellStyle name="Total 2 2 2 4 2 2 2" xfId="15548"/>
    <cellStyle name="Total 2 2 2 4 2 3" xfId="11851"/>
    <cellStyle name="Total 2 2 2 4 2 3 2" xfId="15100"/>
    <cellStyle name="Total 2 2 2 4 2 4" xfId="14401"/>
    <cellStyle name="Total 2 2 2 4 2 5" xfId="14163"/>
    <cellStyle name="Total 2 2 2 4 3" xfId="12171"/>
    <cellStyle name="Total 2 2 2 4 3 2" xfId="15249"/>
    <cellStyle name="Total 2 2 2 4 4" xfId="11792"/>
    <cellStyle name="Total 2 2 2 4 4 2" xfId="15083"/>
    <cellStyle name="Total 2 2 2 4 5" xfId="14491"/>
    <cellStyle name="Total 2 2 2 4 6" xfId="13892"/>
    <cellStyle name="Total 2 2 2 5" xfId="7086"/>
    <cellStyle name="Total 2 2 2 5 2" xfId="8893"/>
    <cellStyle name="Total 2 2 2 5 2 2" xfId="12756"/>
    <cellStyle name="Total 2 2 2 5 2 2 2" xfId="15606"/>
    <cellStyle name="Total 2 2 2 5 2 3" xfId="11692"/>
    <cellStyle name="Total 2 2 2 5 2 3 2" xfId="15068"/>
    <cellStyle name="Total 2 2 2 5 2 4" xfId="14558"/>
    <cellStyle name="Total 2 2 2 5 2 5" xfId="14229"/>
    <cellStyle name="Total 2 2 2 5 3" xfId="12242"/>
    <cellStyle name="Total 2 2 2 5 3 2" xfId="15316"/>
    <cellStyle name="Total 2 2 2 5 4" xfId="12341"/>
    <cellStyle name="Total 2 2 2 5 4 2" xfId="15384"/>
    <cellStyle name="Total 2 2 2 5 5" xfId="14733"/>
    <cellStyle name="Total 2 2 2 5 6" xfId="13966"/>
    <cellStyle name="Total 2 2 2 6" xfId="6977"/>
    <cellStyle name="Total 2 2 2 6 2" xfId="8800"/>
    <cellStyle name="Total 2 2 2 6 2 2" xfId="12669"/>
    <cellStyle name="Total 2 2 2 6 2 2 2" xfId="15524"/>
    <cellStyle name="Total 2 2 2 6 2 3" xfId="10978"/>
    <cellStyle name="Total 2 2 2 6 2 3 2" xfId="14922"/>
    <cellStyle name="Total 2 2 2 6 2 4" xfId="14426"/>
    <cellStyle name="Total 2 2 2 6 2 5" xfId="14136"/>
    <cellStyle name="Total 2 2 2 6 3" xfId="12140"/>
    <cellStyle name="Total 2 2 2 6 3 2" xfId="15219"/>
    <cellStyle name="Total 2 2 2 6 4" xfId="11653"/>
    <cellStyle name="Total 2 2 2 6 4 2" xfId="15060"/>
    <cellStyle name="Total 2 2 2 6 5" xfId="14758"/>
    <cellStyle name="Total 2 2 2 6 6" xfId="13859"/>
    <cellStyle name="Total 2 2 2 7" xfId="7111"/>
    <cellStyle name="Total 2 2 2 7 2" xfId="8918"/>
    <cellStyle name="Total 2 2 2 7 2 2" xfId="12777"/>
    <cellStyle name="Total 2 2 2 7 2 2 2" xfId="15627"/>
    <cellStyle name="Total 2 2 2 7 2 3" xfId="12581"/>
    <cellStyle name="Total 2 2 2 7 2 3 2" xfId="15441"/>
    <cellStyle name="Total 2 2 2 7 2 4" xfId="14675"/>
    <cellStyle name="Total 2 2 2 7 2 5" xfId="14254"/>
    <cellStyle name="Total 2 2 2 7 3" xfId="12263"/>
    <cellStyle name="Total 2 2 2 7 3 2" xfId="15337"/>
    <cellStyle name="Total 2 2 2 7 4" xfId="11062"/>
    <cellStyle name="Total 2 2 2 7 4 2" xfId="14937"/>
    <cellStyle name="Total 2 2 2 7 5" xfId="14449"/>
    <cellStyle name="Total 2 2 2 7 6" xfId="13991"/>
    <cellStyle name="Total 2 2 2 8" xfId="7133"/>
    <cellStyle name="Total 2 2 2 8 2" xfId="8940"/>
    <cellStyle name="Total 2 2 2 8 2 2" xfId="12797"/>
    <cellStyle name="Total 2 2 2 8 2 2 2" xfId="15646"/>
    <cellStyle name="Total 2 2 2 8 2 3" xfId="11444"/>
    <cellStyle name="Total 2 2 2 8 2 3 2" xfId="15024"/>
    <cellStyle name="Total 2 2 2 8 2 4" xfId="14631"/>
    <cellStyle name="Total 2 2 2 8 2 5" xfId="14276"/>
    <cellStyle name="Total 2 2 2 8 3" xfId="12283"/>
    <cellStyle name="Total 2 2 2 8 3 2" xfId="15356"/>
    <cellStyle name="Total 2 2 2 8 4" xfId="13243"/>
    <cellStyle name="Total 2 2 2 8 4 2" xfId="15794"/>
    <cellStyle name="Total 2 2 2 8 5" xfId="14436"/>
    <cellStyle name="Total 2 2 2 8 6" xfId="14013"/>
    <cellStyle name="Total 2 2 2 9" xfId="6961"/>
    <cellStyle name="Total 2 2 2 9 2" xfId="12124"/>
    <cellStyle name="Total 2 2 2 9 2 2" xfId="15204"/>
    <cellStyle name="Total 2 2 2 9 3" xfId="11982"/>
    <cellStyle name="Total 2 2 2 9 3 2" xfId="15123"/>
    <cellStyle name="Total 2 2 2 9 4" xfId="14761"/>
    <cellStyle name="Total 2 2 2 9 5" xfId="13843"/>
    <cellStyle name="Total 2 2 3" xfId="6994"/>
    <cellStyle name="Total 2 2 3 2" xfId="8814"/>
    <cellStyle name="Total 2 2 3 2 2" xfId="12682"/>
    <cellStyle name="Total 2 2 3 2 2 2" xfId="15536"/>
    <cellStyle name="Total 2 2 3 2 3" xfId="12818"/>
    <cellStyle name="Total 2 2 3 2 3 2" xfId="15665"/>
    <cellStyle name="Total 2 2 3 2 4" xfId="14699"/>
    <cellStyle name="Total 2 2 3 2 5" xfId="14150"/>
    <cellStyle name="Total 2 2 3 3" xfId="12156"/>
    <cellStyle name="Total 2 2 3 3 2" xfId="15234"/>
    <cellStyle name="Total 2 2 3 4" xfId="12821"/>
    <cellStyle name="Total 2 2 3 4 2" xfId="15668"/>
    <cellStyle name="Total 2 2 3 5" xfId="14756"/>
    <cellStyle name="Total 2 2 3 6" xfId="13876"/>
    <cellStyle name="Total 2 2 4" xfId="6876"/>
    <cellStyle name="Total 2 2 4 2" xfId="8716"/>
    <cellStyle name="Total 2 2 4 2 2" xfId="12590"/>
    <cellStyle name="Total 2 2 4 2 2 2" xfId="15448"/>
    <cellStyle name="Total 2 2 4 2 3" xfId="12502"/>
    <cellStyle name="Total 2 2 4 2 3 2" xfId="15412"/>
    <cellStyle name="Total 2 2 4 2 4" xfId="14389"/>
    <cellStyle name="Total 2 2 4 2 5" xfId="14052"/>
    <cellStyle name="Total 2 2 4 3" xfId="12045"/>
    <cellStyle name="Total 2 2 4 3 2" xfId="15130"/>
    <cellStyle name="Total 2 2 4 4" xfId="11713"/>
    <cellStyle name="Total 2 2 4 4 2" xfId="15069"/>
    <cellStyle name="Total 2 2 4 5" xfId="14416"/>
    <cellStyle name="Total 2 2 4 6" xfId="13763"/>
    <cellStyle name="Total 2 2 5" xfId="6971"/>
    <cellStyle name="Total 2 2 5 2" xfId="8797"/>
    <cellStyle name="Total 2 2 5 2 2" xfId="12666"/>
    <cellStyle name="Total 2 2 5 2 2 2" xfId="15521"/>
    <cellStyle name="Total 2 2 5 2 3" xfId="11662"/>
    <cellStyle name="Total 2 2 5 2 3 2" xfId="15064"/>
    <cellStyle name="Total 2 2 5 2 4" xfId="14701"/>
    <cellStyle name="Total 2 2 5 2 5" xfId="14133"/>
    <cellStyle name="Total 2 2 5 3" xfId="12134"/>
    <cellStyle name="Total 2 2 5 3 2" xfId="15213"/>
    <cellStyle name="Total 2 2 5 4" xfId="12823"/>
    <cellStyle name="Total 2 2 5 4 2" xfId="15669"/>
    <cellStyle name="Total 2 2 5 5" xfId="14513"/>
    <cellStyle name="Total 2 2 5 6" xfId="13853"/>
    <cellStyle name="Total 2 2 6" xfId="7006"/>
    <cellStyle name="Total 2 2 6 2" xfId="8824"/>
    <cellStyle name="Total 2 2 6 2 2" xfId="12691"/>
    <cellStyle name="Total 2 2 6 2 2 2" xfId="15545"/>
    <cellStyle name="Total 2 2 6 2 3" xfId="11966"/>
    <cellStyle name="Total 2 2 6 2 3 2" xfId="15122"/>
    <cellStyle name="Total 2 2 6 2 4" xfId="14325"/>
    <cellStyle name="Total 2 2 6 2 5" xfId="14160"/>
    <cellStyle name="Total 2 2 6 3" xfId="12167"/>
    <cellStyle name="Total 2 2 6 3 2" xfId="15245"/>
    <cellStyle name="Total 2 2 6 4" xfId="11057"/>
    <cellStyle name="Total 2 2 6 4 2" xfId="14935"/>
    <cellStyle name="Total 2 2 6 5" xfId="14307"/>
    <cellStyle name="Total 2 2 6 6" xfId="13888"/>
    <cellStyle name="Total 2 2 7" xfId="7026"/>
    <cellStyle name="Total 2 2 7 2" xfId="8839"/>
    <cellStyle name="Total 2 2 7 2 2" xfId="12705"/>
    <cellStyle name="Total 2 2 7 2 2 2" xfId="15558"/>
    <cellStyle name="Total 2 2 7 2 3" xfId="11631"/>
    <cellStyle name="Total 2 2 7 2 3 2" xfId="15055"/>
    <cellStyle name="Total 2 2 7 2 4" xfId="14563"/>
    <cellStyle name="Total 2 2 7 2 5" xfId="14175"/>
    <cellStyle name="Total 2 2 7 3" xfId="12186"/>
    <cellStyle name="Total 2 2 7 3 2" xfId="15263"/>
    <cellStyle name="Total 2 2 7 4" xfId="11217"/>
    <cellStyle name="Total 2 2 7 4 2" xfId="14961"/>
    <cellStyle name="Total 2 2 7 5" xfId="14483"/>
    <cellStyle name="Total 2 2 7 6" xfId="13907"/>
    <cellStyle name="Total 2 2 8" xfId="6954"/>
    <cellStyle name="Total 2 2 8 2" xfId="8783"/>
    <cellStyle name="Total 2 2 8 2 2" xfId="12652"/>
    <cellStyle name="Total 2 2 8 2 2 2" xfId="15508"/>
    <cellStyle name="Total 2 2 8 2 3" xfId="11610"/>
    <cellStyle name="Total 2 2 8 2 3 2" xfId="15046"/>
    <cellStyle name="Total 2 2 8 2 4" xfId="14666"/>
    <cellStyle name="Total 2 2 8 2 5" xfId="14119"/>
    <cellStyle name="Total 2 2 8 3" xfId="12117"/>
    <cellStyle name="Total 2 2 8 3 2" xfId="15197"/>
    <cellStyle name="Total 2 2 8 4" xfId="11910"/>
    <cellStyle name="Total 2 2 8 4 2" xfId="15112"/>
    <cellStyle name="Total 2 2 8 5" xfId="14767"/>
    <cellStyle name="Total 2 2 8 6" xfId="13836"/>
    <cellStyle name="Total 2 2 9" xfId="7154"/>
    <cellStyle name="Total 2 2 9 2" xfId="12302"/>
    <cellStyle name="Total 2 2 9 2 2" xfId="15374"/>
    <cellStyle name="Total 2 2 9 3" xfId="12346"/>
    <cellStyle name="Total 2 2 9 3 2" xfId="15386"/>
    <cellStyle name="Total 2 2 9 4" xfId="14718"/>
    <cellStyle name="Total 2 2 9 5" xfId="14034"/>
    <cellStyle name="Total 2 3" xfId="4985"/>
    <cellStyle name="Total 2 3 10" xfId="11814"/>
    <cellStyle name="Total 2 3 10 2" xfId="12430"/>
    <cellStyle name="Total 2 3 10 2 2" xfId="15394"/>
    <cellStyle name="Total 2 3 10 3" xfId="15091"/>
    <cellStyle name="Total 2 3 11" xfId="11083"/>
    <cellStyle name="Total 2 3 11 2" xfId="14945"/>
    <cellStyle name="Total 2 3 12" xfId="14586"/>
    <cellStyle name="Total 2 3 13" xfId="13740"/>
    <cellStyle name="Total 2 3 2" xfId="7070"/>
    <cellStyle name="Total 2 3 2 2" xfId="8878"/>
    <cellStyle name="Total 2 3 2 2 2" xfId="12742"/>
    <cellStyle name="Total 2 3 2 2 2 2" xfId="15592"/>
    <cellStyle name="Total 2 3 2 2 3" xfId="11446"/>
    <cellStyle name="Total 2 3 2 2 3 2" xfId="15026"/>
    <cellStyle name="Total 2 3 2 2 4" xfId="14870"/>
    <cellStyle name="Total 2 3 2 2 5" xfId="14214"/>
    <cellStyle name="Total 2 3 2 3" xfId="12227"/>
    <cellStyle name="Total 2 3 2 3 2" xfId="15301"/>
    <cellStyle name="Total 2 3 2 4" xfId="11228"/>
    <cellStyle name="Total 2 3 2 4 2" xfId="14964"/>
    <cellStyle name="Total 2 3 2 5" xfId="14736"/>
    <cellStyle name="Total 2 3 2 6" xfId="13950"/>
    <cellStyle name="Total 2 3 3" xfId="7078"/>
    <cellStyle name="Total 2 3 3 2" xfId="8885"/>
    <cellStyle name="Total 2 3 3 2 2" xfId="12748"/>
    <cellStyle name="Total 2 3 3 2 2 2" xfId="15598"/>
    <cellStyle name="Total 2 3 3 2 3" xfId="12010"/>
    <cellStyle name="Total 2 3 3 2 3 2" xfId="15125"/>
    <cellStyle name="Total 2 3 3 2 4" xfId="14676"/>
    <cellStyle name="Total 2 3 3 2 5" xfId="14221"/>
    <cellStyle name="Total 2 3 3 3" xfId="12234"/>
    <cellStyle name="Total 2 3 3 3 2" xfId="15308"/>
    <cellStyle name="Total 2 3 3 4" xfId="11230"/>
    <cellStyle name="Total 2 3 3 4 2" xfId="14966"/>
    <cellStyle name="Total 2 3 3 5" xfId="14463"/>
    <cellStyle name="Total 2 3 3 6" xfId="13958"/>
    <cellStyle name="Total 2 3 4" xfId="7083"/>
    <cellStyle name="Total 2 3 4 2" xfId="8890"/>
    <cellStyle name="Total 2 3 4 2 2" xfId="12753"/>
    <cellStyle name="Total 2 3 4 2 2 2" xfId="15603"/>
    <cellStyle name="Total 2 3 4 2 3" xfId="12532"/>
    <cellStyle name="Total 2 3 4 2 3 2" xfId="15421"/>
    <cellStyle name="Total 2 3 4 2 4" xfId="14354"/>
    <cellStyle name="Total 2 3 4 2 5" xfId="14226"/>
    <cellStyle name="Total 2 3 4 3" xfId="12239"/>
    <cellStyle name="Total 2 3 4 3 2" xfId="15313"/>
    <cellStyle name="Total 2 3 4 4" xfId="13323"/>
    <cellStyle name="Total 2 3 4 4 2" xfId="15799"/>
    <cellStyle name="Total 2 3 4 5" xfId="14458"/>
    <cellStyle name="Total 2 3 4 6" xfId="13963"/>
    <cellStyle name="Total 2 3 5" xfId="7103"/>
    <cellStyle name="Total 2 3 5 2" xfId="8910"/>
    <cellStyle name="Total 2 3 5 2 2" xfId="12771"/>
    <cellStyle name="Total 2 3 5 2 2 2" xfId="15621"/>
    <cellStyle name="Total 2 3 5 2 3" xfId="11855"/>
    <cellStyle name="Total 2 3 5 2 3 2" xfId="15102"/>
    <cellStyle name="Total 2 3 5 2 4" xfId="14644"/>
    <cellStyle name="Total 2 3 5 2 5" xfId="14246"/>
    <cellStyle name="Total 2 3 5 3" xfId="12257"/>
    <cellStyle name="Total 2 3 5 3 2" xfId="15331"/>
    <cellStyle name="Total 2 3 5 4" xfId="13238"/>
    <cellStyle name="Total 2 3 5 4 2" xfId="15793"/>
    <cellStyle name="Total 2 3 5 5" xfId="14453"/>
    <cellStyle name="Total 2 3 5 6" xfId="13983"/>
    <cellStyle name="Total 2 3 6" xfId="6922"/>
    <cellStyle name="Total 2 3 6 2" xfId="8754"/>
    <cellStyle name="Total 2 3 6 2 2" xfId="12625"/>
    <cellStyle name="Total 2 3 6 2 2 2" xfId="15481"/>
    <cellStyle name="Total 2 3 6 2 3" xfId="13210"/>
    <cellStyle name="Total 2 3 6 2 3 2" xfId="15790"/>
    <cellStyle name="Total 2 3 6 2 4" xfId="14876"/>
    <cellStyle name="Total 2 3 6 2 5" xfId="14090"/>
    <cellStyle name="Total 2 3 6 3" xfId="12087"/>
    <cellStyle name="Total 2 3 6 3 2" xfId="15167"/>
    <cellStyle name="Total 2 3 6 4" xfId="11108"/>
    <cellStyle name="Total 2 3 6 4 2" xfId="14947"/>
    <cellStyle name="Total 2 3 6 5" xfId="14770"/>
    <cellStyle name="Total 2 3 6 6" xfId="13807"/>
    <cellStyle name="Total 2 3 7" xfId="7128"/>
    <cellStyle name="Total 2 3 7 2" xfId="8935"/>
    <cellStyle name="Total 2 3 7 2 2" xfId="12793"/>
    <cellStyle name="Total 2 3 7 2 2 2" xfId="15642"/>
    <cellStyle name="Total 2 3 7 2 3" xfId="11655"/>
    <cellStyle name="Total 2 3 7 2 3 2" xfId="15062"/>
    <cellStyle name="Total 2 3 7 2 4" xfId="14634"/>
    <cellStyle name="Total 2 3 7 2 5" xfId="14271"/>
    <cellStyle name="Total 2 3 7 3" xfId="12279"/>
    <cellStyle name="Total 2 3 7 3 2" xfId="15352"/>
    <cellStyle name="Total 2 3 7 4" xfId="11259"/>
    <cellStyle name="Total 2 3 7 4 2" xfId="14969"/>
    <cellStyle name="Total 2 3 7 5" xfId="14440"/>
    <cellStyle name="Total 2 3 7 6" xfId="14008"/>
    <cellStyle name="Total 2 3 8" xfId="7150"/>
    <cellStyle name="Total 2 3 8 2" xfId="8957"/>
    <cellStyle name="Total 2 3 8 2 2" xfId="12813"/>
    <cellStyle name="Total 2 3 8 2 2 2" xfId="15661"/>
    <cellStyle name="Total 2 3 8 2 3" xfId="11769"/>
    <cellStyle name="Total 2 3 8 2 3 2" xfId="15077"/>
    <cellStyle name="Total 2 3 8 2 4" xfId="14838"/>
    <cellStyle name="Total 2 3 8 2 5" xfId="14293"/>
    <cellStyle name="Total 2 3 8 3" xfId="12299"/>
    <cellStyle name="Total 2 3 8 3 2" xfId="15371"/>
    <cellStyle name="Total 2 3 8 4" xfId="12345"/>
    <cellStyle name="Total 2 3 8 4 2" xfId="15385"/>
    <cellStyle name="Total 2 3 8 5" xfId="14720"/>
    <cellStyle name="Total 2 3 8 6" xfId="14030"/>
    <cellStyle name="Total 2 3 9" xfId="6967"/>
    <cellStyle name="Total 2 3 9 2" xfId="12130"/>
    <cellStyle name="Total 2 3 9 2 2" xfId="15209"/>
    <cellStyle name="Total 2 3 9 3" xfId="13082"/>
    <cellStyle name="Total 2 3 9 3 2" xfId="15746"/>
    <cellStyle name="Total 2 3 9 4" xfId="14370"/>
    <cellStyle name="Total 2 3 9 5" xfId="13849"/>
    <cellStyle name="Total 2 4" xfId="6900"/>
    <cellStyle name="Total 2 4 2" xfId="8737"/>
    <cellStyle name="Total 2 4 2 2" xfId="12609"/>
    <cellStyle name="Total 2 4 2 2 2" xfId="15466"/>
    <cellStyle name="Total 2 4 2 3" xfId="12505"/>
    <cellStyle name="Total 2 4 2 3 2" xfId="15413"/>
    <cellStyle name="Total 2 4 2 4" xfId="14798"/>
    <cellStyle name="Total 2 4 2 5" xfId="14073"/>
    <cellStyle name="Total 2 4 3" xfId="12067"/>
    <cellStyle name="Total 2 4 3 2" xfId="13264"/>
    <cellStyle name="Total 2 4 3 2 2" xfId="15796"/>
    <cellStyle name="Total 2 4 3 3" xfId="15147"/>
    <cellStyle name="Total 2 4 4" xfId="11876"/>
    <cellStyle name="Total 2 4 4 2" xfId="15106"/>
    <cellStyle name="Total 2 4 5" xfId="14409"/>
    <cellStyle name="Total 2 4 6" xfId="13786"/>
    <cellStyle name="Total 2 5" xfId="6962"/>
    <cellStyle name="Total 2 5 2" xfId="8789"/>
    <cellStyle name="Total 2 5 2 2" xfId="12658"/>
    <cellStyle name="Total 2 5 2 2 2" xfId="15514"/>
    <cellStyle name="Total 2 5 2 3" xfId="11660"/>
    <cellStyle name="Total 2 5 2 3 2" xfId="15063"/>
    <cellStyle name="Total 2 5 2 4" xfId="14673"/>
    <cellStyle name="Total 2 5 2 5" xfId="14125"/>
    <cellStyle name="Total 2 5 3" xfId="12125"/>
    <cellStyle name="Total 2 5 3 2" xfId="15205"/>
    <cellStyle name="Total 2 5 4" xfId="11745"/>
    <cellStyle name="Total 2 5 4 2" xfId="15074"/>
    <cellStyle name="Total 2 5 5" xfId="14760"/>
    <cellStyle name="Total 2 5 6" xfId="13844"/>
    <cellStyle name="Total 2 6" xfId="6925"/>
    <cellStyle name="Total 2 6 2" xfId="8757"/>
    <cellStyle name="Total 2 6 2 2" xfId="12627"/>
    <cellStyle name="Total 2 6 2 2 2" xfId="15483"/>
    <cellStyle name="Total 2 6 2 3" xfId="13090"/>
    <cellStyle name="Total 2 6 2 3 2" xfId="15747"/>
    <cellStyle name="Total 2 6 2 4" xfId="14688"/>
    <cellStyle name="Total 2 6 2 5" xfId="14093"/>
    <cellStyle name="Total 2 6 3" xfId="12089"/>
    <cellStyle name="Total 2 6 3 2" xfId="15169"/>
    <cellStyle name="Total 2 6 4" xfId="12838"/>
    <cellStyle name="Total 2 6 4 2" xfId="15676"/>
    <cellStyle name="Total 2 6 5" xfId="14392"/>
    <cellStyle name="Total 2 6 6" xfId="13810"/>
    <cellStyle name="Total 2 7" xfId="7018"/>
    <cellStyle name="Total 2 7 2" xfId="8833"/>
    <cellStyle name="Total 2 7 2 2" xfId="12699"/>
    <cellStyle name="Total 2 7 2 2 2" xfId="15552"/>
    <cellStyle name="Total 2 7 2 3" xfId="12517"/>
    <cellStyle name="Total 2 7 2 3 2" xfId="15417"/>
    <cellStyle name="Total 2 7 2 4" xfId="14562"/>
    <cellStyle name="Total 2 7 2 5" xfId="14169"/>
    <cellStyle name="Total 2 7 3" xfId="12178"/>
    <cellStyle name="Total 2 7 3 2" xfId="15255"/>
    <cellStyle name="Total 2 7 4" xfId="11159"/>
    <cellStyle name="Total 2 7 4 2" xfId="14953"/>
    <cellStyle name="Total 2 7 5" xfId="14751"/>
    <cellStyle name="Total 2 7 6" xfId="13900"/>
    <cellStyle name="Total 2 8" xfId="6984"/>
    <cellStyle name="Total 2 8 2" xfId="8806"/>
    <cellStyle name="Total 2 8 2 2" xfId="12674"/>
    <cellStyle name="Total 2 8 2 2 2" xfId="15528"/>
    <cellStyle name="Total 2 8 2 3" xfId="11596"/>
    <cellStyle name="Total 2 8 2 3 2" xfId="15045"/>
    <cellStyle name="Total 2 8 2 4" xfId="14300"/>
    <cellStyle name="Total 2 8 2 5" xfId="14142"/>
    <cellStyle name="Total 2 8 3" xfId="12146"/>
    <cellStyle name="Total 2 8 3 2" xfId="15224"/>
    <cellStyle name="Total 2 8 4" xfId="11783"/>
    <cellStyle name="Total 2 8 4 2" xfId="15080"/>
    <cellStyle name="Total 2 8 5" xfId="14380"/>
    <cellStyle name="Total 2 8 6" xfId="13866"/>
    <cellStyle name="Total 2 9" xfId="6953"/>
    <cellStyle name="Total 2 9 2" xfId="8782"/>
    <cellStyle name="Total 2 9 2 2" xfId="12651"/>
    <cellStyle name="Total 2 9 2 2 2" xfId="15507"/>
    <cellStyle name="Total 2 9 2 3" xfId="12860"/>
    <cellStyle name="Total 2 9 2 3 2" xfId="15683"/>
    <cellStyle name="Total 2 9 2 4" xfId="14658"/>
    <cellStyle name="Total 2 9 2 5" xfId="14118"/>
    <cellStyle name="Total 2 9 3" xfId="12116"/>
    <cellStyle name="Total 2 9 3 2" xfId="15196"/>
    <cellStyle name="Total 2 9 4" xfId="11906"/>
    <cellStyle name="Total 2 9 4 2" xfId="15110"/>
    <cellStyle name="Total 2 9 5" xfId="14768"/>
    <cellStyle name="Total 2 9 6" xfId="13835"/>
    <cellStyle name="Vírgula 10" xfId="334"/>
    <cellStyle name="Vírgula 10 10" xfId="3749"/>
    <cellStyle name="Vírgula 10 10 2" xfId="6491"/>
    <cellStyle name="Vírgula 10 10 2 2" xfId="8450"/>
    <cellStyle name="Vírgula 10 10 2 3" xfId="13327"/>
    <cellStyle name="Vírgula 10 10 3" xfId="8451"/>
    <cellStyle name="Vírgula 10 10 4" xfId="13644"/>
    <cellStyle name="Vírgula 10 11" xfId="4070"/>
    <cellStyle name="Vírgula 10 11 2" xfId="6499"/>
    <cellStyle name="Vírgula 10 11 2 2" xfId="10968"/>
    <cellStyle name="Vírgula 10 11 2 3" xfId="13021"/>
    <cellStyle name="Vírgula 10 11 3" xfId="12382"/>
    <cellStyle name="Vírgula 10 11 3 2" xfId="15390"/>
    <cellStyle name="Vírgula 10 11 3 3" xfId="13706"/>
    <cellStyle name="Vírgula 10 12" xfId="5861"/>
    <cellStyle name="Vírgula 10 12 2" xfId="11899"/>
    <cellStyle name="Vírgula 10 12 2 2" xfId="15109"/>
    <cellStyle name="Vírgula 10 12 2 3" xfId="13748"/>
    <cellStyle name="Vírgula 10 12 3" xfId="11084"/>
    <cellStyle name="Vírgula 10 12 4" xfId="11486"/>
    <cellStyle name="Vírgula 10 13" xfId="6677"/>
    <cellStyle name="Vírgula 10 13 2" xfId="8452"/>
    <cellStyle name="Vírgula 10 13 2 2" xfId="8453"/>
    <cellStyle name="Vírgula 10 13 3" xfId="8454"/>
    <cellStyle name="Vírgula 10 13 4" xfId="11144"/>
    <cellStyle name="Vírgula 10 14" xfId="4994"/>
    <cellStyle name="Vírgula 10 14 2" xfId="8455"/>
    <cellStyle name="Vírgula 10 14 2 2" xfId="8456"/>
    <cellStyle name="Vírgula 10 14 3" xfId="8457"/>
    <cellStyle name="Vírgula 10 15" xfId="8458"/>
    <cellStyle name="Vírgula 10 15 2" xfId="12420"/>
    <cellStyle name="Vírgula 10 15 3" xfId="12386"/>
    <cellStyle name="Vírgula 10 16" xfId="8459"/>
    <cellStyle name="Vírgula 10 16 2" xfId="12317"/>
    <cellStyle name="Vírgula 10 16 3" xfId="11553"/>
    <cellStyle name="Vírgula 10 17" xfId="8460"/>
    <cellStyle name="Vírgula 10 18" xfId="8461"/>
    <cellStyle name="Vírgula 10 19" xfId="8462"/>
    <cellStyle name="Vírgula 10 2" xfId="335"/>
    <cellStyle name="Vírgula 10 2 10" xfId="4995"/>
    <cellStyle name="Vírgula 10 2 11" xfId="10812"/>
    <cellStyle name="Vírgula 10 2 2" xfId="589"/>
    <cellStyle name="Vírgula 10 2 2 2" xfId="864"/>
    <cellStyle name="Vírgula 10 2 2 2 2" xfId="3149"/>
    <cellStyle name="Vírgula 10 2 2 2 2 2" xfId="4465"/>
    <cellStyle name="Vírgula 10 2 2 2 2 2 2" xfId="6549"/>
    <cellStyle name="Vírgula 10 2 2 2 2 2 3" xfId="10426"/>
    <cellStyle name="Vírgula 10 2 2 2 2 3" xfId="5318"/>
    <cellStyle name="Vírgula 10 2 2 2 2 4" xfId="9793"/>
    <cellStyle name="Vírgula 10 2 2 2 3" xfId="3898"/>
    <cellStyle name="Vírgula 10 2 2 2 3 2" xfId="6039"/>
    <cellStyle name="Vírgula 10 2 2 2 3 3" xfId="10425"/>
    <cellStyle name="Vírgula 10 2 2 2 4" xfId="6734"/>
    <cellStyle name="Vírgula 10 2 2 2 5" xfId="5052"/>
    <cellStyle name="Vírgula 10 2 2 2 6" xfId="9375"/>
    <cellStyle name="Vírgula 10 2 2 3" xfId="3059"/>
    <cellStyle name="Vírgula 10 2 2 3 2" xfId="3756"/>
    <cellStyle name="Vírgula 10 2 2 3 2 2" xfId="6509"/>
    <cellStyle name="Vírgula 10 2 2 3 2 3" xfId="10427"/>
    <cellStyle name="Vírgula 10 2 2 3 3" xfId="5228"/>
    <cellStyle name="Vírgula 10 2 2 3 4" xfId="9512"/>
    <cellStyle name="Vírgula 10 2 2 4" xfId="3807"/>
    <cellStyle name="Vírgula 10 2 2 4 2" xfId="5934"/>
    <cellStyle name="Vírgula 10 2 2 4 3" xfId="10424"/>
    <cellStyle name="Vírgula 10 2 2 5" xfId="6688"/>
    <cellStyle name="Vírgula 10 2 2 5 2" xfId="10725"/>
    <cellStyle name="Vírgula 10 2 2 6" xfId="5006"/>
    <cellStyle name="Vírgula 10 2 2 6 2" xfId="10856"/>
    <cellStyle name="Vírgula 10 2 2 7" xfId="9257"/>
    <cellStyle name="Vírgula 10 2 3" xfId="865"/>
    <cellStyle name="Vírgula 10 2 3 2" xfId="2164"/>
    <cellStyle name="Vírgula 10 2 3 2 2" xfId="3293"/>
    <cellStyle name="Vírgula 10 2 3 2 2 2" xfId="4400"/>
    <cellStyle name="Vírgula 10 2 3 2 2 2 2" xfId="6615"/>
    <cellStyle name="Vírgula 10 2 3 2 2 2 3" xfId="10429"/>
    <cellStyle name="Vírgula 10 2 3 2 2 3" xfId="5462"/>
    <cellStyle name="Vírgula 10 2 3 2 2 4" xfId="9835"/>
    <cellStyle name="Vírgula 10 2 3 2 3" xfId="4199"/>
    <cellStyle name="Vírgula 10 2 3 2 3 2" xfId="6192"/>
    <cellStyle name="Vírgula 10 2 3 2 3 3" xfId="10428"/>
    <cellStyle name="Vírgula 10 2 3 2 4" xfId="6807"/>
    <cellStyle name="Vírgula 10 2 3 2 5" xfId="5125"/>
    <cellStyle name="Vírgula 10 2 3 2 6" xfId="9414"/>
    <cellStyle name="Vírgula 10 2 3 3" xfId="2163"/>
    <cellStyle name="Vírgula 10 2 3 3 2" xfId="3292"/>
    <cellStyle name="Vírgula 10 2 3 3 2 2" xfId="4405"/>
    <cellStyle name="Vírgula 10 2 3 3 2 2 2" xfId="6614"/>
    <cellStyle name="Vírgula 10 2 3 3 2 3" xfId="5461"/>
    <cellStyle name="Vírgula 10 2 3 3 2 4" xfId="10430"/>
    <cellStyle name="Vírgula 10 2 3 3 3" xfId="4198"/>
    <cellStyle name="Vírgula 10 2 3 3 3 2" xfId="6191"/>
    <cellStyle name="Vírgula 10 2 3 3 4" xfId="6806"/>
    <cellStyle name="Vírgula 10 2 3 3 5" xfId="5124"/>
    <cellStyle name="Vírgula 10 2 3 3 6" xfId="9554"/>
    <cellStyle name="Vírgula 10 2 3 4" xfId="3150"/>
    <cellStyle name="Vírgula 10 2 3 4 2" xfId="4044"/>
    <cellStyle name="Vírgula 10 2 3 4 2 2" xfId="6550"/>
    <cellStyle name="Vírgula 10 2 3 4 3" xfId="5319"/>
    <cellStyle name="Vírgula 10 2 3 4 3 2" xfId="11400"/>
    <cellStyle name="Vírgula 10 2 3 4 3 3" xfId="12316"/>
    <cellStyle name="Vírgula 10 2 3 5" xfId="3899"/>
    <cellStyle name="Vírgula 10 2 3 5 2" xfId="6040"/>
    <cellStyle name="Vírgula 10 2 3 5 2 2" xfId="12940"/>
    <cellStyle name="Vírgula 10 2 3 5 2 3" xfId="11639"/>
    <cellStyle name="Vírgula 10 2 3 6" xfId="6735"/>
    <cellStyle name="Vírgula 10 2 3 7" xfId="5053"/>
    <cellStyle name="Vírgula 10 2 4" xfId="2165"/>
    <cellStyle name="Vírgula 10 2 4 2" xfId="3294"/>
    <cellStyle name="Vírgula 10 2 4 2 2" xfId="4468"/>
    <cellStyle name="Vírgula 10 2 4 2 2 2" xfId="6616"/>
    <cellStyle name="Vírgula 10 2 4 2 2 3" xfId="10432"/>
    <cellStyle name="Vírgula 10 2 4 2 3" xfId="5463"/>
    <cellStyle name="Vírgula 10 2 4 2 4" xfId="9649"/>
    <cellStyle name="Vírgula 10 2 4 3" xfId="4200"/>
    <cellStyle name="Vírgula 10 2 4 3 2" xfId="6193"/>
    <cellStyle name="Vírgula 10 2 4 3 3" xfId="10431"/>
    <cellStyle name="Vírgula 10 2 4 4" xfId="6808"/>
    <cellStyle name="Vírgula 10 2 4 5" xfId="5126"/>
    <cellStyle name="Vírgula 10 2 4 6" xfId="9195"/>
    <cellStyle name="Vírgula 10 2 5" xfId="3045"/>
    <cellStyle name="Vírgula 10 2 5 2" xfId="4073"/>
    <cellStyle name="Vírgula 10 2 5 2 2" xfId="5908"/>
    <cellStyle name="Vírgula 10 2 5 2 2 2" xfId="12890"/>
    <cellStyle name="Vírgula 10 2 5 2 2 3" xfId="11957"/>
    <cellStyle name="Vírgula 10 2 5 2 3" xfId="13707"/>
    <cellStyle name="Vírgula 10 2 5 3" xfId="5214"/>
    <cellStyle name="Vírgula 10 2 5 3 2" xfId="13289"/>
    <cellStyle name="Vírgula 10 2 5 4" xfId="12304"/>
    <cellStyle name="Vírgula 10 2 5 4 2" xfId="15376"/>
    <cellStyle name="Vírgula 10 2 5 4 3" xfId="13573"/>
    <cellStyle name="Vírgula 10 2 6" xfId="3750"/>
    <cellStyle name="Vírgula 10 2 6 2" xfId="6492"/>
    <cellStyle name="Vírgula 10 2 6 2 2" xfId="8463"/>
    <cellStyle name="Vírgula 10 2 6 2 2 2" xfId="10434"/>
    <cellStyle name="Vírgula 10 2 6 2 3" xfId="13265"/>
    <cellStyle name="Vírgula 10 2 6 3" xfId="8464"/>
    <cellStyle name="Vírgula 10 2 6 3 2" xfId="10433"/>
    <cellStyle name="Vírgula 10 2 6 4" xfId="13645"/>
    <cellStyle name="Vírgula 10 2 7" xfId="4229"/>
    <cellStyle name="Vírgula 10 2 7 2" xfId="6500"/>
    <cellStyle name="Vírgula 10 2 7 2 2" xfId="8465"/>
    <cellStyle name="Vírgula 10 2 7 2 3" xfId="12991"/>
    <cellStyle name="Vírgula 10 2 7 3" xfId="8466"/>
    <cellStyle name="Vírgula 10 2 8" xfId="5862"/>
    <cellStyle name="Vírgula 10 2 9" xfId="6678"/>
    <cellStyle name="Vírgula 10 3" xfId="590"/>
    <cellStyle name="Vírgula 10 3 2" xfId="866"/>
    <cellStyle name="Vírgula 10 3 2 2" xfId="3151"/>
    <cellStyle name="Vírgula 10 3 2 2 2" xfId="4422"/>
    <cellStyle name="Vírgula 10 3 2 2 2 2" xfId="6551"/>
    <cellStyle name="Vírgula 10 3 2 2 2 3" xfId="10437"/>
    <cellStyle name="Vírgula 10 3 2 2 3" xfId="5320"/>
    <cellStyle name="Vírgula 10 3 2 2 4" xfId="9792"/>
    <cellStyle name="Vírgula 10 3 2 3" xfId="3900"/>
    <cellStyle name="Vírgula 10 3 2 3 2" xfId="6041"/>
    <cellStyle name="Vírgula 10 3 2 3 3" xfId="10436"/>
    <cellStyle name="Vírgula 10 3 2 4" xfId="6736"/>
    <cellStyle name="Vírgula 10 3 2 5" xfId="5054"/>
    <cellStyle name="Vírgula 10 3 2 6" xfId="9374"/>
    <cellStyle name="Vírgula 10 3 3" xfId="3060"/>
    <cellStyle name="Vírgula 10 3 3 2" xfId="4057"/>
    <cellStyle name="Vírgula 10 3 3 2 2" xfId="6510"/>
    <cellStyle name="Vírgula 10 3 3 2 3" xfId="10438"/>
    <cellStyle name="Vírgula 10 3 3 3" xfId="5229"/>
    <cellStyle name="Vírgula 10 3 3 4" xfId="9511"/>
    <cellStyle name="Vírgula 10 3 4" xfId="3808"/>
    <cellStyle name="Vírgula 10 3 4 2" xfId="5935"/>
    <cellStyle name="Vírgula 10 3 4 3" xfId="10435"/>
    <cellStyle name="Vírgula 10 3 5" xfId="6689"/>
    <cellStyle name="Vírgula 10 3 5 2" xfId="10724"/>
    <cellStyle name="Vírgula 10 3 6" xfId="5007"/>
    <cellStyle name="Vírgula 10 3 6 2" xfId="10855"/>
    <cellStyle name="Vírgula 10 3 7" xfId="9256"/>
    <cellStyle name="Vírgula 10 4" xfId="867"/>
    <cellStyle name="Vírgula 10 4 2" xfId="2168"/>
    <cellStyle name="Vírgula 10 4 2 2" xfId="3297"/>
    <cellStyle name="Vírgula 10 4 2 2 2" xfId="4131"/>
    <cellStyle name="Vírgula 10 4 2 2 2 2" xfId="6618"/>
    <cellStyle name="Vírgula 10 4 2 2 2 3" xfId="10440"/>
    <cellStyle name="Vírgula 10 4 2 2 3" xfId="5466"/>
    <cellStyle name="Vírgula 10 4 2 2 4" xfId="9834"/>
    <cellStyle name="Vírgula 10 4 2 3" xfId="4203"/>
    <cellStyle name="Vírgula 10 4 2 3 2" xfId="6196"/>
    <cellStyle name="Vírgula 10 4 2 3 3" xfId="10439"/>
    <cellStyle name="Vírgula 10 4 2 4" xfId="6810"/>
    <cellStyle name="Vírgula 10 4 2 5" xfId="5128"/>
    <cellStyle name="Vírgula 10 4 2 6" xfId="9413"/>
    <cellStyle name="Vírgula 10 4 2 6 2" xfId="14888"/>
    <cellStyle name="Vírgula 10 4 2 6 3" xfId="13509"/>
    <cellStyle name="Vírgula 10 4 2 7" xfId="13407"/>
    <cellStyle name="Vírgula 10 4 3" xfId="2167"/>
    <cellStyle name="Vírgula 10 4 3 2" xfId="3296"/>
    <cellStyle name="Vírgula 10 4 3 2 2" xfId="4322"/>
    <cellStyle name="Vírgula 10 4 3 2 2 2" xfId="6617"/>
    <cellStyle name="Vírgula 10 4 3 2 3" xfId="5465"/>
    <cellStyle name="Vírgula 10 4 3 2 4" xfId="10441"/>
    <cellStyle name="Vírgula 10 4 3 3" xfId="4202"/>
    <cellStyle name="Vírgula 10 4 3 3 2" xfId="6195"/>
    <cellStyle name="Vírgula 10 4 3 4" xfId="6809"/>
    <cellStyle name="Vírgula 10 4 3 5" xfId="5127"/>
    <cellStyle name="Vírgula 10 4 3 6" xfId="9553"/>
    <cellStyle name="Vírgula 10 4 4" xfId="3152"/>
    <cellStyle name="Vírgula 10 4 4 2" xfId="4154"/>
    <cellStyle name="Vírgula 10 4 4 2 2" xfId="6552"/>
    <cellStyle name="Vírgula 10 4 4 3" xfId="5321"/>
    <cellStyle name="Vírgula 10 4 4 3 2" xfId="11168"/>
    <cellStyle name="Vírgula 10 4 4 3 3" xfId="13239"/>
    <cellStyle name="Vírgula 10 4 4 4" xfId="11050"/>
    <cellStyle name="Vírgula 10 4 5" xfId="3901"/>
    <cellStyle name="Vírgula 10 4 5 2" xfId="6042"/>
    <cellStyle name="Vírgula 10 4 6" xfId="6737"/>
    <cellStyle name="Vírgula 10 4 7" xfId="5055"/>
    <cellStyle name="Vírgula 10 5" xfId="2169"/>
    <cellStyle name="Vírgula 10 5 2" xfId="3298"/>
    <cellStyle name="Vírgula 10 5 2 2" xfId="4629"/>
    <cellStyle name="Vírgula 10 5 2 2 2" xfId="10443"/>
    <cellStyle name="Vírgula 10 5 2 2 2 2" xfId="13350"/>
    <cellStyle name="Vírgula 10 5 2 2 2 3" xfId="13288"/>
    <cellStyle name="Vírgula 10 5 2 3" xfId="5467"/>
    <cellStyle name="Vírgula 10 5 2 3 2" xfId="11184"/>
    <cellStyle name="Vírgula 10 5 2 3 3" xfId="12347"/>
    <cellStyle name="Vírgula 10 5 2 4" xfId="9648"/>
    <cellStyle name="Vírgula 10 5 2 4 2" xfId="14894"/>
    <cellStyle name="Vírgula 10 5 2 4 3" xfId="13627"/>
    <cellStyle name="Vírgula 10 5 3" xfId="3840"/>
    <cellStyle name="Vírgula 10 5 3 2" xfId="6197"/>
    <cellStyle name="Vírgula 10 5 3 2 2" xfId="12564"/>
    <cellStyle name="Vírgula 10 5 3 2 3" xfId="12835"/>
    <cellStyle name="Vírgula 10 5 3 3" xfId="10442"/>
    <cellStyle name="Vírgula 10 5 4" xfId="8467"/>
    <cellStyle name="Vírgula 10 5 4 2" xfId="11748"/>
    <cellStyle name="Vírgula 10 5 4 3" xfId="10931"/>
    <cellStyle name="Vírgula 10 5 5" xfId="8468"/>
    <cellStyle name="Vírgula 10 5 6" xfId="9194"/>
    <cellStyle name="Vírgula 10 5 6 2" xfId="14883"/>
    <cellStyle name="Vírgula 10 5 6 3" xfId="13510"/>
    <cellStyle name="Vírgula 10 6" xfId="2170"/>
    <cellStyle name="Vírgula 10 6 2" xfId="3299"/>
    <cellStyle name="Vírgula 10 6 2 2" xfId="4037"/>
    <cellStyle name="Vírgula 10 6 2 2 2" xfId="6619"/>
    <cellStyle name="Vírgula 10 6 2 2 3" xfId="10445"/>
    <cellStyle name="Vírgula 10 6 2 3" xfId="5468"/>
    <cellStyle name="Vírgula 10 6 2 4" xfId="9750"/>
    <cellStyle name="Vírgula 10 6 3" xfId="4205"/>
    <cellStyle name="Vírgula 10 6 3 2" xfId="6198"/>
    <cellStyle name="Vírgula 10 6 3 3" xfId="10444"/>
    <cellStyle name="Vírgula 10 6 4" xfId="6811"/>
    <cellStyle name="Vírgula 10 6 5" xfId="5129"/>
    <cellStyle name="Vírgula 10 6 6" xfId="9337"/>
    <cellStyle name="Vírgula 10 7" xfId="2171"/>
    <cellStyle name="Vírgula 10 7 2" xfId="3300"/>
    <cellStyle name="Vírgula 10 7 2 2" xfId="4630"/>
    <cellStyle name="Vírgula 10 7 2 2 2" xfId="10447"/>
    <cellStyle name="Vírgula 10 7 2 3" xfId="5469"/>
    <cellStyle name="Vírgula 10 7 2 4" xfId="9601"/>
    <cellStyle name="Vírgula 10 7 3" xfId="3703"/>
    <cellStyle name="Vírgula 10 7 3 2" xfId="6199"/>
    <cellStyle name="Vírgula 10 7 3 3" xfId="10446"/>
    <cellStyle name="Vírgula 10 7 4" xfId="9121"/>
    <cellStyle name="Vírgula 10 8" xfId="2162"/>
    <cellStyle name="Vírgula 10 8 2" xfId="3291"/>
    <cellStyle name="Vírgula 10 8 2 2" xfId="4627"/>
    <cellStyle name="Vírgula 10 8 2 3" xfId="5460"/>
    <cellStyle name="Vírgula 10 8 2 4" xfId="10448"/>
    <cellStyle name="Vírgula 10 8 3" xfId="4176"/>
    <cellStyle name="Vírgula 10 8 3 2" xfId="6190"/>
    <cellStyle name="Vírgula 10 8 4" xfId="9470"/>
    <cellStyle name="Vírgula 10 9" xfId="3044"/>
    <cellStyle name="Vírgula 10 9 2" xfId="4178"/>
    <cellStyle name="Vírgula 10 9 2 2" xfId="5907"/>
    <cellStyle name="Vírgula 10 9 2 2 2" xfId="11146"/>
    <cellStyle name="Vírgula 10 9 2 2 3" xfId="13103"/>
    <cellStyle name="Vírgula 10 9 2 3" xfId="13710"/>
    <cellStyle name="Vírgula 10 9 3" xfId="5213"/>
    <cellStyle name="Vírgula 10 9 3 2" xfId="13222"/>
    <cellStyle name="Vírgula 10 9 4" xfId="11554"/>
    <cellStyle name="Vírgula 10 9 4 2" xfId="15037"/>
    <cellStyle name="Vírgula 10 9 4 3" xfId="13572"/>
    <cellStyle name="Vírgula 11" xfId="336"/>
    <cellStyle name="Vírgula 11 2" xfId="779"/>
    <cellStyle name="Vírgula 11 2 2" xfId="9714"/>
    <cellStyle name="Vírgula 11 3" xfId="2172"/>
    <cellStyle name="Vírgula 11 3 2" xfId="3301"/>
    <cellStyle name="Vírgula 11 3 2 2" xfId="4631"/>
    <cellStyle name="Vírgula 11 3 2 3" xfId="5470"/>
    <cellStyle name="Vírgula 11 3 2 3 2" xfId="11185"/>
    <cellStyle name="Vírgula 11 3 2 3 3" xfId="11795"/>
    <cellStyle name="Vírgula 11 3 3" xfId="4172"/>
    <cellStyle name="Vírgula 11 3 3 2" xfId="6200"/>
    <cellStyle name="Vírgula 11 3 4" xfId="9196"/>
    <cellStyle name="Vírgula 11 3 4 2" xfId="14884"/>
    <cellStyle name="Vírgula 11 3 4 3" xfId="13511"/>
    <cellStyle name="Vírgula 11 4" xfId="8469"/>
    <cellStyle name="Vírgula 11 5" xfId="8470"/>
    <cellStyle name="Vírgula 11 6" xfId="8471"/>
    <cellStyle name="Vírgula 11 7" xfId="8472"/>
    <cellStyle name="Vírgula 11 8" xfId="8473"/>
    <cellStyle name="Vírgula 12" xfId="337"/>
    <cellStyle name="Vírgula 12 10" xfId="10682"/>
    <cellStyle name="Vírgula 12 11" xfId="10813"/>
    <cellStyle name="Vírgula 12 12" xfId="8964"/>
    <cellStyle name="Vírgula 12 2" xfId="868"/>
    <cellStyle name="Vírgula 12 2 2" xfId="3153"/>
    <cellStyle name="Vírgula 12 2 2 2" xfId="3782"/>
    <cellStyle name="Vírgula 12 2 2 2 2" xfId="6553"/>
    <cellStyle name="Vírgula 12 2 2 2 2 2" xfId="10451"/>
    <cellStyle name="Vírgula 12 2 2 2 3" xfId="9794"/>
    <cellStyle name="Vírgula 12 2 2 3" xfId="5322"/>
    <cellStyle name="Vírgula 12 2 2 3 2" xfId="10450"/>
    <cellStyle name="Vírgula 12 2 2 3 3" xfId="11401"/>
    <cellStyle name="Vírgula 12 2 2 3 4" xfId="12355"/>
    <cellStyle name="Vírgula 12 2 2 4" xfId="9376"/>
    <cellStyle name="Vírgula 12 2 2 4 2" xfId="14886"/>
    <cellStyle name="Vírgula 12 2 2 4 3" xfId="13608"/>
    <cellStyle name="Vírgula 12 2 3" xfId="3902"/>
    <cellStyle name="Vírgula 12 2 3 2" xfId="6043"/>
    <cellStyle name="Vírgula 12 2 3 2 2" xfId="10452"/>
    <cellStyle name="Vírgula 12 2 3 3" xfId="9513"/>
    <cellStyle name="Vírgula 12 2 4" xfId="6738"/>
    <cellStyle name="Vírgula 12 2 4 2" xfId="10449"/>
    <cellStyle name="Vírgula 12 2 5" xfId="5056"/>
    <cellStyle name="Vírgula 12 2 5 2" xfId="10726"/>
    <cellStyle name="Vírgula 12 2 6" xfId="10857"/>
    <cellStyle name="Vírgula 12 2 7" xfId="9258"/>
    <cellStyle name="Vírgula 12 3" xfId="4081"/>
    <cellStyle name="Vírgula 12 3 2" xfId="5909"/>
    <cellStyle name="Vírgula 12 3 2 2" xfId="9836"/>
    <cellStyle name="Vírgula 12 3 2 2 2" xfId="10455"/>
    <cellStyle name="Vírgula 12 3 2 3" xfId="10454"/>
    <cellStyle name="Vírgula 12 3 2 4" xfId="9415"/>
    <cellStyle name="Vírgula 12 3 3" xfId="9555"/>
    <cellStyle name="Vírgula 12 3 3 2" xfId="10456"/>
    <cellStyle name="Vírgula 12 3 4" xfId="10453"/>
    <cellStyle name="Vírgula 12 3 5" xfId="10765"/>
    <cellStyle name="Vírgula 12 3 6" xfId="10895"/>
    <cellStyle name="Vírgula 12 3 7" xfId="9293"/>
    <cellStyle name="Vírgula 12 4" xfId="9197"/>
    <cellStyle name="Vírgula 12 4 2" xfId="9650"/>
    <cellStyle name="Vírgula 12 4 2 2" xfId="10458"/>
    <cellStyle name="Vírgula 12 4 3" xfId="10457"/>
    <cellStyle name="Vírgula 12 5" xfId="9338"/>
    <cellStyle name="Vírgula 12 5 2" xfId="9751"/>
    <cellStyle name="Vírgula 12 5 2 2" xfId="10460"/>
    <cellStyle name="Vírgula 12 5 3" xfId="10459"/>
    <cellStyle name="Vírgula 12 6" xfId="9122"/>
    <cellStyle name="Vírgula 12 6 2" xfId="9602"/>
    <cellStyle name="Vírgula 12 6 2 2" xfId="10462"/>
    <cellStyle name="Vírgula 12 6 3" xfId="10461"/>
    <cellStyle name="Vírgula 12 7" xfId="9471"/>
    <cellStyle name="Vírgula 12 7 2" xfId="10463"/>
    <cellStyle name="Vírgula 12 8" xfId="9895"/>
    <cellStyle name="Vírgula 12 9" xfId="9055"/>
    <cellStyle name="Vírgula 13" xfId="992"/>
    <cellStyle name="Vírgula 13 2" xfId="1081"/>
    <cellStyle name="Vírgula 13 2 2" xfId="3213"/>
    <cellStyle name="Vírgula 13 2 2 2" xfId="4153"/>
    <cellStyle name="Vírgula 13 2 2 2 2" xfId="6608"/>
    <cellStyle name="Vírgula 13 2 2 3" xfId="5382"/>
    <cellStyle name="Vírgula 13 2 3" xfId="3991"/>
    <cellStyle name="Vírgula 13 2 3 2" xfId="6106"/>
    <cellStyle name="Vírgula 13 2 4" xfId="6794"/>
    <cellStyle name="Vírgula 13 2 5" xfId="5112"/>
    <cellStyle name="Vírgula 13 2 6" xfId="9615"/>
    <cellStyle name="Vírgula 13 3" xfId="2173"/>
    <cellStyle name="Vírgula 13 3 2" xfId="3302"/>
    <cellStyle name="Vírgula 13 3 2 2" xfId="4632"/>
    <cellStyle name="Vírgula 13 3 2 3" xfId="5471"/>
    <cellStyle name="Vírgula 13 3 3" xfId="4124"/>
    <cellStyle name="Vírgula 13 3 3 2" xfId="6201"/>
    <cellStyle name="Vírgula 13 4" xfId="6101"/>
    <cellStyle name="Vírgula 14" xfId="1082"/>
    <cellStyle name="Vírgula 14 2" xfId="2174"/>
    <cellStyle name="Vírgula 14 2 2" xfId="3303"/>
    <cellStyle name="Vírgula 14 2 2 2" xfId="4633"/>
    <cellStyle name="Vírgula 14 2 2 3" xfId="5472"/>
    <cellStyle name="Vírgula 14 2 3" xfId="3781"/>
    <cellStyle name="Vírgula 14 2 3 2" xfId="6202"/>
    <cellStyle name="Vírgula 14 2 4" xfId="10678"/>
    <cellStyle name="Vírgula 14 3" xfId="3214"/>
    <cellStyle name="Vírgula 14 3 2" xfId="4249"/>
    <cellStyle name="Vírgula 14 3 2 2" xfId="6609"/>
    <cellStyle name="Vírgula 14 3 3" xfId="5383"/>
    <cellStyle name="Vírgula 14 4" xfId="3992"/>
    <cellStyle name="Vírgula 14 4 2" xfId="6107"/>
    <cellStyle name="Vírgula 14 5" xfId="6795"/>
    <cellStyle name="Vírgula 14 6" xfId="5113"/>
    <cellStyle name="Vírgula 15" xfId="2175"/>
    <cellStyle name="Vírgula 15 2" xfId="3304"/>
    <cellStyle name="Vírgula 15 2 2" xfId="4634"/>
    <cellStyle name="Vírgula 15 2 3" xfId="5473"/>
    <cellStyle name="Vírgula 15 3" xfId="4206"/>
    <cellStyle name="Vírgula 15 3 2" xfId="6203"/>
    <cellStyle name="Vírgula 16" xfId="2176"/>
    <cellStyle name="Vírgula 16 2" xfId="3305"/>
    <cellStyle name="Vírgula 16 2 2" xfId="4635"/>
    <cellStyle name="Vírgula 16 2 3" xfId="5474"/>
    <cellStyle name="Vírgula 16 3" xfId="4230"/>
    <cellStyle name="Vírgula 16 3 2" xfId="6204"/>
    <cellStyle name="Vírgula 17" xfId="3094"/>
    <cellStyle name="Vírgula 17 2" xfId="4509"/>
    <cellStyle name="Vírgula 17 3" xfId="5263"/>
    <cellStyle name="Vírgula 17 3 2" xfId="13287"/>
    <cellStyle name="Vírgula 17 3 3" xfId="12895"/>
    <cellStyle name="Vírgula 18" xfId="3837"/>
    <cellStyle name="Vírgula 18 2" xfId="6713"/>
    <cellStyle name="Vírgula 19" xfId="5031"/>
    <cellStyle name="Vírgula 2" xfId="50"/>
    <cellStyle name="Vírgula 2 10" xfId="640"/>
    <cellStyle name="Vírgula 2 10 2" xfId="3096"/>
    <cellStyle name="Vírgula 2 10 2 2" xfId="4511"/>
    <cellStyle name="Vírgula 2 10 2 3" xfId="5265"/>
    <cellStyle name="Vírgula 2 10 3" xfId="4467"/>
    <cellStyle name="Vírgula 2 10 3 2" xfId="5980"/>
    <cellStyle name="Vírgula 2 11" xfId="2177"/>
    <cellStyle name="Vírgula 2 11 2" xfId="3306"/>
    <cellStyle name="Vírgula 2 11 2 2" xfId="4636"/>
    <cellStyle name="Vírgula 2 11 2 3" xfId="5475"/>
    <cellStyle name="Vírgula 2 11 3" xfId="4121"/>
    <cellStyle name="Vírgula 2 11 3 2" xfId="6205"/>
    <cellStyle name="Vírgula 2 12" xfId="4193"/>
    <cellStyle name="Vírgula 2 12 2" xfId="5872"/>
    <cellStyle name="Vírgula 2 12 2 2" xfId="13081"/>
    <cellStyle name="Vírgula 2 12 2 3" xfId="10970"/>
    <cellStyle name="Vírgula 2 12 3" xfId="13713"/>
    <cellStyle name="Vírgula 2 13" xfId="8474"/>
    <cellStyle name="Vírgula 2 13 2" xfId="13011"/>
    <cellStyle name="Vírgula 2 13 3" xfId="10985"/>
    <cellStyle name="Vírgula 2 2" xfId="51"/>
    <cellStyle name="Vírgula 2 2 10" xfId="642"/>
    <cellStyle name="Vírgula 2 2 10 2" xfId="3097"/>
    <cellStyle name="Vírgula 2 2 10 2 2" xfId="4512"/>
    <cellStyle name="Vírgula 2 2 10 2 3" xfId="5266"/>
    <cellStyle name="Vírgula 2 2 10 3" xfId="3980"/>
    <cellStyle name="Vírgula 2 2 10 3 2" xfId="5981"/>
    <cellStyle name="Vírgula 2 2 11" xfId="4450"/>
    <cellStyle name="Vírgula 2 2 11 2" xfId="5873"/>
    <cellStyle name="Vírgula 2 2 11 2 2" xfId="11871"/>
    <cellStyle name="Vírgula 2 2 11 2 3" xfId="10984"/>
    <cellStyle name="Vírgula 2 2 11 3" xfId="13722"/>
    <cellStyle name="Vírgula 2 2 12" xfId="8475"/>
    <cellStyle name="Vírgula 2 2 12 2" xfId="13079"/>
    <cellStyle name="Vírgula 2 2 12 3" xfId="11499"/>
    <cellStyle name="Vírgula 2 2 2" xfId="52"/>
    <cellStyle name="Vírgula 2 2 2 10" xfId="2179"/>
    <cellStyle name="Vírgula 2 2 2 10 2" xfId="3308"/>
    <cellStyle name="Vírgula 2 2 2 10 2 2" xfId="4638"/>
    <cellStyle name="Vírgula 2 2 2 10 2 3" xfId="5477"/>
    <cellStyle name="Vírgula 2 2 2 10 3" xfId="4030"/>
    <cellStyle name="Vírgula 2 2 2 10 3 2" xfId="6207"/>
    <cellStyle name="Vírgula 2 2 2 11" xfId="3864"/>
    <cellStyle name="Vírgula 2 2 2 11 2" xfId="5874"/>
    <cellStyle name="Vírgula 2 2 2 11 2 2" xfId="11677"/>
    <cellStyle name="Vírgula 2 2 2 11 2 3" xfId="12892"/>
    <cellStyle name="Vírgula 2 2 2 11 3" xfId="13685"/>
    <cellStyle name="Vírgula 2 2 2 12" xfId="8476"/>
    <cellStyle name="Vírgula 2 2 2 12 2" xfId="12876"/>
    <cellStyle name="Vírgula 2 2 2 12 3" xfId="11280"/>
    <cellStyle name="Vírgula 2 2 2 2" xfId="73"/>
    <cellStyle name="Vírgula 2 2 2 2 10" xfId="5887"/>
    <cellStyle name="Vírgula 2 2 2 2 10 2" xfId="11817"/>
    <cellStyle name="Vírgula 2 2 2 2 10 3" xfId="13020"/>
    <cellStyle name="Vírgula 2 2 2 2 11" xfId="8477"/>
    <cellStyle name="Vírgula 2 2 2 2 11 2" xfId="10959"/>
    <cellStyle name="Vírgula 2 2 2 2 11 3" xfId="12913"/>
    <cellStyle name="Vírgula 2 2 2 2 2" xfId="636"/>
    <cellStyle name="Vírgula 2 2 2 2 2 2" xfId="3095"/>
    <cellStyle name="Vírgula 2 2 2 2 2 2 2" xfId="4510"/>
    <cellStyle name="Vírgula 2 2 2 2 2 2 3" xfId="5264"/>
    <cellStyle name="Vírgula 2 2 2 2 2 3" xfId="4072"/>
    <cellStyle name="Vírgula 2 2 2 2 2 3 2" xfId="5979"/>
    <cellStyle name="Vírgula 2 2 2 2 3" xfId="869"/>
    <cellStyle name="Vírgula 2 2 2 2 3 2" xfId="2180"/>
    <cellStyle name="Vírgula 2 2 2 2 3 2 2" xfId="3309"/>
    <cellStyle name="Vírgula 2 2 2 2 3 2 2 2" xfId="4639"/>
    <cellStyle name="Vírgula 2 2 2 2 3 2 2 3" xfId="5478"/>
    <cellStyle name="Vírgula 2 2 2 2 3 2 3" xfId="4010"/>
    <cellStyle name="Vírgula 2 2 2 2 3 2 3 2" xfId="6208"/>
    <cellStyle name="Vírgula 2 2 2 2 3 3" xfId="3154"/>
    <cellStyle name="Vírgula 2 2 2 2 3 3 2" xfId="4051"/>
    <cellStyle name="Vírgula 2 2 2 2 3 3 2 2" xfId="6554"/>
    <cellStyle name="Vírgula 2 2 2 2 3 3 3" xfId="5323"/>
    <cellStyle name="Vírgula 2 2 2 2 3 4" xfId="3903"/>
    <cellStyle name="Vírgula 2 2 2 2 3 4 2" xfId="6044"/>
    <cellStyle name="Vírgula 2 2 2 2 3 5" xfId="6739"/>
    <cellStyle name="Vírgula 2 2 2 2 3 6" xfId="5057"/>
    <cellStyle name="Vírgula 2 2 2 2 4" xfId="2181"/>
    <cellStyle name="Vírgula 2 2 2 2 4 2" xfId="3310"/>
    <cellStyle name="Vírgula 2 2 2 2 4 2 2" xfId="4640"/>
    <cellStyle name="Vírgula 2 2 2 2 4 2 3" xfId="5479"/>
    <cellStyle name="Vírgula 2 2 2 2 4 3" xfId="4074"/>
    <cellStyle name="Vírgula 2 2 2 2 4 3 2" xfId="6209"/>
    <cellStyle name="Vírgula 2 2 2 2 5" xfId="2182"/>
    <cellStyle name="Vírgula 2 2 2 2 5 2" xfId="3311"/>
    <cellStyle name="Vírgula 2 2 2 2 5 2 2" xfId="4641"/>
    <cellStyle name="Vírgula 2 2 2 2 5 2 3" xfId="5480"/>
    <cellStyle name="Vírgula 2 2 2 2 5 3" xfId="3697"/>
    <cellStyle name="Vírgula 2 2 2 2 5 3 2" xfId="6210"/>
    <cellStyle name="Vírgula 2 2 2 2 6" xfId="2183"/>
    <cellStyle name="Vírgula 2 2 2 2 6 2" xfId="3312"/>
    <cellStyle name="Vírgula 2 2 2 2 6 2 2" xfId="4642"/>
    <cellStyle name="Vírgula 2 2 2 2 6 2 3" xfId="5481"/>
    <cellStyle name="Vírgula 2 2 2 2 6 3" xfId="4105"/>
    <cellStyle name="Vírgula 2 2 2 2 6 3 2" xfId="6211"/>
    <cellStyle name="Vírgula 2 2 2 2 7" xfId="2184"/>
    <cellStyle name="Vírgula 2 2 2 2 7 2" xfId="3313"/>
    <cellStyle name="Vírgula 2 2 2 2 7 2 2" xfId="4643"/>
    <cellStyle name="Vírgula 2 2 2 2 7 2 3" xfId="5482"/>
    <cellStyle name="Vírgula 2 2 2 2 7 3" xfId="4386"/>
    <cellStyle name="Vírgula 2 2 2 2 7 3 2" xfId="6212"/>
    <cellStyle name="Vírgula 2 2 2 2 8" xfId="2185"/>
    <cellStyle name="Vírgula 2 2 2 2 8 2" xfId="3314"/>
    <cellStyle name="Vírgula 2 2 2 2 8 2 2" xfId="4644"/>
    <cellStyle name="Vírgula 2 2 2 2 8 2 3" xfId="5483"/>
    <cellStyle name="Vírgula 2 2 2 2 8 3" xfId="4470"/>
    <cellStyle name="Vírgula 2 2 2 2 8 3 2" xfId="6213"/>
    <cellStyle name="Vírgula 2 2 2 2 9" xfId="2186"/>
    <cellStyle name="Vírgula 2 2 2 2 9 2" xfId="3315"/>
    <cellStyle name="Vírgula 2 2 2 2 9 2 2" xfId="4645"/>
    <cellStyle name="Vírgula 2 2 2 2 9 2 3" xfId="5484"/>
    <cellStyle name="Vírgula 2 2 2 2 9 3" xfId="4106"/>
    <cellStyle name="Vírgula 2 2 2 2 9 3 2" xfId="6214"/>
    <cellStyle name="Vírgula 2 2 2 3" xfId="870"/>
    <cellStyle name="Vírgula 2 2 2 3 2" xfId="1083"/>
    <cellStyle name="Vírgula 2 2 2 3 2 2" xfId="3215"/>
    <cellStyle name="Vírgula 2 2 2 3 2 2 2" xfId="4555"/>
    <cellStyle name="Vírgula 2 2 2 3 2 2 3" xfId="5384"/>
    <cellStyle name="Vírgula 2 2 2 3 2 3" xfId="4049"/>
    <cellStyle name="Vírgula 2 2 2 3 2 3 2" xfId="6108"/>
    <cellStyle name="Vírgula 2 2 2 3 3" xfId="3155"/>
    <cellStyle name="Vírgula 2 2 2 3 3 2" xfId="4139"/>
    <cellStyle name="Vírgula 2 2 2 3 3 2 2" xfId="6555"/>
    <cellStyle name="Vírgula 2 2 2 3 3 3" xfId="5324"/>
    <cellStyle name="Vírgula 2 2 2 3 4" xfId="3904"/>
    <cellStyle name="Vírgula 2 2 2 3 4 2" xfId="6045"/>
    <cellStyle name="Vírgula 2 2 2 3 5" xfId="6740"/>
    <cellStyle name="Vírgula 2 2 2 3 6" xfId="5058"/>
    <cellStyle name="Vírgula 2 2 2 4" xfId="2187"/>
    <cellStyle name="Vírgula 2 2 2 4 2" xfId="3316"/>
    <cellStyle name="Vírgula 2 2 2 4 2 2" xfId="4646"/>
    <cellStyle name="Vírgula 2 2 2 4 2 3" xfId="5485"/>
    <cellStyle name="Vírgula 2 2 2 4 3" xfId="3861"/>
    <cellStyle name="Vírgula 2 2 2 4 3 2" xfId="6215"/>
    <cellStyle name="Vírgula 2 2 2 5" xfId="2188"/>
    <cellStyle name="Vírgula 2 2 2 5 2" xfId="3317"/>
    <cellStyle name="Vírgula 2 2 2 5 2 2" xfId="4647"/>
    <cellStyle name="Vírgula 2 2 2 5 2 3" xfId="5486"/>
    <cellStyle name="Vírgula 2 2 2 5 3" xfId="4317"/>
    <cellStyle name="Vírgula 2 2 2 5 3 2" xfId="6216"/>
    <cellStyle name="Vírgula 2 2 2 6" xfId="2189"/>
    <cellStyle name="Vírgula 2 2 2 6 2" xfId="3318"/>
    <cellStyle name="Vírgula 2 2 2 6 2 2" xfId="4648"/>
    <cellStyle name="Vírgula 2 2 2 6 2 3" xfId="5487"/>
    <cellStyle name="Vírgula 2 2 2 6 3" xfId="4485"/>
    <cellStyle name="Vírgula 2 2 2 6 3 2" xfId="6217"/>
    <cellStyle name="Vírgula 2 2 2 7" xfId="2190"/>
    <cellStyle name="Vírgula 2 2 2 7 2" xfId="3319"/>
    <cellStyle name="Vírgula 2 2 2 7 2 2" xfId="4649"/>
    <cellStyle name="Vírgula 2 2 2 7 2 3" xfId="5488"/>
    <cellStyle name="Vírgula 2 2 2 7 3" xfId="3746"/>
    <cellStyle name="Vírgula 2 2 2 7 3 2" xfId="6218"/>
    <cellStyle name="Vírgula 2 2 2 8" xfId="2191"/>
    <cellStyle name="Vírgula 2 2 2 8 2" xfId="3320"/>
    <cellStyle name="Vírgula 2 2 2 8 2 2" xfId="4650"/>
    <cellStyle name="Vírgula 2 2 2 8 2 3" xfId="5489"/>
    <cellStyle name="Vírgula 2 2 2 8 3" xfId="4007"/>
    <cellStyle name="Vírgula 2 2 2 8 3 2" xfId="6219"/>
    <cellStyle name="Vírgula 2 2 2 9" xfId="2192"/>
    <cellStyle name="Vírgula 2 2 2 9 2" xfId="3321"/>
    <cellStyle name="Vírgula 2 2 2 9 2 2" xfId="4651"/>
    <cellStyle name="Vírgula 2 2 2 9 2 3" xfId="5490"/>
    <cellStyle name="Vírgula 2 2 2 9 3" xfId="4454"/>
    <cellStyle name="Vírgula 2 2 2 9 3 2" xfId="6220"/>
    <cellStyle name="Vírgula 2 2 3" xfId="871"/>
    <cellStyle name="Vírgula 2 2 3 2" xfId="2193"/>
    <cellStyle name="Vírgula 2 2 3 2 2" xfId="3322"/>
    <cellStyle name="Vírgula 2 2 3 2 2 2" xfId="4652"/>
    <cellStyle name="Vírgula 2 2 3 2 2 3" xfId="5491"/>
    <cellStyle name="Vírgula 2 2 3 2 2 3 2" xfId="11186"/>
    <cellStyle name="Vírgula 2 2 3 2 2 3 3" xfId="13301"/>
    <cellStyle name="Vírgula 2 2 3 2 3" xfId="4391"/>
    <cellStyle name="Vírgula 2 2 3 2 3 2" xfId="6221"/>
    <cellStyle name="Vírgula 2 2 3 2 4" xfId="13512"/>
    <cellStyle name="Vírgula 2 2 3 3" xfId="3007"/>
    <cellStyle name="Vírgula 2 2 3 3 2" xfId="4359"/>
    <cellStyle name="Vírgula 2 2 3 3 2 2" xfId="6556"/>
    <cellStyle name="Vírgula 2 2 3 3 2 2 2" xfId="12850"/>
    <cellStyle name="Vírgula 2 2 3 3 2 2 3" xfId="12920"/>
    <cellStyle name="Vírgula 2 2 3 3 3" xfId="8478"/>
    <cellStyle name="Vírgula 2 2 3 3 4" xfId="13547"/>
    <cellStyle name="Vírgula 2 2 3 3 5" xfId="13408"/>
    <cellStyle name="Vírgula 2 2 3 4" xfId="3156"/>
    <cellStyle name="Vírgula 2 2 3 4 2" xfId="4549"/>
    <cellStyle name="Vírgula 2 2 3 4 3" xfId="5325"/>
    <cellStyle name="Vírgula 2 2 3 5" xfId="3905"/>
    <cellStyle name="Vírgula 2 2 3 5 2" xfId="6046"/>
    <cellStyle name="Vírgula 2 2 3 6" xfId="6741"/>
    <cellStyle name="Vírgula 2 2 3 7" xfId="5059"/>
    <cellStyle name="Vírgula 2 2 4" xfId="2194"/>
    <cellStyle name="Vírgula 2 2 4 2" xfId="3323"/>
    <cellStyle name="Vírgula 2 2 4 2 2" xfId="4653"/>
    <cellStyle name="Vírgula 2 2 4 2 3" xfId="5492"/>
    <cellStyle name="Vírgula 2 2 4 2 3 2" xfId="12482"/>
    <cellStyle name="Vírgula 2 2 4 2 3 3" xfId="13086"/>
    <cellStyle name="Vírgula 2 2 4 2 4" xfId="13628"/>
    <cellStyle name="Vírgula 2 2 4 3" xfId="4402"/>
    <cellStyle name="Vírgula 2 2 4 3 2" xfId="6222"/>
    <cellStyle name="Vírgula 2 2 4 4" xfId="8479"/>
    <cellStyle name="Vírgula 2 2 4 5" xfId="10647"/>
    <cellStyle name="Vírgula 2 2 5" xfId="2195"/>
    <cellStyle name="Vírgula 2 2 5 2" xfId="3324"/>
    <cellStyle name="Vírgula 2 2 5 2 2" xfId="4654"/>
    <cellStyle name="Vírgula 2 2 5 2 3" xfId="5493"/>
    <cellStyle name="Vírgula 2 2 5 3" xfId="4325"/>
    <cellStyle name="Vírgula 2 2 5 3 2" xfId="6223"/>
    <cellStyle name="Vírgula 2 2 6" xfId="2196"/>
    <cellStyle name="Vírgula 2 2 6 2" xfId="3325"/>
    <cellStyle name="Vírgula 2 2 6 2 2" xfId="4655"/>
    <cellStyle name="Vírgula 2 2 6 2 3" xfId="5494"/>
    <cellStyle name="Vírgula 2 2 6 3" xfId="4161"/>
    <cellStyle name="Vírgula 2 2 6 3 2" xfId="6224"/>
    <cellStyle name="Vírgula 2 2 7" xfId="2197"/>
    <cellStyle name="Vírgula 2 2 7 2" xfId="3326"/>
    <cellStyle name="Vírgula 2 2 7 2 2" xfId="4656"/>
    <cellStyle name="Vírgula 2 2 7 2 3" xfId="5495"/>
    <cellStyle name="Vírgula 2 2 7 3" xfId="4399"/>
    <cellStyle name="Vírgula 2 2 7 3 2" xfId="6225"/>
    <cellStyle name="Vírgula 2 2 8" xfId="2198"/>
    <cellStyle name="Vírgula 2 2 8 2" xfId="3327"/>
    <cellStyle name="Vírgula 2 2 8 2 2" xfId="4657"/>
    <cellStyle name="Vírgula 2 2 8 2 3" xfId="5496"/>
    <cellStyle name="Vírgula 2 2 8 3" xfId="4015"/>
    <cellStyle name="Vírgula 2 2 8 3 2" xfId="6226"/>
    <cellStyle name="Vírgula 2 2 9" xfId="2199"/>
    <cellStyle name="Vírgula 2 2 9 2" xfId="3328"/>
    <cellStyle name="Vírgula 2 2 9 2 2" xfId="4658"/>
    <cellStyle name="Vírgula 2 2 9 2 3" xfId="5497"/>
    <cellStyle name="Vírgula 2 2 9 3" xfId="4487"/>
    <cellStyle name="Vírgula 2 2 9 3 2" xfId="6227"/>
    <cellStyle name="Vírgula 2 3" xfId="53"/>
    <cellStyle name="Vírgula 2 3 10" xfId="3969"/>
    <cellStyle name="Vírgula 2 3 10 2" xfId="5875"/>
    <cellStyle name="Vírgula 2 3 10 2 2" xfId="11699"/>
    <cellStyle name="Vírgula 2 3 10 2 3" xfId="13033"/>
    <cellStyle name="Vírgula 2 3 10 3" xfId="13694"/>
    <cellStyle name="Vírgula 2 3 11" xfId="8480"/>
    <cellStyle name="Vírgula 2 3 11 2" xfId="11275"/>
    <cellStyle name="Vírgula 2 3 11 3" xfId="13030"/>
    <cellStyle name="Vírgula 2 3 2" xfId="338"/>
    <cellStyle name="Vírgula 2 3 2 10" xfId="8481"/>
    <cellStyle name="Vírgula 2 3 2 2" xfId="780"/>
    <cellStyle name="Vírgula 2 3 2 2 2" xfId="3119"/>
    <cellStyle name="Vírgula 2 3 2 2 2 2" xfId="4534"/>
    <cellStyle name="Vírgula 2 3 2 2 2 3" xfId="5288"/>
    <cellStyle name="Vírgula 2 3 2 2 2 3 2" xfId="11853"/>
    <cellStyle name="Vírgula 2 3 2 2 2 3 3" xfId="13017"/>
    <cellStyle name="Vírgula 2 3 2 2 2 4" xfId="13601"/>
    <cellStyle name="Vírgula 2 3 2 2 3" xfId="3791"/>
    <cellStyle name="Vírgula 2 3 2 2 3 2" xfId="6005"/>
    <cellStyle name="Vírgula 2 3 2 2 4" xfId="8482"/>
    <cellStyle name="Vírgula 2 3 2 3" xfId="3008"/>
    <cellStyle name="Vírgula 2 3 2 3 2" xfId="4130"/>
    <cellStyle name="Vírgula 2 3 2 3 2 2" xfId="5910"/>
    <cellStyle name="Vírgula 2 3 2 3 2 2 2" xfId="11085"/>
    <cellStyle name="Vírgula 2 3 2 3 2 2 3" xfId="11516"/>
    <cellStyle name="Vírgula 2 3 2 3 2 3" xfId="13708"/>
    <cellStyle name="Vírgula 2 3 2 3 3" xfId="8483"/>
    <cellStyle name="Vírgula 2 3 2 3 3 2" xfId="11722"/>
    <cellStyle name="Vírgula 2 3 2 3 3 3" xfId="11505"/>
    <cellStyle name="Vírgula 2 3 2 3 4" xfId="12706"/>
    <cellStyle name="Vírgula 2 3 2 4" xfId="3046"/>
    <cellStyle name="Vírgula 2 3 2 4 2" xfId="4494"/>
    <cellStyle name="Vírgula 2 3 2 4 3" xfId="5215"/>
    <cellStyle name="Vírgula 2 3 2 4 3 2" xfId="13247"/>
    <cellStyle name="Vírgula 2 3 2 4 3 3" xfId="12822"/>
    <cellStyle name="Vírgula 2 3 2 4 4" xfId="13574"/>
    <cellStyle name="Vírgula 2 3 2 5" xfId="8484"/>
    <cellStyle name="Vírgula 2 3 2 5 2" xfId="11673"/>
    <cellStyle name="Vírgula 2 3 2 5 3" xfId="12028"/>
    <cellStyle name="Vírgula 2 3 2 6" xfId="8485"/>
    <cellStyle name="Vírgula 2 3 2 6 2" xfId="12863"/>
    <cellStyle name="Vírgula 2 3 2 6 3" xfId="13151"/>
    <cellStyle name="Vírgula 2 3 2 7" xfId="8486"/>
    <cellStyle name="Vírgula 2 3 2 7 2" xfId="13332"/>
    <cellStyle name="Vírgula 2 3 2 7 3" xfId="12836"/>
    <cellStyle name="Vírgula 2 3 2 8" xfId="8487"/>
    <cellStyle name="Vírgula 2 3 2 8 2" xfId="13268"/>
    <cellStyle name="Vírgula 2 3 2 8 3" xfId="13014"/>
    <cellStyle name="Vírgula 2 3 2 9" xfId="8488"/>
    <cellStyle name="Vírgula 2 3 3" xfId="667"/>
    <cellStyle name="Vírgula 2 3 3 2" xfId="3101"/>
    <cellStyle name="Vírgula 2 3 3 2 2" xfId="4516"/>
    <cellStyle name="Vírgula 2 3 3 2 3" xfId="5270"/>
    <cellStyle name="Vírgula 2 3 3 3" xfId="4075"/>
    <cellStyle name="Vírgula 2 3 3 3 2" xfId="5985"/>
    <cellStyle name="Vírgula 2 3 4" xfId="872"/>
    <cellStyle name="Vírgula 2 3 4 2" xfId="2200"/>
    <cellStyle name="Vírgula 2 3 4 2 2" xfId="3329"/>
    <cellStyle name="Vírgula 2 3 4 2 2 2" xfId="4659"/>
    <cellStyle name="Vírgula 2 3 4 2 2 3" xfId="5498"/>
    <cellStyle name="Vírgula 2 3 4 2 3" xfId="3804"/>
    <cellStyle name="Vírgula 2 3 4 2 3 2" xfId="6228"/>
    <cellStyle name="Vírgula 2 3 4 3" xfId="3157"/>
    <cellStyle name="Vírgula 2 3 4 3 2" xfId="4120"/>
    <cellStyle name="Vírgula 2 3 4 3 2 2" xfId="6557"/>
    <cellStyle name="Vírgula 2 3 4 3 3" xfId="5326"/>
    <cellStyle name="Vírgula 2 3 4 4" xfId="3906"/>
    <cellStyle name="Vírgula 2 3 4 4 2" xfId="6047"/>
    <cellStyle name="Vírgula 2 3 4 5" xfId="6742"/>
    <cellStyle name="Vírgula 2 3 4 6" xfId="5060"/>
    <cellStyle name="Vírgula 2 3 5" xfId="2201"/>
    <cellStyle name="Vírgula 2 3 5 2" xfId="3330"/>
    <cellStyle name="Vírgula 2 3 5 2 2" xfId="4660"/>
    <cellStyle name="Vírgula 2 3 5 2 3" xfId="5499"/>
    <cellStyle name="Vírgula 2 3 5 3" xfId="4171"/>
    <cellStyle name="Vírgula 2 3 5 3 2" xfId="6229"/>
    <cellStyle name="Vírgula 2 3 6" xfId="2202"/>
    <cellStyle name="Vírgula 2 3 6 2" xfId="3331"/>
    <cellStyle name="Vírgula 2 3 6 2 2" xfId="4661"/>
    <cellStyle name="Vírgula 2 3 6 2 3" xfId="5500"/>
    <cellStyle name="Vírgula 2 3 6 3" xfId="3978"/>
    <cellStyle name="Vírgula 2 3 6 3 2" xfId="6230"/>
    <cellStyle name="Vírgula 2 3 7" xfId="2203"/>
    <cellStyle name="Vírgula 2 3 7 2" xfId="3332"/>
    <cellStyle name="Vírgula 2 3 7 2 2" xfId="4662"/>
    <cellStyle name="Vírgula 2 3 7 2 3" xfId="5501"/>
    <cellStyle name="Vírgula 2 3 7 3" xfId="4175"/>
    <cellStyle name="Vírgula 2 3 7 3 2" xfId="6231"/>
    <cellStyle name="Vírgula 2 3 8" xfId="2204"/>
    <cellStyle name="Vírgula 2 3 8 2" xfId="3333"/>
    <cellStyle name="Vírgula 2 3 8 2 2" xfId="4663"/>
    <cellStyle name="Vírgula 2 3 8 2 3" xfId="5502"/>
    <cellStyle name="Vírgula 2 3 8 3" xfId="4415"/>
    <cellStyle name="Vírgula 2 3 8 3 2" xfId="6232"/>
    <cellStyle name="Vírgula 2 3 9" xfId="2205"/>
    <cellStyle name="Vírgula 2 3 9 2" xfId="3334"/>
    <cellStyle name="Vírgula 2 3 9 2 2" xfId="4664"/>
    <cellStyle name="Vírgula 2 3 9 2 3" xfId="5503"/>
    <cellStyle name="Vírgula 2 3 9 3" xfId="4129"/>
    <cellStyle name="Vírgula 2 3 9 3 2" xfId="6233"/>
    <cellStyle name="Vírgula 2 4" xfId="339"/>
    <cellStyle name="Vírgula 2 4 10" xfId="8489"/>
    <cellStyle name="Vírgula 2 4 11" xfId="9134"/>
    <cellStyle name="Vírgula 2 4 2" xfId="781"/>
    <cellStyle name="Vírgula 2 4 2 2" xfId="3120"/>
    <cellStyle name="Vírgula 2 4 2 2 2" xfId="4535"/>
    <cellStyle name="Vírgula 2 4 2 2 2 2" xfId="13026"/>
    <cellStyle name="Vírgula 2 4 2 2 3" xfId="5289"/>
    <cellStyle name="Vírgula 2 4 2 2 3 2" xfId="11399"/>
    <cellStyle name="Vírgula 2 4 2 2 3 3" xfId="11491"/>
    <cellStyle name="Vírgula 2 4 2 2 4" xfId="13602"/>
    <cellStyle name="Vírgula 2 4 2 3" xfId="4252"/>
    <cellStyle name="Vírgula 2 4 2 3 2" xfId="6006"/>
    <cellStyle name="Vírgula 2 4 2 4" xfId="8490"/>
    <cellStyle name="Vírgula 2 4 3" xfId="3009"/>
    <cellStyle name="Vírgula 2 4 3 2" xfId="3684"/>
    <cellStyle name="Vírgula 2 4 3 2 2" xfId="4962"/>
    <cellStyle name="Vírgula 2 4 3 2 3" xfId="5853"/>
    <cellStyle name="Vírgula 2 4 3 2 3 2" xfId="13094"/>
    <cellStyle name="Vírgula 2 4 3 2 3 3" xfId="11498"/>
    <cellStyle name="Vírgula 2 4 3 3" xfId="4423"/>
    <cellStyle name="Vírgula 2 4 3 3 2" xfId="5911"/>
    <cellStyle name="Vírgula 2 4 3 4" xfId="4296"/>
    <cellStyle name="Vírgula 2 4 3 4 2" xfId="6867"/>
    <cellStyle name="Vírgula 2 4 3 5" xfId="5185"/>
    <cellStyle name="Vírgula 2 4 3 6" xfId="13548"/>
    <cellStyle name="Vírgula 2 4 4" xfId="3047"/>
    <cellStyle name="Vírgula 2 4 4 2" xfId="4495"/>
    <cellStyle name="Vírgula 2 4 4 3" xfId="5216"/>
    <cellStyle name="Vírgula 2 4 4 3 2" xfId="11198"/>
    <cellStyle name="Vírgula 2 4 4 3 3" xfId="11301"/>
    <cellStyle name="Vírgula 2 4 4 4" xfId="13575"/>
    <cellStyle name="Vírgula 2 4 5" xfId="8491"/>
    <cellStyle name="Vírgula 2 4 5 2" xfId="12318"/>
    <cellStyle name="Vírgula 2 4 5 3" xfId="11837"/>
    <cellStyle name="Vírgula 2 4 6" xfId="8492"/>
    <cellStyle name="Vírgula 2 4 6 2" xfId="11502"/>
    <cellStyle name="Vírgula 2 4 6 3" xfId="13174"/>
    <cellStyle name="Vírgula 2 4 7" xfId="8493"/>
    <cellStyle name="Vírgula 2 4 7 2" xfId="12320"/>
    <cellStyle name="Vírgula 2 4 7 3" xfId="12923"/>
    <cellStyle name="Vírgula 2 4 8" xfId="8494"/>
    <cellStyle name="Vírgula 2 4 8 2" xfId="12319"/>
    <cellStyle name="Vírgula 2 4 8 3" xfId="13146"/>
    <cellStyle name="Vírgula 2 4 9" xfId="8495"/>
    <cellStyle name="Vírgula 2 5" xfId="340"/>
    <cellStyle name="Vírgula 2 5 2" xfId="873"/>
    <cellStyle name="Vírgula 2 5 2 2" xfId="2208"/>
    <cellStyle name="Vírgula 2 5 2 2 2" xfId="3337"/>
    <cellStyle name="Vírgula 2 5 2 2 2 2" xfId="4667"/>
    <cellStyle name="Vírgula 2 5 2 2 2 3" xfId="5506"/>
    <cellStyle name="Vírgula 2 5 2 2 3" xfId="3698"/>
    <cellStyle name="Vírgula 2 5 2 2 3 2" xfId="6236"/>
    <cellStyle name="Vírgula 2 5 2 2 4" xfId="13513"/>
    <cellStyle name="Vírgula 2 5 2 2 5" xfId="13409"/>
    <cellStyle name="Vírgula 2 5 2 3" xfId="3158"/>
    <cellStyle name="Vírgula 2 5 2 3 2" xfId="4307"/>
    <cellStyle name="Vírgula 2 5 2 3 2 2" xfId="6558"/>
    <cellStyle name="Vírgula 2 5 2 3 3" xfId="5327"/>
    <cellStyle name="Vírgula 2 5 2 3 3 2" xfId="11530"/>
    <cellStyle name="Vírgula 2 5 2 3 3 3" xfId="12847"/>
    <cellStyle name="Vírgula 2 5 2 3 4" xfId="12410"/>
    <cellStyle name="Vírgula 2 5 2 4" xfId="3907"/>
    <cellStyle name="Vírgula 2 5 2 4 2" xfId="6048"/>
    <cellStyle name="Vírgula 2 5 2 5" xfId="6743"/>
    <cellStyle name="Vírgula 2 5 2 6" xfId="5061"/>
    <cellStyle name="Vírgula 2 5 3" xfId="2209"/>
    <cellStyle name="Vírgula 2 5 3 2" xfId="3338"/>
    <cellStyle name="Vírgula 2 5 3 2 2" xfId="4668"/>
    <cellStyle name="Vírgula 2 5 3 2 3" xfId="5507"/>
    <cellStyle name="Vírgula 2 5 3 2 3 2" xfId="11904"/>
    <cellStyle name="Vírgula 2 5 3 2 3 3" xfId="13142"/>
    <cellStyle name="Vírgula 2 5 3 2 4" xfId="13629"/>
    <cellStyle name="Vírgula 2 5 3 3" xfId="4462"/>
    <cellStyle name="Vírgula 2 5 3 3 2" xfId="6237"/>
    <cellStyle name="Vírgula 2 5 3 3 2 2" xfId="12494"/>
    <cellStyle name="Vírgula 2 5 3 3 2 3" xfId="11483"/>
    <cellStyle name="Vírgula 2 5 3 3 3" xfId="12026"/>
    <cellStyle name="Vírgula 2 5 3 4" xfId="8496"/>
    <cellStyle name="Vírgula 2 5 4" xfId="2210"/>
    <cellStyle name="Vírgula 2 5 4 2" xfId="3339"/>
    <cellStyle name="Vírgula 2 5 4 2 2" xfId="4669"/>
    <cellStyle name="Vírgula 2 5 4 2 3" xfId="5508"/>
    <cellStyle name="Vírgula 2 5 4 3" xfId="4098"/>
    <cellStyle name="Vírgula 2 5 4 3 2" xfId="6238"/>
    <cellStyle name="Vírgula 2 5 5" xfId="2207"/>
    <cellStyle name="Vírgula 2 5 5 2" xfId="3336"/>
    <cellStyle name="Vírgula 2 5 5 2 2" xfId="4666"/>
    <cellStyle name="Vírgula 2 5 5 2 3" xfId="5505"/>
    <cellStyle name="Vírgula 2 5 5 3" xfId="4212"/>
    <cellStyle name="Vírgula 2 5 5 3 2" xfId="6235"/>
    <cellStyle name="Vírgula 2 5 6" xfId="4223"/>
    <cellStyle name="Vírgula 2 5 6 2" xfId="5912"/>
    <cellStyle name="Vírgula 2 5 6 2 2" xfId="11086"/>
    <cellStyle name="Vírgula 2 5 6 2 3" xfId="12881"/>
    <cellStyle name="Vírgula 2 5 6 3" xfId="13311"/>
    <cellStyle name="Vírgula 2 5 6 3 2" xfId="15798"/>
    <cellStyle name="Vírgula 2 5 6 3 3" xfId="13715"/>
    <cellStyle name="Vírgula 2 5 7" xfId="8497"/>
    <cellStyle name="Vírgula 2 5 7 2" xfId="13250"/>
    <cellStyle name="Vírgula 2 5 7 3" xfId="12864"/>
    <cellStyle name="Vírgula 2 5 8" xfId="8498"/>
    <cellStyle name="Vírgula 2 5 8 2" xfId="11055"/>
    <cellStyle name="Vírgula 2 5 8 3" xfId="13031"/>
    <cellStyle name="Vírgula 2 5 9" xfId="8499"/>
    <cellStyle name="Vírgula 2 5 9 2" xfId="12321"/>
    <cellStyle name="Vírgula 2 5 9 3" xfId="13167"/>
    <cellStyle name="Vírgula 2 6" xfId="874"/>
    <cellStyle name="Vírgula 2 6 2" xfId="2211"/>
    <cellStyle name="Vírgula 2 6 2 2" xfId="3340"/>
    <cellStyle name="Vírgula 2 6 2 2 2" xfId="4670"/>
    <cellStyle name="Vírgula 2 6 2 2 3" xfId="5509"/>
    <cellStyle name="Vírgula 2 6 2 3" xfId="4459"/>
    <cellStyle name="Vírgula 2 6 2 3 2" xfId="6239"/>
    <cellStyle name="Vírgula 2 6 3" xfId="3159"/>
    <cellStyle name="Vírgula 2 6 3 2" xfId="3976"/>
    <cellStyle name="Vírgula 2 6 3 2 2" xfId="6559"/>
    <cellStyle name="Vírgula 2 6 3 3" xfId="5328"/>
    <cellStyle name="Vírgula 2 6 4" xfId="3908"/>
    <cellStyle name="Vírgula 2 6 4 2" xfId="6049"/>
    <cellStyle name="Vírgula 2 6 5" xfId="6744"/>
    <cellStyle name="Vírgula 2 6 6" xfId="5062"/>
    <cellStyle name="Vírgula 2 6 7" xfId="10605"/>
    <cellStyle name="Vírgula 2 7" xfId="2212"/>
    <cellStyle name="Vírgula 2 7 2" xfId="3341"/>
    <cellStyle name="Vírgula 2 7 2 2" xfId="4671"/>
    <cellStyle name="Vírgula 2 7 2 3" xfId="5510"/>
    <cellStyle name="Vírgula 2 7 3" xfId="4011"/>
    <cellStyle name="Vírgula 2 7 3 2" xfId="6240"/>
    <cellStyle name="Vírgula 2 8" xfId="2213"/>
    <cellStyle name="Vírgula 2 8 2" xfId="3342"/>
    <cellStyle name="Vírgula 2 8 2 2" xfId="4672"/>
    <cellStyle name="Vírgula 2 8 2 3" xfId="5511"/>
    <cellStyle name="Vírgula 2 8 3" xfId="4401"/>
    <cellStyle name="Vírgula 2 8 3 2" xfId="6241"/>
    <cellStyle name="Vírgula 2 9" xfId="2214"/>
    <cellStyle name="Vírgula 2 9 2" xfId="3343"/>
    <cellStyle name="Vírgula 2 9 2 2" xfId="4673"/>
    <cellStyle name="Vírgula 2 9 2 3" xfId="5512"/>
    <cellStyle name="Vírgula 2 9 3" xfId="3865"/>
    <cellStyle name="Vírgula 2 9 3 2" xfId="6242"/>
    <cellStyle name="Vírgula 3" xfId="54"/>
    <cellStyle name="Vírgula 3 10" xfId="2215"/>
    <cellStyle name="Vírgula 3 10 2" xfId="3344"/>
    <cellStyle name="Vírgula 3 10 2 2" xfId="4674"/>
    <cellStyle name="Vírgula 3 10 2 3" xfId="5513"/>
    <cellStyle name="Vírgula 3 10 3" xfId="3850"/>
    <cellStyle name="Vírgula 3 10 3 2" xfId="6243"/>
    <cellStyle name="Vírgula 3 11" xfId="2216"/>
    <cellStyle name="Vírgula 3 11 2" xfId="3345"/>
    <cellStyle name="Vírgula 3 11 2 2" xfId="4675"/>
    <cellStyle name="Vírgula 3 11 2 3" xfId="5514"/>
    <cellStyle name="Vírgula 3 11 3" xfId="4077"/>
    <cellStyle name="Vírgula 3 11 3 2" xfId="6244"/>
    <cellStyle name="Vírgula 3 12" xfId="2217"/>
    <cellStyle name="Vírgula 3 12 2" xfId="3346"/>
    <cellStyle name="Vírgula 3 12 2 2" xfId="4676"/>
    <cellStyle name="Vírgula 3 12 2 3" xfId="5515"/>
    <cellStyle name="Vírgula 3 12 3" xfId="3971"/>
    <cellStyle name="Vírgula 3 12 3 2" xfId="6245"/>
    <cellStyle name="Vírgula 3 13" xfId="3026"/>
    <cellStyle name="Vírgula 3 13 2" xfId="3723"/>
    <cellStyle name="Vírgula 3 13 2 2" xfId="5876"/>
    <cellStyle name="Vírgula 3 13 3" xfId="5195"/>
    <cellStyle name="Vírgula 3 13 3 2" xfId="12327"/>
    <cellStyle name="Vírgula 3 13 3 3" xfId="12423"/>
    <cellStyle name="Vírgula 3 13 4" xfId="13557"/>
    <cellStyle name="Vírgula 3 14" xfId="8500"/>
    <cellStyle name="Vírgula 3 14 2" xfId="12399"/>
    <cellStyle name="Vírgula 3 14 3" xfId="11059"/>
    <cellStyle name="Vírgula 3 15" xfId="8501"/>
    <cellStyle name="Vírgula 3 16" xfId="8502"/>
    <cellStyle name="Vírgula 3 2" xfId="55"/>
    <cellStyle name="Vírgula 3 2 10" xfId="2218"/>
    <cellStyle name="Vírgula 3 2 10 2" xfId="3347"/>
    <cellStyle name="Vírgula 3 2 10 2 2" xfId="4677"/>
    <cellStyle name="Vírgula 3 2 10 2 3" xfId="5516"/>
    <cellStyle name="Vírgula 3 2 10 3" xfId="4374"/>
    <cellStyle name="Vírgula 3 2 10 3 2" xfId="6246"/>
    <cellStyle name="Vírgula 3 2 11" xfId="2219"/>
    <cellStyle name="Vírgula 3 2 11 2" xfId="3348"/>
    <cellStyle name="Vírgula 3 2 11 2 2" xfId="4678"/>
    <cellStyle name="Vírgula 3 2 11 2 3" xfId="5517"/>
    <cellStyle name="Vírgula 3 2 11 3" xfId="4142"/>
    <cellStyle name="Vírgula 3 2 11 3 2" xfId="6247"/>
    <cellStyle name="Vírgula 3 2 12" xfId="3027"/>
    <cellStyle name="Vírgula 3 2 12 2" xfId="4190"/>
    <cellStyle name="Vírgula 3 2 12 2 2" xfId="5877"/>
    <cellStyle name="Vírgula 3 2 12 3" xfId="5196"/>
    <cellStyle name="Vírgula 3 2 12 3 2" xfId="12362"/>
    <cellStyle name="Vírgula 3 2 12 3 3" xfId="13164"/>
    <cellStyle name="Vírgula 3 2 12 4" xfId="13558"/>
    <cellStyle name="Vírgula 3 2 13" xfId="8503"/>
    <cellStyle name="Vírgula 3 2 13 2" xfId="12322"/>
    <cellStyle name="Vírgula 3 2 13 3" xfId="11609"/>
    <cellStyle name="Vírgula 3 2 14" xfId="8504"/>
    <cellStyle name="Vírgula 3 2 15" xfId="8505"/>
    <cellStyle name="Vírgula 3 2 2" xfId="56"/>
    <cellStyle name="Vírgula 3 2 2 10" xfId="3028"/>
    <cellStyle name="Vírgula 3 2 2 10 2" xfId="3811"/>
    <cellStyle name="Vírgula 3 2 2 10 2 2" xfId="5878"/>
    <cellStyle name="Vírgula 3 2 2 10 3" xfId="5197"/>
    <cellStyle name="Vírgula 3 2 2 10 3 2" xfId="12984"/>
    <cellStyle name="Vírgula 3 2 2 10 3 3" xfId="12946"/>
    <cellStyle name="Vírgula 3 2 2 10 4" xfId="13559"/>
    <cellStyle name="Vírgula 3 2 2 11" xfId="8506"/>
    <cellStyle name="Vírgula 3 2 2 11 2" xfId="11794"/>
    <cellStyle name="Vírgula 3 2 2 11 3" xfId="10987"/>
    <cellStyle name="Vírgula 3 2 2 12" xfId="8507"/>
    <cellStyle name="Vírgula 3 2 2 13" xfId="8508"/>
    <cellStyle name="Vírgula 3 2 2 2" xfId="694"/>
    <cellStyle name="Vírgula 3 2 2 2 2" xfId="3108"/>
    <cellStyle name="Vírgula 3 2 2 2 2 2" xfId="4523"/>
    <cellStyle name="Vírgula 3 2 2 2 2 3" xfId="5277"/>
    <cellStyle name="Vírgula 3 2 2 2 3" xfId="4418"/>
    <cellStyle name="Vírgula 3 2 2 2 3 2" xfId="5993"/>
    <cellStyle name="Vírgula 3 2 2 3" xfId="2220"/>
    <cellStyle name="Vírgula 3 2 2 3 2" xfId="3349"/>
    <cellStyle name="Vírgula 3 2 2 3 2 2" xfId="4679"/>
    <cellStyle name="Vírgula 3 2 2 3 2 3" xfId="5518"/>
    <cellStyle name="Vírgula 3 2 2 3 3" xfId="4083"/>
    <cellStyle name="Vírgula 3 2 2 3 3 2" xfId="6248"/>
    <cellStyle name="Vírgula 3 2 2 4" xfId="2221"/>
    <cellStyle name="Vírgula 3 2 2 4 2" xfId="3350"/>
    <cellStyle name="Vírgula 3 2 2 4 2 2" xfId="4680"/>
    <cellStyle name="Vírgula 3 2 2 4 2 3" xfId="5519"/>
    <cellStyle name="Vírgula 3 2 2 4 3" xfId="4393"/>
    <cellStyle name="Vírgula 3 2 2 4 3 2" xfId="6249"/>
    <cellStyle name="Vírgula 3 2 2 5" xfId="2222"/>
    <cellStyle name="Vírgula 3 2 2 5 2" xfId="3351"/>
    <cellStyle name="Vírgula 3 2 2 5 2 2" xfId="4681"/>
    <cellStyle name="Vírgula 3 2 2 5 2 3" xfId="5520"/>
    <cellStyle name="Vírgula 3 2 2 5 3" xfId="4409"/>
    <cellStyle name="Vírgula 3 2 2 5 3 2" xfId="6250"/>
    <cellStyle name="Vírgula 3 2 2 6" xfId="2223"/>
    <cellStyle name="Vírgula 3 2 2 6 2" xfId="3352"/>
    <cellStyle name="Vírgula 3 2 2 6 2 2" xfId="4682"/>
    <cellStyle name="Vírgula 3 2 2 6 2 3" xfId="5521"/>
    <cellStyle name="Vírgula 3 2 2 6 3" xfId="4133"/>
    <cellStyle name="Vírgula 3 2 2 6 3 2" xfId="6251"/>
    <cellStyle name="Vírgula 3 2 2 7" xfId="2224"/>
    <cellStyle name="Vírgula 3 2 2 7 2" xfId="3353"/>
    <cellStyle name="Vírgula 3 2 2 7 2 2" xfId="4683"/>
    <cellStyle name="Vírgula 3 2 2 7 2 3" xfId="5522"/>
    <cellStyle name="Vírgula 3 2 2 7 3" xfId="4392"/>
    <cellStyle name="Vírgula 3 2 2 7 3 2" xfId="6252"/>
    <cellStyle name="Vírgula 3 2 2 8" xfId="2225"/>
    <cellStyle name="Vírgula 3 2 2 8 2" xfId="3354"/>
    <cellStyle name="Vírgula 3 2 2 8 2 2" xfId="4684"/>
    <cellStyle name="Vírgula 3 2 2 8 2 3" xfId="5523"/>
    <cellStyle name="Vírgula 3 2 2 8 3" xfId="3692"/>
    <cellStyle name="Vírgula 3 2 2 8 3 2" xfId="6253"/>
    <cellStyle name="Vírgula 3 2 2 9" xfId="2226"/>
    <cellStyle name="Vírgula 3 2 2 9 2" xfId="3355"/>
    <cellStyle name="Vírgula 3 2 2 9 2 2" xfId="4685"/>
    <cellStyle name="Vírgula 3 2 2 9 2 3" xfId="5524"/>
    <cellStyle name="Vírgula 3 2 2 9 3" xfId="3693"/>
    <cellStyle name="Vírgula 3 2 2 9 3 2" xfId="6254"/>
    <cellStyle name="Vírgula 3 2 3" xfId="115"/>
    <cellStyle name="Vírgula 3 2 3 10" xfId="3037"/>
    <cellStyle name="Vírgula 3 2 3 10 2" xfId="4490"/>
    <cellStyle name="Vírgula 3 2 3 10 3" xfId="5206"/>
    <cellStyle name="Vírgula 3 2 3 10 3 2" xfId="11476"/>
    <cellStyle name="Vírgula 3 2 3 10 3 3" xfId="11058"/>
    <cellStyle name="Vírgula 3 2 3 10 4" xfId="13567"/>
    <cellStyle name="Vírgula 3 2 3 11" xfId="3843"/>
    <cellStyle name="Vírgula 3 2 3 11 2" xfId="5895"/>
    <cellStyle name="Vírgula 3 2 3 11 2 2" xfId="11990"/>
    <cellStyle name="Vírgula 3 2 3 11 2 3" xfId="10986"/>
    <cellStyle name="Vírgula 3 2 3 11 3" xfId="13680"/>
    <cellStyle name="Vírgula 3 2 3 12" xfId="8509"/>
    <cellStyle name="Vírgula 3 2 3 13" xfId="8510"/>
    <cellStyle name="Vírgula 3 2 3 2" xfId="728"/>
    <cellStyle name="Vírgula 3 2 3 2 2" xfId="3113"/>
    <cellStyle name="Vírgula 3 2 3 2 2 2" xfId="4528"/>
    <cellStyle name="Vírgula 3 2 3 2 2 3" xfId="5282"/>
    <cellStyle name="Vírgula 3 2 3 2 3" xfId="3768"/>
    <cellStyle name="Vírgula 3 2 3 2 3 2" xfId="5998"/>
    <cellStyle name="Vírgula 3 2 3 3" xfId="2227"/>
    <cellStyle name="Vírgula 3 2 3 3 2" xfId="3356"/>
    <cellStyle name="Vírgula 3 2 3 3 2 2" xfId="4686"/>
    <cellStyle name="Vírgula 3 2 3 3 2 3" xfId="5525"/>
    <cellStyle name="Vírgula 3 2 3 3 3" xfId="4396"/>
    <cellStyle name="Vírgula 3 2 3 3 3 2" xfId="6255"/>
    <cellStyle name="Vírgula 3 2 3 4" xfId="2228"/>
    <cellStyle name="Vírgula 3 2 3 4 2" xfId="3357"/>
    <cellStyle name="Vírgula 3 2 3 4 2 2" xfId="4687"/>
    <cellStyle name="Vírgula 3 2 3 4 2 3" xfId="5526"/>
    <cellStyle name="Vírgula 3 2 3 4 3" xfId="4486"/>
    <cellStyle name="Vírgula 3 2 3 4 3 2" xfId="6256"/>
    <cellStyle name="Vírgula 3 2 3 5" xfId="2229"/>
    <cellStyle name="Vírgula 3 2 3 5 2" xfId="3358"/>
    <cellStyle name="Vírgula 3 2 3 5 2 2" xfId="4688"/>
    <cellStyle name="Vírgula 3 2 3 5 2 3" xfId="5527"/>
    <cellStyle name="Vírgula 3 2 3 5 3" xfId="4096"/>
    <cellStyle name="Vírgula 3 2 3 5 3 2" xfId="6257"/>
    <cellStyle name="Vírgula 3 2 3 6" xfId="2230"/>
    <cellStyle name="Vírgula 3 2 3 6 2" xfId="3359"/>
    <cellStyle name="Vírgula 3 2 3 6 2 2" xfId="4689"/>
    <cellStyle name="Vírgula 3 2 3 6 2 3" xfId="5528"/>
    <cellStyle name="Vírgula 3 2 3 6 3" xfId="4109"/>
    <cellStyle name="Vírgula 3 2 3 6 3 2" xfId="6258"/>
    <cellStyle name="Vírgula 3 2 3 7" xfId="2231"/>
    <cellStyle name="Vírgula 3 2 3 7 2" xfId="3360"/>
    <cellStyle name="Vírgula 3 2 3 7 2 2" xfId="4690"/>
    <cellStyle name="Vírgula 3 2 3 7 2 3" xfId="5529"/>
    <cellStyle name="Vírgula 3 2 3 7 3" xfId="4434"/>
    <cellStyle name="Vírgula 3 2 3 7 3 2" xfId="6259"/>
    <cellStyle name="Vírgula 3 2 3 8" xfId="2232"/>
    <cellStyle name="Vírgula 3 2 3 8 2" xfId="3361"/>
    <cellStyle name="Vírgula 3 2 3 8 2 2" xfId="4691"/>
    <cellStyle name="Vírgula 3 2 3 8 2 3" xfId="5530"/>
    <cellStyle name="Vírgula 3 2 3 8 3" xfId="4347"/>
    <cellStyle name="Vírgula 3 2 3 8 3 2" xfId="6260"/>
    <cellStyle name="Vírgula 3 2 3 9" xfId="2233"/>
    <cellStyle name="Vírgula 3 2 3 9 2" xfId="3362"/>
    <cellStyle name="Vírgula 3 2 3 9 2 2" xfId="4692"/>
    <cellStyle name="Vírgula 3 2 3 9 2 3" xfId="5531"/>
    <cellStyle name="Vírgula 3 2 3 9 3" xfId="4119"/>
    <cellStyle name="Vírgula 3 2 3 9 3 2" xfId="6261"/>
    <cellStyle name="Vírgula 3 2 4" xfId="669"/>
    <cellStyle name="Vírgula 3 2 4 2" xfId="3103"/>
    <cellStyle name="Vírgula 3 2 4 2 2" xfId="4518"/>
    <cellStyle name="Vírgula 3 2 4 2 3" xfId="5272"/>
    <cellStyle name="Vírgula 3 2 4 3" xfId="3689"/>
    <cellStyle name="Vírgula 3 2 4 3 2" xfId="5987"/>
    <cellStyle name="Vírgula 3 2 5" xfId="2234"/>
    <cellStyle name="Vírgula 3 2 5 2" xfId="3363"/>
    <cellStyle name="Vírgula 3 2 5 2 2" xfId="4693"/>
    <cellStyle name="Vírgula 3 2 5 2 3" xfId="5532"/>
    <cellStyle name="Vírgula 3 2 5 3" xfId="4095"/>
    <cellStyle name="Vírgula 3 2 5 3 2" xfId="6262"/>
    <cellStyle name="Vírgula 3 2 6" xfId="2235"/>
    <cellStyle name="Vírgula 3 2 6 2" xfId="3364"/>
    <cellStyle name="Vírgula 3 2 6 2 2" xfId="4694"/>
    <cellStyle name="Vírgula 3 2 6 2 3" xfId="5533"/>
    <cellStyle name="Vírgula 3 2 6 3" xfId="4463"/>
    <cellStyle name="Vírgula 3 2 6 3 2" xfId="6263"/>
    <cellStyle name="Vírgula 3 2 7" xfId="2236"/>
    <cellStyle name="Vírgula 3 2 7 2" xfId="3365"/>
    <cellStyle name="Vírgula 3 2 7 2 2" xfId="4695"/>
    <cellStyle name="Vírgula 3 2 7 2 3" xfId="5534"/>
    <cellStyle name="Vírgula 3 2 7 3" xfId="3877"/>
    <cellStyle name="Vírgula 3 2 7 3 2" xfId="6264"/>
    <cellStyle name="Vírgula 3 2 8" xfId="2237"/>
    <cellStyle name="Vírgula 3 2 8 2" xfId="3366"/>
    <cellStyle name="Vírgula 3 2 8 2 2" xfId="4696"/>
    <cellStyle name="Vírgula 3 2 8 2 3" xfId="5535"/>
    <cellStyle name="Vírgula 3 2 8 3" xfId="4033"/>
    <cellStyle name="Vírgula 3 2 8 3 2" xfId="6265"/>
    <cellStyle name="Vírgula 3 2 9" xfId="2238"/>
    <cellStyle name="Vírgula 3 2 9 2" xfId="3367"/>
    <cellStyle name="Vírgula 3 2 9 2 2" xfId="4697"/>
    <cellStyle name="Vírgula 3 2 9 2 3" xfId="5536"/>
    <cellStyle name="Vírgula 3 2 9 3" xfId="4444"/>
    <cellStyle name="Vírgula 3 2 9 3 2" xfId="6266"/>
    <cellStyle name="Vírgula 3 3" xfId="57"/>
    <cellStyle name="Vírgula 3 3 10" xfId="3029"/>
    <cellStyle name="Vírgula 3 3 10 2" xfId="3986"/>
    <cellStyle name="Vírgula 3 3 10 2 2" xfId="5879"/>
    <cellStyle name="Vírgula 3 3 10 3" xfId="5198"/>
    <cellStyle name="Vírgula 3 3 10 3 2" xfId="12328"/>
    <cellStyle name="Vírgula 3 3 10 3 3" xfId="11350"/>
    <cellStyle name="Vírgula 3 3 10 4" xfId="13560"/>
    <cellStyle name="Vírgula 3 3 11" xfId="8511"/>
    <cellStyle name="Vírgula 3 3 11 2" xfId="11378"/>
    <cellStyle name="Vírgula 3 3 11 3" xfId="11599"/>
    <cellStyle name="Vírgula 3 3 12" xfId="8512"/>
    <cellStyle name="Vírgula 3 3 13" xfId="8513"/>
    <cellStyle name="Vírgula 3 3 2" xfId="695"/>
    <cellStyle name="Vírgula 3 3 2 2" xfId="3109"/>
    <cellStyle name="Vírgula 3 3 2 2 2" xfId="4524"/>
    <cellStyle name="Vírgula 3 3 2 2 3" xfId="5278"/>
    <cellStyle name="Vírgula 3 3 2 2 3 2" xfId="11165"/>
    <cellStyle name="Vírgula 3 3 2 2 3 3" xfId="11302"/>
    <cellStyle name="Vírgula 3 3 2 2 4" xfId="13597"/>
    <cellStyle name="Vírgula 3 3 2 3" xfId="4475"/>
    <cellStyle name="Vírgula 3 3 2 3 2" xfId="5994"/>
    <cellStyle name="Vírgula 3 3 2 4" xfId="8514"/>
    <cellStyle name="Vírgula 3 3 3" xfId="2239"/>
    <cellStyle name="Vírgula 3 3 3 2" xfId="3010"/>
    <cellStyle name="Vírgula 3 3 3 2 2" xfId="3685"/>
    <cellStyle name="Vírgula 3 3 3 2 2 2" xfId="4963"/>
    <cellStyle name="Vírgula 3 3 3 2 2 3" xfId="5854"/>
    <cellStyle name="Vírgula 3 3 3 2 3" xfId="4424"/>
    <cellStyle name="Vírgula 3 3 3 2 3 2" xfId="6868"/>
    <cellStyle name="Vírgula 3 3 3 2 4" xfId="5186"/>
    <cellStyle name="Vírgula 3 3 3 3" xfId="3368"/>
    <cellStyle name="Vírgula 3 3 3 3 2" xfId="4698"/>
    <cellStyle name="Vírgula 3 3 3 3 3" xfId="5537"/>
    <cellStyle name="Vírgula 3 3 3 4" xfId="4324"/>
    <cellStyle name="Vírgula 3 3 3 4 2" xfId="6267"/>
    <cellStyle name="Vírgula 3 3 4" xfId="2240"/>
    <cellStyle name="Vírgula 3 3 4 2" xfId="3369"/>
    <cellStyle name="Vírgula 3 3 4 2 2" xfId="4699"/>
    <cellStyle name="Vírgula 3 3 4 2 3" xfId="5538"/>
    <cellStyle name="Vírgula 3 3 4 3" xfId="4354"/>
    <cellStyle name="Vírgula 3 3 4 3 2" xfId="6268"/>
    <cellStyle name="Vírgula 3 3 5" xfId="2241"/>
    <cellStyle name="Vírgula 3 3 5 2" xfId="3370"/>
    <cellStyle name="Vírgula 3 3 5 2 2" xfId="4700"/>
    <cellStyle name="Vírgula 3 3 5 2 3" xfId="5539"/>
    <cellStyle name="Vírgula 3 3 5 3" xfId="4071"/>
    <cellStyle name="Vírgula 3 3 5 3 2" xfId="6269"/>
    <cellStyle name="Vírgula 3 3 6" xfId="2242"/>
    <cellStyle name="Vírgula 3 3 6 2" xfId="3371"/>
    <cellStyle name="Vírgula 3 3 6 2 2" xfId="4701"/>
    <cellStyle name="Vírgula 3 3 6 2 3" xfId="5540"/>
    <cellStyle name="Vírgula 3 3 6 3" xfId="3711"/>
    <cellStyle name="Vírgula 3 3 6 3 2" xfId="6270"/>
    <cellStyle name="Vírgula 3 3 7" xfId="2243"/>
    <cellStyle name="Vírgula 3 3 7 2" xfId="3372"/>
    <cellStyle name="Vírgula 3 3 7 2 2" xfId="4702"/>
    <cellStyle name="Vírgula 3 3 7 2 3" xfId="5541"/>
    <cellStyle name="Vírgula 3 3 7 3" xfId="4316"/>
    <cellStyle name="Vírgula 3 3 7 3 2" xfId="6271"/>
    <cellStyle name="Vírgula 3 3 8" xfId="2244"/>
    <cellStyle name="Vírgula 3 3 8 2" xfId="3373"/>
    <cellStyle name="Vírgula 3 3 8 2 2" xfId="4703"/>
    <cellStyle name="Vírgula 3 3 8 2 3" xfId="5542"/>
    <cellStyle name="Vírgula 3 3 8 3" xfId="4204"/>
    <cellStyle name="Vírgula 3 3 8 3 2" xfId="6272"/>
    <cellStyle name="Vírgula 3 3 9" xfId="2245"/>
    <cellStyle name="Vírgula 3 3 9 2" xfId="3374"/>
    <cellStyle name="Vírgula 3 3 9 2 2" xfId="4704"/>
    <cellStyle name="Vírgula 3 3 9 2 3" xfId="5543"/>
    <cellStyle name="Vírgula 3 3 9 3" xfId="4333"/>
    <cellStyle name="Vírgula 3 3 9 3 2" xfId="6273"/>
    <cellStyle name="Vírgula 3 4" xfId="116"/>
    <cellStyle name="Vírgula 3 4 10" xfId="3038"/>
    <cellStyle name="Vírgula 3 4 10 2" xfId="4491"/>
    <cellStyle name="Vírgula 3 4 10 3" xfId="5207"/>
    <cellStyle name="Vírgula 3 4 10 3 2" xfId="12330"/>
    <cellStyle name="Vírgula 3 4 10 3 3" xfId="10989"/>
    <cellStyle name="Vírgula 3 4 10 4" xfId="13568"/>
    <cellStyle name="Vírgula 3 4 11" xfId="3989"/>
    <cellStyle name="Vírgula 3 4 11 2" xfId="5896"/>
    <cellStyle name="Vírgula 3 4 11 2 2" xfId="11862"/>
    <cellStyle name="Vírgula 3 4 11 2 3" xfId="12451"/>
    <cellStyle name="Vírgula 3 4 11 3" xfId="13696"/>
    <cellStyle name="Vírgula 3 4 12" xfId="8515"/>
    <cellStyle name="Vírgula 3 4 13" xfId="8516"/>
    <cellStyle name="Vírgula 3 4 2" xfId="729"/>
    <cellStyle name="Vírgula 3 4 2 2" xfId="3114"/>
    <cellStyle name="Vírgula 3 4 2 2 2" xfId="4529"/>
    <cellStyle name="Vírgula 3 4 2 2 3" xfId="5283"/>
    <cellStyle name="Vírgula 3 4 2 3" xfId="3960"/>
    <cellStyle name="Vírgula 3 4 2 3 2" xfId="5999"/>
    <cellStyle name="Vírgula 3 4 3" xfId="2246"/>
    <cellStyle name="Vírgula 3 4 3 2" xfId="3375"/>
    <cellStyle name="Vírgula 3 4 3 2 2" xfId="4705"/>
    <cellStyle name="Vírgula 3 4 3 2 3" xfId="5544"/>
    <cellStyle name="Vírgula 3 4 3 3" xfId="4369"/>
    <cellStyle name="Vírgula 3 4 3 3 2" xfId="6274"/>
    <cellStyle name="Vírgula 3 4 4" xfId="2247"/>
    <cellStyle name="Vírgula 3 4 4 2" xfId="3376"/>
    <cellStyle name="Vírgula 3 4 4 2 2" xfId="4706"/>
    <cellStyle name="Vírgula 3 4 4 2 3" xfId="5545"/>
    <cellStyle name="Vírgula 3 4 4 3" xfId="3851"/>
    <cellStyle name="Vírgula 3 4 4 3 2" xfId="6275"/>
    <cellStyle name="Vírgula 3 4 5" xfId="2248"/>
    <cellStyle name="Vírgula 3 4 5 2" xfId="3377"/>
    <cellStyle name="Vírgula 3 4 5 2 2" xfId="4707"/>
    <cellStyle name="Vírgula 3 4 5 2 3" xfId="5546"/>
    <cellStyle name="Vírgula 3 4 5 3" xfId="4108"/>
    <cellStyle name="Vírgula 3 4 5 3 2" xfId="6276"/>
    <cellStyle name="Vírgula 3 4 6" xfId="2249"/>
    <cellStyle name="Vírgula 3 4 6 2" xfId="3378"/>
    <cellStyle name="Vírgula 3 4 6 2 2" xfId="4708"/>
    <cellStyle name="Vírgula 3 4 6 2 3" xfId="5547"/>
    <cellStyle name="Vírgula 3 4 6 3" xfId="4478"/>
    <cellStyle name="Vírgula 3 4 6 3 2" xfId="6277"/>
    <cellStyle name="Vírgula 3 4 7" xfId="2250"/>
    <cellStyle name="Vírgula 3 4 7 2" xfId="3379"/>
    <cellStyle name="Vírgula 3 4 7 2 2" xfId="4709"/>
    <cellStyle name="Vírgula 3 4 7 2 3" xfId="5548"/>
    <cellStyle name="Vírgula 3 4 7 3" xfId="3846"/>
    <cellStyle name="Vírgula 3 4 7 3 2" xfId="6278"/>
    <cellStyle name="Vírgula 3 4 8" xfId="2251"/>
    <cellStyle name="Vírgula 3 4 8 2" xfId="3380"/>
    <cellStyle name="Vírgula 3 4 8 2 2" xfId="4710"/>
    <cellStyle name="Vírgula 3 4 8 2 3" xfId="5549"/>
    <cellStyle name="Vírgula 3 4 8 3" xfId="4377"/>
    <cellStyle name="Vírgula 3 4 8 3 2" xfId="6279"/>
    <cellStyle name="Vírgula 3 4 9" xfId="2252"/>
    <cellStyle name="Vírgula 3 4 9 2" xfId="3381"/>
    <cellStyle name="Vírgula 3 4 9 2 2" xfId="4711"/>
    <cellStyle name="Vírgula 3 4 9 2 3" xfId="5550"/>
    <cellStyle name="Vírgula 3 4 9 3" xfId="4441"/>
    <cellStyle name="Vírgula 3 4 9 3 2" xfId="6280"/>
    <cellStyle name="Vírgula 3 5" xfId="668"/>
    <cellStyle name="Vírgula 3 5 2" xfId="3102"/>
    <cellStyle name="Vírgula 3 5 2 2" xfId="4517"/>
    <cellStyle name="Vírgula 3 5 2 3" xfId="5271"/>
    <cellStyle name="Vírgula 3 5 3" xfId="4477"/>
    <cellStyle name="Vírgula 3 5 3 2" xfId="5986"/>
    <cellStyle name="Vírgula 3 6" xfId="2253"/>
    <cellStyle name="Vírgula 3 6 2" xfId="3382"/>
    <cellStyle name="Vírgula 3 6 2 2" xfId="4712"/>
    <cellStyle name="Vírgula 3 6 2 3" xfId="5551"/>
    <cellStyle name="Vírgula 3 6 3" xfId="4159"/>
    <cellStyle name="Vírgula 3 6 3 2" xfId="6281"/>
    <cellStyle name="Vírgula 3 6 4" xfId="10646"/>
    <cellStyle name="Vírgula 3 7" xfId="2254"/>
    <cellStyle name="Vírgula 3 7 2" xfId="3383"/>
    <cellStyle name="Vírgula 3 7 2 2" xfId="4713"/>
    <cellStyle name="Vírgula 3 7 2 3" xfId="5552"/>
    <cellStyle name="Vírgula 3 7 3" xfId="3853"/>
    <cellStyle name="Vírgula 3 7 3 2" xfId="6282"/>
    <cellStyle name="Vírgula 3 8" xfId="2255"/>
    <cellStyle name="Vírgula 3 8 2" xfId="3384"/>
    <cellStyle name="Vírgula 3 8 2 2" xfId="4714"/>
    <cellStyle name="Vírgula 3 8 2 3" xfId="5553"/>
    <cellStyle name="Vírgula 3 8 3" xfId="3767"/>
    <cellStyle name="Vírgula 3 8 3 2" xfId="6283"/>
    <cellStyle name="Vírgula 3 9" xfId="2256"/>
    <cellStyle name="Vírgula 3 9 2" xfId="3385"/>
    <cellStyle name="Vírgula 3 9 2 2" xfId="4715"/>
    <cellStyle name="Vírgula 3 9 2 3" xfId="5554"/>
    <cellStyle name="Vírgula 3 9 3" xfId="3779"/>
    <cellStyle name="Vírgula 3 9 3 2" xfId="6284"/>
    <cellStyle name="Vírgula 4" xfId="58"/>
    <cellStyle name="Vírgula 4 10" xfId="2257"/>
    <cellStyle name="Vírgula 4 10 2" xfId="3386"/>
    <cellStyle name="Vírgula 4 10 2 2" xfId="4716"/>
    <cellStyle name="Vírgula 4 10 2 3" xfId="5555"/>
    <cellStyle name="Vírgula 4 10 3" xfId="4355"/>
    <cellStyle name="Vírgula 4 10 3 2" xfId="6285"/>
    <cellStyle name="Vírgula 4 11" xfId="2258"/>
    <cellStyle name="Vírgula 4 11 2" xfId="3387"/>
    <cellStyle name="Vírgula 4 11 2 2" xfId="4717"/>
    <cellStyle name="Vírgula 4 11 2 3" xfId="5556"/>
    <cellStyle name="Vírgula 4 11 3" xfId="4336"/>
    <cellStyle name="Vírgula 4 11 3 2" xfId="6286"/>
    <cellStyle name="Vírgula 4 12" xfId="2259"/>
    <cellStyle name="Vírgula 4 12 2" xfId="3388"/>
    <cellStyle name="Vírgula 4 12 2 2" xfId="4718"/>
    <cellStyle name="Vírgula 4 12 2 3" xfId="5557"/>
    <cellStyle name="Vírgula 4 12 3" xfId="4255"/>
    <cellStyle name="Vírgula 4 12 3 2" xfId="6287"/>
    <cellStyle name="Vírgula 4 13" xfId="3030"/>
    <cellStyle name="Vírgula 4 13 2" xfId="3859"/>
    <cellStyle name="Vírgula 4 13 2 2" xfId="5880"/>
    <cellStyle name="Vírgula 4 13 3" xfId="5199"/>
    <cellStyle name="Vírgula 4 13 3 2" xfId="11196"/>
    <cellStyle name="Vírgula 4 13 3 3" xfId="11351"/>
    <cellStyle name="Vírgula 4 13 4" xfId="13561"/>
    <cellStyle name="Vírgula 4 14" xfId="8517"/>
    <cellStyle name="Vírgula 4 14 2" xfId="11379"/>
    <cellStyle name="Vírgula 4 14 3" xfId="11352"/>
    <cellStyle name="Vírgula 4 15" xfId="8518"/>
    <cellStyle name="Vírgula 4 16" xfId="8519"/>
    <cellStyle name="Vírgula 4 2" xfId="59"/>
    <cellStyle name="Vírgula 4 2 10" xfId="2260"/>
    <cellStyle name="Vírgula 4 2 10 2" xfId="3389"/>
    <cellStyle name="Vírgula 4 2 10 2 2" xfId="4719"/>
    <cellStyle name="Vírgula 4 2 10 2 3" xfId="5558"/>
    <cellStyle name="Vírgula 4 2 10 3" xfId="4020"/>
    <cellStyle name="Vírgula 4 2 10 3 2" xfId="6288"/>
    <cellStyle name="Vírgula 4 2 11" xfId="3031"/>
    <cellStyle name="Vírgula 4 2 11 2" xfId="4114"/>
    <cellStyle name="Vírgula 4 2 11 2 2" xfId="5881"/>
    <cellStyle name="Vírgula 4 2 11 3" xfId="5200"/>
    <cellStyle name="Vírgula 4 2 11 3 2" xfId="11135"/>
    <cellStyle name="Vírgula 4 2 11 3 3" xfId="11520"/>
    <cellStyle name="Vírgula 4 2 11 4" xfId="13562"/>
    <cellStyle name="Vírgula 4 2 12" xfId="8520"/>
    <cellStyle name="Vírgula 4 2 12 2" xfId="11974"/>
    <cellStyle name="Vírgula 4 2 12 3" xfId="11353"/>
    <cellStyle name="Vírgula 4 2 13" xfId="8521"/>
    <cellStyle name="Vírgula 4 2 14" xfId="8522"/>
    <cellStyle name="Vírgula 4 2 2" xfId="60"/>
    <cellStyle name="Vírgula 4 2 2 10" xfId="3032"/>
    <cellStyle name="Vírgula 4 2 2 10 2" xfId="4452"/>
    <cellStyle name="Vírgula 4 2 2 10 2 2" xfId="5882"/>
    <cellStyle name="Vírgula 4 2 2 10 3" xfId="5201"/>
    <cellStyle name="Vírgula 4 2 2 10 3 2" xfId="13008"/>
    <cellStyle name="Vírgula 4 2 2 10 3 3" xfId="11081"/>
    <cellStyle name="Vírgula 4 2 2 10 4" xfId="13563"/>
    <cellStyle name="Vírgula 4 2 2 11" xfId="8523"/>
    <cellStyle name="Vírgula 4 2 2 11 2" xfId="11141"/>
    <cellStyle name="Vírgula 4 2 2 11 3" xfId="11139"/>
    <cellStyle name="Vírgula 4 2 2 12" xfId="8524"/>
    <cellStyle name="Vírgula 4 2 2 13" xfId="8525"/>
    <cellStyle name="Vírgula 4 2 2 2" xfId="672"/>
    <cellStyle name="Vírgula 4 2 2 2 2" xfId="3106"/>
    <cellStyle name="Vírgula 4 2 2 2 2 2" xfId="4521"/>
    <cellStyle name="Vírgula 4 2 2 2 2 3" xfId="5275"/>
    <cellStyle name="Vírgula 4 2 2 2 3" xfId="3794"/>
    <cellStyle name="Vírgula 4 2 2 2 3 2" xfId="5990"/>
    <cellStyle name="Vírgula 4 2 2 3" xfId="2261"/>
    <cellStyle name="Vírgula 4 2 2 3 2" xfId="3390"/>
    <cellStyle name="Vírgula 4 2 2 3 2 2" xfId="4720"/>
    <cellStyle name="Vírgula 4 2 2 3 2 3" xfId="5559"/>
    <cellStyle name="Vírgula 4 2 2 3 3" xfId="4045"/>
    <cellStyle name="Vírgula 4 2 2 3 3 2" xfId="6289"/>
    <cellStyle name="Vírgula 4 2 2 4" xfId="2262"/>
    <cellStyle name="Vírgula 4 2 2 4 2" xfId="3391"/>
    <cellStyle name="Vírgula 4 2 2 4 2 2" xfId="4721"/>
    <cellStyle name="Vírgula 4 2 2 4 2 3" xfId="5560"/>
    <cellStyle name="Vírgula 4 2 2 4 3" xfId="3810"/>
    <cellStyle name="Vírgula 4 2 2 4 3 2" xfId="6290"/>
    <cellStyle name="Vírgula 4 2 2 5" xfId="2263"/>
    <cellStyle name="Vírgula 4 2 2 5 2" xfId="3392"/>
    <cellStyle name="Vírgula 4 2 2 5 2 2" xfId="4722"/>
    <cellStyle name="Vírgula 4 2 2 5 2 3" xfId="5561"/>
    <cellStyle name="Vírgula 4 2 2 5 3" xfId="3839"/>
    <cellStyle name="Vírgula 4 2 2 5 3 2" xfId="6291"/>
    <cellStyle name="Vírgula 4 2 2 6" xfId="2264"/>
    <cellStyle name="Vírgula 4 2 2 6 2" xfId="3393"/>
    <cellStyle name="Vírgula 4 2 2 6 2 2" xfId="4723"/>
    <cellStyle name="Vírgula 4 2 2 6 2 3" xfId="5562"/>
    <cellStyle name="Vírgula 4 2 2 6 3" xfId="3717"/>
    <cellStyle name="Vírgula 4 2 2 6 3 2" xfId="6292"/>
    <cellStyle name="Vírgula 4 2 2 7" xfId="2265"/>
    <cellStyle name="Vírgula 4 2 2 7 2" xfId="3394"/>
    <cellStyle name="Vírgula 4 2 2 7 2 2" xfId="4724"/>
    <cellStyle name="Vírgula 4 2 2 7 2 3" xfId="5563"/>
    <cellStyle name="Vírgula 4 2 2 7 3" xfId="4390"/>
    <cellStyle name="Vírgula 4 2 2 7 3 2" xfId="6293"/>
    <cellStyle name="Vírgula 4 2 2 8" xfId="2266"/>
    <cellStyle name="Vírgula 4 2 2 8 2" xfId="3395"/>
    <cellStyle name="Vírgula 4 2 2 8 2 2" xfId="4725"/>
    <cellStyle name="Vírgula 4 2 2 8 2 3" xfId="5564"/>
    <cellStyle name="Vírgula 4 2 2 8 3" xfId="4251"/>
    <cellStyle name="Vírgula 4 2 2 8 3 2" xfId="6294"/>
    <cellStyle name="Vírgula 4 2 2 9" xfId="2267"/>
    <cellStyle name="Vírgula 4 2 2 9 2" xfId="3396"/>
    <cellStyle name="Vírgula 4 2 2 9 2 2" xfId="4726"/>
    <cellStyle name="Vírgula 4 2 2 9 2 3" xfId="5565"/>
    <cellStyle name="Vírgula 4 2 2 9 3" xfId="4002"/>
    <cellStyle name="Vírgula 4 2 2 9 3 2" xfId="6295"/>
    <cellStyle name="Vírgula 4 2 3" xfId="671"/>
    <cellStyle name="Vírgula 4 2 3 2" xfId="3011"/>
    <cellStyle name="Vírgula 4 2 3 2 2" xfId="3686"/>
    <cellStyle name="Vírgula 4 2 3 2 2 2" xfId="4964"/>
    <cellStyle name="Vírgula 4 2 3 2 2 3" xfId="5855"/>
    <cellStyle name="Vírgula 4 2 3 2 3" xfId="4425"/>
    <cellStyle name="Vírgula 4 2 3 2 3 2" xfId="6869"/>
    <cellStyle name="Vírgula 4 2 3 2 4" xfId="5187"/>
    <cellStyle name="Vírgula 4 2 3 3" xfId="3105"/>
    <cellStyle name="Vírgula 4 2 3 3 2" xfId="4520"/>
    <cellStyle name="Vírgula 4 2 3 3 3" xfId="5274"/>
    <cellStyle name="Vírgula 4 2 3 4" xfId="3766"/>
    <cellStyle name="Vírgula 4 2 3 4 2" xfId="5989"/>
    <cellStyle name="Vírgula 4 2 4" xfId="2268"/>
    <cellStyle name="Vírgula 4 2 4 2" xfId="3397"/>
    <cellStyle name="Vírgula 4 2 4 2 2" xfId="4727"/>
    <cellStyle name="Vírgula 4 2 4 2 3" xfId="5566"/>
    <cellStyle name="Vírgula 4 2 4 3" xfId="4464"/>
    <cellStyle name="Vírgula 4 2 4 3 2" xfId="6296"/>
    <cellStyle name="Vírgula 4 2 5" xfId="2269"/>
    <cellStyle name="Vírgula 4 2 5 2" xfId="3398"/>
    <cellStyle name="Vírgula 4 2 5 2 2" xfId="4728"/>
    <cellStyle name="Vírgula 4 2 5 2 3" xfId="5567"/>
    <cellStyle name="Vírgula 4 2 5 3" xfId="3724"/>
    <cellStyle name="Vírgula 4 2 5 3 2" xfId="6297"/>
    <cellStyle name="Vírgula 4 2 6" xfId="2270"/>
    <cellStyle name="Vírgula 4 2 6 2" xfId="3399"/>
    <cellStyle name="Vírgula 4 2 6 2 2" xfId="4729"/>
    <cellStyle name="Vírgula 4 2 6 2 3" xfId="5568"/>
    <cellStyle name="Vírgula 4 2 6 3" xfId="3849"/>
    <cellStyle name="Vírgula 4 2 6 3 2" xfId="6298"/>
    <cellStyle name="Vírgula 4 2 7" xfId="2271"/>
    <cellStyle name="Vírgula 4 2 7 2" xfId="3400"/>
    <cellStyle name="Vírgula 4 2 7 2 2" xfId="4730"/>
    <cellStyle name="Vírgula 4 2 7 2 3" xfId="5569"/>
    <cellStyle name="Vírgula 4 2 7 3" xfId="3760"/>
    <cellStyle name="Vírgula 4 2 7 3 2" xfId="6299"/>
    <cellStyle name="Vírgula 4 2 8" xfId="2272"/>
    <cellStyle name="Vírgula 4 2 8 2" xfId="3401"/>
    <cellStyle name="Vírgula 4 2 8 2 2" xfId="4731"/>
    <cellStyle name="Vírgula 4 2 8 2 3" xfId="5570"/>
    <cellStyle name="Vírgula 4 2 8 3" xfId="4430"/>
    <cellStyle name="Vírgula 4 2 8 3 2" xfId="6300"/>
    <cellStyle name="Vírgula 4 2 9" xfId="2273"/>
    <cellStyle name="Vírgula 4 2 9 2" xfId="3402"/>
    <cellStyle name="Vírgula 4 2 9 2 2" xfId="4732"/>
    <cellStyle name="Vírgula 4 2 9 2 3" xfId="5571"/>
    <cellStyle name="Vírgula 4 2 9 3" xfId="4458"/>
    <cellStyle name="Vírgula 4 2 9 3 2" xfId="6301"/>
    <cellStyle name="Vírgula 4 3" xfId="61"/>
    <cellStyle name="Vírgula 4 3 10" xfId="3033"/>
    <cellStyle name="Vírgula 4 3 10 2" xfId="3777"/>
    <cellStyle name="Vírgula 4 3 10 2 2" xfId="5883"/>
    <cellStyle name="Vírgula 4 3 10 3" xfId="5202"/>
    <cellStyle name="Vírgula 4 3 10 3 2" xfId="13328"/>
    <cellStyle name="Vírgula 4 3 10 3 3" xfId="11761"/>
    <cellStyle name="Vírgula 4 3 10 4" xfId="13564"/>
    <cellStyle name="Vírgula 4 3 11" xfId="8526"/>
    <cellStyle name="Vírgula 4 3 11 2" xfId="12425"/>
    <cellStyle name="Vírgula 4 3 11 3" xfId="11598"/>
    <cellStyle name="Vírgula 4 3 12" xfId="8527"/>
    <cellStyle name="Vírgula 4 3 13" xfId="8528"/>
    <cellStyle name="Vírgula 4 3 2" xfId="696"/>
    <cellStyle name="Vírgula 4 3 2 2" xfId="3110"/>
    <cellStyle name="Vírgula 4 3 2 2 2" xfId="4525"/>
    <cellStyle name="Vírgula 4 3 2 2 3" xfId="5279"/>
    <cellStyle name="Vírgula 4 3 2 3" xfId="4245"/>
    <cellStyle name="Vírgula 4 3 2 3 2" xfId="5995"/>
    <cellStyle name="Vírgula 4 3 3" xfId="2275"/>
    <cellStyle name="Vírgula 4 3 3 2" xfId="3404"/>
    <cellStyle name="Vírgula 4 3 3 2 2" xfId="4734"/>
    <cellStyle name="Vírgula 4 3 3 2 3" xfId="5573"/>
    <cellStyle name="Vírgula 4 3 3 3" xfId="4207"/>
    <cellStyle name="Vírgula 4 3 3 3 2" xfId="6303"/>
    <cellStyle name="Vírgula 4 3 4" xfId="2276"/>
    <cellStyle name="Vírgula 4 3 4 2" xfId="3405"/>
    <cellStyle name="Vírgula 4 3 4 2 2" xfId="4735"/>
    <cellStyle name="Vírgula 4 3 4 2 3" xfId="5574"/>
    <cellStyle name="Vírgula 4 3 4 3" xfId="4012"/>
    <cellStyle name="Vírgula 4 3 4 3 2" xfId="6304"/>
    <cellStyle name="Vírgula 4 3 5" xfId="2277"/>
    <cellStyle name="Vírgula 4 3 5 2" xfId="3406"/>
    <cellStyle name="Vírgula 4 3 5 2 2" xfId="4736"/>
    <cellStyle name="Vírgula 4 3 5 2 3" xfId="5575"/>
    <cellStyle name="Vírgula 4 3 5 3" xfId="4439"/>
    <cellStyle name="Vírgula 4 3 5 3 2" xfId="6305"/>
    <cellStyle name="Vírgula 4 3 6" xfId="2278"/>
    <cellStyle name="Vírgula 4 3 6 2" xfId="3407"/>
    <cellStyle name="Vírgula 4 3 6 2 2" xfId="4737"/>
    <cellStyle name="Vírgula 4 3 6 2 3" xfId="5576"/>
    <cellStyle name="Vírgula 4 3 6 3" xfId="3973"/>
    <cellStyle name="Vírgula 4 3 6 3 2" xfId="6306"/>
    <cellStyle name="Vírgula 4 3 7" xfId="2279"/>
    <cellStyle name="Vírgula 4 3 7 2" xfId="3408"/>
    <cellStyle name="Vírgula 4 3 7 2 2" xfId="4738"/>
    <cellStyle name="Vírgula 4 3 7 2 3" xfId="5577"/>
    <cellStyle name="Vírgula 4 3 7 3" xfId="4389"/>
    <cellStyle name="Vírgula 4 3 7 3 2" xfId="6307"/>
    <cellStyle name="Vírgula 4 3 8" xfId="2280"/>
    <cellStyle name="Vírgula 4 3 8 2" xfId="3409"/>
    <cellStyle name="Vírgula 4 3 8 2 2" xfId="4739"/>
    <cellStyle name="Vírgula 4 3 8 2 3" xfId="5578"/>
    <cellStyle name="Vírgula 4 3 8 3" xfId="3759"/>
    <cellStyle name="Vírgula 4 3 8 3 2" xfId="6308"/>
    <cellStyle name="Vírgula 4 3 9" xfId="2281"/>
    <cellStyle name="Vírgula 4 3 9 2" xfId="3410"/>
    <cellStyle name="Vírgula 4 3 9 2 2" xfId="4740"/>
    <cellStyle name="Vírgula 4 3 9 2 3" xfId="5579"/>
    <cellStyle name="Vírgula 4 3 9 3" xfId="4053"/>
    <cellStyle name="Vírgula 4 3 9 3 2" xfId="6309"/>
    <cellStyle name="Vírgula 4 4" xfId="341"/>
    <cellStyle name="Vírgula 4 4 10" xfId="2283"/>
    <cellStyle name="Vírgula 4 4 10 2" xfId="3412"/>
    <cellStyle name="Vírgula 4 4 10 2 2" xfId="4742"/>
    <cellStyle name="Vírgula 4 4 10 2 3" xfId="5581"/>
    <cellStyle name="Vírgula 4 4 10 3" xfId="4028"/>
    <cellStyle name="Vírgula 4 4 10 3 2" xfId="6311"/>
    <cellStyle name="Vírgula 4 4 11" xfId="2284"/>
    <cellStyle name="Vírgula 4 4 11 2" xfId="3413"/>
    <cellStyle name="Vírgula 4 4 11 2 2" xfId="4743"/>
    <cellStyle name="Vírgula 4 4 11 2 3" xfId="5582"/>
    <cellStyle name="Vírgula 4 4 11 3" xfId="3730"/>
    <cellStyle name="Vírgula 4 4 11 3 2" xfId="6312"/>
    <cellStyle name="Vírgula 4 4 12" xfId="2282"/>
    <cellStyle name="Vírgula 4 4 12 2" xfId="3411"/>
    <cellStyle name="Vírgula 4 4 12 2 2" xfId="4741"/>
    <cellStyle name="Vírgula 4 4 12 2 3" xfId="5580"/>
    <cellStyle name="Vírgula 4 4 12 3" xfId="4215"/>
    <cellStyle name="Vírgula 4 4 12 3 2" xfId="6310"/>
    <cellStyle name="Vírgula 4 4 13" xfId="4157"/>
    <cellStyle name="Vírgula 4 4 13 2" xfId="5913"/>
    <cellStyle name="Vírgula 4 4 2" xfId="591"/>
    <cellStyle name="Vírgula 4 4 2 2" xfId="875"/>
    <cellStyle name="Vírgula 4 4 2 2 2" xfId="2286"/>
    <cellStyle name="Vírgula 4 4 2 2 2 2" xfId="3415"/>
    <cellStyle name="Vírgula 4 4 2 2 2 2 2" xfId="4745"/>
    <cellStyle name="Vírgula 4 4 2 2 2 2 3" xfId="5584"/>
    <cellStyle name="Vírgula 4 4 2 2 2 3" xfId="3783"/>
    <cellStyle name="Vírgula 4 4 2 2 2 3 2" xfId="6314"/>
    <cellStyle name="Vírgula 4 4 2 2 3" xfId="3160"/>
    <cellStyle name="Vírgula 4 4 2 2 3 2" xfId="3743"/>
    <cellStyle name="Vírgula 4 4 2 2 3 2 2" xfId="6560"/>
    <cellStyle name="Vírgula 4 4 2 2 3 3" xfId="5329"/>
    <cellStyle name="Vírgula 4 4 2 2 3 3 2" xfId="11493"/>
    <cellStyle name="Vírgula 4 4 2 2 3 3 3" xfId="11694"/>
    <cellStyle name="Vírgula 4 4 2 2 4" xfId="3909"/>
    <cellStyle name="Vírgula 4 4 2 2 4 2" xfId="6050"/>
    <cellStyle name="Vírgula 4 4 2 2 5" xfId="6745"/>
    <cellStyle name="Vírgula 4 4 2 2 6" xfId="5063"/>
    <cellStyle name="Vírgula 4 4 2 3" xfId="2287"/>
    <cellStyle name="Vírgula 4 4 2 3 2" xfId="3416"/>
    <cellStyle name="Vírgula 4 4 2 3 2 2" xfId="4746"/>
    <cellStyle name="Vírgula 4 4 2 3 2 3" xfId="5585"/>
    <cellStyle name="Vírgula 4 4 2 3 3" xfId="4003"/>
    <cellStyle name="Vírgula 4 4 2 3 3 2" xfId="6315"/>
    <cellStyle name="Vírgula 4 4 2 4" xfId="2288"/>
    <cellStyle name="Vírgula 4 4 2 4 2" xfId="3417"/>
    <cellStyle name="Vírgula 4 4 2 4 2 2" xfId="4747"/>
    <cellStyle name="Vírgula 4 4 2 4 2 3" xfId="5586"/>
    <cellStyle name="Vírgula 4 4 2 4 3" xfId="3788"/>
    <cellStyle name="Vírgula 4 4 2 4 3 2" xfId="6316"/>
    <cellStyle name="Vírgula 4 4 2 5" xfId="2285"/>
    <cellStyle name="Vírgula 4 4 2 5 2" xfId="3414"/>
    <cellStyle name="Vírgula 4 4 2 5 2 2" xfId="4744"/>
    <cellStyle name="Vírgula 4 4 2 5 2 3" xfId="5583"/>
    <cellStyle name="Vírgula 4 4 2 5 3" xfId="4417"/>
    <cellStyle name="Vírgula 4 4 2 5 3 2" xfId="6313"/>
    <cellStyle name="Vírgula 4 4 2 6" xfId="5936"/>
    <cellStyle name="Vírgula 4 4 2 6 2" xfId="11136"/>
    <cellStyle name="Vírgula 4 4 2 6 2 2" xfId="14952"/>
    <cellStyle name="Vírgula 4 4 2 6 2 3" xfId="13755"/>
    <cellStyle name="Vírgula 4 4 2 6 3" xfId="11863"/>
    <cellStyle name="Vírgula 4 4 2 6 4" xfId="11856"/>
    <cellStyle name="Vírgula 4 4 2 7" xfId="8529"/>
    <cellStyle name="Vírgula 4 4 2 7 2" xfId="11380"/>
    <cellStyle name="Vírgula 4 4 2 7 3" xfId="11764"/>
    <cellStyle name="Vírgula 4 4 2 8" xfId="8530"/>
    <cellStyle name="Vírgula 4 4 2 8 2" xfId="12961"/>
    <cellStyle name="Vírgula 4 4 2 8 3" xfId="11985"/>
    <cellStyle name="Vírgula 4 4 2 9" xfId="8531"/>
    <cellStyle name="Vírgula 4 4 2 9 2" xfId="11828"/>
    <cellStyle name="Vírgula 4 4 2 9 3" xfId="11597"/>
    <cellStyle name="Vírgula 4 4 3" xfId="876"/>
    <cellStyle name="Vírgula 4 4 3 2" xfId="2289"/>
    <cellStyle name="Vírgula 4 4 3 2 2" xfId="3418"/>
    <cellStyle name="Vírgula 4 4 3 2 2 2" xfId="4748"/>
    <cellStyle name="Vírgula 4 4 3 2 2 3" xfId="5587"/>
    <cellStyle name="Vírgula 4 4 3 2 2 3 2" xfId="11716"/>
    <cellStyle name="Vírgula 4 4 3 2 2 3 3" xfId="11602"/>
    <cellStyle name="Vírgula 4 4 3 2 2 4" xfId="12019"/>
    <cellStyle name="Vírgula 4 4 3 2 3" xfId="4414"/>
    <cellStyle name="Vírgula 4 4 3 2 3 2" xfId="6317"/>
    <cellStyle name="Vírgula 4 4 3 2 4" xfId="13515"/>
    <cellStyle name="Vírgula 4 4 3 3" xfId="3161"/>
    <cellStyle name="Vírgula 4 4 3 3 2" xfId="4116"/>
    <cellStyle name="Vírgula 4 4 3 3 2 2" xfId="6561"/>
    <cellStyle name="Vírgula 4 4 3 3 3" xfId="5330"/>
    <cellStyle name="Vírgula 4 4 3 3 3 2" xfId="12368"/>
    <cellStyle name="Vírgula 4 4 3 3 3 3" xfId="12361"/>
    <cellStyle name="Vírgula 4 4 3 3 4" xfId="13609"/>
    <cellStyle name="Vírgula 4 4 3 3 5" xfId="13410"/>
    <cellStyle name="Vírgula 4 4 3 4" xfId="3910"/>
    <cellStyle name="Vírgula 4 4 3 4 2" xfId="6051"/>
    <cellStyle name="Vírgula 4 4 3 5" xfId="6746"/>
    <cellStyle name="Vírgula 4 4 3 5 2" xfId="12867"/>
    <cellStyle name="Vírgula 4 4 3 5 3" xfId="11434"/>
    <cellStyle name="Vírgula 4 4 3 6" xfId="5064"/>
    <cellStyle name="Vírgula 4 4 4" xfId="2290"/>
    <cellStyle name="Vírgula 4 4 4 2" xfId="3419"/>
    <cellStyle name="Vírgula 4 4 4 2 2" xfId="4749"/>
    <cellStyle name="Vírgula 4 4 4 2 3" xfId="5588"/>
    <cellStyle name="Vírgula 4 4 4 3" xfId="4164"/>
    <cellStyle name="Vírgula 4 4 4 3 2" xfId="6318"/>
    <cellStyle name="Vírgula 4 4 5" xfId="2291"/>
    <cellStyle name="Vírgula 4 4 5 2" xfId="2292"/>
    <cellStyle name="Vírgula 4 4 5 2 2" xfId="3421"/>
    <cellStyle name="Vírgula 4 4 5 2 2 2" xfId="4751"/>
    <cellStyle name="Vírgula 4 4 5 2 2 3" xfId="5590"/>
    <cellStyle name="Vírgula 4 4 5 2 3" xfId="3805"/>
    <cellStyle name="Vírgula 4 4 5 2 3 2" xfId="6320"/>
    <cellStyle name="Vírgula 4 4 5 3" xfId="2293"/>
    <cellStyle name="Vírgula 4 4 5 3 2" xfId="3422"/>
    <cellStyle name="Vírgula 4 4 5 3 2 2" xfId="4752"/>
    <cellStyle name="Vírgula 4 4 5 3 2 3" xfId="5591"/>
    <cellStyle name="Vírgula 4 4 5 3 3" xfId="4208"/>
    <cellStyle name="Vírgula 4 4 5 3 3 2" xfId="6321"/>
    <cellStyle name="Vírgula 4 4 5 4" xfId="3420"/>
    <cellStyle name="Vírgula 4 4 5 4 2" xfId="4750"/>
    <cellStyle name="Vírgula 4 4 5 4 3" xfId="5589"/>
    <cellStyle name="Vírgula 4 4 5 4 3 2" xfId="11726"/>
    <cellStyle name="Vírgula 4 4 5 4 3 3" xfId="11106"/>
    <cellStyle name="Vírgula 4 4 5 5" xfId="4362"/>
    <cellStyle name="Vírgula 4 4 5 5 2" xfId="6319"/>
    <cellStyle name="Vírgula 4 4 5 6" xfId="13516"/>
    <cellStyle name="Vírgula 4 4 6" xfId="2294"/>
    <cellStyle name="Vírgula 4 4 6 2" xfId="3423"/>
    <cellStyle name="Vírgula 4 4 6 2 2" xfId="4753"/>
    <cellStyle name="Vírgula 4 4 6 2 3" xfId="5592"/>
    <cellStyle name="Vírgula 4 4 6 2 3 2" xfId="12577"/>
    <cellStyle name="Vírgula 4 4 6 2 3 3" xfId="11931"/>
    <cellStyle name="Vírgula 4 4 6 2 4" xfId="12953"/>
    <cellStyle name="Vírgula 4 4 6 3" xfId="4174"/>
    <cellStyle name="Vírgula 4 4 6 3 2" xfId="6322"/>
    <cellStyle name="Vírgula 4 4 6 4" xfId="13517"/>
    <cellStyle name="Vírgula 4 4 7" xfId="2295"/>
    <cellStyle name="Vírgula 4 4 7 2" xfId="3424"/>
    <cellStyle name="Vírgula 4 4 7 2 2" xfId="4754"/>
    <cellStyle name="Vírgula 4 4 7 2 3" xfId="5593"/>
    <cellStyle name="Vírgula 4 4 7 3" xfId="4085"/>
    <cellStyle name="Vírgula 4 4 7 3 2" xfId="6323"/>
    <cellStyle name="Vírgula 4 4 8" xfId="2296"/>
    <cellStyle name="Vírgula 4 4 8 2" xfId="3425"/>
    <cellStyle name="Vírgula 4 4 8 2 2" xfId="4755"/>
    <cellStyle name="Vírgula 4 4 8 2 3" xfId="5594"/>
    <cellStyle name="Vírgula 4 4 8 3" xfId="3707"/>
    <cellStyle name="Vírgula 4 4 8 3 2" xfId="6324"/>
    <cellStyle name="Vírgula 4 4 9" xfId="2297"/>
    <cellStyle name="Vírgula 4 4 9 2" xfId="3426"/>
    <cellStyle name="Vírgula 4 4 9 2 2" xfId="4756"/>
    <cellStyle name="Vírgula 4 4 9 2 3" xfId="5595"/>
    <cellStyle name="Vírgula 4 4 9 3" xfId="3699"/>
    <cellStyle name="Vírgula 4 4 9 3 2" xfId="6325"/>
    <cellStyle name="Vírgula 4 5" xfId="670"/>
    <cellStyle name="Vírgula 4 5 2" xfId="3104"/>
    <cellStyle name="Vírgula 4 5 2 2" xfId="4519"/>
    <cellStyle name="Vírgula 4 5 2 3" xfId="5273"/>
    <cellStyle name="Vírgula 4 5 3" xfId="4197"/>
    <cellStyle name="Vírgula 4 5 3 2" xfId="5988"/>
    <cellStyle name="Vírgula 4 6" xfId="2298"/>
    <cellStyle name="Vírgula 4 6 2" xfId="3427"/>
    <cellStyle name="Vírgula 4 6 2 2" xfId="4757"/>
    <cellStyle name="Vírgula 4 6 2 3" xfId="5596"/>
    <cellStyle name="Vírgula 4 6 3" xfId="4162"/>
    <cellStyle name="Vírgula 4 6 3 2" xfId="6326"/>
    <cellStyle name="Vírgula 4 7" xfId="2299"/>
    <cellStyle name="Vírgula 4 7 2" xfId="3428"/>
    <cellStyle name="Vírgula 4 7 2 2" xfId="4758"/>
    <cellStyle name="Vírgula 4 7 2 3" xfId="5597"/>
    <cellStyle name="Vírgula 4 7 3" xfId="3988"/>
    <cellStyle name="Vírgula 4 7 3 2" xfId="6327"/>
    <cellStyle name="Vírgula 4 8" xfId="2300"/>
    <cellStyle name="Vírgula 4 8 2" xfId="3429"/>
    <cellStyle name="Vírgula 4 8 2 2" xfId="4759"/>
    <cellStyle name="Vírgula 4 8 2 3" xfId="5598"/>
    <cellStyle name="Vírgula 4 8 3" xfId="4061"/>
    <cellStyle name="Vírgula 4 8 3 2" xfId="6328"/>
    <cellStyle name="Vírgula 4 9" xfId="2301"/>
    <cellStyle name="Vírgula 4 9 2" xfId="3430"/>
    <cellStyle name="Vírgula 4 9 2 2" xfId="4760"/>
    <cellStyle name="Vírgula 4 9 2 3" xfId="5599"/>
    <cellStyle name="Vírgula 4 9 3" xfId="4102"/>
    <cellStyle name="Vírgula 4 9 3 2" xfId="6329"/>
    <cellStyle name="Vírgula 5" xfId="62"/>
    <cellStyle name="Vírgula 5 10" xfId="2302"/>
    <cellStyle name="Vírgula 5 10 2" xfId="3431"/>
    <cellStyle name="Vírgula 5 10 2 2" xfId="4761"/>
    <cellStyle name="Vírgula 5 10 2 3" xfId="5600"/>
    <cellStyle name="Vírgula 5 10 3" xfId="4253"/>
    <cellStyle name="Vírgula 5 10 3 2" xfId="6330"/>
    <cellStyle name="Vírgula 5 11" xfId="4247"/>
    <cellStyle name="Vírgula 5 11 2" xfId="5884"/>
    <cellStyle name="Vírgula 5 11 3" xfId="11858"/>
    <cellStyle name="Vírgula 5 11 3 2" xfId="15103"/>
    <cellStyle name="Vírgula 5 11 3 3" xfId="13716"/>
    <cellStyle name="Vírgula 5 12" xfId="8532"/>
    <cellStyle name="Vírgula 5 12 2" xfId="11936"/>
    <cellStyle name="Vírgula 5 12 3" xfId="10988"/>
    <cellStyle name="Vírgula 5 13" xfId="8533"/>
    <cellStyle name="Vírgula 5 2" xfId="117"/>
    <cellStyle name="Vírgula 5 2 10" xfId="3039"/>
    <cellStyle name="Vírgula 5 2 10 2" xfId="4009"/>
    <cellStyle name="Vírgula 5 2 10 2 2" xfId="5897"/>
    <cellStyle name="Vírgula 5 2 10 3" xfId="5208"/>
    <cellStyle name="Vírgula 5 2 10 3 2" xfId="10921"/>
    <cellStyle name="Vírgula 5 2 10 3 3" xfId="11604"/>
    <cellStyle name="Vírgula 5 2 10 4" xfId="13569"/>
    <cellStyle name="Vírgula 5 2 11" xfId="8534"/>
    <cellStyle name="Vírgula 5 2 11 2" xfId="11278"/>
    <cellStyle name="Vírgula 5 2 11 3" xfId="10929"/>
    <cellStyle name="Vírgula 5 2 12" xfId="8535"/>
    <cellStyle name="Vírgula 5 2 13" xfId="8536"/>
    <cellStyle name="Vírgula 5 2 2" xfId="730"/>
    <cellStyle name="Vírgula 5 2 2 2" xfId="3115"/>
    <cellStyle name="Vírgula 5 2 2 2 2" xfId="4530"/>
    <cellStyle name="Vírgula 5 2 2 2 3" xfId="5284"/>
    <cellStyle name="Vírgula 5 2 2 2 4" xfId="9608"/>
    <cellStyle name="Vírgula 5 2 2 3" xfId="4383"/>
    <cellStyle name="Vírgula 5 2 2 3 2" xfId="6000"/>
    <cellStyle name="Vírgula 5 2 3" xfId="2304"/>
    <cellStyle name="Vírgula 5 2 3 2" xfId="3433"/>
    <cellStyle name="Vírgula 5 2 3 2 2" xfId="4763"/>
    <cellStyle name="Vírgula 5 2 3 2 3" xfId="5602"/>
    <cellStyle name="Vírgula 5 2 3 3" xfId="4372"/>
    <cellStyle name="Vírgula 5 2 3 3 2" xfId="6332"/>
    <cellStyle name="Vírgula 5 2 4" xfId="2305"/>
    <cellStyle name="Vírgula 5 2 4 2" xfId="3434"/>
    <cellStyle name="Vírgula 5 2 4 2 2" xfId="4764"/>
    <cellStyle name="Vírgula 5 2 4 2 3" xfId="5603"/>
    <cellStyle name="Vírgula 5 2 4 3" xfId="4438"/>
    <cellStyle name="Vírgula 5 2 4 3 2" xfId="6333"/>
    <cellStyle name="Vírgula 5 2 5" xfId="2306"/>
    <cellStyle name="Vírgula 5 2 5 2" xfId="3435"/>
    <cellStyle name="Vírgula 5 2 5 2 2" xfId="4765"/>
    <cellStyle name="Vírgula 5 2 5 2 3" xfId="5604"/>
    <cellStyle name="Vírgula 5 2 5 3" xfId="4127"/>
    <cellStyle name="Vírgula 5 2 5 3 2" xfId="6334"/>
    <cellStyle name="Vírgula 5 2 6" xfId="2307"/>
    <cellStyle name="Vírgula 5 2 6 2" xfId="3436"/>
    <cellStyle name="Vírgula 5 2 6 2 2" xfId="4766"/>
    <cellStyle name="Vírgula 5 2 6 2 3" xfId="5605"/>
    <cellStyle name="Vírgula 5 2 6 3" xfId="4309"/>
    <cellStyle name="Vírgula 5 2 6 3 2" xfId="6335"/>
    <cellStyle name="Vírgula 5 2 7" xfId="2308"/>
    <cellStyle name="Vírgula 5 2 7 2" xfId="3437"/>
    <cellStyle name="Vírgula 5 2 7 2 2" xfId="4767"/>
    <cellStyle name="Vírgula 5 2 7 2 3" xfId="5606"/>
    <cellStyle name="Vírgula 5 2 7 3" xfId="4165"/>
    <cellStyle name="Vírgula 5 2 7 3 2" xfId="6336"/>
    <cellStyle name="Vírgula 5 2 8" xfId="2309"/>
    <cellStyle name="Vírgula 5 2 8 2" xfId="3438"/>
    <cellStyle name="Vírgula 5 2 8 2 2" xfId="4768"/>
    <cellStyle name="Vírgula 5 2 8 2 3" xfId="5607"/>
    <cellStyle name="Vírgula 5 2 8 3" xfId="4052"/>
    <cellStyle name="Vírgula 5 2 8 3 2" xfId="6337"/>
    <cellStyle name="Vírgula 5 2 9" xfId="2310"/>
    <cellStyle name="Vírgula 5 2 9 2" xfId="3439"/>
    <cellStyle name="Vírgula 5 2 9 2 2" xfId="4769"/>
    <cellStyle name="Vírgula 5 2 9 2 3" xfId="5608"/>
    <cellStyle name="Vírgula 5 2 9 3" xfId="4241"/>
    <cellStyle name="Vírgula 5 2 9 3 2" xfId="6338"/>
    <cellStyle name="Vírgula 5 3" xfId="673"/>
    <cellStyle name="Vírgula 5 3 2" xfId="3012"/>
    <cellStyle name="Vírgula 5 3 2 2" xfId="3687"/>
    <cellStyle name="Vírgula 5 3 2 2 2" xfId="4965"/>
    <cellStyle name="Vírgula 5 3 2 2 3" xfId="5856"/>
    <cellStyle name="Vírgula 5 3 2 3" xfId="4426"/>
    <cellStyle name="Vírgula 5 3 2 3 2" xfId="6870"/>
    <cellStyle name="Vírgula 5 3 2 4" xfId="5188"/>
    <cellStyle name="Vírgula 5 3 3" xfId="5991"/>
    <cellStyle name="Vírgula 5 3 3 2" xfId="8537"/>
    <cellStyle name="Vírgula 5 3 4" xfId="8538"/>
    <cellStyle name="Vírgula 5 4" xfId="2311"/>
    <cellStyle name="Vírgula 5 4 2" xfId="3440"/>
    <cellStyle name="Vírgula 5 4 2 2" xfId="4770"/>
    <cellStyle name="Vírgula 5 4 2 3" xfId="5609"/>
    <cellStyle name="Vírgula 5 4 3" xfId="3963"/>
    <cellStyle name="Vírgula 5 4 3 2" xfId="6339"/>
    <cellStyle name="Vírgula 5 5" xfId="2312"/>
    <cellStyle name="Vírgula 5 5 2" xfId="3441"/>
    <cellStyle name="Vírgula 5 5 2 2" xfId="4771"/>
    <cellStyle name="Vírgula 5 5 2 3" xfId="5610"/>
    <cellStyle name="Vírgula 5 5 3" xfId="4173"/>
    <cellStyle name="Vírgula 5 5 3 2" xfId="6340"/>
    <cellStyle name="Vírgula 5 6" xfId="2313"/>
    <cellStyle name="Vírgula 5 6 2" xfId="3442"/>
    <cellStyle name="Vírgula 5 6 2 2" xfId="4772"/>
    <cellStyle name="Vírgula 5 6 2 3" xfId="5611"/>
    <cellStyle name="Vírgula 5 6 3" xfId="4122"/>
    <cellStyle name="Vírgula 5 6 3 2" xfId="6341"/>
    <cellStyle name="Vírgula 5 7" xfId="2314"/>
    <cellStyle name="Vírgula 5 7 2" xfId="3443"/>
    <cellStyle name="Vírgula 5 7 2 2" xfId="4773"/>
    <cellStyle name="Vírgula 5 7 2 3" xfId="5612"/>
    <cellStyle name="Vírgula 5 7 3" xfId="4352"/>
    <cellStyle name="Vírgula 5 7 3 2" xfId="6342"/>
    <cellStyle name="Vírgula 5 8" xfId="2315"/>
    <cellStyle name="Vírgula 5 8 2" xfId="3444"/>
    <cellStyle name="Vírgula 5 8 2 2" xfId="4774"/>
    <cellStyle name="Vírgula 5 8 2 3" xfId="5613"/>
    <cellStyle name="Vírgula 5 8 3" xfId="3718"/>
    <cellStyle name="Vírgula 5 8 3 2" xfId="6343"/>
    <cellStyle name="Vírgula 5 9" xfId="2316"/>
    <cellStyle name="Vírgula 5 9 2" xfId="3445"/>
    <cellStyle name="Vírgula 5 9 2 2" xfId="4775"/>
    <cellStyle name="Vírgula 5 9 2 3" xfId="5614"/>
    <cellStyle name="Vírgula 5 9 3" xfId="3857"/>
    <cellStyle name="Vírgula 5 9 3 2" xfId="6344"/>
    <cellStyle name="Vírgula 6" xfId="67"/>
    <cellStyle name="Vírgula 6 10" xfId="2317"/>
    <cellStyle name="Vírgula 6 10 2" xfId="3446"/>
    <cellStyle name="Vírgula 6 10 2 2" xfId="4776"/>
    <cellStyle name="Vírgula 6 10 2 3" xfId="5615"/>
    <cellStyle name="Vírgula 6 10 3" xfId="4472"/>
    <cellStyle name="Vírgula 6 10 3 2" xfId="6345"/>
    <cellStyle name="Vírgula 6 11" xfId="2318"/>
    <cellStyle name="Vírgula 6 11 2" xfId="3447"/>
    <cellStyle name="Vírgula 6 11 2 2" xfId="4777"/>
    <cellStyle name="Vírgula 6 11 2 3" xfId="5616"/>
    <cellStyle name="Vírgula 6 11 3" xfId="3721"/>
    <cellStyle name="Vírgula 6 11 3 2" xfId="6346"/>
    <cellStyle name="Vírgula 6 12" xfId="3710"/>
    <cellStyle name="Vírgula 6 12 2" xfId="5885"/>
    <cellStyle name="Vírgula 6 12 2 2" xfId="12491"/>
    <cellStyle name="Vírgula 6 12 2 3" xfId="11134"/>
    <cellStyle name="Vírgula 6 2" xfId="118"/>
    <cellStyle name="Vírgula 6 2 10" xfId="3013"/>
    <cellStyle name="Vírgula 6 2 10 2" xfId="3688"/>
    <cellStyle name="Vírgula 6 2 10 2 2" xfId="4966"/>
    <cellStyle name="Vírgula 6 2 10 2 3" xfId="5857"/>
    <cellStyle name="Vírgula 6 2 10 2 3 2" xfId="11822"/>
    <cellStyle name="Vírgula 6 2 10 2 3 3" xfId="11629"/>
    <cellStyle name="Vírgula 6 2 10 3" xfId="4427"/>
    <cellStyle name="Vírgula 6 2 10 3 2" xfId="5898"/>
    <cellStyle name="Vírgula 6 2 10 4" xfId="4064"/>
    <cellStyle name="Vírgula 6 2 10 4 2" xfId="6871"/>
    <cellStyle name="Vírgula 6 2 10 5" xfId="5189"/>
    <cellStyle name="Vírgula 6 2 10 6" xfId="13549"/>
    <cellStyle name="Vírgula 6 2 11" xfId="3040"/>
    <cellStyle name="Vírgula 6 2 11 2" xfId="4492"/>
    <cellStyle name="Vírgula 6 2 11 3" xfId="5209"/>
    <cellStyle name="Vírgula 6 2 11 3 2" xfId="11258"/>
    <cellStyle name="Vírgula 6 2 11 3 3" xfId="11743"/>
    <cellStyle name="Vírgula 6 2 11 4" xfId="13570"/>
    <cellStyle name="Vírgula 6 2 12" xfId="8539"/>
    <cellStyle name="Vírgula 6 2 13" xfId="8540"/>
    <cellStyle name="Vírgula 6 2 2" xfId="731"/>
    <cellStyle name="Vírgula 6 2 2 2" xfId="3116"/>
    <cellStyle name="Vírgula 6 2 2 2 2" xfId="4531"/>
    <cellStyle name="Vírgula 6 2 2 2 2 2" xfId="11195"/>
    <cellStyle name="Vírgula 6 2 2 2 3" xfId="5285"/>
    <cellStyle name="Vírgula 6 2 2 2 3 2" xfId="11166"/>
    <cellStyle name="Vírgula 6 2 2 2 3 3" xfId="12902"/>
    <cellStyle name="Vírgula 6 2 2 2 4" xfId="9715"/>
    <cellStyle name="Vírgula 6 2 2 2 4 2" xfId="14895"/>
    <cellStyle name="Vírgula 6 2 2 2 4 3" xfId="13599"/>
    <cellStyle name="Vírgula 6 2 2 3" xfId="4471"/>
    <cellStyle name="Vírgula 6 2 2 3 2" xfId="6001"/>
    <cellStyle name="Vírgula 6 2 2 4" xfId="8541"/>
    <cellStyle name="Vírgula 6 2 3" xfId="2320"/>
    <cellStyle name="Vírgula 6 2 3 2" xfId="3449"/>
    <cellStyle name="Vírgula 6 2 3 2 2" xfId="4779"/>
    <cellStyle name="Vírgula 6 2 3 2 3" xfId="5618"/>
    <cellStyle name="Vírgula 6 2 3 3" xfId="4429"/>
    <cellStyle name="Vírgula 6 2 3 3 2" xfId="6348"/>
    <cellStyle name="Vírgula 6 2 4" xfId="2321"/>
    <cellStyle name="Vírgula 6 2 4 2" xfId="3450"/>
    <cellStyle name="Vírgula 6 2 4 2 2" xfId="4780"/>
    <cellStyle name="Vírgula 6 2 4 2 2 2" xfId="12409"/>
    <cellStyle name="Vírgula 6 2 4 2 3" xfId="5619"/>
    <cellStyle name="Vírgula 6 2 4 2 3 2" xfId="11607"/>
    <cellStyle name="Vírgula 6 2 4 2 3 3" xfId="11149"/>
    <cellStyle name="Vírgula 6 2 4 2 4" xfId="13630"/>
    <cellStyle name="Vírgula 6 2 4 3" xfId="4135"/>
    <cellStyle name="Vírgula 6 2 4 3 2" xfId="6349"/>
    <cellStyle name="Vírgula 6 2 4 4" xfId="8542"/>
    <cellStyle name="Vírgula 6 2 5" xfId="2322"/>
    <cellStyle name="Vírgula 6 2 5 2" xfId="3451"/>
    <cellStyle name="Vírgula 6 2 5 2 2" xfId="4781"/>
    <cellStyle name="Vírgula 6 2 5 2 3" xfId="5620"/>
    <cellStyle name="Vírgula 6 2 5 3" xfId="4387"/>
    <cellStyle name="Vírgula 6 2 5 3 2" xfId="6350"/>
    <cellStyle name="Vírgula 6 2 6" xfId="2323"/>
    <cellStyle name="Vírgula 6 2 6 2" xfId="3452"/>
    <cellStyle name="Vírgula 6 2 6 2 2" xfId="4782"/>
    <cellStyle name="Vírgula 6 2 6 2 3" xfId="5621"/>
    <cellStyle name="Vírgula 6 2 6 3" xfId="4480"/>
    <cellStyle name="Vírgula 6 2 6 3 2" xfId="6351"/>
    <cellStyle name="Vírgula 6 2 7" xfId="2324"/>
    <cellStyle name="Vírgula 6 2 7 2" xfId="3453"/>
    <cellStyle name="Vírgula 6 2 7 2 2" xfId="4783"/>
    <cellStyle name="Vírgula 6 2 7 2 3" xfId="5622"/>
    <cellStyle name="Vírgula 6 2 7 3" xfId="4093"/>
    <cellStyle name="Vírgula 6 2 7 3 2" xfId="6352"/>
    <cellStyle name="Vírgula 6 2 8" xfId="2325"/>
    <cellStyle name="Vírgula 6 2 8 2" xfId="3454"/>
    <cellStyle name="Vírgula 6 2 8 2 2" xfId="4784"/>
    <cellStyle name="Vírgula 6 2 8 2 3" xfId="5623"/>
    <cellStyle name="Vírgula 6 2 8 3" xfId="3870"/>
    <cellStyle name="Vírgula 6 2 8 3 2" xfId="6353"/>
    <cellStyle name="Vírgula 6 2 9" xfId="2326"/>
    <cellStyle name="Vírgula 6 2 9 2" xfId="3455"/>
    <cellStyle name="Vírgula 6 2 9 2 2" xfId="4785"/>
    <cellStyle name="Vírgula 6 2 9 2 3" xfId="5624"/>
    <cellStyle name="Vírgula 6 2 9 3" xfId="4238"/>
    <cellStyle name="Vírgula 6 2 9 3 2" xfId="6354"/>
    <cellStyle name="Vírgula 6 3" xfId="119"/>
    <cellStyle name="Vírgula 6 3 10" xfId="877"/>
    <cellStyle name="Vírgula 6 3 10 2" xfId="2328"/>
    <cellStyle name="Vírgula 6 3 10 2 2" xfId="2876"/>
    <cellStyle name="Vírgula 6 3 10 2 2 2" xfId="3653"/>
    <cellStyle name="Vírgula 6 3 10 2 2 2 2" xfId="4931"/>
    <cellStyle name="Vírgula 6 3 10 2 2 2 3" xfId="5822"/>
    <cellStyle name="Vírgula 6 3 10 2 3" xfId="2797"/>
    <cellStyle name="Vírgula 6 3 10 2 3 2" xfId="3625"/>
    <cellStyle name="Vírgula 6 3 10 2 3 2 2" xfId="4903"/>
    <cellStyle name="Vírgula 6 3 10 2 3 2 3" xfId="5794"/>
    <cellStyle name="Vírgula 6 3 10 2 4" xfId="2654"/>
    <cellStyle name="Vírgula 6 3 10 2 4 2" xfId="3609"/>
    <cellStyle name="Vírgula 6 3 10 2 4 2 2" xfId="4887"/>
    <cellStyle name="Vírgula 6 3 10 2 4 2 3" xfId="5778"/>
    <cellStyle name="Vírgula 6 3 10 2 5" xfId="2587"/>
    <cellStyle name="Vírgula 6 3 10 2 5 2" xfId="3593"/>
    <cellStyle name="Vírgula 6 3 10 2 5 2 2" xfId="4871"/>
    <cellStyle name="Vírgula 6 3 10 2 5 2 3" xfId="5762"/>
    <cellStyle name="Vírgula 6 3 10 2 6" xfId="3457"/>
    <cellStyle name="Vírgula 6 3 10 2 6 2" xfId="4787"/>
    <cellStyle name="Vírgula 6 3 10 2 6 3" xfId="5626"/>
    <cellStyle name="Vírgula 6 3 10 2 7" xfId="3728"/>
    <cellStyle name="Vírgula 6 3 10 2 7 2" xfId="6356"/>
    <cellStyle name="Vírgula 6 3 10 3" xfId="2160"/>
    <cellStyle name="Vírgula 6 3 10 3 2" xfId="3289"/>
    <cellStyle name="Vírgula 6 3 10 3 2 2" xfId="4625"/>
    <cellStyle name="Vírgula 6 3 10 3 2 3" xfId="5458"/>
    <cellStyle name="Vírgula 6 3 10 3 3" xfId="4411"/>
    <cellStyle name="Vírgula 6 3 10 3 3 2" xfId="6188"/>
    <cellStyle name="Vírgula 6 3 10 4" xfId="3162"/>
    <cellStyle name="Vírgula 6 3 10 4 2" xfId="3801"/>
    <cellStyle name="Vírgula 6 3 10 4 2 2" xfId="6562"/>
    <cellStyle name="Vírgula 6 3 10 4 3" xfId="5331"/>
    <cellStyle name="Vírgula 6 3 10 5" xfId="3911"/>
    <cellStyle name="Vírgula 6 3 10 5 2" xfId="6052"/>
    <cellStyle name="Vírgula 6 3 10 6" xfId="6747"/>
    <cellStyle name="Vírgula 6 3 10 7" xfId="5065"/>
    <cellStyle name="Vírgula 6 3 11" xfId="2329"/>
    <cellStyle name="Vírgula 6 3 11 2" xfId="2161"/>
    <cellStyle name="Vírgula 6 3 11 2 2" xfId="3290"/>
    <cellStyle name="Vírgula 6 3 11 2 2 2" xfId="4626"/>
    <cellStyle name="Vírgula 6 3 11 2 2 3" xfId="5459"/>
    <cellStyle name="Vírgula 6 3 11 2 3" xfId="4092"/>
    <cellStyle name="Vírgula 6 3 11 2 3 2" xfId="6189"/>
    <cellStyle name="Vírgula 6 3 11 3" xfId="2798"/>
    <cellStyle name="Vírgula 6 3 11 3 2" xfId="3626"/>
    <cellStyle name="Vírgula 6 3 11 3 2 2" xfId="4904"/>
    <cellStyle name="Vírgula 6 3 11 3 2 3" xfId="5795"/>
    <cellStyle name="Vírgula 6 3 11 4" xfId="3458"/>
    <cellStyle name="Vírgula 6 3 11 4 2" xfId="4788"/>
    <cellStyle name="Vírgula 6 3 11 4 3" xfId="5627"/>
    <cellStyle name="Vírgula 6 3 11 5" xfId="4319"/>
    <cellStyle name="Vírgula 6 3 11 5 2" xfId="6357"/>
    <cellStyle name="Vírgula 6 3 12" xfId="2327"/>
    <cellStyle name="Vírgula 6 3 12 2" xfId="2875"/>
    <cellStyle name="Vírgula 6 3 12 2 2" xfId="3652"/>
    <cellStyle name="Vírgula 6 3 12 2 2 2" xfId="4930"/>
    <cellStyle name="Vírgula 6 3 12 2 2 3" xfId="5821"/>
    <cellStyle name="Vírgula 6 3 12 3" xfId="2796"/>
    <cellStyle name="Vírgula 6 3 12 3 2" xfId="3624"/>
    <cellStyle name="Vírgula 6 3 12 3 2 2" xfId="4902"/>
    <cellStyle name="Vírgula 6 3 12 3 2 3" xfId="5793"/>
    <cellStyle name="Vírgula 6 3 12 4" xfId="2653"/>
    <cellStyle name="Vírgula 6 3 12 4 2" xfId="3608"/>
    <cellStyle name="Vírgula 6 3 12 4 2 2" xfId="4886"/>
    <cellStyle name="Vírgula 6 3 12 4 2 3" xfId="5777"/>
    <cellStyle name="Vírgula 6 3 12 5" xfId="2586"/>
    <cellStyle name="Vírgula 6 3 12 5 2" xfId="3592"/>
    <cellStyle name="Vírgula 6 3 12 5 2 2" xfId="4870"/>
    <cellStyle name="Vírgula 6 3 12 5 2 3" xfId="5761"/>
    <cellStyle name="Vírgula 6 3 12 6" xfId="3456"/>
    <cellStyle name="Vírgula 6 3 12 6 2" xfId="4786"/>
    <cellStyle name="Vírgula 6 3 12 6 3" xfId="5625"/>
    <cellStyle name="Vírgula 6 3 12 7" xfId="4394"/>
    <cellStyle name="Vírgula 6 3 12 7 2" xfId="6355"/>
    <cellStyle name="Vírgula 6 3 13" xfId="5899"/>
    <cellStyle name="Vírgula 6 3 2" xfId="120"/>
    <cellStyle name="Vírgula 6 3 2 10" xfId="3041"/>
    <cellStyle name="Vírgula 6 3 2 10 2" xfId="4493"/>
    <cellStyle name="Vírgula 6 3 2 10 3" xfId="5210"/>
    <cellStyle name="Vírgula 6 3 2 10 3 2" xfId="13099"/>
    <cellStyle name="Vírgula 6 3 2 10 3 3" xfId="11465"/>
    <cellStyle name="Vírgula 6 3 2 10 4" xfId="13571"/>
    <cellStyle name="Vírgula 6 3 2 11" xfId="3876"/>
    <cellStyle name="Vírgula 6 3 2 11 2" xfId="5900"/>
    <cellStyle name="Vírgula 6 3 2 11 2 2" xfId="11687"/>
    <cellStyle name="Vírgula 6 3 2 11 2 3" xfId="12452"/>
    <cellStyle name="Vírgula 6 3 2 11 3" xfId="13687"/>
    <cellStyle name="Vírgula 6 3 2 12" xfId="8543"/>
    <cellStyle name="Vírgula 6 3 2 13" xfId="8544"/>
    <cellStyle name="Vírgula 6 3 2 2" xfId="732"/>
    <cellStyle name="Vírgula 6 3 2 2 2" xfId="3117"/>
    <cellStyle name="Vírgula 6 3 2 2 2 2" xfId="4532"/>
    <cellStyle name="Vírgula 6 3 2 2 2 3" xfId="5286"/>
    <cellStyle name="Vírgula 6 3 2 2 3" xfId="3705"/>
    <cellStyle name="Vírgula 6 3 2 2 3 2" xfId="6002"/>
    <cellStyle name="Vírgula 6 3 2 3" xfId="2330"/>
    <cellStyle name="Vírgula 6 3 2 3 2" xfId="3459"/>
    <cellStyle name="Vírgula 6 3 2 3 2 2" xfId="4789"/>
    <cellStyle name="Vírgula 6 3 2 3 2 3" xfId="5628"/>
    <cellStyle name="Vírgula 6 3 2 3 3" xfId="4183"/>
    <cellStyle name="Vírgula 6 3 2 3 3 2" xfId="6358"/>
    <cellStyle name="Vírgula 6 3 2 4" xfId="2331"/>
    <cellStyle name="Vírgula 6 3 2 4 2" xfId="3460"/>
    <cellStyle name="Vírgula 6 3 2 4 2 2" xfId="4790"/>
    <cellStyle name="Vírgula 6 3 2 4 2 3" xfId="5629"/>
    <cellStyle name="Vírgula 6 3 2 4 3" xfId="3793"/>
    <cellStyle name="Vírgula 6 3 2 4 3 2" xfId="6359"/>
    <cellStyle name="Vírgula 6 3 2 5" xfId="2332"/>
    <cellStyle name="Vírgula 6 3 2 5 2" xfId="3461"/>
    <cellStyle name="Vírgula 6 3 2 5 2 2" xfId="4791"/>
    <cellStyle name="Vírgula 6 3 2 5 2 3" xfId="5630"/>
    <cellStyle name="Vírgula 6 3 2 5 3" xfId="4232"/>
    <cellStyle name="Vírgula 6 3 2 5 3 2" xfId="6360"/>
    <cellStyle name="Vírgula 6 3 2 6" xfId="2333"/>
    <cellStyle name="Vírgula 6 3 2 6 2" xfId="3462"/>
    <cellStyle name="Vírgula 6 3 2 6 2 2" xfId="4792"/>
    <cellStyle name="Vírgula 6 3 2 6 2 3" xfId="5631"/>
    <cellStyle name="Vírgula 6 3 2 6 3" xfId="3984"/>
    <cellStyle name="Vírgula 6 3 2 6 3 2" xfId="6361"/>
    <cellStyle name="Vírgula 6 3 2 7" xfId="2334"/>
    <cellStyle name="Vírgula 6 3 2 7 2" xfId="3463"/>
    <cellStyle name="Vírgula 6 3 2 7 2 2" xfId="4793"/>
    <cellStyle name="Vírgula 6 3 2 7 2 3" xfId="5632"/>
    <cellStyle name="Vírgula 6 3 2 7 3" xfId="4166"/>
    <cellStyle name="Vírgula 6 3 2 7 3 2" xfId="6362"/>
    <cellStyle name="Vírgula 6 3 2 8" xfId="2335"/>
    <cellStyle name="Vírgula 6 3 2 8 2" xfId="3464"/>
    <cellStyle name="Vírgula 6 3 2 8 2 2" xfId="4794"/>
    <cellStyle name="Vírgula 6 3 2 8 2 3" xfId="5633"/>
    <cellStyle name="Vírgula 6 3 2 8 3" xfId="4132"/>
    <cellStyle name="Vírgula 6 3 2 8 3 2" xfId="6363"/>
    <cellStyle name="Vírgula 6 3 2 9" xfId="2336"/>
    <cellStyle name="Vírgula 6 3 2 9 2" xfId="3465"/>
    <cellStyle name="Vírgula 6 3 2 9 2 2" xfId="4795"/>
    <cellStyle name="Vírgula 6 3 2 9 2 3" xfId="5634"/>
    <cellStyle name="Vírgula 6 3 2 9 3" xfId="3722"/>
    <cellStyle name="Vírgula 6 3 2 9 3 2" xfId="6364"/>
    <cellStyle name="Vírgula 6 3 3" xfId="452"/>
    <cellStyle name="Vírgula 6 3 3 10" xfId="8545"/>
    <cellStyle name="Vírgula 6 3 3 11" xfId="8546"/>
    <cellStyle name="Vírgula 6 3 3 2" xfId="592"/>
    <cellStyle name="Vírgula 6 3 3 2 10" xfId="8547"/>
    <cellStyle name="Vírgula 6 3 3 2 2" xfId="828"/>
    <cellStyle name="Vírgula 6 3 3 2 2 2" xfId="3124"/>
    <cellStyle name="Vírgula 6 3 3 2 2 2 2" xfId="4539"/>
    <cellStyle name="Vírgula 6 3 3 2 2 2 3" xfId="5293"/>
    <cellStyle name="Vírgula 6 3 3 2 2 3" xfId="4225"/>
    <cellStyle name="Vírgula 6 3 3 2 2 3 2" xfId="6010"/>
    <cellStyle name="Vírgula 6 3 3 2 3" xfId="3061"/>
    <cellStyle name="Vírgula 6 3 3 2 3 2" xfId="4499"/>
    <cellStyle name="Vírgula 6 3 3 2 3 3" xfId="5230"/>
    <cellStyle name="Vírgula 6 3 3 2 3 3 2" xfId="11200"/>
    <cellStyle name="Vírgula 6 3 3 2 3 3 3" xfId="12453"/>
    <cellStyle name="Vírgula 6 3 3 2 3 4" xfId="13583"/>
    <cellStyle name="Vírgula 6 3 3 2 4" xfId="3847"/>
    <cellStyle name="Vírgula 6 3 3 2 4 2" xfId="5937"/>
    <cellStyle name="Vírgula 6 3 3 2 4 2 2" xfId="11688"/>
    <cellStyle name="Vírgula 6 3 3 2 4 2 3" xfId="12454"/>
    <cellStyle name="Vírgula 6 3 3 2 4 3" xfId="13682"/>
    <cellStyle name="Vírgula 6 3 3 2 5" xfId="8548"/>
    <cellStyle name="Vírgula 6 3 3 2 5 2" xfId="11191"/>
    <cellStyle name="Vírgula 6 3 3 2 5 3" xfId="13325"/>
    <cellStyle name="Vírgula 6 3 3 2 6" xfId="8549"/>
    <cellStyle name="Vírgula 6 3 3 2 6 2" xfId="12015"/>
    <cellStyle name="Vírgula 6 3 3 2 6 3" xfId="12455"/>
    <cellStyle name="Vírgula 6 3 3 2 7" xfId="8550"/>
    <cellStyle name="Vírgula 6 3 3 2 7 2" xfId="11283"/>
    <cellStyle name="Vírgula 6 3 3 2 7 3" xfId="13263"/>
    <cellStyle name="Vírgula 6 3 3 2 8" xfId="8551"/>
    <cellStyle name="Vírgula 6 3 3 2 8 2" xfId="11142"/>
    <cellStyle name="Vírgula 6 3 3 2 8 3" xfId="12456"/>
    <cellStyle name="Vírgula 6 3 3 2 9" xfId="8552"/>
    <cellStyle name="Vírgula 6 3 3 3" xfId="797"/>
    <cellStyle name="Vírgula 6 3 3 3 2" xfId="2338"/>
    <cellStyle name="Vírgula 6 3 3 3 2 2" xfId="2878"/>
    <cellStyle name="Vírgula 6 3 3 3 2 2 2" xfId="3655"/>
    <cellStyle name="Vírgula 6 3 3 3 2 2 2 2" xfId="4933"/>
    <cellStyle name="Vírgula 6 3 3 3 2 2 2 3" xfId="5824"/>
    <cellStyle name="Vírgula 6 3 3 3 2 3" xfId="2800"/>
    <cellStyle name="Vírgula 6 3 3 3 2 3 2" xfId="3628"/>
    <cellStyle name="Vírgula 6 3 3 3 2 3 2 2" xfId="4906"/>
    <cellStyle name="Vírgula 6 3 3 3 2 3 2 3" xfId="5797"/>
    <cellStyle name="Vírgula 6 3 3 3 2 4" xfId="2656"/>
    <cellStyle name="Vírgula 6 3 3 3 2 4 2" xfId="3611"/>
    <cellStyle name="Vírgula 6 3 3 3 2 4 2 2" xfId="4889"/>
    <cellStyle name="Vírgula 6 3 3 3 2 4 2 3" xfId="5780"/>
    <cellStyle name="Vírgula 6 3 3 3 2 5" xfId="2589"/>
    <cellStyle name="Vírgula 6 3 3 3 2 5 2" xfId="3595"/>
    <cellStyle name="Vírgula 6 3 3 3 2 5 2 2" xfId="4873"/>
    <cellStyle name="Vírgula 6 3 3 3 2 5 2 3" xfId="5764"/>
    <cellStyle name="Vírgula 6 3 3 3 2 6" xfId="3467"/>
    <cellStyle name="Vírgula 6 3 3 3 2 6 2" xfId="4797"/>
    <cellStyle name="Vírgula 6 3 3 3 2 6 3" xfId="5636"/>
    <cellStyle name="Vírgula 6 3 3 3 2 7" xfId="3762"/>
    <cellStyle name="Vírgula 6 3 3 3 2 7 2" xfId="6366"/>
    <cellStyle name="Vírgula 6 3 3 3 3" xfId="3121"/>
    <cellStyle name="Vírgula 6 3 3 3 3 2" xfId="4536"/>
    <cellStyle name="Vírgula 6 3 3 3 3 3" xfId="5290"/>
    <cellStyle name="Vírgula 6 3 3 3 4" xfId="4182"/>
    <cellStyle name="Vírgula 6 3 3 3 4 2" xfId="6007"/>
    <cellStyle name="Vírgula 6 3 3 4" xfId="2339"/>
    <cellStyle name="Vírgula 6 3 3 4 2" xfId="2166"/>
    <cellStyle name="Vírgula 6 3 3 4 2 2" xfId="3295"/>
    <cellStyle name="Vírgula 6 3 3 4 2 2 2" xfId="4628"/>
    <cellStyle name="Vírgula 6 3 3 4 2 2 3" xfId="5464"/>
    <cellStyle name="Vírgula 6 3 3 4 2 3" xfId="4460"/>
    <cellStyle name="Vírgula 6 3 3 4 2 3 2" xfId="6194"/>
    <cellStyle name="Vírgula 6 3 3 4 3" xfId="2801"/>
    <cellStyle name="Vírgula 6 3 3 4 3 2" xfId="3629"/>
    <cellStyle name="Vírgula 6 3 3 4 3 2 2" xfId="4907"/>
    <cellStyle name="Vírgula 6 3 3 4 3 2 3" xfId="5798"/>
    <cellStyle name="Vírgula 6 3 3 4 3 2 3 2" xfId="11720"/>
    <cellStyle name="Vírgula 6 3 3 4 3 2 3 3" xfId="11900"/>
    <cellStyle name="Vírgula 6 3 3 4 3 3" xfId="8553"/>
    <cellStyle name="Vírgula 6 3 3 4 4" xfId="3468"/>
    <cellStyle name="Vírgula 6 3 3 4 4 2" xfId="4798"/>
    <cellStyle name="Vírgula 6 3 3 4 4 3" xfId="5637"/>
    <cellStyle name="Vírgula 6 3 3 4 5" xfId="4136"/>
    <cellStyle name="Vírgula 6 3 3 4 5 2" xfId="6367"/>
    <cellStyle name="Vírgula 6 3 3 5" xfId="2337"/>
    <cellStyle name="Vírgula 6 3 3 5 2" xfId="2877"/>
    <cellStyle name="Vírgula 6 3 3 5 2 2" xfId="3654"/>
    <cellStyle name="Vírgula 6 3 3 5 2 2 2" xfId="4932"/>
    <cellStyle name="Vírgula 6 3 3 5 2 2 3" xfId="5823"/>
    <cellStyle name="Vírgula 6 3 3 5 2 2 3 2" xfId="11124"/>
    <cellStyle name="Vírgula 6 3 3 5 2 2 3 3" xfId="10973"/>
    <cellStyle name="Vírgula 6 3 3 5 2 3" xfId="8554"/>
    <cellStyle name="Vírgula 6 3 3 5 3" xfId="2799"/>
    <cellStyle name="Vírgula 6 3 3 5 3 2" xfId="3627"/>
    <cellStyle name="Vírgula 6 3 3 5 3 2 2" xfId="4905"/>
    <cellStyle name="Vírgula 6 3 3 5 3 2 3" xfId="5796"/>
    <cellStyle name="Vírgula 6 3 3 5 4" xfId="2655"/>
    <cellStyle name="Vírgula 6 3 3 5 4 2" xfId="3610"/>
    <cellStyle name="Vírgula 6 3 3 5 4 2 2" xfId="4888"/>
    <cellStyle name="Vírgula 6 3 3 5 4 2 3" xfId="5779"/>
    <cellStyle name="Vírgula 6 3 3 5 5" xfId="2588"/>
    <cellStyle name="Vírgula 6 3 3 5 5 2" xfId="3594"/>
    <cellStyle name="Vírgula 6 3 3 5 5 2 2" xfId="4872"/>
    <cellStyle name="Vírgula 6 3 3 5 5 2 3" xfId="5763"/>
    <cellStyle name="Vírgula 6 3 3 5 6" xfId="3466"/>
    <cellStyle name="Vírgula 6 3 3 5 6 2" xfId="4796"/>
    <cellStyle name="Vírgula 6 3 3 5 6 3" xfId="5635"/>
    <cellStyle name="Vírgula 6 3 3 5 7" xfId="4447"/>
    <cellStyle name="Vírgula 6 3 3 5 7 2" xfId="6365"/>
    <cellStyle name="Vírgula 6 3 3 6" xfId="3051"/>
    <cellStyle name="Vírgula 6 3 3 6 2" xfId="4496"/>
    <cellStyle name="Vírgula 6 3 3 6 3" xfId="5220"/>
    <cellStyle name="Vírgula 6 3 3 6 3 2" xfId="10963"/>
    <cellStyle name="Vírgula 6 3 3 6 3 3" xfId="13106"/>
    <cellStyle name="Vírgula 6 3 3 6 4" xfId="13579"/>
    <cellStyle name="Vírgula 6 3 3 7" xfId="4358"/>
    <cellStyle name="Vírgula 6 3 3 7 2" xfId="5918"/>
    <cellStyle name="Vírgula 6 3 3 7 2 2" xfId="11984"/>
    <cellStyle name="Vírgula 6 3 3 7 2 3" xfId="12457"/>
    <cellStyle name="Vírgula 6 3 3 7 3" xfId="13718"/>
    <cellStyle name="Vírgula 6 3 3 8" xfId="8555"/>
    <cellStyle name="Vírgula 6 3 3 8 2" xfId="11823"/>
    <cellStyle name="Vírgula 6 3 3 8 3" xfId="11042"/>
    <cellStyle name="Vírgula 6 3 3 9" xfId="8556"/>
    <cellStyle name="Vírgula 6 3 3 9 2" xfId="11256"/>
    <cellStyle name="Vírgula 6 3 3 9 3" xfId="10933"/>
    <cellStyle name="Vírgula 6 3 4" xfId="453"/>
    <cellStyle name="Vírgula 6 3 4 10" xfId="8557"/>
    <cellStyle name="Vírgula 6 3 4 11" xfId="8558"/>
    <cellStyle name="Vírgula 6 3 4 2" xfId="593"/>
    <cellStyle name="Vírgula 6 3 4 2 10" xfId="8559"/>
    <cellStyle name="Vírgula 6 3 4 2 2" xfId="829"/>
    <cellStyle name="Vírgula 6 3 4 2 2 2" xfId="3125"/>
    <cellStyle name="Vírgula 6 3 4 2 2 2 2" xfId="4540"/>
    <cellStyle name="Vírgula 6 3 4 2 2 2 3" xfId="5294"/>
    <cellStyle name="Vírgula 6 3 4 2 2 3" xfId="4318"/>
    <cellStyle name="Vírgula 6 3 4 2 2 3 2" xfId="6011"/>
    <cellStyle name="Vírgula 6 3 4 2 3" xfId="3062"/>
    <cellStyle name="Vírgula 6 3 4 2 3 2" xfId="4500"/>
    <cellStyle name="Vírgula 6 3 4 2 3 3" xfId="5231"/>
    <cellStyle name="Vírgula 6 3 4 2 3 3 2" xfId="11199"/>
    <cellStyle name="Vírgula 6 3 4 2 3 3 3" xfId="11111"/>
    <cellStyle name="Vírgula 6 3 4 2 3 4" xfId="13584"/>
    <cellStyle name="Vírgula 6 3 4 2 4" xfId="3977"/>
    <cellStyle name="Vírgula 6 3 4 2 4 2" xfId="5938"/>
    <cellStyle name="Vírgula 6 3 4 2 4 2 2" xfId="11937"/>
    <cellStyle name="Vírgula 6 3 4 2 4 2 3" xfId="11354"/>
    <cellStyle name="Vírgula 6 3 4 2 4 3" xfId="13695"/>
    <cellStyle name="Vírgula 6 3 4 2 5" xfId="8560"/>
    <cellStyle name="Vírgula 6 3 4 2 5 2" xfId="12413"/>
    <cellStyle name="Vírgula 6 3 4 2 5 3" xfId="12458"/>
    <cellStyle name="Vírgula 6 3 4 2 6" xfId="8561"/>
    <cellStyle name="Vírgula 6 3 4 2 6 2" xfId="11924"/>
    <cellStyle name="Vírgula 6 3 4 2 6 3" xfId="11739"/>
    <cellStyle name="Vírgula 6 3 4 2 7" xfId="8562"/>
    <cellStyle name="Vírgula 6 3 4 2 7 2" xfId="12958"/>
    <cellStyle name="Vírgula 6 3 4 2 7 3" xfId="11126"/>
    <cellStyle name="Vírgula 6 3 4 2 8" xfId="8563"/>
    <cellStyle name="Vírgula 6 3 4 2 8 2" xfId="11615"/>
    <cellStyle name="Vírgula 6 3 4 2 8 3" xfId="11173"/>
    <cellStyle name="Vírgula 6 3 4 2 9" xfId="8564"/>
    <cellStyle name="Vírgula 6 3 4 3" xfId="798"/>
    <cellStyle name="Vírgula 6 3 4 3 2" xfId="3122"/>
    <cellStyle name="Vírgula 6 3 4 3 2 2" xfId="4537"/>
    <cellStyle name="Vírgula 6 3 4 3 2 3" xfId="5291"/>
    <cellStyle name="Vírgula 6 3 4 3 3" xfId="4029"/>
    <cellStyle name="Vírgula 6 3 4 3 3 2" xfId="6008"/>
    <cellStyle name="Vírgula 6 3 4 4" xfId="3052"/>
    <cellStyle name="Vírgula 6 3 4 4 2" xfId="4497"/>
    <cellStyle name="Vírgula 6 3 4 4 3" xfId="5221"/>
    <cellStyle name="Vírgula 6 3 4 4 3 2" xfId="11197"/>
    <cellStyle name="Vírgula 6 3 4 4 3 3" xfId="11355"/>
    <cellStyle name="Vírgula 6 3 4 4 4" xfId="13580"/>
    <cellStyle name="Vírgula 6 3 4 5" xfId="3959"/>
    <cellStyle name="Vírgula 6 3 4 5 2" xfId="5919"/>
    <cellStyle name="Vírgula 6 3 4 5 2 2" xfId="11406"/>
    <cellStyle name="Vírgula 6 3 4 5 2 3" xfId="11356"/>
    <cellStyle name="Vírgula 6 3 4 5 3" xfId="13693"/>
    <cellStyle name="Vírgula 6 3 4 6" xfId="8565"/>
    <cellStyle name="Vírgula 6 3 4 6 2" xfId="11682"/>
    <cellStyle name="Vírgula 6 3 4 6 3" xfId="11691"/>
    <cellStyle name="Vírgula 6 3 4 7" xfId="8566"/>
    <cellStyle name="Vírgula 6 3 4 7 2" xfId="13309"/>
    <cellStyle name="Vírgula 6 3 4 7 3" xfId="11857"/>
    <cellStyle name="Vírgula 6 3 4 8" xfId="8567"/>
    <cellStyle name="Vírgula 6 3 4 8 2" xfId="11996"/>
    <cellStyle name="Vírgula 6 3 4 8 3" xfId="11115"/>
    <cellStyle name="Vírgula 6 3 4 9" xfId="8568"/>
    <cellStyle name="Vírgula 6 3 4 9 2" xfId="13248"/>
    <cellStyle name="Vírgula 6 3 4 9 3" xfId="11723"/>
    <cellStyle name="Vírgula 6 3 5" xfId="594"/>
    <cellStyle name="Vírgula 6 3 5 2" xfId="595"/>
    <cellStyle name="Vírgula 6 3 5 2 10" xfId="8569"/>
    <cellStyle name="Vírgula 6 3 5 2 2" xfId="830"/>
    <cellStyle name="Vírgula 6 3 5 2 2 2" xfId="3126"/>
    <cellStyle name="Vírgula 6 3 5 2 2 2 2" xfId="4541"/>
    <cellStyle name="Vírgula 6 3 5 2 2 2 3" xfId="5295"/>
    <cellStyle name="Vírgula 6 3 5 2 2 3" xfId="3769"/>
    <cellStyle name="Vírgula 6 3 5 2 2 3 2" xfId="6012"/>
    <cellStyle name="Vírgula 6 3 5 2 3" xfId="3063"/>
    <cellStyle name="Vírgula 6 3 5 2 3 2" xfId="4501"/>
    <cellStyle name="Vírgula 6 3 5 2 3 3" xfId="5232"/>
    <cellStyle name="Vírgula 6 3 5 2 3 3 2" xfId="12383"/>
    <cellStyle name="Vírgula 6 3 5 2 3 3 3" xfId="11635"/>
    <cellStyle name="Vírgula 6 3 5 2 3 4" xfId="13585"/>
    <cellStyle name="Vírgula 6 3 5 2 4" xfId="4148"/>
    <cellStyle name="Vírgula 6 3 5 2 4 2" xfId="5940"/>
    <cellStyle name="Vírgula 6 3 5 2 4 2 2" xfId="11408"/>
    <cellStyle name="Vírgula 6 3 5 2 4 2 3" xfId="12559"/>
    <cellStyle name="Vírgula 6 3 5 2 4 3" xfId="13709"/>
    <cellStyle name="Vírgula 6 3 5 2 5" xfId="8570"/>
    <cellStyle name="Vírgula 6 3 5 2 5 2" xfId="11870"/>
    <cellStyle name="Vírgula 6 3 5 2 5 3" xfId="11941"/>
    <cellStyle name="Vírgula 6 3 5 2 6" xfId="8571"/>
    <cellStyle name="Vírgula 6 3 5 2 6 2" xfId="11381"/>
    <cellStyle name="Vírgula 6 3 5 2 6 3" xfId="11929"/>
    <cellStyle name="Vírgula 6 3 5 2 7" xfId="8572"/>
    <cellStyle name="Vírgula 6 3 5 2 7 2" xfId="11698"/>
    <cellStyle name="Vírgula 6 3 5 2 7 3" xfId="11555"/>
    <cellStyle name="Vírgula 6 3 5 2 8" xfId="8573"/>
    <cellStyle name="Vírgula 6 3 5 2 8 2" xfId="10962"/>
    <cellStyle name="Vírgula 6 3 5 2 8 3" xfId="10981"/>
    <cellStyle name="Vírgula 6 3 5 2 9" xfId="8574"/>
    <cellStyle name="Vírgula 6 3 5 3" xfId="878"/>
    <cellStyle name="Vírgula 6 3 5 3 2" xfId="3163"/>
    <cellStyle name="Vírgula 6 3 5 3 2 2" xfId="4449"/>
    <cellStyle name="Vírgula 6 3 5 3 2 2 2" xfId="6563"/>
    <cellStyle name="Vírgula 6 3 5 3 2 3" xfId="5332"/>
    <cellStyle name="Vírgula 6 3 5 3 2 3 2" xfId="11619"/>
    <cellStyle name="Vírgula 6 3 5 3 2 3 3" xfId="10990"/>
    <cellStyle name="Vírgula 6 3 5 3 2 4" xfId="13610"/>
    <cellStyle name="Vírgula 6 3 5 3 3" xfId="3912"/>
    <cellStyle name="Vírgula 6 3 5 3 3 2" xfId="6053"/>
    <cellStyle name="Vírgula 6 3 5 3 3 2 2" xfId="11833"/>
    <cellStyle name="Vírgula 6 3 5 3 3 2 3" xfId="11260"/>
    <cellStyle name="Vírgula 6 3 5 3 3 3" xfId="13657"/>
    <cellStyle name="Vírgula 6 3 5 3 4" xfId="6748"/>
    <cellStyle name="Vírgula 6 3 5 3 5" xfId="5066"/>
    <cellStyle name="Vírgula 6 3 5 4" xfId="2340"/>
    <cellStyle name="Vírgula 6 3 5 4 2" xfId="2879"/>
    <cellStyle name="Vírgula 6 3 5 4 2 2" xfId="3656"/>
    <cellStyle name="Vírgula 6 3 5 4 2 2 2" xfId="4934"/>
    <cellStyle name="Vírgula 6 3 5 4 2 2 3" xfId="5825"/>
    <cellStyle name="Vírgula 6 3 5 4 3" xfId="2802"/>
    <cellStyle name="Vírgula 6 3 5 4 3 2" xfId="3630"/>
    <cellStyle name="Vírgula 6 3 5 4 3 2 2" xfId="4908"/>
    <cellStyle name="Vírgula 6 3 5 4 3 2 3" xfId="5799"/>
    <cellStyle name="Vírgula 6 3 5 4 4" xfId="2657"/>
    <cellStyle name="Vírgula 6 3 5 4 4 2" xfId="3612"/>
    <cellStyle name="Vírgula 6 3 5 4 4 2 2" xfId="4890"/>
    <cellStyle name="Vírgula 6 3 5 4 4 2 3" xfId="5781"/>
    <cellStyle name="Vírgula 6 3 5 4 5" xfId="2590"/>
    <cellStyle name="Vírgula 6 3 5 4 5 2" xfId="3596"/>
    <cellStyle name="Vírgula 6 3 5 4 5 2 2" xfId="4874"/>
    <cellStyle name="Vírgula 6 3 5 4 5 2 3" xfId="5765"/>
    <cellStyle name="Vírgula 6 3 5 4 6" xfId="3469"/>
    <cellStyle name="Vírgula 6 3 5 4 6 2" xfId="4799"/>
    <cellStyle name="Vírgula 6 3 5 4 6 3" xfId="5638"/>
    <cellStyle name="Vírgula 6 3 5 4 7" xfId="4330"/>
    <cellStyle name="Vírgula 6 3 5 4 7 2" xfId="6368"/>
    <cellStyle name="Vírgula 6 3 5 5" xfId="5939"/>
    <cellStyle name="Vírgula 6 3 6" xfId="596"/>
    <cellStyle name="Vírgula 6 3 6 10" xfId="8575"/>
    <cellStyle name="Vírgula 6 3 6 11" xfId="8576"/>
    <cellStyle name="Vírgula 6 3 6 2" xfId="597"/>
    <cellStyle name="Vírgula 6 3 6 2 10" xfId="8577"/>
    <cellStyle name="Vírgula 6 3 6 2 2" xfId="832"/>
    <cellStyle name="Vírgula 6 3 6 2 2 2" xfId="3128"/>
    <cellStyle name="Vírgula 6 3 6 2 2 2 2" xfId="4543"/>
    <cellStyle name="Vírgula 6 3 6 2 2 2 3" xfId="5297"/>
    <cellStyle name="Vírgula 6 3 6 2 2 3" xfId="3799"/>
    <cellStyle name="Vírgula 6 3 6 2 2 3 2" xfId="6014"/>
    <cellStyle name="Vírgula 6 3 6 2 3" xfId="3065"/>
    <cellStyle name="Vírgula 6 3 6 2 3 2" xfId="4503"/>
    <cellStyle name="Vírgula 6 3 6 2 3 3" xfId="5234"/>
    <cellStyle name="Vírgula 6 3 6 2 3 3 2" xfId="11171"/>
    <cellStyle name="Vírgula 6 3 6 2 3 3 3" xfId="11861"/>
    <cellStyle name="Vírgula 6 3 6 2 3 4" xfId="13587"/>
    <cellStyle name="Vírgula 6 3 6 2 4" xfId="4222"/>
    <cellStyle name="Vírgula 6 3 6 2 4 2" xfId="5942"/>
    <cellStyle name="Vírgula 6 3 6 2 4 2 2" xfId="13093"/>
    <cellStyle name="Vírgula 6 3 6 2 4 2 3" xfId="11760"/>
    <cellStyle name="Vírgula 6 3 6 2 4 3" xfId="13714"/>
    <cellStyle name="Vírgula 6 3 6 2 5" xfId="8578"/>
    <cellStyle name="Vírgula 6 3 6 2 5 2" xfId="11710"/>
    <cellStyle name="Vírgula 6 3 6 2 5 3" xfId="12560"/>
    <cellStyle name="Vírgula 6 3 6 2 6" xfId="8579"/>
    <cellStyle name="Vírgula 6 3 6 2 6 2" xfId="11946"/>
    <cellStyle name="Vírgula 6 3 6 2 6 3" xfId="11889"/>
    <cellStyle name="Vírgula 6 3 6 2 7" xfId="8580"/>
    <cellStyle name="Vírgula 6 3 6 2 7 2" xfId="12032"/>
    <cellStyle name="Vírgula 6 3 6 2 7 3" xfId="11454"/>
    <cellStyle name="Vírgula 6 3 6 2 8" xfId="8581"/>
    <cellStyle name="Vírgula 6 3 6 2 8 2" xfId="11955"/>
    <cellStyle name="Vírgula 6 3 6 2 8 3" xfId="13083"/>
    <cellStyle name="Vírgula 6 3 6 2 9" xfId="8582"/>
    <cellStyle name="Vírgula 6 3 6 3" xfId="831"/>
    <cellStyle name="Vírgula 6 3 6 3 2" xfId="2342"/>
    <cellStyle name="Vírgula 6 3 6 3 2 2" xfId="2881"/>
    <cellStyle name="Vírgula 6 3 6 3 2 2 2" xfId="3658"/>
    <cellStyle name="Vírgula 6 3 6 3 2 2 2 2" xfId="4936"/>
    <cellStyle name="Vírgula 6 3 6 3 2 2 2 3" xfId="5827"/>
    <cellStyle name="Vírgula 6 3 6 3 2 3" xfId="2804"/>
    <cellStyle name="Vírgula 6 3 6 3 2 3 2" xfId="3632"/>
    <cellStyle name="Vírgula 6 3 6 3 2 3 2 2" xfId="4910"/>
    <cellStyle name="Vírgula 6 3 6 3 2 3 2 3" xfId="5801"/>
    <cellStyle name="Vírgula 6 3 6 3 2 4" xfId="2659"/>
    <cellStyle name="Vírgula 6 3 6 3 2 4 2" xfId="3614"/>
    <cellStyle name="Vírgula 6 3 6 3 2 4 2 2" xfId="4892"/>
    <cellStyle name="Vírgula 6 3 6 3 2 4 2 3" xfId="5783"/>
    <cellStyle name="Vírgula 6 3 6 3 2 5" xfId="2592"/>
    <cellStyle name="Vírgula 6 3 6 3 2 5 2" xfId="3598"/>
    <cellStyle name="Vírgula 6 3 6 3 2 5 2 2" xfId="4876"/>
    <cellStyle name="Vírgula 6 3 6 3 2 5 2 3" xfId="5767"/>
    <cellStyle name="Vírgula 6 3 6 3 2 6" xfId="3471"/>
    <cellStyle name="Vírgula 6 3 6 3 2 6 2" xfId="4801"/>
    <cellStyle name="Vírgula 6 3 6 3 2 6 3" xfId="5640"/>
    <cellStyle name="Vírgula 6 3 6 3 2 7" xfId="4360"/>
    <cellStyle name="Vírgula 6 3 6 3 2 7 2" xfId="6370"/>
    <cellStyle name="Vírgula 6 3 6 3 3" xfId="3127"/>
    <cellStyle name="Vírgula 6 3 6 3 3 2" xfId="4542"/>
    <cellStyle name="Vírgula 6 3 6 3 3 3" xfId="5296"/>
    <cellStyle name="Vírgula 6 3 6 3 4" xfId="4035"/>
    <cellStyle name="Vírgula 6 3 6 3 4 2" xfId="6013"/>
    <cellStyle name="Vírgula 6 3 6 4" xfId="2343"/>
    <cellStyle name="Vírgula 6 3 6 4 2" xfId="2178"/>
    <cellStyle name="Vírgula 6 3 6 4 2 2" xfId="3307"/>
    <cellStyle name="Vírgula 6 3 6 4 2 2 2" xfId="4637"/>
    <cellStyle name="Vírgula 6 3 6 4 2 2 3" xfId="5476"/>
    <cellStyle name="Vírgula 6 3 6 4 2 3" xfId="4239"/>
    <cellStyle name="Vírgula 6 3 6 4 2 3 2" xfId="6206"/>
    <cellStyle name="Vírgula 6 3 6 4 3" xfId="2805"/>
    <cellStyle name="Vírgula 6 3 6 4 3 2" xfId="3633"/>
    <cellStyle name="Vírgula 6 3 6 4 3 2 2" xfId="4911"/>
    <cellStyle name="Vírgula 6 3 6 4 3 2 3" xfId="5802"/>
    <cellStyle name="Vírgula 6 3 6 4 3 2 3 2" xfId="10916"/>
    <cellStyle name="Vírgula 6 3 6 4 3 2 3 3" xfId="11194"/>
    <cellStyle name="Vírgula 6 3 6 4 3 3" xfId="8583"/>
    <cellStyle name="Vírgula 6 3 6 4 4" xfId="3472"/>
    <cellStyle name="Vírgula 6 3 6 4 4 2" xfId="4802"/>
    <cellStyle name="Vírgula 6 3 6 4 4 3" xfId="5641"/>
    <cellStyle name="Vírgula 6 3 6 4 5" xfId="4163"/>
    <cellStyle name="Vírgula 6 3 6 4 5 2" xfId="6371"/>
    <cellStyle name="Vírgula 6 3 6 5" xfId="2341"/>
    <cellStyle name="Vírgula 6 3 6 5 2" xfId="2880"/>
    <cellStyle name="Vírgula 6 3 6 5 2 2" xfId="3657"/>
    <cellStyle name="Vírgula 6 3 6 5 2 2 2" xfId="4935"/>
    <cellStyle name="Vírgula 6 3 6 5 2 2 3" xfId="5826"/>
    <cellStyle name="Vírgula 6 3 6 5 2 2 3 2" xfId="11737"/>
    <cellStyle name="Vírgula 6 3 6 5 2 2 3 3" xfId="11122"/>
    <cellStyle name="Vírgula 6 3 6 5 2 3" xfId="8584"/>
    <cellStyle name="Vírgula 6 3 6 5 3" xfId="2803"/>
    <cellStyle name="Vírgula 6 3 6 5 3 2" xfId="3631"/>
    <cellStyle name="Vírgula 6 3 6 5 3 2 2" xfId="4909"/>
    <cellStyle name="Vírgula 6 3 6 5 3 2 3" xfId="5800"/>
    <cellStyle name="Vírgula 6 3 6 5 4" xfId="2658"/>
    <cellStyle name="Vírgula 6 3 6 5 4 2" xfId="3613"/>
    <cellStyle name="Vírgula 6 3 6 5 4 2 2" xfId="4891"/>
    <cellStyle name="Vírgula 6 3 6 5 4 2 3" xfId="5782"/>
    <cellStyle name="Vírgula 6 3 6 5 5" xfId="2591"/>
    <cellStyle name="Vírgula 6 3 6 5 5 2" xfId="3597"/>
    <cellStyle name="Vírgula 6 3 6 5 5 2 2" xfId="4875"/>
    <cellStyle name="Vírgula 6 3 6 5 5 2 3" xfId="5766"/>
    <cellStyle name="Vírgula 6 3 6 5 6" xfId="3470"/>
    <cellStyle name="Vírgula 6 3 6 5 6 2" xfId="4800"/>
    <cellStyle name="Vírgula 6 3 6 5 6 3" xfId="5639"/>
    <cellStyle name="Vírgula 6 3 6 5 7" xfId="4115"/>
    <cellStyle name="Vírgula 6 3 6 5 7 2" xfId="6369"/>
    <cellStyle name="Vírgula 6 3 6 6" xfId="3064"/>
    <cellStyle name="Vírgula 6 3 6 6 2" xfId="4502"/>
    <cellStyle name="Vírgula 6 3 6 6 3" xfId="5233"/>
    <cellStyle name="Vírgula 6 3 6 6 3 2" xfId="13137"/>
    <cellStyle name="Vírgula 6 3 6 6 3 3" xfId="11648"/>
    <cellStyle name="Vírgula 6 3 6 6 4" xfId="13586"/>
    <cellStyle name="Vírgula 6 3 6 7" xfId="4351"/>
    <cellStyle name="Vírgula 6 3 6 7 2" xfId="5941"/>
    <cellStyle name="Vírgula 6 3 6 7 2 2" xfId="11409"/>
    <cellStyle name="Vírgula 6 3 6 7 2 3" xfId="12993"/>
    <cellStyle name="Vírgula 6 3 6 7 3" xfId="13717"/>
    <cellStyle name="Vírgula 6 3 6 8" xfId="8585"/>
    <cellStyle name="Vírgula 6 3 6 8 2" xfId="11382"/>
    <cellStyle name="Vírgula 6 3 6 8 3" xfId="11674"/>
    <cellStyle name="Vírgula 6 3 6 9" xfId="8586"/>
    <cellStyle name="Vírgula 6 3 6 9 2" xfId="13155"/>
    <cellStyle name="Vírgula 6 3 6 9 3" xfId="11357"/>
    <cellStyle name="Vírgula 6 3 7" xfId="598"/>
    <cellStyle name="Vírgula 6 3 7 2" xfId="879"/>
    <cellStyle name="Vírgula 6 3 7 2 2" xfId="2345"/>
    <cellStyle name="Vírgula 6 3 7 2 2 2" xfId="3474"/>
    <cellStyle name="Vírgula 6 3 7 2 2 2 2" xfId="4804"/>
    <cellStyle name="Vírgula 6 3 7 2 2 2 3" xfId="5643"/>
    <cellStyle name="Vírgula 6 3 7 2 2 3" xfId="3863"/>
    <cellStyle name="Vírgula 6 3 7 2 2 3 2" xfId="6373"/>
    <cellStyle name="Vírgula 6 3 7 2 3" xfId="3164"/>
    <cellStyle name="Vírgula 6 3 7 2 3 2" xfId="4147"/>
    <cellStyle name="Vírgula 6 3 7 2 3 2 2" xfId="6564"/>
    <cellStyle name="Vírgula 6 3 7 2 3 3" xfId="5333"/>
    <cellStyle name="Vírgula 6 3 7 2 3 4" xfId="13611"/>
    <cellStyle name="Vírgula 6 3 7 2 3 5" xfId="13411"/>
    <cellStyle name="Vírgula 6 3 7 2 4" xfId="3913"/>
    <cellStyle name="Vírgula 6 3 7 2 4 2" xfId="6054"/>
    <cellStyle name="Vírgula 6 3 7 2 5" xfId="6749"/>
    <cellStyle name="Vírgula 6 3 7 2 6" xfId="5067"/>
    <cellStyle name="Vírgula 6 3 7 3" xfId="2344"/>
    <cellStyle name="Vírgula 6 3 7 3 2" xfId="2882"/>
    <cellStyle name="Vírgula 6 3 7 3 2 2" xfId="3659"/>
    <cellStyle name="Vírgula 6 3 7 3 2 2 2" xfId="4937"/>
    <cellStyle name="Vírgula 6 3 7 3 2 2 3" xfId="5828"/>
    <cellStyle name="Vírgula 6 3 7 3 3" xfId="2806"/>
    <cellStyle name="Vírgula 6 3 7 3 3 2" xfId="3634"/>
    <cellStyle name="Vírgula 6 3 7 3 3 2 2" xfId="4912"/>
    <cellStyle name="Vírgula 6 3 7 3 3 2 3" xfId="5803"/>
    <cellStyle name="Vírgula 6 3 7 3 4" xfId="2660"/>
    <cellStyle name="Vírgula 6 3 7 3 4 2" xfId="3615"/>
    <cellStyle name="Vírgula 6 3 7 3 4 2 2" xfId="4893"/>
    <cellStyle name="Vírgula 6 3 7 3 4 2 3" xfId="5784"/>
    <cellStyle name="Vírgula 6 3 7 3 5" xfId="2593"/>
    <cellStyle name="Vírgula 6 3 7 3 5 2" xfId="3599"/>
    <cellStyle name="Vírgula 6 3 7 3 5 2 2" xfId="4877"/>
    <cellStyle name="Vírgula 6 3 7 3 5 2 3" xfId="5768"/>
    <cellStyle name="Vírgula 6 3 7 3 6" xfId="3473"/>
    <cellStyle name="Vírgula 6 3 7 3 6 2" xfId="4803"/>
    <cellStyle name="Vírgula 6 3 7 3 6 3" xfId="5642"/>
    <cellStyle name="Vírgula 6 3 7 3 7" xfId="4088"/>
    <cellStyle name="Vírgula 6 3 7 3 7 2" xfId="6372"/>
    <cellStyle name="Vírgula 6 3 7 4" xfId="5943"/>
    <cellStyle name="Vírgula 6 3 8" xfId="599"/>
    <cellStyle name="Vírgula 6 3 8 2" xfId="880"/>
    <cellStyle name="Vírgula 6 3 8 2 2" xfId="2346"/>
    <cellStyle name="Vírgula 6 3 8 2 2 2" xfId="3475"/>
    <cellStyle name="Vírgula 6 3 8 2 2 2 2" xfId="4805"/>
    <cellStyle name="Vírgula 6 3 8 2 2 2 3" xfId="5644"/>
    <cellStyle name="Vírgula 6 3 8 2 2 3" xfId="3691"/>
    <cellStyle name="Vírgula 6 3 8 2 2 3 2" xfId="6374"/>
    <cellStyle name="Vírgula 6 3 8 2 3" xfId="3165"/>
    <cellStyle name="Vírgula 6 3 8 2 3 2" xfId="4062"/>
    <cellStyle name="Vírgula 6 3 8 2 3 2 2" xfId="6565"/>
    <cellStyle name="Vírgula 6 3 8 2 3 3" xfId="5334"/>
    <cellStyle name="Vírgula 6 3 8 2 3 4" xfId="13612"/>
    <cellStyle name="Vírgula 6 3 8 2 3 5" xfId="13412"/>
    <cellStyle name="Vírgula 6 3 8 2 4" xfId="3914"/>
    <cellStyle name="Vírgula 6 3 8 2 4 2" xfId="6055"/>
    <cellStyle name="Vírgula 6 3 8 2 5" xfId="6750"/>
    <cellStyle name="Vírgula 6 3 8 2 6" xfId="5068"/>
    <cellStyle name="Vírgula 6 3 8 3" xfId="2347"/>
    <cellStyle name="Vírgula 6 3 8 3 2" xfId="3476"/>
    <cellStyle name="Vírgula 6 3 8 3 2 2" xfId="4806"/>
    <cellStyle name="Vírgula 6 3 8 3 2 3" xfId="5645"/>
    <cellStyle name="Vírgula 6 3 8 3 3" xfId="4018"/>
    <cellStyle name="Vírgula 6 3 8 3 3 2" xfId="6375"/>
    <cellStyle name="Vírgula 6 3 8 4" xfId="2348"/>
    <cellStyle name="Vírgula 6 3 8 4 2" xfId="2206"/>
    <cellStyle name="Vírgula 6 3 8 4 2 2" xfId="3335"/>
    <cellStyle name="Vírgula 6 3 8 4 2 2 2" xfId="4665"/>
    <cellStyle name="Vírgula 6 3 8 4 2 2 3" xfId="5504"/>
    <cellStyle name="Vírgula 6 3 8 4 2 3" xfId="4087"/>
    <cellStyle name="Vírgula 6 3 8 4 2 3 2" xfId="6234"/>
    <cellStyle name="Vírgula 6 3 8 4 3" xfId="2807"/>
    <cellStyle name="Vírgula 6 3 8 4 3 2" xfId="3635"/>
    <cellStyle name="Vírgula 6 3 8 4 3 2 2" xfId="4913"/>
    <cellStyle name="Vírgula 6 3 8 4 3 2 3" xfId="5804"/>
    <cellStyle name="Vírgula 6 3 8 4 4" xfId="3477"/>
    <cellStyle name="Vírgula 6 3 8 4 4 2" xfId="4807"/>
    <cellStyle name="Vírgula 6 3 8 4 4 3" xfId="5646"/>
    <cellStyle name="Vírgula 6 3 8 4 5" xfId="3866"/>
    <cellStyle name="Vírgula 6 3 8 4 5 2" xfId="6376"/>
    <cellStyle name="Vírgula 6 3 8 5" xfId="2349"/>
    <cellStyle name="Vírgula 6 3 8 5 2" xfId="3478"/>
    <cellStyle name="Vírgula 6 3 8 5 2 2" xfId="4808"/>
    <cellStyle name="Vírgula 6 3 8 5 2 3" xfId="5647"/>
    <cellStyle name="Vírgula 6 3 8 5 3" xfId="4069"/>
    <cellStyle name="Vírgula 6 3 8 5 3 2" xfId="6377"/>
    <cellStyle name="Vírgula 6 3 8 6" xfId="5944"/>
    <cellStyle name="Vírgula 6 3 9" xfId="600"/>
    <cellStyle name="Vírgula 6 3 9 2" xfId="881"/>
    <cellStyle name="Vírgula 6 3 9 2 2" xfId="3166"/>
    <cellStyle name="Vírgula 6 3 9 2 2 2" xfId="4107"/>
    <cellStyle name="Vírgula 6 3 9 2 2 2 2" xfId="6566"/>
    <cellStyle name="Vírgula 6 3 9 2 2 3" xfId="5335"/>
    <cellStyle name="Vírgula 6 3 9 2 2 3 2" xfId="11174"/>
    <cellStyle name="Vírgula 6 3 9 2 2 3 3" xfId="11359"/>
    <cellStyle name="Vírgula 6 3 9 2 2 4" xfId="13613"/>
    <cellStyle name="Vírgula 6 3 9 2 3" xfId="3915"/>
    <cellStyle name="Vírgula 6 3 9 2 3 2" xfId="6056"/>
    <cellStyle name="Vírgula 6 3 9 2 3 2 2" xfId="11605"/>
    <cellStyle name="Vírgula 6 3 9 2 3 2 3" xfId="11358"/>
    <cellStyle name="Vírgula 6 3 9 2 3 3" xfId="13658"/>
    <cellStyle name="Vírgula 6 3 9 2 4" xfId="6751"/>
    <cellStyle name="Vírgula 6 3 9 2 5" xfId="5069"/>
    <cellStyle name="Vírgula 6 3 9 3" xfId="2350"/>
    <cellStyle name="Vírgula 6 3 9 3 2" xfId="2883"/>
    <cellStyle name="Vírgula 6 3 9 3 2 2" xfId="3660"/>
    <cellStyle name="Vírgula 6 3 9 3 2 2 2" xfId="4938"/>
    <cellStyle name="Vírgula 6 3 9 3 2 2 3" xfId="5829"/>
    <cellStyle name="Vírgula 6 3 9 3 3" xfId="2808"/>
    <cellStyle name="Vírgula 6 3 9 3 3 2" xfId="3636"/>
    <cellStyle name="Vírgula 6 3 9 3 3 2 2" xfId="4914"/>
    <cellStyle name="Vírgula 6 3 9 3 3 2 3" xfId="5805"/>
    <cellStyle name="Vírgula 6 3 9 3 4" xfId="2661"/>
    <cellStyle name="Vírgula 6 3 9 3 4 2" xfId="3616"/>
    <cellStyle name="Vírgula 6 3 9 3 4 2 2" xfId="4894"/>
    <cellStyle name="Vírgula 6 3 9 3 4 2 3" xfId="5785"/>
    <cellStyle name="Vírgula 6 3 9 3 5" xfId="2594"/>
    <cellStyle name="Vírgula 6 3 9 3 5 2" xfId="3600"/>
    <cellStyle name="Vírgula 6 3 9 3 5 2 2" xfId="4878"/>
    <cellStyle name="Vírgula 6 3 9 3 5 2 3" xfId="5769"/>
    <cellStyle name="Vírgula 6 3 9 3 6" xfId="3479"/>
    <cellStyle name="Vírgula 6 3 9 3 6 2" xfId="4809"/>
    <cellStyle name="Vírgula 6 3 9 3 6 3" xfId="5648"/>
    <cellStyle name="Vírgula 6 3 9 3 7" xfId="4366"/>
    <cellStyle name="Vírgula 6 3 9 3 7 2" xfId="6378"/>
    <cellStyle name="Vírgula 6 3 9 4" xfId="5945"/>
    <cellStyle name="Vírgula 6 4" xfId="882"/>
    <cellStyle name="Vírgula 6 4 2" xfId="2351"/>
    <cellStyle name="Vírgula 6 4 2 2" xfId="3480"/>
    <cellStyle name="Vírgula 6 4 2 2 2" xfId="4810"/>
    <cellStyle name="Vírgula 6 4 2 2 3" xfId="5649"/>
    <cellStyle name="Vírgula 6 4 2 3" xfId="4466"/>
    <cellStyle name="Vírgula 6 4 2 3 2" xfId="6379"/>
    <cellStyle name="Vírgula 6 4 3" xfId="3167"/>
    <cellStyle name="Vírgula 6 4 3 2" xfId="3982"/>
    <cellStyle name="Vírgula 6 4 3 2 2" xfId="6567"/>
    <cellStyle name="Vírgula 6 4 3 3" xfId="5336"/>
    <cellStyle name="Vírgula 6 4 4" xfId="3916"/>
    <cellStyle name="Vírgula 6 4 4 2" xfId="6057"/>
    <cellStyle name="Vírgula 6 4 5" xfId="6752"/>
    <cellStyle name="Vírgula 6 4 6" xfId="5070"/>
    <cellStyle name="Vírgula 6 5" xfId="2352"/>
    <cellStyle name="Vírgula 6 5 2" xfId="3481"/>
    <cellStyle name="Vírgula 6 5 2 2" xfId="4811"/>
    <cellStyle name="Vírgula 6 5 2 3" xfId="5650"/>
    <cellStyle name="Vírgula 6 5 3" xfId="4058"/>
    <cellStyle name="Vírgula 6 5 3 2" xfId="6380"/>
    <cellStyle name="Vírgula 6 6" xfId="2353"/>
    <cellStyle name="Vírgula 6 6 2" xfId="3482"/>
    <cellStyle name="Vírgula 6 6 2 2" xfId="4812"/>
    <cellStyle name="Vírgula 6 6 2 3" xfId="5651"/>
    <cellStyle name="Vírgula 6 6 3" xfId="3974"/>
    <cellStyle name="Vírgula 6 6 3 2" xfId="6381"/>
    <cellStyle name="Vírgula 6 7" xfId="2354"/>
    <cellStyle name="Vírgula 6 7 2" xfId="3483"/>
    <cellStyle name="Vírgula 6 7 2 2" xfId="4813"/>
    <cellStyle name="Vírgula 6 7 2 3" xfId="5652"/>
    <cellStyle name="Vírgula 6 7 3" xfId="4143"/>
    <cellStyle name="Vírgula 6 7 3 2" xfId="6382"/>
    <cellStyle name="Vírgula 6 8" xfId="2355"/>
    <cellStyle name="Vírgula 6 8 2" xfId="3484"/>
    <cellStyle name="Vírgula 6 8 2 2" xfId="4814"/>
    <cellStyle name="Vírgula 6 8 2 3" xfId="5653"/>
    <cellStyle name="Vírgula 6 8 3" xfId="3872"/>
    <cellStyle name="Vírgula 6 8 3 2" xfId="6383"/>
    <cellStyle name="Vírgula 6 9" xfId="2356"/>
    <cellStyle name="Vírgula 6 9 2" xfId="3485"/>
    <cellStyle name="Vírgula 6 9 2 2" xfId="4815"/>
    <cellStyle name="Vírgula 6 9 2 3" xfId="5654"/>
    <cellStyle name="Vírgula 6 9 3" xfId="3987"/>
    <cellStyle name="Vírgula 6 9 3 2" xfId="6384"/>
    <cellStyle name="Vírgula 7" xfId="68"/>
    <cellStyle name="Vírgula 7 10" xfId="2358"/>
    <cellStyle name="Vírgula 7 10 2" xfId="2359"/>
    <cellStyle name="Vírgula 7 10 2 2" xfId="3488"/>
    <cellStyle name="Vírgula 7 10 2 2 2" xfId="4089"/>
    <cellStyle name="Vírgula 7 10 2 2 2 2" xfId="6621"/>
    <cellStyle name="Vírgula 7 10 2 2 3" xfId="5657"/>
    <cellStyle name="Vírgula 7 10 2 3" xfId="4258"/>
    <cellStyle name="Vírgula 7 10 2 3 2" xfId="6387"/>
    <cellStyle name="Vírgula 7 10 2 4" xfId="6813"/>
    <cellStyle name="Vírgula 7 10 2 5" xfId="5131"/>
    <cellStyle name="Vírgula 7 10 2 6" xfId="10464"/>
    <cellStyle name="Vírgula 7 10 3" xfId="3487"/>
    <cellStyle name="Vírgula 7 10 3 2" xfId="4097"/>
    <cellStyle name="Vírgula 7 10 3 2 2" xfId="6620"/>
    <cellStyle name="Vírgula 7 10 3 3" xfId="5656"/>
    <cellStyle name="Vírgula 7 10 3 3 2" xfId="12484"/>
    <cellStyle name="Vírgula 7 10 3 3 3" xfId="11972"/>
    <cellStyle name="Vírgula 7 10 3 4" xfId="11383"/>
    <cellStyle name="Vírgula 7 10 4" xfId="4257"/>
    <cellStyle name="Vírgula 7 10 4 2" xfId="6386"/>
    <cellStyle name="Vírgula 7 10 5" xfId="6812"/>
    <cellStyle name="Vírgula 7 10 6" xfId="5130"/>
    <cellStyle name="Vírgula 7 10 7" xfId="9472"/>
    <cellStyle name="Vírgula 7 10 7 2" xfId="14890"/>
    <cellStyle name="Vírgula 7 10 7 3" xfId="13519"/>
    <cellStyle name="Vírgula 7 11" xfId="2360"/>
    <cellStyle name="Vírgula 7 11 2" xfId="2361"/>
    <cellStyle name="Vírgula 7 11 2 2" xfId="3490"/>
    <cellStyle name="Vírgula 7 11 2 2 2" xfId="4818"/>
    <cellStyle name="Vírgula 7 11 2 2 3" xfId="5659"/>
    <cellStyle name="Vírgula 7 11 2 2 3 2" xfId="12486"/>
    <cellStyle name="Vírgula 7 11 2 2 3 3" xfId="13107"/>
    <cellStyle name="Vírgula 7 11 2 3" xfId="3700"/>
    <cellStyle name="Vírgula 7 11 2 3 2" xfId="6389"/>
    <cellStyle name="Vírgula 7 11 2 3 2 2" xfId="11766"/>
    <cellStyle name="Vírgula 7 11 2 3 2 3" xfId="12002"/>
    <cellStyle name="Vírgula 7 11 2 4" xfId="8587"/>
    <cellStyle name="Vírgula 7 11 2 5" xfId="13521"/>
    <cellStyle name="Vírgula 7 11 3" xfId="2810"/>
    <cellStyle name="Vírgula 7 11 3 2" xfId="3638"/>
    <cellStyle name="Vírgula 7 11 3 2 2" xfId="4916"/>
    <cellStyle name="Vírgula 7 11 3 2 3" xfId="5807"/>
    <cellStyle name="Vírgula 7 11 3 2 3 2" xfId="12487"/>
    <cellStyle name="Vírgula 7 11 3 2 3 3" xfId="11843"/>
    <cellStyle name="Vírgula 7 11 3 3" xfId="8588"/>
    <cellStyle name="Vírgula 7 11 4" xfId="3489"/>
    <cellStyle name="Vírgula 7 11 4 2" xfId="4817"/>
    <cellStyle name="Vírgula 7 11 4 3" xfId="5658"/>
    <cellStyle name="Vírgula 7 11 4 3 2" xfId="12485"/>
    <cellStyle name="Vírgula 7 11 4 3 3" xfId="11773"/>
    <cellStyle name="Vírgula 7 11 5" xfId="4152"/>
    <cellStyle name="Vírgula 7 11 5 2" xfId="6388"/>
    <cellStyle name="Vírgula 7 11 6" xfId="9896"/>
    <cellStyle name="Vírgula 7 11 6 2" xfId="14897"/>
    <cellStyle name="Vírgula 7 11 6 3" xfId="13520"/>
    <cellStyle name="Vírgula 7 12" xfId="2362"/>
    <cellStyle name="Vírgula 7 12 2" xfId="2363"/>
    <cellStyle name="Vírgula 7 12 2 2" xfId="3492"/>
    <cellStyle name="Vírgula 7 12 2 2 2" xfId="3735"/>
    <cellStyle name="Vírgula 7 12 2 2 2 2" xfId="6623"/>
    <cellStyle name="Vírgula 7 12 2 2 3" xfId="5661"/>
    <cellStyle name="Vírgula 7 12 2 3" xfId="4260"/>
    <cellStyle name="Vírgula 7 12 2 3 2" xfId="6391"/>
    <cellStyle name="Vírgula 7 12 2 4" xfId="6815"/>
    <cellStyle name="Vírgula 7 12 2 5" xfId="5133"/>
    <cellStyle name="Vírgula 7 12 3" xfId="3491"/>
    <cellStyle name="Vírgula 7 12 3 2" xfId="4188"/>
    <cellStyle name="Vírgula 7 12 3 2 2" xfId="6622"/>
    <cellStyle name="Vírgula 7 12 3 3" xfId="5660"/>
    <cellStyle name="Vírgula 7 12 4" xfId="4259"/>
    <cellStyle name="Vírgula 7 12 4 2" xfId="6390"/>
    <cellStyle name="Vírgula 7 12 5" xfId="6814"/>
    <cellStyle name="Vírgula 7 12 6" xfId="5132"/>
    <cellStyle name="Vírgula 7 12 7" xfId="9056"/>
    <cellStyle name="Vírgula 7 13" xfId="2364"/>
    <cellStyle name="Vírgula 7 13 2" xfId="2365"/>
    <cellStyle name="Vírgula 7 13 2 2" xfId="3494"/>
    <cellStyle name="Vírgula 7 13 2 2 2" xfId="4820"/>
    <cellStyle name="Vírgula 7 13 2 2 3" xfId="5663"/>
    <cellStyle name="Vírgula 7 13 2 2 3 2" xfId="12968"/>
    <cellStyle name="Vírgula 7 13 2 2 3 3" xfId="11105"/>
    <cellStyle name="Vírgula 7 13 2 3" xfId="4331"/>
    <cellStyle name="Vírgula 7 13 2 3 2" xfId="6393"/>
    <cellStyle name="Vírgula 7 13 2 3 2 2" xfId="12496"/>
    <cellStyle name="Vírgula 7 13 2 3 2 3" xfId="12905"/>
    <cellStyle name="Vírgula 7 13 2 4" xfId="8589"/>
    <cellStyle name="Vírgula 7 13 2 5" xfId="13523"/>
    <cellStyle name="Vírgula 7 13 3" xfId="3493"/>
    <cellStyle name="Vírgula 7 13 3 2" xfId="4819"/>
    <cellStyle name="Vírgula 7 13 3 3" xfId="5662"/>
    <cellStyle name="Vírgula 7 13 3 3 2" xfId="11272"/>
    <cellStyle name="Vírgula 7 13 3 3 3" xfId="11613"/>
    <cellStyle name="Vírgula 7 13 4" xfId="4155"/>
    <cellStyle name="Vírgula 7 13 4 2" xfId="6392"/>
    <cellStyle name="Vírgula 7 13 4 2 2" xfId="12572"/>
    <cellStyle name="Vírgula 7 13 4 2 3" xfId="12947"/>
    <cellStyle name="Vírgula 7 13 5" xfId="8590"/>
    <cellStyle name="Vírgula 7 13 6" xfId="10683"/>
    <cellStyle name="Vírgula 7 13 6 2" xfId="14905"/>
    <cellStyle name="Vírgula 7 13 6 3" xfId="13522"/>
    <cellStyle name="Vírgula 7 14" xfId="2366"/>
    <cellStyle name="Vírgula 7 14 2" xfId="2274"/>
    <cellStyle name="Vírgula 7 14 2 2" xfId="3403"/>
    <cellStyle name="Vírgula 7 14 2 2 2" xfId="4733"/>
    <cellStyle name="Vírgula 7 14 2 2 3" xfId="5572"/>
    <cellStyle name="Vírgula 7 14 2 2 3 2" xfId="11188"/>
    <cellStyle name="Vírgula 7 14 2 2 3 3" xfId="11715"/>
    <cellStyle name="Vírgula 7 14 2 3" xfId="4342"/>
    <cellStyle name="Vírgula 7 14 2 3 2" xfId="6302"/>
    <cellStyle name="Vírgula 7 14 2 3 2 2" xfId="13282"/>
    <cellStyle name="Vírgula 7 14 2 3 2 3" xfId="13175"/>
    <cellStyle name="Vírgula 7 14 2 4" xfId="8591"/>
    <cellStyle name="Vírgula 7 14 2 5" xfId="13514"/>
    <cellStyle name="Vírgula 7 14 3" xfId="2811"/>
    <cellStyle name="Vírgula 7 14 3 2" xfId="3639"/>
    <cellStyle name="Vírgula 7 14 3 2 2" xfId="4917"/>
    <cellStyle name="Vírgula 7 14 3 2 3" xfId="5808"/>
    <cellStyle name="Vírgula 7 14 3 2 3 2" xfId="10917"/>
    <cellStyle name="Vírgula 7 14 3 2 3 3" xfId="11132"/>
    <cellStyle name="Vírgula 7 14 3 3" xfId="8592"/>
    <cellStyle name="Vírgula 7 14 4" xfId="3495"/>
    <cellStyle name="Vírgula 7 14 4 2" xfId="4821"/>
    <cellStyle name="Vírgula 7 14 4 3" xfId="5664"/>
    <cellStyle name="Vírgula 7 14 4 3 2" xfId="12936"/>
    <cellStyle name="Vírgula 7 14 4 3 3" xfId="11361"/>
    <cellStyle name="Vírgula 7 14 5" xfId="4370"/>
    <cellStyle name="Vírgula 7 14 5 2" xfId="6394"/>
    <cellStyle name="Vírgula 7 14 6" xfId="10814"/>
    <cellStyle name="Vírgula 7 14 6 2" xfId="14908"/>
    <cellStyle name="Vírgula 7 14 6 3" xfId="13524"/>
    <cellStyle name="Vírgula 7 15" xfId="2367"/>
    <cellStyle name="Vírgula 7 15 2" xfId="2368"/>
    <cellStyle name="Vírgula 7 15 2 2" xfId="3497"/>
    <cellStyle name="Vírgula 7 15 2 2 2" xfId="4043"/>
    <cellStyle name="Vírgula 7 15 2 2 2 2" xfId="6625"/>
    <cellStyle name="Vírgula 7 15 2 2 3" xfId="5666"/>
    <cellStyle name="Vírgula 7 15 2 3" xfId="4264"/>
    <cellStyle name="Vírgula 7 15 2 3 2" xfId="6396"/>
    <cellStyle name="Vírgula 7 15 2 4" xfId="6817"/>
    <cellStyle name="Vírgula 7 15 2 5" xfId="5135"/>
    <cellStyle name="Vírgula 7 15 3" xfId="3496"/>
    <cellStyle name="Vírgula 7 15 3 2" xfId="4469"/>
    <cellStyle name="Vírgula 7 15 3 2 2" xfId="6624"/>
    <cellStyle name="Vírgula 7 15 3 3" xfId="5665"/>
    <cellStyle name="Vírgula 7 15 4" xfId="4263"/>
    <cellStyle name="Vírgula 7 15 4 2" xfId="6395"/>
    <cellStyle name="Vírgula 7 15 5" xfId="6816"/>
    <cellStyle name="Vírgula 7 15 6" xfId="5134"/>
    <cellStyle name="Vírgula 7 16" xfId="2369"/>
    <cellStyle name="Vírgula 7 16 2" xfId="2370"/>
    <cellStyle name="Vírgula 7 16 2 2" xfId="3499"/>
    <cellStyle name="Vírgula 7 16 2 2 2" xfId="4483"/>
    <cellStyle name="Vírgula 7 16 2 2 2 2" xfId="6627"/>
    <cellStyle name="Vírgula 7 16 2 2 3" xfId="5668"/>
    <cellStyle name="Vírgula 7 16 2 3" xfId="4266"/>
    <cellStyle name="Vírgula 7 16 2 3 2" xfId="6398"/>
    <cellStyle name="Vírgula 7 16 2 4" xfId="6819"/>
    <cellStyle name="Vírgula 7 16 2 5" xfId="5137"/>
    <cellStyle name="Vírgula 7 16 3" xfId="3498"/>
    <cellStyle name="Vírgula 7 16 3 2" xfId="4375"/>
    <cellStyle name="Vírgula 7 16 3 2 2" xfId="6626"/>
    <cellStyle name="Vírgula 7 16 3 3" xfId="5667"/>
    <cellStyle name="Vírgula 7 16 4" xfId="4265"/>
    <cellStyle name="Vírgula 7 16 4 2" xfId="6397"/>
    <cellStyle name="Vírgula 7 16 5" xfId="6818"/>
    <cellStyle name="Vírgula 7 16 6" xfId="5136"/>
    <cellStyle name="Vírgula 7 17" xfId="2371"/>
    <cellStyle name="Vírgula 7 17 2" xfId="2303"/>
    <cellStyle name="Vírgula 7 17 2 2" xfId="3432"/>
    <cellStyle name="Vírgula 7 17 2 2 2" xfId="4762"/>
    <cellStyle name="Vírgula 7 17 2 2 3" xfId="5601"/>
    <cellStyle name="Vírgula 7 17 2 2 3 2" xfId="12483"/>
    <cellStyle name="Vírgula 7 17 2 2 3 3" xfId="11360"/>
    <cellStyle name="Vírgula 7 17 2 3" xfId="4481"/>
    <cellStyle name="Vírgula 7 17 2 3 2" xfId="6331"/>
    <cellStyle name="Vírgula 7 17 2 3 2 2" xfId="12495"/>
    <cellStyle name="Vírgula 7 17 2 3 2 3" xfId="13013"/>
    <cellStyle name="Vírgula 7 17 2 4" xfId="8593"/>
    <cellStyle name="Vírgula 7 17 2 5" xfId="13518"/>
    <cellStyle name="Vírgula 7 17 3" xfId="2812"/>
    <cellStyle name="Vírgula 7 17 3 2" xfId="3640"/>
    <cellStyle name="Vírgula 7 17 3 2 2" xfId="4918"/>
    <cellStyle name="Vírgula 7 17 3 2 3" xfId="5809"/>
    <cellStyle name="Vírgula 7 17 3 2 3 2" xfId="10975"/>
    <cellStyle name="Vírgula 7 17 3 2 3 3" xfId="11656"/>
    <cellStyle name="Vírgula 7 17 3 3" xfId="8594"/>
    <cellStyle name="Vírgula 7 17 4" xfId="3500"/>
    <cellStyle name="Vírgula 7 17 4 2" xfId="4822"/>
    <cellStyle name="Vírgula 7 17 4 3" xfId="5669"/>
    <cellStyle name="Vírgula 7 17 4 3 2" xfId="11930"/>
    <cellStyle name="Vírgula 7 17 4 3 3" xfId="11896"/>
    <cellStyle name="Vírgula 7 17 5" xfId="3742"/>
    <cellStyle name="Vírgula 7 17 5 2" xfId="6399"/>
    <cellStyle name="Vírgula 7 17 6" xfId="13525"/>
    <cellStyle name="Vírgula 7 18" xfId="2372"/>
    <cellStyle name="Vírgula 7 18 2" xfId="2373"/>
    <cellStyle name="Vírgula 7 18 2 2" xfId="3502"/>
    <cellStyle name="Vírgula 7 18 2 2 2" xfId="4237"/>
    <cellStyle name="Vírgula 7 18 2 2 2 2" xfId="6629"/>
    <cellStyle name="Vírgula 7 18 2 2 3" xfId="5671"/>
    <cellStyle name="Vírgula 7 18 2 3" xfId="4268"/>
    <cellStyle name="Vírgula 7 18 2 3 2" xfId="6401"/>
    <cellStyle name="Vírgula 7 18 2 4" xfId="6821"/>
    <cellStyle name="Vírgula 7 18 2 5" xfId="5139"/>
    <cellStyle name="Vírgula 7 18 3" xfId="3501"/>
    <cellStyle name="Vírgula 7 18 3 2" xfId="4440"/>
    <cellStyle name="Vírgula 7 18 3 2 2" xfId="6628"/>
    <cellStyle name="Vírgula 7 18 3 3" xfId="5670"/>
    <cellStyle name="Vírgula 7 18 4" xfId="4267"/>
    <cellStyle name="Vírgula 7 18 4 2" xfId="6400"/>
    <cellStyle name="Vírgula 7 18 5" xfId="6820"/>
    <cellStyle name="Vírgula 7 18 6" xfId="5138"/>
    <cellStyle name="Vírgula 7 19" xfId="2374"/>
    <cellStyle name="Vírgula 7 19 2" xfId="2319"/>
    <cellStyle name="Vírgula 7 19 2 2" xfId="3448"/>
    <cellStyle name="Vírgula 7 19 2 2 2" xfId="4778"/>
    <cellStyle name="Vírgula 7 19 2 2 3" xfId="5617"/>
    <cellStyle name="Vírgula 7 19 2 3" xfId="4101"/>
    <cellStyle name="Vírgula 7 19 2 3 2" xfId="6347"/>
    <cellStyle name="Vírgula 7 19 3" xfId="2813"/>
    <cellStyle name="Vírgula 7 19 3 2" xfId="3641"/>
    <cellStyle name="Vírgula 7 19 3 2 2" xfId="4919"/>
    <cellStyle name="Vírgula 7 19 3 2 3" xfId="5810"/>
    <cellStyle name="Vírgula 7 19 4" xfId="3503"/>
    <cellStyle name="Vírgula 7 19 4 2" xfId="4823"/>
    <cellStyle name="Vírgula 7 19 4 3" xfId="5672"/>
    <cellStyle name="Vírgula 7 19 5" xfId="3970"/>
    <cellStyle name="Vírgula 7 19 5 2" xfId="6402"/>
    <cellStyle name="Vírgula 7 2" xfId="122"/>
    <cellStyle name="Vírgula 7 2 10" xfId="2375"/>
    <cellStyle name="Vírgula 7 2 10 2" xfId="2376"/>
    <cellStyle name="Vírgula 7 2 10 2 2" xfId="3505"/>
    <cellStyle name="Vírgula 7 2 10 2 2 2" xfId="4346"/>
    <cellStyle name="Vírgula 7 2 10 2 2 2 2" xfId="6631"/>
    <cellStyle name="Vírgula 7 2 10 2 2 3" xfId="5674"/>
    <cellStyle name="Vírgula 7 2 10 2 3" xfId="4270"/>
    <cellStyle name="Vírgula 7 2 10 2 3 2" xfId="6404"/>
    <cellStyle name="Vírgula 7 2 10 2 4" xfId="6823"/>
    <cellStyle name="Vírgula 7 2 10 2 5" xfId="5141"/>
    <cellStyle name="Vírgula 7 2 10 3" xfId="3504"/>
    <cellStyle name="Vírgula 7 2 10 3 2" xfId="3869"/>
    <cellStyle name="Vírgula 7 2 10 3 2 2" xfId="6630"/>
    <cellStyle name="Vírgula 7 2 10 3 3" xfId="5673"/>
    <cellStyle name="Vírgula 7 2 10 4" xfId="4269"/>
    <cellStyle name="Vírgula 7 2 10 4 2" xfId="6403"/>
    <cellStyle name="Vírgula 7 2 10 5" xfId="6822"/>
    <cellStyle name="Vírgula 7 2 10 6" xfId="5140"/>
    <cellStyle name="Vírgula 7 2 10 7" xfId="10684"/>
    <cellStyle name="Vírgula 7 2 11" xfId="2377"/>
    <cellStyle name="Vírgula 7 2 11 2" xfId="2378"/>
    <cellStyle name="Vírgula 7 2 11 2 2" xfId="3507"/>
    <cellStyle name="Vírgula 7 2 11 2 2 2" xfId="4151"/>
    <cellStyle name="Vírgula 7 2 11 2 2 2 2" xfId="6633"/>
    <cellStyle name="Vírgula 7 2 11 2 2 3" xfId="5676"/>
    <cellStyle name="Vírgula 7 2 11 2 3" xfId="4272"/>
    <cellStyle name="Vírgula 7 2 11 2 3 2" xfId="6406"/>
    <cellStyle name="Vírgula 7 2 11 2 4" xfId="6825"/>
    <cellStyle name="Vírgula 7 2 11 2 5" xfId="5143"/>
    <cellStyle name="Vírgula 7 2 11 3" xfId="3506"/>
    <cellStyle name="Vírgula 7 2 11 3 2" xfId="4327"/>
    <cellStyle name="Vírgula 7 2 11 3 2 2" xfId="6632"/>
    <cellStyle name="Vírgula 7 2 11 3 3" xfId="5675"/>
    <cellStyle name="Vírgula 7 2 11 3 3 2" xfId="11905"/>
    <cellStyle name="Vírgula 7 2 11 3 3 3" xfId="13091"/>
    <cellStyle name="Vírgula 7 2 11 4" xfId="4271"/>
    <cellStyle name="Vírgula 7 2 11 4 2" xfId="6405"/>
    <cellStyle name="Vírgula 7 2 11 5" xfId="6824"/>
    <cellStyle name="Vírgula 7 2 11 6" xfId="5142"/>
    <cellStyle name="Vírgula 7 2 11 7" xfId="10815"/>
    <cellStyle name="Vírgula 7 2 11 7 2" xfId="14909"/>
    <cellStyle name="Vírgula 7 2 11 7 3" xfId="13526"/>
    <cellStyle name="Vírgula 7 2 11 8" xfId="13381"/>
    <cellStyle name="Vírgula 7 2 12" xfId="2379"/>
    <cellStyle name="Vírgula 7 2 12 2" xfId="3508"/>
    <cellStyle name="Vírgula 7 2 12 2 2" xfId="4335"/>
    <cellStyle name="Vírgula 7 2 12 2 2 2" xfId="6634"/>
    <cellStyle name="Vírgula 7 2 12 2 3" xfId="5677"/>
    <cellStyle name="Vírgula 7 2 12 3" xfId="4273"/>
    <cellStyle name="Vírgula 7 2 12 3 2" xfId="6407"/>
    <cellStyle name="Vírgula 7 2 12 4" xfId="6826"/>
    <cellStyle name="Vírgula 7 2 12 5" xfId="5144"/>
    <cellStyle name="Vírgula 7 2 13" xfId="2380"/>
    <cellStyle name="Vírgula 7 2 13 2" xfId="2381"/>
    <cellStyle name="Vírgula 7 2 13 2 2" xfId="3510"/>
    <cellStyle name="Vírgula 7 2 13 2 2 2" xfId="3790"/>
    <cellStyle name="Vírgula 7 2 13 2 2 2 2" xfId="6636"/>
    <cellStyle name="Vírgula 7 2 13 2 2 3" xfId="5679"/>
    <cellStyle name="Vírgula 7 2 13 2 3" xfId="4275"/>
    <cellStyle name="Vírgula 7 2 13 2 3 2" xfId="6409"/>
    <cellStyle name="Vírgula 7 2 13 2 4" xfId="6828"/>
    <cellStyle name="Vírgula 7 2 13 2 5" xfId="5146"/>
    <cellStyle name="Vírgula 7 2 13 3" xfId="3509"/>
    <cellStyle name="Vírgula 7 2 13 3 2" xfId="4246"/>
    <cellStyle name="Vírgula 7 2 13 3 2 2" xfId="6635"/>
    <cellStyle name="Vírgula 7 2 13 3 3" xfId="5678"/>
    <cellStyle name="Vírgula 7 2 13 4" xfId="4274"/>
    <cellStyle name="Vírgula 7 2 13 4 2" xfId="6408"/>
    <cellStyle name="Vírgula 7 2 13 5" xfId="6827"/>
    <cellStyle name="Vírgula 7 2 13 6" xfId="5145"/>
    <cellStyle name="Vírgula 7 2 14" xfId="2382"/>
    <cellStyle name="Vírgula 7 2 14 2" xfId="3511"/>
    <cellStyle name="Vírgula 7 2 14 2 2" xfId="3740"/>
    <cellStyle name="Vírgula 7 2 14 2 2 2" xfId="6637"/>
    <cellStyle name="Vírgula 7 2 14 2 3" xfId="5680"/>
    <cellStyle name="Vírgula 7 2 14 3" xfId="4276"/>
    <cellStyle name="Vírgula 7 2 14 3 2" xfId="6410"/>
    <cellStyle name="Vírgula 7 2 14 4" xfId="6829"/>
    <cellStyle name="Vírgula 7 2 14 5" xfId="5147"/>
    <cellStyle name="Vírgula 7 2 15" xfId="3043"/>
    <cellStyle name="Vírgula 7 2 15 2" xfId="4323"/>
    <cellStyle name="Vírgula 7 2 15 2 2" xfId="5902"/>
    <cellStyle name="Vírgula 7 2 15 3" xfId="5212"/>
    <cellStyle name="Vírgula 7 2 15 3 2" xfId="13308"/>
    <cellStyle name="Vírgula 7 2 15 3 3" xfId="12960"/>
    <cellStyle name="Vírgula 7 2 16" xfId="4326"/>
    <cellStyle name="Vírgula 7 2 16 2" xfId="6494"/>
    <cellStyle name="Vírgula 7 2 16 2 2" xfId="11118"/>
    <cellStyle name="Vírgula 7 2 16 2 3" xfId="12305"/>
    <cellStyle name="Vírgula 7 2 17" xfId="5864"/>
    <cellStyle name="Vírgula 7 2 2" xfId="342"/>
    <cellStyle name="Vírgula 7 2 2 10" xfId="2384"/>
    <cellStyle name="Vírgula 7 2 2 10 2" xfId="3513"/>
    <cellStyle name="Vírgula 7 2 2 10 2 2" xfId="4825"/>
    <cellStyle name="Vírgula 7 2 2 10 2 2 2" xfId="12843"/>
    <cellStyle name="Vírgula 7 2 2 10 2 3" xfId="5682"/>
    <cellStyle name="Vírgula 7 2 2 10 2 3 2" xfId="12006"/>
    <cellStyle name="Vírgula 7 2 2 10 2 3 3" xfId="12459"/>
    <cellStyle name="Vírgula 7 2 2 10 2 4" xfId="13631"/>
    <cellStyle name="Vírgula 7 2 2 10 3" xfId="4219"/>
    <cellStyle name="Vírgula 7 2 2 10 3 2" xfId="6412"/>
    <cellStyle name="Vírgula 7 2 2 10 3 2 2" xfId="12573"/>
    <cellStyle name="Vírgula 7 2 2 10 3 2 3" xfId="11362"/>
    <cellStyle name="Vírgula 7 2 2 10 4" xfId="8595"/>
    <cellStyle name="Vírgula 7 2 2 10 4 2" xfId="11539"/>
    <cellStyle name="Vírgula 7 2 2 10 4 3" xfId="11651"/>
    <cellStyle name="Vírgula 7 2 2 10 5" xfId="8596"/>
    <cellStyle name="Vírgula 7 2 2 10 6" xfId="13527"/>
    <cellStyle name="Vírgula 7 2 2 11" xfId="2385"/>
    <cellStyle name="Vírgula 7 2 2 11 2" xfId="3514"/>
    <cellStyle name="Vírgula 7 2 2 11 2 2" xfId="3778"/>
    <cellStyle name="Vírgula 7 2 2 11 2 2 2" xfId="6638"/>
    <cellStyle name="Vírgula 7 2 2 11 2 3" xfId="5683"/>
    <cellStyle name="Vírgula 7 2 2 11 3" xfId="4278"/>
    <cellStyle name="Vírgula 7 2 2 11 3 2" xfId="6413"/>
    <cellStyle name="Vírgula 7 2 2 11 4" xfId="6830"/>
    <cellStyle name="Vírgula 7 2 2 11 5" xfId="5148"/>
    <cellStyle name="Vírgula 7 2 2 12" xfId="2386"/>
    <cellStyle name="Vírgula 7 2 2 12 2" xfId="3515"/>
    <cellStyle name="Vírgula 7 2 2 12 2 2" xfId="4826"/>
    <cellStyle name="Vírgula 7 2 2 12 2 3" xfId="5684"/>
    <cellStyle name="Vírgula 7 2 2 12 3" xfId="4177"/>
    <cellStyle name="Vírgula 7 2 2 12 3 2" xfId="6414"/>
    <cellStyle name="Vírgula 7 2 2 13" xfId="2383"/>
    <cellStyle name="Vírgula 7 2 2 13 2" xfId="3512"/>
    <cellStyle name="Vírgula 7 2 2 13 2 2" xfId="4824"/>
    <cellStyle name="Vírgula 7 2 2 13 2 3" xfId="5681"/>
    <cellStyle name="Vírgula 7 2 2 13 3" xfId="3780"/>
    <cellStyle name="Vírgula 7 2 2 13 3 2" xfId="6411"/>
    <cellStyle name="Vírgula 7 2 2 14" xfId="3048"/>
    <cellStyle name="Vírgula 7 2 2 14 2" xfId="4189"/>
    <cellStyle name="Vírgula 7 2 2 14 2 2" xfId="6501"/>
    <cellStyle name="Vírgula 7 2 2 14 2 2 2" xfId="13307"/>
    <cellStyle name="Vírgula 7 2 2 14 2 2 3" xfId="11363"/>
    <cellStyle name="Vírgula 7 2 2 14 2 3" xfId="13711"/>
    <cellStyle name="Vírgula 7 2 2 14 3" xfId="5217"/>
    <cellStyle name="Vírgula 7 2 2 14 3 2" xfId="11090"/>
    <cellStyle name="Vírgula 7 2 2 14 3 3" xfId="11067"/>
    <cellStyle name="Vírgula 7 2 2 14 4" xfId="13576"/>
    <cellStyle name="Vírgula 7 2 2 15" xfId="3752"/>
    <cellStyle name="Vírgula 7 2 2 15 2" xfId="5914"/>
    <cellStyle name="Vírgula 7 2 2 15 2 2" xfId="8597"/>
    <cellStyle name="Vírgula 7 2 2 15 2 3" xfId="12492"/>
    <cellStyle name="Vírgula 7 2 2 15 3" xfId="8598"/>
    <cellStyle name="Vírgula 7 2 2 16" xfId="6679"/>
    <cellStyle name="Vírgula 7 2 2 16 2" xfId="12886"/>
    <cellStyle name="Vírgula 7 2 2 16 2 2" xfId="15688"/>
    <cellStyle name="Vírgula 7 2 2 16 2 3" xfId="13756"/>
    <cellStyle name="Vírgula 7 2 2 16 3" xfId="11494"/>
    <cellStyle name="Vírgula 7 2 2 16 4" xfId="11364"/>
    <cellStyle name="Vírgula 7 2 2 17" xfId="4996"/>
    <cellStyle name="Vírgula 7 2 2 17 2" xfId="11927"/>
    <cellStyle name="Vírgula 7 2 2 17 2 2" xfId="15114"/>
    <cellStyle name="Vírgula 7 2 2 17 2 3" xfId="13744"/>
    <cellStyle name="Vírgula 7 2 2 17 3" xfId="11395"/>
    <cellStyle name="Vírgula 7 2 2 17 4" xfId="12460"/>
    <cellStyle name="Vírgula 7 2 2 18" xfId="8599"/>
    <cellStyle name="Vírgula 7 2 2 19" xfId="8600"/>
    <cellStyle name="Vírgula 7 2 2 2" xfId="883"/>
    <cellStyle name="Vírgula 7 2 2 2 2" xfId="2387"/>
    <cellStyle name="Vírgula 7 2 2 2 2 2" xfId="3516"/>
    <cellStyle name="Vírgula 7 2 2 2 2 2 2" xfId="4827"/>
    <cellStyle name="Vírgula 7 2 2 2 2 2 3" xfId="5685"/>
    <cellStyle name="Vírgula 7 2 2 2 2 2 4" xfId="10466"/>
    <cellStyle name="Vírgula 7 2 2 2 2 3" xfId="3732"/>
    <cellStyle name="Vírgula 7 2 2 2 2 3 2" xfId="6415"/>
    <cellStyle name="Vírgula 7 2 2 2 2 4" xfId="9796"/>
    <cellStyle name="Vírgula 7 2 2 2 3" xfId="3168"/>
    <cellStyle name="Vírgula 7 2 2 2 3 2" xfId="3786"/>
    <cellStyle name="Vírgula 7 2 2 2 3 2 2" xfId="6568"/>
    <cellStyle name="Vírgula 7 2 2 2 3 3" xfId="5337"/>
    <cellStyle name="Vírgula 7 2 2 2 3 3 2" xfId="11175"/>
    <cellStyle name="Vírgula 7 2 2 2 3 3 3" xfId="11842"/>
    <cellStyle name="Vírgula 7 2 2 2 4" xfId="3917"/>
    <cellStyle name="Vírgula 7 2 2 2 4 2" xfId="6058"/>
    <cellStyle name="Vírgula 7 2 2 2 5" xfId="6753"/>
    <cellStyle name="Vírgula 7 2 2 2 6" xfId="5071"/>
    <cellStyle name="Vírgula 7 2 2 20" xfId="8601"/>
    <cellStyle name="Vírgula 7 2 2 3" xfId="1084"/>
    <cellStyle name="Vírgula 7 2 2 3 2" xfId="2388"/>
    <cellStyle name="Vírgula 7 2 2 3 2 2" xfId="3517"/>
    <cellStyle name="Vírgula 7 2 2 3 2 2 2" xfId="4828"/>
    <cellStyle name="Vírgula 7 2 2 3 2 2 3" xfId="5686"/>
    <cellStyle name="Vírgula 7 2 2 3 2 3" xfId="4421"/>
    <cellStyle name="Vírgula 7 2 2 3 2 3 2" xfId="6416"/>
    <cellStyle name="Vírgula 7 2 2 3 2 4" xfId="10467"/>
    <cellStyle name="Vírgula 7 2 2 3 3" xfId="3216"/>
    <cellStyle name="Vírgula 7 2 2 3 3 2" xfId="4419"/>
    <cellStyle name="Vírgula 7 2 2 3 3 2 2" xfId="6610"/>
    <cellStyle name="Vírgula 7 2 2 3 3 3" xfId="5385"/>
    <cellStyle name="Vírgula 7 2 2 3 3 3 2" xfId="11181"/>
    <cellStyle name="Vírgula 7 2 2 3 3 3 3" xfId="11287"/>
    <cellStyle name="Vírgula 7 2 2 3 4" xfId="3993"/>
    <cellStyle name="Vírgula 7 2 2 3 4 2" xfId="6109"/>
    <cellStyle name="Vírgula 7 2 2 3 5" xfId="6796"/>
    <cellStyle name="Vírgula 7 2 2 3 6" xfId="5114"/>
    <cellStyle name="Vírgula 7 2 2 3 7" xfId="9515"/>
    <cellStyle name="Vírgula 7 2 2 4" xfId="2389"/>
    <cellStyle name="Vírgula 7 2 2 4 2" xfId="3518"/>
    <cellStyle name="Vírgula 7 2 2 4 2 2" xfId="4829"/>
    <cellStyle name="Vírgula 7 2 2 4 2 3" xfId="5687"/>
    <cellStyle name="Vírgula 7 2 2 4 3" xfId="4220"/>
    <cellStyle name="Vírgula 7 2 2 4 3 2" xfId="6417"/>
    <cellStyle name="Vírgula 7 2 2 4 4" xfId="10465"/>
    <cellStyle name="Vírgula 7 2 2 5" xfId="2390"/>
    <cellStyle name="Vírgula 7 2 2 5 2" xfId="3519"/>
    <cellStyle name="Vírgula 7 2 2 5 2 2" xfId="4830"/>
    <cellStyle name="Vírgula 7 2 2 5 2 3" xfId="5688"/>
    <cellStyle name="Vírgula 7 2 2 5 3" xfId="4169"/>
    <cellStyle name="Vírgula 7 2 2 5 3 2" xfId="6418"/>
    <cellStyle name="Vírgula 7 2 2 5 4" xfId="10728"/>
    <cellStyle name="Vírgula 7 2 2 6" xfId="2391"/>
    <cellStyle name="Vírgula 7 2 2 6 2" xfId="3520"/>
    <cellStyle name="Vírgula 7 2 2 6 2 2" xfId="4831"/>
    <cellStyle name="Vírgula 7 2 2 6 2 2 2" xfId="12894"/>
    <cellStyle name="Vírgula 7 2 2 6 2 3" xfId="5689"/>
    <cellStyle name="Vírgula 7 2 2 6 2 3 2" xfId="12562"/>
    <cellStyle name="Vírgula 7 2 2 6 2 3 3" xfId="11556"/>
    <cellStyle name="Vírgula 7 2 2 6 2 4" xfId="13632"/>
    <cellStyle name="Vírgula 7 2 2 6 3" xfId="4371"/>
    <cellStyle name="Vírgula 7 2 2 6 3 2" xfId="6419"/>
    <cellStyle name="Vírgula 7 2 2 6 3 2 2" xfId="12575"/>
    <cellStyle name="Vírgula 7 2 2 6 3 2 3" xfId="11365"/>
    <cellStyle name="Vírgula 7 2 2 6 4" xfId="8602"/>
    <cellStyle name="Vírgula 7 2 2 6 4 2" xfId="12426"/>
    <cellStyle name="Vírgula 7 2 2 6 4 3" xfId="13283"/>
    <cellStyle name="Vírgula 7 2 2 6 5" xfId="8603"/>
    <cellStyle name="Vírgula 7 2 2 6 6" xfId="10858"/>
    <cellStyle name="Vírgula 7 2 2 6 6 2" xfId="14910"/>
    <cellStyle name="Vírgula 7 2 2 6 6 3" xfId="13528"/>
    <cellStyle name="Vírgula 7 2 2 7" xfId="2392"/>
    <cellStyle name="Vírgula 7 2 2 7 2" xfId="3521"/>
    <cellStyle name="Vírgula 7 2 2 7 2 2" xfId="4832"/>
    <cellStyle name="Vírgula 7 2 2 7 2 2 2" xfId="11526"/>
    <cellStyle name="Vírgula 7 2 2 7 2 3" xfId="5690"/>
    <cellStyle name="Vírgula 7 2 2 7 2 3 2" xfId="12561"/>
    <cellStyle name="Vírgula 7 2 2 7 2 3 3" xfId="11535"/>
    <cellStyle name="Vírgula 7 2 2 7 2 4" xfId="13633"/>
    <cellStyle name="Vírgula 7 2 2 7 3" xfId="4382"/>
    <cellStyle name="Vírgula 7 2 2 7 3 2" xfId="6420"/>
    <cellStyle name="Vírgula 7 2 2 7 3 2 2" xfId="12574"/>
    <cellStyle name="Vírgula 7 2 2 7 3 2 3" xfId="12461"/>
    <cellStyle name="Vírgula 7 2 2 7 4" xfId="8604"/>
    <cellStyle name="Vírgula 7 2 2 7 4 2" xfId="11517"/>
    <cellStyle name="Vírgula 7 2 2 7 4 3" xfId="13223"/>
    <cellStyle name="Vírgula 7 2 2 7 5" xfId="8605"/>
    <cellStyle name="Vírgula 7 2 2 7 6" xfId="13529"/>
    <cellStyle name="Vírgula 7 2 2 8" xfId="2393"/>
    <cellStyle name="Vírgula 7 2 2 8 2" xfId="3522"/>
    <cellStyle name="Vírgula 7 2 2 8 2 2" xfId="4833"/>
    <cellStyle name="Vírgula 7 2 2 8 2 3" xfId="5691"/>
    <cellStyle name="Vírgula 7 2 2 8 3" xfId="3789"/>
    <cellStyle name="Vírgula 7 2 2 8 3 2" xfId="6421"/>
    <cellStyle name="Vírgula 7 2 2 9" xfId="2394"/>
    <cellStyle name="Vírgula 7 2 2 9 2" xfId="3523"/>
    <cellStyle name="Vírgula 7 2 2 9 2 2" xfId="4834"/>
    <cellStyle name="Vírgula 7 2 2 9 2 3" xfId="5692"/>
    <cellStyle name="Vírgula 7 2 2 9 3" xfId="4013"/>
    <cellStyle name="Vírgula 7 2 2 9 3 2" xfId="6422"/>
    <cellStyle name="Vírgula 7 2 3" xfId="454"/>
    <cellStyle name="Vírgula 7 2 3 10" xfId="2395"/>
    <cellStyle name="Vírgula 7 2 3 10 2" xfId="3524"/>
    <cellStyle name="Vírgula 7 2 3 10 2 2" xfId="4442"/>
    <cellStyle name="Vírgula 7 2 3 10 2 2 2" xfId="6639"/>
    <cellStyle name="Vírgula 7 2 3 10 2 3" xfId="5693"/>
    <cellStyle name="Vírgula 7 2 3 10 3" xfId="4280"/>
    <cellStyle name="Vírgula 7 2 3 10 3 2" xfId="6423"/>
    <cellStyle name="Vírgula 7 2 3 10 4" xfId="6831"/>
    <cellStyle name="Vírgula 7 2 3 10 5" xfId="5149"/>
    <cellStyle name="Vírgula 7 2 3 11" xfId="2396"/>
    <cellStyle name="Vírgula 7 2 3 11 2" xfId="2397"/>
    <cellStyle name="Vírgula 7 2 3 11 2 2" xfId="3526"/>
    <cellStyle name="Vírgula 7 2 3 11 2 2 2" xfId="4385"/>
    <cellStyle name="Vírgula 7 2 3 11 2 2 2 2" xfId="6641"/>
    <cellStyle name="Vírgula 7 2 3 11 2 2 3" xfId="5695"/>
    <cellStyle name="Vírgula 7 2 3 11 2 3" xfId="4282"/>
    <cellStyle name="Vírgula 7 2 3 11 2 3 2" xfId="6425"/>
    <cellStyle name="Vírgula 7 2 3 11 2 4" xfId="6833"/>
    <cellStyle name="Vírgula 7 2 3 11 2 5" xfId="5151"/>
    <cellStyle name="Vírgula 7 2 3 11 3" xfId="3525"/>
    <cellStyle name="Vírgula 7 2 3 11 3 2" xfId="4047"/>
    <cellStyle name="Vírgula 7 2 3 11 3 2 2" xfId="6640"/>
    <cellStyle name="Vírgula 7 2 3 11 3 3" xfId="5694"/>
    <cellStyle name="Vírgula 7 2 3 11 4" xfId="4281"/>
    <cellStyle name="Vírgula 7 2 3 11 4 2" xfId="6424"/>
    <cellStyle name="Vírgula 7 2 3 11 5" xfId="6832"/>
    <cellStyle name="Vírgula 7 2 3 11 6" xfId="5150"/>
    <cellStyle name="Vírgula 7 2 3 12" xfId="2398"/>
    <cellStyle name="Vírgula 7 2 3 12 2" xfId="3527"/>
    <cellStyle name="Vírgula 7 2 3 12 2 2" xfId="4332"/>
    <cellStyle name="Vírgula 7 2 3 12 2 2 2" xfId="6642"/>
    <cellStyle name="Vírgula 7 2 3 12 2 3" xfId="5696"/>
    <cellStyle name="Vírgula 7 2 3 12 3" xfId="4283"/>
    <cellStyle name="Vírgula 7 2 3 12 3 2" xfId="6426"/>
    <cellStyle name="Vírgula 7 2 3 12 3 2 2" xfId="12497"/>
    <cellStyle name="Vírgula 7 2 3 12 3 2 3" xfId="10991"/>
    <cellStyle name="Vírgula 7 2 3 12 4" xfId="6834"/>
    <cellStyle name="Vírgula 7 2 3 12 4 2" xfId="13037"/>
    <cellStyle name="Vírgula 7 2 3 12 5" xfId="5152"/>
    <cellStyle name="Vírgula 7 2 3 13" xfId="2399"/>
    <cellStyle name="Vírgula 7 2 3 13 2" xfId="3528"/>
    <cellStyle name="Vírgula 7 2 3 13 2 2" xfId="3734"/>
    <cellStyle name="Vírgula 7 2 3 13 2 2 2" xfId="6643"/>
    <cellStyle name="Vírgula 7 2 3 13 2 3" xfId="5697"/>
    <cellStyle name="Vírgula 7 2 3 13 3" xfId="4284"/>
    <cellStyle name="Vírgula 7 2 3 13 3 2" xfId="6427"/>
    <cellStyle name="Vírgula 7 2 3 13 4" xfId="6835"/>
    <cellStyle name="Vírgula 7 2 3 13 5" xfId="5153"/>
    <cellStyle name="Vírgula 7 2 3 14" xfId="3053"/>
    <cellStyle name="Vírgula 7 2 3 14 2" xfId="3979"/>
    <cellStyle name="Vírgula 7 2 3 14 2 2" xfId="6504"/>
    <cellStyle name="Vírgula 7 2 3 14 3" xfId="5222"/>
    <cellStyle name="Vírgula 7 2 3 15" xfId="3770"/>
    <cellStyle name="Vírgula 7 2 3 15 2" xfId="5920"/>
    <cellStyle name="Vírgula 7 2 3 16" xfId="6682"/>
    <cellStyle name="Vírgula 7 2 3 17" xfId="5000"/>
    <cellStyle name="Vírgula 7 2 3 2" xfId="601"/>
    <cellStyle name="Vírgula 7 2 3 2 2" xfId="884"/>
    <cellStyle name="Vírgula 7 2 3 2 2 2" xfId="3169"/>
    <cellStyle name="Vírgula 7 2 3 2 2 2 2" xfId="4340"/>
    <cellStyle name="Vírgula 7 2 3 2 2 2 2 2" xfId="6569"/>
    <cellStyle name="Vírgula 7 2 3 2 2 2 3" xfId="5338"/>
    <cellStyle name="Vírgula 7 2 3 2 2 2 4" xfId="10470"/>
    <cellStyle name="Vírgula 7 2 3 2 2 3" xfId="3918"/>
    <cellStyle name="Vírgula 7 2 3 2 2 3 2" xfId="6059"/>
    <cellStyle name="Vírgula 7 2 3 2 2 4" xfId="6754"/>
    <cellStyle name="Vírgula 7 2 3 2 2 5" xfId="5072"/>
    <cellStyle name="Vírgula 7 2 3 2 2 6" xfId="9838"/>
    <cellStyle name="Vírgula 7 2 3 2 3" xfId="3066"/>
    <cellStyle name="Vírgula 7 2 3 2 3 2" xfId="4321"/>
    <cellStyle name="Vírgula 7 2 3 2 3 2 2" xfId="6511"/>
    <cellStyle name="Vírgula 7 2 3 2 3 3" xfId="5235"/>
    <cellStyle name="Vírgula 7 2 3 2 3 4" xfId="10469"/>
    <cellStyle name="Vírgula 7 2 3 2 4" xfId="3812"/>
    <cellStyle name="Vírgula 7 2 3 2 4 2" xfId="5946"/>
    <cellStyle name="Vírgula 7 2 3 2 5" xfId="6690"/>
    <cellStyle name="Vírgula 7 2 3 2 6" xfId="5008"/>
    <cellStyle name="Vírgula 7 2 3 2 7" xfId="9417"/>
    <cellStyle name="Vírgula 7 2 3 3" xfId="602"/>
    <cellStyle name="Vírgula 7 2 3 3 2" xfId="603"/>
    <cellStyle name="Vírgula 7 2 3 3 2 2" xfId="885"/>
    <cellStyle name="Vírgula 7 2 3 3 2 2 2" xfId="3170"/>
    <cellStyle name="Vírgula 7 2 3 3 2 2 2 2" xfId="4349"/>
    <cellStyle name="Vírgula 7 2 3 3 2 2 2 2 2" xfId="6570"/>
    <cellStyle name="Vírgula 7 2 3 3 2 2 2 3" xfId="5339"/>
    <cellStyle name="Vírgula 7 2 3 3 2 2 3" xfId="3919"/>
    <cellStyle name="Vírgula 7 2 3 3 2 2 3 2" xfId="6060"/>
    <cellStyle name="Vírgula 7 2 3 3 2 2 4" xfId="6755"/>
    <cellStyle name="Vírgula 7 2 3 3 2 2 5" xfId="5073"/>
    <cellStyle name="Vírgula 7 2 3 3 2 3" xfId="3068"/>
    <cellStyle name="Vírgula 7 2 3 3 2 3 2" xfId="3744"/>
    <cellStyle name="Vírgula 7 2 3 3 2 3 2 2" xfId="6513"/>
    <cellStyle name="Vírgula 7 2 3 3 2 3 3" xfId="5237"/>
    <cellStyle name="Vírgula 7 2 3 3 2 4" xfId="3814"/>
    <cellStyle name="Vírgula 7 2 3 3 2 4 2" xfId="5948"/>
    <cellStyle name="Vírgula 7 2 3 3 2 5" xfId="6692"/>
    <cellStyle name="Vírgula 7 2 3 3 2 6" xfId="5010"/>
    <cellStyle name="Vírgula 7 2 3 3 2 7" xfId="10471"/>
    <cellStyle name="Vírgula 7 2 3 3 3" xfId="886"/>
    <cellStyle name="Vírgula 7 2 3 3 3 2" xfId="3171"/>
    <cellStyle name="Vírgula 7 2 3 3 3 2 2" xfId="3745"/>
    <cellStyle name="Vírgula 7 2 3 3 3 2 2 2" xfId="6571"/>
    <cellStyle name="Vírgula 7 2 3 3 3 2 3" xfId="5340"/>
    <cellStyle name="Vírgula 7 2 3 3 3 3" xfId="3920"/>
    <cellStyle name="Vírgula 7 2 3 3 3 3 2" xfId="6061"/>
    <cellStyle name="Vírgula 7 2 3 3 3 4" xfId="6756"/>
    <cellStyle name="Vírgula 7 2 3 3 3 5" xfId="5074"/>
    <cellStyle name="Vírgula 7 2 3 3 4" xfId="3067"/>
    <cellStyle name="Vírgula 7 2 3 3 4 2" xfId="4482"/>
    <cellStyle name="Vírgula 7 2 3 3 4 2 2" xfId="6512"/>
    <cellStyle name="Vírgula 7 2 3 3 4 3" xfId="5236"/>
    <cellStyle name="Vírgula 7 2 3 3 5" xfId="3813"/>
    <cellStyle name="Vírgula 7 2 3 3 5 2" xfId="5947"/>
    <cellStyle name="Vírgula 7 2 3 3 6" xfId="6691"/>
    <cellStyle name="Vírgula 7 2 3 3 7" xfId="5009"/>
    <cellStyle name="Vírgula 7 2 3 3 8" xfId="9557"/>
    <cellStyle name="Vírgula 7 2 3 4" xfId="604"/>
    <cellStyle name="Vírgula 7 2 3 4 2" xfId="887"/>
    <cellStyle name="Vírgula 7 2 3 4 2 2" xfId="3172"/>
    <cellStyle name="Vírgula 7 2 3 4 2 2 2" xfId="4226"/>
    <cellStyle name="Vírgula 7 2 3 4 2 2 2 2" xfId="6572"/>
    <cellStyle name="Vírgula 7 2 3 4 2 2 3" xfId="5341"/>
    <cellStyle name="Vírgula 7 2 3 4 2 3" xfId="3921"/>
    <cellStyle name="Vírgula 7 2 3 4 2 3 2" xfId="6062"/>
    <cellStyle name="Vírgula 7 2 3 4 2 4" xfId="6757"/>
    <cellStyle name="Vírgula 7 2 3 4 2 5" xfId="5075"/>
    <cellStyle name="Vírgula 7 2 3 4 3" xfId="3069"/>
    <cellStyle name="Vírgula 7 2 3 4 3 2" xfId="4380"/>
    <cellStyle name="Vírgula 7 2 3 4 3 2 2" xfId="6514"/>
    <cellStyle name="Vírgula 7 2 3 4 3 3" xfId="5238"/>
    <cellStyle name="Vírgula 7 2 3 4 4" xfId="3815"/>
    <cellStyle name="Vírgula 7 2 3 4 4 2" xfId="5949"/>
    <cellStyle name="Vírgula 7 2 3 4 5" xfId="6693"/>
    <cellStyle name="Vírgula 7 2 3 4 6" xfId="5011"/>
    <cellStyle name="Vírgula 7 2 3 4 7" xfId="10468"/>
    <cellStyle name="Vírgula 7 2 3 5" xfId="605"/>
    <cellStyle name="Vírgula 7 2 3 5 2" xfId="888"/>
    <cellStyle name="Vírgula 7 2 3 5 2 2" xfId="3173"/>
    <cellStyle name="Vírgula 7 2 3 5 2 2 2" xfId="4201"/>
    <cellStyle name="Vírgula 7 2 3 5 2 2 2 2" xfId="6573"/>
    <cellStyle name="Vírgula 7 2 3 5 2 2 3" xfId="5342"/>
    <cellStyle name="Vírgula 7 2 3 5 2 3" xfId="3922"/>
    <cellStyle name="Vírgula 7 2 3 5 2 3 2" xfId="6063"/>
    <cellStyle name="Vírgula 7 2 3 5 2 4" xfId="6758"/>
    <cellStyle name="Vírgula 7 2 3 5 2 5" xfId="5076"/>
    <cellStyle name="Vírgula 7 2 3 5 3" xfId="3070"/>
    <cellStyle name="Vírgula 7 2 3 5 3 2" xfId="4397"/>
    <cellStyle name="Vírgula 7 2 3 5 3 2 2" xfId="6515"/>
    <cellStyle name="Vírgula 7 2 3 5 3 3" xfId="5239"/>
    <cellStyle name="Vírgula 7 2 3 5 4" xfId="3816"/>
    <cellStyle name="Vírgula 7 2 3 5 4 2" xfId="5950"/>
    <cellStyle name="Vírgula 7 2 3 5 5" xfId="6694"/>
    <cellStyle name="Vírgula 7 2 3 5 6" xfId="5012"/>
    <cellStyle name="Vírgula 7 2 3 5 7" xfId="10767"/>
    <cellStyle name="Vírgula 7 2 3 6" xfId="606"/>
    <cellStyle name="Vírgula 7 2 3 6 2" xfId="889"/>
    <cellStyle name="Vírgula 7 2 3 6 2 2" xfId="3174"/>
    <cellStyle name="Vírgula 7 2 3 6 2 2 2" xfId="4167"/>
    <cellStyle name="Vírgula 7 2 3 6 2 2 2 2" xfId="6574"/>
    <cellStyle name="Vírgula 7 2 3 6 2 2 3" xfId="5343"/>
    <cellStyle name="Vírgula 7 2 3 6 2 3" xfId="3923"/>
    <cellStyle name="Vírgula 7 2 3 6 2 3 2" xfId="6064"/>
    <cellStyle name="Vírgula 7 2 3 6 2 4" xfId="6759"/>
    <cellStyle name="Vírgula 7 2 3 6 2 5" xfId="5077"/>
    <cellStyle name="Vírgula 7 2 3 6 3" xfId="3071"/>
    <cellStyle name="Vírgula 7 2 3 6 3 2" xfId="4457"/>
    <cellStyle name="Vírgula 7 2 3 6 3 2 2" xfId="6516"/>
    <cellStyle name="Vírgula 7 2 3 6 3 3" xfId="5240"/>
    <cellStyle name="Vírgula 7 2 3 6 4" xfId="3817"/>
    <cellStyle name="Vírgula 7 2 3 6 4 2" xfId="5951"/>
    <cellStyle name="Vírgula 7 2 3 6 5" xfId="6695"/>
    <cellStyle name="Vírgula 7 2 3 6 6" xfId="5013"/>
    <cellStyle name="Vírgula 7 2 3 6 7" xfId="10897"/>
    <cellStyle name="Vírgula 7 2 3 7" xfId="607"/>
    <cellStyle name="Vírgula 7 2 3 7 2" xfId="890"/>
    <cellStyle name="Vírgula 7 2 3 7 2 2" xfId="3175"/>
    <cellStyle name="Vírgula 7 2 3 7 2 2 2" xfId="4134"/>
    <cellStyle name="Vírgula 7 2 3 7 2 2 2 2" xfId="6575"/>
    <cellStyle name="Vírgula 7 2 3 7 2 2 3" xfId="5344"/>
    <cellStyle name="Vírgula 7 2 3 7 2 3" xfId="3924"/>
    <cellStyle name="Vírgula 7 2 3 7 2 3 2" xfId="6065"/>
    <cellStyle name="Vírgula 7 2 3 7 2 4" xfId="6760"/>
    <cellStyle name="Vírgula 7 2 3 7 2 5" xfId="5078"/>
    <cellStyle name="Vírgula 7 2 3 7 3" xfId="3072"/>
    <cellStyle name="Vírgula 7 2 3 7 3 2" xfId="4195"/>
    <cellStyle name="Vírgula 7 2 3 7 3 2 2" xfId="6517"/>
    <cellStyle name="Vírgula 7 2 3 7 3 3" xfId="5241"/>
    <cellStyle name="Vírgula 7 2 3 7 4" xfId="3818"/>
    <cellStyle name="Vírgula 7 2 3 7 4 2" xfId="5952"/>
    <cellStyle name="Vírgula 7 2 3 7 5" xfId="6696"/>
    <cellStyle name="Vírgula 7 2 3 7 6" xfId="5014"/>
    <cellStyle name="Vírgula 7 2 3 8" xfId="891"/>
    <cellStyle name="Vírgula 7 2 3 8 2" xfId="2401"/>
    <cellStyle name="Vírgula 7 2 3 8 2 2" xfId="3530"/>
    <cellStyle name="Vírgula 7 2 3 8 2 2 2" xfId="4365"/>
    <cellStyle name="Vírgula 7 2 3 8 2 2 2 2" xfId="6645"/>
    <cellStyle name="Vírgula 7 2 3 8 2 2 3" xfId="5699"/>
    <cellStyle name="Vírgula 7 2 3 8 2 3" xfId="4286"/>
    <cellStyle name="Vírgula 7 2 3 8 2 3 2" xfId="6429"/>
    <cellStyle name="Vírgula 7 2 3 8 2 4" xfId="6837"/>
    <cellStyle name="Vírgula 7 2 3 8 2 5" xfId="5155"/>
    <cellStyle name="Vírgula 7 2 3 8 3" xfId="2400"/>
    <cellStyle name="Vírgula 7 2 3 8 3 2" xfId="3529"/>
    <cellStyle name="Vírgula 7 2 3 8 3 2 2" xfId="4407"/>
    <cellStyle name="Vírgula 7 2 3 8 3 2 2 2" xfId="6644"/>
    <cellStyle name="Vírgula 7 2 3 8 3 2 3" xfId="5698"/>
    <cellStyle name="Vírgula 7 2 3 8 3 3" xfId="4285"/>
    <cellStyle name="Vírgula 7 2 3 8 3 3 2" xfId="6428"/>
    <cellStyle name="Vírgula 7 2 3 8 3 4" xfId="6836"/>
    <cellStyle name="Vírgula 7 2 3 8 3 5" xfId="5154"/>
    <cellStyle name="Vírgula 7 2 3 8 4" xfId="3176"/>
    <cellStyle name="Vírgula 7 2 3 8 4 2" xfId="4146"/>
    <cellStyle name="Vírgula 7 2 3 8 4 2 2" xfId="6576"/>
    <cellStyle name="Vírgula 7 2 3 8 4 3" xfId="5345"/>
    <cellStyle name="Vírgula 7 2 3 8 4 3 2" xfId="11176"/>
    <cellStyle name="Vírgula 7 2 3 8 4 3 3" xfId="11709"/>
    <cellStyle name="Vírgula 7 2 3 8 5" xfId="3925"/>
    <cellStyle name="Vírgula 7 2 3 8 5 2" xfId="6066"/>
    <cellStyle name="Vírgula 7 2 3 8 5 2 2" xfId="11781"/>
    <cellStyle name="Vírgula 7 2 3 8 5 2 3" xfId="12931"/>
    <cellStyle name="Vírgula 7 2 3 8 6" xfId="6761"/>
    <cellStyle name="Vírgula 7 2 3 8 7" xfId="5079"/>
    <cellStyle name="Vírgula 7 2 3 9" xfId="2402"/>
    <cellStyle name="Vírgula 7 2 3 9 2" xfId="2403"/>
    <cellStyle name="Vírgula 7 2 3 9 2 2" xfId="3532"/>
    <cellStyle name="Vírgula 7 2 3 9 2 2 2" xfId="4209"/>
    <cellStyle name="Vírgula 7 2 3 9 2 2 2 2" xfId="6647"/>
    <cellStyle name="Vírgula 7 2 3 9 2 2 3" xfId="5701"/>
    <cellStyle name="Vírgula 7 2 3 9 2 3" xfId="4288"/>
    <cellStyle name="Vírgula 7 2 3 9 2 3 2" xfId="6431"/>
    <cellStyle name="Vírgula 7 2 3 9 2 4" xfId="6839"/>
    <cellStyle name="Vírgula 7 2 3 9 2 5" xfId="5157"/>
    <cellStyle name="Vírgula 7 2 3 9 3" xfId="3531"/>
    <cellStyle name="Vírgula 7 2 3 9 3 2" xfId="3729"/>
    <cellStyle name="Vírgula 7 2 3 9 3 2 2" xfId="6646"/>
    <cellStyle name="Vírgula 7 2 3 9 3 3" xfId="5700"/>
    <cellStyle name="Vírgula 7 2 3 9 4" xfId="4287"/>
    <cellStyle name="Vírgula 7 2 3 9 4 2" xfId="6430"/>
    <cellStyle name="Vírgula 7 2 3 9 5" xfId="6838"/>
    <cellStyle name="Vírgula 7 2 3 9 6" xfId="5156"/>
    <cellStyle name="Vírgula 7 2 4" xfId="455"/>
    <cellStyle name="Vírgula 7 2 4 2" xfId="608"/>
    <cellStyle name="Vírgula 7 2 4 2 2" xfId="892"/>
    <cellStyle name="Vírgula 7 2 4 2 2 2" xfId="3177"/>
    <cellStyle name="Vírgula 7 2 4 2 2 2 2" xfId="3739"/>
    <cellStyle name="Vírgula 7 2 4 2 2 2 2 2" xfId="6577"/>
    <cellStyle name="Vírgula 7 2 4 2 2 2 3" xfId="5346"/>
    <cellStyle name="Vírgula 7 2 4 2 2 3" xfId="3926"/>
    <cellStyle name="Vírgula 7 2 4 2 2 3 2" xfId="6067"/>
    <cellStyle name="Vírgula 7 2 4 2 2 4" xfId="6762"/>
    <cellStyle name="Vírgula 7 2 4 2 2 5" xfId="5080"/>
    <cellStyle name="Vírgula 7 2 4 2 2 6" xfId="10473"/>
    <cellStyle name="Vírgula 7 2 4 2 3" xfId="3073"/>
    <cellStyle name="Vírgula 7 2 4 2 3 2" xfId="4224"/>
    <cellStyle name="Vírgula 7 2 4 2 3 2 2" xfId="6518"/>
    <cellStyle name="Vírgula 7 2 4 2 3 3" xfId="5242"/>
    <cellStyle name="Vírgula 7 2 4 2 4" xfId="3819"/>
    <cellStyle name="Vírgula 7 2 4 2 4 2" xfId="5953"/>
    <cellStyle name="Vírgula 7 2 4 2 5" xfId="6697"/>
    <cellStyle name="Vírgula 7 2 4 2 6" xfId="5015"/>
    <cellStyle name="Vírgula 7 2 4 2 7" xfId="9652"/>
    <cellStyle name="Vírgula 7 2 4 3" xfId="893"/>
    <cellStyle name="Vírgula 7 2 4 3 2" xfId="3178"/>
    <cellStyle name="Vírgula 7 2 4 3 2 2" xfId="4364"/>
    <cellStyle name="Vírgula 7 2 4 3 2 2 2" xfId="6578"/>
    <cellStyle name="Vírgula 7 2 4 3 2 3" xfId="5347"/>
    <cellStyle name="Vírgula 7 2 4 3 3" xfId="3927"/>
    <cellStyle name="Vírgula 7 2 4 3 3 2" xfId="6068"/>
    <cellStyle name="Vírgula 7 2 4 3 4" xfId="6763"/>
    <cellStyle name="Vírgula 7 2 4 3 5" xfId="5081"/>
    <cellStyle name="Vírgula 7 2 4 3 6" xfId="10472"/>
    <cellStyle name="Vírgula 7 2 4 4" xfId="3054"/>
    <cellStyle name="Vírgula 7 2 4 4 2" xfId="4090"/>
    <cellStyle name="Vírgula 7 2 4 4 2 2" xfId="6505"/>
    <cellStyle name="Vírgula 7 2 4 4 3" xfId="5223"/>
    <cellStyle name="Vírgula 7 2 4 5" xfId="3771"/>
    <cellStyle name="Vírgula 7 2 4 5 2" xfId="5921"/>
    <cellStyle name="Vírgula 7 2 4 6" xfId="6683"/>
    <cellStyle name="Vírgula 7 2 4 7" xfId="5001"/>
    <cellStyle name="Vírgula 7 2 4 8" xfId="9199"/>
    <cellStyle name="Vírgula 7 2 5" xfId="456"/>
    <cellStyle name="Vírgula 7 2 5 10" xfId="5002"/>
    <cellStyle name="Vírgula 7 2 5 10 2" xfId="8606"/>
    <cellStyle name="Vírgula 7 2 5 10 3" xfId="11102"/>
    <cellStyle name="Vírgula 7 2 5 11" xfId="8607"/>
    <cellStyle name="Vírgula 7 2 5 11 2" xfId="8608"/>
    <cellStyle name="Vírgula 7 2 5 12" xfId="8609"/>
    <cellStyle name="Vírgula 7 2 5 12 2" xfId="8610"/>
    <cellStyle name="Vírgula 7 2 5 12 2 2" xfId="8611"/>
    <cellStyle name="Vírgula 7 2 5 12 3" xfId="8612"/>
    <cellStyle name="Vírgula 7 2 5 13" xfId="8613"/>
    <cellStyle name="Vírgula 7 2 5 13 2" xfId="8614"/>
    <cellStyle name="Vírgula 7 2 5 13 2 2" xfId="8615"/>
    <cellStyle name="Vírgula 7 2 5 13 3" xfId="8616"/>
    <cellStyle name="Vírgula 7 2 5 14" xfId="8617"/>
    <cellStyle name="Vírgula 7 2 5 14 2" xfId="8618"/>
    <cellStyle name="Vírgula 7 2 5 15" xfId="8619"/>
    <cellStyle name="Vírgula 7 2 5 15 2" xfId="8620"/>
    <cellStyle name="Vírgula 7 2 5 16" xfId="8621"/>
    <cellStyle name="Vírgula 7 2 5 17" xfId="8622"/>
    <cellStyle name="Vírgula 7 2 5 18" xfId="8623"/>
    <cellStyle name="Vírgula 7 2 5 2" xfId="894"/>
    <cellStyle name="Vírgula 7 2 5 2 2" xfId="2405"/>
    <cellStyle name="Vírgula 7 2 5 2 2 2" xfId="3534"/>
    <cellStyle name="Vírgula 7 2 5 2 2 2 2" xfId="4117"/>
    <cellStyle name="Vírgula 7 2 5 2 2 2 2 2" xfId="6649"/>
    <cellStyle name="Vírgula 7 2 5 2 2 2 3" xfId="5703"/>
    <cellStyle name="Vírgula 7 2 5 2 2 3" xfId="4290"/>
    <cellStyle name="Vírgula 7 2 5 2 2 3 2" xfId="6433"/>
    <cellStyle name="Vírgula 7 2 5 2 2 4" xfId="6841"/>
    <cellStyle name="Vírgula 7 2 5 2 2 5" xfId="5159"/>
    <cellStyle name="Vírgula 7 2 5 2 2 6" xfId="10475"/>
    <cellStyle name="Vírgula 7 2 5 2 3" xfId="3179"/>
    <cellStyle name="Vírgula 7 2 5 2 3 2" xfId="4180"/>
    <cellStyle name="Vírgula 7 2 5 2 3 2 2" xfId="6579"/>
    <cellStyle name="Vírgula 7 2 5 2 3 3" xfId="5348"/>
    <cellStyle name="Vírgula 7 2 5 2 3 3 2" xfId="11552"/>
    <cellStyle name="Vírgula 7 2 5 2 3 3 3" xfId="11190"/>
    <cellStyle name="Vírgula 7 2 5 2 4" xfId="3928"/>
    <cellStyle name="Vírgula 7 2 5 2 4 2" xfId="6069"/>
    <cellStyle name="Vírgula 7 2 5 2 4 2 2" xfId="11825"/>
    <cellStyle name="Vírgula 7 2 5 2 4 2 3" xfId="11484"/>
    <cellStyle name="Vírgula 7 2 5 2 5" xfId="6764"/>
    <cellStyle name="Vírgula 7 2 5 2 6" xfId="5082"/>
    <cellStyle name="Vírgula 7 2 5 3" xfId="1085"/>
    <cellStyle name="Vírgula 7 2 5 3 2" xfId="3217"/>
    <cellStyle name="Vírgula 7 2 5 3 2 2" xfId="3854"/>
    <cellStyle name="Vírgula 7 2 5 3 2 2 2" xfId="6611"/>
    <cellStyle name="Vírgula 7 2 5 3 2 3" xfId="5386"/>
    <cellStyle name="Vírgula 7 2 5 3 3" xfId="3994"/>
    <cellStyle name="Vírgula 7 2 5 3 3 2" xfId="6110"/>
    <cellStyle name="Vírgula 7 2 5 3 4" xfId="6797"/>
    <cellStyle name="Vírgula 7 2 5 3 5" xfId="5115"/>
    <cellStyle name="Vírgula 7 2 5 3 6" xfId="10474"/>
    <cellStyle name="Vírgula 7 2 5 4" xfId="2406"/>
    <cellStyle name="Vírgula 7 2 5 4 2" xfId="3535"/>
    <cellStyle name="Vírgula 7 2 5 4 2 2" xfId="4451"/>
    <cellStyle name="Vírgula 7 2 5 4 2 2 2" xfId="6650"/>
    <cellStyle name="Vírgula 7 2 5 4 2 3" xfId="5704"/>
    <cellStyle name="Vírgula 7 2 5 4 3" xfId="4291"/>
    <cellStyle name="Vírgula 7 2 5 4 3 2" xfId="6434"/>
    <cellStyle name="Vírgula 7 2 5 4 4" xfId="6842"/>
    <cellStyle name="Vírgula 7 2 5 4 5" xfId="5160"/>
    <cellStyle name="Vírgula 7 2 5 5" xfId="2407"/>
    <cellStyle name="Vírgula 7 2 5 5 2" xfId="3536"/>
    <cellStyle name="Vírgula 7 2 5 5 2 2" xfId="4410"/>
    <cellStyle name="Vírgula 7 2 5 5 2 2 2" xfId="6651"/>
    <cellStyle name="Vírgula 7 2 5 5 2 3" xfId="5705"/>
    <cellStyle name="Vírgula 7 2 5 5 3" xfId="4292"/>
    <cellStyle name="Vírgula 7 2 5 5 3 2" xfId="6435"/>
    <cellStyle name="Vírgula 7 2 5 5 4" xfId="6843"/>
    <cellStyle name="Vírgula 7 2 5 5 5" xfId="5161"/>
    <cellStyle name="Vírgula 7 2 5 6" xfId="2404"/>
    <cellStyle name="Vírgula 7 2 5 6 2" xfId="3533"/>
    <cellStyle name="Vírgula 7 2 5 6 2 2" xfId="4210"/>
    <cellStyle name="Vírgula 7 2 5 6 2 2 2" xfId="6648"/>
    <cellStyle name="Vírgula 7 2 5 6 2 3" xfId="5702"/>
    <cellStyle name="Vírgula 7 2 5 6 3" xfId="4289"/>
    <cellStyle name="Vírgula 7 2 5 6 3 2" xfId="6432"/>
    <cellStyle name="Vírgula 7 2 5 6 4" xfId="6840"/>
    <cellStyle name="Vírgula 7 2 5 6 5" xfId="5158"/>
    <cellStyle name="Vírgula 7 2 5 7" xfId="3055"/>
    <cellStyle name="Vírgula 7 2 5 7 2" xfId="3757"/>
    <cellStyle name="Vírgula 7 2 5 7 2 2" xfId="6506"/>
    <cellStyle name="Vírgula 7 2 5 7 2 2 2" xfId="12333"/>
    <cellStyle name="Vírgula 7 2 5 7 2 2 3" xfId="11310"/>
    <cellStyle name="Vírgula 7 2 5 7 3" xfId="5224"/>
    <cellStyle name="Vírgula 7 2 5 7 3 2" xfId="11295"/>
    <cellStyle name="Vírgula 7 2 5 7 3 3" xfId="13108"/>
    <cellStyle name="Vírgula 7 2 5 7 4" xfId="13581"/>
    <cellStyle name="Vírgula 7 2 5 8" xfId="3772"/>
    <cellStyle name="Vírgula 7 2 5 8 2" xfId="5922"/>
    <cellStyle name="Vírgula 7 2 5 8 2 2" xfId="8624"/>
    <cellStyle name="Vírgula 7 2 5 8 2 3" xfId="11998"/>
    <cellStyle name="Vírgula 7 2 5 8 3" xfId="8625"/>
    <cellStyle name="Vírgula 7 2 5 8 4" xfId="13648"/>
    <cellStyle name="Vírgula 7 2 5 9" xfId="6684"/>
    <cellStyle name="Vírgula 7 2 5 9 2" xfId="8626"/>
    <cellStyle name="Vírgula 7 2 5 9 2 2" xfId="8627"/>
    <cellStyle name="Vírgula 7 2 5 9 3" xfId="8628"/>
    <cellStyle name="Vírgula 7 2 5 9 4" xfId="13043"/>
    <cellStyle name="Vírgula 7 2 6" xfId="609"/>
    <cellStyle name="Vírgula 7 2 6 2" xfId="610"/>
    <cellStyle name="Vírgula 7 2 6 2 2" xfId="895"/>
    <cellStyle name="Vírgula 7 2 6 2 2 2" xfId="3180"/>
    <cellStyle name="Vírgula 7 2 6 2 2 2 2" xfId="4227"/>
    <cellStyle name="Vírgula 7 2 6 2 2 2 2 2" xfId="6580"/>
    <cellStyle name="Vírgula 7 2 6 2 2 2 3" xfId="5349"/>
    <cellStyle name="Vírgula 7 2 6 2 2 3" xfId="3929"/>
    <cellStyle name="Vírgula 7 2 6 2 2 3 2" xfId="6070"/>
    <cellStyle name="Vírgula 7 2 6 2 2 4" xfId="6765"/>
    <cellStyle name="Vírgula 7 2 6 2 2 5" xfId="5083"/>
    <cellStyle name="Vírgula 7 2 6 2 2 6" xfId="10477"/>
    <cellStyle name="Vírgula 7 2 6 2 3" xfId="3075"/>
    <cellStyle name="Vírgula 7 2 6 2 3 2" xfId="4113"/>
    <cellStyle name="Vírgula 7 2 6 2 3 2 2" xfId="6520"/>
    <cellStyle name="Vírgula 7 2 6 2 3 3" xfId="5244"/>
    <cellStyle name="Vírgula 7 2 6 2 4" xfId="3821"/>
    <cellStyle name="Vírgula 7 2 6 2 4 2" xfId="5955"/>
    <cellStyle name="Vírgula 7 2 6 2 5" xfId="6699"/>
    <cellStyle name="Vírgula 7 2 6 2 6" xfId="5017"/>
    <cellStyle name="Vírgula 7 2 6 2 7" xfId="9604"/>
    <cellStyle name="Vírgula 7 2 6 3" xfId="896"/>
    <cellStyle name="Vírgula 7 2 6 3 2" xfId="3181"/>
    <cellStyle name="Vírgula 7 2 6 3 2 2" xfId="4250"/>
    <cellStyle name="Vírgula 7 2 6 3 2 2 2" xfId="6581"/>
    <cellStyle name="Vírgula 7 2 6 3 2 3" xfId="5350"/>
    <cellStyle name="Vírgula 7 2 6 3 3" xfId="3930"/>
    <cellStyle name="Vírgula 7 2 6 3 3 2" xfId="6071"/>
    <cellStyle name="Vírgula 7 2 6 3 4" xfId="6766"/>
    <cellStyle name="Vírgula 7 2 6 3 5" xfId="5084"/>
    <cellStyle name="Vírgula 7 2 6 3 6" xfId="10476"/>
    <cellStyle name="Vírgula 7 2 6 4" xfId="3074"/>
    <cellStyle name="Vírgula 7 2 6 4 2" xfId="4048"/>
    <cellStyle name="Vírgula 7 2 6 4 2 2" xfId="6519"/>
    <cellStyle name="Vírgula 7 2 6 4 3" xfId="5243"/>
    <cellStyle name="Vírgula 7 2 6 5" xfId="3820"/>
    <cellStyle name="Vírgula 7 2 6 5 2" xfId="5954"/>
    <cellStyle name="Vírgula 7 2 6 6" xfId="6698"/>
    <cellStyle name="Vírgula 7 2 6 7" xfId="5016"/>
    <cellStyle name="Vírgula 7 2 6 8" xfId="9123"/>
    <cellStyle name="Vírgula 7 2 7" xfId="611"/>
    <cellStyle name="Vírgula 7 2 7 2" xfId="897"/>
    <cellStyle name="Vírgula 7 2 7 2 2" xfId="3182"/>
    <cellStyle name="Vírgula 7 2 7 2 2 2" xfId="4479"/>
    <cellStyle name="Vírgula 7 2 7 2 2 2 2" xfId="6582"/>
    <cellStyle name="Vírgula 7 2 7 2 2 3" xfId="5351"/>
    <cellStyle name="Vírgula 7 2 7 2 3" xfId="3931"/>
    <cellStyle name="Vírgula 7 2 7 2 3 2" xfId="6072"/>
    <cellStyle name="Vírgula 7 2 7 2 4" xfId="6767"/>
    <cellStyle name="Vírgula 7 2 7 2 5" xfId="5085"/>
    <cellStyle name="Vírgula 7 2 7 2 6" xfId="10478"/>
    <cellStyle name="Vírgula 7 2 7 3" xfId="3076"/>
    <cellStyle name="Vírgula 7 2 7 3 2" xfId="3848"/>
    <cellStyle name="Vírgula 7 2 7 3 2 2" xfId="6521"/>
    <cellStyle name="Vírgula 7 2 7 3 3" xfId="5245"/>
    <cellStyle name="Vírgula 7 2 7 4" xfId="3822"/>
    <cellStyle name="Vírgula 7 2 7 4 2" xfId="5956"/>
    <cellStyle name="Vírgula 7 2 7 5" xfId="6700"/>
    <cellStyle name="Vírgula 7 2 7 6" xfId="5018"/>
    <cellStyle name="Vírgula 7 2 7 7" xfId="9473"/>
    <cellStyle name="Vírgula 7 2 8" xfId="733"/>
    <cellStyle name="Vírgula 7 2 8 2" xfId="2408"/>
    <cellStyle name="Vírgula 7 2 8 2 2" xfId="3537"/>
    <cellStyle name="Vírgula 7 2 8 2 2 2" xfId="4240"/>
    <cellStyle name="Vírgula 7 2 8 2 2 2 2" xfId="6652"/>
    <cellStyle name="Vírgula 7 2 8 2 2 3" xfId="5706"/>
    <cellStyle name="Vírgula 7 2 8 2 3" xfId="4293"/>
    <cellStyle name="Vírgula 7 2 8 2 3 2" xfId="6436"/>
    <cellStyle name="Vírgula 7 2 8 2 4" xfId="6844"/>
    <cellStyle name="Vírgula 7 2 8 2 5" xfId="5162"/>
    <cellStyle name="Vírgula 7 2 8 3" xfId="3118"/>
    <cellStyle name="Vírgula 7 2 8 3 2" xfId="4533"/>
    <cellStyle name="Vírgula 7 2 8 3 3" xfId="5287"/>
    <cellStyle name="Vírgula 7 2 8 3 3 2" xfId="11703"/>
    <cellStyle name="Vírgula 7 2 8 3 3 3" xfId="10992"/>
    <cellStyle name="Vírgula 7 2 8 3 4" xfId="13600"/>
    <cellStyle name="Vírgula 7 2 8 4" xfId="4217"/>
    <cellStyle name="Vírgula 7 2 8 4 2" xfId="6003"/>
    <cellStyle name="Vírgula 7 2 8 5" xfId="8629"/>
    <cellStyle name="Vírgula 7 2 8 6" xfId="9897"/>
    <cellStyle name="Vírgula 7 2 9" xfId="2409"/>
    <cellStyle name="Vírgula 7 2 9 2" xfId="3538"/>
    <cellStyle name="Vírgula 7 2 9 2 2" xfId="4042"/>
    <cellStyle name="Vírgula 7 2 9 2 2 2" xfId="6653"/>
    <cellStyle name="Vírgula 7 2 9 2 3" xfId="5707"/>
    <cellStyle name="Vírgula 7 2 9 3" xfId="4294"/>
    <cellStyle name="Vírgula 7 2 9 3 2" xfId="6437"/>
    <cellStyle name="Vírgula 7 2 9 4" xfId="6845"/>
    <cellStyle name="Vírgula 7 2 9 5" xfId="5163"/>
    <cellStyle name="Vírgula 7 2 9 6" xfId="9057"/>
    <cellStyle name="Vírgula 7 20" xfId="2410"/>
    <cellStyle name="Vírgula 7 20 2" xfId="3539"/>
    <cellStyle name="Vírgula 7 20 2 2" xfId="4100"/>
    <cellStyle name="Vírgula 7 20 2 2 2" xfId="6654"/>
    <cellStyle name="Vírgula 7 20 2 3" xfId="5708"/>
    <cellStyle name="Vírgula 7 20 3" xfId="4295"/>
    <cellStyle name="Vírgula 7 20 3 2" xfId="6438"/>
    <cellStyle name="Vírgula 7 20 4" xfId="6846"/>
    <cellStyle name="Vírgula 7 20 5" xfId="5164"/>
    <cellStyle name="Vírgula 7 21" xfId="2357"/>
    <cellStyle name="Vírgula 7 21 2" xfId="2884"/>
    <cellStyle name="Vírgula 7 21 2 2" xfId="3661"/>
    <cellStyle name="Vírgula 7 21 2 2 2" xfId="4939"/>
    <cellStyle name="Vírgula 7 21 2 2 3" xfId="5830"/>
    <cellStyle name="Vírgula 7 21 3" xfId="2809"/>
    <cellStyle name="Vírgula 7 21 3 2" xfId="3637"/>
    <cellStyle name="Vírgula 7 21 3 2 2" xfId="4915"/>
    <cellStyle name="Vírgula 7 21 3 2 3" xfId="5806"/>
    <cellStyle name="Vírgula 7 21 4" xfId="2662"/>
    <cellStyle name="Vírgula 7 21 4 2" xfId="3617"/>
    <cellStyle name="Vírgula 7 21 4 2 2" xfId="4895"/>
    <cellStyle name="Vírgula 7 21 4 2 3" xfId="5786"/>
    <cellStyle name="Vírgula 7 21 5" xfId="2595"/>
    <cellStyle name="Vírgula 7 21 5 2" xfId="3601"/>
    <cellStyle name="Vírgula 7 21 5 2 2" xfId="4879"/>
    <cellStyle name="Vírgula 7 21 5 2 3" xfId="5770"/>
    <cellStyle name="Vírgula 7 21 6" xfId="3486"/>
    <cellStyle name="Vírgula 7 21 6 2" xfId="4816"/>
    <cellStyle name="Vírgula 7 21 6 3" xfId="5655"/>
    <cellStyle name="Vírgula 7 21 7" xfId="3694"/>
    <cellStyle name="Vírgula 7 21 7 2" xfId="6385"/>
    <cellStyle name="Vírgula 7 22" xfId="3034"/>
    <cellStyle name="Vírgula 7 22 2" xfId="4019"/>
    <cellStyle name="Vírgula 7 22 2 2" xfId="5886"/>
    <cellStyle name="Vírgula 7 22 3" xfId="5203"/>
    <cellStyle name="Vírgula 7 23" xfId="3704"/>
    <cellStyle name="Vírgula 7 23 2" xfId="6493"/>
    <cellStyle name="Vírgula 7 24" xfId="4066"/>
    <cellStyle name="Vírgula 7 24 2" xfId="6497"/>
    <cellStyle name="Vírgula 7 25" xfId="5863"/>
    <cellStyle name="Vírgula 7 26" xfId="6672"/>
    <cellStyle name="Vírgula 7 27" xfId="4989"/>
    <cellStyle name="Vírgula 7 3" xfId="123"/>
    <cellStyle name="Vírgula 7 3 10" xfId="898"/>
    <cellStyle name="Vírgula 7 3 10 2" xfId="3183"/>
    <cellStyle name="Vírgula 7 3 10 2 2" xfId="4254"/>
    <cellStyle name="Vírgula 7 3 10 2 2 2" xfId="6583"/>
    <cellStyle name="Vírgula 7 3 10 2 3" xfId="5352"/>
    <cellStyle name="Vírgula 7 3 10 3" xfId="3932"/>
    <cellStyle name="Vírgula 7 3 10 3 2" xfId="6073"/>
    <cellStyle name="Vírgula 7 3 10 4" xfId="6768"/>
    <cellStyle name="Vírgula 7 3 10 5" xfId="5086"/>
    <cellStyle name="Vírgula 7 3 10 6" xfId="10685"/>
    <cellStyle name="Vírgula 7 3 11" xfId="5903"/>
    <cellStyle name="Vírgula 7 3 11 2" xfId="10816"/>
    <cellStyle name="Vírgula 7 3 12" xfId="8966"/>
    <cellStyle name="Vírgula 7 3 2" xfId="457"/>
    <cellStyle name="Vírgula 7 3 2 10" xfId="8630"/>
    <cellStyle name="Vírgula 7 3 2 10 2" xfId="11061"/>
    <cellStyle name="Vírgula 7 3 2 10 3" xfId="11478"/>
    <cellStyle name="Vírgula 7 3 2 11" xfId="8631"/>
    <cellStyle name="Vírgula 7 3 2 12" xfId="8632"/>
    <cellStyle name="Vírgula 7 3 2 13" xfId="8633"/>
    <cellStyle name="Vírgula 7 3 2 14" xfId="9260"/>
    <cellStyle name="Vírgula 7 3 2 2" xfId="612"/>
    <cellStyle name="Vírgula 7 3 2 2 10" xfId="8634"/>
    <cellStyle name="Vírgula 7 3 2 2 11" xfId="9378"/>
    <cellStyle name="Vírgula 7 3 2 2 2" xfId="833"/>
    <cellStyle name="Vírgula 7 3 2 2 2 2" xfId="3129"/>
    <cellStyle name="Vírgula 7 3 2 2 2 2 2" xfId="4544"/>
    <cellStyle name="Vírgula 7 3 2 2 2 2 3" xfId="5298"/>
    <cellStyle name="Vírgula 7 3 2 2 2 2 4" xfId="10481"/>
    <cellStyle name="Vírgula 7 3 2 2 2 3" xfId="4016"/>
    <cellStyle name="Vírgula 7 3 2 2 2 3 2" xfId="6015"/>
    <cellStyle name="Vírgula 7 3 2 2 2 4" xfId="9797"/>
    <cellStyle name="Vírgula 7 3 2 2 3" xfId="3077"/>
    <cellStyle name="Vírgula 7 3 2 2 3 2" xfId="4504"/>
    <cellStyle name="Vírgula 7 3 2 2 3 3" xfId="5246"/>
    <cellStyle name="Vírgula 7 3 2 2 3 3 2" xfId="11284"/>
    <cellStyle name="Vírgula 7 3 2 2 3 3 3" xfId="12419"/>
    <cellStyle name="Vírgula 7 3 2 2 3 4" xfId="10480"/>
    <cellStyle name="Vírgula 7 3 2 2 3 4 2" xfId="14901"/>
    <cellStyle name="Vírgula 7 3 2 2 3 4 3" xfId="13588"/>
    <cellStyle name="Vírgula 7 3 2 2 4" xfId="4437"/>
    <cellStyle name="Vírgula 7 3 2 2 4 2" xfId="5957"/>
    <cellStyle name="Vírgula 7 3 2 2 4 2 2" xfId="11676"/>
    <cellStyle name="Vírgula 7 3 2 2 4 2 3" xfId="10993"/>
    <cellStyle name="Vírgula 7 3 2 2 4 3" xfId="13721"/>
    <cellStyle name="Vírgula 7 3 2 2 5" xfId="8635"/>
    <cellStyle name="Vírgula 7 3 2 2 5 2" xfId="13105"/>
    <cellStyle name="Vírgula 7 3 2 2 5 3" xfId="13109"/>
    <cellStyle name="Vírgula 7 3 2 2 6" xfId="8636"/>
    <cellStyle name="Vírgula 7 3 2 2 6 2" xfId="12031"/>
    <cellStyle name="Vírgula 7 3 2 2 6 3" xfId="11519"/>
    <cellStyle name="Vírgula 7 3 2 2 7" xfId="8637"/>
    <cellStyle name="Vírgula 7 3 2 2 7 2" xfId="11954"/>
    <cellStyle name="Vírgula 7 3 2 2 7 3" xfId="13004"/>
    <cellStyle name="Vírgula 7 3 2 2 8" xfId="8638"/>
    <cellStyle name="Vírgula 7 3 2 2 8 2" xfId="11056"/>
    <cellStyle name="Vírgula 7 3 2 2 8 3" xfId="13342"/>
    <cellStyle name="Vírgula 7 3 2 2 9" xfId="8639"/>
    <cellStyle name="Vírgula 7 3 2 3" xfId="899"/>
    <cellStyle name="Vírgula 7 3 2 3 2" xfId="3184"/>
    <cellStyle name="Vírgula 7 3 2 3 2 2" xfId="4403"/>
    <cellStyle name="Vírgula 7 3 2 3 2 2 2" xfId="6584"/>
    <cellStyle name="Vírgula 7 3 2 3 2 3" xfId="5353"/>
    <cellStyle name="Vírgula 7 3 2 3 2 3 2" xfId="11510"/>
    <cellStyle name="Vírgula 7 3 2 3 2 3 3" xfId="13279"/>
    <cellStyle name="Vírgula 7 3 2 3 2 4" xfId="10482"/>
    <cellStyle name="Vírgula 7 3 2 3 2 4 2" xfId="13351"/>
    <cellStyle name="Vírgula 7 3 2 3 2 4 3" xfId="11051"/>
    <cellStyle name="Vírgula 7 3 2 3 2 4 4" xfId="14902"/>
    <cellStyle name="Vírgula 7 3 2 3 2 4 5" xfId="13614"/>
    <cellStyle name="Vírgula 7 3 2 3 3" xfId="3933"/>
    <cellStyle name="Vírgula 7 3 2 3 3 2" xfId="6074"/>
    <cellStyle name="Vírgula 7 3 2 3 4" xfId="6769"/>
    <cellStyle name="Vírgula 7 3 2 3 5" xfId="5087"/>
    <cellStyle name="Vírgula 7 3 2 3 6" xfId="9516"/>
    <cellStyle name="Vírgula 7 3 2 4" xfId="3056"/>
    <cellStyle name="Vírgula 7 3 2 4 2" xfId="4023"/>
    <cellStyle name="Vírgula 7 3 2 4 2 2" xfId="6507"/>
    <cellStyle name="Vírgula 7 3 2 4 3" xfId="5225"/>
    <cellStyle name="Vírgula 7 3 2 4 4" xfId="10479"/>
    <cellStyle name="Vírgula 7 3 2 5" xfId="3773"/>
    <cellStyle name="Vírgula 7 3 2 5 2" xfId="5923"/>
    <cellStyle name="Vírgula 7 3 2 5 2 2" xfId="11407"/>
    <cellStyle name="Vírgula 7 3 2 5 2 3" xfId="11558"/>
    <cellStyle name="Vírgula 7 3 2 5 3" xfId="10729"/>
    <cellStyle name="Vírgula 7 3 2 5 3 2" xfId="13358"/>
    <cellStyle name="Vírgula 7 3 2 5 3 3" xfId="11695"/>
    <cellStyle name="Vírgula 7 3 2 5 3 4" xfId="14906"/>
    <cellStyle name="Vírgula 7 3 2 5 3 5" xfId="13649"/>
    <cellStyle name="Vírgula 7 3 2 6" xfId="6685"/>
    <cellStyle name="Vírgula 7 3 2 6 2" xfId="10859"/>
    <cellStyle name="Vírgula 7 3 2 6 2 2" xfId="13360"/>
    <cellStyle name="Vírgula 7 3 2 6 2 3" xfId="11841"/>
    <cellStyle name="Vírgula 7 3 2 6 2 4" xfId="14911"/>
    <cellStyle name="Vírgula 7 3 2 6 2 5" xfId="13757"/>
    <cellStyle name="Vírgula 7 3 2 6 3" xfId="13042"/>
    <cellStyle name="Vírgula 7 3 2 6 4" xfId="11557"/>
    <cellStyle name="Vírgula 7 3 2 7" xfId="5003"/>
    <cellStyle name="Vírgula 7 3 2 7 2" xfId="11276"/>
    <cellStyle name="Vírgula 7 3 2 7 2 2" xfId="14972"/>
    <cellStyle name="Vírgula 7 3 2 7 2 3" xfId="13746"/>
    <cellStyle name="Vírgula 7 3 2 7 3" xfId="11397"/>
    <cellStyle name="Vírgula 7 3 2 7 4" xfId="11501"/>
    <cellStyle name="Vírgula 7 3 2 8" xfId="8640"/>
    <cellStyle name="Vírgula 7 3 2 8 2" xfId="12022"/>
    <cellStyle name="Vírgula 7 3 2 8 3" xfId="10994"/>
    <cellStyle name="Vírgula 7 3 2 9" xfId="8641"/>
    <cellStyle name="Vírgula 7 3 2 9 2" xfId="12884"/>
    <cellStyle name="Vírgula 7 3 2 9 3" xfId="13110"/>
    <cellStyle name="Vírgula 7 3 3" xfId="458"/>
    <cellStyle name="Vírgula 7 3 3 10" xfId="8642"/>
    <cellStyle name="Vírgula 7 3 3 11" xfId="9295"/>
    <cellStyle name="Vírgula 7 3 3 2" xfId="799"/>
    <cellStyle name="Vírgula 7 3 3 2 2" xfId="3123"/>
    <cellStyle name="Vírgula 7 3 3 2 2 2" xfId="4538"/>
    <cellStyle name="Vírgula 7 3 3 2 2 2 2" xfId="10485"/>
    <cellStyle name="Vírgula 7 3 3 2 2 3" xfId="5292"/>
    <cellStyle name="Vírgula 7 3 3 2 2 4" xfId="9839"/>
    <cellStyle name="Vírgula 7 3 3 2 3" xfId="4353"/>
    <cellStyle name="Vírgula 7 3 3 2 3 2" xfId="6009"/>
    <cellStyle name="Vírgula 7 3 3 2 3 3" xfId="10484"/>
    <cellStyle name="Vírgula 7 3 3 2 4" xfId="9418"/>
    <cellStyle name="Vírgula 7 3 3 3" xfId="3057"/>
    <cellStyle name="Vírgula 7 3 3 3 2" xfId="4498"/>
    <cellStyle name="Vírgula 7 3 3 3 2 2" xfId="10486"/>
    <cellStyle name="Vírgula 7 3 3 3 3" xfId="5226"/>
    <cellStyle name="Vírgula 7 3 3 3 3 2" xfId="13027"/>
    <cellStyle name="Vírgula 7 3 3 3 3 3" xfId="12350"/>
    <cellStyle name="Vírgula 7 3 3 3 4" xfId="9558"/>
    <cellStyle name="Vírgula 7 3 3 3 4 2" xfId="14893"/>
    <cellStyle name="Vírgula 7 3 3 3 4 3" xfId="13582"/>
    <cellStyle name="Vírgula 7 3 3 4" xfId="3845"/>
    <cellStyle name="Vírgula 7 3 3 4 2" xfId="5924"/>
    <cellStyle name="Vírgula 7 3 3 4 2 2" xfId="11872"/>
    <cellStyle name="Vírgula 7 3 3 4 2 3" xfId="11545"/>
    <cellStyle name="Vírgula 7 3 3 4 3" xfId="10483"/>
    <cellStyle name="Vírgula 7 3 3 4 3 2" xfId="14903"/>
    <cellStyle name="Vírgula 7 3 3 4 3 3" xfId="13681"/>
    <cellStyle name="Vírgula 7 3 3 5" xfId="8643"/>
    <cellStyle name="Vírgula 7 3 3 5 2" xfId="10768"/>
    <cellStyle name="Vírgula 7 3 3 5 2 2" xfId="13359"/>
    <cellStyle name="Vírgula 7 3 3 5 2 3" xfId="12468"/>
    <cellStyle name="Vírgula 7 3 3 5 2 4" xfId="14907"/>
    <cellStyle name="Vírgula 7 3 3 5 3" xfId="13156"/>
    <cellStyle name="Vírgula 7 3 3 6" xfId="8644"/>
    <cellStyle name="Vírgula 7 3 3 6 2" xfId="10898"/>
    <cellStyle name="Vírgula 7 3 3 6 2 2" xfId="13361"/>
    <cellStyle name="Vírgula 7 3 3 6 2 3" xfId="12469"/>
    <cellStyle name="Vírgula 7 3 3 6 2 4" xfId="14912"/>
    <cellStyle name="Vírgula 7 3 3 6 3" xfId="13322"/>
    <cellStyle name="Vírgula 7 3 3 7" xfId="8645"/>
    <cellStyle name="Vírgula 7 3 3 7 2" xfId="13331"/>
    <cellStyle name="Vírgula 7 3 3 7 3" xfId="13260"/>
    <cellStyle name="Vírgula 7 3 3 8" xfId="8646"/>
    <cellStyle name="Vírgula 7 3 3 8 2" xfId="11130"/>
    <cellStyle name="Vírgula 7 3 3 8 3" xfId="10997"/>
    <cellStyle name="Vírgula 7 3 3 9" xfId="8647"/>
    <cellStyle name="Vírgula 7 3 4" xfId="613"/>
    <cellStyle name="Vírgula 7 3 4 2" xfId="614"/>
    <cellStyle name="Vírgula 7 3 4 2 10" xfId="8648"/>
    <cellStyle name="Vírgula 7 3 4 2 11" xfId="9653"/>
    <cellStyle name="Vírgula 7 3 4 2 2" xfId="834"/>
    <cellStyle name="Vírgula 7 3 4 2 2 2" xfId="3130"/>
    <cellStyle name="Vírgula 7 3 4 2 2 2 2" xfId="4545"/>
    <cellStyle name="Vírgula 7 3 4 2 2 2 3" xfId="5299"/>
    <cellStyle name="Vírgula 7 3 4 2 2 3" xfId="4125"/>
    <cellStyle name="Vírgula 7 3 4 2 2 3 2" xfId="6016"/>
    <cellStyle name="Vírgula 7 3 4 2 2 4" xfId="10488"/>
    <cellStyle name="Vírgula 7 3 4 2 3" xfId="3078"/>
    <cellStyle name="Vírgula 7 3 4 2 3 2" xfId="4505"/>
    <cellStyle name="Vírgula 7 3 4 2 3 3" xfId="5247"/>
    <cellStyle name="Vírgula 7 3 4 2 3 3 2" xfId="11202"/>
    <cellStyle name="Vírgula 7 3 4 2 3 3 3" xfId="13111"/>
    <cellStyle name="Vírgula 7 3 4 2 3 4" xfId="13589"/>
    <cellStyle name="Vírgula 7 3 4 2 4" xfId="3696"/>
    <cellStyle name="Vírgula 7 3 4 2 4 2" xfId="5959"/>
    <cellStyle name="Vírgula 7 3 4 2 4 2 2" xfId="11873"/>
    <cellStyle name="Vírgula 7 3 4 2 4 2 3" xfId="12392"/>
    <cellStyle name="Vírgula 7 3 4 2 4 3" xfId="13672"/>
    <cellStyle name="Vírgula 7 3 4 2 5" xfId="8649"/>
    <cellStyle name="Vírgula 7 3 4 2 5 2" xfId="13267"/>
    <cellStyle name="Vírgula 7 3 4 2 5 3" xfId="10996"/>
    <cellStyle name="Vírgula 7 3 4 2 6" xfId="8650"/>
    <cellStyle name="Vírgula 7 3 4 2 6 2" xfId="11384"/>
    <cellStyle name="Vírgula 7 3 4 2 6 3" xfId="10995"/>
    <cellStyle name="Vírgula 7 3 4 2 7" xfId="8651"/>
    <cellStyle name="Vírgula 7 3 4 2 7 2" xfId="11192"/>
    <cellStyle name="Vírgula 7 3 4 2 7 3" xfId="11263"/>
    <cellStyle name="Vírgula 7 3 4 2 8" xfId="8652"/>
    <cellStyle name="Vírgula 7 3 4 2 8 2" xfId="11385"/>
    <cellStyle name="Vírgula 7 3 4 2 8 3" xfId="11292"/>
    <cellStyle name="Vírgula 7 3 4 2 9" xfId="8653"/>
    <cellStyle name="Vírgula 7 3 4 3" xfId="900"/>
    <cellStyle name="Vírgula 7 3 4 3 2" xfId="2411"/>
    <cellStyle name="Vírgula 7 3 4 3 2 2" xfId="2885"/>
    <cellStyle name="Vírgula 7 3 4 3 2 2 2" xfId="3662"/>
    <cellStyle name="Vírgula 7 3 4 3 2 2 2 2" xfId="4940"/>
    <cellStyle name="Vírgula 7 3 4 3 2 2 2 3" xfId="5831"/>
    <cellStyle name="Vírgula 7 3 4 3 2 2 2 3 2" xfId="11992"/>
    <cellStyle name="Vírgula 7 3 4 3 2 2 2 3 3" xfId="11620"/>
    <cellStyle name="Vírgula 7 3 4 3 2 2 3" xfId="8654"/>
    <cellStyle name="Vírgula 7 3 4 3 2 3" xfId="2814"/>
    <cellStyle name="Vírgula 7 3 4 3 2 3 2" xfId="3642"/>
    <cellStyle name="Vírgula 7 3 4 3 2 3 2 2" xfId="4920"/>
    <cellStyle name="Vírgula 7 3 4 3 2 3 2 3" xfId="5811"/>
    <cellStyle name="Vírgula 7 3 4 3 2 4" xfId="2663"/>
    <cellStyle name="Vírgula 7 3 4 3 2 4 2" xfId="3618"/>
    <cellStyle name="Vírgula 7 3 4 3 2 4 2 2" xfId="4896"/>
    <cellStyle name="Vírgula 7 3 4 3 2 4 2 3" xfId="5787"/>
    <cellStyle name="Vírgula 7 3 4 3 2 5" xfId="2596"/>
    <cellStyle name="Vírgula 7 3 4 3 2 5 2" xfId="3602"/>
    <cellStyle name="Vírgula 7 3 4 3 2 5 2 2" xfId="4880"/>
    <cellStyle name="Vírgula 7 3 4 3 2 5 2 3" xfId="5771"/>
    <cellStyle name="Vírgula 7 3 4 3 2 6" xfId="3540"/>
    <cellStyle name="Vírgula 7 3 4 3 2 6 2" xfId="4835"/>
    <cellStyle name="Vírgula 7 3 4 3 2 6 3" xfId="5709"/>
    <cellStyle name="Vírgula 7 3 4 3 2 7" xfId="4017"/>
    <cellStyle name="Vírgula 7 3 4 3 2 7 2" xfId="6439"/>
    <cellStyle name="Vírgula 7 3 4 3 3" xfId="2523"/>
    <cellStyle name="Vírgula 7 3 4 3 3 2" xfId="3585"/>
    <cellStyle name="Vírgula 7 3 4 3 3 2 2" xfId="4863"/>
    <cellStyle name="Vírgula 7 3 4 3 3 2 3" xfId="5754"/>
    <cellStyle name="Vírgula 7 3 4 3 3 3" xfId="3764"/>
    <cellStyle name="Vírgula 7 3 4 3 3 3 2" xfId="6484"/>
    <cellStyle name="Vírgula 7 3 4 3 4" xfId="3185"/>
    <cellStyle name="Vírgula 7 3 4 3 4 2" xfId="4345"/>
    <cellStyle name="Vírgula 7 3 4 3 4 2 2" xfId="6585"/>
    <cellStyle name="Vírgula 7 3 4 3 4 3" xfId="5354"/>
    <cellStyle name="Vírgula 7 3 4 3 5" xfId="3934"/>
    <cellStyle name="Vírgula 7 3 4 3 5 2" xfId="6075"/>
    <cellStyle name="Vírgula 7 3 4 3 6" xfId="6770"/>
    <cellStyle name="Vírgula 7 3 4 3 7" xfId="5088"/>
    <cellStyle name="Vírgula 7 3 4 3 8" xfId="10487"/>
    <cellStyle name="Vírgula 7 3 4 4" xfId="5958"/>
    <cellStyle name="Vírgula 7 3 4 5" xfId="9200"/>
    <cellStyle name="Vírgula 7 3 5" xfId="615"/>
    <cellStyle name="Vírgula 7 3 5 2" xfId="616"/>
    <cellStyle name="Vírgula 7 3 5 2 10" xfId="8655"/>
    <cellStyle name="Vírgula 7 3 5 2 11" xfId="9753"/>
    <cellStyle name="Vírgula 7 3 5 2 2" xfId="835"/>
    <cellStyle name="Vírgula 7 3 5 2 2 2" xfId="3131"/>
    <cellStyle name="Vírgula 7 3 5 2 2 2 2" xfId="4546"/>
    <cellStyle name="Vírgula 7 3 5 2 2 2 3" xfId="5300"/>
    <cellStyle name="Vírgula 7 3 5 2 2 3" xfId="4149"/>
    <cellStyle name="Vírgula 7 3 5 2 2 3 2" xfId="6017"/>
    <cellStyle name="Vírgula 7 3 5 2 2 4" xfId="10490"/>
    <cellStyle name="Vírgula 7 3 5 2 3" xfId="3079"/>
    <cellStyle name="Vírgula 7 3 5 2 3 2" xfId="4506"/>
    <cellStyle name="Vírgula 7 3 5 2 3 3" xfId="5248"/>
    <cellStyle name="Vírgula 7 3 5 2 3 3 2" xfId="11201"/>
    <cellStyle name="Vírgula 7 3 5 2 3 3 3" xfId="11911"/>
    <cellStyle name="Vírgula 7 3 5 2 3 4" xfId="13590"/>
    <cellStyle name="Vírgula 7 3 5 2 4" xfId="4473"/>
    <cellStyle name="Vírgula 7 3 5 2 4 2" xfId="5961"/>
    <cellStyle name="Vírgula 7 3 5 2 4 2 2" xfId="11948"/>
    <cellStyle name="Vírgula 7 3 5 2 4 2 3" xfId="13299"/>
    <cellStyle name="Vírgula 7 3 5 2 4 3" xfId="13723"/>
    <cellStyle name="Vírgula 7 3 5 2 5" xfId="8656"/>
    <cellStyle name="Vírgula 7 3 5 2 5 2" xfId="11488"/>
    <cellStyle name="Vírgula 7 3 5 2 5 3" xfId="13236"/>
    <cellStyle name="Vírgula 7 3 5 2 6" xfId="8657"/>
    <cellStyle name="Vírgula 7 3 5 2 6 2" xfId="11942"/>
    <cellStyle name="Vírgula 7 3 5 2 6 3" xfId="11779"/>
    <cellStyle name="Vírgula 7 3 5 2 7" xfId="8658"/>
    <cellStyle name="Vírgula 7 3 5 2 7 2" xfId="11386"/>
    <cellStyle name="Vírgula 7 3 5 2 7 3" xfId="12428"/>
    <cellStyle name="Vírgula 7 3 5 2 8" xfId="8659"/>
    <cellStyle name="Vírgula 7 3 5 2 8 2" xfId="12411"/>
    <cellStyle name="Vírgula 7 3 5 2 8 3" xfId="12565"/>
    <cellStyle name="Vírgula 7 3 5 2 9" xfId="8660"/>
    <cellStyle name="Vírgula 7 3 5 3" xfId="901"/>
    <cellStyle name="Vírgula 7 3 5 3 2" xfId="2412"/>
    <cellStyle name="Vírgula 7 3 5 3 2 2" xfId="2886"/>
    <cellStyle name="Vírgula 7 3 5 3 2 2 2" xfId="3663"/>
    <cellStyle name="Vírgula 7 3 5 3 2 2 2 2" xfId="4941"/>
    <cellStyle name="Vírgula 7 3 5 3 2 2 2 3" xfId="5832"/>
    <cellStyle name="Vírgula 7 3 5 3 2 2 2 3 2" xfId="11641"/>
    <cellStyle name="Vírgula 7 3 5 3 2 2 2 3 3" xfId="11754"/>
    <cellStyle name="Vírgula 7 3 5 3 2 2 3" xfId="8661"/>
    <cellStyle name="Vírgula 7 3 5 3 2 3" xfId="2815"/>
    <cellStyle name="Vírgula 7 3 5 3 2 3 2" xfId="3643"/>
    <cellStyle name="Vírgula 7 3 5 3 2 3 2 2" xfId="4921"/>
    <cellStyle name="Vírgula 7 3 5 3 2 3 2 3" xfId="5812"/>
    <cellStyle name="Vírgula 7 3 5 3 2 4" xfId="2664"/>
    <cellStyle name="Vírgula 7 3 5 3 2 4 2" xfId="3619"/>
    <cellStyle name="Vírgula 7 3 5 3 2 4 2 2" xfId="4897"/>
    <cellStyle name="Vírgula 7 3 5 3 2 4 2 3" xfId="5788"/>
    <cellStyle name="Vírgula 7 3 5 3 2 5" xfId="2597"/>
    <cellStyle name="Vírgula 7 3 5 3 2 5 2" xfId="3603"/>
    <cellStyle name="Vírgula 7 3 5 3 2 5 2 2" xfId="4881"/>
    <cellStyle name="Vírgula 7 3 5 3 2 5 2 3" xfId="5772"/>
    <cellStyle name="Vírgula 7 3 5 3 2 6" xfId="3541"/>
    <cellStyle name="Vírgula 7 3 5 3 2 6 2" xfId="4836"/>
    <cellStyle name="Vírgula 7 3 5 3 2 6 3" xfId="5710"/>
    <cellStyle name="Vírgula 7 3 5 3 2 7" xfId="4063"/>
    <cellStyle name="Vírgula 7 3 5 3 2 7 2" xfId="6440"/>
    <cellStyle name="Vírgula 7 3 5 3 3" xfId="2524"/>
    <cellStyle name="Vírgula 7 3 5 3 3 2" xfId="3586"/>
    <cellStyle name="Vírgula 7 3 5 3 3 2 2" xfId="4864"/>
    <cellStyle name="Vírgula 7 3 5 3 3 2 3" xfId="5755"/>
    <cellStyle name="Vírgula 7 3 5 3 3 3" xfId="4065"/>
    <cellStyle name="Vírgula 7 3 5 3 3 3 2" xfId="6485"/>
    <cellStyle name="Vírgula 7 3 5 3 4" xfId="3186"/>
    <cellStyle name="Vírgula 7 3 5 3 4 2" xfId="4181"/>
    <cellStyle name="Vírgula 7 3 5 3 4 2 2" xfId="6586"/>
    <cellStyle name="Vírgula 7 3 5 3 4 3" xfId="5355"/>
    <cellStyle name="Vírgula 7 3 5 3 5" xfId="3935"/>
    <cellStyle name="Vírgula 7 3 5 3 5 2" xfId="6076"/>
    <cellStyle name="Vírgula 7 3 5 3 6" xfId="6771"/>
    <cellStyle name="Vírgula 7 3 5 3 7" xfId="5089"/>
    <cellStyle name="Vírgula 7 3 5 3 8" xfId="10489"/>
    <cellStyle name="Vírgula 7 3 5 4" xfId="5960"/>
    <cellStyle name="Vírgula 7 3 5 5" xfId="9339"/>
    <cellStyle name="Vírgula 7 3 6" xfId="617"/>
    <cellStyle name="Vírgula 7 3 6 10" xfId="8662"/>
    <cellStyle name="Vírgula 7 3 6 11" xfId="8663"/>
    <cellStyle name="Vírgula 7 3 6 12" xfId="9124"/>
    <cellStyle name="Vírgula 7 3 6 2" xfId="618"/>
    <cellStyle name="Vírgula 7 3 6 2 10" xfId="8664"/>
    <cellStyle name="Vírgula 7 3 6 2 11" xfId="9605"/>
    <cellStyle name="Vírgula 7 3 6 2 2" xfId="837"/>
    <cellStyle name="Vírgula 7 3 6 2 2 2" xfId="3133"/>
    <cellStyle name="Vírgula 7 3 6 2 2 2 2" xfId="4548"/>
    <cellStyle name="Vírgula 7 3 6 2 2 2 3" xfId="5302"/>
    <cellStyle name="Vírgula 7 3 6 2 2 3" xfId="4211"/>
    <cellStyle name="Vírgula 7 3 6 2 2 3 2" xfId="6019"/>
    <cellStyle name="Vírgula 7 3 6 2 2 4" xfId="10492"/>
    <cellStyle name="Vírgula 7 3 6 2 3" xfId="3081"/>
    <cellStyle name="Vírgula 7 3 6 2 3 2" xfId="4508"/>
    <cellStyle name="Vírgula 7 3 6 2 3 3" xfId="5250"/>
    <cellStyle name="Vírgula 7 3 6 2 3 3 2" xfId="10967"/>
    <cellStyle name="Vírgula 7 3 6 2 3 3 3" xfId="11092"/>
    <cellStyle name="Vírgula 7 3 6 2 3 4" xfId="13592"/>
    <cellStyle name="Vírgula 7 3 6 2 4" xfId="4038"/>
    <cellStyle name="Vírgula 7 3 6 2 4 2" xfId="5963"/>
    <cellStyle name="Vírgula 7 3 6 2 4 2 2" xfId="11887"/>
    <cellStyle name="Vírgula 7 3 6 2 4 2 3" xfId="12566"/>
    <cellStyle name="Vírgula 7 3 6 2 4 3" xfId="13705"/>
    <cellStyle name="Vírgula 7 3 6 2 5" xfId="8665"/>
    <cellStyle name="Vírgula 7 3 6 2 5 2" xfId="11829"/>
    <cellStyle name="Vírgula 7 3 6 2 5 3" xfId="11066"/>
    <cellStyle name="Vírgula 7 3 6 2 6" xfId="8666"/>
    <cellStyle name="Vírgula 7 3 6 2 6 2" xfId="12020"/>
    <cellStyle name="Vírgula 7 3 6 2 6 3" xfId="10998"/>
    <cellStyle name="Vírgula 7 3 6 2 7" xfId="8667"/>
    <cellStyle name="Vírgula 7 3 6 2 7 2" xfId="11093"/>
    <cellStyle name="Vírgula 7 3 6 2 7 3" xfId="11455"/>
    <cellStyle name="Vírgula 7 3 6 2 8" xfId="8668"/>
    <cellStyle name="Vírgula 7 3 6 2 8 2" xfId="13143"/>
    <cellStyle name="Vírgula 7 3 6 2 8 3" xfId="11160"/>
    <cellStyle name="Vírgula 7 3 6 2 9" xfId="8669"/>
    <cellStyle name="Vírgula 7 3 6 3" xfId="836"/>
    <cellStyle name="Vírgula 7 3 6 3 2" xfId="3132"/>
    <cellStyle name="Vírgula 7 3 6 3 2 2" xfId="4547"/>
    <cellStyle name="Vírgula 7 3 6 3 2 3" xfId="5301"/>
    <cellStyle name="Vírgula 7 3 6 3 3" xfId="3731"/>
    <cellStyle name="Vírgula 7 3 6 3 3 2" xfId="6018"/>
    <cellStyle name="Vírgula 7 3 6 3 4" xfId="10491"/>
    <cellStyle name="Vírgula 7 3 6 4" xfId="3080"/>
    <cellStyle name="Vírgula 7 3 6 4 2" xfId="4507"/>
    <cellStyle name="Vírgula 7 3 6 4 3" xfId="5249"/>
    <cellStyle name="Vírgula 7 3 6 4 3 2" xfId="11257"/>
    <cellStyle name="Vírgula 7 3 6 4 3 3" xfId="11000"/>
    <cellStyle name="Vírgula 7 3 6 4 4" xfId="13591"/>
    <cellStyle name="Vírgula 7 3 6 5" xfId="4192"/>
    <cellStyle name="Vírgula 7 3 6 5 2" xfId="5962"/>
    <cellStyle name="Vírgula 7 3 6 5 2 2" xfId="11410"/>
    <cellStyle name="Vírgula 7 3 6 5 2 3" xfId="10999"/>
    <cellStyle name="Vírgula 7 3 6 5 3" xfId="13712"/>
    <cellStyle name="Vírgula 7 3 6 6" xfId="8670"/>
    <cellStyle name="Vírgula 7 3 6 6 2" xfId="11747"/>
    <cellStyle name="Vírgula 7 3 6 6 3" xfId="12373"/>
    <cellStyle name="Vírgula 7 3 6 7" xfId="8671"/>
    <cellStyle name="Vírgula 7 3 6 7 2" xfId="11387"/>
    <cellStyle name="Vírgula 7 3 6 7 3" xfId="11636"/>
    <cellStyle name="Vírgula 7 3 6 8" xfId="8672"/>
    <cellStyle name="Vírgula 7 3 6 8 2" xfId="11388"/>
    <cellStyle name="Vírgula 7 3 6 8 3" xfId="12954"/>
    <cellStyle name="Vírgula 7 3 6 9" xfId="8673"/>
    <cellStyle name="Vírgula 7 3 6 9 2" xfId="11389"/>
    <cellStyle name="Vírgula 7 3 6 9 3" xfId="11559"/>
    <cellStyle name="Vírgula 7 3 7" xfId="619"/>
    <cellStyle name="Vírgula 7 3 7 2" xfId="902"/>
    <cellStyle name="Vírgula 7 3 7 2 2" xfId="2413"/>
    <cellStyle name="Vírgula 7 3 7 2 2 2" xfId="3542"/>
    <cellStyle name="Vírgula 7 3 7 2 2 2 2" xfId="4837"/>
    <cellStyle name="Vírgula 7 3 7 2 2 2 3" xfId="5711"/>
    <cellStyle name="Vírgula 7 3 7 2 2 3" xfId="4261"/>
    <cellStyle name="Vírgula 7 3 7 2 2 3 2" xfId="6441"/>
    <cellStyle name="Vírgula 7 3 7 2 3" xfId="3187"/>
    <cellStyle name="Vírgula 7 3 7 2 3 2" xfId="4348"/>
    <cellStyle name="Vírgula 7 3 7 2 3 2 2" xfId="6587"/>
    <cellStyle name="Vírgula 7 3 7 2 3 3" xfId="5356"/>
    <cellStyle name="Vírgula 7 3 7 2 3 4" xfId="13615"/>
    <cellStyle name="Vírgula 7 3 7 2 3 5" xfId="13413"/>
    <cellStyle name="Vírgula 7 3 7 2 4" xfId="3936"/>
    <cellStyle name="Vírgula 7 3 7 2 4 2" xfId="6077"/>
    <cellStyle name="Vírgula 7 3 7 2 5" xfId="6772"/>
    <cellStyle name="Vírgula 7 3 7 2 6" xfId="5090"/>
    <cellStyle name="Vírgula 7 3 7 2 7" xfId="10493"/>
    <cellStyle name="Vírgula 7 3 7 3" xfId="2414"/>
    <cellStyle name="Vírgula 7 3 7 3 2" xfId="2525"/>
    <cellStyle name="Vírgula 7 3 7 3 2 2" xfId="3587"/>
    <cellStyle name="Vírgula 7 3 7 3 2 2 2" xfId="4865"/>
    <cellStyle name="Vírgula 7 3 7 3 2 2 3" xfId="5756"/>
    <cellStyle name="Vírgula 7 3 7 3 2 3" xfId="3708"/>
    <cellStyle name="Vírgula 7 3 7 3 2 3 2" xfId="6486"/>
    <cellStyle name="Vírgula 7 3 7 3 3" xfId="2816"/>
    <cellStyle name="Vírgula 7 3 7 3 3 2" xfId="3644"/>
    <cellStyle name="Vírgula 7 3 7 3 3 2 2" xfId="4922"/>
    <cellStyle name="Vírgula 7 3 7 3 3 2 3" xfId="5813"/>
    <cellStyle name="Vírgula 7 3 7 3 4" xfId="3543"/>
    <cellStyle name="Vírgula 7 3 7 3 4 2" xfId="4838"/>
    <cellStyle name="Vírgula 7 3 7 3 4 3" xfId="5712"/>
    <cellStyle name="Vírgula 7 3 7 3 5" xfId="3983"/>
    <cellStyle name="Vírgula 7 3 7 3 5 2" xfId="6442"/>
    <cellStyle name="Vírgula 7 3 7 4" xfId="2415"/>
    <cellStyle name="Vírgula 7 3 7 4 2" xfId="3544"/>
    <cellStyle name="Vírgula 7 3 7 4 2 2" xfId="4839"/>
    <cellStyle name="Vírgula 7 3 7 4 2 3" xfId="5713"/>
    <cellStyle name="Vírgula 7 3 7 4 3" xfId="3997"/>
    <cellStyle name="Vírgula 7 3 7 4 3 2" xfId="6443"/>
    <cellStyle name="Vírgula 7 3 7 5" xfId="5964"/>
    <cellStyle name="Vírgula 7 3 7 6" xfId="9474"/>
    <cellStyle name="Vírgula 7 3 8" xfId="620"/>
    <cellStyle name="Vírgula 7 3 8 2" xfId="903"/>
    <cellStyle name="Vírgula 7 3 8 2 2" xfId="2416"/>
    <cellStyle name="Vírgula 7 3 8 2 2 2" xfId="3545"/>
    <cellStyle name="Vírgula 7 3 8 2 2 2 2" xfId="4840"/>
    <cellStyle name="Vírgula 7 3 8 2 2 2 3" xfId="5714"/>
    <cellStyle name="Vírgula 7 3 8 2 2 3" xfId="4228"/>
    <cellStyle name="Vírgula 7 3 8 2 2 3 2" xfId="6444"/>
    <cellStyle name="Vírgula 7 3 8 2 3" xfId="3188"/>
    <cellStyle name="Vírgula 7 3 8 2 3 2" xfId="3806"/>
    <cellStyle name="Vírgula 7 3 8 2 3 2 2" xfId="6588"/>
    <cellStyle name="Vírgula 7 3 8 2 3 3" xfId="5357"/>
    <cellStyle name="Vírgula 7 3 8 2 3 4" xfId="13616"/>
    <cellStyle name="Vírgula 7 3 8 2 3 5" xfId="13414"/>
    <cellStyle name="Vírgula 7 3 8 2 4" xfId="3937"/>
    <cellStyle name="Vírgula 7 3 8 2 4 2" xfId="6078"/>
    <cellStyle name="Vírgula 7 3 8 2 5" xfId="6773"/>
    <cellStyle name="Vírgula 7 3 8 2 6" xfId="5091"/>
    <cellStyle name="Vírgula 7 3 8 3" xfId="2417"/>
    <cellStyle name="Vírgula 7 3 8 3 2" xfId="2526"/>
    <cellStyle name="Vírgula 7 3 8 3 2 2" xfId="3588"/>
    <cellStyle name="Vírgula 7 3 8 3 2 2 2" xfId="4866"/>
    <cellStyle name="Vírgula 7 3 8 3 2 2 3" xfId="5757"/>
    <cellStyle name="Vírgula 7 3 8 3 2 3" xfId="4006"/>
    <cellStyle name="Vírgula 7 3 8 3 2 3 2" xfId="6487"/>
    <cellStyle name="Vírgula 7 3 8 3 3" xfId="2817"/>
    <cellStyle name="Vírgula 7 3 8 3 3 2" xfId="3645"/>
    <cellStyle name="Vírgula 7 3 8 3 3 2 2" xfId="4923"/>
    <cellStyle name="Vírgula 7 3 8 3 3 2 3" xfId="5814"/>
    <cellStyle name="Vírgula 7 3 8 3 4" xfId="3546"/>
    <cellStyle name="Vírgula 7 3 8 3 4 2" xfId="4841"/>
    <cellStyle name="Vírgula 7 3 8 3 4 3" xfId="5715"/>
    <cellStyle name="Vírgula 7 3 8 3 5" xfId="4194"/>
    <cellStyle name="Vírgula 7 3 8 3 5 2" xfId="6445"/>
    <cellStyle name="Vírgula 7 3 8 4" xfId="2418"/>
    <cellStyle name="Vírgula 7 3 8 4 2" xfId="3547"/>
    <cellStyle name="Vírgula 7 3 8 4 2 2" xfId="4842"/>
    <cellStyle name="Vírgula 7 3 8 4 2 3" xfId="5716"/>
    <cellStyle name="Vírgula 7 3 8 4 3" xfId="4443"/>
    <cellStyle name="Vírgula 7 3 8 4 3 2" xfId="6446"/>
    <cellStyle name="Vírgula 7 3 8 5" xfId="5965"/>
    <cellStyle name="Vírgula 7 3 8 6" xfId="9898"/>
    <cellStyle name="Vírgula 7 3 9" xfId="621"/>
    <cellStyle name="Vírgula 7 3 9 2" xfId="904"/>
    <cellStyle name="Vírgula 7 3 9 2 2" xfId="2419"/>
    <cellStyle name="Vírgula 7 3 9 2 2 2" xfId="3548"/>
    <cellStyle name="Vírgula 7 3 9 2 2 2 2" xfId="4843"/>
    <cellStyle name="Vírgula 7 3 9 2 2 2 3" xfId="5717"/>
    <cellStyle name="Vírgula 7 3 9 2 2 3" xfId="3725"/>
    <cellStyle name="Vírgula 7 3 9 2 2 3 2" xfId="6447"/>
    <cellStyle name="Vírgula 7 3 9 2 3" xfId="3189"/>
    <cellStyle name="Vírgula 7 3 9 2 3 2" xfId="4185"/>
    <cellStyle name="Vírgula 7 3 9 2 3 2 2" xfId="6589"/>
    <cellStyle name="Vírgula 7 3 9 2 3 3" xfId="5358"/>
    <cellStyle name="Vírgula 7 3 9 2 3 4" xfId="13617"/>
    <cellStyle name="Vírgula 7 3 9 2 3 5" xfId="13415"/>
    <cellStyle name="Vírgula 7 3 9 2 4" xfId="3938"/>
    <cellStyle name="Vírgula 7 3 9 2 4 2" xfId="6079"/>
    <cellStyle name="Vírgula 7 3 9 2 5" xfId="6774"/>
    <cellStyle name="Vírgula 7 3 9 2 6" xfId="5092"/>
    <cellStyle name="Vírgula 7 3 9 3" xfId="2420"/>
    <cellStyle name="Vírgula 7 3 9 3 2" xfId="2527"/>
    <cellStyle name="Vírgula 7 3 9 3 2 2" xfId="3589"/>
    <cellStyle name="Vírgula 7 3 9 3 2 2 2" xfId="4867"/>
    <cellStyle name="Vírgula 7 3 9 3 2 2 3" xfId="5758"/>
    <cellStyle name="Vírgula 7 3 9 3 2 3" xfId="4039"/>
    <cellStyle name="Vírgula 7 3 9 3 2 3 2" xfId="6488"/>
    <cellStyle name="Vírgula 7 3 9 3 3" xfId="2818"/>
    <cellStyle name="Vírgula 7 3 9 3 3 2" xfId="3646"/>
    <cellStyle name="Vírgula 7 3 9 3 3 2 2" xfId="4924"/>
    <cellStyle name="Vírgula 7 3 9 3 3 2 3" xfId="5815"/>
    <cellStyle name="Vírgula 7 3 9 3 4" xfId="3549"/>
    <cellStyle name="Vírgula 7 3 9 3 4 2" xfId="4844"/>
    <cellStyle name="Vírgula 7 3 9 3 4 3" xfId="5718"/>
    <cellStyle name="Vírgula 7 3 9 3 5" xfId="3761"/>
    <cellStyle name="Vírgula 7 3 9 3 5 2" xfId="6448"/>
    <cellStyle name="Vírgula 7 3 9 4" xfId="2421"/>
    <cellStyle name="Vírgula 7 3 9 4 2" xfId="3550"/>
    <cellStyle name="Vírgula 7 3 9 4 2 2" xfId="4845"/>
    <cellStyle name="Vírgula 7 3 9 4 2 3" xfId="5719"/>
    <cellStyle name="Vírgula 7 3 9 4 3" xfId="4436"/>
    <cellStyle name="Vírgula 7 3 9 4 3 2" xfId="6449"/>
    <cellStyle name="Vírgula 7 3 9 5" xfId="5966"/>
    <cellStyle name="Vírgula 7 3 9 6" xfId="9058"/>
    <cellStyle name="Vírgula 7 4" xfId="121"/>
    <cellStyle name="Vírgula 7 4 10" xfId="10820"/>
    <cellStyle name="Vírgula 7 4 11" xfId="9060"/>
    <cellStyle name="Vírgula 7 4 2" xfId="905"/>
    <cellStyle name="Vírgula 7 4 2 2" xfId="3190"/>
    <cellStyle name="Vírgula 7 4 2 2 2" xfId="3797"/>
    <cellStyle name="Vírgula 7 4 2 2 2 2" xfId="6590"/>
    <cellStyle name="Vírgula 7 4 2 2 2 2 2" xfId="10497"/>
    <cellStyle name="Vírgula 7 4 2 2 2 2 3" xfId="9846"/>
    <cellStyle name="Vírgula 7 4 2 2 2 3" xfId="10496"/>
    <cellStyle name="Vírgula 7 4 2 2 2 4" xfId="9425"/>
    <cellStyle name="Vírgula 7 4 2 2 3" xfId="5359"/>
    <cellStyle name="Vírgula 7 4 2 2 3 2" xfId="9850"/>
    <cellStyle name="Vírgula 7 4 2 2 3 2 2" xfId="10499"/>
    <cellStyle name="Vírgula 7 4 2 2 3 3" xfId="10498"/>
    <cellStyle name="Vírgula 7 4 2 2 3 4" xfId="9431"/>
    <cellStyle name="Vírgula 7 4 2 2 4" xfId="9565"/>
    <cellStyle name="Vírgula 7 4 2 2 4 2" xfId="10500"/>
    <cellStyle name="Vírgula 7 4 2 2 5" xfId="10495"/>
    <cellStyle name="Vírgula 7 4 2 2 6" xfId="10774"/>
    <cellStyle name="Vírgula 7 4 2 2 7" xfId="10904"/>
    <cellStyle name="Vírgula 7 4 2 2 8" xfId="9301"/>
    <cellStyle name="Vírgula 7 4 2 3" xfId="3939"/>
    <cellStyle name="Vírgula 7 4 2 3 2" xfId="6080"/>
    <cellStyle name="Vírgula 7 4 2 3 2 2" xfId="10502"/>
    <cellStyle name="Vírgula 7 4 2 3 2 3" xfId="9660"/>
    <cellStyle name="Vírgula 7 4 2 3 3" xfId="10501"/>
    <cellStyle name="Vírgula 7 4 2 3 4" xfId="9208"/>
    <cellStyle name="Vírgula 7 4 2 4" xfId="6775"/>
    <cellStyle name="Vírgula 7 4 2 4 2" xfId="9759"/>
    <cellStyle name="Vírgula 7 4 2 4 2 2" xfId="10504"/>
    <cellStyle name="Vírgula 7 4 2 4 3" xfId="10503"/>
    <cellStyle name="Vírgula 7 4 2 4 4" xfId="9345"/>
    <cellStyle name="Vírgula 7 4 2 5" xfId="5093"/>
    <cellStyle name="Vírgula 7 4 2 5 2" xfId="10505"/>
    <cellStyle name="Vírgula 7 4 2 5 3" xfId="9479"/>
    <cellStyle name="Vírgula 7 4 2 6" xfId="10494"/>
    <cellStyle name="Vírgula 7 4 2 7" xfId="10690"/>
    <cellStyle name="Vírgula 7 4 2 8" xfId="10822"/>
    <cellStyle name="Vírgula 7 4 2 9" xfId="9135"/>
    <cellStyle name="Vírgula 7 4 3" xfId="3042"/>
    <cellStyle name="Vírgula 7 4 3 2" xfId="4363"/>
    <cellStyle name="Vírgula 7 4 3 2 2" xfId="6498"/>
    <cellStyle name="Vírgula 7 4 3 2 2 2" xfId="10508"/>
    <cellStyle name="Vírgula 7 4 3 2 2 3" xfId="9840"/>
    <cellStyle name="Vírgula 7 4 3 2 3" xfId="10507"/>
    <cellStyle name="Vírgula 7 4 3 2 4" xfId="9419"/>
    <cellStyle name="Vírgula 7 4 3 3" xfId="5211"/>
    <cellStyle name="Vírgula 7 4 3 3 2" xfId="10509"/>
    <cellStyle name="Vírgula 7 4 3 3 3" xfId="9559"/>
    <cellStyle name="Vírgula 7 4 3 4" xfId="10506"/>
    <cellStyle name="Vírgula 7 4 3 5" xfId="10769"/>
    <cellStyle name="Vírgula 7 4 3 6" xfId="10899"/>
    <cellStyle name="Vírgula 7 4 3 7" xfId="9296"/>
    <cellStyle name="Vírgula 7 4 4" xfId="3709"/>
    <cellStyle name="Vírgula 7 4 4 2" xfId="5901"/>
    <cellStyle name="Vírgula 7 4 4 2 2" xfId="10511"/>
    <cellStyle name="Vírgula 7 4 4 2 3" xfId="9658"/>
    <cellStyle name="Vírgula 7 4 4 3" xfId="10510"/>
    <cellStyle name="Vírgula 7 4 4 4" xfId="9206"/>
    <cellStyle name="Vírgula 7 4 5" xfId="6673"/>
    <cellStyle name="Vírgula 7 4 5 2" xfId="9757"/>
    <cellStyle name="Vírgula 7 4 5 2 2" xfId="10513"/>
    <cellStyle name="Vírgula 7 4 5 3" xfId="10512"/>
    <cellStyle name="Vírgula 7 4 5 4" xfId="9343"/>
    <cellStyle name="Vírgula 7 4 6" xfId="4990"/>
    <cellStyle name="Vírgula 7 4 6 2" xfId="9611"/>
    <cellStyle name="Vírgula 7 4 6 2 2" xfId="10515"/>
    <cellStyle name="Vírgula 7 4 6 3" xfId="10514"/>
    <cellStyle name="Vírgula 7 4 6 4" xfId="9129"/>
    <cellStyle name="Vírgula 7 4 7" xfId="9477"/>
    <cellStyle name="Vírgula 7 4 7 2" xfId="10516"/>
    <cellStyle name="Vírgula 7 4 8" xfId="9901"/>
    <cellStyle name="Vírgula 7 4 9" xfId="10688"/>
    <cellStyle name="Vírgula 7 5" xfId="459"/>
    <cellStyle name="Vírgula 7 5 10" xfId="2422"/>
    <cellStyle name="Vírgula 7 5 10 2" xfId="3551"/>
    <cellStyle name="Vírgula 7 5 10 2 2" xfId="3966"/>
    <cellStyle name="Vírgula 7 5 10 2 2 2" xfId="6655"/>
    <cellStyle name="Vírgula 7 5 10 2 3" xfId="5720"/>
    <cellStyle name="Vírgula 7 5 10 3" xfId="4297"/>
    <cellStyle name="Vírgula 7 5 10 3 2" xfId="6450"/>
    <cellStyle name="Vírgula 7 5 10 4" xfId="6847"/>
    <cellStyle name="Vírgula 7 5 10 5" xfId="5165"/>
    <cellStyle name="Vírgula 7 5 11" xfId="2423"/>
    <cellStyle name="Vírgula 7 5 11 2" xfId="2424"/>
    <cellStyle name="Vírgula 7 5 11 2 2" xfId="3553"/>
    <cellStyle name="Vírgula 7 5 11 2 2 2" xfId="4381"/>
    <cellStyle name="Vírgula 7 5 11 2 2 2 2" xfId="6657"/>
    <cellStyle name="Vírgula 7 5 11 2 2 3" xfId="5722"/>
    <cellStyle name="Vírgula 7 5 11 2 3" xfId="4299"/>
    <cellStyle name="Vírgula 7 5 11 2 3 2" xfId="6452"/>
    <cellStyle name="Vírgula 7 5 11 2 4" xfId="6849"/>
    <cellStyle name="Vírgula 7 5 11 2 5" xfId="5167"/>
    <cellStyle name="Vírgula 7 5 11 3" xfId="3552"/>
    <cellStyle name="Vírgula 7 5 11 3 2" xfId="3695"/>
    <cellStyle name="Vírgula 7 5 11 3 2 2" xfId="6656"/>
    <cellStyle name="Vírgula 7 5 11 3 3" xfId="5721"/>
    <cellStyle name="Vírgula 7 5 11 4" xfId="4298"/>
    <cellStyle name="Vírgula 7 5 11 4 2" xfId="6451"/>
    <cellStyle name="Vírgula 7 5 11 5" xfId="6848"/>
    <cellStyle name="Vírgula 7 5 11 6" xfId="5166"/>
    <cellStyle name="Vírgula 7 5 12" xfId="2425"/>
    <cellStyle name="Vírgula 7 5 12 2" xfId="3554"/>
    <cellStyle name="Vírgula 7 5 12 2 2" xfId="4156"/>
    <cellStyle name="Vírgula 7 5 12 2 2 2" xfId="6658"/>
    <cellStyle name="Vírgula 7 5 12 2 3" xfId="5723"/>
    <cellStyle name="Vírgula 7 5 12 3" xfId="4300"/>
    <cellStyle name="Vírgula 7 5 12 3 2" xfId="6453"/>
    <cellStyle name="Vírgula 7 5 12 3 2 2" xfId="12371"/>
    <cellStyle name="Vírgula 7 5 12 3 2 3" xfId="11001"/>
    <cellStyle name="Vírgula 7 5 12 4" xfId="6850"/>
    <cellStyle name="Vírgula 7 5 12 4 2" xfId="12470"/>
    <cellStyle name="Vírgula 7 5 12 5" xfId="5168"/>
    <cellStyle name="Vírgula 7 5 13" xfId="2426"/>
    <cellStyle name="Vírgula 7 5 13 2" xfId="3555"/>
    <cellStyle name="Vírgula 7 5 13 2 2" xfId="4021"/>
    <cellStyle name="Vírgula 7 5 13 2 2 2" xfId="6659"/>
    <cellStyle name="Vírgula 7 5 13 2 3" xfId="5724"/>
    <cellStyle name="Vírgula 7 5 13 3" xfId="4301"/>
    <cellStyle name="Vírgula 7 5 13 3 2" xfId="6454"/>
    <cellStyle name="Vírgula 7 5 13 4" xfId="6851"/>
    <cellStyle name="Vírgula 7 5 13 5" xfId="5169"/>
    <cellStyle name="Vírgula 7 5 14" xfId="3058"/>
    <cellStyle name="Vírgula 7 5 14 2" xfId="3965"/>
    <cellStyle name="Vírgula 7 5 14 2 2" xfId="6508"/>
    <cellStyle name="Vírgula 7 5 14 3" xfId="5227"/>
    <cellStyle name="Vírgula 7 5 15" xfId="3774"/>
    <cellStyle name="Vírgula 7 5 15 2" xfId="5925"/>
    <cellStyle name="Vírgula 7 5 16" xfId="6686"/>
    <cellStyle name="Vírgula 7 5 17" xfId="5004"/>
    <cellStyle name="Vírgula 7 5 2" xfId="622"/>
    <cellStyle name="Vírgula 7 5 2 2" xfId="906"/>
    <cellStyle name="Vírgula 7 5 2 2 2" xfId="3191"/>
    <cellStyle name="Vírgula 7 5 2 2 2 2" xfId="4446"/>
    <cellStyle name="Vírgula 7 5 2 2 2 2 2" xfId="6591"/>
    <cellStyle name="Vírgula 7 5 2 2 2 2 3" xfId="10520"/>
    <cellStyle name="Vírgula 7 5 2 2 2 3" xfId="5360"/>
    <cellStyle name="Vírgula 7 5 2 2 2 4" xfId="9845"/>
    <cellStyle name="Vírgula 7 5 2 2 3" xfId="3940"/>
    <cellStyle name="Vírgula 7 5 2 2 3 2" xfId="6081"/>
    <cellStyle name="Vírgula 7 5 2 2 3 3" xfId="10519"/>
    <cellStyle name="Vírgula 7 5 2 2 4" xfId="6776"/>
    <cellStyle name="Vírgula 7 5 2 2 5" xfId="5094"/>
    <cellStyle name="Vírgula 7 5 2 2 6" xfId="9424"/>
    <cellStyle name="Vírgula 7 5 2 3" xfId="3082"/>
    <cellStyle name="Vírgula 7 5 2 3 2" xfId="4078"/>
    <cellStyle name="Vírgula 7 5 2 3 2 2" xfId="6522"/>
    <cellStyle name="Vírgula 7 5 2 3 2 3" xfId="10521"/>
    <cellStyle name="Vírgula 7 5 2 3 3" xfId="5251"/>
    <cellStyle name="Vírgula 7 5 2 3 4" xfId="9564"/>
    <cellStyle name="Vírgula 7 5 2 4" xfId="3825"/>
    <cellStyle name="Vírgula 7 5 2 4 2" xfId="5967"/>
    <cellStyle name="Vírgula 7 5 2 4 3" xfId="10518"/>
    <cellStyle name="Vírgula 7 5 2 5" xfId="6701"/>
    <cellStyle name="Vírgula 7 5 2 5 2" xfId="10773"/>
    <cellStyle name="Vírgula 7 5 2 6" xfId="5019"/>
    <cellStyle name="Vírgula 7 5 2 6 2" xfId="10903"/>
    <cellStyle name="Vírgula 7 5 2 7" xfId="9300"/>
    <cellStyle name="Vírgula 7 5 3" xfId="623"/>
    <cellStyle name="Vírgula 7 5 3 2" xfId="624"/>
    <cellStyle name="Vírgula 7 5 3 2 2" xfId="907"/>
    <cellStyle name="Vírgula 7 5 3 2 2 2" xfId="3192"/>
    <cellStyle name="Vírgula 7 5 3 2 2 2 2" xfId="4234"/>
    <cellStyle name="Vírgula 7 5 3 2 2 2 2 2" xfId="6592"/>
    <cellStyle name="Vírgula 7 5 3 2 2 2 3" xfId="5361"/>
    <cellStyle name="Vírgula 7 5 3 2 2 3" xfId="3941"/>
    <cellStyle name="Vírgula 7 5 3 2 2 3 2" xfId="6082"/>
    <cellStyle name="Vírgula 7 5 3 2 2 4" xfId="6777"/>
    <cellStyle name="Vírgula 7 5 3 2 2 5" xfId="5095"/>
    <cellStyle name="Vírgula 7 5 3 2 2 6" xfId="10523"/>
    <cellStyle name="Vírgula 7 5 3 2 3" xfId="3084"/>
    <cellStyle name="Vírgula 7 5 3 2 3 2" xfId="4041"/>
    <cellStyle name="Vírgula 7 5 3 2 3 2 2" xfId="6524"/>
    <cellStyle name="Vírgula 7 5 3 2 3 3" xfId="5253"/>
    <cellStyle name="Vírgula 7 5 3 2 4" xfId="3827"/>
    <cellStyle name="Vírgula 7 5 3 2 4 2" xfId="5969"/>
    <cellStyle name="Vírgula 7 5 3 2 5" xfId="6703"/>
    <cellStyle name="Vírgula 7 5 3 2 6" xfId="5021"/>
    <cellStyle name="Vírgula 7 5 3 2 7" xfId="9716"/>
    <cellStyle name="Vírgula 7 5 3 3" xfId="908"/>
    <cellStyle name="Vírgula 7 5 3 3 2" xfId="3193"/>
    <cellStyle name="Vírgula 7 5 3 3 2 2" xfId="4461"/>
    <cellStyle name="Vírgula 7 5 3 3 2 2 2" xfId="6593"/>
    <cellStyle name="Vírgula 7 5 3 3 2 3" xfId="5362"/>
    <cellStyle name="Vírgula 7 5 3 3 3" xfId="3942"/>
    <cellStyle name="Vírgula 7 5 3 3 3 2" xfId="6083"/>
    <cellStyle name="Vírgula 7 5 3 3 4" xfId="6778"/>
    <cellStyle name="Vírgula 7 5 3 3 5" xfId="5096"/>
    <cellStyle name="Vírgula 7 5 3 3 6" xfId="10522"/>
    <cellStyle name="Vírgula 7 5 3 4" xfId="3083"/>
    <cellStyle name="Vírgula 7 5 3 4 2" xfId="4341"/>
    <cellStyle name="Vírgula 7 5 3 4 2 2" xfId="6523"/>
    <cellStyle name="Vírgula 7 5 3 4 3" xfId="5252"/>
    <cellStyle name="Vírgula 7 5 3 5" xfId="3826"/>
    <cellStyle name="Vírgula 7 5 3 5 2" xfId="5968"/>
    <cellStyle name="Vírgula 7 5 3 6" xfId="6702"/>
    <cellStyle name="Vírgula 7 5 3 7" xfId="5020"/>
    <cellStyle name="Vírgula 7 5 3 8" xfId="9259"/>
    <cellStyle name="Vírgula 7 5 4" xfId="625"/>
    <cellStyle name="Vírgula 7 5 4 2" xfId="909"/>
    <cellStyle name="Vírgula 7 5 4 2 2" xfId="3194"/>
    <cellStyle name="Vírgula 7 5 4 2 2 2" xfId="3748"/>
    <cellStyle name="Vírgula 7 5 4 2 2 2 2" xfId="6594"/>
    <cellStyle name="Vírgula 7 5 4 2 2 3" xfId="5363"/>
    <cellStyle name="Vírgula 7 5 4 2 2 4" xfId="10525"/>
    <cellStyle name="Vírgula 7 5 4 2 3" xfId="3943"/>
    <cellStyle name="Vírgula 7 5 4 2 3 2" xfId="6084"/>
    <cellStyle name="Vírgula 7 5 4 2 4" xfId="6779"/>
    <cellStyle name="Vírgula 7 5 4 2 5" xfId="5097"/>
    <cellStyle name="Vírgula 7 5 4 2 6" xfId="9795"/>
    <cellStyle name="Vírgula 7 5 4 3" xfId="3085"/>
    <cellStyle name="Vírgula 7 5 4 3 2" xfId="4110"/>
    <cellStyle name="Vírgula 7 5 4 3 2 2" xfId="6525"/>
    <cellStyle name="Vírgula 7 5 4 3 3" xfId="5254"/>
    <cellStyle name="Vírgula 7 5 4 3 4" xfId="10524"/>
    <cellStyle name="Vírgula 7 5 4 4" xfId="3828"/>
    <cellStyle name="Vírgula 7 5 4 4 2" xfId="5970"/>
    <cellStyle name="Vírgula 7 5 4 5" xfId="6704"/>
    <cellStyle name="Vírgula 7 5 4 6" xfId="5022"/>
    <cellStyle name="Vírgula 7 5 4 7" xfId="9377"/>
    <cellStyle name="Vírgula 7 5 5" xfId="626"/>
    <cellStyle name="Vírgula 7 5 5 2" xfId="910"/>
    <cellStyle name="Vírgula 7 5 5 2 2" xfId="3195"/>
    <cellStyle name="Vírgula 7 5 5 2 2 2" xfId="4384"/>
    <cellStyle name="Vírgula 7 5 5 2 2 2 2" xfId="6595"/>
    <cellStyle name="Vírgula 7 5 5 2 2 3" xfId="5364"/>
    <cellStyle name="Vírgula 7 5 5 2 3" xfId="3944"/>
    <cellStyle name="Vírgula 7 5 5 2 3 2" xfId="6085"/>
    <cellStyle name="Vírgula 7 5 5 2 4" xfId="6780"/>
    <cellStyle name="Vírgula 7 5 5 2 5" xfId="5098"/>
    <cellStyle name="Vírgula 7 5 5 2 6" xfId="10526"/>
    <cellStyle name="Vírgula 7 5 5 3" xfId="3086"/>
    <cellStyle name="Vírgula 7 5 5 3 2" xfId="4361"/>
    <cellStyle name="Vírgula 7 5 5 3 2 2" xfId="6526"/>
    <cellStyle name="Vírgula 7 5 5 3 3" xfId="5255"/>
    <cellStyle name="Vírgula 7 5 5 4" xfId="3829"/>
    <cellStyle name="Vírgula 7 5 5 4 2" xfId="5971"/>
    <cellStyle name="Vírgula 7 5 5 5" xfId="6705"/>
    <cellStyle name="Vírgula 7 5 5 6" xfId="5023"/>
    <cellStyle name="Vírgula 7 5 5 7" xfId="9514"/>
    <cellStyle name="Vírgula 7 5 6" xfId="627"/>
    <cellStyle name="Vírgula 7 5 6 2" xfId="911"/>
    <cellStyle name="Vírgula 7 5 6 2 2" xfId="3196"/>
    <cellStyle name="Vírgula 7 5 6 2 2 2" xfId="3792"/>
    <cellStyle name="Vírgula 7 5 6 2 2 2 2" xfId="6596"/>
    <cellStyle name="Vírgula 7 5 6 2 2 3" xfId="5365"/>
    <cellStyle name="Vírgula 7 5 6 2 3" xfId="3945"/>
    <cellStyle name="Vírgula 7 5 6 2 3 2" xfId="6086"/>
    <cellStyle name="Vírgula 7 5 6 2 4" xfId="6781"/>
    <cellStyle name="Vírgula 7 5 6 2 5" xfId="5099"/>
    <cellStyle name="Vírgula 7 5 6 3" xfId="3087"/>
    <cellStyle name="Vírgula 7 5 6 3 2" xfId="4435"/>
    <cellStyle name="Vírgula 7 5 6 3 2 2" xfId="6527"/>
    <cellStyle name="Vírgula 7 5 6 3 3" xfId="5256"/>
    <cellStyle name="Vírgula 7 5 6 4" xfId="3830"/>
    <cellStyle name="Vírgula 7 5 6 4 2" xfId="5972"/>
    <cellStyle name="Vírgula 7 5 6 5" xfId="6706"/>
    <cellStyle name="Vírgula 7 5 6 6" xfId="5024"/>
    <cellStyle name="Vírgula 7 5 6 7" xfId="10517"/>
    <cellStyle name="Vírgula 7 5 7" xfId="628"/>
    <cellStyle name="Vírgula 7 5 7 2" xfId="912"/>
    <cellStyle name="Vírgula 7 5 7 2 2" xfId="3197"/>
    <cellStyle name="Vírgula 7 5 7 2 2 2" xfId="3964"/>
    <cellStyle name="Vírgula 7 5 7 2 2 2 2" xfId="6597"/>
    <cellStyle name="Vírgula 7 5 7 2 2 3" xfId="5366"/>
    <cellStyle name="Vírgula 7 5 7 2 3" xfId="3946"/>
    <cellStyle name="Vírgula 7 5 7 2 3 2" xfId="6087"/>
    <cellStyle name="Vírgula 7 5 7 2 4" xfId="6782"/>
    <cellStyle name="Vírgula 7 5 7 2 5" xfId="5100"/>
    <cellStyle name="Vírgula 7 5 7 3" xfId="3088"/>
    <cellStyle name="Vírgula 7 5 7 3 2" xfId="4243"/>
    <cellStyle name="Vírgula 7 5 7 3 2 2" xfId="6528"/>
    <cellStyle name="Vírgula 7 5 7 3 3" xfId="5257"/>
    <cellStyle name="Vírgula 7 5 7 4" xfId="3831"/>
    <cellStyle name="Vírgula 7 5 7 4 2" xfId="5973"/>
    <cellStyle name="Vírgula 7 5 7 5" xfId="6707"/>
    <cellStyle name="Vírgula 7 5 7 6" xfId="5025"/>
    <cellStyle name="Vírgula 7 5 7 7" xfId="10727"/>
    <cellStyle name="Vírgula 7 5 8" xfId="913"/>
    <cellStyle name="Vírgula 7 5 8 2" xfId="2428"/>
    <cellStyle name="Vírgula 7 5 8 2 2" xfId="3557"/>
    <cellStyle name="Vírgula 7 5 8 2 2 2" xfId="3765"/>
    <cellStyle name="Vírgula 7 5 8 2 2 2 2" xfId="6661"/>
    <cellStyle name="Vírgula 7 5 8 2 2 3" xfId="5726"/>
    <cellStyle name="Vírgula 7 5 8 2 3" xfId="4303"/>
    <cellStyle name="Vírgula 7 5 8 2 3 2" xfId="6456"/>
    <cellStyle name="Vírgula 7 5 8 2 4" xfId="6853"/>
    <cellStyle name="Vírgula 7 5 8 2 5" xfId="5171"/>
    <cellStyle name="Vírgula 7 5 8 3" xfId="2427"/>
    <cellStyle name="Vírgula 7 5 8 3 2" xfId="3556"/>
    <cellStyle name="Vírgula 7 5 8 3 2 2" xfId="4216"/>
    <cellStyle name="Vírgula 7 5 8 3 2 2 2" xfId="6660"/>
    <cellStyle name="Vírgula 7 5 8 3 2 3" xfId="5725"/>
    <cellStyle name="Vírgula 7 5 8 3 3" xfId="4302"/>
    <cellStyle name="Vírgula 7 5 8 3 3 2" xfId="6455"/>
    <cellStyle name="Vírgula 7 5 8 3 4" xfId="6852"/>
    <cellStyle name="Vírgula 7 5 8 3 5" xfId="5170"/>
    <cellStyle name="Vírgula 7 5 8 4" xfId="3198"/>
    <cellStyle name="Vírgula 7 5 8 4 2" xfId="3798"/>
    <cellStyle name="Vírgula 7 5 8 4 2 2" xfId="6598"/>
    <cellStyle name="Vírgula 7 5 8 4 3" xfId="5367"/>
    <cellStyle name="Vírgula 7 5 8 4 3 2" xfId="12475"/>
    <cellStyle name="Vírgula 7 5 8 4 3 3" xfId="11390"/>
    <cellStyle name="Vírgula 7 5 8 5" xfId="3947"/>
    <cellStyle name="Vírgula 7 5 8 5 2" xfId="6088"/>
    <cellStyle name="Vírgula 7 5 8 5 2 2" xfId="12493"/>
    <cellStyle name="Vírgula 7 5 8 5 2 3" xfId="13166"/>
    <cellStyle name="Vírgula 7 5 8 6" xfId="6783"/>
    <cellStyle name="Vírgula 7 5 8 7" xfId="5101"/>
    <cellStyle name="Vírgula 7 5 9" xfId="2429"/>
    <cellStyle name="Vírgula 7 5 9 2" xfId="2430"/>
    <cellStyle name="Vírgula 7 5 9 2 2" xfId="3559"/>
    <cellStyle name="Vírgula 7 5 9 2 2 2" xfId="4150"/>
    <cellStyle name="Vírgula 7 5 9 2 2 2 2" xfId="6663"/>
    <cellStyle name="Vírgula 7 5 9 2 2 3" xfId="5728"/>
    <cellStyle name="Vírgula 7 5 9 2 3" xfId="4305"/>
    <cellStyle name="Vírgula 7 5 9 2 3 2" xfId="6458"/>
    <cellStyle name="Vírgula 7 5 9 2 4" xfId="6855"/>
    <cellStyle name="Vírgula 7 5 9 2 5" xfId="5173"/>
    <cellStyle name="Vírgula 7 5 9 3" xfId="3558"/>
    <cellStyle name="Vírgula 7 5 9 3 2" xfId="4141"/>
    <cellStyle name="Vírgula 7 5 9 3 2 2" xfId="6662"/>
    <cellStyle name="Vírgula 7 5 9 3 3" xfId="5727"/>
    <cellStyle name="Vírgula 7 5 9 4" xfId="4304"/>
    <cellStyle name="Vírgula 7 5 9 4 2" xfId="6457"/>
    <cellStyle name="Vírgula 7 5 9 5" xfId="6854"/>
    <cellStyle name="Vírgula 7 5 9 6" xfId="5172"/>
    <cellStyle name="Vírgula 7 6" xfId="629"/>
    <cellStyle name="Vírgula 7 6 10" xfId="5026"/>
    <cellStyle name="Vírgula 7 6 10 2" xfId="11187"/>
    <cellStyle name="Vírgula 7 6 10 2 2" xfId="14957"/>
    <cellStyle name="Vírgula 7 6 10 2 3" xfId="13747"/>
    <cellStyle name="Vírgula 7 6 10 3" xfId="11538"/>
    <cellStyle name="Vírgula 7 6 10 4" xfId="11515"/>
    <cellStyle name="Vírgula 7 6 11" xfId="8674"/>
    <cellStyle name="Vírgula 7 6 12" xfId="8675"/>
    <cellStyle name="Vírgula 7 6 13" xfId="8676"/>
    <cellStyle name="Vírgula 7 6 14" xfId="9294"/>
    <cellStyle name="Vírgula 7 6 2" xfId="630"/>
    <cellStyle name="Vírgula 7 6 2 10" xfId="9416"/>
    <cellStyle name="Vírgula 7 6 2 2" xfId="914"/>
    <cellStyle name="Vírgula 7 6 2 2 2" xfId="2433"/>
    <cellStyle name="Vírgula 7 6 2 2 2 2" xfId="3562"/>
    <cellStyle name="Vírgula 7 6 2 2 2 2 2" xfId="4848"/>
    <cellStyle name="Vírgula 7 6 2 2 2 2 3" xfId="5731"/>
    <cellStyle name="Vírgula 7 6 2 2 2 3" xfId="4368"/>
    <cellStyle name="Vírgula 7 6 2 2 2 3 2" xfId="6461"/>
    <cellStyle name="Vírgula 7 6 2 2 2 4" xfId="10529"/>
    <cellStyle name="Vírgula 7 6 2 2 3" xfId="3199"/>
    <cellStyle name="Vírgula 7 6 2 2 3 2" xfId="4277"/>
    <cellStyle name="Vírgula 7 6 2 2 3 2 2" xfId="6599"/>
    <cellStyle name="Vírgula 7 6 2 2 3 3" xfId="5368"/>
    <cellStyle name="Vírgula 7 6 2 2 4" xfId="3948"/>
    <cellStyle name="Vírgula 7 6 2 2 4 2" xfId="6089"/>
    <cellStyle name="Vírgula 7 6 2 2 5" xfId="6784"/>
    <cellStyle name="Vírgula 7 6 2 2 6" xfId="5102"/>
    <cellStyle name="Vírgula 7 6 2 2 7" xfId="9837"/>
    <cellStyle name="Vírgula 7 6 2 3" xfId="2434"/>
    <cellStyle name="Vírgula 7 6 2 3 2" xfId="3563"/>
    <cellStyle name="Vírgula 7 6 2 3 2 2" xfId="4055"/>
    <cellStyle name="Vírgula 7 6 2 3 2 2 2" xfId="6664"/>
    <cellStyle name="Vírgula 7 6 2 3 2 3" xfId="5732"/>
    <cellStyle name="Vírgula 7 6 2 3 3" xfId="4306"/>
    <cellStyle name="Vírgula 7 6 2 3 3 2" xfId="6462"/>
    <cellStyle name="Vírgula 7 6 2 3 4" xfId="6856"/>
    <cellStyle name="Vírgula 7 6 2 3 5" xfId="5174"/>
    <cellStyle name="Vírgula 7 6 2 3 6" xfId="10528"/>
    <cellStyle name="Vírgula 7 6 2 4" xfId="2435"/>
    <cellStyle name="Vírgula 7 6 2 4 2" xfId="3564"/>
    <cellStyle name="Vírgula 7 6 2 4 2 2" xfId="4849"/>
    <cellStyle name="Vírgula 7 6 2 4 2 3" xfId="5733"/>
    <cellStyle name="Vírgula 7 6 2 4 3" xfId="4050"/>
    <cellStyle name="Vírgula 7 6 2 4 3 2" xfId="6463"/>
    <cellStyle name="Vírgula 7 6 2 5" xfId="2432"/>
    <cellStyle name="Vírgula 7 6 2 5 2" xfId="3561"/>
    <cellStyle name="Vírgula 7 6 2 5 2 2" xfId="4847"/>
    <cellStyle name="Vírgula 7 6 2 5 2 3" xfId="5730"/>
    <cellStyle name="Vírgula 7 6 2 5 3" xfId="4395"/>
    <cellStyle name="Vírgula 7 6 2 5 3 2" xfId="6460"/>
    <cellStyle name="Vírgula 7 6 2 6" xfId="3090"/>
    <cellStyle name="Vírgula 7 6 2 6 2" xfId="3961"/>
    <cellStyle name="Vírgula 7 6 2 6 2 2" xfId="6530"/>
    <cellStyle name="Vírgula 7 6 2 6 3" xfId="5259"/>
    <cellStyle name="Vírgula 7 6 2 7" xfId="3833"/>
    <cellStyle name="Vírgula 7 6 2 7 2" xfId="5975"/>
    <cellStyle name="Vírgula 7 6 2 8" xfId="6709"/>
    <cellStyle name="Vírgula 7 6 2 9" xfId="5027"/>
    <cellStyle name="Vírgula 7 6 3" xfId="915"/>
    <cellStyle name="Vírgula 7 6 3 2" xfId="2436"/>
    <cellStyle name="Vírgula 7 6 3 2 2" xfId="2888"/>
    <cellStyle name="Vírgula 7 6 3 2 2 2" xfId="3665"/>
    <cellStyle name="Vírgula 7 6 3 2 2 2 2" xfId="4943"/>
    <cellStyle name="Vírgula 7 6 3 2 2 2 3" xfId="5834"/>
    <cellStyle name="Vírgula 7 6 3 2 3" xfId="2820"/>
    <cellStyle name="Vírgula 7 6 3 2 3 2" xfId="3648"/>
    <cellStyle name="Vírgula 7 6 3 2 3 2 2" xfId="4926"/>
    <cellStyle name="Vírgula 7 6 3 2 3 2 3" xfId="5817"/>
    <cellStyle name="Vírgula 7 6 3 2 4" xfId="2666"/>
    <cellStyle name="Vírgula 7 6 3 2 4 2" xfId="3621"/>
    <cellStyle name="Vírgula 7 6 3 2 4 2 2" xfId="4899"/>
    <cellStyle name="Vírgula 7 6 3 2 4 2 3" xfId="5790"/>
    <cellStyle name="Vírgula 7 6 3 2 5" xfId="2599"/>
    <cellStyle name="Vírgula 7 6 3 2 5 2" xfId="3605"/>
    <cellStyle name="Vírgula 7 6 3 2 5 2 2" xfId="4883"/>
    <cellStyle name="Vírgula 7 6 3 2 5 2 3" xfId="5774"/>
    <cellStyle name="Vírgula 7 6 3 2 6" xfId="3565"/>
    <cellStyle name="Vírgula 7 6 3 2 6 2" xfId="4850"/>
    <cellStyle name="Vírgula 7 6 3 2 6 3" xfId="5734"/>
    <cellStyle name="Vírgula 7 6 3 2 7" xfId="4445"/>
    <cellStyle name="Vírgula 7 6 3 2 7 2" xfId="6464"/>
    <cellStyle name="Vírgula 7 6 3 2 8" xfId="10530"/>
    <cellStyle name="Vírgula 7 6 3 3" xfId="2528"/>
    <cellStyle name="Vírgula 7 6 3 3 2" xfId="3590"/>
    <cellStyle name="Vírgula 7 6 3 3 2 2" xfId="4868"/>
    <cellStyle name="Vírgula 7 6 3 3 2 3" xfId="5759"/>
    <cellStyle name="Vírgula 7 6 3 3 3" xfId="3727"/>
    <cellStyle name="Vírgula 7 6 3 3 3 2" xfId="6489"/>
    <cellStyle name="Vírgula 7 6 3 4" xfId="3200"/>
    <cellStyle name="Vírgula 7 6 3 4 2" xfId="3862"/>
    <cellStyle name="Vírgula 7 6 3 4 2 2" xfId="6600"/>
    <cellStyle name="Vírgula 7 6 3 4 3" xfId="5369"/>
    <cellStyle name="Vírgula 7 6 3 4 3 2" xfId="11935"/>
    <cellStyle name="Vírgula 7 6 3 4 3 3" xfId="12023"/>
    <cellStyle name="Vírgula 7 6 3 5" xfId="3949"/>
    <cellStyle name="Vírgula 7 6 3 5 2" xfId="6090"/>
    <cellStyle name="Vírgula 7 6 3 6" xfId="6785"/>
    <cellStyle name="Vírgula 7 6 3 7" xfId="5103"/>
    <cellStyle name="Vírgula 7 6 3 8" xfId="9556"/>
    <cellStyle name="Vírgula 7 6 4" xfId="2437"/>
    <cellStyle name="Vírgula 7 6 4 2" xfId="3566"/>
    <cellStyle name="Vírgula 7 6 4 2 2" xfId="3858"/>
    <cellStyle name="Vírgula 7 6 4 2 2 2" xfId="6665"/>
    <cellStyle name="Vírgula 7 6 4 2 3" xfId="5735"/>
    <cellStyle name="Vírgula 7 6 4 3" xfId="4308"/>
    <cellStyle name="Vírgula 7 6 4 3 2" xfId="6465"/>
    <cellStyle name="Vírgula 7 6 4 4" xfId="6857"/>
    <cellStyle name="Vírgula 7 6 4 4 2" xfId="13306"/>
    <cellStyle name="Vírgula 7 6 4 4 3" xfId="11868"/>
    <cellStyle name="Vírgula 7 6 4 5" xfId="5175"/>
    <cellStyle name="Vírgula 7 6 4 6" xfId="10527"/>
    <cellStyle name="Vírgula 7 6 5" xfId="2438"/>
    <cellStyle name="Vírgula 7 6 5 2" xfId="2529"/>
    <cellStyle name="Vírgula 7 6 5 2 2" xfId="3591"/>
    <cellStyle name="Vírgula 7 6 5 2 2 2" xfId="4869"/>
    <cellStyle name="Vírgula 7 6 5 2 2 3" xfId="5760"/>
    <cellStyle name="Vírgula 7 6 5 2 3" xfId="4158"/>
    <cellStyle name="Vírgula 7 6 5 2 3 2" xfId="6490"/>
    <cellStyle name="Vírgula 7 6 5 3" xfId="2821"/>
    <cellStyle name="Vírgula 7 6 5 3 2" xfId="3649"/>
    <cellStyle name="Vírgula 7 6 5 3 2 2" xfId="4927"/>
    <cellStyle name="Vírgula 7 6 5 3 2 3" xfId="5818"/>
    <cellStyle name="Vírgula 7 6 5 3 2 3 2" xfId="11640"/>
    <cellStyle name="Vírgula 7 6 5 3 2 3 3" xfId="11094"/>
    <cellStyle name="Vírgula 7 6 5 3 3" xfId="8677"/>
    <cellStyle name="Vírgula 7 6 5 4" xfId="3567"/>
    <cellStyle name="Vírgula 7 6 5 4 2" xfId="4851"/>
    <cellStyle name="Vírgula 7 6 5 4 3" xfId="5736"/>
    <cellStyle name="Vírgula 7 6 5 5" xfId="4413"/>
    <cellStyle name="Vírgula 7 6 5 5 2" xfId="6466"/>
    <cellStyle name="Vírgula 7 6 5 6" xfId="10766"/>
    <cellStyle name="Vírgula 7 6 6" xfId="2431"/>
    <cellStyle name="Vírgula 7 6 6 2" xfId="2887"/>
    <cellStyle name="Vírgula 7 6 6 2 2" xfId="3664"/>
    <cellStyle name="Vírgula 7 6 6 2 2 2" xfId="4942"/>
    <cellStyle name="Vírgula 7 6 6 2 2 3" xfId="5833"/>
    <cellStyle name="Vírgula 7 6 6 2 2 3 2" xfId="11675"/>
    <cellStyle name="Vírgula 7 6 6 2 2 3 3" xfId="11975"/>
    <cellStyle name="Vírgula 7 6 6 2 3" xfId="8678"/>
    <cellStyle name="Vírgula 7 6 6 3" xfId="2819"/>
    <cellStyle name="Vírgula 7 6 6 3 2" xfId="3647"/>
    <cellStyle name="Vírgula 7 6 6 3 2 2" xfId="4925"/>
    <cellStyle name="Vírgula 7 6 6 3 2 3" xfId="5816"/>
    <cellStyle name="Vírgula 7 6 6 4" xfId="2665"/>
    <cellStyle name="Vírgula 7 6 6 4 2" xfId="3620"/>
    <cellStyle name="Vírgula 7 6 6 4 2 2" xfId="4898"/>
    <cellStyle name="Vírgula 7 6 6 4 2 3" xfId="5789"/>
    <cellStyle name="Vírgula 7 6 6 5" xfId="2598"/>
    <cellStyle name="Vírgula 7 6 6 5 2" xfId="3604"/>
    <cellStyle name="Vírgula 7 6 6 5 2 2" xfId="4882"/>
    <cellStyle name="Vírgula 7 6 6 5 2 3" xfId="5773"/>
    <cellStyle name="Vírgula 7 6 6 6" xfId="3560"/>
    <cellStyle name="Vírgula 7 6 6 6 2" xfId="4846"/>
    <cellStyle name="Vírgula 7 6 6 6 3" xfId="5729"/>
    <cellStyle name="Vírgula 7 6 6 7" xfId="4094"/>
    <cellStyle name="Vírgula 7 6 6 7 2" xfId="6459"/>
    <cellStyle name="Vírgula 7 6 6 8" xfId="10896"/>
    <cellStyle name="Vírgula 7 6 7" xfId="3089"/>
    <cellStyle name="Vírgula 7 6 7 2" xfId="4079"/>
    <cellStyle name="Vírgula 7 6 7 2 2" xfId="6529"/>
    <cellStyle name="Vírgula 7 6 7 3" xfId="5258"/>
    <cellStyle name="Vírgula 7 6 7 3 2" xfId="11203"/>
    <cellStyle name="Vírgula 7 6 7 3 3" xfId="11680"/>
    <cellStyle name="Vírgula 7 6 7 4" xfId="10961"/>
    <cellStyle name="Vírgula 7 6 7 4 2" xfId="14919"/>
    <cellStyle name="Vírgula 7 6 7 4 3" xfId="13593"/>
    <cellStyle name="Vírgula 7 6 8" xfId="3832"/>
    <cellStyle name="Vírgula 7 6 8 2" xfId="5974"/>
    <cellStyle name="Vírgula 7 6 8 2 2" xfId="10976"/>
    <cellStyle name="Vírgula 7 6 8 2 3" xfId="12918"/>
    <cellStyle name="Vírgula 7 6 8 3" xfId="12323"/>
    <cellStyle name="Vírgula 7 6 8 3 2" xfId="15380"/>
    <cellStyle name="Vírgula 7 6 8 3 3" xfId="13653"/>
    <cellStyle name="Vírgula 7 6 9" xfId="6708"/>
    <cellStyle name="Vírgula 7 6 9 2" xfId="11832"/>
    <cellStyle name="Vírgula 7 6 9 2 2" xfId="15094"/>
    <cellStyle name="Vírgula 7 6 9 2 3" xfId="13758"/>
    <cellStyle name="Vírgula 7 6 9 3" xfId="11659"/>
    <cellStyle name="Vírgula 7 6 9 4" xfId="12462"/>
    <cellStyle name="Vírgula 7 7" xfId="631"/>
    <cellStyle name="Vírgula 7 7 2" xfId="916"/>
    <cellStyle name="Vírgula 7 7 2 2" xfId="3201"/>
    <cellStyle name="Vírgula 7 7 2 2 2" xfId="4145"/>
    <cellStyle name="Vírgula 7 7 2 2 2 2" xfId="6601"/>
    <cellStyle name="Vírgula 7 7 2 2 3" xfId="5370"/>
    <cellStyle name="Vírgula 7 7 2 2 4" xfId="10532"/>
    <cellStyle name="Vírgula 7 7 2 3" xfId="3950"/>
    <cellStyle name="Vírgula 7 7 2 3 2" xfId="6091"/>
    <cellStyle name="Vírgula 7 7 2 4" xfId="6786"/>
    <cellStyle name="Vírgula 7 7 2 5" xfId="5104"/>
    <cellStyle name="Vírgula 7 7 2 6" xfId="9651"/>
    <cellStyle name="Vírgula 7 7 3" xfId="3091"/>
    <cellStyle name="Vírgula 7 7 3 2" xfId="4404"/>
    <cellStyle name="Vírgula 7 7 3 2 2" xfId="6531"/>
    <cellStyle name="Vírgula 7 7 3 3" xfId="5260"/>
    <cellStyle name="Vírgula 7 7 3 4" xfId="10531"/>
    <cellStyle name="Vírgula 7 7 4" xfId="3834"/>
    <cellStyle name="Vírgula 7 7 4 2" xfId="5976"/>
    <cellStyle name="Vírgula 7 7 5" xfId="6710"/>
    <cellStyle name="Vírgula 7 7 6" xfId="5028"/>
    <cellStyle name="Vírgula 7 7 7" xfId="9198"/>
    <cellStyle name="Vírgula 7 8" xfId="917"/>
    <cellStyle name="Vírgula 7 8 2" xfId="1086"/>
    <cellStyle name="Vírgula 7 8 2 2" xfId="2440"/>
    <cellStyle name="Vírgula 7 8 2 2 2" xfId="3569"/>
    <cellStyle name="Vírgula 7 8 2 2 2 2" xfId="4853"/>
    <cellStyle name="Vírgula 7 8 2 2 2 3" xfId="5738"/>
    <cellStyle name="Vírgula 7 8 2 2 3" xfId="4138"/>
    <cellStyle name="Vírgula 7 8 2 2 3 2" xfId="6468"/>
    <cellStyle name="Vírgula 7 8 2 2 4" xfId="10534"/>
    <cellStyle name="Vírgula 7 8 2 3" xfId="3218"/>
    <cellStyle name="Vírgula 7 8 2 3 2" xfId="3981"/>
    <cellStyle name="Vírgula 7 8 2 3 2 2" xfId="6612"/>
    <cellStyle name="Vírgula 7 8 2 3 3" xfId="5387"/>
    <cellStyle name="Vírgula 7 8 2 4" xfId="3995"/>
    <cellStyle name="Vírgula 7 8 2 4 2" xfId="6111"/>
    <cellStyle name="Vírgula 7 8 2 5" xfId="6798"/>
    <cellStyle name="Vírgula 7 8 2 6" xfId="5116"/>
    <cellStyle name="Vírgula 7 8 2 7" xfId="9752"/>
    <cellStyle name="Vírgula 7 8 3" xfId="2439"/>
    <cellStyle name="Vírgula 7 8 3 2" xfId="2889"/>
    <cellStyle name="Vírgula 7 8 3 2 2" xfId="3666"/>
    <cellStyle name="Vírgula 7 8 3 2 2 2" xfId="4944"/>
    <cellStyle name="Vírgula 7 8 3 2 2 3" xfId="5835"/>
    <cellStyle name="Vírgula 7 8 3 3" xfId="2822"/>
    <cellStyle name="Vírgula 7 8 3 3 2" xfId="3650"/>
    <cellStyle name="Vírgula 7 8 3 3 2 2" xfId="4928"/>
    <cellStyle name="Vírgula 7 8 3 3 2 3" xfId="5819"/>
    <cellStyle name="Vírgula 7 8 3 4" xfId="2667"/>
    <cellStyle name="Vírgula 7 8 3 4 2" xfId="3622"/>
    <cellStyle name="Vírgula 7 8 3 4 2 2" xfId="4900"/>
    <cellStyle name="Vírgula 7 8 3 4 2 3" xfId="5791"/>
    <cellStyle name="Vírgula 7 8 3 5" xfId="2600"/>
    <cellStyle name="Vírgula 7 8 3 5 2" xfId="3606"/>
    <cellStyle name="Vírgula 7 8 3 5 2 2" xfId="4884"/>
    <cellStyle name="Vírgula 7 8 3 5 2 3" xfId="5775"/>
    <cellStyle name="Vírgula 7 8 3 6" xfId="3568"/>
    <cellStyle name="Vírgula 7 8 3 6 2" xfId="4852"/>
    <cellStyle name="Vírgula 7 8 3 6 3" xfId="5737"/>
    <cellStyle name="Vírgula 7 8 3 7" xfId="4214"/>
    <cellStyle name="Vírgula 7 8 3 7 2" xfId="6467"/>
    <cellStyle name="Vírgula 7 8 3 8" xfId="10533"/>
    <cellStyle name="Vírgula 7 8 4" xfId="3202"/>
    <cellStyle name="Vírgula 7 8 4 2" xfId="3736"/>
    <cellStyle name="Vírgula 7 8 4 2 2" xfId="6602"/>
    <cellStyle name="Vírgula 7 8 4 3" xfId="5371"/>
    <cellStyle name="Vírgula 7 8 4 3 2" xfId="12476"/>
    <cellStyle name="Vírgula 7 8 4 3 3" xfId="11193"/>
    <cellStyle name="Vírgula 7 8 5" xfId="3951"/>
    <cellStyle name="Vírgula 7 8 5 2" xfId="6092"/>
    <cellStyle name="Vírgula 7 8 5 2 2" xfId="10977"/>
    <cellStyle name="Vírgula 7 8 5 2 3" xfId="11271"/>
    <cellStyle name="Vírgula 7 8 6" xfId="6787"/>
    <cellStyle name="Vírgula 7 8 7" xfId="5105"/>
    <cellStyle name="Vírgula 7 9" xfId="1087"/>
    <cellStyle name="Vírgula 7 9 2" xfId="2442"/>
    <cellStyle name="Vírgula 7 9 2 2" xfId="3571"/>
    <cellStyle name="Vírgula 7 9 2 2 2" xfId="4855"/>
    <cellStyle name="Vírgula 7 9 2 2 3" xfId="5740"/>
    <cellStyle name="Vírgula 7 9 2 2 4" xfId="10536"/>
    <cellStyle name="Vírgula 7 9 2 3" xfId="4082"/>
    <cellStyle name="Vírgula 7 9 2 3 2" xfId="6470"/>
    <cellStyle name="Vírgula 7 9 2 4" xfId="9603"/>
    <cellStyle name="Vírgula 7 9 3" xfId="2441"/>
    <cellStyle name="Vírgula 7 9 3 2" xfId="2890"/>
    <cellStyle name="Vírgula 7 9 3 2 2" xfId="3667"/>
    <cellStyle name="Vírgula 7 9 3 2 2 2" xfId="4945"/>
    <cellStyle name="Vírgula 7 9 3 2 2 3" xfId="5836"/>
    <cellStyle name="Vírgula 7 9 3 3" xfId="2823"/>
    <cellStyle name="Vírgula 7 9 3 3 2" xfId="3651"/>
    <cellStyle name="Vírgula 7 9 3 3 2 2" xfId="4929"/>
    <cellStyle name="Vírgula 7 9 3 3 2 3" xfId="5820"/>
    <cellStyle name="Vírgula 7 9 3 4" xfId="2668"/>
    <cellStyle name="Vírgula 7 9 3 4 2" xfId="3623"/>
    <cellStyle name="Vírgula 7 9 3 4 2 2" xfId="4901"/>
    <cellStyle name="Vírgula 7 9 3 4 2 3" xfId="5792"/>
    <cellStyle name="Vírgula 7 9 3 5" xfId="2601"/>
    <cellStyle name="Vírgula 7 9 3 5 2" xfId="3607"/>
    <cellStyle name="Vírgula 7 9 3 5 2 2" xfId="4885"/>
    <cellStyle name="Vírgula 7 9 3 5 2 3" xfId="5776"/>
    <cellStyle name="Vírgula 7 9 3 6" xfId="3570"/>
    <cellStyle name="Vírgula 7 9 3 6 2" xfId="4854"/>
    <cellStyle name="Vírgula 7 9 3 6 3" xfId="5739"/>
    <cellStyle name="Vírgula 7 9 3 7" xfId="4067"/>
    <cellStyle name="Vírgula 7 9 3 7 2" xfId="6469"/>
    <cellStyle name="Vírgula 7 9 3 8" xfId="10535"/>
    <cellStyle name="Vírgula 7 9 4" xfId="3219"/>
    <cellStyle name="Vírgula 7 9 4 2" xfId="4054"/>
    <cellStyle name="Vírgula 7 9 4 2 2" xfId="6613"/>
    <cellStyle name="Vírgula 7 9 4 3" xfId="5388"/>
    <cellStyle name="Vírgula 7 9 4 3 2" xfId="12014"/>
    <cellStyle name="Vírgula 7 9 4 3 3" xfId="12324"/>
    <cellStyle name="Vírgula 7 9 5" xfId="3996"/>
    <cellStyle name="Vírgula 7 9 5 2" xfId="6112"/>
    <cellStyle name="Vírgula 7 9 6" xfId="6799"/>
    <cellStyle name="Vírgula 7 9 7" xfId="5117"/>
    <cellStyle name="Vírgula 8" xfId="343"/>
    <cellStyle name="Vírgula 8 10" xfId="3753"/>
    <cellStyle name="Vírgula 8 10 2" xfId="6495"/>
    <cellStyle name="Vírgula 8 10 2 2" xfId="8679"/>
    <cellStyle name="Vírgula 8 10 2 3" xfId="11522"/>
    <cellStyle name="Vírgula 8 10 3" xfId="8680"/>
    <cellStyle name="Vírgula 8 10 4" xfId="13646"/>
    <cellStyle name="Vírgula 8 11" xfId="3852"/>
    <cellStyle name="Vírgula 8 11 2" xfId="6502"/>
    <cellStyle name="Vírgula 8 11 2 2" xfId="13245"/>
    <cellStyle name="Vírgula 8 11 2 3" xfId="11366"/>
    <cellStyle name="Vírgula 8 11 3" xfId="12571"/>
    <cellStyle name="Vírgula 8 11 3 2" xfId="15439"/>
    <cellStyle name="Vírgula 8 11 3 3" xfId="13683"/>
    <cellStyle name="Vírgula 8 12" xfId="5865"/>
    <cellStyle name="Vírgula 8 12 2" xfId="12040"/>
    <cellStyle name="Vírgula 8 12 2 2" xfId="15126"/>
    <cellStyle name="Vírgula 8 12 2 3" xfId="13749"/>
    <cellStyle name="Vírgula 8 12 3" xfId="12490"/>
    <cellStyle name="Vírgula 8 12 4" xfId="12463"/>
    <cellStyle name="Vírgula 8 13" xfId="6680"/>
    <cellStyle name="Vírgula 8 13 2" xfId="8681"/>
    <cellStyle name="Vírgula 8 13 2 2" xfId="8682"/>
    <cellStyle name="Vírgula 8 13 3" xfId="8683"/>
    <cellStyle name="Vírgula 8 13 4" xfId="11729"/>
    <cellStyle name="Vírgula 8 14" xfId="4997"/>
    <cellStyle name="Vírgula 8 14 2" xfId="8684"/>
    <cellStyle name="Vírgula 8 14 2 2" xfId="8685"/>
    <cellStyle name="Vírgula 8 14 3" xfId="8686"/>
    <cellStyle name="Vírgula 8 15" xfId="8687"/>
    <cellStyle name="Vírgula 8 15 2" xfId="11912"/>
    <cellStyle name="Vírgula 8 15 3" xfId="12979"/>
    <cellStyle name="Vírgula 8 16" xfId="8688"/>
    <cellStyle name="Vírgula 8 16 2" xfId="13290"/>
    <cellStyle name="Vírgula 8 16 3" xfId="11778"/>
    <cellStyle name="Vírgula 8 17" xfId="8689"/>
    <cellStyle name="Vírgula 8 18" xfId="8690"/>
    <cellStyle name="Vírgula 8 19" xfId="8691"/>
    <cellStyle name="Vírgula 8 2" xfId="344"/>
    <cellStyle name="Vírgula 8 2 10" xfId="4998"/>
    <cellStyle name="Vírgula 8 2 11" xfId="10817"/>
    <cellStyle name="Vírgula 8 2 2" xfId="632"/>
    <cellStyle name="Vírgula 8 2 2 2" xfId="918"/>
    <cellStyle name="Vírgula 8 2 2 2 2" xfId="3203"/>
    <cellStyle name="Vírgula 8 2 2 2 2 2" xfId="4320"/>
    <cellStyle name="Vírgula 8 2 2 2 2 2 2" xfId="6603"/>
    <cellStyle name="Vírgula 8 2 2 2 2 2 3" xfId="10539"/>
    <cellStyle name="Vírgula 8 2 2 2 2 3" xfId="5372"/>
    <cellStyle name="Vírgula 8 2 2 2 2 4" xfId="9799"/>
    <cellStyle name="Vírgula 8 2 2 2 3" xfId="3952"/>
    <cellStyle name="Vírgula 8 2 2 2 3 2" xfId="6093"/>
    <cellStyle name="Vírgula 8 2 2 2 3 3" xfId="10538"/>
    <cellStyle name="Vírgula 8 2 2 2 4" xfId="6788"/>
    <cellStyle name="Vírgula 8 2 2 2 5" xfId="5106"/>
    <cellStyle name="Vírgula 8 2 2 2 6" xfId="9380"/>
    <cellStyle name="Vírgula 8 2 2 3" xfId="3092"/>
    <cellStyle name="Vírgula 8 2 2 3 2" xfId="3733"/>
    <cellStyle name="Vírgula 8 2 2 3 2 2" xfId="6532"/>
    <cellStyle name="Vírgula 8 2 2 3 2 3" xfId="10540"/>
    <cellStyle name="Vírgula 8 2 2 3 3" xfId="5261"/>
    <cellStyle name="Vírgula 8 2 2 3 4" xfId="9518"/>
    <cellStyle name="Vírgula 8 2 2 4" xfId="3835"/>
    <cellStyle name="Vírgula 8 2 2 4 2" xfId="5977"/>
    <cellStyle name="Vírgula 8 2 2 4 3" xfId="10537"/>
    <cellStyle name="Vírgula 8 2 2 5" xfId="6711"/>
    <cellStyle name="Vírgula 8 2 2 5 2" xfId="10730"/>
    <cellStyle name="Vírgula 8 2 2 6" xfId="5029"/>
    <cellStyle name="Vírgula 8 2 2 6 2" xfId="10860"/>
    <cellStyle name="Vírgula 8 2 2 7" xfId="9261"/>
    <cellStyle name="Vírgula 8 2 3" xfId="919"/>
    <cellStyle name="Vírgula 8 2 3 2" xfId="2445"/>
    <cellStyle name="Vírgula 8 2 3 2 2" xfId="3574"/>
    <cellStyle name="Vírgula 8 2 3 2 2 2" xfId="4378"/>
    <cellStyle name="Vírgula 8 2 3 2 2 2 2" xfId="6667"/>
    <cellStyle name="Vírgula 8 2 3 2 2 2 3" xfId="10542"/>
    <cellStyle name="Vírgula 8 2 3 2 2 3" xfId="5743"/>
    <cellStyle name="Vírgula 8 2 3 2 2 4" xfId="9842"/>
    <cellStyle name="Vírgula 8 2 3 2 3" xfId="4311"/>
    <cellStyle name="Vírgula 8 2 3 2 3 2" xfId="6473"/>
    <cellStyle name="Vírgula 8 2 3 2 3 3" xfId="10541"/>
    <cellStyle name="Vírgula 8 2 3 2 4" xfId="6859"/>
    <cellStyle name="Vírgula 8 2 3 2 5" xfId="5177"/>
    <cellStyle name="Vírgula 8 2 3 2 6" xfId="9421"/>
    <cellStyle name="Vírgula 8 2 3 3" xfId="2444"/>
    <cellStyle name="Vírgula 8 2 3 3 2" xfId="3573"/>
    <cellStyle name="Vírgula 8 2 3 3 2 2" xfId="4040"/>
    <cellStyle name="Vírgula 8 2 3 3 2 2 2" xfId="6666"/>
    <cellStyle name="Vírgula 8 2 3 3 2 3" xfId="5742"/>
    <cellStyle name="Vírgula 8 2 3 3 2 4" xfId="10543"/>
    <cellStyle name="Vírgula 8 2 3 3 3" xfId="4310"/>
    <cellStyle name="Vírgula 8 2 3 3 3 2" xfId="6472"/>
    <cellStyle name="Vírgula 8 2 3 3 4" xfId="6858"/>
    <cellStyle name="Vírgula 8 2 3 3 5" xfId="5176"/>
    <cellStyle name="Vírgula 8 2 3 3 6" xfId="9561"/>
    <cellStyle name="Vírgula 8 2 3 4" xfId="3204"/>
    <cellStyle name="Vírgula 8 2 3 4 2" xfId="4031"/>
    <cellStyle name="Vírgula 8 2 3 4 2 2" xfId="6604"/>
    <cellStyle name="Vírgula 8 2 3 4 3" xfId="5373"/>
    <cellStyle name="Vírgula 8 2 3 4 3 2" xfId="12477"/>
    <cellStyle name="Vírgula 8 2 3 4 3 3" xfId="13227"/>
    <cellStyle name="Vírgula 8 2 3 5" xfId="3953"/>
    <cellStyle name="Vírgula 8 2 3 5 2" xfId="6094"/>
    <cellStyle name="Vírgula 8 2 3 5 2 2" xfId="12941"/>
    <cellStyle name="Vírgula 8 2 3 5 2 3" xfId="11099"/>
    <cellStyle name="Vírgula 8 2 3 6" xfId="6789"/>
    <cellStyle name="Vírgula 8 2 3 7" xfId="5107"/>
    <cellStyle name="Vírgula 8 2 4" xfId="2446"/>
    <cellStyle name="Vírgula 8 2 4 2" xfId="3575"/>
    <cellStyle name="Vírgula 8 2 4 2 2" xfId="3882"/>
    <cellStyle name="Vírgula 8 2 4 2 2 2" xfId="6668"/>
    <cellStyle name="Vírgula 8 2 4 2 2 3" xfId="10545"/>
    <cellStyle name="Vírgula 8 2 4 2 3" xfId="5744"/>
    <cellStyle name="Vírgula 8 2 4 2 4" xfId="9655"/>
    <cellStyle name="Vírgula 8 2 4 3" xfId="4312"/>
    <cellStyle name="Vírgula 8 2 4 3 2" xfId="6474"/>
    <cellStyle name="Vírgula 8 2 4 3 3" xfId="10544"/>
    <cellStyle name="Vírgula 8 2 4 4" xfId="6860"/>
    <cellStyle name="Vírgula 8 2 4 5" xfId="5178"/>
    <cellStyle name="Vírgula 8 2 4 6" xfId="9202"/>
    <cellStyle name="Vírgula 8 2 5" xfId="3050"/>
    <cellStyle name="Vírgula 8 2 5 2" xfId="4008"/>
    <cellStyle name="Vírgula 8 2 5 2 2" xfId="5916"/>
    <cellStyle name="Vírgula 8 2 5 2 2 2" xfId="11665"/>
    <cellStyle name="Vírgula 8 2 5 2 2 3" xfId="11897"/>
    <cellStyle name="Vírgula 8 2 5 2 3" xfId="13700"/>
    <cellStyle name="Vírgula 8 2 5 3" xfId="5219"/>
    <cellStyle name="Vírgula 8 2 5 3 2" xfId="11547"/>
    <cellStyle name="Vírgula 8 2 5 4" xfId="12005"/>
    <cellStyle name="Vírgula 8 2 5 4 2" xfId="15124"/>
    <cellStyle name="Vírgula 8 2 5 4 3" xfId="13578"/>
    <cellStyle name="Vírgula 8 2 6" xfId="3754"/>
    <cellStyle name="Vírgula 8 2 6 2" xfId="6496"/>
    <cellStyle name="Vírgula 8 2 6 2 2" xfId="8692"/>
    <cellStyle name="Vírgula 8 2 6 2 2 2" xfId="10547"/>
    <cellStyle name="Vírgula 8 2 6 2 3" xfId="12332"/>
    <cellStyle name="Vírgula 8 2 6 3" xfId="8693"/>
    <cellStyle name="Vírgula 8 2 6 3 2" xfId="10546"/>
    <cellStyle name="Vírgula 8 2 6 4" xfId="13647"/>
    <cellStyle name="Vírgula 8 2 7" xfId="3975"/>
    <cellStyle name="Vírgula 8 2 7 2" xfId="6503"/>
    <cellStyle name="Vírgula 8 2 7 2 2" xfId="8694"/>
    <cellStyle name="Vírgula 8 2 7 2 3" xfId="10960"/>
    <cellStyle name="Vírgula 8 2 7 3" xfId="8695"/>
    <cellStyle name="Vírgula 8 2 8" xfId="5866"/>
    <cellStyle name="Vírgula 8 2 9" xfId="6681"/>
    <cellStyle name="Vírgula 8 3" xfId="633"/>
    <cellStyle name="Vírgula 8 3 10" xfId="10686"/>
    <cellStyle name="Vírgula 8 3 11" xfId="10818"/>
    <cellStyle name="Vírgula 8 3 12" xfId="8967"/>
    <cellStyle name="Vírgula 8 3 2" xfId="920"/>
    <cellStyle name="Vírgula 8 3 2 2" xfId="3205"/>
    <cellStyle name="Vírgula 8 3 2 2 2" xfId="4091"/>
    <cellStyle name="Vírgula 8 3 2 2 2 2" xfId="6605"/>
    <cellStyle name="Vírgula 8 3 2 2 2 2 2" xfId="10550"/>
    <cellStyle name="Vírgula 8 3 2 2 2 3" xfId="9800"/>
    <cellStyle name="Vírgula 8 3 2 2 3" xfId="5374"/>
    <cellStyle name="Vírgula 8 3 2 2 3 2" xfId="10549"/>
    <cellStyle name="Vírgula 8 3 2 2 4" xfId="9381"/>
    <cellStyle name="Vírgula 8 3 2 3" xfId="3954"/>
    <cellStyle name="Vírgula 8 3 2 3 2" xfId="6095"/>
    <cellStyle name="Vírgula 8 3 2 3 2 2" xfId="10551"/>
    <cellStyle name="Vírgula 8 3 2 3 3" xfId="9519"/>
    <cellStyle name="Vírgula 8 3 2 4" xfId="6790"/>
    <cellStyle name="Vírgula 8 3 2 4 2" xfId="10548"/>
    <cellStyle name="Vírgula 8 3 2 5" xfId="5108"/>
    <cellStyle name="Vírgula 8 3 2 5 2" xfId="10731"/>
    <cellStyle name="Vírgula 8 3 2 6" xfId="10861"/>
    <cellStyle name="Vírgula 8 3 2 7" xfId="9262"/>
    <cellStyle name="Vírgula 8 3 3" xfId="3093"/>
    <cellStyle name="Vírgula 8 3 3 2" xfId="4170"/>
    <cellStyle name="Vírgula 8 3 3 2 2" xfId="6533"/>
    <cellStyle name="Vírgula 8 3 3 2 2 2" xfId="10554"/>
    <cellStyle name="Vírgula 8 3 3 2 2 3" xfId="9843"/>
    <cellStyle name="Vírgula 8 3 3 2 3" xfId="10553"/>
    <cellStyle name="Vírgula 8 3 3 2 4" xfId="9422"/>
    <cellStyle name="Vírgula 8 3 3 3" xfId="5262"/>
    <cellStyle name="Vírgula 8 3 3 3 2" xfId="10555"/>
    <cellStyle name="Vírgula 8 3 3 3 3" xfId="9562"/>
    <cellStyle name="Vírgula 8 3 3 4" xfId="10552"/>
    <cellStyle name="Vírgula 8 3 3 5" xfId="10771"/>
    <cellStyle name="Vírgula 8 3 3 6" xfId="10901"/>
    <cellStyle name="Vírgula 8 3 3 7" xfId="9298"/>
    <cellStyle name="Vírgula 8 3 4" xfId="3836"/>
    <cellStyle name="Vírgula 8 3 4 2" xfId="5978"/>
    <cellStyle name="Vírgula 8 3 4 2 2" xfId="10557"/>
    <cellStyle name="Vírgula 8 3 4 2 3" xfId="9656"/>
    <cellStyle name="Vírgula 8 3 4 3" xfId="10556"/>
    <cellStyle name="Vírgula 8 3 4 4" xfId="9203"/>
    <cellStyle name="Vírgula 8 3 5" xfId="6712"/>
    <cellStyle name="Vírgula 8 3 5 2" xfId="9755"/>
    <cellStyle name="Vírgula 8 3 5 2 2" xfId="10559"/>
    <cellStyle name="Vírgula 8 3 5 3" xfId="10558"/>
    <cellStyle name="Vírgula 8 3 5 4" xfId="9341"/>
    <cellStyle name="Vírgula 8 3 6" xfId="5030"/>
    <cellStyle name="Vírgula 8 3 6 2" xfId="9607"/>
    <cellStyle name="Vírgula 8 3 6 2 2" xfId="10561"/>
    <cellStyle name="Vírgula 8 3 6 3" xfId="10560"/>
    <cellStyle name="Vírgula 8 3 6 4" xfId="9126"/>
    <cellStyle name="Vírgula 8 3 7" xfId="9475"/>
    <cellStyle name="Vírgula 8 3 7 2" xfId="10562"/>
    <cellStyle name="Vírgula 8 3 8" xfId="9899"/>
    <cellStyle name="Vírgula 8 3 9" xfId="9059"/>
    <cellStyle name="Vírgula 8 4" xfId="921"/>
    <cellStyle name="Vírgula 8 4 2" xfId="2449"/>
    <cellStyle name="Vírgula 8 4 2 2" xfId="3577"/>
    <cellStyle name="Vírgula 8 4 2 2 2" xfId="4367"/>
    <cellStyle name="Vírgula 8 4 2 2 2 2" xfId="6670"/>
    <cellStyle name="Vírgula 8 4 2 2 2 3" xfId="10564"/>
    <cellStyle name="Vírgula 8 4 2 2 3" xfId="5746"/>
    <cellStyle name="Vírgula 8 4 2 2 4" xfId="9798"/>
    <cellStyle name="Vírgula 8 4 2 3" xfId="4314"/>
    <cellStyle name="Vírgula 8 4 2 3 2" xfId="6476"/>
    <cellStyle name="Vírgula 8 4 2 3 3" xfId="10563"/>
    <cellStyle name="Vírgula 8 4 2 4" xfId="6862"/>
    <cellStyle name="Vírgula 8 4 2 5" xfId="5180"/>
    <cellStyle name="Vírgula 8 4 2 6" xfId="9379"/>
    <cellStyle name="Vírgula 8 4 2 6 2" xfId="14887"/>
    <cellStyle name="Vírgula 8 4 2 6 3" xfId="13530"/>
    <cellStyle name="Vírgula 8 4 2 7" xfId="13416"/>
    <cellStyle name="Vírgula 8 4 3" xfId="2448"/>
    <cellStyle name="Vírgula 8 4 3 2" xfId="3576"/>
    <cellStyle name="Vírgula 8 4 3 2 2" xfId="3967"/>
    <cellStyle name="Vírgula 8 4 3 2 2 2" xfId="6669"/>
    <cellStyle name="Vírgula 8 4 3 2 3" xfId="5745"/>
    <cellStyle name="Vírgula 8 4 3 2 4" xfId="10565"/>
    <cellStyle name="Vírgula 8 4 3 3" xfId="4313"/>
    <cellStyle name="Vírgula 8 4 3 3 2" xfId="6475"/>
    <cellStyle name="Vírgula 8 4 3 4" xfId="6861"/>
    <cellStyle name="Vírgula 8 4 3 5" xfId="5179"/>
    <cellStyle name="Vírgula 8 4 3 6" xfId="9517"/>
    <cellStyle name="Vírgula 8 4 4" xfId="3206"/>
    <cellStyle name="Vírgula 8 4 4 2" xfId="3706"/>
    <cellStyle name="Vírgula 8 4 4 2 2" xfId="6606"/>
    <cellStyle name="Vírgula 8 4 4 3" xfId="5375"/>
    <cellStyle name="Vírgula 8 4 4 3 2" xfId="11177"/>
    <cellStyle name="Vírgula 8 4 4 3 3" xfId="13278"/>
    <cellStyle name="Vírgula 8 4 4 4" xfId="12967"/>
    <cellStyle name="Vírgula 8 4 5" xfId="3955"/>
    <cellStyle name="Vírgula 8 4 5 2" xfId="6096"/>
    <cellStyle name="Vírgula 8 4 6" xfId="6791"/>
    <cellStyle name="Vírgula 8 4 7" xfId="5109"/>
    <cellStyle name="Vírgula 8 5" xfId="2450"/>
    <cellStyle name="Vírgula 8 5 2" xfId="3578"/>
    <cellStyle name="Vírgula 8 5 2 2" xfId="4857"/>
    <cellStyle name="Vírgula 8 5 2 2 2" xfId="10568"/>
    <cellStyle name="Vírgula 8 5 2 2 2 2" xfId="13353"/>
    <cellStyle name="Vírgula 8 5 2 2 2 3" xfId="12873"/>
    <cellStyle name="Vírgula 8 5 2 2 3" xfId="9841"/>
    <cellStyle name="Vírgula 8 5 2 3" xfId="5747"/>
    <cellStyle name="Vírgula 8 5 2 3 2" xfId="10567"/>
    <cellStyle name="Vírgula 8 5 2 3 3" xfId="11750"/>
    <cellStyle name="Vírgula 8 5 2 3 4" xfId="11561"/>
    <cellStyle name="Vírgula 8 5 2 4" xfId="9420"/>
    <cellStyle name="Vírgula 8 5 2 4 2" xfId="14889"/>
    <cellStyle name="Vírgula 8 5 2 4 3" xfId="13634"/>
    <cellStyle name="Vírgula 8 5 3" xfId="4262"/>
    <cellStyle name="Vírgula 8 5 3 2" xfId="6477"/>
    <cellStyle name="Vírgula 8 5 3 2 2" xfId="10569"/>
    <cellStyle name="Vírgula 8 5 3 2 3" xfId="11204"/>
    <cellStyle name="Vírgula 8 5 3 2 4" xfId="12036"/>
    <cellStyle name="Vírgula 8 5 3 3" xfId="9560"/>
    <cellStyle name="Vírgula 8 5 4" xfId="8696"/>
    <cellStyle name="Vírgula 8 5 4 2" xfId="10566"/>
    <cellStyle name="Vírgula 8 5 4 2 2" xfId="13352"/>
    <cellStyle name="Vírgula 8 5 4 2 3" xfId="11098"/>
    <cellStyle name="Vírgula 8 5 4 3" xfId="10909"/>
    <cellStyle name="Vírgula 8 5 5" xfId="8697"/>
    <cellStyle name="Vírgula 8 5 5 2" xfId="10770"/>
    <cellStyle name="Vírgula 8 5 6" xfId="10900"/>
    <cellStyle name="Vírgula 8 5 6 2" xfId="14913"/>
    <cellStyle name="Vírgula 8 5 6 3" xfId="13531"/>
    <cellStyle name="Vírgula 8 5 7" xfId="9297"/>
    <cellStyle name="Vírgula 8 6" xfId="2451"/>
    <cellStyle name="Vírgula 8 6 2" xfId="3579"/>
    <cellStyle name="Vírgula 8 6 2 2" xfId="3958"/>
    <cellStyle name="Vírgula 8 6 2 2 2" xfId="6671"/>
    <cellStyle name="Vírgula 8 6 2 2 3" xfId="10571"/>
    <cellStyle name="Vírgula 8 6 2 3" xfId="5748"/>
    <cellStyle name="Vírgula 8 6 2 4" xfId="9654"/>
    <cellStyle name="Vírgula 8 6 3" xfId="4315"/>
    <cellStyle name="Vírgula 8 6 3 2" xfId="6478"/>
    <cellStyle name="Vírgula 8 6 3 3" xfId="10570"/>
    <cellStyle name="Vírgula 8 6 4" xfId="6863"/>
    <cellStyle name="Vírgula 8 6 5" xfId="5181"/>
    <cellStyle name="Vírgula 8 6 6" xfId="9201"/>
    <cellStyle name="Vírgula 8 7" xfId="2452"/>
    <cellStyle name="Vírgula 8 7 2" xfId="3580"/>
    <cellStyle name="Vírgula 8 7 2 2" xfId="4858"/>
    <cellStyle name="Vírgula 8 7 2 2 2" xfId="10573"/>
    <cellStyle name="Vírgula 8 7 2 3" xfId="5749"/>
    <cellStyle name="Vírgula 8 7 2 4" xfId="9754"/>
    <cellStyle name="Vírgula 8 7 3" xfId="4080"/>
    <cellStyle name="Vírgula 8 7 3 2" xfId="6479"/>
    <cellStyle name="Vírgula 8 7 3 3" xfId="10572"/>
    <cellStyle name="Vírgula 8 7 4" xfId="9340"/>
    <cellStyle name="Vírgula 8 8" xfId="2443"/>
    <cellStyle name="Vírgula 8 8 2" xfId="3572"/>
    <cellStyle name="Vírgula 8 8 2 2" xfId="4856"/>
    <cellStyle name="Vírgula 8 8 2 2 2" xfId="10575"/>
    <cellStyle name="Vírgula 8 8 2 3" xfId="5741"/>
    <cellStyle name="Vírgula 8 8 2 4" xfId="9606"/>
    <cellStyle name="Vírgula 8 8 3" xfId="4137"/>
    <cellStyle name="Vírgula 8 8 3 2" xfId="6471"/>
    <cellStyle name="Vírgula 8 8 3 3" xfId="10574"/>
    <cellStyle name="Vírgula 8 8 4" xfId="9125"/>
    <cellStyle name="Vírgula 8 9" xfId="3049"/>
    <cellStyle name="Vírgula 8 9 2" xfId="3726"/>
    <cellStyle name="Vírgula 8 9 2 2" xfId="5915"/>
    <cellStyle name="Vírgula 8 9 2 2 2" xfId="11113"/>
    <cellStyle name="Vírgula 8 9 2 2 3" xfId="11487"/>
    <cellStyle name="Vírgula 8 9 2 3" xfId="13676"/>
    <cellStyle name="Vírgula 8 9 3" xfId="5218"/>
    <cellStyle name="Vírgula 8 9 3 2" xfId="12849"/>
    <cellStyle name="Vírgula 8 9 4" xfId="11848"/>
    <cellStyle name="Vírgula 8 9 4 2" xfId="15098"/>
    <cellStyle name="Vírgula 8 9 4 3" xfId="13577"/>
    <cellStyle name="Vírgula 9" xfId="345"/>
    <cellStyle name="Vírgula 9 2" xfId="922"/>
    <cellStyle name="Vírgula 9 2 2" xfId="2454"/>
    <cellStyle name="Vírgula 9 2 2 2" xfId="3582"/>
    <cellStyle name="Vírgula 9 2 2 2 2" xfId="4860"/>
    <cellStyle name="Vírgula 9 2 2 2 3" xfId="5751"/>
    <cellStyle name="Vírgula 9 2 2 3" xfId="4056"/>
    <cellStyle name="Vírgula 9 2 2 3 2" xfId="6481"/>
    <cellStyle name="Vírgula 9 2 2 4" xfId="13532"/>
    <cellStyle name="Vírgula 9 2 2 5" xfId="13417"/>
    <cellStyle name="Vírgula 9 2 3" xfId="3207"/>
    <cellStyle name="Vírgula 9 2 3 2" xfId="4379"/>
    <cellStyle name="Vírgula 9 2 3 2 2" xfId="6607"/>
    <cellStyle name="Vírgula 9 2 3 3" xfId="5376"/>
    <cellStyle name="Vírgula 9 2 3 3 2" xfId="12478"/>
    <cellStyle name="Vírgula 9 2 3 3 3" xfId="11560"/>
    <cellStyle name="Vírgula 9 2 3 4" xfId="12964"/>
    <cellStyle name="Vírgula 9 2 4" xfId="3956"/>
    <cellStyle name="Vírgula 9 2 4 2" xfId="6097"/>
    <cellStyle name="Vírgula 9 2 5" xfId="6792"/>
    <cellStyle name="Vírgula 9 2 6" xfId="5110"/>
    <cellStyle name="Vírgula 9 3" xfId="2455"/>
    <cellStyle name="Vírgula 9 3 2" xfId="3583"/>
    <cellStyle name="Vírgula 9 3 2 2" xfId="4861"/>
    <cellStyle name="Vírgula 9 3 2 3" xfId="5752"/>
    <cellStyle name="Vírgula 9 3 2 3 2" xfId="11712"/>
    <cellStyle name="Vírgula 9 3 2 3 3" xfId="11456"/>
    <cellStyle name="Vírgula 9 3 2 4" xfId="11458"/>
    <cellStyle name="Vírgula 9 3 3" xfId="3690"/>
    <cellStyle name="Vírgula 9 3 3 2" xfId="6482"/>
    <cellStyle name="Vírgula 9 3 4" xfId="13533"/>
    <cellStyle name="Vírgula 9 4" xfId="2456"/>
    <cellStyle name="Vírgula 9 4 2" xfId="3584"/>
    <cellStyle name="Vírgula 9 4 2 2" xfId="4862"/>
    <cellStyle name="Vírgula 9 4 2 3" xfId="5753"/>
    <cellStyle name="Vírgula 9 4 3" xfId="4111"/>
    <cellStyle name="Vírgula 9 4 3 2" xfId="6483"/>
    <cellStyle name="Vírgula 9 5" xfId="2453"/>
    <cellStyle name="Vírgula 9 5 2" xfId="3581"/>
    <cellStyle name="Vírgula 9 5 2 2" xfId="4859"/>
    <cellStyle name="Vírgula 9 5 2 3" xfId="5750"/>
    <cellStyle name="Vírgula 9 5 3" xfId="4406"/>
    <cellStyle name="Vírgula 9 5 3 2" xfId="6480"/>
    <cellStyle name="Vírgula 9 6" xfId="4032"/>
    <cellStyle name="Vírgula 9 6 2" xfId="5917"/>
    <cellStyle name="Vírgula 9 6 2 2" xfId="11616"/>
    <cellStyle name="Vírgula 9 6 2 3" xfId="11524"/>
    <cellStyle name="Vírgula 9 6 3" xfId="12349"/>
    <cellStyle name="Vírgula 9 6 3 2" xfId="15387"/>
    <cellStyle name="Vírgula 9 6 3 3" xfId="13704"/>
    <cellStyle name="Vírgula 9 7" xfId="8698"/>
    <cellStyle name="Vírgula 9 7 2" xfId="11638"/>
    <cellStyle name="Vírgula 9 7 3" xfId="11002"/>
    <cellStyle name="Vírgula 9 8" xfId="8699"/>
    <cellStyle name="Vírgula 9 8 2" xfId="11288"/>
    <cellStyle name="Vírgula 9 8 3" xfId="13112"/>
    <cellStyle name="Vírgula 9 9" xfId="8700"/>
    <cellStyle name="Vírgula 9 9 2" xfId="11711"/>
    <cellStyle name="Vírgula 9 9 3" xfId="12351"/>
    <cellStyle name="Währung" xfId="3014"/>
    <cellStyle name="Währung 2" xfId="3015"/>
    <cellStyle name="Währung 2 2" xfId="8701"/>
    <cellStyle name="Währung 3" xfId="8702"/>
    <cellStyle name="Warning Text" xfId="430"/>
  </cellStyles>
  <dxfs count="741">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font>
        <b/>
        <i val="0"/>
        <color theme="1"/>
      </font>
      <fill>
        <patternFill>
          <bgColor theme="0" tint="-0.34998626667073579"/>
        </patternFill>
      </fill>
      <border>
        <left/>
        <right/>
        <top style="thin">
          <color auto="1"/>
        </top>
        <bottom style="thin">
          <color auto="1"/>
        </bottom>
      </border>
    </dxf>
    <dxf>
      <font>
        <b/>
        <i val="0"/>
      </font>
      <fill>
        <patternFill>
          <bgColor theme="4" tint="0.79998168889431442"/>
        </patternFill>
      </fill>
    </dxf>
    <dxf>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b/>
        <i val="0"/>
        <color theme="1"/>
      </font>
      <fill>
        <patternFill>
          <bgColor theme="0" tint="-0.34998626667073579"/>
        </patternFill>
      </fill>
      <border>
        <left/>
        <right/>
        <top style="thin">
          <color auto="1"/>
        </top>
        <bottom style="thin">
          <color auto="1"/>
        </bottom>
      </border>
    </dxf>
    <dxf>
      <font>
        <b/>
        <i val="0"/>
      </font>
      <fill>
        <patternFill>
          <bgColor theme="4" tint="0.79998168889431442"/>
        </patternFill>
      </fill>
    </dxf>
    <dxf>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b/>
        <i val="0"/>
        <color theme="1"/>
      </font>
      <fill>
        <patternFill>
          <bgColor theme="0" tint="-0.34998626667073579"/>
        </patternFill>
      </fill>
      <border>
        <left/>
        <right/>
        <top style="thin">
          <color auto="1"/>
        </top>
        <bottom style="thin">
          <color auto="1"/>
        </bottom>
      </border>
    </dxf>
    <dxf>
      <font>
        <b/>
        <i val="0"/>
      </font>
      <fill>
        <patternFill>
          <bgColor theme="4" tint="0.79998168889431442"/>
        </patternFill>
      </fill>
    </dxf>
    <dxf>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b/>
        <i val="0"/>
        <color theme="1"/>
      </font>
      <fill>
        <patternFill>
          <bgColor theme="0" tint="-0.34998626667073579"/>
        </patternFill>
      </fill>
      <border>
        <left/>
        <right/>
        <top style="thin">
          <color auto="1"/>
        </top>
        <bottom style="thin">
          <color auto="1"/>
        </bottom>
      </border>
    </dxf>
    <dxf>
      <font>
        <b/>
        <i val="0"/>
      </font>
      <fill>
        <patternFill>
          <bgColor theme="4" tint="0.79998168889431442"/>
        </patternFill>
      </fill>
    </dxf>
    <dxf>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b/>
        <i val="0"/>
        <color theme="1"/>
      </font>
      <fill>
        <patternFill>
          <bgColor theme="0" tint="-0.34998626667073579"/>
        </patternFill>
      </fill>
      <border>
        <left/>
        <right/>
        <top style="thin">
          <color auto="1"/>
        </top>
        <bottom style="thin">
          <color auto="1"/>
        </bottom>
      </border>
    </dxf>
    <dxf>
      <font>
        <b/>
        <i val="0"/>
      </font>
      <fill>
        <patternFill>
          <bgColor theme="4" tint="0.79998168889431442"/>
        </patternFill>
      </fill>
    </dxf>
    <dxf>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b/>
        <i val="0"/>
        <color theme="1"/>
      </font>
      <fill>
        <patternFill>
          <bgColor theme="0" tint="-0.34998626667073579"/>
        </patternFill>
      </fill>
      <border>
        <left/>
        <right/>
        <top style="thin">
          <color auto="1"/>
        </top>
        <bottom style="thin">
          <color auto="1"/>
        </bottom>
      </border>
    </dxf>
    <dxf>
      <font>
        <b/>
        <i val="0"/>
      </font>
      <fill>
        <patternFill>
          <bgColor theme="4" tint="0.79998168889431442"/>
        </patternFill>
      </fill>
    </dxf>
    <dxf>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b/>
        <i val="0"/>
        <color theme="1"/>
      </font>
      <fill>
        <patternFill>
          <bgColor theme="0" tint="-0.34998626667073579"/>
        </patternFill>
      </fill>
      <border>
        <left/>
        <right/>
        <top style="thin">
          <color auto="1"/>
        </top>
        <bottom style="thin">
          <color auto="1"/>
        </bottom>
      </border>
    </dxf>
    <dxf>
      <font>
        <b/>
        <i val="0"/>
      </font>
      <fill>
        <patternFill>
          <bgColor theme="4" tint="0.79998168889431442"/>
        </patternFill>
      </fill>
    </dxf>
    <dxf>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b/>
        <i val="0"/>
        <color theme="1"/>
      </font>
      <fill>
        <patternFill>
          <bgColor theme="0" tint="-0.34998626667073579"/>
        </patternFill>
      </fill>
      <border>
        <left/>
        <right/>
        <top style="thin">
          <color auto="1"/>
        </top>
        <bottom style="thin">
          <color auto="1"/>
        </bottom>
      </border>
    </dxf>
    <dxf>
      <font>
        <b/>
        <i val="0"/>
      </font>
      <fill>
        <patternFill>
          <bgColor theme="4" tint="0.79998168889431442"/>
        </patternFill>
      </fill>
    </dxf>
    <dxf>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b/>
        <i val="0"/>
        <color theme="1"/>
      </font>
      <fill>
        <patternFill>
          <bgColor theme="0" tint="-0.34998626667073579"/>
        </patternFill>
      </fill>
      <border>
        <left/>
        <right/>
        <top style="thin">
          <color auto="1"/>
        </top>
        <bottom style="thin">
          <color auto="1"/>
        </bottom>
      </border>
    </dxf>
    <dxf>
      <font>
        <b/>
        <i val="0"/>
      </font>
      <fill>
        <patternFill>
          <bgColor theme="4" tint="0.79998168889431442"/>
        </patternFill>
      </fill>
    </dxf>
    <dxf>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b/>
        <i val="0"/>
        <color theme="1"/>
      </font>
      <fill>
        <patternFill>
          <bgColor theme="0" tint="-0.34998626667073579"/>
        </patternFill>
      </fill>
      <border>
        <left/>
        <right/>
        <top style="thin">
          <color auto="1"/>
        </top>
        <bottom style="thin">
          <color auto="1"/>
        </bottom>
      </border>
    </dxf>
    <dxf>
      <font>
        <b/>
        <i val="0"/>
      </font>
      <fill>
        <patternFill>
          <bgColor theme="4" tint="0.79998168889431442"/>
        </patternFill>
      </fill>
    </dxf>
    <dxf>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b/>
        <i val="0"/>
        <color theme="1"/>
      </font>
      <fill>
        <patternFill>
          <bgColor theme="0" tint="-0.34998626667073579"/>
        </patternFill>
      </fill>
      <border>
        <left/>
        <right/>
        <top style="thin">
          <color auto="1"/>
        </top>
        <bottom style="thin">
          <color auto="1"/>
        </bottom>
      </border>
    </dxf>
    <dxf>
      <font>
        <b/>
        <i val="0"/>
      </font>
      <fill>
        <patternFill>
          <bgColor theme="4" tint="0.79998168889431442"/>
        </patternFill>
      </fill>
    </dxf>
    <dxf>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b/>
        <i val="0"/>
        <color theme="1"/>
      </font>
      <fill>
        <patternFill>
          <bgColor theme="0" tint="-0.34998626667073579"/>
        </patternFill>
      </fill>
      <border>
        <left/>
        <right/>
        <top style="thin">
          <color auto="1"/>
        </top>
        <bottom style="thin">
          <color auto="1"/>
        </bottom>
      </border>
    </dxf>
    <dxf>
      <font>
        <b/>
        <i val="0"/>
      </font>
      <fill>
        <patternFill>
          <bgColor theme="4" tint="0.79998168889431442"/>
        </patternFill>
      </fill>
    </dxf>
    <dxf>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b/>
        <i val="0"/>
        <color theme="1"/>
      </font>
      <fill>
        <patternFill>
          <bgColor theme="0" tint="-0.34998626667073579"/>
        </patternFill>
      </fill>
      <border>
        <left/>
        <right/>
        <top style="thin">
          <color auto="1"/>
        </top>
        <bottom style="thin">
          <color auto="1"/>
        </bottom>
      </border>
    </dxf>
    <dxf>
      <font>
        <b/>
        <i val="0"/>
      </font>
      <fill>
        <patternFill>
          <bgColor theme="4" tint="0.79998168889431442"/>
        </patternFill>
      </fill>
    </dxf>
    <dxf>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b/>
        <i val="0"/>
        <color theme="1"/>
      </font>
      <fill>
        <patternFill>
          <bgColor theme="0" tint="-0.34998626667073579"/>
        </patternFill>
      </fill>
      <border>
        <left/>
        <right/>
        <top style="thin">
          <color auto="1"/>
        </top>
        <bottom style="thin">
          <color auto="1"/>
        </bottom>
      </border>
    </dxf>
    <dxf>
      <font>
        <b/>
        <i val="0"/>
      </font>
      <fill>
        <patternFill>
          <bgColor theme="4" tint="0.79998168889431442"/>
        </patternFill>
      </fill>
    </dxf>
    <dxf>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b/>
        <i val="0"/>
        <color theme="1"/>
      </font>
      <fill>
        <patternFill>
          <bgColor theme="0" tint="-0.34998626667073579"/>
        </patternFill>
      </fill>
      <border>
        <left/>
        <right/>
        <top style="thin">
          <color auto="1"/>
        </top>
        <bottom style="thin">
          <color auto="1"/>
        </bottom>
      </border>
    </dxf>
    <dxf>
      <font>
        <b/>
        <i val="0"/>
      </font>
      <fill>
        <patternFill>
          <bgColor theme="4" tint="0.79998168889431442"/>
        </patternFill>
      </fill>
    </dxf>
    <dxf>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b/>
        <i val="0"/>
        <color theme="1"/>
      </font>
      <fill>
        <patternFill>
          <bgColor theme="0" tint="-0.34998626667073579"/>
        </patternFill>
      </fill>
      <border>
        <left/>
        <right/>
        <top style="thin">
          <color auto="1"/>
        </top>
        <bottom style="thin">
          <color auto="1"/>
        </bottom>
      </border>
    </dxf>
    <dxf>
      <font>
        <b/>
        <i val="0"/>
      </font>
      <fill>
        <patternFill>
          <bgColor theme="4" tint="0.79998168889431442"/>
        </patternFill>
      </fill>
    </dxf>
    <dxf>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b/>
        <i val="0"/>
        <color theme="1"/>
      </font>
      <fill>
        <patternFill>
          <bgColor theme="0" tint="-0.34998626667073579"/>
        </patternFill>
      </fill>
      <border>
        <left/>
        <right/>
        <top style="thin">
          <color auto="1"/>
        </top>
        <bottom style="thin">
          <color auto="1"/>
        </bottom>
      </border>
    </dxf>
    <dxf>
      <font>
        <b/>
        <i val="0"/>
      </font>
      <fill>
        <patternFill>
          <bgColor theme="4" tint="0.79998168889431442"/>
        </patternFill>
      </fill>
    </dxf>
    <dxf>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b/>
        <i val="0"/>
        <color theme="1"/>
      </font>
      <fill>
        <patternFill>
          <bgColor theme="0" tint="-0.34998626667073579"/>
        </patternFill>
      </fill>
      <border>
        <left/>
        <right/>
        <top style="thin">
          <color auto="1"/>
        </top>
        <bottom style="thin">
          <color auto="1"/>
        </bottom>
      </border>
    </dxf>
    <dxf>
      <font>
        <b/>
        <i val="0"/>
      </font>
      <fill>
        <patternFill>
          <bgColor theme="4" tint="0.79998168889431442"/>
        </patternFill>
      </fill>
    </dxf>
    <dxf>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b/>
        <i val="0"/>
        <color theme="1"/>
      </font>
      <fill>
        <patternFill>
          <bgColor theme="0" tint="-0.34998626667073579"/>
        </patternFill>
      </fill>
      <border>
        <left/>
        <right/>
        <top style="thin">
          <color auto="1"/>
        </top>
        <bottom style="thin">
          <color auto="1"/>
        </bottom>
      </border>
    </dxf>
    <dxf>
      <font>
        <b/>
        <i val="0"/>
      </font>
      <fill>
        <patternFill>
          <bgColor theme="4" tint="0.79998168889431442"/>
        </patternFill>
      </fill>
    </dxf>
    <dxf>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b/>
        <i val="0"/>
        <color theme="1"/>
      </font>
      <fill>
        <patternFill>
          <bgColor theme="0" tint="-0.34998626667073579"/>
        </patternFill>
      </fill>
      <border>
        <left/>
        <right/>
        <top style="thin">
          <color auto="1"/>
        </top>
        <bottom style="thin">
          <color auto="1"/>
        </bottom>
      </border>
    </dxf>
    <dxf>
      <font>
        <b/>
        <i val="0"/>
      </font>
      <fill>
        <patternFill>
          <bgColor theme="4" tint="0.79998168889431442"/>
        </patternFill>
      </fill>
    </dxf>
    <dxf>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b/>
        <i val="0"/>
        <color theme="1"/>
      </font>
      <fill>
        <patternFill>
          <bgColor theme="0" tint="-0.34998626667073579"/>
        </patternFill>
      </fill>
      <border>
        <left/>
        <right/>
        <top style="thin">
          <color auto="1"/>
        </top>
        <bottom style="thin">
          <color auto="1"/>
        </bottom>
      </border>
    </dxf>
    <dxf>
      <font>
        <b/>
        <i val="0"/>
      </font>
      <fill>
        <patternFill>
          <bgColor theme="4" tint="0.79998168889431442"/>
        </patternFill>
      </fill>
    </dxf>
    <dxf>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b/>
        <i val="0"/>
        <color theme="1"/>
      </font>
      <fill>
        <patternFill>
          <bgColor theme="0" tint="-0.34998626667073579"/>
        </patternFill>
      </fill>
      <border>
        <left/>
        <right/>
        <top style="thin">
          <color auto="1"/>
        </top>
        <bottom style="thin">
          <color auto="1"/>
        </bottom>
      </border>
    </dxf>
    <dxf>
      <font>
        <b/>
        <i val="0"/>
      </font>
      <fill>
        <patternFill>
          <bgColor theme="4" tint="0.79998168889431442"/>
        </patternFill>
      </fill>
    </dxf>
    <dxf>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b/>
        <i val="0"/>
        <color theme="1"/>
      </font>
      <fill>
        <patternFill>
          <bgColor theme="0" tint="-0.34998626667073579"/>
        </patternFill>
      </fill>
      <border>
        <left/>
        <right/>
        <top style="thin">
          <color auto="1"/>
        </top>
        <bottom style="thin">
          <color auto="1"/>
        </bottom>
      </border>
    </dxf>
    <dxf>
      <font>
        <b/>
        <i val="0"/>
      </font>
      <fill>
        <patternFill>
          <bgColor theme="4" tint="0.79998168889431442"/>
        </patternFill>
      </fill>
    </dxf>
    <dxf>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b/>
        <i val="0"/>
        <color theme="1"/>
      </font>
      <fill>
        <patternFill>
          <bgColor theme="0" tint="-0.34998626667073579"/>
        </patternFill>
      </fill>
      <border>
        <left/>
        <right/>
        <top style="thin">
          <color auto="1"/>
        </top>
        <bottom style="thin">
          <color auto="1"/>
        </bottom>
      </border>
    </dxf>
    <dxf>
      <font>
        <b/>
        <i val="0"/>
      </font>
      <fill>
        <patternFill>
          <bgColor theme="4" tint="0.79998168889431442"/>
        </patternFill>
      </fill>
    </dxf>
    <dxf>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b/>
        <i val="0"/>
        <color theme="1"/>
      </font>
      <fill>
        <patternFill>
          <bgColor theme="0" tint="-0.34998626667073579"/>
        </patternFill>
      </fill>
      <border>
        <left/>
        <right/>
        <top style="thin">
          <color auto="1"/>
        </top>
        <bottom style="thin">
          <color auto="1"/>
        </bottom>
      </border>
    </dxf>
    <dxf>
      <font>
        <b/>
        <i val="0"/>
      </font>
      <fill>
        <patternFill>
          <bgColor theme="4" tint="0.79998168889431442"/>
        </patternFill>
      </fill>
    </dxf>
    <dxf>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b/>
        <i val="0"/>
        <color theme="1"/>
      </font>
      <fill>
        <patternFill>
          <bgColor theme="0" tint="-0.34998626667073579"/>
        </patternFill>
      </fill>
      <border>
        <left/>
        <right/>
        <top style="thin">
          <color auto="1"/>
        </top>
        <bottom style="thin">
          <color auto="1"/>
        </bottom>
      </border>
    </dxf>
    <dxf>
      <font>
        <b/>
        <i val="0"/>
      </font>
      <fill>
        <patternFill>
          <bgColor theme="4" tint="0.79998168889431442"/>
        </patternFill>
      </fill>
    </dxf>
    <dxf>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b/>
        <i val="0"/>
        <color theme="1"/>
      </font>
      <fill>
        <patternFill>
          <bgColor theme="0" tint="-0.34998626667073579"/>
        </patternFill>
      </fill>
      <border>
        <left/>
        <right/>
        <top style="thin">
          <color auto="1"/>
        </top>
        <bottom style="thin">
          <color auto="1"/>
        </bottom>
      </border>
    </dxf>
    <dxf>
      <font>
        <b/>
        <i val="0"/>
      </font>
      <fill>
        <patternFill>
          <bgColor theme="4" tint="0.79998168889431442"/>
        </patternFill>
      </fill>
    </dxf>
    <dxf>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s>
  <tableStyles count="0" defaultTableStyle="TableStyleMedium2" defaultPivotStyle="PivotStyleLight16"/>
  <colors>
    <mruColors>
      <color rgb="FFFFCCFF"/>
      <color rgb="FF66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4.xml"/><Relationship Id="rId47" Type="http://schemas.openxmlformats.org/officeDocument/2006/relationships/externalLink" Target="externalLinks/externalLink9.xml"/><Relationship Id="rId50" Type="http://schemas.openxmlformats.org/officeDocument/2006/relationships/externalLink" Target="externalLinks/externalLink12.xml"/><Relationship Id="rId55" Type="http://schemas.openxmlformats.org/officeDocument/2006/relationships/externalLink" Target="externalLinks/externalLink17.xml"/><Relationship Id="rId63" Type="http://schemas.openxmlformats.org/officeDocument/2006/relationships/externalLink" Target="externalLinks/externalLink25.xml"/><Relationship Id="rId68" Type="http://schemas.openxmlformats.org/officeDocument/2006/relationships/externalLink" Target="externalLinks/externalLink30.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externalLink" Target="externalLinks/externalLink7.xml"/><Relationship Id="rId53" Type="http://schemas.openxmlformats.org/officeDocument/2006/relationships/externalLink" Target="externalLinks/externalLink15.xml"/><Relationship Id="rId58" Type="http://schemas.openxmlformats.org/officeDocument/2006/relationships/externalLink" Target="externalLinks/externalLink20.xml"/><Relationship Id="rId66" Type="http://schemas.openxmlformats.org/officeDocument/2006/relationships/externalLink" Target="externalLinks/externalLink2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1.xml"/><Relationship Id="rId57" Type="http://schemas.openxmlformats.org/officeDocument/2006/relationships/externalLink" Target="externalLinks/externalLink19.xml"/><Relationship Id="rId61" Type="http://schemas.openxmlformats.org/officeDocument/2006/relationships/externalLink" Target="externalLinks/externalLink2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6.xml"/><Relationship Id="rId52" Type="http://schemas.openxmlformats.org/officeDocument/2006/relationships/externalLink" Target="externalLinks/externalLink14.xml"/><Relationship Id="rId60" Type="http://schemas.openxmlformats.org/officeDocument/2006/relationships/externalLink" Target="externalLinks/externalLink22.xml"/><Relationship Id="rId65" Type="http://schemas.openxmlformats.org/officeDocument/2006/relationships/externalLink" Target="externalLinks/externalLink2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5.xml"/><Relationship Id="rId48" Type="http://schemas.openxmlformats.org/officeDocument/2006/relationships/externalLink" Target="externalLinks/externalLink10.xml"/><Relationship Id="rId56" Type="http://schemas.openxmlformats.org/officeDocument/2006/relationships/externalLink" Target="externalLinks/externalLink18.xml"/><Relationship Id="rId64" Type="http://schemas.openxmlformats.org/officeDocument/2006/relationships/externalLink" Target="externalLinks/externalLink26.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13.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8.xml"/><Relationship Id="rId59" Type="http://schemas.openxmlformats.org/officeDocument/2006/relationships/externalLink" Target="externalLinks/externalLink21.xml"/><Relationship Id="rId67" Type="http://schemas.openxmlformats.org/officeDocument/2006/relationships/externalLink" Target="externalLinks/externalLink29.xml"/><Relationship Id="rId20" Type="http://schemas.openxmlformats.org/officeDocument/2006/relationships/worksheet" Target="worksheets/sheet20.xml"/><Relationship Id="rId41" Type="http://schemas.openxmlformats.org/officeDocument/2006/relationships/externalLink" Target="externalLinks/externalLink3.xml"/><Relationship Id="rId54" Type="http://schemas.openxmlformats.org/officeDocument/2006/relationships/externalLink" Target="externalLinks/externalLink16.xml"/><Relationship Id="rId62" Type="http://schemas.openxmlformats.org/officeDocument/2006/relationships/externalLink" Target="externalLinks/externalLink24.xml"/><Relationship Id="rId70"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22.png"/><Relationship Id="rId1" Type="http://schemas.openxmlformats.org/officeDocument/2006/relationships/image" Target="../media/image21.emf"/><Relationship Id="rId6" Type="http://schemas.openxmlformats.org/officeDocument/2006/relationships/image" Target="../media/image23.png"/><Relationship Id="rId5" Type="http://schemas.openxmlformats.org/officeDocument/2006/relationships/image" Target="../media/image15.png"/><Relationship Id="rId4" Type="http://schemas.openxmlformats.org/officeDocument/2006/relationships/image" Target="../media/image1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 Id="rId4" Type="http://schemas.openxmlformats.org/officeDocument/2006/relationships/image" Target="../media/image27.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 Id="rId4" Type="http://schemas.openxmlformats.org/officeDocument/2006/relationships/image" Target="../media/image27.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s>
</file>

<file path=xl/drawings/_rels/drawing16.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s>
</file>

<file path=xl/drawings/_rels/drawing17.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 Id="rId4" Type="http://schemas.openxmlformats.org/officeDocument/2006/relationships/image" Target="../media/image28.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 Id="rId4" Type="http://schemas.openxmlformats.org/officeDocument/2006/relationships/image" Target="../media/image29.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30.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20.xml.rels><?xml version="1.0" encoding="UTF-8" standalone="yes"?>
<Relationships xmlns="http://schemas.openxmlformats.org/package/2006/relationships"><Relationship Id="rId1" Type="http://schemas.openxmlformats.org/officeDocument/2006/relationships/image" Target="../media/image32.png"/></Relationships>
</file>

<file path=xl/drawings/_rels/drawing21.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s>
</file>

<file path=xl/drawings/_rels/drawing22.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s>
</file>

<file path=xl/drawings/_rels/drawing23.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s>
</file>

<file path=xl/drawings/_rels/drawing24.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s>
</file>

<file path=xl/drawings/_rels/drawing25.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s>
</file>

<file path=xl/drawings/_rels/drawing26.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s>
</file>

<file path=xl/drawings/_rels/drawing27.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 Id="rId4" Type="http://schemas.openxmlformats.org/officeDocument/2006/relationships/image" Target="../media/image33.jpeg"/></Relationships>
</file>

<file path=xl/drawings/_rels/drawing28.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 Id="rId4" Type="http://schemas.openxmlformats.org/officeDocument/2006/relationships/image" Target="../media/image33.jpeg"/></Relationships>
</file>

<file path=xl/drawings/_rels/drawing29.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drawing30.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s>
</file>

<file path=xl/drawings/_rels/drawing31.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 Id="rId4" Type="http://schemas.openxmlformats.org/officeDocument/2006/relationships/image" Target="../media/image28.jpeg"/></Relationships>
</file>

<file path=xl/drawings/_rels/drawing32.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 Id="rId4" Type="http://schemas.openxmlformats.org/officeDocument/2006/relationships/image" Target="../media/image29.jpeg"/></Relationships>
</file>

<file path=xl/drawings/_rels/drawing3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20.png"/></Relationships>
</file>

<file path=xl/drawings/_rels/drawing34.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20.png"/></Relationships>
</file>

<file path=xl/drawings/_rels/drawing35.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20.png"/></Relationships>
</file>

<file path=xl/drawings/_rels/drawing4.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6.png"/></Relationships>
</file>

<file path=xl/drawings/_rels/drawing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7.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20.png"/></Relationships>
</file>

<file path=xl/drawings/_rels/drawing8.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20.png"/></Relationships>
</file>

<file path=xl/drawings/_rels/drawing9.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9.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1.emf"/></Relationships>
</file>

<file path=xl/drawings/drawing1.xml><?xml version="1.0" encoding="utf-8"?>
<xdr:wsDr xmlns:xdr="http://schemas.openxmlformats.org/drawingml/2006/spreadsheetDrawing" xmlns:a="http://schemas.openxmlformats.org/drawingml/2006/main">
  <xdr:twoCellAnchor editAs="oneCell">
    <xdr:from>
      <xdr:col>2</xdr:col>
      <xdr:colOff>180976</xdr:colOff>
      <xdr:row>1</xdr:row>
      <xdr:rowOff>57150</xdr:rowOff>
    </xdr:from>
    <xdr:to>
      <xdr:col>3</xdr:col>
      <xdr:colOff>714375</xdr:colOff>
      <xdr:row>4</xdr:row>
      <xdr:rowOff>142875</xdr:rowOff>
    </xdr:to>
    <xdr:pic>
      <xdr:nvPicPr>
        <xdr:cNvPr id="5" name="Imagem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1" cstate="print"/>
        <a:stretch>
          <a:fillRect/>
        </a:stretch>
      </xdr:blipFill>
      <xdr:spPr>
        <a:xfrm>
          <a:off x="685801" y="257175"/>
          <a:ext cx="1428749" cy="876300"/>
        </a:xfrm>
        <a:prstGeom prst="rect">
          <a:avLst/>
        </a:prstGeom>
      </xdr:spPr>
    </xdr:pic>
    <xdr:clientData/>
  </xdr:twoCellAnchor>
  <xdr:twoCellAnchor editAs="oneCell">
    <xdr:from>
      <xdr:col>8</xdr:col>
      <xdr:colOff>457200</xdr:colOff>
      <xdr:row>50</xdr:row>
      <xdr:rowOff>85726</xdr:rowOff>
    </xdr:from>
    <xdr:to>
      <xdr:col>10</xdr:col>
      <xdr:colOff>839025</xdr:colOff>
      <xdr:row>57</xdr:row>
      <xdr:rowOff>152401</xdr:rowOff>
    </xdr:to>
    <xdr:pic>
      <xdr:nvPicPr>
        <xdr:cNvPr id="18" name="Imagem 17">
          <a:extLst>
            <a:ext uri="{FF2B5EF4-FFF2-40B4-BE49-F238E27FC236}">
              <a16:creationId xmlns:a16="http://schemas.microsoft.com/office/drawing/2014/main" xmlns="" id="{00000000-0008-0000-00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xmlns="" val="0"/>
            </a:ext>
          </a:extLst>
        </a:blip>
        <a:srcRect/>
        <a:stretch>
          <a:fillRect/>
        </a:stretch>
      </xdr:blipFill>
      <xdr:spPr bwMode="auto">
        <a:xfrm>
          <a:off x="8515350" y="10353676"/>
          <a:ext cx="3125025" cy="14668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276225</xdr:colOff>
      <xdr:row>51</xdr:row>
      <xdr:rowOff>152400</xdr:rowOff>
    </xdr:from>
    <xdr:to>
      <xdr:col>7</xdr:col>
      <xdr:colOff>161925</xdr:colOff>
      <xdr:row>55</xdr:row>
      <xdr:rowOff>66675</xdr:rowOff>
    </xdr:to>
    <xdr:pic>
      <xdr:nvPicPr>
        <xdr:cNvPr id="19" name="Imagem 18">
          <a:extLst>
            <a:ext uri="{FF2B5EF4-FFF2-40B4-BE49-F238E27FC236}">
              <a16:creationId xmlns:a16="http://schemas.microsoft.com/office/drawing/2014/main" xmlns="" id="{00000000-0008-0000-00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5334000" y="10620375"/>
          <a:ext cx="1657350" cy="7143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5</xdr:col>
      <xdr:colOff>518431</xdr:colOff>
      <xdr:row>29</xdr:row>
      <xdr:rowOff>44903</xdr:rowOff>
    </xdr:from>
    <xdr:to>
      <xdr:col>6</xdr:col>
      <xdr:colOff>1207407</xdr:colOff>
      <xdr:row>31</xdr:row>
      <xdr:rowOff>92528</xdr:rowOff>
    </xdr:to>
    <xdr:pic>
      <xdr:nvPicPr>
        <xdr:cNvPr id="20" name="Imagem 19">
          <a:extLst>
            <a:ext uri="{FF2B5EF4-FFF2-40B4-BE49-F238E27FC236}">
              <a16:creationId xmlns:a16="http://schemas.microsoft.com/office/drawing/2014/main" xmlns="" id="{00000000-0008-0000-0000-000014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xmlns="" val="0"/>
            </a:ext>
          </a:extLst>
        </a:blip>
        <a:srcRect/>
        <a:stretch>
          <a:fillRect/>
        </a:stretch>
      </xdr:blipFill>
      <xdr:spPr bwMode="auto">
        <a:xfrm>
          <a:off x="4052206" y="5845628"/>
          <a:ext cx="2212976" cy="4476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2</xdr:col>
      <xdr:colOff>542925</xdr:colOff>
      <xdr:row>29</xdr:row>
      <xdr:rowOff>133350</xdr:rowOff>
    </xdr:from>
    <xdr:to>
      <xdr:col>4</xdr:col>
      <xdr:colOff>485775</xdr:colOff>
      <xdr:row>31</xdr:row>
      <xdr:rowOff>85725</xdr:rowOff>
    </xdr:to>
    <xdr:pic>
      <xdr:nvPicPr>
        <xdr:cNvPr id="21" name="Imagem 20">
          <a:extLst>
            <a:ext uri="{FF2B5EF4-FFF2-40B4-BE49-F238E27FC236}">
              <a16:creationId xmlns:a16="http://schemas.microsoft.com/office/drawing/2014/main" xmlns="" id="{00000000-0008-0000-0000-000015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xmlns="" val="0"/>
            </a:ext>
          </a:extLst>
        </a:blip>
        <a:srcRect/>
        <a:stretch>
          <a:fillRect/>
        </a:stretch>
      </xdr:blipFill>
      <xdr:spPr bwMode="auto">
        <a:xfrm>
          <a:off x="1047750" y="5934075"/>
          <a:ext cx="1905000" cy="3524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8</xdr:col>
      <xdr:colOff>288472</xdr:colOff>
      <xdr:row>29</xdr:row>
      <xdr:rowOff>102054</xdr:rowOff>
    </xdr:from>
    <xdr:to>
      <xdr:col>9</xdr:col>
      <xdr:colOff>620032</xdr:colOff>
      <xdr:row>31</xdr:row>
      <xdr:rowOff>16329</xdr:rowOff>
    </xdr:to>
    <xdr:pic>
      <xdr:nvPicPr>
        <xdr:cNvPr id="22" name="Imagem 21">
          <a:extLst>
            <a:ext uri="{FF2B5EF4-FFF2-40B4-BE49-F238E27FC236}">
              <a16:creationId xmlns:a16="http://schemas.microsoft.com/office/drawing/2014/main" xmlns="" id="{00000000-0008-0000-0000-000016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xmlns="" val="0"/>
            </a:ext>
          </a:extLst>
        </a:blip>
        <a:srcRect/>
        <a:stretch>
          <a:fillRect/>
        </a:stretch>
      </xdr:blipFill>
      <xdr:spPr bwMode="auto">
        <a:xfrm>
          <a:off x="8346622" y="5902779"/>
          <a:ext cx="1588860" cy="3143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5</xdr:col>
      <xdr:colOff>895350</xdr:colOff>
      <xdr:row>16</xdr:row>
      <xdr:rowOff>180975</xdr:rowOff>
    </xdr:from>
    <xdr:to>
      <xdr:col>7</xdr:col>
      <xdr:colOff>1033236</xdr:colOff>
      <xdr:row>19</xdr:row>
      <xdr:rowOff>114300</xdr:rowOff>
    </xdr:to>
    <xdr:pic>
      <xdr:nvPicPr>
        <xdr:cNvPr id="23" name="Imagem 22">
          <a:extLst>
            <a:ext uri="{FF2B5EF4-FFF2-40B4-BE49-F238E27FC236}">
              <a16:creationId xmlns:a16="http://schemas.microsoft.com/office/drawing/2014/main" xmlns="" id="{00000000-0008-0000-0000-000017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xmlns="" val="0"/>
            </a:ext>
          </a:extLst>
        </a:blip>
        <a:srcRect/>
        <a:stretch>
          <a:fillRect/>
        </a:stretch>
      </xdr:blipFill>
      <xdr:spPr bwMode="auto">
        <a:xfrm>
          <a:off x="4429125" y="3362325"/>
          <a:ext cx="3433536" cy="5334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10</xdr:col>
      <xdr:colOff>952500</xdr:colOff>
      <xdr:row>1</xdr:row>
      <xdr:rowOff>66675</xdr:rowOff>
    </xdr:from>
    <xdr:to>
      <xdr:col>12</xdr:col>
      <xdr:colOff>49654</xdr:colOff>
      <xdr:row>4</xdr:row>
      <xdr:rowOff>137149</xdr:rowOff>
    </xdr:to>
    <xdr:pic>
      <xdr:nvPicPr>
        <xdr:cNvPr id="61" name="Imagem 60">
          <a:extLst>
            <a:ext uri="{FF2B5EF4-FFF2-40B4-BE49-F238E27FC236}">
              <a16:creationId xmlns:a16="http://schemas.microsoft.com/office/drawing/2014/main" xmlns="" id="{00000000-0008-0000-0000-00003D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tretch>
          <a:fillRect/>
        </a:stretch>
      </xdr:blipFill>
      <xdr:spPr>
        <a:xfrm>
          <a:off x="11753850" y="266700"/>
          <a:ext cx="1621279" cy="861049"/>
        </a:xfrm>
        <a:prstGeom prst="rect">
          <a:avLst/>
        </a:prstGeom>
      </xdr:spPr>
    </xdr:pic>
    <xdr:clientData/>
  </xdr:twoCellAnchor>
  <xdr:twoCellAnchor editAs="oneCell">
    <xdr:from>
      <xdr:col>10</xdr:col>
      <xdr:colOff>231321</xdr:colOff>
      <xdr:row>29</xdr:row>
      <xdr:rowOff>81642</xdr:rowOff>
    </xdr:from>
    <xdr:to>
      <xdr:col>12</xdr:col>
      <xdr:colOff>301624</xdr:colOff>
      <xdr:row>31</xdr:row>
      <xdr:rowOff>77321</xdr:rowOff>
    </xdr:to>
    <xdr:pic>
      <xdr:nvPicPr>
        <xdr:cNvPr id="75" name="Imagem 74">
          <a:extLst>
            <a:ext uri="{FF2B5EF4-FFF2-40B4-BE49-F238E27FC236}">
              <a16:creationId xmlns:a16="http://schemas.microsoft.com/office/drawing/2014/main" xmlns="" id="{00000000-0008-0000-0000-00004B000000}"/>
            </a:ext>
          </a:extLst>
        </xdr:cNvPr>
        <xdr:cNvPicPr>
          <a:picLocks noChangeAspect="1"/>
        </xdr:cNvPicPr>
      </xdr:nvPicPr>
      <xdr:blipFill>
        <a:blip xmlns:r="http://schemas.openxmlformats.org/officeDocument/2006/relationships" r:embed="rId9"/>
        <a:stretch>
          <a:fillRect/>
        </a:stretch>
      </xdr:blipFill>
      <xdr:spPr>
        <a:xfrm>
          <a:off x="11032671" y="5882367"/>
          <a:ext cx="2594428" cy="395729"/>
        </a:xfrm>
        <a:prstGeom prst="rect">
          <a:avLst/>
        </a:prstGeom>
      </xdr:spPr>
    </xdr:pic>
    <xdr:clientData/>
  </xdr:twoCellAnchor>
  <xdr:oneCellAnchor>
    <xdr:from>
      <xdr:col>8</xdr:col>
      <xdr:colOff>1181893</xdr:colOff>
      <xdr:row>40</xdr:row>
      <xdr:rowOff>119063</xdr:rowOff>
    </xdr:from>
    <xdr:ext cx="4675982" cy="678656"/>
    <xdr:sp macro="" textlink="">
      <xdr:nvSpPr>
        <xdr:cNvPr id="92" name="CaixaDeTexto 91"/>
        <xdr:cNvSpPr txBox="1"/>
      </xdr:nvSpPr>
      <xdr:spPr>
        <a:xfrm>
          <a:off x="9240043" y="8358188"/>
          <a:ext cx="4675982" cy="6786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pt-BR" sz="1400" b="0" i="0">
              <a:latin typeface="Cambria Math" panose="02040503050406030204" pitchFamily="18" charset="0"/>
            </a:rPr>
            <a:t>𝑇𝑎𝑥𝑎 𝑑𝑒 𝑂𝑐𝑢𝑝𝑎çã𝑜 (𝑇𝑜)=</a:t>
          </a:r>
          <a:r>
            <a:rPr lang="pt-BR" sz="1400" b="0" i="0">
              <a:latin typeface="Cambria Math" panose="02040503050406030204" pitchFamily="18" charset="0"/>
              <a:ea typeface="Cambria Math" panose="02040503050406030204" pitchFamily="18" charset="0"/>
            </a:rPr>
            <a:t>(𝑃𝑜𝑝𝑢𝑙𝑎çã𝑜 𝑡𝑜𝑡𝑎𝑙 𝑑𝑎 á𝑟𝑒𝑎 𝑢𝑟𝑏𝑎𝑛𝑎 (𝑃𝑢𝑟𝑏))/(𝑄𝑢𝑎𝑛𝑡𝑖𝑑𝑎𝑑𝑒 𝑑𝑒 𝑑𝑜𝑚𝑖𝑐í𝑙𝑖𝑜𝑠 (𝐷))</a:t>
          </a:r>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2</xdr:col>
      <xdr:colOff>0</xdr:colOff>
      <xdr:row>77</xdr:row>
      <xdr:rowOff>0</xdr:rowOff>
    </xdr:from>
    <xdr:ext cx="4061344" cy="1115786"/>
    <xdr:pic>
      <xdr:nvPicPr>
        <xdr:cNvPr id="17" name="Imagem 16">
          <a:extLst>
            <a:ext uri="{FF2B5EF4-FFF2-40B4-BE49-F238E27FC236}">
              <a16:creationId xmlns:a16="http://schemas.microsoft.com/office/drawing/2014/main" xmlns="" id="{00000000-0008-0000-1E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415393" y="119416286"/>
          <a:ext cx="4061344" cy="111578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2</xdr:col>
      <xdr:colOff>190499</xdr:colOff>
      <xdr:row>77</xdr:row>
      <xdr:rowOff>993323</xdr:rowOff>
    </xdr:from>
    <xdr:ext cx="6763785" cy="1423452"/>
    <xdr:pic>
      <xdr:nvPicPr>
        <xdr:cNvPr id="18" name="Imagem 17">
          <a:extLst>
            <a:ext uri="{FF2B5EF4-FFF2-40B4-BE49-F238E27FC236}">
              <a16:creationId xmlns:a16="http://schemas.microsoft.com/office/drawing/2014/main" xmlns="" id="{00000000-0008-0000-1E00-000012000000}"/>
            </a:ext>
          </a:extLst>
        </xdr:cNvPr>
        <xdr:cNvPicPr>
          <a:picLocks noChangeAspect="1"/>
        </xdr:cNvPicPr>
      </xdr:nvPicPr>
      <xdr:blipFill>
        <a:blip xmlns:r="http://schemas.openxmlformats.org/officeDocument/2006/relationships" r:embed="rId2"/>
        <a:stretch>
          <a:fillRect/>
        </a:stretch>
      </xdr:blipFill>
      <xdr:spPr>
        <a:xfrm>
          <a:off x="3605892" y="120409609"/>
          <a:ext cx="6763785" cy="1423452"/>
        </a:xfrm>
        <a:prstGeom prst="rect">
          <a:avLst/>
        </a:prstGeom>
      </xdr:spPr>
    </xdr:pic>
    <xdr:clientData/>
  </xdr:oneCellAnchor>
  <xdr:oneCellAnchor>
    <xdr:from>
      <xdr:col>2</xdr:col>
      <xdr:colOff>0</xdr:colOff>
      <xdr:row>18</xdr:row>
      <xdr:rowOff>0</xdr:rowOff>
    </xdr:from>
    <xdr:ext cx="4061344" cy="1115786"/>
    <xdr:pic>
      <xdr:nvPicPr>
        <xdr:cNvPr id="19" name="Imagem 18">
          <a:extLst>
            <a:ext uri="{FF2B5EF4-FFF2-40B4-BE49-F238E27FC236}">
              <a16:creationId xmlns:a16="http://schemas.microsoft.com/office/drawing/2014/main" xmlns="" id="{00000000-0008-0000-1E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415393" y="103346250"/>
          <a:ext cx="4061344" cy="111578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2</xdr:col>
      <xdr:colOff>190499</xdr:colOff>
      <xdr:row>18</xdr:row>
      <xdr:rowOff>993323</xdr:rowOff>
    </xdr:from>
    <xdr:ext cx="6763785" cy="1423452"/>
    <xdr:pic>
      <xdr:nvPicPr>
        <xdr:cNvPr id="20" name="Imagem 19">
          <a:extLst>
            <a:ext uri="{FF2B5EF4-FFF2-40B4-BE49-F238E27FC236}">
              <a16:creationId xmlns:a16="http://schemas.microsoft.com/office/drawing/2014/main" xmlns="" id="{00000000-0008-0000-1E00-000014000000}"/>
            </a:ext>
          </a:extLst>
        </xdr:cNvPr>
        <xdr:cNvPicPr>
          <a:picLocks noChangeAspect="1"/>
        </xdr:cNvPicPr>
      </xdr:nvPicPr>
      <xdr:blipFill>
        <a:blip xmlns:r="http://schemas.openxmlformats.org/officeDocument/2006/relationships" r:embed="rId2"/>
        <a:stretch>
          <a:fillRect/>
        </a:stretch>
      </xdr:blipFill>
      <xdr:spPr>
        <a:xfrm>
          <a:off x="3605892" y="104339573"/>
          <a:ext cx="6763785" cy="1423452"/>
        </a:xfrm>
        <a:prstGeom prst="rect">
          <a:avLst/>
        </a:prstGeom>
      </xdr:spPr>
    </xdr:pic>
    <xdr:clientData/>
  </xdr:oneCellAnchor>
  <xdr:twoCellAnchor editAs="oneCell">
    <xdr:from>
      <xdr:col>1</xdr:col>
      <xdr:colOff>54429</xdr:colOff>
      <xdr:row>2</xdr:row>
      <xdr:rowOff>241418</xdr:rowOff>
    </xdr:from>
    <xdr:to>
      <xdr:col>1</xdr:col>
      <xdr:colOff>1618754</xdr:colOff>
      <xdr:row>3</xdr:row>
      <xdr:rowOff>558692</xdr:rowOff>
    </xdr:to>
    <xdr:pic>
      <xdr:nvPicPr>
        <xdr:cNvPr id="21" name="Imagem 20">
          <a:extLst>
            <a:ext uri="{FF2B5EF4-FFF2-40B4-BE49-F238E27FC236}">
              <a16:creationId xmlns:a16="http://schemas.microsoft.com/office/drawing/2014/main" xmlns="" id="{00000000-0008-0000-1E00-00001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1932215" y="499954"/>
          <a:ext cx="1564325" cy="1034451"/>
        </a:xfrm>
        <a:prstGeom prst="rect">
          <a:avLst/>
        </a:prstGeom>
      </xdr:spPr>
    </xdr:pic>
    <xdr:clientData/>
  </xdr:twoCellAnchor>
  <xdr:twoCellAnchor editAs="oneCell">
    <xdr:from>
      <xdr:col>3</xdr:col>
      <xdr:colOff>542925</xdr:colOff>
      <xdr:row>2</xdr:row>
      <xdr:rowOff>0</xdr:rowOff>
    </xdr:from>
    <xdr:to>
      <xdr:col>4</xdr:col>
      <xdr:colOff>1034865</xdr:colOff>
      <xdr:row>3</xdr:row>
      <xdr:rowOff>89647</xdr:rowOff>
    </xdr:to>
    <xdr:pic>
      <xdr:nvPicPr>
        <xdr:cNvPr id="24" name="Imagem 23">
          <a:extLst>
            <a:ext uri="{FF2B5EF4-FFF2-40B4-BE49-F238E27FC236}">
              <a16:creationId xmlns:a16="http://schemas.microsoft.com/office/drawing/2014/main" xmlns="" id="{00000000-0008-0000-1E00-00001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tretch>
          <a:fillRect/>
        </a:stretch>
      </xdr:blipFill>
      <xdr:spPr>
        <a:xfrm>
          <a:off x="9115425" y="247650"/>
          <a:ext cx="1539690" cy="806824"/>
        </a:xfrm>
        <a:prstGeom prst="rect">
          <a:avLst/>
        </a:prstGeom>
      </xdr:spPr>
    </xdr:pic>
    <xdr:clientData/>
  </xdr:twoCellAnchor>
  <xdr:twoCellAnchor editAs="oneCell">
    <xdr:from>
      <xdr:col>3</xdr:col>
      <xdr:colOff>689401</xdr:colOff>
      <xdr:row>3</xdr:row>
      <xdr:rowOff>180253</xdr:rowOff>
    </xdr:from>
    <xdr:to>
      <xdr:col>4</xdr:col>
      <xdr:colOff>976691</xdr:colOff>
      <xdr:row>3</xdr:row>
      <xdr:rowOff>750793</xdr:rowOff>
    </xdr:to>
    <xdr:pic>
      <xdr:nvPicPr>
        <xdr:cNvPr id="25" name="Imagem 24">
          <a:extLst>
            <a:ext uri="{FF2B5EF4-FFF2-40B4-BE49-F238E27FC236}">
              <a16:creationId xmlns:a16="http://schemas.microsoft.com/office/drawing/2014/main" xmlns="" id="{00000000-0008-0000-1E00-00001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tretch>
          <a:fillRect/>
        </a:stretch>
      </xdr:blipFill>
      <xdr:spPr>
        <a:xfrm>
          <a:off x="9261901" y="1189903"/>
          <a:ext cx="1335040" cy="570540"/>
        </a:xfrm>
        <a:prstGeom prst="rect">
          <a:avLst/>
        </a:prstGeom>
      </xdr:spPr>
    </xdr:pic>
    <xdr:clientData/>
  </xdr:twoCellAnchor>
  <xdr:twoCellAnchor editAs="oneCell">
    <xdr:from>
      <xdr:col>2</xdr:col>
      <xdr:colOff>1781737</xdr:colOff>
      <xdr:row>36</xdr:row>
      <xdr:rowOff>33620</xdr:rowOff>
    </xdr:from>
    <xdr:to>
      <xdr:col>4</xdr:col>
      <xdr:colOff>1176618</xdr:colOff>
      <xdr:row>69</xdr:row>
      <xdr:rowOff>118390</xdr:rowOff>
    </xdr:to>
    <xdr:pic>
      <xdr:nvPicPr>
        <xdr:cNvPr id="2" name="Imagem 1">
          <a:extLst>
            <a:ext uri="{FF2B5EF4-FFF2-40B4-BE49-F238E27FC236}">
              <a16:creationId xmlns:a16="http://schemas.microsoft.com/office/drawing/2014/main" xmlns="" id="{00000000-0008-0000-1E00-000002000000}"/>
            </a:ext>
          </a:extLst>
        </xdr:cNvPr>
        <xdr:cNvPicPr>
          <a:picLocks noChangeAspect="1"/>
        </xdr:cNvPicPr>
      </xdr:nvPicPr>
      <xdr:blipFill>
        <a:blip xmlns:r="http://schemas.openxmlformats.org/officeDocument/2006/relationships" r:embed="rId6"/>
        <a:stretch>
          <a:fillRect/>
        </a:stretch>
      </xdr:blipFill>
      <xdr:spPr>
        <a:xfrm>
          <a:off x="5300384" y="14186649"/>
          <a:ext cx="5502087" cy="5261888"/>
        </a:xfrm>
        <a:prstGeom prst="rect">
          <a:avLst/>
        </a:prstGeom>
      </xdr:spPr>
    </xdr:pic>
    <xdr:clientData/>
  </xdr:twoCellAnchor>
  <xdr:twoCellAnchor editAs="oneCell">
    <xdr:from>
      <xdr:col>2</xdr:col>
      <xdr:colOff>1781736</xdr:colOff>
      <xdr:row>94</xdr:row>
      <xdr:rowOff>123264</xdr:rowOff>
    </xdr:from>
    <xdr:to>
      <xdr:col>4</xdr:col>
      <xdr:colOff>1030942</xdr:colOff>
      <xdr:row>127</xdr:row>
      <xdr:rowOff>68720</xdr:rowOff>
    </xdr:to>
    <xdr:pic>
      <xdr:nvPicPr>
        <xdr:cNvPr id="22" name="Imagem 21">
          <a:extLst>
            <a:ext uri="{FF2B5EF4-FFF2-40B4-BE49-F238E27FC236}">
              <a16:creationId xmlns:a16="http://schemas.microsoft.com/office/drawing/2014/main" xmlns="" id="{00000000-0008-0000-1E00-000016000000}"/>
            </a:ext>
          </a:extLst>
        </xdr:cNvPr>
        <xdr:cNvPicPr>
          <a:picLocks noChangeAspect="1"/>
        </xdr:cNvPicPr>
      </xdr:nvPicPr>
      <xdr:blipFill>
        <a:blip xmlns:r="http://schemas.openxmlformats.org/officeDocument/2006/relationships" r:embed="rId6"/>
        <a:stretch>
          <a:fillRect/>
        </a:stretch>
      </xdr:blipFill>
      <xdr:spPr>
        <a:xfrm>
          <a:off x="5300383" y="30816176"/>
          <a:ext cx="5356412" cy="512257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33616</xdr:colOff>
      <xdr:row>2</xdr:row>
      <xdr:rowOff>145675</xdr:rowOff>
    </xdr:from>
    <xdr:to>
      <xdr:col>3</xdr:col>
      <xdr:colOff>44653</xdr:colOff>
      <xdr:row>4</xdr:row>
      <xdr:rowOff>403411</xdr:rowOff>
    </xdr:to>
    <xdr:pic>
      <xdr:nvPicPr>
        <xdr:cNvPr id="2" name="Imagem 1">
          <a:extLst>
            <a:ext uri="{FF2B5EF4-FFF2-40B4-BE49-F238E27FC236}">
              <a16:creationId xmlns:a16="http://schemas.microsoft.com/office/drawing/2014/main" xmlns="" id="{00000000-0008-0000-1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252816" y="536200"/>
          <a:ext cx="2487537" cy="164838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114300</xdr:colOff>
      <xdr:row>0</xdr:row>
      <xdr:rowOff>92352</xdr:rowOff>
    </xdr:from>
    <xdr:to>
      <xdr:col>2</xdr:col>
      <xdr:colOff>276225</xdr:colOff>
      <xdr:row>4</xdr:row>
      <xdr:rowOff>95562</xdr:rowOff>
    </xdr:to>
    <xdr:pic>
      <xdr:nvPicPr>
        <xdr:cNvPr id="2" name="Imagem 1">
          <a:extLst>
            <a:ext uri="{FF2B5EF4-FFF2-40B4-BE49-F238E27FC236}">
              <a16:creationId xmlns:a16="http://schemas.microsoft.com/office/drawing/2014/main" xmlns=""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14300" y="92352"/>
          <a:ext cx="1171575" cy="774735"/>
        </a:xfrm>
        <a:prstGeom prst="rect">
          <a:avLst/>
        </a:prstGeom>
      </xdr:spPr>
    </xdr:pic>
    <xdr:clientData/>
  </xdr:twoCellAnchor>
  <xdr:twoCellAnchor editAs="oneCell">
    <xdr:from>
      <xdr:col>5</xdr:col>
      <xdr:colOff>123825</xdr:colOff>
      <xdr:row>2</xdr:row>
      <xdr:rowOff>103735</xdr:rowOff>
    </xdr:from>
    <xdr:to>
      <xdr:col>5</xdr:col>
      <xdr:colOff>952858</xdr:colOff>
      <xdr:row>4</xdr:row>
      <xdr:rowOff>96079</xdr:rowOff>
    </xdr:to>
    <xdr:pic>
      <xdr:nvPicPr>
        <xdr:cNvPr id="3" name="Imagem 2">
          <a:extLst>
            <a:ext uri="{FF2B5EF4-FFF2-40B4-BE49-F238E27FC236}">
              <a16:creationId xmlns:a16="http://schemas.microsoft.com/office/drawing/2014/main" xmlns=""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6286500" y="513310"/>
          <a:ext cx="829033" cy="354294"/>
        </a:xfrm>
        <a:prstGeom prst="rect">
          <a:avLst/>
        </a:prstGeom>
      </xdr:spPr>
    </xdr:pic>
    <xdr:clientData/>
  </xdr:twoCellAnchor>
  <xdr:twoCellAnchor editAs="oneCell">
    <xdr:from>
      <xdr:col>5</xdr:col>
      <xdr:colOff>104775</xdr:colOff>
      <xdr:row>0</xdr:row>
      <xdr:rowOff>0</xdr:rowOff>
    </xdr:from>
    <xdr:to>
      <xdr:col>5</xdr:col>
      <xdr:colOff>994896</xdr:colOff>
      <xdr:row>2</xdr:row>
      <xdr:rowOff>56864</xdr:rowOff>
    </xdr:to>
    <xdr:pic>
      <xdr:nvPicPr>
        <xdr:cNvPr id="4" name="Imagem 3">
          <a:extLst>
            <a:ext uri="{FF2B5EF4-FFF2-40B4-BE49-F238E27FC236}">
              <a16:creationId xmlns:a16="http://schemas.microsoft.com/office/drawing/2014/main" xmlns="" id="{00000000-0008-0000-07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6267450" y="0"/>
          <a:ext cx="890121" cy="46643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114300</xdr:colOff>
      <xdr:row>0</xdr:row>
      <xdr:rowOff>54252</xdr:rowOff>
    </xdr:from>
    <xdr:to>
      <xdr:col>2</xdr:col>
      <xdr:colOff>276225</xdr:colOff>
      <xdr:row>4</xdr:row>
      <xdr:rowOff>57462</xdr:rowOff>
    </xdr:to>
    <xdr:pic>
      <xdr:nvPicPr>
        <xdr:cNvPr id="2" name="Imagem 1">
          <a:extLst>
            <a:ext uri="{FF2B5EF4-FFF2-40B4-BE49-F238E27FC236}">
              <a16:creationId xmlns:a16="http://schemas.microsoft.com/office/drawing/2014/main" xmlns=""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14300" y="54252"/>
          <a:ext cx="1171575" cy="774735"/>
        </a:xfrm>
        <a:prstGeom prst="rect">
          <a:avLst/>
        </a:prstGeom>
      </xdr:spPr>
    </xdr:pic>
    <xdr:clientData/>
  </xdr:twoCellAnchor>
  <xdr:twoCellAnchor editAs="oneCell">
    <xdr:from>
      <xdr:col>7</xdr:col>
      <xdr:colOff>19050</xdr:colOff>
      <xdr:row>2</xdr:row>
      <xdr:rowOff>151360</xdr:rowOff>
    </xdr:from>
    <xdr:to>
      <xdr:col>7</xdr:col>
      <xdr:colOff>848083</xdr:colOff>
      <xdr:row>4</xdr:row>
      <xdr:rowOff>143704</xdr:rowOff>
    </xdr:to>
    <xdr:pic>
      <xdr:nvPicPr>
        <xdr:cNvPr id="3" name="Imagem 2">
          <a:extLst>
            <a:ext uri="{FF2B5EF4-FFF2-40B4-BE49-F238E27FC236}">
              <a16:creationId xmlns:a16="http://schemas.microsoft.com/office/drawing/2014/main" xmlns="" id="{00000000-0008-0000-08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8277225" y="560935"/>
          <a:ext cx="829033" cy="354294"/>
        </a:xfrm>
        <a:prstGeom prst="rect">
          <a:avLst/>
        </a:prstGeom>
      </xdr:spPr>
    </xdr:pic>
    <xdr:clientData/>
  </xdr:twoCellAnchor>
  <xdr:twoCellAnchor editAs="oneCell">
    <xdr:from>
      <xdr:col>7</xdr:col>
      <xdr:colOff>19050</xdr:colOff>
      <xdr:row>0</xdr:row>
      <xdr:rowOff>9525</xdr:rowOff>
    </xdr:from>
    <xdr:to>
      <xdr:col>7</xdr:col>
      <xdr:colOff>909171</xdr:colOff>
      <xdr:row>2</xdr:row>
      <xdr:rowOff>66389</xdr:rowOff>
    </xdr:to>
    <xdr:pic>
      <xdr:nvPicPr>
        <xdr:cNvPr id="4" name="Imagem 3">
          <a:extLst>
            <a:ext uri="{FF2B5EF4-FFF2-40B4-BE49-F238E27FC236}">
              <a16:creationId xmlns:a16="http://schemas.microsoft.com/office/drawing/2014/main" xmlns="" id="{00000000-0008-0000-08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8277225" y="9525"/>
          <a:ext cx="890121" cy="466439"/>
        </a:xfrm>
        <a:prstGeom prst="rect">
          <a:avLst/>
        </a:prstGeom>
      </xdr:spPr>
    </xdr:pic>
    <xdr:clientData/>
  </xdr:twoCellAnchor>
  <xdr:twoCellAnchor editAs="oneCell">
    <xdr:from>
      <xdr:col>0</xdr:col>
      <xdr:colOff>85725</xdr:colOff>
      <xdr:row>29</xdr:row>
      <xdr:rowOff>76200</xdr:rowOff>
    </xdr:from>
    <xdr:to>
      <xdr:col>14</xdr:col>
      <xdr:colOff>85725</xdr:colOff>
      <xdr:row>56</xdr:row>
      <xdr:rowOff>124420</xdr:rowOff>
    </xdr:to>
    <xdr:pic>
      <xdr:nvPicPr>
        <xdr:cNvPr id="5" name="Imagem 4">
          <a:extLst>
            <a:ext uri="{FF2B5EF4-FFF2-40B4-BE49-F238E27FC236}">
              <a16:creationId xmlns:a16="http://schemas.microsoft.com/office/drawing/2014/main" xmlns="" id="{00000000-0008-0000-08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xmlns="" val="0"/>
            </a:ext>
          </a:extLst>
        </a:blip>
        <a:stretch>
          <a:fillRect/>
        </a:stretch>
      </xdr:blipFill>
      <xdr:spPr>
        <a:xfrm>
          <a:off x="85725" y="6686550"/>
          <a:ext cx="9229725" cy="519172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95250</xdr:colOff>
      <xdr:row>0</xdr:row>
      <xdr:rowOff>120927</xdr:rowOff>
    </xdr:from>
    <xdr:to>
      <xdr:col>2</xdr:col>
      <xdr:colOff>257175</xdr:colOff>
      <xdr:row>4</xdr:row>
      <xdr:rowOff>124137</xdr:rowOff>
    </xdr:to>
    <xdr:pic>
      <xdr:nvPicPr>
        <xdr:cNvPr id="2" name="Imagem 1">
          <a:extLst>
            <a:ext uri="{FF2B5EF4-FFF2-40B4-BE49-F238E27FC236}">
              <a16:creationId xmlns:a16="http://schemas.microsoft.com/office/drawing/2014/main" xmlns=""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95250" y="120927"/>
          <a:ext cx="1171575" cy="774735"/>
        </a:xfrm>
        <a:prstGeom prst="rect">
          <a:avLst/>
        </a:prstGeom>
      </xdr:spPr>
    </xdr:pic>
    <xdr:clientData/>
  </xdr:twoCellAnchor>
  <xdr:twoCellAnchor editAs="oneCell">
    <xdr:from>
      <xdr:col>7</xdr:col>
      <xdr:colOff>0</xdr:colOff>
      <xdr:row>2</xdr:row>
      <xdr:rowOff>141835</xdr:rowOff>
    </xdr:from>
    <xdr:to>
      <xdr:col>7</xdr:col>
      <xdr:colOff>829033</xdr:colOff>
      <xdr:row>4</xdr:row>
      <xdr:rowOff>134179</xdr:rowOff>
    </xdr:to>
    <xdr:pic>
      <xdr:nvPicPr>
        <xdr:cNvPr id="3" name="Imagem 2">
          <a:extLst>
            <a:ext uri="{FF2B5EF4-FFF2-40B4-BE49-F238E27FC236}">
              <a16:creationId xmlns:a16="http://schemas.microsoft.com/office/drawing/2014/main" xmlns="" id="{00000000-0008-0000-09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8315325" y="551410"/>
          <a:ext cx="829033" cy="354294"/>
        </a:xfrm>
        <a:prstGeom prst="rect">
          <a:avLst/>
        </a:prstGeom>
      </xdr:spPr>
    </xdr:pic>
    <xdr:clientData/>
  </xdr:twoCellAnchor>
  <xdr:twoCellAnchor editAs="oneCell">
    <xdr:from>
      <xdr:col>7</xdr:col>
      <xdr:colOff>0</xdr:colOff>
      <xdr:row>0</xdr:row>
      <xdr:rowOff>0</xdr:rowOff>
    </xdr:from>
    <xdr:to>
      <xdr:col>7</xdr:col>
      <xdr:colOff>890121</xdr:colOff>
      <xdr:row>2</xdr:row>
      <xdr:rowOff>56864</xdr:rowOff>
    </xdr:to>
    <xdr:pic>
      <xdr:nvPicPr>
        <xdr:cNvPr id="4" name="Imagem 3">
          <a:extLst>
            <a:ext uri="{FF2B5EF4-FFF2-40B4-BE49-F238E27FC236}">
              <a16:creationId xmlns:a16="http://schemas.microsoft.com/office/drawing/2014/main" xmlns="" id="{00000000-0008-0000-09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8315325" y="0"/>
          <a:ext cx="890121" cy="466439"/>
        </a:xfrm>
        <a:prstGeom prst="rect">
          <a:avLst/>
        </a:prstGeom>
      </xdr:spPr>
    </xdr:pic>
    <xdr:clientData/>
  </xdr:twoCellAnchor>
  <xdr:twoCellAnchor editAs="oneCell">
    <xdr:from>
      <xdr:col>0</xdr:col>
      <xdr:colOff>76200</xdr:colOff>
      <xdr:row>29</xdr:row>
      <xdr:rowOff>57150</xdr:rowOff>
    </xdr:from>
    <xdr:to>
      <xdr:col>14</xdr:col>
      <xdr:colOff>19050</xdr:colOff>
      <xdr:row>56</xdr:row>
      <xdr:rowOff>105370</xdr:rowOff>
    </xdr:to>
    <xdr:pic>
      <xdr:nvPicPr>
        <xdr:cNvPr id="5" name="Imagem 4">
          <a:extLst>
            <a:ext uri="{FF2B5EF4-FFF2-40B4-BE49-F238E27FC236}">
              <a16:creationId xmlns:a16="http://schemas.microsoft.com/office/drawing/2014/main" xmlns="" id="{00000000-0008-0000-09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xmlns="" val="0"/>
            </a:ext>
          </a:extLst>
        </a:blip>
        <a:stretch>
          <a:fillRect/>
        </a:stretch>
      </xdr:blipFill>
      <xdr:spPr>
        <a:xfrm>
          <a:off x="76200" y="6667500"/>
          <a:ext cx="9229725" cy="519172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114300</xdr:colOff>
      <xdr:row>0</xdr:row>
      <xdr:rowOff>92352</xdr:rowOff>
    </xdr:from>
    <xdr:to>
      <xdr:col>2</xdr:col>
      <xdr:colOff>276225</xdr:colOff>
      <xdr:row>4</xdr:row>
      <xdr:rowOff>95562</xdr:rowOff>
    </xdr:to>
    <xdr:pic>
      <xdr:nvPicPr>
        <xdr:cNvPr id="2" name="Imagem 1">
          <a:extLst>
            <a:ext uri="{FF2B5EF4-FFF2-40B4-BE49-F238E27FC236}">
              <a16:creationId xmlns:a16="http://schemas.microsoft.com/office/drawing/2014/main" xmlns=""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14300" y="92352"/>
          <a:ext cx="1171575" cy="774735"/>
        </a:xfrm>
        <a:prstGeom prst="rect">
          <a:avLst/>
        </a:prstGeom>
      </xdr:spPr>
    </xdr:pic>
    <xdr:clientData/>
  </xdr:twoCellAnchor>
  <xdr:twoCellAnchor editAs="oneCell">
    <xdr:from>
      <xdr:col>7</xdr:col>
      <xdr:colOff>133764</xdr:colOff>
      <xdr:row>2</xdr:row>
      <xdr:rowOff>141835</xdr:rowOff>
    </xdr:from>
    <xdr:to>
      <xdr:col>7</xdr:col>
      <xdr:colOff>962797</xdr:colOff>
      <xdr:row>4</xdr:row>
      <xdr:rowOff>134179</xdr:rowOff>
    </xdr:to>
    <xdr:pic>
      <xdr:nvPicPr>
        <xdr:cNvPr id="3" name="Imagem 2">
          <a:extLst>
            <a:ext uri="{FF2B5EF4-FFF2-40B4-BE49-F238E27FC236}">
              <a16:creationId xmlns:a16="http://schemas.microsoft.com/office/drawing/2014/main" xmlns=""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8391939" y="551410"/>
          <a:ext cx="829033" cy="354294"/>
        </a:xfrm>
        <a:prstGeom prst="rect">
          <a:avLst/>
        </a:prstGeom>
      </xdr:spPr>
    </xdr:pic>
    <xdr:clientData/>
  </xdr:twoCellAnchor>
  <xdr:twoCellAnchor editAs="oneCell">
    <xdr:from>
      <xdr:col>7</xdr:col>
      <xdr:colOff>116913</xdr:colOff>
      <xdr:row>0</xdr:row>
      <xdr:rowOff>0</xdr:rowOff>
    </xdr:from>
    <xdr:to>
      <xdr:col>7</xdr:col>
      <xdr:colOff>1007034</xdr:colOff>
      <xdr:row>2</xdr:row>
      <xdr:rowOff>56864</xdr:rowOff>
    </xdr:to>
    <xdr:pic>
      <xdr:nvPicPr>
        <xdr:cNvPr id="4" name="Imagem 3">
          <a:extLst>
            <a:ext uri="{FF2B5EF4-FFF2-40B4-BE49-F238E27FC236}">
              <a16:creationId xmlns:a16="http://schemas.microsoft.com/office/drawing/2014/main" xmlns="" id="{00000000-0008-0000-0A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8375088" y="0"/>
          <a:ext cx="890121" cy="46643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114300</xdr:colOff>
      <xdr:row>0</xdr:row>
      <xdr:rowOff>101877</xdr:rowOff>
    </xdr:from>
    <xdr:to>
      <xdr:col>2</xdr:col>
      <xdr:colOff>276225</xdr:colOff>
      <xdr:row>4</xdr:row>
      <xdr:rowOff>105087</xdr:rowOff>
    </xdr:to>
    <xdr:pic>
      <xdr:nvPicPr>
        <xdr:cNvPr id="2" name="Imagem 1">
          <a:extLst>
            <a:ext uri="{FF2B5EF4-FFF2-40B4-BE49-F238E27FC236}">
              <a16:creationId xmlns:a16="http://schemas.microsoft.com/office/drawing/2014/main" xmlns=""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14300" y="101877"/>
          <a:ext cx="1171575" cy="774735"/>
        </a:xfrm>
        <a:prstGeom prst="rect">
          <a:avLst/>
        </a:prstGeom>
      </xdr:spPr>
    </xdr:pic>
    <xdr:clientData/>
  </xdr:twoCellAnchor>
  <xdr:twoCellAnchor editAs="oneCell">
    <xdr:from>
      <xdr:col>7</xdr:col>
      <xdr:colOff>133764</xdr:colOff>
      <xdr:row>2</xdr:row>
      <xdr:rowOff>151360</xdr:rowOff>
    </xdr:from>
    <xdr:to>
      <xdr:col>7</xdr:col>
      <xdr:colOff>962797</xdr:colOff>
      <xdr:row>4</xdr:row>
      <xdr:rowOff>143704</xdr:rowOff>
    </xdr:to>
    <xdr:pic>
      <xdr:nvPicPr>
        <xdr:cNvPr id="3" name="Imagem 2">
          <a:extLst>
            <a:ext uri="{FF2B5EF4-FFF2-40B4-BE49-F238E27FC236}">
              <a16:creationId xmlns:a16="http://schemas.microsoft.com/office/drawing/2014/main" xmlns=""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8372889" y="560935"/>
          <a:ext cx="829033" cy="354294"/>
        </a:xfrm>
        <a:prstGeom prst="rect">
          <a:avLst/>
        </a:prstGeom>
      </xdr:spPr>
    </xdr:pic>
    <xdr:clientData/>
  </xdr:twoCellAnchor>
  <xdr:twoCellAnchor editAs="oneCell">
    <xdr:from>
      <xdr:col>7</xdr:col>
      <xdr:colOff>116913</xdr:colOff>
      <xdr:row>0</xdr:row>
      <xdr:rowOff>9525</xdr:rowOff>
    </xdr:from>
    <xdr:to>
      <xdr:col>7</xdr:col>
      <xdr:colOff>1007034</xdr:colOff>
      <xdr:row>2</xdr:row>
      <xdr:rowOff>66389</xdr:rowOff>
    </xdr:to>
    <xdr:pic>
      <xdr:nvPicPr>
        <xdr:cNvPr id="4" name="Imagem 3">
          <a:extLst>
            <a:ext uri="{FF2B5EF4-FFF2-40B4-BE49-F238E27FC236}">
              <a16:creationId xmlns:a16="http://schemas.microsoft.com/office/drawing/2014/main" xmlns="" id="{00000000-0008-0000-0B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8356038" y="9525"/>
          <a:ext cx="890121" cy="46643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57150</xdr:colOff>
      <xdr:row>0</xdr:row>
      <xdr:rowOff>101877</xdr:rowOff>
    </xdr:from>
    <xdr:to>
      <xdr:col>2</xdr:col>
      <xdr:colOff>219075</xdr:colOff>
      <xdr:row>4</xdr:row>
      <xdr:rowOff>105087</xdr:rowOff>
    </xdr:to>
    <xdr:pic>
      <xdr:nvPicPr>
        <xdr:cNvPr id="2" name="Imagem 1">
          <a:extLst>
            <a:ext uri="{FF2B5EF4-FFF2-40B4-BE49-F238E27FC236}">
              <a16:creationId xmlns:a16="http://schemas.microsoft.com/office/drawing/2014/main" xmlns=""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7150" y="101877"/>
          <a:ext cx="1171575" cy="774735"/>
        </a:xfrm>
        <a:prstGeom prst="rect">
          <a:avLst/>
        </a:prstGeom>
      </xdr:spPr>
    </xdr:pic>
    <xdr:clientData/>
  </xdr:twoCellAnchor>
  <xdr:twoCellAnchor editAs="oneCell">
    <xdr:from>
      <xdr:col>11</xdr:col>
      <xdr:colOff>86139</xdr:colOff>
      <xdr:row>2</xdr:row>
      <xdr:rowOff>170410</xdr:rowOff>
    </xdr:from>
    <xdr:to>
      <xdr:col>11</xdr:col>
      <xdr:colOff>915172</xdr:colOff>
      <xdr:row>4</xdr:row>
      <xdr:rowOff>162754</xdr:rowOff>
    </xdr:to>
    <xdr:pic>
      <xdr:nvPicPr>
        <xdr:cNvPr id="3" name="Imagem 2">
          <a:extLst>
            <a:ext uri="{FF2B5EF4-FFF2-40B4-BE49-F238E27FC236}">
              <a16:creationId xmlns:a16="http://schemas.microsoft.com/office/drawing/2014/main" xmlns=""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2554364" y="579985"/>
          <a:ext cx="829033" cy="354294"/>
        </a:xfrm>
        <a:prstGeom prst="rect">
          <a:avLst/>
        </a:prstGeom>
      </xdr:spPr>
    </xdr:pic>
    <xdr:clientData/>
  </xdr:twoCellAnchor>
  <xdr:twoCellAnchor editAs="oneCell">
    <xdr:from>
      <xdr:col>11</xdr:col>
      <xdr:colOff>2613</xdr:colOff>
      <xdr:row>0</xdr:row>
      <xdr:rowOff>38100</xdr:rowOff>
    </xdr:from>
    <xdr:to>
      <xdr:col>11</xdr:col>
      <xdr:colOff>892734</xdr:colOff>
      <xdr:row>2</xdr:row>
      <xdr:rowOff>94964</xdr:rowOff>
    </xdr:to>
    <xdr:pic>
      <xdr:nvPicPr>
        <xdr:cNvPr id="4" name="Imagem 3">
          <a:extLst>
            <a:ext uri="{FF2B5EF4-FFF2-40B4-BE49-F238E27FC236}">
              <a16:creationId xmlns:a16="http://schemas.microsoft.com/office/drawing/2014/main" xmlns="" id="{00000000-0008-0000-0C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12470838" y="38100"/>
          <a:ext cx="890121" cy="466439"/>
        </a:xfrm>
        <a:prstGeom prst="rect">
          <a:avLst/>
        </a:prstGeom>
      </xdr:spPr>
    </xdr:pic>
    <xdr:clientData/>
  </xdr:twoCellAnchor>
  <xdr:twoCellAnchor editAs="oneCell">
    <xdr:from>
      <xdr:col>0</xdr:col>
      <xdr:colOff>57150</xdr:colOff>
      <xdr:row>35</xdr:row>
      <xdr:rowOff>85725</xdr:rowOff>
    </xdr:from>
    <xdr:to>
      <xdr:col>7</xdr:col>
      <xdr:colOff>981075</xdr:colOff>
      <xdr:row>62</xdr:row>
      <xdr:rowOff>117872</xdr:rowOff>
    </xdr:to>
    <xdr:pic>
      <xdr:nvPicPr>
        <xdr:cNvPr id="5" name="Imagem 4">
          <a:extLst>
            <a:ext uri="{FF2B5EF4-FFF2-40B4-BE49-F238E27FC236}">
              <a16:creationId xmlns:a16="http://schemas.microsoft.com/office/drawing/2014/main" xmlns="" id="{00000000-0008-0000-0C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xmlns="" val="0"/>
            </a:ext>
          </a:extLst>
        </a:blip>
        <a:stretch>
          <a:fillRect/>
        </a:stretch>
      </xdr:blipFill>
      <xdr:spPr>
        <a:xfrm>
          <a:off x="57150" y="7696200"/>
          <a:ext cx="9201150" cy="5175647"/>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134470</xdr:colOff>
      <xdr:row>0</xdr:row>
      <xdr:rowOff>73302</xdr:rowOff>
    </xdr:from>
    <xdr:to>
      <xdr:col>2</xdr:col>
      <xdr:colOff>297516</xdr:colOff>
      <xdr:row>4</xdr:row>
      <xdr:rowOff>86037</xdr:rowOff>
    </xdr:to>
    <xdr:pic>
      <xdr:nvPicPr>
        <xdr:cNvPr id="2" name="Imagem 1">
          <a:extLst>
            <a:ext uri="{FF2B5EF4-FFF2-40B4-BE49-F238E27FC236}">
              <a16:creationId xmlns:a16="http://schemas.microsoft.com/office/drawing/2014/main" xmlns=""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34470" y="73302"/>
          <a:ext cx="1172696" cy="784260"/>
        </a:xfrm>
        <a:prstGeom prst="rect">
          <a:avLst/>
        </a:prstGeom>
      </xdr:spPr>
    </xdr:pic>
    <xdr:clientData/>
  </xdr:twoCellAnchor>
  <xdr:twoCellAnchor editAs="oneCell">
    <xdr:from>
      <xdr:col>12</xdr:col>
      <xdr:colOff>385895</xdr:colOff>
      <xdr:row>2</xdr:row>
      <xdr:rowOff>147998</xdr:rowOff>
    </xdr:from>
    <xdr:to>
      <xdr:col>12</xdr:col>
      <xdr:colOff>1214928</xdr:colOff>
      <xdr:row>4</xdr:row>
      <xdr:rowOff>143704</xdr:rowOff>
    </xdr:to>
    <xdr:pic>
      <xdr:nvPicPr>
        <xdr:cNvPr id="3" name="Imagem 2">
          <a:extLst>
            <a:ext uri="{FF2B5EF4-FFF2-40B4-BE49-F238E27FC236}">
              <a16:creationId xmlns:a16="http://schemas.microsoft.com/office/drawing/2014/main" xmlns=""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4139995" y="557573"/>
          <a:ext cx="829033" cy="357656"/>
        </a:xfrm>
        <a:prstGeom prst="rect">
          <a:avLst/>
        </a:prstGeom>
      </xdr:spPr>
    </xdr:pic>
    <xdr:clientData/>
  </xdr:twoCellAnchor>
  <xdr:twoCellAnchor editAs="oneCell">
    <xdr:from>
      <xdr:col>12</xdr:col>
      <xdr:colOff>313015</xdr:colOff>
      <xdr:row>0</xdr:row>
      <xdr:rowOff>0</xdr:rowOff>
    </xdr:from>
    <xdr:to>
      <xdr:col>12</xdr:col>
      <xdr:colOff>1203136</xdr:colOff>
      <xdr:row>2</xdr:row>
      <xdr:rowOff>63027</xdr:rowOff>
    </xdr:to>
    <xdr:pic>
      <xdr:nvPicPr>
        <xdr:cNvPr id="4" name="Imagem 3">
          <a:extLst>
            <a:ext uri="{FF2B5EF4-FFF2-40B4-BE49-F238E27FC236}">
              <a16:creationId xmlns:a16="http://schemas.microsoft.com/office/drawing/2014/main" xmlns="" id="{00000000-0008-0000-0D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14067115" y="0"/>
          <a:ext cx="890121" cy="472602"/>
        </a:xfrm>
        <a:prstGeom prst="rect">
          <a:avLst/>
        </a:prstGeom>
      </xdr:spPr>
    </xdr:pic>
    <xdr:clientData/>
  </xdr:twoCellAnchor>
  <xdr:twoCellAnchor editAs="oneCell">
    <xdr:from>
      <xdr:col>0</xdr:col>
      <xdr:colOff>149679</xdr:colOff>
      <xdr:row>50</xdr:row>
      <xdr:rowOff>40822</xdr:rowOff>
    </xdr:from>
    <xdr:to>
      <xdr:col>8</xdr:col>
      <xdr:colOff>911679</xdr:colOff>
      <xdr:row>79</xdr:row>
      <xdr:rowOff>103755</xdr:rowOff>
    </xdr:to>
    <xdr:pic>
      <xdr:nvPicPr>
        <xdr:cNvPr id="5" name="Imagem 4">
          <a:extLst>
            <a:ext uri="{FF2B5EF4-FFF2-40B4-BE49-F238E27FC236}">
              <a16:creationId xmlns:a16="http://schemas.microsoft.com/office/drawing/2014/main" xmlns="" id="{00000000-0008-0000-0D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xmlns="" val="0"/>
            </a:ext>
          </a:extLst>
        </a:blip>
        <a:stretch>
          <a:fillRect/>
        </a:stretch>
      </xdr:blipFill>
      <xdr:spPr>
        <a:xfrm>
          <a:off x="149679" y="15738022"/>
          <a:ext cx="9925050" cy="558743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457201</xdr:colOff>
      <xdr:row>4</xdr:row>
      <xdr:rowOff>90264</xdr:rowOff>
    </xdr:to>
    <xdr:pic>
      <xdr:nvPicPr>
        <xdr:cNvPr id="3" name="Imagem 2">
          <a:extLst>
            <a:ext uri="{FF2B5EF4-FFF2-40B4-BE49-F238E27FC236}">
              <a16:creationId xmlns:a16="http://schemas.microsoft.com/office/drawing/2014/main" xmlns="" id="{00000000-0008-0000-0E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 y="0"/>
          <a:ext cx="1295400" cy="8617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38100</xdr:colOff>
      <xdr:row>2</xdr:row>
      <xdr:rowOff>270473</xdr:rowOff>
    </xdr:from>
    <xdr:to>
      <xdr:col>2</xdr:col>
      <xdr:colOff>897575</xdr:colOff>
      <xdr:row>4</xdr:row>
      <xdr:rowOff>371474</xdr:rowOff>
    </xdr:to>
    <xdr:pic>
      <xdr:nvPicPr>
        <xdr:cNvPr id="6" name="Imagem 5">
          <a:extLst>
            <a:ext uri="{FF2B5EF4-FFF2-40B4-BE49-F238E27FC236}">
              <a16:creationId xmlns:a16="http://schemas.microsoft.com/office/drawing/2014/main" xmlns=""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647700" y="518123"/>
          <a:ext cx="1564325" cy="1034451"/>
        </a:xfrm>
        <a:prstGeom prst="rect">
          <a:avLst/>
        </a:prstGeom>
      </xdr:spPr>
    </xdr:pic>
    <xdr:clientData/>
  </xdr:twoCellAnchor>
  <xdr:twoCellAnchor editAs="oneCell">
    <xdr:from>
      <xdr:col>4</xdr:col>
      <xdr:colOff>308883</xdr:colOff>
      <xdr:row>2</xdr:row>
      <xdr:rowOff>104775</xdr:rowOff>
    </xdr:from>
    <xdr:to>
      <xdr:col>6</xdr:col>
      <xdr:colOff>419100</xdr:colOff>
      <xdr:row>3</xdr:row>
      <xdr:rowOff>136950</xdr:rowOff>
    </xdr:to>
    <xdr:pic>
      <xdr:nvPicPr>
        <xdr:cNvPr id="7" name="Imagem 6">
          <a:extLst>
            <a:ext uri="{FF2B5EF4-FFF2-40B4-BE49-F238E27FC236}">
              <a16:creationId xmlns:a16="http://schemas.microsoft.com/office/drawing/2014/main" xmlns="" id="{00000000-0008-0000-01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8300358" y="352425"/>
          <a:ext cx="1424667" cy="746550"/>
        </a:xfrm>
        <a:prstGeom prst="rect">
          <a:avLst/>
        </a:prstGeom>
      </xdr:spPr>
    </xdr:pic>
    <xdr:clientData/>
  </xdr:twoCellAnchor>
  <xdr:twoCellAnchor editAs="oneCell">
    <xdr:from>
      <xdr:col>4</xdr:col>
      <xdr:colOff>376918</xdr:colOff>
      <xdr:row>3</xdr:row>
      <xdr:rowOff>119743</xdr:rowOff>
    </xdr:from>
    <xdr:to>
      <xdr:col>6</xdr:col>
      <xdr:colOff>352426</xdr:colOff>
      <xdr:row>4</xdr:row>
      <xdr:rowOff>451942</xdr:rowOff>
    </xdr:to>
    <xdr:pic>
      <xdr:nvPicPr>
        <xdr:cNvPr id="8" name="Imagem 7">
          <a:extLst>
            <a:ext uri="{FF2B5EF4-FFF2-40B4-BE49-F238E27FC236}">
              <a16:creationId xmlns:a16="http://schemas.microsoft.com/office/drawing/2014/main" xmlns="" id="{00000000-0008-0000-01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8368393" y="1081768"/>
          <a:ext cx="1289958" cy="55127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xdr:col>
      <xdr:colOff>297979</xdr:colOff>
      <xdr:row>4</xdr:row>
      <xdr:rowOff>85726</xdr:rowOff>
    </xdr:to>
    <xdr:pic>
      <xdr:nvPicPr>
        <xdr:cNvPr id="3" name="Imagem 2">
          <a:extLst>
            <a:ext uri="{FF2B5EF4-FFF2-40B4-BE49-F238E27FC236}">
              <a16:creationId xmlns:a16="http://schemas.microsoft.com/office/drawing/2014/main" xmlns="" id="{00000000-0008-0000-0F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 y="1"/>
          <a:ext cx="1288578" cy="85725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104775</xdr:colOff>
      <xdr:row>0</xdr:row>
      <xdr:rowOff>80025</xdr:rowOff>
    </xdr:from>
    <xdr:to>
      <xdr:col>3</xdr:col>
      <xdr:colOff>219075</xdr:colOff>
      <xdr:row>4</xdr:row>
      <xdr:rowOff>92760</xdr:rowOff>
    </xdr:to>
    <xdr:pic>
      <xdr:nvPicPr>
        <xdr:cNvPr id="2" name="Imagem 1">
          <a:extLst>
            <a:ext uri="{FF2B5EF4-FFF2-40B4-BE49-F238E27FC236}">
              <a16:creationId xmlns:a16="http://schemas.microsoft.com/office/drawing/2014/main" xmlns=""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52400" y="80025"/>
          <a:ext cx="1171575" cy="774735"/>
        </a:xfrm>
        <a:prstGeom prst="rect">
          <a:avLst/>
        </a:prstGeom>
      </xdr:spPr>
    </xdr:pic>
    <xdr:clientData/>
  </xdr:twoCellAnchor>
  <xdr:twoCellAnchor editAs="oneCell">
    <xdr:from>
      <xdr:col>12</xdr:col>
      <xdr:colOff>960661</xdr:colOff>
      <xdr:row>2</xdr:row>
      <xdr:rowOff>179935</xdr:rowOff>
    </xdr:from>
    <xdr:to>
      <xdr:col>12</xdr:col>
      <xdr:colOff>1789694</xdr:colOff>
      <xdr:row>4</xdr:row>
      <xdr:rowOff>153229</xdr:rowOff>
    </xdr:to>
    <xdr:pic>
      <xdr:nvPicPr>
        <xdr:cNvPr id="3" name="Imagem 2">
          <a:extLst>
            <a:ext uri="{FF2B5EF4-FFF2-40B4-BE49-F238E27FC236}">
              <a16:creationId xmlns:a16="http://schemas.microsoft.com/office/drawing/2014/main" xmlns=""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0647586" y="560935"/>
          <a:ext cx="829033" cy="354294"/>
        </a:xfrm>
        <a:prstGeom prst="rect">
          <a:avLst/>
        </a:prstGeom>
      </xdr:spPr>
    </xdr:pic>
    <xdr:clientData/>
  </xdr:twoCellAnchor>
  <xdr:twoCellAnchor editAs="oneCell">
    <xdr:from>
      <xdr:col>12</xdr:col>
      <xdr:colOff>943810</xdr:colOff>
      <xdr:row>0</xdr:row>
      <xdr:rowOff>9525</xdr:rowOff>
    </xdr:from>
    <xdr:to>
      <xdr:col>12</xdr:col>
      <xdr:colOff>1833931</xdr:colOff>
      <xdr:row>2</xdr:row>
      <xdr:rowOff>94964</xdr:rowOff>
    </xdr:to>
    <xdr:pic>
      <xdr:nvPicPr>
        <xdr:cNvPr id="4" name="Imagem 3">
          <a:extLst>
            <a:ext uri="{FF2B5EF4-FFF2-40B4-BE49-F238E27FC236}">
              <a16:creationId xmlns:a16="http://schemas.microsoft.com/office/drawing/2014/main" xmlns="" id="{00000000-0008-0000-1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10630735" y="9525"/>
          <a:ext cx="890121" cy="466439"/>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11206</xdr:colOff>
      <xdr:row>0</xdr:row>
      <xdr:rowOff>104118</xdr:rowOff>
    </xdr:from>
    <xdr:to>
      <xdr:col>3</xdr:col>
      <xdr:colOff>129429</xdr:colOff>
      <xdr:row>4</xdr:row>
      <xdr:rowOff>116853</xdr:rowOff>
    </xdr:to>
    <xdr:pic>
      <xdr:nvPicPr>
        <xdr:cNvPr id="2" name="Imagem 1">
          <a:extLst>
            <a:ext uri="{FF2B5EF4-FFF2-40B4-BE49-F238E27FC236}">
              <a16:creationId xmlns:a16="http://schemas.microsoft.com/office/drawing/2014/main" xmlns=""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8831" y="104118"/>
          <a:ext cx="1175498" cy="774735"/>
        </a:xfrm>
        <a:prstGeom prst="rect">
          <a:avLst/>
        </a:prstGeom>
      </xdr:spPr>
    </xdr:pic>
    <xdr:clientData/>
  </xdr:twoCellAnchor>
  <xdr:twoCellAnchor editAs="oneCell">
    <xdr:from>
      <xdr:col>12</xdr:col>
      <xdr:colOff>1138275</xdr:colOff>
      <xdr:row>3</xdr:row>
      <xdr:rowOff>13528</xdr:rowOff>
    </xdr:from>
    <xdr:to>
      <xdr:col>12</xdr:col>
      <xdr:colOff>1967308</xdr:colOff>
      <xdr:row>4</xdr:row>
      <xdr:rowOff>177322</xdr:rowOff>
    </xdr:to>
    <xdr:pic>
      <xdr:nvPicPr>
        <xdr:cNvPr id="3" name="Imagem 2">
          <a:extLst>
            <a:ext uri="{FF2B5EF4-FFF2-40B4-BE49-F238E27FC236}">
              <a16:creationId xmlns:a16="http://schemas.microsoft.com/office/drawing/2014/main" xmlns=""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0539450" y="585028"/>
          <a:ext cx="829033" cy="354294"/>
        </a:xfrm>
        <a:prstGeom prst="rect">
          <a:avLst/>
        </a:prstGeom>
      </xdr:spPr>
    </xdr:pic>
    <xdr:clientData/>
  </xdr:twoCellAnchor>
  <xdr:twoCellAnchor editAs="oneCell">
    <xdr:from>
      <xdr:col>12</xdr:col>
      <xdr:colOff>1121424</xdr:colOff>
      <xdr:row>0</xdr:row>
      <xdr:rowOff>33618</xdr:rowOff>
    </xdr:from>
    <xdr:to>
      <xdr:col>12</xdr:col>
      <xdr:colOff>2005853</xdr:colOff>
      <xdr:row>2</xdr:row>
      <xdr:rowOff>119057</xdr:rowOff>
    </xdr:to>
    <xdr:pic>
      <xdr:nvPicPr>
        <xdr:cNvPr id="4" name="Imagem 3">
          <a:extLst>
            <a:ext uri="{FF2B5EF4-FFF2-40B4-BE49-F238E27FC236}">
              <a16:creationId xmlns:a16="http://schemas.microsoft.com/office/drawing/2014/main" xmlns="" id="{00000000-0008-0000-11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10522599" y="33618"/>
          <a:ext cx="884429" cy="46643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99391</xdr:colOff>
      <xdr:row>0</xdr:row>
      <xdr:rowOff>76298</xdr:rowOff>
    </xdr:from>
    <xdr:to>
      <xdr:col>1</xdr:col>
      <xdr:colOff>658053</xdr:colOff>
      <xdr:row>4</xdr:row>
      <xdr:rowOff>72468</xdr:rowOff>
    </xdr:to>
    <xdr:pic>
      <xdr:nvPicPr>
        <xdr:cNvPr id="2" name="Imagem 1">
          <a:extLst>
            <a:ext uri="{FF2B5EF4-FFF2-40B4-BE49-F238E27FC236}">
              <a16:creationId xmlns:a16="http://schemas.microsoft.com/office/drawing/2014/main" xmlns=""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99391" y="76298"/>
          <a:ext cx="1168262" cy="767695"/>
        </a:xfrm>
        <a:prstGeom prst="rect">
          <a:avLst/>
        </a:prstGeom>
      </xdr:spPr>
    </xdr:pic>
    <xdr:clientData/>
  </xdr:twoCellAnchor>
  <xdr:twoCellAnchor editAs="oneCell">
    <xdr:from>
      <xdr:col>8</xdr:col>
      <xdr:colOff>772645</xdr:colOff>
      <xdr:row>2</xdr:row>
      <xdr:rowOff>162128</xdr:rowOff>
    </xdr:from>
    <xdr:to>
      <xdr:col>8</xdr:col>
      <xdr:colOff>1601678</xdr:colOff>
      <xdr:row>4</xdr:row>
      <xdr:rowOff>151987</xdr:rowOff>
    </xdr:to>
    <xdr:pic>
      <xdr:nvPicPr>
        <xdr:cNvPr id="3" name="Imagem 2">
          <a:extLst>
            <a:ext uri="{FF2B5EF4-FFF2-40B4-BE49-F238E27FC236}">
              <a16:creationId xmlns:a16="http://schemas.microsoft.com/office/drawing/2014/main" xmlns="" id="{00000000-0008-0000-1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3840945" y="571703"/>
          <a:ext cx="829033" cy="351809"/>
        </a:xfrm>
        <a:prstGeom prst="rect">
          <a:avLst/>
        </a:prstGeom>
      </xdr:spPr>
    </xdr:pic>
    <xdr:clientData/>
  </xdr:twoCellAnchor>
  <xdr:twoCellAnchor editAs="oneCell">
    <xdr:from>
      <xdr:col>8</xdr:col>
      <xdr:colOff>755794</xdr:colOff>
      <xdr:row>0</xdr:row>
      <xdr:rowOff>24848</xdr:rowOff>
    </xdr:from>
    <xdr:to>
      <xdr:col>8</xdr:col>
      <xdr:colOff>1645915</xdr:colOff>
      <xdr:row>2</xdr:row>
      <xdr:rowOff>77157</xdr:rowOff>
    </xdr:to>
    <xdr:pic>
      <xdr:nvPicPr>
        <xdr:cNvPr id="4" name="Imagem 3">
          <a:extLst>
            <a:ext uri="{FF2B5EF4-FFF2-40B4-BE49-F238E27FC236}">
              <a16:creationId xmlns:a16="http://schemas.microsoft.com/office/drawing/2014/main" xmlns="" id="{00000000-0008-0000-12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13824094" y="24848"/>
          <a:ext cx="890121" cy="46188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171450</xdr:colOff>
      <xdr:row>0</xdr:row>
      <xdr:rowOff>108600</xdr:rowOff>
    </xdr:from>
    <xdr:to>
      <xdr:col>1</xdr:col>
      <xdr:colOff>733425</xdr:colOff>
      <xdr:row>4</xdr:row>
      <xdr:rowOff>111810</xdr:rowOff>
    </xdr:to>
    <xdr:pic>
      <xdr:nvPicPr>
        <xdr:cNvPr id="2" name="Imagem 1">
          <a:extLst>
            <a:ext uri="{FF2B5EF4-FFF2-40B4-BE49-F238E27FC236}">
              <a16:creationId xmlns:a16="http://schemas.microsoft.com/office/drawing/2014/main" xmlns=""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71450" y="108600"/>
          <a:ext cx="1171575" cy="774735"/>
        </a:xfrm>
        <a:prstGeom prst="rect">
          <a:avLst/>
        </a:prstGeom>
      </xdr:spPr>
    </xdr:pic>
    <xdr:clientData/>
  </xdr:twoCellAnchor>
  <xdr:twoCellAnchor editAs="oneCell">
    <xdr:from>
      <xdr:col>8</xdr:col>
      <xdr:colOff>732061</xdr:colOff>
      <xdr:row>2</xdr:row>
      <xdr:rowOff>170410</xdr:rowOff>
    </xdr:from>
    <xdr:to>
      <xdr:col>8</xdr:col>
      <xdr:colOff>1561094</xdr:colOff>
      <xdr:row>4</xdr:row>
      <xdr:rowOff>162754</xdr:rowOff>
    </xdr:to>
    <xdr:pic>
      <xdr:nvPicPr>
        <xdr:cNvPr id="3" name="Imagem 2">
          <a:extLst>
            <a:ext uri="{FF2B5EF4-FFF2-40B4-BE49-F238E27FC236}">
              <a16:creationId xmlns:a16="http://schemas.microsoft.com/office/drawing/2014/main" xmlns="" id="{00000000-0008-0000-1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3705111" y="579985"/>
          <a:ext cx="829033" cy="354294"/>
        </a:xfrm>
        <a:prstGeom prst="rect">
          <a:avLst/>
        </a:prstGeom>
      </xdr:spPr>
    </xdr:pic>
    <xdr:clientData/>
  </xdr:twoCellAnchor>
  <xdr:twoCellAnchor editAs="oneCell">
    <xdr:from>
      <xdr:col>8</xdr:col>
      <xdr:colOff>715210</xdr:colOff>
      <xdr:row>0</xdr:row>
      <xdr:rowOff>28575</xdr:rowOff>
    </xdr:from>
    <xdr:to>
      <xdr:col>8</xdr:col>
      <xdr:colOff>1605331</xdr:colOff>
      <xdr:row>2</xdr:row>
      <xdr:rowOff>85439</xdr:rowOff>
    </xdr:to>
    <xdr:pic>
      <xdr:nvPicPr>
        <xdr:cNvPr id="4" name="Imagem 3">
          <a:extLst>
            <a:ext uri="{FF2B5EF4-FFF2-40B4-BE49-F238E27FC236}">
              <a16:creationId xmlns:a16="http://schemas.microsoft.com/office/drawing/2014/main" xmlns="" id="{00000000-0008-0000-13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13688260" y="28575"/>
          <a:ext cx="890121" cy="466439"/>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238125</xdr:colOff>
      <xdr:row>0</xdr:row>
      <xdr:rowOff>89550</xdr:rowOff>
    </xdr:from>
    <xdr:to>
      <xdr:col>0</xdr:col>
      <xdr:colOff>1409700</xdr:colOff>
      <xdr:row>4</xdr:row>
      <xdr:rowOff>102285</xdr:rowOff>
    </xdr:to>
    <xdr:pic>
      <xdr:nvPicPr>
        <xdr:cNvPr id="2" name="Imagem 1">
          <a:extLst>
            <a:ext uri="{FF2B5EF4-FFF2-40B4-BE49-F238E27FC236}">
              <a16:creationId xmlns:a16="http://schemas.microsoft.com/office/drawing/2014/main" xmlns=""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238125" y="89550"/>
          <a:ext cx="1171575" cy="774735"/>
        </a:xfrm>
        <a:prstGeom prst="rect">
          <a:avLst/>
        </a:prstGeom>
      </xdr:spPr>
    </xdr:pic>
    <xdr:clientData/>
  </xdr:twoCellAnchor>
  <xdr:twoCellAnchor editAs="oneCell">
    <xdr:from>
      <xdr:col>12</xdr:col>
      <xdr:colOff>674911</xdr:colOff>
      <xdr:row>2</xdr:row>
      <xdr:rowOff>179935</xdr:rowOff>
    </xdr:from>
    <xdr:to>
      <xdr:col>12</xdr:col>
      <xdr:colOff>1503944</xdr:colOff>
      <xdr:row>4</xdr:row>
      <xdr:rowOff>153229</xdr:rowOff>
    </xdr:to>
    <xdr:pic>
      <xdr:nvPicPr>
        <xdr:cNvPr id="3" name="Imagem 2">
          <a:extLst>
            <a:ext uri="{FF2B5EF4-FFF2-40B4-BE49-F238E27FC236}">
              <a16:creationId xmlns:a16="http://schemas.microsoft.com/office/drawing/2014/main" xmlns="" id="{00000000-0008-0000-1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5229111" y="560935"/>
          <a:ext cx="829033" cy="354294"/>
        </a:xfrm>
        <a:prstGeom prst="rect">
          <a:avLst/>
        </a:prstGeom>
      </xdr:spPr>
    </xdr:pic>
    <xdr:clientData/>
  </xdr:twoCellAnchor>
  <xdr:twoCellAnchor editAs="oneCell">
    <xdr:from>
      <xdr:col>12</xdr:col>
      <xdr:colOff>658060</xdr:colOff>
      <xdr:row>0</xdr:row>
      <xdr:rowOff>9525</xdr:rowOff>
    </xdr:from>
    <xdr:to>
      <xdr:col>12</xdr:col>
      <xdr:colOff>1548181</xdr:colOff>
      <xdr:row>2</xdr:row>
      <xdr:rowOff>94964</xdr:rowOff>
    </xdr:to>
    <xdr:pic>
      <xdr:nvPicPr>
        <xdr:cNvPr id="4" name="Imagem 3">
          <a:extLst>
            <a:ext uri="{FF2B5EF4-FFF2-40B4-BE49-F238E27FC236}">
              <a16:creationId xmlns:a16="http://schemas.microsoft.com/office/drawing/2014/main" xmlns="" id="{00000000-0008-0000-14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15212260" y="9525"/>
          <a:ext cx="890121" cy="46643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114300</xdr:colOff>
      <xdr:row>0</xdr:row>
      <xdr:rowOff>92352</xdr:rowOff>
    </xdr:from>
    <xdr:to>
      <xdr:col>2</xdr:col>
      <xdr:colOff>276225</xdr:colOff>
      <xdr:row>4</xdr:row>
      <xdr:rowOff>95562</xdr:rowOff>
    </xdr:to>
    <xdr:pic>
      <xdr:nvPicPr>
        <xdr:cNvPr id="2" name="Imagem 1">
          <a:extLst>
            <a:ext uri="{FF2B5EF4-FFF2-40B4-BE49-F238E27FC236}">
              <a16:creationId xmlns:a16="http://schemas.microsoft.com/office/drawing/2014/main" xmlns=""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14300" y="92352"/>
          <a:ext cx="1171575" cy="774735"/>
        </a:xfrm>
        <a:prstGeom prst="rect">
          <a:avLst/>
        </a:prstGeom>
      </xdr:spPr>
    </xdr:pic>
    <xdr:clientData/>
  </xdr:twoCellAnchor>
  <xdr:twoCellAnchor editAs="oneCell">
    <xdr:from>
      <xdr:col>5</xdr:col>
      <xdr:colOff>123825</xdr:colOff>
      <xdr:row>2</xdr:row>
      <xdr:rowOff>103735</xdr:rowOff>
    </xdr:from>
    <xdr:to>
      <xdr:col>5</xdr:col>
      <xdr:colOff>952858</xdr:colOff>
      <xdr:row>4</xdr:row>
      <xdr:rowOff>96079</xdr:rowOff>
    </xdr:to>
    <xdr:pic>
      <xdr:nvPicPr>
        <xdr:cNvPr id="3" name="Imagem 2">
          <a:extLst>
            <a:ext uri="{FF2B5EF4-FFF2-40B4-BE49-F238E27FC236}">
              <a16:creationId xmlns:a16="http://schemas.microsoft.com/office/drawing/2014/main" xmlns=""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6286500" y="513310"/>
          <a:ext cx="829033" cy="354294"/>
        </a:xfrm>
        <a:prstGeom prst="rect">
          <a:avLst/>
        </a:prstGeom>
      </xdr:spPr>
    </xdr:pic>
    <xdr:clientData/>
  </xdr:twoCellAnchor>
  <xdr:twoCellAnchor editAs="oneCell">
    <xdr:from>
      <xdr:col>5</xdr:col>
      <xdr:colOff>104775</xdr:colOff>
      <xdr:row>0</xdr:row>
      <xdr:rowOff>0</xdr:rowOff>
    </xdr:from>
    <xdr:to>
      <xdr:col>5</xdr:col>
      <xdr:colOff>994896</xdr:colOff>
      <xdr:row>2</xdr:row>
      <xdr:rowOff>56864</xdr:rowOff>
    </xdr:to>
    <xdr:pic>
      <xdr:nvPicPr>
        <xdr:cNvPr id="4" name="Imagem 3">
          <a:extLst>
            <a:ext uri="{FF2B5EF4-FFF2-40B4-BE49-F238E27FC236}">
              <a16:creationId xmlns:a16="http://schemas.microsoft.com/office/drawing/2014/main" xmlns="" id="{00000000-0008-0000-15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6267450" y="0"/>
          <a:ext cx="890121" cy="466439"/>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114300</xdr:colOff>
      <xdr:row>0</xdr:row>
      <xdr:rowOff>54252</xdr:rowOff>
    </xdr:from>
    <xdr:to>
      <xdr:col>2</xdr:col>
      <xdr:colOff>276225</xdr:colOff>
      <xdr:row>4</xdr:row>
      <xdr:rowOff>57462</xdr:rowOff>
    </xdr:to>
    <xdr:pic>
      <xdr:nvPicPr>
        <xdr:cNvPr id="2" name="Imagem 1">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14300" y="54252"/>
          <a:ext cx="1171575" cy="774735"/>
        </a:xfrm>
        <a:prstGeom prst="rect">
          <a:avLst/>
        </a:prstGeom>
      </xdr:spPr>
    </xdr:pic>
    <xdr:clientData/>
  </xdr:twoCellAnchor>
  <xdr:twoCellAnchor editAs="oneCell">
    <xdr:from>
      <xdr:col>7</xdr:col>
      <xdr:colOff>74084</xdr:colOff>
      <xdr:row>2</xdr:row>
      <xdr:rowOff>171468</xdr:rowOff>
    </xdr:from>
    <xdr:to>
      <xdr:col>7</xdr:col>
      <xdr:colOff>898883</xdr:colOff>
      <xdr:row>4</xdr:row>
      <xdr:rowOff>163812</xdr:rowOff>
    </xdr:to>
    <xdr:pic>
      <xdr:nvPicPr>
        <xdr:cNvPr id="3" name="Imagem 2">
          <a:extLst>
            <a:ext uri="{FF2B5EF4-FFF2-40B4-BE49-F238E27FC236}">
              <a16:creationId xmlns:a16="http://schemas.microsoft.com/office/drawing/2014/main" xmlns="" id="{00000000-0008-0000-1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8339667" y="584218"/>
          <a:ext cx="824799" cy="352177"/>
        </a:xfrm>
        <a:prstGeom prst="rect">
          <a:avLst/>
        </a:prstGeom>
      </xdr:spPr>
    </xdr:pic>
    <xdr:clientData/>
  </xdr:twoCellAnchor>
  <xdr:twoCellAnchor editAs="oneCell">
    <xdr:from>
      <xdr:col>7</xdr:col>
      <xdr:colOff>74084</xdr:colOff>
      <xdr:row>0</xdr:row>
      <xdr:rowOff>29633</xdr:rowOff>
    </xdr:from>
    <xdr:to>
      <xdr:col>8</xdr:col>
      <xdr:colOff>49804</xdr:colOff>
      <xdr:row>2</xdr:row>
      <xdr:rowOff>86497</xdr:rowOff>
    </xdr:to>
    <xdr:pic>
      <xdr:nvPicPr>
        <xdr:cNvPr id="4" name="Imagem 3">
          <a:extLst>
            <a:ext uri="{FF2B5EF4-FFF2-40B4-BE49-F238E27FC236}">
              <a16:creationId xmlns:a16="http://schemas.microsoft.com/office/drawing/2014/main" xmlns="" id="{00000000-0008-0000-16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8339667" y="29633"/>
          <a:ext cx="885887" cy="469614"/>
        </a:xfrm>
        <a:prstGeom prst="rect">
          <a:avLst/>
        </a:prstGeom>
      </xdr:spPr>
    </xdr:pic>
    <xdr:clientData/>
  </xdr:twoCellAnchor>
  <xdr:twoCellAnchor editAs="oneCell">
    <xdr:from>
      <xdr:col>0</xdr:col>
      <xdr:colOff>95250</xdr:colOff>
      <xdr:row>66</xdr:row>
      <xdr:rowOff>123825</xdr:rowOff>
    </xdr:from>
    <xdr:to>
      <xdr:col>7</xdr:col>
      <xdr:colOff>885825</xdr:colOff>
      <xdr:row>93</xdr:row>
      <xdr:rowOff>70247</xdr:rowOff>
    </xdr:to>
    <xdr:pic>
      <xdr:nvPicPr>
        <xdr:cNvPr id="5" name="Imagem 4">
          <a:extLst>
            <a:ext uri="{FF2B5EF4-FFF2-40B4-BE49-F238E27FC236}">
              <a16:creationId xmlns:a16="http://schemas.microsoft.com/office/drawing/2014/main" xmlns="" id="{00000000-0008-0000-16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xmlns="" val="0"/>
            </a:ext>
          </a:extLst>
        </a:blip>
        <a:stretch>
          <a:fillRect/>
        </a:stretch>
      </xdr:blipFill>
      <xdr:spPr>
        <a:xfrm>
          <a:off x="95250" y="15897225"/>
          <a:ext cx="9048750" cy="5089922"/>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95250</xdr:colOff>
      <xdr:row>0</xdr:row>
      <xdr:rowOff>120927</xdr:rowOff>
    </xdr:from>
    <xdr:to>
      <xdr:col>2</xdr:col>
      <xdr:colOff>257175</xdr:colOff>
      <xdr:row>4</xdr:row>
      <xdr:rowOff>124137</xdr:rowOff>
    </xdr:to>
    <xdr:pic>
      <xdr:nvPicPr>
        <xdr:cNvPr id="2" name="Imagem 1">
          <a:extLst>
            <a:ext uri="{FF2B5EF4-FFF2-40B4-BE49-F238E27FC236}">
              <a16:creationId xmlns:a16="http://schemas.microsoft.com/office/drawing/2014/main" xmlns=""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95250" y="120927"/>
          <a:ext cx="1171575" cy="774735"/>
        </a:xfrm>
        <a:prstGeom prst="rect">
          <a:avLst/>
        </a:prstGeom>
      </xdr:spPr>
    </xdr:pic>
    <xdr:clientData/>
  </xdr:twoCellAnchor>
  <xdr:twoCellAnchor editAs="oneCell">
    <xdr:from>
      <xdr:col>7</xdr:col>
      <xdr:colOff>38100</xdr:colOff>
      <xdr:row>2</xdr:row>
      <xdr:rowOff>141835</xdr:rowOff>
    </xdr:from>
    <xdr:to>
      <xdr:col>7</xdr:col>
      <xdr:colOff>867133</xdr:colOff>
      <xdr:row>4</xdr:row>
      <xdr:rowOff>134179</xdr:rowOff>
    </xdr:to>
    <xdr:pic>
      <xdr:nvPicPr>
        <xdr:cNvPr id="3" name="Imagem 2">
          <a:extLst>
            <a:ext uri="{FF2B5EF4-FFF2-40B4-BE49-F238E27FC236}">
              <a16:creationId xmlns:a16="http://schemas.microsoft.com/office/drawing/2014/main" xmlns="" id="{00000000-0008-0000-1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8353425" y="551410"/>
          <a:ext cx="829033" cy="354294"/>
        </a:xfrm>
        <a:prstGeom prst="rect">
          <a:avLst/>
        </a:prstGeom>
      </xdr:spPr>
    </xdr:pic>
    <xdr:clientData/>
  </xdr:twoCellAnchor>
  <xdr:twoCellAnchor editAs="oneCell">
    <xdr:from>
      <xdr:col>7</xdr:col>
      <xdr:colOff>38100</xdr:colOff>
      <xdr:row>0</xdr:row>
      <xdr:rowOff>0</xdr:rowOff>
    </xdr:from>
    <xdr:to>
      <xdr:col>8</xdr:col>
      <xdr:colOff>13821</xdr:colOff>
      <xdr:row>2</xdr:row>
      <xdr:rowOff>56864</xdr:rowOff>
    </xdr:to>
    <xdr:pic>
      <xdr:nvPicPr>
        <xdr:cNvPr id="4" name="Imagem 3">
          <a:extLst>
            <a:ext uri="{FF2B5EF4-FFF2-40B4-BE49-F238E27FC236}">
              <a16:creationId xmlns:a16="http://schemas.microsoft.com/office/drawing/2014/main" xmlns="" id="{00000000-0008-0000-17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8353425" y="0"/>
          <a:ext cx="890121" cy="466439"/>
        </a:xfrm>
        <a:prstGeom prst="rect">
          <a:avLst/>
        </a:prstGeom>
      </xdr:spPr>
    </xdr:pic>
    <xdr:clientData/>
  </xdr:twoCellAnchor>
  <xdr:twoCellAnchor editAs="oneCell">
    <xdr:from>
      <xdr:col>0</xdr:col>
      <xdr:colOff>304800</xdr:colOff>
      <xdr:row>66</xdr:row>
      <xdr:rowOff>104775</xdr:rowOff>
    </xdr:from>
    <xdr:to>
      <xdr:col>14</xdr:col>
      <xdr:colOff>66675</xdr:colOff>
      <xdr:row>93</xdr:row>
      <xdr:rowOff>51197</xdr:rowOff>
    </xdr:to>
    <xdr:pic>
      <xdr:nvPicPr>
        <xdr:cNvPr id="5" name="Imagem 4">
          <a:extLst>
            <a:ext uri="{FF2B5EF4-FFF2-40B4-BE49-F238E27FC236}">
              <a16:creationId xmlns:a16="http://schemas.microsoft.com/office/drawing/2014/main" xmlns="" id="{00000000-0008-0000-17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xmlns="" val="0"/>
            </a:ext>
          </a:extLst>
        </a:blip>
        <a:stretch>
          <a:fillRect/>
        </a:stretch>
      </xdr:blipFill>
      <xdr:spPr>
        <a:xfrm>
          <a:off x="304800" y="15878175"/>
          <a:ext cx="9048750" cy="5089922"/>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114300</xdr:colOff>
      <xdr:row>0</xdr:row>
      <xdr:rowOff>92352</xdr:rowOff>
    </xdr:from>
    <xdr:to>
      <xdr:col>2</xdr:col>
      <xdr:colOff>276225</xdr:colOff>
      <xdr:row>4</xdr:row>
      <xdr:rowOff>95562</xdr:rowOff>
    </xdr:to>
    <xdr:pic>
      <xdr:nvPicPr>
        <xdr:cNvPr id="2" name="Imagem 1">
          <a:extLst>
            <a:ext uri="{FF2B5EF4-FFF2-40B4-BE49-F238E27FC236}">
              <a16:creationId xmlns:a16="http://schemas.microsoft.com/office/drawing/2014/main" xmlns="" id="{00000000-0008-0000-1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14300" y="92352"/>
          <a:ext cx="1171575" cy="774735"/>
        </a:xfrm>
        <a:prstGeom prst="rect">
          <a:avLst/>
        </a:prstGeom>
      </xdr:spPr>
    </xdr:pic>
    <xdr:clientData/>
  </xdr:twoCellAnchor>
  <xdr:twoCellAnchor editAs="oneCell">
    <xdr:from>
      <xdr:col>7</xdr:col>
      <xdr:colOff>133764</xdr:colOff>
      <xdr:row>2</xdr:row>
      <xdr:rowOff>141835</xdr:rowOff>
    </xdr:from>
    <xdr:to>
      <xdr:col>7</xdr:col>
      <xdr:colOff>962797</xdr:colOff>
      <xdr:row>4</xdr:row>
      <xdr:rowOff>134179</xdr:rowOff>
    </xdr:to>
    <xdr:pic>
      <xdr:nvPicPr>
        <xdr:cNvPr id="3" name="Imagem 2">
          <a:extLst>
            <a:ext uri="{FF2B5EF4-FFF2-40B4-BE49-F238E27FC236}">
              <a16:creationId xmlns:a16="http://schemas.microsoft.com/office/drawing/2014/main" xmlns="" id="{00000000-0008-0000-18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8391939" y="551410"/>
          <a:ext cx="829033" cy="354294"/>
        </a:xfrm>
        <a:prstGeom prst="rect">
          <a:avLst/>
        </a:prstGeom>
      </xdr:spPr>
    </xdr:pic>
    <xdr:clientData/>
  </xdr:twoCellAnchor>
  <xdr:twoCellAnchor editAs="oneCell">
    <xdr:from>
      <xdr:col>7</xdr:col>
      <xdr:colOff>116913</xdr:colOff>
      <xdr:row>0</xdr:row>
      <xdr:rowOff>0</xdr:rowOff>
    </xdr:from>
    <xdr:to>
      <xdr:col>7</xdr:col>
      <xdr:colOff>1007034</xdr:colOff>
      <xdr:row>2</xdr:row>
      <xdr:rowOff>56864</xdr:rowOff>
    </xdr:to>
    <xdr:pic>
      <xdr:nvPicPr>
        <xdr:cNvPr id="4" name="Imagem 3">
          <a:extLst>
            <a:ext uri="{FF2B5EF4-FFF2-40B4-BE49-F238E27FC236}">
              <a16:creationId xmlns:a16="http://schemas.microsoft.com/office/drawing/2014/main" xmlns="" id="{00000000-0008-0000-18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8375088" y="0"/>
          <a:ext cx="890121" cy="46643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27215</xdr:colOff>
      <xdr:row>4</xdr:row>
      <xdr:rowOff>503465</xdr:rowOff>
    </xdr:from>
    <xdr:to>
      <xdr:col>6</xdr:col>
      <xdr:colOff>1164609</xdr:colOff>
      <xdr:row>6</xdr:row>
      <xdr:rowOff>530679</xdr:rowOff>
    </xdr:to>
    <xdr:pic>
      <xdr:nvPicPr>
        <xdr:cNvPr id="2" name="Imagem 1">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911679" y="1551215"/>
          <a:ext cx="1831359" cy="1211035"/>
        </a:xfrm>
        <a:prstGeom prst="rect">
          <a:avLst/>
        </a:prstGeom>
      </xdr:spPr>
    </xdr:pic>
    <xdr:clientData/>
  </xdr:twoCellAnchor>
  <xdr:twoCellAnchor editAs="oneCell">
    <xdr:from>
      <xdr:col>9</xdr:col>
      <xdr:colOff>125666</xdr:colOff>
      <xdr:row>4</xdr:row>
      <xdr:rowOff>395408</xdr:rowOff>
    </xdr:from>
    <xdr:to>
      <xdr:col>10</xdr:col>
      <xdr:colOff>707253</xdr:colOff>
      <xdr:row>6</xdr:row>
      <xdr:rowOff>12007</xdr:rowOff>
    </xdr:to>
    <xdr:pic>
      <xdr:nvPicPr>
        <xdr:cNvPr id="5" name="Imagem 4">
          <a:extLst>
            <a:ext uri="{FF2B5EF4-FFF2-40B4-BE49-F238E27FC236}">
              <a16:creationId xmlns:a16="http://schemas.microsoft.com/office/drawing/2014/main" xmlns="" id="{00000000-0008-0000-02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0535130" y="1443158"/>
          <a:ext cx="1534087" cy="800420"/>
        </a:xfrm>
        <a:prstGeom prst="rect">
          <a:avLst/>
        </a:prstGeom>
      </xdr:spPr>
    </xdr:pic>
    <xdr:clientData/>
  </xdr:twoCellAnchor>
  <xdr:twoCellAnchor editAs="oneCell">
    <xdr:from>
      <xdr:col>9</xdr:col>
      <xdr:colOff>258535</xdr:colOff>
      <xdr:row>6</xdr:row>
      <xdr:rowOff>351543</xdr:rowOff>
    </xdr:from>
    <xdr:to>
      <xdr:col>10</xdr:col>
      <xdr:colOff>635472</xdr:colOff>
      <xdr:row>7</xdr:row>
      <xdr:rowOff>271341</xdr:rowOff>
    </xdr:to>
    <xdr:pic>
      <xdr:nvPicPr>
        <xdr:cNvPr id="6" name="Imagem 5">
          <a:extLst>
            <a:ext uri="{FF2B5EF4-FFF2-40B4-BE49-F238E27FC236}">
              <a16:creationId xmlns:a16="http://schemas.microsoft.com/office/drawing/2014/main" xmlns="" id="{00000000-0008-0000-02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10667999" y="2583114"/>
          <a:ext cx="1329437" cy="57294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114300</xdr:colOff>
      <xdr:row>0</xdr:row>
      <xdr:rowOff>101877</xdr:rowOff>
    </xdr:from>
    <xdr:to>
      <xdr:col>2</xdr:col>
      <xdr:colOff>276225</xdr:colOff>
      <xdr:row>4</xdr:row>
      <xdr:rowOff>105087</xdr:rowOff>
    </xdr:to>
    <xdr:pic>
      <xdr:nvPicPr>
        <xdr:cNvPr id="2" name="Imagem 1">
          <a:extLst>
            <a:ext uri="{FF2B5EF4-FFF2-40B4-BE49-F238E27FC236}">
              <a16:creationId xmlns:a16="http://schemas.microsoft.com/office/drawing/2014/main" xmlns="" id="{00000000-0008-0000-1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14300" y="101877"/>
          <a:ext cx="1171575" cy="774735"/>
        </a:xfrm>
        <a:prstGeom prst="rect">
          <a:avLst/>
        </a:prstGeom>
      </xdr:spPr>
    </xdr:pic>
    <xdr:clientData/>
  </xdr:twoCellAnchor>
  <xdr:twoCellAnchor editAs="oneCell">
    <xdr:from>
      <xdr:col>7</xdr:col>
      <xdr:colOff>133764</xdr:colOff>
      <xdr:row>2</xdr:row>
      <xdr:rowOff>151360</xdr:rowOff>
    </xdr:from>
    <xdr:to>
      <xdr:col>7</xdr:col>
      <xdr:colOff>962797</xdr:colOff>
      <xdr:row>4</xdr:row>
      <xdr:rowOff>143704</xdr:rowOff>
    </xdr:to>
    <xdr:pic>
      <xdr:nvPicPr>
        <xdr:cNvPr id="3" name="Imagem 2">
          <a:extLst>
            <a:ext uri="{FF2B5EF4-FFF2-40B4-BE49-F238E27FC236}">
              <a16:creationId xmlns:a16="http://schemas.microsoft.com/office/drawing/2014/main" xmlns="" id="{00000000-0008-0000-19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8372889" y="560935"/>
          <a:ext cx="829033" cy="354294"/>
        </a:xfrm>
        <a:prstGeom prst="rect">
          <a:avLst/>
        </a:prstGeom>
      </xdr:spPr>
    </xdr:pic>
    <xdr:clientData/>
  </xdr:twoCellAnchor>
  <xdr:twoCellAnchor editAs="oneCell">
    <xdr:from>
      <xdr:col>7</xdr:col>
      <xdr:colOff>116913</xdr:colOff>
      <xdr:row>0</xdr:row>
      <xdr:rowOff>9525</xdr:rowOff>
    </xdr:from>
    <xdr:to>
      <xdr:col>7</xdr:col>
      <xdr:colOff>1007034</xdr:colOff>
      <xdr:row>2</xdr:row>
      <xdr:rowOff>66389</xdr:rowOff>
    </xdr:to>
    <xdr:pic>
      <xdr:nvPicPr>
        <xdr:cNvPr id="4" name="Imagem 3">
          <a:extLst>
            <a:ext uri="{FF2B5EF4-FFF2-40B4-BE49-F238E27FC236}">
              <a16:creationId xmlns:a16="http://schemas.microsoft.com/office/drawing/2014/main" xmlns="" id="{00000000-0008-0000-19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8356038" y="9525"/>
          <a:ext cx="890121" cy="466439"/>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57150</xdr:colOff>
      <xdr:row>0</xdr:row>
      <xdr:rowOff>101877</xdr:rowOff>
    </xdr:from>
    <xdr:to>
      <xdr:col>2</xdr:col>
      <xdr:colOff>219075</xdr:colOff>
      <xdr:row>4</xdr:row>
      <xdr:rowOff>105087</xdr:rowOff>
    </xdr:to>
    <xdr:pic>
      <xdr:nvPicPr>
        <xdr:cNvPr id="2" name="Imagem 1">
          <a:extLst>
            <a:ext uri="{FF2B5EF4-FFF2-40B4-BE49-F238E27FC236}">
              <a16:creationId xmlns:a16="http://schemas.microsoft.com/office/drawing/2014/main" xmlns="" id="{00000000-0008-0000-1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7150" y="101877"/>
          <a:ext cx="1171575" cy="774735"/>
        </a:xfrm>
        <a:prstGeom prst="rect">
          <a:avLst/>
        </a:prstGeom>
      </xdr:spPr>
    </xdr:pic>
    <xdr:clientData/>
  </xdr:twoCellAnchor>
  <xdr:twoCellAnchor editAs="oneCell">
    <xdr:from>
      <xdr:col>11</xdr:col>
      <xdr:colOff>86139</xdr:colOff>
      <xdr:row>2</xdr:row>
      <xdr:rowOff>170410</xdr:rowOff>
    </xdr:from>
    <xdr:to>
      <xdr:col>11</xdr:col>
      <xdr:colOff>915172</xdr:colOff>
      <xdr:row>4</xdr:row>
      <xdr:rowOff>162754</xdr:rowOff>
    </xdr:to>
    <xdr:pic>
      <xdr:nvPicPr>
        <xdr:cNvPr id="3" name="Imagem 2">
          <a:extLst>
            <a:ext uri="{FF2B5EF4-FFF2-40B4-BE49-F238E27FC236}">
              <a16:creationId xmlns:a16="http://schemas.microsoft.com/office/drawing/2014/main" xmlns="" id="{00000000-0008-0000-1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2554364" y="579985"/>
          <a:ext cx="829033" cy="354294"/>
        </a:xfrm>
        <a:prstGeom prst="rect">
          <a:avLst/>
        </a:prstGeom>
      </xdr:spPr>
    </xdr:pic>
    <xdr:clientData/>
  </xdr:twoCellAnchor>
  <xdr:twoCellAnchor editAs="oneCell">
    <xdr:from>
      <xdr:col>11</xdr:col>
      <xdr:colOff>2613</xdr:colOff>
      <xdr:row>0</xdr:row>
      <xdr:rowOff>38100</xdr:rowOff>
    </xdr:from>
    <xdr:to>
      <xdr:col>11</xdr:col>
      <xdr:colOff>892734</xdr:colOff>
      <xdr:row>2</xdr:row>
      <xdr:rowOff>94964</xdr:rowOff>
    </xdr:to>
    <xdr:pic>
      <xdr:nvPicPr>
        <xdr:cNvPr id="4" name="Imagem 3">
          <a:extLst>
            <a:ext uri="{FF2B5EF4-FFF2-40B4-BE49-F238E27FC236}">
              <a16:creationId xmlns:a16="http://schemas.microsoft.com/office/drawing/2014/main" xmlns="" id="{00000000-0008-0000-1A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12470838" y="38100"/>
          <a:ext cx="890121" cy="466439"/>
        </a:xfrm>
        <a:prstGeom prst="rect">
          <a:avLst/>
        </a:prstGeom>
      </xdr:spPr>
    </xdr:pic>
    <xdr:clientData/>
  </xdr:twoCellAnchor>
  <xdr:twoCellAnchor editAs="oneCell">
    <xdr:from>
      <xdr:col>0</xdr:col>
      <xdr:colOff>57150</xdr:colOff>
      <xdr:row>72</xdr:row>
      <xdr:rowOff>85725</xdr:rowOff>
    </xdr:from>
    <xdr:to>
      <xdr:col>7</xdr:col>
      <xdr:colOff>981075</xdr:colOff>
      <xdr:row>99</xdr:row>
      <xdr:rowOff>117872</xdr:rowOff>
    </xdr:to>
    <xdr:pic>
      <xdr:nvPicPr>
        <xdr:cNvPr id="5" name="Imagem 4">
          <a:extLst>
            <a:ext uri="{FF2B5EF4-FFF2-40B4-BE49-F238E27FC236}">
              <a16:creationId xmlns:a16="http://schemas.microsoft.com/office/drawing/2014/main" xmlns="" id="{00000000-0008-0000-1A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xmlns="" val="0"/>
            </a:ext>
          </a:extLst>
        </a:blip>
        <a:stretch>
          <a:fillRect/>
        </a:stretch>
      </xdr:blipFill>
      <xdr:spPr>
        <a:xfrm>
          <a:off x="57150" y="16859250"/>
          <a:ext cx="9201150" cy="5175647"/>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134470</xdr:colOff>
      <xdr:row>0</xdr:row>
      <xdr:rowOff>73302</xdr:rowOff>
    </xdr:from>
    <xdr:to>
      <xdr:col>2</xdr:col>
      <xdr:colOff>297516</xdr:colOff>
      <xdr:row>4</xdr:row>
      <xdr:rowOff>86037</xdr:rowOff>
    </xdr:to>
    <xdr:pic>
      <xdr:nvPicPr>
        <xdr:cNvPr id="2" name="Imagem 1">
          <a:extLst>
            <a:ext uri="{FF2B5EF4-FFF2-40B4-BE49-F238E27FC236}">
              <a16:creationId xmlns:a16="http://schemas.microsoft.com/office/drawing/2014/main" xmlns="" id="{00000000-0008-0000-1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34470" y="73302"/>
          <a:ext cx="1172696" cy="784260"/>
        </a:xfrm>
        <a:prstGeom prst="rect">
          <a:avLst/>
        </a:prstGeom>
      </xdr:spPr>
    </xdr:pic>
    <xdr:clientData/>
  </xdr:twoCellAnchor>
  <xdr:twoCellAnchor editAs="oneCell">
    <xdr:from>
      <xdr:col>12</xdr:col>
      <xdr:colOff>385895</xdr:colOff>
      <xdr:row>2</xdr:row>
      <xdr:rowOff>147998</xdr:rowOff>
    </xdr:from>
    <xdr:to>
      <xdr:col>12</xdr:col>
      <xdr:colOff>1214928</xdr:colOff>
      <xdr:row>4</xdr:row>
      <xdr:rowOff>143704</xdr:rowOff>
    </xdr:to>
    <xdr:pic>
      <xdr:nvPicPr>
        <xdr:cNvPr id="3" name="Imagem 2">
          <a:extLst>
            <a:ext uri="{FF2B5EF4-FFF2-40B4-BE49-F238E27FC236}">
              <a16:creationId xmlns:a16="http://schemas.microsoft.com/office/drawing/2014/main" xmlns="" id="{00000000-0008-0000-1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4139995" y="557573"/>
          <a:ext cx="829033" cy="357656"/>
        </a:xfrm>
        <a:prstGeom prst="rect">
          <a:avLst/>
        </a:prstGeom>
      </xdr:spPr>
    </xdr:pic>
    <xdr:clientData/>
  </xdr:twoCellAnchor>
  <xdr:twoCellAnchor editAs="oneCell">
    <xdr:from>
      <xdr:col>12</xdr:col>
      <xdr:colOff>313015</xdr:colOff>
      <xdr:row>0</xdr:row>
      <xdr:rowOff>0</xdr:rowOff>
    </xdr:from>
    <xdr:to>
      <xdr:col>12</xdr:col>
      <xdr:colOff>1203136</xdr:colOff>
      <xdr:row>2</xdr:row>
      <xdr:rowOff>63027</xdr:rowOff>
    </xdr:to>
    <xdr:pic>
      <xdr:nvPicPr>
        <xdr:cNvPr id="4" name="Imagem 3">
          <a:extLst>
            <a:ext uri="{FF2B5EF4-FFF2-40B4-BE49-F238E27FC236}">
              <a16:creationId xmlns:a16="http://schemas.microsoft.com/office/drawing/2014/main" xmlns="" id="{00000000-0008-0000-1B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14067115" y="0"/>
          <a:ext cx="890121" cy="472602"/>
        </a:xfrm>
        <a:prstGeom prst="rect">
          <a:avLst/>
        </a:prstGeom>
      </xdr:spPr>
    </xdr:pic>
    <xdr:clientData/>
  </xdr:twoCellAnchor>
  <xdr:twoCellAnchor editAs="oneCell">
    <xdr:from>
      <xdr:col>0</xdr:col>
      <xdr:colOff>149679</xdr:colOff>
      <xdr:row>124</xdr:row>
      <xdr:rowOff>40822</xdr:rowOff>
    </xdr:from>
    <xdr:to>
      <xdr:col>8</xdr:col>
      <xdr:colOff>911679</xdr:colOff>
      <xdr:row>153</xdr:row>
      <xdr:rowOff>103755</xdr:rowOff>
    </xdr:to>
    <xdr:pic>
      <xdr:nvPicPr>
        <xdr:cNvPr id="5" name="Imagem 4">
          <a:extLst>
            <a:ext uri="{FF2B5EF4-FFF2-40B4-BE49-F238E27FC236}">
              <a16:creationId xmlns:a16="http://schemas.microsoft.com/office/drawing/2014/main" xmlns="" id="{00000000-0008-0000-1B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xmlns="" val="0"/>
            </a:ext>
          </a:extLst>
        </a:blip>
        <a:stretch>
          <a:fillRect/>
        </a:stretch>
      </xdr:blipFill>
      <xdr:spPr>
        <a:xfrm>
          <a:off x="149679" y="41112622"/>
          <a:ext cx="9925050" cy="5587433"/>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3</xdr:col>
      <xdr:colOff>116315</xdr:colOff>
      <xdr:row>34</xdr:row>
      <xdr:rowOff>118783</xdr:rowOff>
    </xdr:from>
    <xdr:to>
      <xdr:col>6</xdr:col>
      <xdr:colOff>786090</xdr:colOff>
      <xdr:row>37</xdr:row>
      <xdr:rowOff>52879</xdr:rowOff>
    </xdr:to>
    <xdr:sp macro="" textlink="">
      <xdr:nvSpPr>
        <xdr:cNvPr id="2" name="Retângulo de cantos arredondados 1">
          <a:extLst>
            <a:ext uri="{FF2B5EF4-FFF2-40B4-BE49-F238E27FC236}">
              <a16:creationId xmlns:a16="http://schemas.microsoft.com/office/drawing/2014/main" xmlns="" id="{00000000-0008-0000-2200-000002000000}"/>
            </a:ext>
          </a:extLst>
        </xdr:cNvPr>
        <xdr:cNvSpPr/>
      </xdr:nvSpPr>
      <xdr:spPr>
        <a:xfrm>
          <a:off x="3343609" y="8489577"/>
          <a:ext cx="9331922" cy="44956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xdr:twoCellAnchor editAs="oneCell">
    <xdr:from>
      <xdr:col>2</xdr:col>
      <xdr:colOff>33618</xdr:colOff>
      <xdr:row>4</xdr:row>
      <xdr:rowOff>180585</xdr:rowOff>
    </xdr:from>
    <xdr:to>
      <xdr:col>3</xdr:col>
      <xdr:colOff>746296</xdr:colOff>
      <xdr:row>5</xdr:row>
      <xdr:rowOff>453036</xdr:rowOff>
    </xdr:to>
    <xdr:pic>
      <xdr:nvPicPr>
        <xdr:cNvPr id="4" name="Imagem 3">
          <a:extLst>
            <a:ext uri="{FF2B5EF4-FFF2-40B4-BE49-F238E27FC236}">
              <a16:creationId xmlns:a16="http://schemas.microsoft.com/office/drawing/2014/main" xmlns="" id="{00000000-0008-0000-2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333500" y="1289967"/>
          <a:ext cx="1564325" cy="1034451"/>
        </a:xfrm>
        <a:prstGeom prst="rect">
          <a:avLst/>
        </a:prstGeom>
      </xdr:spPr>
    </xdr:pic>
    <xdr:clientData/>
  </xdr:twoCellAnchor>
  <xdr:twoCellAnchor editAs="oneCell">
    <xdr:from>
      <xdr:col>5</xdr:col>
      <xdr:colOff>291353</xdr:colOff>
      <xdr:row>4</xdr:row>
      <xdr:rowOff>0</xdr:rowOff>
    </xdr:from>
    <xdr:to>
      <xdr:col>5</xdr:col>
      <xdr:colOff>1831043</xdr:colOff>
      <xdr:row>5</xdr:row>
      <xdr:rowOff>44824</xdr:rowOff>
    </xdr:to>
    <xdr:pic>
      <xdr:nvPicPr>
        <xdr:cNvPr id="9" name="Imagem 8">
          <a:extLst>
            <a:ext uri="{FF2B5EF4-FFF2-40B4-BE49-F238E27FC236}">
              <a16:creationId xmlns:a16="http://schemas.microsoft.com/office/drawing/2014/main" xmlns="" id="{00000000-0008-0000-2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8348382" y="1109382"/>
          <a:ext cx="1539690" cy="806824"/>
        </a:xfrm>
        <a:prstGeom prst="rect">
          <a:avLst/>
        </a:prstGeom>
      </xdr:spPr>
    </xdr:pic>
    <xdr:clientData/>
  </xdr:twoCellAnchor>
  <xdr:twoCellAnchor editAs="oneCell">
    <xdr:from>
      <xdr:col>5</xdr:col>
      <xdr:colOff>437829</xdr:colOff>
      <xdr:row>5</xdr:row>
      <xdr:rowOff>180253</xdr:rowOff>
    </xdr:from>
    <xdr:to>
      <xdr:col>5</xdr:col>
      <xdr:colOff>1772869</xdr:colOff>
      <xdr:row>5</xdr:row>
      <xdr:rowOff>750793</xdr:rowOff>
    </xdr:to>
    <xdr:pic>
      <xdr:nvPicPr>
        <xdr:cNvPr id="10" name="Imagem 9">
          <a:extLst>
            <a:ext uri="{FF2B5EF4-FFF2-40B4-BE49-F238E27FC236}">
              <a16:creationId xmlns:a16="http://schemas.microsoft.com/office/drawing/2014/main" xmlns="" id="{00000000-0008-0000-2200-00000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8494858" y="2051635"/>
          <a:ext cx="1335040" cy="57054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xdr:from>
      <xdr:col>5</xdr:col>
      <xdr:colOff>116315</xdr:colOff>
      <xdr:row>35</xdr:row>
      <xdr:rowOff>118783</xdr:rowOff>
    </xdr:from>
    <xdr:to>
      <xdr:col>8</xdr:col>
      <xdr:colOff>786090</xdr:colOff>
      <xdr:row>38</xdr:row>
      <xdr:rowOff>52879</xdr:rowOff>
    </xdr:to>
    <xdr:sp macro="" textlink="">
      <xdr:nvSpPr>
        <xdr:cNvPr id="2" name="Retângulo de cantos arredondados 1">
          <a:extLst>
            <a:ext uri="{FF2B5EF4-FFF2-40B4-BE49-F238E27FC236}">
              <a16:creationId xmlns:a16="http://schemas.microsoft.com/office/drawing/2014/main" xmlns="" id="{00000000-0008-0000-2300-000002000000}"/>
            </a:ext>
          </a:extLst>
        </xdr:cNvPr>
        <xdr:cNvSpPr/>
      </xdr:nvSpPr>
      <xdr:spPr>
        <a:xfrm>
          <a:off x="3364340" y="8834158"/>
          <a:ext cx="9347050" cy="457971"/>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xdr:oneCellAnchor>
    <xdr:from>
      <xdr:col>6</xdr:col>
      <xdr:colOff>2879912</xdr:colOff>
      <xdr:row>42</xdr:row>
      <xdr:rowOff>134470</xdr:rowOff>
    </xdr:from>
    <xdr:ext cx="5939118" cy="264560"/>
    <xdr:sp macro="" textlink="">
      <xdr:nvSpPr>
        <xdr:cNvPr id="5" name="CaixaDeTexto 4">
          <a:extLst>
            <a:ext uri="{FF2B5EF4-FFF2-40B4-BE49-F238E27FC236}">
              <a16:creationId xmlns:a16="http://schemas.microsoft.com/office/drawing/2014/main" xmlns="" id="{00000000-0008-0000-2300-000005000000}"/>
            </a:ext>
          </a:extLst>
        </xdr:cNvPr>
        <xdr:cNvSpPr txBox="1"/>
      </xdr:nvSpPr>
      <xdr:spPr>
        <a:xfrm>
          <a:off x="7051862" y="11364445"/>
          <a:ext cx="593911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pt-BR" sz="1100"/>
            <a:t>BDI=              (1+AC+S+R+G)*(1+DF)*(1+L)</a:t>
          </a:r>
        </a:p>
      </xdr:txBody>
    </xdr:sp>
    <xdr:clientData/>
  </xdr:oneCellAnchor>
  <xdr:twoCellAnchor editAs="oneCell">
    <xdr:from>
      <xdr:col>4</xdr:col>
      <xdr:colOff>56029</xdr:colOff>
      <xdr:row>4</xdr:row>
      <xdr:rowOff>180586</xdr:rowOff>
    </xdr:from>
    <xdr:to>
      <xdr:col>5</xdr:col>
      <xdr:colOff>768707</xdr:colOff>
      <xdr:row>5</xdr:row>
      <xdr:rowOff>453037</xdr:rowOff>
    </xdr:to>
    <xdr:pic>
      <xdr:nvPicPr>
        <xdr:cNvPr id="7" name="Imagem 6">
          <a:extLst>
            <a:ext uri="{FF2B5EF4-FFF2-40B4-BE49-F238E27FC236}">
              <a16:creationId xmlns:a16="http://schemas.microsoft.com/office/drawing/2014/main" xmlns="" id="{00000000-0008-0000-23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2476500" y="1289968"/>
          <a:ext cx="1564325" cy="1034451"/>
        </a:xfrm>
        <a:prstGeom prst="rect">
          <a:avLst/>
        </a:prstGeom>
      </xdr:spPr>
    </xdr:pic>
    <xdr:clientData/>
  </xdr:twoCellAnchor>
  <xdr:twoCellAnchor editAs="oneCell">
    <xdr:from>
      <xdr:col>7</xdr:col>
      <xdr:colOff>246529</xdr:colOff>
      <xdr:row>4</xdr:row>
      <xdr:rowOff>0</xdr:rowOff>
    </xdr:from>
    <xdr:to>
      <xdr:col>7</xdr:col>
      <xdr:colOff>1786219</xdr:colOff>
      <xdr:row>5</xdr:row>
      <xdr:rowOff>44824</xdr:rowOff>
    </xdr:to>
    <xdr:pic>
      <xdr:nvPicPr>
        <xdr:cNvPr id="10" name="Imagem 9">
          <a:extLst>
            <a:ext uri="{FF2B5EF4-FFF2-40B4-BE49-F238E27FC236}">
              <a16:creationId xmlns:a16="http://schemas.microsoft.com/office/drawing/2014/main" xmlns="" id="{00000000-0008-0000-23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9424147" y="1109382"/>
          <a:ext cx="1539690" cy="806824"/>
        </a:xfrm>
        <a:prstGeom prst="rect">
          <a:avLst/>
        </a:prstGeom>
      </xdr:spPr>
    </xdr:pic>
    <xdr:clientData/>
  </xdr:twoCellAnchor>
  <xdr:twoCellAnchor editAs="oneCell">
    <xdr:from>
      <xdr:col>7</xdr:col>
      <xdr:colOff>393005</xdr:colOff>
      <xdr:row>5</xdr:row>
      <xdr:rowOff>180253</xdr:rowOff>
    </xdr:from>
    <xdr:to>
      <xdr:col>7</xdr:col>
      <xdr:colOff>1728045</xdr:colOff>
      <xdr:row>5</xdr:row>
      <xdr:rowOff>750793</xdr:rowOff>
    </xdr:to>
    <xdr:pic>
      <xdr:nvPicPr>
        <xdr:cNvPr id="11" name="Imagem 10">
          <a:extLst>
            <a:ext uri="{FF2B5EF4-FFF2-40B4-BE49-F238E27FC236}">
              <a16:creationId xmlns:a16="http://schemas.microsoft.com/office/drawing/2014/main" xmlns="" id="{00000000-0008-0000-23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9570623" y="2051635"/>
          <a:ext cx="1335040" cy="57054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2</xdr:col>
      <xdr:colOff>123264</xdr:colOff>
      <xdr:row>2</xdr:row>
      <xdr:rowOff>225411</xdr:rowOff>
    </xdr:from>
    <xdr:to>
      <xdr:col>2</xdr:col>
      <xdr:colOff>1687589</xdr:colOff>
      <xdr:row>3</xdr:row>
      <xdr:rowOff>497862</xdr:rowOff>
    </xdr:to>
    <xdr:pic>
      <xdr:nvPicPr>
        <xdr:cNvPr id="3" name="Imagem 2">
          <a:extLst>
            <a:ext uri="{FF2B5EF4-FFF2-40B4-BE49-F238E27FC236}">
              <a16:creationId xmlns:a16="http://schemas.microsoft.com/office/drawing/2014/main" xmlns="" id="{00000000-0008-0000-2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2353235" y="516764"/>
          <a:ext cx="1564325" cy="1034451"/>
        </a:xfrm>
        <a:prstGeom prst="rect">
          <a:avLst/>
        </a:prstGeom>
      </xdr:spPr>
    </xdr:pic>
    <xdr:clientData/>
  </xdr:twoCellAnchor>
  <xdr:twoCellAnchor editAs="oneCell">
    <xdr:from>
      <xdr:col>4</xdr:col>
      <xdr:colOff>291353</xdr:colOff>
      <xdr:row>2</xdr:row>
      <xdr:rowOff>0</xdr:rowOff>
    </xdr:from>
    <xdr:to>
      <xdr:col>5</xdr:col>
      <xdr:colOff>777690</xdr:colOff>
      <xdr:row>3</xdr:row>
      <xdr:rowOff>44824</xdr:rowOff>
    </xdr:to>
    <xdr:pic>
      <xdr:nvPicPr>
        <xdr:cNvPr id="7" name="Imagem 6">
          <a:extLst>
            <a:ext uri="{FF2B5EF4-FFF2-40B4-BE49-F238E27FC236}">
              <a16:creationId xmlns:a16="http://schemas.microsoft.com/office/drawing/2014/main" xmlns="" id="{00000000-0008-0000-24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9065559" y="291353"/>
          <a:ext cx="1539690" cy="806824"/>
        </a:xfrm>
        <a:prstGeom prst="rect">
          <a:avLst/>
        </a:prstGeom>
      </xdr:spPr>
    </xdr:pic>
    <xdr:clientData/>
  </xdr:twoCellAnchor>
  <xdr:twoCellAnchor editAs="oneCell">
    <xdr:from>
      <xdr:col>4</xdr:col>
      <xdr:colOff>437829</xdr:colOff>
      <xdr:row>3</xdr:row>
      <xdr:rowOff>180253</xdr:rowOff>
    </xdr:from>
    <xdr:to>
      <xdr:col>5</xdr:col>
      <xdr:colOff>719516</xdr:colOff>
      <xdr:row>3</xdr:row>
      <xdr:rowOff>750793</xdr:rowOff>
    </xdr:to>
    <xdr:pic>
      <xdr:nvPicPr>
        <xdr:cNvPr id="8" name="Imagem 7">
          <a:extLst>
            <a:ext uri="{FF2B5EF4-FFF2-40B4-BE49-F238E27FC236}">
              <a16:creationId xmlns:a16="http://schemas.microsoft.com/office/drawing/2014/main" xmlns="" id="{00000000-0008-0000-24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9212035" y="1233606"/>
          <a:ext cx="1335040" cy="5705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133350</xdr:colOff>
      <xdr:row>2</xdr:row>
      <xdr:rowOff>114300</xdr:rowOff>
    </xdr:from>
    <xdr:to>
      <xdr:col>1</xdr:col>
      <xdr:colOff>1466850</xdr:colOff>
      <xdr:row>6</xdr:row>
      <xdr:rowOff>119543</xdr:rowOff>
    </xdr:to>
    <xdr:pic>
      <xdr:nvPicPr>
        <xdr:cNvPr id="5" name="Imagem 4">
          <a:extLst>
            <a:ext uri="{FF2B5EF4-FFF2-40B4-BE49-F238E27FC236}">
              <a16:creationId xmlns:a16="http://schemas.microsoft.com/office/drawing/2014/main" xmlns="" id="{00000000-0008-0000-03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742950" y="514350"/>
          <a:ext cx="1333500" cy="957743"/>
        </a:xfrm>
        <a:prstGeom prst="rect">
          <a:avLst/>
        </a:prstGeom>
      </xdr:spPr>
    </xdr:pic>
    <xdr:clientData/>
  </xdr:twoCellAnchor>
  <xdr:twoCellAnchor editAs="oneCell">
    <xdr:from>
      <xdr:col>4</xdr:col>
      <xdr:colOff>66675</xdr:colOff>
      <xdr:row>2</xdr:row>
      <xdr:rowOff>28269</xdr:rowOff>
    </xdr:from>
    <xdr:to>
      <xdr:col>5</xdr:col>
      <xdr:colOff>354806</xdr:colOff>
      <xdr:row>4</xdr:row>
      <xdr:rowOff>170936</xdr:rowOff>
    </xdr:to>
    <xdr:pic>
      <xdr:nvPicPr>
        <xdr:cNvPr id="6" name="Imagem 5">
          <a:extLst>
            <a:ext uri="{FF2B5EF4-FFF2-40B4-BE49-F238E27FC236}">
              <a16:creationId xmlns:a16="http://schemas.microsoft.com/office/drawing/2014/main" xmlns="" id="{00000000-0008-0000-03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7981950" y="428319"/>
          <a:ext cx="1181100" cy="618917"/>
        </a:xfrm>
        <a:prstGeom prst="rect">
          <a:avLst/>
        </a:prstGeom>
      </xdr:spPr>
    </xdr:pic>
    <xdr:clientData/>
  </xdr:twoCellAnchor>
  <xdr:twoCellAnchor editAs="oneCell">
    <xdr:from>
      <xdr:col>4</xdr:col>
      <xdr:colOff>213151</xdr:colOff>
      <xdr:row>4</xdr:row>
      <xdr:rowOff>224600</xdr:rowOff>
    </xdr:from>
    <xdr:to>
      <xdr:col>5</xdr:col>
      <xdr:colOff>354806</xdr:colOff>
      <xdr:row>6</xdr:row>
      <xdr:rowOff>190504</xdr:rowOff>
    </xdr:to>
    <xdr:pic>
      <xdr:nvPicPr>
        <xdr:cNvPr id="7" name="Imagem 6">
          <a:extLst>
            <a:ext uri="{FF2B5EF4-FFF2-40B4-BE49-F238E27FC236}">
              <a16:creationId xmlns:a16="http://schemas.microsoft.com/office/drawing/2014/main" xmlns="" id="{00000000-0008-0000-03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8128426" y="1100900"/>
          <a:ext cx="1034624" cy="4421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381000</xdr:colOff>
      <xdr:row>2</xdr:row>
      <xdr:rowOff>81644</xdr:rowOff>
    </xdr:from>
    <xdr:to>
      <xdr:col>3</xdr:col>
      <xdr:colOff>2163536</xdr:colOff>
      <xdr:row>6</xdr:row>
      <xdr:rowOff>301676</xdr:rowOff>
    </xdr:to>
    <xdr:pic>
      <xdr:nvPicPr>
        <xdr:cNvPr id="6" name="Imagem 5">
          <a:extLst>
            <a:ext uri="{FF2B5EF4-FFF2-40B4-BE49-F238E27FC236}">
              <a16:creationId xmlns:a16="http://schemas.microsoft.com/office/drawing/2014/main" xmlns="" id="{00000000-0008-0000-04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246909" y="324099"/>
          <a:ext cx="2509900" cy="1795986"/>
        </a:xfrm>
        <a:prstGeom prst="rect">
          <a:avLst/>
        </a:prstGeom>
      </xdr:spPr>
    </xdr:pic>
    <xdr:clientData/>
  </xdr:twoCellAnchor>
  <xdr:twoCellAnchor editAs="oneCell">
    <xdr:from>
      <xdr:col>16</xdr:col>
      <xdr:colOff>0</xdr:colOff>
      <xdr:row>2</xdr:row>
      <xdr:rowOff>69272</xdr:rowOff>
    </xdr:from>
    <xdr:to>
      <xdr:col>18</xdr:col>
      <xdr:colOff>173</xdr:colOff>
      <xdr:row>4</xdr:row>
      <xdr:rowOff>327007</xdr:rowOff>
    </xdr:to>
    <xdr:pic>
      <xdr:nvPicPr>
        <xdr:cNvPr id="7" name="Imagem 6">
          <a:extLst>
            <a:ext uri="{FF2B5EF4-FFF2-40B4-BE49-F238E27FC236}">
              <a16:creationId xmlns:a16="http://schemas.microsoft.com/office/drawing/2014/main" xmlns="" id="{00000000-0008-0000-04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27466636" y="311727"/>
          <a:ext cx="1945995" cy="1019735"/>
        </a:xfrm>
        <a:prstGeom prst="rect">
          <a:avLst/>
        </a:prstGeom>
      </xdr:spPr>
    </xdr:pic>
    <xdr:clientData/>
  </xdr:twoCellAnchor>
  <xdr:twoCellAnchor editAs="oneCell">
    <xdr:from>
      <xdr:col>16</xdr:col>
      <xdr:colOff>0</xdr:colOff>
      <xdr:row>5</xdr:row>
      <xdr:rowOff>36614</xdr:rowOff>
    </xdr:from>
    <xdr:to>
      <xdr:col>17</xdr:col>
      <xdr:colOff>503520</xdr:colOff>
      <xdr:row>6</xdr:row>
      <xdr:rowOff>324759</xdr:rowOff>
    </xdr:to>
    <xdr:pic>
      <xdr:nvPicPr>
        <xdr:cNvPr id="8" name="Imagem 7">
          <a:extLst>
            <a:ext uri="{FF2B5EF4-FFF2-40B4-BE49-F238E27FC236}">
              <a16:creationId xmlns:a16="http://schemas.microsoft.com/office/drawing/2014/main" xmlns="" id="{00000000-0008-0000-04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27646731" y="1422069"/>
          <a:ext cx="1687342" cy="72109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1836965</xdr:colOff>
      <xdr:row>2</xdr:row>
      <xdr:rowOff>326572</xdr:rowOff>
    </xdr:from>
    <xdr:to>
      <xdr:col>2</xdr:col>
      <xdr:colOff>95251</xdr:colOff>
      <xdr:row>3</xdr:row>
      <xdr:rowOff>481509</xdr:rowOff>
    </xdr:to>
    <xdr:pic>
      <xdr:nvPicPr>
        <xdr:cNvPr id="2" name="Imagem 1">
          <a:extLst>
            <a:ext uri="{FF2B5EF4-FFF2-40B4-BE49-F238E27FC236}">
              <a16:creationId xmlns:a16="http://schemas.microsoft.com/office/drawing/2014/main" xmlns=""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836965" y="726622"/>
          <a:ext cx="1668236" cy="110743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33618</xdr:colOff>
      <xdr:row>2</xdr:row>
      <xdr:rowOff>254225</xdr:rowOff>
    </xdr:from>
    <xdr:to>
      <xdr:col>1</xdr:col>
      <xdr:colOff>1597943</xdr:colOff>
      <xdr:row>3</xdr:row>
      <xdr:rowOff>526676</xdr:rowOff>
    </xdr:to>
    <xdr:pic>
      <xdr:nvPicPr>
        <xdr:cNvPr id="3" name="Imagem 2">
          <a:extLst>
            <a:ext uri="{FF2B5EF4-FFF2-40B4-BE49-F238E27FC236}">
              <a16:creationId xmlns:a16="http://schemas.microsoft.com/office/drawing/2014/main" xmlns=""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905000" y="500754"/>
          <a:ext cx="1564325" cy="1034451"/>
        </a:xfrm>
        <a:prstGeom prst="rect">
          <a:avLst/>
        </a:prstGeom>
      </xdr:spPr>
    </xdr:pic>
    <xdr:clientData/>
  </xdr:twoCellAnchor>
  <xdr:twoCellAnchor editAs="oneCell">
    <xdr:from>
      <xdr:col>3</xdr:col>
      <xdr:colOff>523875</xdr:colOff>
      <xdr:row>1</xdr:row>
      <xdr:rowOff>66675</xdr:rowOff>
    </xdr:from>
    <xdr:to>
      <xdr:col>4</xdr:col>
      <xdr:colOff>1015815</xdr:colOff>
      <xdr:row>3</xdr:row>
      <xdr:rowOff>35299</xdr:rowOff>
    </xdr:to>
    <xdr:pic>
      <xdr:nvPicPr>
        <xdr:cNvPr id="5" name="Imagem 4">
          <a:extLst>
            <a:ext uri="{FF2B5EF4-FFF2-40B4-BE49-F238E27FC236}">
              <a16:creationId xmlns:a16="http://schemas.microsoft.com/office/drawing/2014/main" xmlns="" id="{00000000-0008-0000-06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9096375" y="238125"/>
          <a:ext cx="1539690" cy="806824"/>
        </a:xfrm>
        <a:prstGeom prst="rect">
          <a:avLst/>
        </a:prstGeom>
      </xdr:spPr>
    </xdr:pic>
    <xdr:clientData/>
  </xdr:twoCellAnchor>
  <xdr:twoCellAnchor editAs="oneCell">
    <xdr:from>
      <xdr:col>3</xdr:col>
      <xdr:colOff>670351</xdr:colOff>
      <xdr:row>3</xdr:row>
      <xdr:rowOff>170728</xdr:rowOff>
    </xdr:from>
    <xdr:to>
      <xdr:col>4</xdr:col>
      <xdr:colOff>957641</xdr:colOff>
      <xdr:row>3</xdr:row>
      <xdr:rowOff>741268</xdr:rowOff>
    </xdr:to>
    <xdr:pic>
      <xdr:nvPicPr>
        <xdr:cNvPr id="7" name="Imagem 6">
          <a:extLst>
            <a:ext uri="{FF2B5EF4-FFF2-40B4-BE49-F238E27FC236}">
              <a16:creationId xmlns:a16="http://schemas.microsoft.com/office/drawing/2014/main" xmlns="" id="{00000000-0008-0000-06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9242851" y="1180378"/>
          <a:ext cx="1335040" cy="57054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44823</xdr:colOff>
      <xdr:row>2</xdr:row>
      <xdr:rowOff>236614</xdr:rowOff>
    </xdr:from>
    <xdr:to>
      <xdr:col>1</xdr:col>
      <xdr:colOff>1609148</xdr:colOff>
      <xdr:row>3</xdr:row>
      <xdr:rowOff>509065</xdr:rowOff>
    </xdr:to>
    <xdr:pic>
      <xdr:nvPicPr>
        <xdr:cNvPr id="3" name="Imagem 2">
          <a:extLst>
            <a:ext uri="{FF2B5EF4-FFF2-40B4-BE49-F238E27FC236}">
              <a16:creationId xmlns:a16="http://schemas.microsoft.com/office/drawing/2014/main" xmlns="" id="{00000000-0008-0000-1C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210235" y="483143"/>
          <a:ext cx="1564325" cy="1034451"/>
        </a:xfrm>
        <a:prstGeom prst="rect">
          <a:avLst/>
        </a:prstGeom>
      </xdr:spPr>
    </xdr:pic>
    <xdr:clientData/>
  </xdr:twoCellAnchor>
  <xdr:twoCellAnchor editAs="oneCell">
    <xdr:from>
      <xdr:col>3</xdr:col>
      <xdr:colOff>504265</xdr:colOff>
      <xdr:row>2</xdr:row>
      <xdr:rowOff>11206</xdr:rowOff>
    </xdr:from>
    <xdr:to>
      <xdr:col>4</xdr:col>
      <xdr:colOff>990602</xdr:colOff>
      <xdr:row>3</xdr:row>
      <xdr:rowOff>56030</xdr:rowOff>
    </xdr:to>
    <xdr:pic>
      <xdr:nvPicPr>
        <xdr:cNvPr id="7" name="Imagem 6">
          <a:extLst>
            <a:ext uri="{FF2B5EF4-FFF2-40B4-BE49-F238E27FC236}">
              <a16:creationId xmlns:a16="http://schemas.microsoft.com/office/drawing/2014/main" xmlns="" id="{00000000-0008-0000-1C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8370794" y="257735"/>
          <a:ext cx="1539690" cy="806824"/>
        </a:xfrm>
        <a:prstGeom prst="rect">
          <a:avLst/>
        </a:prstGeom>
      </xdr:spPr>
    </xdr:pic>
    <xdr:clientData/>
  </xdr:twoCellAnchor>
  <xdr:twoCellAnchor editAs="oneCell">
    <xdr:from>
      <xdr:col>3</xdr:col>
      <xdr:colOff>650741</xdr:colOff>
      <xdr:row>3</xdr:row>
      <xdr:rowOff>191459</xdr:rowOff>
    </xdr:from>
    <xdr:to>
      <xdr:col>4</xdr:col>
      <xdr:colOff>932428</xdr:colOff>
      <xdr:row>3</xdr:row>
      <xdr:rowOff>761999</xdr:rowOff>
    </xdr:to>
    <xdr:pic>
      <xdr:nvPicPr>
        <xdr:cNvPr id="8" name="Imagem 7">
          <a:extLst>
            <a:ext uri="{FF2B5EF4-FFF2-40B4-BE49-F238E27FC236}">
              <a16:creationId xmlns:a16="http://schemas.microsoft.com/office/drawing/2014/main" xmlns="" id="{00000000-0008-0000-1C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8517270" y="1199988"/>
          <a:ext cx="1335040" cy="57054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56030</xdr:colOff>
      <xdr:row>5</xdr:row>
      <xdr:rowOff>236614</xdr:rowOff>
    </xdr:from>
    <xdr:to>
      <xdr:col>1</xdr:col>
      <xdr:colOff>1620355</xdr:colOff>
      <xdr:row>6</xdr:row>
      <xdr:rowOff>509065</xdr:rowOff>
    </xdr:to>
    <xdr:pic>
      <xdr:nvPicPr>
        <xdr:cNvPr id="7" name="Imagem 6">
          <a:extLst>
            <a:ext uri="{FF2B5EF4-FFF2-40B4-BE49-F238E27FC236}">
              <a16:creationId xmlns:a16="http://schemas.microsoft.com/office/drawing/2014/main" xmlns="" id="{00000000-0008-0000-1D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355912" y="1043438"/>
          <a:ext cx="1564325" cy="1034451"/>
        </a:xfrm>
        <a:prstGeom prst="rect">
          <a:avLst/>
        </a:prstGeom>
      </xdr:spPr>
    </xdr:pic>
    <xdr:clientData/>
  </xdr:twoCellAnchor>
  <xdr:twoCellAnchor editAs="oneCell">
    <xdr:from>
      <xdr:col>3</xdr:col>
      <xdr:colOff>504264</xdr:colOff>
      <xdr:row>4</xdr:row>
      <xdr:rowOff>89647</xdr:rowOff>
    </xdr:from>
    <xdr:to>
      <xdr:col>4</xdr:col>
      <xdr:colOff>990601</xdr:colOff>
      <xdr:row>6</xdr:row>
      <xdr:rowOff>33618</xdr:rowOff>
    </xdr:to>
    <xdr:pic>
      <xdr:nvPicPr>
        <xdr:cNvPr id="5" name="Imagem 4">
          <a:extLst>
            <a:ext uri="{FF2B5EF4-FFF2-40B4-BE49-F238E27FC236}">
              <a16:creationId xmlns:a16="http://schemas.microsoft.com/office/drawing/2014/main" xmlns="" id="{00000000-0008-0000-1D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8505264" y="795618"/>
          <a:ext cx="1539690" cy="806824"/>
        </a:xfrm>
        <a:prstGeom prst="rect">
          <a:avLst/>
        </a:prstGeom>
      </xdr:spPr>
    </xdr:pic>
    <xdr:clientData/>
  </xdr:twoCellAnchor>
  <xdr:twoCellAnchor editAs="oneCell">
    <xdr:from>
      <xdr:col>3</xdr:col>
      <xdr:colOff>650740</xdr:colOff>
      <xdr:row>6</xdr:row>
      <xdr:rowOff>169047</xdr:rowOff>
    </xdr:from>
    <xdr:to>
      <xdr:col>4</xdr:col>
      <xdr:colOff>932427</xdr:colOff>
      <xdr:row>6</xdr:row>
      <xdr:rowOff>739587</xdr:rowOff>
    </xdr:to>
    <xdr:pic>
      <xdr:nvPicPr>
        <xdr:cNvPr id="6" name="Imagem 5">
          <a:extLst>
            <a:ext uri="{FF2B5EF4-FFF2-40B4-BE49-F238E27FC236}">
              <a16:creationId xmlns:a16="http://schemas.microsoft.com/office/drawing/2014/main" xmlns="" id="{00000000-0008-0000-1D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8651740" y="1737871"/>
          <a:ext cx="1335040" cy="5705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uriney\c\Meus%20documentos\geosolo\1&#170;%20MED.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Jaguaribe\c\TEMP\Fabio\Campanario_agua\Campanario\Agua\Volume4e5\Memorial-Orcamneto\Orc_Automacao%20agu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ervidor\projetos\Projeto%20Alvorada\Projeto%20B&#225;sico%20Croat&#225;\&#193;gua\quadros\Orca_Esgoto_Col&#244;nia%202a%20ETAPA.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1/RAPHAE~1.POR/CONFIG~1/Temp/Rar$DI00.610/Acabamentos2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92.168.0.242\central_de_projetos\DOCUME~1\RAPHAE~1.POR\CONFIG~1\Temp\Rar$DI00.610\Acabamentos24.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ervidor2\SECOR2\MT%20-%20249%20Ent&#176;%20235%20-%20BR%20-%20163%20(nova%20mutun)%20-%20Lote%20I\MEDI&#199;&#213;ES\4&#170;_MEDI&#199;&#195;O_MT-249.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H:\OBRAS%20EM%20EXECU&#199;&#195;O\Obra%20114%20-%20Estrada%20do%20Moinho\Obra\pROJETOS\Arquimedes%20Pereira%20Lima\VOLUME%204%20-%20OR&#199;AMENTO\OR&#199;AMENTO%20ARCHIMEDES%20PEREIRA_COMPLETO.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T&#233;cnico\C-T&#201;CNICO\Nossos%20Documentos\Licita&#231;&#245;es\DNER%20-%2019&#186;\Concorr&#234;ncia%20N.&#186;%20187.2000\Quadros%20para%20Licita&#231;&#245;e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BR-163\6&#170;%20ap&#243;s%20repac.%20LOTE%20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MT%20170%20(Brasnorte%20-%20Rio%20Juruena%20AGRIMAT)\Medi&#231;&#245;es%20Agrimat%20SINFRA\2&#170;%20Medi&#231;&#227;o%20Oficial%20Agrimat%20IC-001%20Set_2005.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webmail2.brturbo.com/MT-170%20(BRASNORTE%20-%20AGRIMAT%20100km)/Medi&#231;&#245;es%20Agrimat/Triunfo/Obra/Obra%20n&#186;%20199/2&#170;%20Repactua&#231;&#227;o/4&#170;%20medi&#231;&#227;o%20199%20ap&#243;s%202&#170;%20repactua&#231;&#227;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enato\mt-220\Meus%20documentos\Obra%20326AS\Medi&#231;&#245;es\DVOP\6&#170;%20Medi&#231;&#227;o%20DVOP\6&#170;%20Medi&#231;ao%20DVOP.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ervidor2\secor2\MT%20-%20370%20POCON&#201;%20-%20PORTO%20CERCADO%20(PARTE%20URBANA)\ALA&#205;NE\EXCEL\TRANSPORTE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d.docs.live.net/Diversos/PROTOTIPO%20DE%20MEDI&#199;&#195;O.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192.168.0.242\central_de_projetos\Diversos\PROTOTIPO%20DE%20MEDI&#199;&#195;O.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RODOVIAS%20FEDERAIS\BR%20163%20GUARANT&#195;%20-%20DIVISA%20MT-PA%20fernando\PLANO%20TRABALHO%20VIGENTE\BR%20163%20CALMON%20FINAL\Oramento_Ago_200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ervidor2\secor2\MT%20-%20249%20-Lote%20II\Ala&#237;ne\EXCEL\LOTE%2002\OR&#199;AMENTO-MT-249%20(Km%2011-Rio%20Arinos-Entr.%20MT-010)%20-%2016,80%20km_PROJETO.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ervidor2\secor3\MT%20-%20351-241%20(MANSO)\ALA&#205;NE\EXCEL\OR&#199;AMENTO.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T&#233;cnico\C-T&#201;CNICO\Nossos%20Documentos\Licita&#231;&#245;es\DNER%20-%2019&#186;\Concorr&#234;ncia%20N.&#186;%20670.00\Equipamento%20e%20M&#227;o%20de%20Obra%20670.0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ervidor2\secor5\MT%20-%20249%20%20-%20Lote%20II\ALA&#205;NE\EXCEL\LOTE%2002\OR&#199;AMENTO-MT-249%20(Km%2011-Rio%20Arinos-Entr.%20MT-010)%20-%2030%20km.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Servidor2\secor5\MT-270%20(COLONIA%20-%20MIMOSO)\OR&#199;AMENTO%20E%20PLANO%20DE%20TRABALHO\OR&#199;AMENTO%20MT-235.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LEONARDO\01_SEDUC\01_Boletins\Boletim%20Abril%202005_R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ebmail2.brturbo.com/MT-170%20(BRASNORTE%20-%20AGRIMAT)/2&#170;%20medi&#231;&#227;o%20Agrima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Documents%20and%20Settings\Administrador\Meus%20documentos\TERCIO\MT%20370%20ESTRADA%20PARQUE\22_JUN\Ultima%20do%20Everaldo%2022_06_05\TRANSPORT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ebmail2.brturbo.com/Diversos/PROTOTIPO%20DE%20MEDI&#199;&#195;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trata-03\Projetos\Marcelo\docs\PP003%20-%20Restauracao%20-%20PROMG%20-%20DERMG\Levantamentos%20de%20Campo\PRIORIDADES\20CRG\Resultados\CARACT%20PAV%20EXISTENT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Documents%20and%20Settings\f01945\Configura&#231;&#245;es%20locais\Temporary%20Internet%20Files\Content.IE5\QXPOF0PY\OR&#199;AMENTO..(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ng_001\c\Meus%20documentos\Excel\DVOP\8_97%20-%20S&#227;o%20Vicente\Prod.%20Equip.%20Mec.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windows\TEMP\1&#170;%20MED%20PROV%20B.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T&#233;cnico\c-tecnico\T&#201;CNICA\DNER\19%20DISTRITO%20RODOVI&#193;RIO%20FEDERAL\CARTA%20CONVITE%20N&#176;%200129-98-19\CARTA%20CONVITE%20N&#176;%200129-98-19.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1MED"/>
      <sheetName val="Relatório-1ª med."/>
      <sheetName val="DRENA"/>
      <sheetName val="ESCAVOCAR"/>
      <sheetName val="TRANSPTERR"/>
      <sheetName val="REG SUBLEITO"/>
      <sheetName val="SUBBASE"/>
      <sheetName val="BASE"/>
      <sheetName val="TRANSPBASE"/>
      <sheetName val="Plan2"/>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 val="Relatório_1ª med_"/>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UTR1"/>
      <sheetName val="UTR 2"/>
      <sheetName val="UTR3"/>
      <sheetName val="UTR4"/>
      <sheetName val="UTR5"/>
    </sheetNames>
    <sheetDataSet>
      <sheetData sheetId="0" refreshError="1"/>
      <sheetData sheetId="1"/>
      <sheetData sheetId="2" refreshError="1"/>
      <sheetData sheetId="3" refreshError="1"/>
      <sheetData sheetId="4"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CANT_OBRAS"/>
      <sheetName val="ligação predial"/>
      <sheetName val="REDE COLETORA"/>
      <sheetName val="ESTA ELEVATÓRIA_"/>
      <sheetName val="EMISSÁRIO_"/>
      <sheetName val="AQU TERRENO-"/>
      <sheetName val="RESUMO"/>
      <sheetName val="RESUMO-DVOP"/>
      <sheetName val="RELATÓRIO"/>
      <sheetName val="DMT modelo"/>
    </sheetNames>
    <sheetDataSet>
      <sheetData sheetId="0">
        <row r="8">
          <cell r="H8">
            <v>15099.060000000001</v>
          </cell>
        </row>
      </sheetData>
      <sheetData sheetId="1">
        <row r="9">
          <cell r="H9">
            <v>87735.12</v>
          </cell>
        </row>
        <row r="19">
          <cell r="H19">
            <v>33993.180000000008</v>
          </cell>
        </row>
      </sheetData>
      <sheetData sheetId="2">
        <row r="9">
          <cell r="H9">
            <v>327265.86999999994</v>
          </cell>
        </row>
        <row r="67">
          <cell r="H67">
            <v>90106.86</v>
          </cell>
        </row>
      </sheetData>
      <sheetData sheetId="3">
        <row r="9">
          <cell r="H9">
            <v>30966.526499999996</v>
          </cell>
        </row>
        <row r="106">
          <cell r="H106">
            <v>49744.2</v>
          </cell>
        </row>
        <row r="143">
          <cell r="H143">
            <v>18679.9211</v>
          </cell>
        </row>
      </sheetData>
      <sheetData sheetId="4">
        <row r="9">
          <cell r="H9">
            <v>797.15</v>
          </cell>
        </row>
        <row r="39">
          <cell r="H39">
            <v>754.13</v>
          </cell>
        </row>
        <row r="50">
          <cell r="H50">
            <v>6502.5400000000009</v>
          </cell>
        </row>
        <row r="80">
          <cell r="H80">
            <v>3995.81</v>
          </cell>
        </row>
      </sheetData>
      <sheetData sheetId="5">
        <row r="9">
          <cell r="H9">
            <v>12000</v>
          </cell>
        </row>
      </sheetData>
      <sheetData sheetId="6"/>
      <sheetData sheetId="7" refreshError="1"/>
      <sheetData sheetId="8" refreshError="1"/>
      <sheetData sheetId="9"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APONT"/>
      <sheetName val="RESUMO"/>
      <sheetName val="ACA - 01"/>
      <sheetName val="ACA - 02"/>
      <sheetName val="ACA - 03"/>
      <sheetName val="ACA - 04"/>
      <sheetName val="ACA - 04b"/>
      <sheetName val="ACA - 05"/>
      <sheetName val="ACA - 06"/>
      <sheetName val="ACA - 07"/>
      <sheetName val="ACA - 08"/>
      <sheetName val="ACA - 08b"/>
      <sheetName val="ACA - 09"/>
    </sheetNames>
    <sheetDataSet>
      <sheetData sheetId="0">
        <row r="5">
          <cell r="B5" t="str">
            <v>CÓDIGO</v>
          </cell>
          <cell r="C5" t="str">
            <v>ITEM</v>
          </cell>
          <cell r="D5" t="str">
            <v>DESCRIÇÃO DO INSUMO</v>
          </cell>
          <cell r="E5" t="str">
            <v>UNID.</v>
          </cell>
          <cell r="F5" t="str">
            <v>PÇO. UNIT.</v>
          </cell>
          <cell r="G5" t="str">
            <v>QTDE. CONTRATO</v>
          </cell>
        </row>
        <row r="6">
          <cell r="B6" t="str">
            <v>AD05050100</v>
          </cell>
          <cell r="C6">
            <v>1</v>
          </cell>
          <cell r="D6" t="str">
            <v>Ensaio de andensamento edométrico em solo.</v>
          </cell>
          <cell r="E6" t="str">
            <v>un</v>
          </cell>
          <cell r="F6">
            <v>509.17</v>
          </cell>
          <cell r="G6">
            <v>44</v>
          </cell>
        </row>
        <row r="7">
          <cell r="B7" t="str">
            <v>AD05050200</v>
          </cell>
          <cell r="C7">
            <v>2</v>
          </cell>
          <cell r="D7" t="str">
            <v>Ensaio de laboratorio da Densidade Real.</v>
          </cell>
          <cell r="E7" t="str">
            <v>un</v>
          </cell>
          <cell r="F7">
            <v>56.78</v>
          </cell>
          <cell r="G7">
            <v>29</v>
          </cell>
        </row>
        <row r="8">
          <cell r="B8" t="str">
            <v>AD05050250</v>
          </cell>
          <cell r="C8">
            <v>3</v>
          </cell>
          <cell r="D8" t="str">
            <v>Ensaio em laboratorio do Limite de Liquidez.</v>
          </cell>
          <cell r="E8" t="str">
            <v>un</v>
          </cell>
          <cell r="F8">
            <v>41.29</v>
          </cell>
          <cell r="G8">
            <v>14</v>
          </cell>
        </row>
        <row r="9">
          <cell r="B9" t="str">
            <v>AD05050300</v>
          </cell>
          <cell r="C9">
            <v>4</v>
          </cell>
          <cell r="D9" t="str">
            <v xml:space="preserve">Ensaio em laboratório do limite de plasticidade. </v>
          </cell>
          <cell r="E9" t="str">
            <v>un</v>
          </cell>
          <cell r="F9">
            <v>41.29</v>
          </cell>
          <cell r="G9">
            <v>14</v>
          </cell>
        </row>
        <row r="10">
          <cell r="B10" t="str">
            <v>AD05050350</v>
          </cell>
          <cell r="C10">
            <v>5</v>
          </cell>
          <cell r="D10" t="str">
            <v>Ensaio em laboratório, do Peso Especifico.</v>
          </cell>
          <cell r="E10" t="str">
            <v>un</v>
          </cell>
          <cell r="F10">
            <v>22.86</v>
          </cell>
          <cell r="G10">
            <v>29</v>
          </cell>
        </row>
        <row r="11">
          <cell r="B11" t="str">
            <v>AD05050450</v>
          </cell>
          <cell r="C11">
            <v>6</v>
          </cell>
          <cell r="D11" t="str">
            <v>Ensaio Índice de Suporte Califórnia - Proctor Normal.</v>
          </cell>
          <cell r="E11" t="str">
            <v>un</v>
          </cell>
          <cell r="F11">
            <v>414.42</v>
          </cell>
          <cell r="G11">
            <v>43</v>
          </cell>
        </row>
        <row r="12">
          <cell r="B12" t="str">
            <v>AD05050700</v>
          </cell>
          <cell r="C12">
            <v>7</v>
          </cell>
          <cell r="D12" t="str">
            <v>Sondagem manual com pa e picareta por metro.</v>
          </cell>
          <cell r="E12" t="str">
            <v>m</v>
          </cell>
          <cell r="F12">
            <v>56.78</v>
          </cell>
          <cell r="G12">
            <v>280</v>
          </cell>
        </row>
        <row r="13">
          <cell r="B13" t="str">
            <v>AD20050050</v>
          </cell>
          <cell r="C13">
            <v>8</v>
          </cell>
          <cell r="D13" t="str">
            <v>Barracão de obra com paredes de madeira.</v>
          </cell>
          <cell r="E13" t="str">
            <v>m2</v>
          </cell>
          <cell r="F13">
            <v>141.75</v>
          </cell>
          <cell r="G13">
            <v>250</v>
          </cell>
        </row>
        <row r="14">
          <cell r="B14" t="str">
            <v>AD20050300</v>
          </cell>
          <cell r="C14">
            <v>9</v>
          </cell>
          <cell r="D14" t="str">
            <v>Tapume de vedação ou proteção.</v>
          </cell>
          <cell r="E14" t="str">
            <v>m2</v>
          </cell>
          <cell r="F14">
            <v>19.16</v>
          </cell>
          <cell r="G14">
            <v>24000</v>
          </cell>
        </row>
        <row r="15">
          <cell r="B15" t="str">
            <v>AD20200050</v>
          </cell>
          <cell r="C15">
            <v>10</v>
          </cell>
          <cell r="D15" t="str">
            <v>Instalação e ligação provisórias de energia.</v>
          </cell>
          <cell r="E15" t="str">
            <v>un</v>
          </cell>
          <cell r="F15">
            <v>595.94000000000005</v>
          </cell>
          <cell r="G15">
            <v>2</v>
          </cell>
        </row>
        <row r="16">
          <cell r="B16" t="str">
            <v xml:space="preserve">AD40050056 </v>
          </cell>
          <cell r="C16">
            <v>11</v>
          </cell>
          <cell r="D16" t="str">
            <v xml:space="preserve">Almoxarife(inclusive encargos sociais). </v>
          </cell>
          <cell r="E16" t="str">
            <v>h</v>
          </cell>
          <cell r="F16">
            <v>6.48</v>
          </cell>
          <cell r="G16">
            <v>1480</v>
          </cell>
        </row>
        <row r="17">
          <cell r="B17" t="str">
            <v>AD40050068</v>
          </cell>
          <cell r="C17">
            <v>12</v>
          </cell>
          <cell r="D17" t="str">
            <v>Apontador(inclusive encargos sociais).</v>
          </cell>
          <cell r="E17" t="str">
            <v>h</v>
          </cell>
          <cell r="F17">
            <v>6.48</v>
          </cell>
          <cell r="G17">
            <v>1480</v>
          </cell>
        </row>
        <row r="18">
          <cell r="B18" t="str">
            <v>AD40050074</v>
          </cell>
          <cell r="C18">
            <v>13</v>
          </cell>
          <cell r="D18" t="str">
            <v>Auxiliar de almoxarife(inclusive encargos sociais).</v>
          </cell>
          <cell r="E18" t="str">
            <v>h</v>
          </cell>
          <cell r="F18">
            <v>4.41</v>
          </cell>
          <cell r="G18">
            <v>1480</v>
          </cell>
        </row>
        <row r="19">
          <cell r="B19" t="str">
            <v>AD40050080</v>
          </cell>
          <cell r="C19">
            <v>14</v>
          </cell>
          <cell r="D19" t="str">
            <v>Auxiliar de escritório(inclusive encargos sociais).</v>
          </cell>
          <cell r="E19" t="str">
            <v>h</v>
          </cell>
          <cell r="F19">
            <v>5.32</v>
          </cell>
          <cell r="G19">
            <v>1480</v>
          </cell>
        </row>
        <row r="20">
          <cell r="B20" t="str">
            <v>AD40050086</v>
          </cell>
          <cell r="C20">
            <v>15</v>
          </cell>
          <cell r="D20" t="str">
            <v>Auxiliar técnico(inclusive encargos sociais).</v>
          </cell>
          <cell r="E20" t="str">
            <v>h</v>
          </cell>
          <cell r="F20">
            <v>8.1</v>
          </cell>
          <cell r="G20">
            <v>1480</v>
          </cell>
        </row>
        <row r="21">
          <cell r="B21" t="str">
            <v>AD40050092</v>
          </cell>
          <cell r="C21">
            <v>16</v>
          </cell>
          <cell r="D21" t="str">
            <v xml:space="preserve">Auxiliar de topografia(inclusive encargos sociais).     </v>
          </cell>
          <cell r="E21" t="str">
            <v>h</v>
          </cell>
          <cell r="F21">
            <v>4.5</v>
          </cell>
          <cell r="G21">
            <v>1480</v>
          </cell>
        </row>
        <row r="22">
          <cell r="B22" t="str">
            <v>AD40050098</v>
          </cell>
          <cell r="C22">
            <v>17</v>
          </cell>
          <cell r="D22" t="str">
            <v xml:space="preserve">Chefe de escritório(inclusive encargos sociais). </v>
          </cell>
          <cell r="E22" t="str">
            <v>h</v>
          </cell>
          <cell r="F22">
            <v>13.02</v>
          </cell>
          <cell r="G22">
            <v>1480</v>
          </cell>
        </row>
        <row r="23">
          <cell r="B23" t="str">
            <v>AD40050116</v>
          </cell>
          <cell r="C23">
            <v>18</v>
          </cell>
          <cell r="D23" t="str">
            <v>Encarregado(inclusive encargos sociais).</v>
          </cell>
          <cell r="E23" t="str">
            <v>h</v>
          </cell>
          <cell r="F23">
            <v>8.3699999999999992</v>
          </cell>
          <cell r="G23">
            <v>2960</v>
          </cell>
        </row>
        <row r="24">
          <cell r="B24" t="str">
            <v xml:space="preserve"> AD40050122</v>
          </cell>
          <cell r="C24">
            <v>19</v>
          </cell>
          <cell r="D24" t="str">
            <v>Engenheiro ou arquiteto jr(inclusive encargos sociais).</v>
          </cell>
          <cell r="E24" t="str">
            <v>h</v>
          </cell>
          <cell r="F24">
            <v>21.39</v>
          </cell>
          <cell r="G24">
            <v>1480</v>
          </cell>
        </row>
        <row r="25">
          <cell r="B25" t="str">
            <v>AD40050134</v>
          </cell>
          <cell r="C25">
            <v>20</v>
          </cell>
          <cell r="D25" t="str">
            <v xml:space="preserve">Engenheiro sênior(inclusive encargos sociais).  </v>
          </cell>
          <cell r="E25" t="str">
            <v>h</v>
          </cell>
          <cell r="F25">
            <v>54.35</v>
          </cell>
          <cell r="G25">
            <v>1110</v>
          </cell>
        </row>
        <row r="26">
          <cell r="B26" t="str">
            <v>AD40050146</v>
          </cell>
          <cell r="C26">
            <v>21</v>
          </cell>
          <cell r="D26" t="str">
            <v xml:space="preserve">Estagiário(inclusive encargos sociais).  </v>
          </cell>
          <cell r="E26" t="str">
            <v>h</v>
          </cell>
          <cell r="F26">
            <v>2.76</v>
          </cell>
          <cell r="G26">
            <v>2960</v>
          </cell>
        </row>
        <row r="27">
          <cell r="B27" t="str">
            <v>AD40050188</v>
          </cell>
          <cell r="C27">
            <v>22</v>
          </cell>
          <cell r="D27" t="str">
            <v>Secretaria(inclusive encargos sociais).</v>
          </cell>
          <cell r="E27" t="str">
            <v>h</v>
          </cell>
          <cell r="F27">
            <v>9.24</v>
          </cell>
          <cell r="G27">
            <v>1480</v>
          </cell>
        </row>
        <row r="28">
          <cell r="B28" t="str">
            <v>AD40050200</v>
          </cell>
          <cell r="C28">
            <v>23</v>
          </cell>
          <cell r="D28" t="str">
            <v xml:space="preserve">Supervisor de trafego(inclusive encargos sociais).    </v>
          </cell>
          <cell r="E28" t="str">
            <v>h</v>
          </cell>
          <cell r="F28">
            <v>29.17</v>
          </cell>
          <cell r="G28">
            <v>2960</v>
          </cell>
        </row>
        <row r="29">
          <cell r="B29" t="str">
            <v>AD40050212</v>
          </cell>
          <cell r="C29">
            <v>24</v>
          </cell>
          <cell r="D29" t="str">
            <v xml:space="preserve">Topógrafo A(inclusive encargos sociais).  </v>
          </cell>
          <cell r="E29" t="str">
            <v>h</v>
          </cell>
          <cell r="F29">
            <v>13.78</v>
          </cell>
          <cell r="G29">
            <v>740</v>
          </cell>
        </row>
        <row r="30">
          <cell r="B30" t="str">
            <v>AD40050218</v>
          </cell>
          <cell r="C30">
            <v>25</v>
          </cell>
          <cell r="D30" t="str">
            <v>Vigia(inclusive encargos sociais).</v>
          </cell>
          <cell r="E30" t="str">
            <v>h</v>
          </cell>
          <cell r="F30">
            <v>4.63</v>
          </cell>
          <cell r="G30">
            <v>2960</v>
          </cell>
        </row>
        <row r="31">
          <cell r="B31" t="str">
            <v xml:space="preserve"> AD10050050</v>
          </cell>
          <cell r="C31">
            <v>26</v>
          </cell>
          <cell r="D31" t="str">
            <v>Marcação de obra sem instrumento topográfico.</v>
          </cell>
          <cell r="E31" t="str">
            <v>m2</v>
          </cell>
          <cell r="F31">
            <v>0.95</v>
          </cell>
          <cell r="G31">
            <v>400</v>
          </cell>
        </row>
        <row r="32">
          <cell r="B32" t="str">
            <v>AD10100100</v>
          </cell>
          <cell r="C32">
            <v>27</v>
          </cell>
          <cell r="D32" t="str">
            <v>Locação de obra com aparelho topográfico.</v>
          </cell>
          <cell r="E32" t="str">
            <v>m</v>
          </cell>
          <cell r="F32">
            <v>6.75</v>
          </cell>
          <cell r="G32">
            <v>410</v>
          </cell>
        </row>
        <row r="33">
          <cell r="B33" t="str">
            <v>AD15150750</v>
          </cell>
          <cell r="C33">
            <v>28</v>
          </cell>
          <cell r="D33" t="str">
            <v>Veiculo motor 1.0 a gasolina sem motorista.</v>
          </cell>
          <cell r="E33" t="str">
            <v>mês</v>
          </cell>
          <cell r="F33">
            <v>1269.6600000000001</v>
          </cell>
          <cell r="G33">
            <v>8</v>
          </cell>
        </row>
        <row r="34">
          <cell r="B34" t="str">
            <v>AD20250050</v>
          </cell>
          <cell r="C34">
            <v>29</v>
          </cell>
          <cell r="D34" t="str">
            <v>Barragem de bloqueio, reaproveitamento 40 vezes.</v>
          </cell>
          <cell r="E34" t="str">
            <v>m</v>
          </cell>
          <cell r="F34">
            <v>0.98</v>
          </cell>
          <cell r="G34">
            <v>970</v>
          </cell>
        </row>
        <row r="35">
          <cell r="B35" t="str">
            <v>AD20250100</v>
          </cell>
          <cell r="C35">
            <v>30</v>
          </cell>
          <cell r="D35" t="str">
            <v>Barragem de bloqueio de obra, colocação e retirada.</v>
          </cell>
          <cell r="E35" t="str">
            <v>m</v>
          </cell>
          <cell r="F35">
            <v>3.26</v>
          </cell>
          <cell r="G35">
            <v>4200</v>
          </cell>
        </row>
        <row r="36">
          <cell r="B36" t="str">
            <v>AD20250200</v>
          </cell>
          <cell r="C36">
            <v>31</v>
          </cell>
          <cell r="D36" t="str">
            <v>Placa de sinalização para obra de via publica.</v>
          </cell>
          <cell r="E36" t="str">
            <v>un</v>
          </cell>
          <cell r="F36">
            <v>37.67</v>
          </cell>
          <cell r="G36">
            <v>43</v>
          </cell>
        </row>
        <row r="37">
          <cell r="B37" t="str">
            <v>AD20250250</v>
          </cell>
          <cell r="C37">
            <v>32</v>
          </cell>
          <cell r="D37" t="str">
            <v>Placa de sinalização para obra, colocação e retirada.</v>
          </cell>
          <cell r="E37" t="str">
            <v>un</v>
          </cell>
          <cell r="F37">
            <v>0.89</v>
          </cell>
          <cell r="G37">
            <v>173</v>
          </cell>
        </row>
        <row r="38">
          <cell r="B38" t="str">
            <v>AD20250300</v>
          </cell>
          <cell r="C38">
            <v>33</v>
          </cell>
          <cell r="D38" t="str">
            <v>Placa de identificação de obra publica.</v>
          </cell>
          <cell r="E38" t="str">
            <v>m2</v>
          </cell>
          <cell r="F38">
            <v>166.66</v>
          </cell>
          <cell r="G38">
            <v>22.4</v>
          </cell>
        </row>
        <row r="39">
          <cell r="B39" t="str">
            <v>AD25050050</v>
          </cell>
          <cell r="C39">
            <v>34</v>
          </cell>
          <cell r="D39" t="str">
            <v>Aluguel de balizador vaga-lume.</v>
          </cell>
          <cell r="E39" t="str">
            <v>mês</v>
          </cell>
          <cell r="F39">
            <v>86.83</v>
          </cell>
          <cell r="G39">
            <v>960</v>
          </cell>
        </row>
        <row r="40">
          <cell r="B40" t="str">
            <v xml:space="preserve">AD25050200/  </v>
          </cell>
          <cell r="C40">
            <v>35</v>
          </cell>
          <cell r="D40" t="str">
            <v>Aluguel de cavalete plástico universa.</v>
          </cell>
          <cell r="E40" t="str">
            <v>un.mês</v>
          </cell>
          <cell r="F40">
            <v>86.83</v>
          </cell>
          <cell r="G40">
            <v>600</v>
          </cell>
        </row>
        <row r="41">
          <cell r="B41" t="str">
            <v>AD25050250</v>
          </cell>
          <cell r="C41">
            <v>36</v>
          </cell>
          <cell r="D41" t="str">
            <v>Aluguel de cone canalizador empinhavel T-Topde.</v>
          </cell>
          <cell r="E41" t="str">
            <v>un.mês</v>
          </cell>
          <cell r="F41">
            <v>32.29</v>
          </cell>
          <cell r="G41">
            <v>600</v>
          </cell>
        </row>
        <row r="42">
          <cell r="B42" t="str">
            <v>AD35150050A</v>
          </cell>
          <cell r="C42">
            <v>37</v>
          </cell>
          <cell r="D42" t="str">
            <v>Controle tecnológico de obras em concreto armado.</v>
          </cell>
          <cell r="E42" t="str">
            <v>m3</v>
          </cell>
          <cell r="F42">
            <v>12.32</v>
          </cell>
          <cell r="G42">
            <v>382</v>
          </cell>
        </row>
        <row r="43">
          <cell r="B43" t="str">
            <v xml:space="preserve">SE25100100A  </v>
          </cell>
          <cell r="C43">
            <v>38</v>
          </cell>
          <cell r="D43" t="str">
            <v>Projeto executivo para urbanização/reurbanização.</v>
          </cell>
          <cell r="E43" t="str">
            <v>há</v>
          </cell>
          <cell r="F43">
            <v>34610.160000000003</v>
          </cell>
          <cell r="G43">
            <v>5.18</v>
          </cell>
        </row>
        <row r="44">
          <cell r="B44" t="str">
            <v>SE20100050</v>
          </cell>
          <cell r="C44">
            <v>39</v>
          </cell>
          <cell r="D44" t="str">
            <v>Lançamento de linha poligonal básica.</v>
          </cell>
          <cell r="E44" t="str">
            <v>Km</v>
          </cell>
          <cell r="F44">
            <v>159.44</v>
          </cell>
          <cell r="G44">
            <v>1</v>
          </cell>
        </row>
        <row r="45">
          <cell r="B45" t="str">
            <v>SE20102500A</v>
          </cell>
          <cell r="C45">
            <v>40</v>
          </cell>
          <cell r="D45" t="str">
            <v>Nivelamento de eixo de logradouro.</v>
          </cell>
          <cell r="E45" t="str">
            <v>Km</v>
          </cell>
          <cell r="F45">
            <v>74.489999999999995</v>
          </cell>
          <cell r="G45">
            <v>1</v>
          </cell>
        </row>
        <row r="46">
          <cell r="B46" t="str">
            <v>SE20150050</v>
          </cell>
          <cell r="C46">
            <v>41</v>
          </cell>
          <cell r="D46" t="str">
            <v>Levantamento fotográfico de aspecto de área urbana.</v>
          </cell>
          <cell r="E46" t="str">
            <v>un</v>
          </cell>
          <cell r="F46">
            <v>1.8</v>
          </cell>
          <cell r="G46">
            <v>259</v>
          </cell>
        </row>
        <row r="47">
          <cell r="B47" t="str">
            <v>SE20150250</v>
          </cell>
          <cell r="C47">
            <v>42</v>
          </cell>
          <cell r="D47" t="str">
            <v>Levantamento fotográfico aéreo vertical de área urbana.</v>
          </cell>
          <cell r="E47" t="str">
            <v>conj</v>
          </cell>
          <cell r="F47">
            <v>8267.76</v>
          </cell>
          <cell r="G47">
            <v>1</v>
          </cell>
        </row>
        <row r="48">
          <cell r="B48" t="str">
            <v>SE20101600</v>
          </cell>
          <cell r="C48">
            <v>43</v>
          </cell>
          <cell r="D48" t="str">
            <v>Levantamento cadastral das profundidades de tubos.</v>
          </cell>
          <cell r="E48" t="str">
            <v>un</v>
          </cell>
          <cell r="F48">
            <v>23.05</v>
          </cell>
          <cell r="G48">
            <v>137</v>
          </cell>
        </row>
        <row r="49">
          <cell r="B49" t="str">
            <v>SE30050100</v>
          </cell>
          <cell r="C49">
            <v>44</v>
          </cell>
          <cell r="D49" t="str">
            <v>Determinação da deformação com Viga Benkelmann.</v>
          </cell>
          <cell r="E49" t="str">
            <v>un</v>
          </cell>
          <cell r="F49">
            <v>53.9</v>
          </cell>
          <cell r="G49">
            <v>144</v>
          </cell>
        </row>
        <row r="50">
          <cell r="B50" t="str">
            <v>CE05100110</v>
          </cell>
          <cell r="C50">
            <v>45</v>
          </cell>
          <cell r="D50" t="str">
            <v>Consultor de serviços técnicos especializados.</v>
          </cell>
          <cell r="E50" t="str">
            <v>h</v>
          </cell>
          <cell r="F50">
            <v>89.23</v>
          </cell>
          <cell r="G50">
            <v>726</v>
          </cell>
        </row>
        <row r="51">
          <cell r="B51" t="str">
            <v>CO05050500</v>
          </cell>
          <cell r="C51">
            <v>46</v>
          </cell>
          <cell r="D51" t="str">
            <v>Plataforma ou passarela de Pinho.</v>
          </cell>
          <cell r="E51" t="str">
            <v>m2</v>
          </cell>
          <cell r="F51">
            <v>2.31</v>
          </cell>
          <cell r="G51">
            <v>187</v>
          </cell>
        </row>
        <row r="52">
          <cell r="B52" t="str">
            <v>CO05100050</v>
          </cell>
          <cell r="C52">
            <v>47</v>
          </cell>
          <cell r="D52" t="str">
            <v>Aluguel de andaime tubular sobre sapatas fixas.</v>
          </cell>
          <cell r="E52" t="str">
            <v>m2.mês</v>
          </cell>
          <cell r="F52">
            <v>2.2000000000000002</v>
          </cell>
          <cell r="G52">
            <v>2100</v>
          </cell>
        </row>
        <row r="53">
          <cell r="B53" t="str">
            <v>CO05150100</v>
          </cell>
          <cell r="C53">
            <v>48</v>
          </cell>
          <cell r="D53" t="str">
            <v>Montagem e desmontagem de andaime tubular.</v>
          </cell>
          <cell r="E53" t="str">
            <v>m2</v>
          </cell>
          <cell r="F53">
            <v>1.77</v>
          </cell>
          <cell r="G53">
            <v>350</v>
          </cell>
        </row>
        <row r="54">
          <cell r="B54" t="str">
            <v>CO05150300</v>
          </cell>
          <cell r="C54">
            <v>49</v>
          </cell>
          <cell r="D54" t="str">
            <v>Movimentação vertical ou horizontal de plataforma.</v>
          </cell>
          <cell r="E54" t="str">
            <v>m2</v>
          </cell>
          <cell r="F54">
            <v>0.14000000000000001</v>
          </cell>
          <cell r="G54">
            <v>350</v>
          </cell>
        </row>
        <row r="55">
          <cell r="B55" t="str">
            <v>MT05300100</v>
          </cell>
          <cell r="C55">
            <v>50</v>
          </cell>
          <cell r="D55" t="str">
            <v>Escavação manual em material de 1a categoria.</v>
          </cell>
          <cell r="E55" t="str">
            <v>m3</v>
          </cell>
          <cell r="F55">
            <v>12.4</v>
          </cell>
          <cell r="G55">
            <v>10700</v>
          </cell>
        </row>
        <row r="56">
          <cell r="B56" t="str">
            <v>MT10050050</v>
          </cell>
          <cell r="C56">
            <v>51</v>
          </cell>
          <cell r="D56" t="str">
            <v xml:space="preserve">Escavação mecânica, utilizando Retro-Escavadeira. </v>
          </cell>
          <cell r="E56" t="str">
            <v>m3</v>
          </cell>
          <cell r="F56">
            <v>2.77</v>
          </cell>
          <cell r="G56">
            <v>36800</v>
          </cell>
        </row>
        <row r="57">
          <cell r="B57" t="str">
            <v>MT10100050</v>
          </cell>
          <cell r="C57">
            <v>52</v>
          </cell>
          <cell r="D57" t="str">
            <v>Escavação mecânica, utilizando Escavadeira.</v>
          </cell>
          <cell r="E57" t="str">
            <v>m3</v>
          </cell>
          <cell r="F57">
            <v>0.96</v>
          </cell>
          <cell r="G57">
            <v>7300</v>
          </cell>
        </row>
        <row r="58">
          <cell r="B58" t="str">
            <v>MT15050250</v>
          </cell>
          <cell r="C58">
            <v>53</v>
          </cell>
          <cell r="D58" t="str">
            <v xml:space="preserve">Reaterro de vala com material de boa qualidade. </v>
          </cell>
          <cell r="E58" t="str">
            <v>m3</v>
          </cell>
          <cell r="F58">
            <v>9.3000000000000007</v>
          </cell>
          <cell r="G58">
            <v>13700</v>
          </cell>
        </row>
        <row r="59">
          <cell r="B59" t="str">
            <v>MT15050300</v>
          </cell>
          <cell r="C59">
            <v>54</v>
          </cell>
          <cell r="D59" t="str">
            <v>Reaterro de vala, com po-de-pedra.</v>
          </cell>
          <cell r="E59" t="str">
            <v>m3</v>
          </cell>
          <cell r="F59">
            <v>36.18</v>
          </cell>
          <cell r="G59">
            <v>19600</v>
          </cell>
        </row>
        <row r="60">
          <cell r="B60" t="str">
            <v>MT05250050</v>
          </cell>
          <cell r="C60">
            <v>55</v>
          </cell>
          <cell r="D60" t="str">
            <v>Desmonte manual de bloco de 3a categoria.</v>
          </cell>
          <cell r="E60" t="str">
            <v>m3</v>
          </cell>
          <cell r="F60">
            <v>32.14</v>
          </cell>
          <cell r="G60">
            <v>7050</v>
          </cell>
        </row>
        <row r="61">
          <cell r="B61" t="str">
            <v>MT05450050</v>
          </cell>
          <cell r="C61">
            <v>56</v>
          </cell>
          <cell r="D61" t="str">
            <v>Desmonte a fogo de bloco de material de 3a categoria.</v>
          </cell>
          <cell r="E61" t="str">
            <v>m3</v>
          </cell>
          <cell r="F61">
            <v>66.56</v>
          </cell>
          <cell r="G61">
            <v>8545</v>
          </cell>
        </row>
        <row r="62">
          <cell r="B62" t="str">
            <v>MT15150050</v>
          </cell>
          <cell r="C62">
            <v>57</v>
          </cell>
          <cell r="D62" t="str">
            <v>Preparo de solo ate 30cm de profundidade.</v>
          </cell>
          <cell r="E62" t="str">
            <v>m2</v>
          </cell>
          <cell r="F62">
            <v>5.46</v>
          </cell>
          <cell r="G62">
            <v>17842</v>
          </cell>
        </row>
        <row r="63">
          <cell r="B63" t="str">
            <v>MT20050050</v>
          </cell>
          <cell r="C63">
            <v>58</v>
          </cell>
          <cell r="D63" t="str">
            <v>Espalhamento de material de 1a categoria.</v>
          </cell>
          <cell r="E63" t="str">
            <v>m3</v>
          </cell>
          <cell r="F63">
            <v>0.24</v>
          </cell>
          <cell r="G63">
            <v>70776</v>
          </cell>
        </row>
        <row r="64">
          <cell r="B64" t="str">
            <v>TC05050350</v>
          </cell>
          <cell r="C64">
            <v>59</v>
          </cell>
          <cell r="D64" t="str">
            <v>Transporte de carga de qualquer natureza.</v>
          </cell>
          <cell r="E64" t="str">
            <v>t.Km</v>
          </cell>
          <cell r="F64">
            <v>0.39</v>
          </cell>
          <cell r="G64">
            <v>1880000</v>
          </cell>
        </row>
        <row r="65">
          <cell r="B65" t="str">
            <v>TC10050150</v>
          </cell>
          <cell r="C65">
            <v>60</v>
          </cell>
          <cell r="D65" t="str">
            <v>Carga manual e descarga mecânica.</v>
          </cell>
          <cell r="E65" t="str">
            <v>t</v>
          </cell>
          <cell r="F65">
            <v>7.38</v>
          </cell>
          <cell r="G65">
            <v>47000</v>
          </cell>
        </row>
        <row r="66">
          <cell r="B66" t="str">
            <v>EQ05050100A</v>
          </cell>
          <cell r="C66">
            <v>61</v>
          </cell>
          <cell r="D66" t="str">
            <v xml:space="preserve">Caminhão basculante. Custo horário produtivo.     </v>
          </cell>
          <cell r="E66" t="str">
            <v>h</v>
          </cell>
          <cell r="F66">
            <v>45.34</v>
          </cell>
          <cell r="G66">
            <v>2446</v>
          </cell>
        </row>
        <row r="67">
          <cell r="B67" t="str">
            <v>EQ05050103A</v>
          </cell>
          <cell r="C67">
            <v>62</v>
          </cell>
          <cell r="D67" t="str">
            <v>Caminhão basculante. Custo horário improdutivo.</v>
          </cell>
          <cell r="E67" t="str">
            <v>h</v>
          </cell>
          <cell r="F67">
            <v>25.39</v>
          </cell>
          <cell r="G67">
            <v>432</v>
          </cell>
        </row>
        <row r="68">
          <cell r="B68" t="str">
            <v>EQ05050300</v>
          </cell>
          <cell r="C68">
            <v>63</v>
          </cell>
          <cell r="D68" t="str">
            <v>Caminhão com Carroceria Fixa. Aluguel produtivo.</v>
          </cell>
          <cell r="E68" t="str">
            <v>h</v>
          </cell>
          <cell r="F68">
            <v>32.28</v>
          </cell>
          <cell r="G68">
            <v>1957</v>
          </cell>
        </row>
        <row r="69">
          <cell r="B69" t="str">
            <v>EQ05050306</v>
          </cell>
          <cell r="C69">
            <v>64</v>
          </cell>
          <cell r="D69" t="str">
            <v>Caminhão com Carroceria Fixa. Aluguel improdutivo.</v>
          </cell>
          <cell r="E69" t="str">
            <v>h</v>
          </cell>
          <cell r="F69">
            <v>8.5399999999999991</v>
          </cell>
          <cell r="G69">
            <v>346</v>
          </cell>
        </row>
        <row r="70">
          <cell r="B70" t="str">
            <v>EQ05050415</v>
          </cell>
          <cell r="C70">
            <v>65</v>
          </cell>
          <cell r="D70" t="str">
            <v xml:space="preserve">Caminhão Carroceria Fixa F-12000 Munck produtivo.               </v>
          </cell>
          <cell r="E70" t="str">
            <v>h</v>
          </cell>
          <cell r="F70">
            <v>53.72</v>
          </cell>
          <cell r="G70">
            <v>3453</v>
          </cell>
        </row>
        <row r="71">
          <cell r="B71" t="str">
            <v>EQ15050450</v>
          </cell>
          <cell r="C71">
            <v>66</v>
          </cell>
          <cell r="D71" t="str">
            <v xml:space="preserve">Pa-carregadeira(Carregador frontal). Custo produtivo.  </v>
          </cell>
          <cell r="E71" t="str">
            <v>h</v>
          </cell>
          <cell r="F71">
            <v>68.34</v>
          </cell>
          <cell r="G71">
            <v>1345</v>
          </cell>
        </row>
        <row r="72">
          <cell r="B72" t="str">
            <v>EQ15050453</v>
          </cell>
          <cell r="C72">
            <v>67</v>
          </cell>
          <cell r="D72" t="str">
            <v>Pa-carregadeira(Carregador Frontal).Custo improdutivo.</v>
          </cell>
          <cell r="E72" t="str">
            <v>h</v>
          </cell>
          <cell r="F72">
            <v>31.05</v>
          </cell>
          <cell r="G72">
            <v>237</v>
          </cell>
        </row>
        <row r="73">
          <cell r="B73" t="str">
            <v>EQ15050500</v>
          </cell>
          <cell r="C73">
            <v>68</v>
          </cell>
          <cell r="D73" t="str">
            <v xml:space="preserve">Retro-Escavadeira/carregadeira. Custo produtivo. </v>
          </cell>
          <cell r="E73" t="str">
            <v>h</v>
          </cell>
          <cell r="F73">
            <v>45.49</v>
          </cell>
          <cell r="G73">
            <v>1439</v>
          </cell>
        </row>
        <row r="74">
          <cell r="B74" t="str">
            <v>EQ30050200</v>
          </cell>
          <cell r="C74">
            <v>69</v>
          </cell>
          <cell r="D74" t="str">
            <v>Betoneira com capacidade de 580l, Aluguel produtivo.</v>
          </cell>
          <cell r="E74" t="str">
            <v>h</v>
          </cell>
          <cell r="F74">
            <v>4.71</v>
          </cell>
          <cell r="G74">
            <v>2041</v>
          </cell>
        </row>
        <row r="75">
          <cell r="B75" t="str">
            <v>EQ30050206</v>
          </cell>
          <cell r="C75">
            <v>70</v>
          </cell>
          <cell r="D75" t="str">
            <v>Betoneira com capacidade de 580l Aluguel improdutivo.</v>
          </cell>
          <cell r="E75" t="str">
            <v>h</v>
          </cell>
          <cell r="F75">
            <v>1.56</v>
          </cell>
          <cell r="G75">
            <v>216</v>
          </cell>
        </row>
        <row r="76">
          <cell r="B76" t="str">
            <v>EQ15050550</v>
          </cell>
          <cell r="C76">
            <v>71</v>
          </cell>
          <cell r="D76" t="str">
            <v xml:space="preserve">Rompedor Pneumático de 32,6Kg Aluguel produtivo. </v>
          </cell>
          <cell r="E76" t="str">
            <v>h</v>
          </cell>
          <cell r="F76">
            <v>1.05</v>
          </cell>
          <cell r="G76">
            <v>648</v>
          </cell>
        </row>
        <row r="77">
          <cell r="B77" t="str">
            <v>EQ15050556</v>
          </cell>
          <cell r="C77">
            <v>72</v>
          </cell>
          <cell r="D77" t="str">
            <v>Rompedor Pneumático de 32,6Kg Aluguel improdutivo.</v>
          </cell>
          <cell r="E77" t="str">
            <v>h</v>
          </cell>
          <cell r="F77">
            <v>0.7</v>
          </cell>
          <cell r="G77">
            <v>72</v>
          </cell>
        </row>
        <row r="78">
          <cell r="B78" t="str">
            <v xml:space="preserve"> EQ20050800</v>
          </cell>
          <cell r="C78">
            <v>73</v>
          </cell>
          <cell r="D78" t="str">
            <v xml:space="preserve">Vassoura Mecânica, rebocável, Aluguel produtivo.   </v>
          </cell>
          <cell r="E78" t="str">
            <v>h</v>
          </cell>
          <cell r="F78">
            <v>3.58</v>
          </cell>
          <cell r="G78">
            <v>1712</v>
          </cell>
        </row>
        <row r="79">
          <cell r="B79" t="str">
            <v>EQ20050806</v>
          </cell>
          <cell r="C79">
            <v>74</v>
          </cell>
          <cell r="D79" t="str">
            <v>Vassoura Mecânica, rebocável, Aluguel improdutivo.</v>
          </cell>
          <cell r="E79" t="str">
            <v>h</v>
          </cell>
          <cell r="F79">
            <v>1.43</v>
          </cell>
          <cell r="G79">
            <v>216</v>
          </cell>
        </row>
        <row r="80">
          <cell r="B80" t="str">
            <v>EQ35100200</v>
          </cell>
          <cell r="C80">
            <v>75</v>
          </cell>
          <cell r="D80" t="str">
            <v xml:space="preserve">Bomba Centrífuga Submersível. Aluguel produtivo.    </v>
          </cell>
          <cell r="E80" t="str">
            <v>h</v>
          </cell>
          <cell r="F80">
            <v>3.6</v>
          </cell>
          <cell r="G80">
            <v>8632</v>
          </cell>
        </row>
        <row r="81">
          <cell r="B81" t="str">
            <v>EQ35100203</v>
          </cell>
          <cell r="C81">
            <v>76</v>
          </cell>
          <cell r="D81" t="str">
            <v>Bomba Centrífuga Submersível. Aluguel improdutivo.</v>
          </cell>
          <cell r="E81" t="str">
            <v>h</v>
          </cell>
          <cell r="F81">
            <v>1.4</v>
          </cell>
          <cell r="G81">
            <v>863</v>
          </cell>
        </row>
        <row r="82">
          <cell r="B82" t="str">
            <v>EQ45050159</v>
          </cell>
          <cell r="C82">
            <v>77</v>
          </cell>
          <cell r="D82" t="str">
            <v>Compressor de ar. Aluguel improdutivo.</v>
          </cell>
          <cell r="E82" t="str">
            <v>h</v>
          </cell>
          <cell r="F82">
            <v>3.64</v>
          </cell>
          <cell r="G82">
            <v>72</v>
          </cell>
        </row>
        <row r="83">
          <cell r="B83" t="str">
            <v>EQ45150100</v>
          </cell>
          <cell r="C83">
            <v>78</v>
          </cell>
          <cell r="D83" t="str">
            <v>Retificador de solda elétrica de 430A.</v>
          </cell>
          <cell r="E83" t="str">
            <v>h</v>
          </cell>
          <cell r="F83">
            <v>7.16</v>
          </cell>
          <cell r="G83">
            <v>1007</v>
          </cell>
        </row>
        <row r="84">
          <cell r="B84" t="str">
            <v>EQ40050150A</v>
          </cell>
          <cell r="C84">
            <v>79</v>
          </cell>
          <cell r="D84" t="str">
            <v>Equipamento de jato d'água (Sewer-Jet ou similar).</v>
          </cell>
          <cell r="E84" t="str">
            <v>h</v>
          </cell>
          <cell r="F84">
            <v>79.2</v>
          </cell>
          <cell r="G84">
            <v>1079</v>
          </cell>
        </row>
        <row r="85">
          <cell r="B85" t="str">
            <v>EQ40050153A</v>
          </cell>
          <cell r="C85">
            <v>80</v>
          </cell>
          <cell r="D85" t="str">
            <v>Equipamento de alta pressão  (Vac-All ou similar).</v>
          </cell>
          <cell r="E85" t="str">
            <v>h</v>
          </cell>
          <cell r="F85">
            <v>104.07</v>
          </cell>
          <cell r="G85">
            <v>1942</v>
          </cell>
        </row>
        <row r="86">
          <cell r="B86" t="str">
            <v>SC05050050</v>
          </cell>
          <cell r="C86">
            <v>81</v>
          </cell>
          <cell r="D86" t="str">
            <v>Arrancamento de aparelhos de iluminação.</v>
          </cell>
          <cell r="E86" t="str">
            <v>un</v>
          </cell>
          <cell r="F86">
            <v>1.67</v>
          </cell>
          <cell r="G86">
            <v>65</v>
          </cell>
        </row>
        <row r="87">
          <cell r="B87" t="str">
            <v>SC05050200</v>
          </cell>
          <cell r="C87">
            <v>82</v>
          </cell>
          <cell r="D87" t="str">
            <v>Arrancamento de grades, gradis, alambrados, cercas.</v>
          </cell>
          <cell r="E87" t="str">
            <v>m2</v>
          </cell>
          <cell r="F87">
            <v>4.43</v>
          </cell>
          <cell r="G87">
            <v>144</v>
          </cell>
        </row>
        <row r="88">
          <cell r="B88" t="str">
            <v>SC05050250</v>
          </cell>
          <cell r="C88">
            <v>83</v>
          </cell>
          <cell r="D88" t="str">
            <v>Arrancamento de meios-fios, de granito ou concreto.</v>
          </cell>
          <cell r="E88" t="str">
            <v>m</v>
          </cell>
          <cell r="F88">
            <v>4.87</v>
          </cell>
          <cell r="G88">
            <v>3739</v>
          </cell>
        </row>
        <row r="89">
          <cell r="B89" t="str">
            <v>SC05050300</v>
          </cell>
          <cell r="C89">
            <v>84</v>
          </cell>
          <cell r="D89" t="str">
            <v>Arrancamento de paralelepípedos.</v>
          </cell>
          <cell r="E89" t="str">
            <v>m2</v>
          </cell>
          <cell r="F89">
            <v>2.21</v>
          </cell>
          <cell r="G89">
            <v>860</v>
          </cell>
        </row>
        <row r="90">
          <cell r="B90" t="str">
            <v>SC05050500</v>
          </cell>
          <cell r="C90">
            <v>85</v>
          </cell>
          <cell r="D90" t="str">
            <v>Arrancamento tubos concreto manilhas ø 0,40 a 0,60m.</v>
          </cell>
          <cell r="E90" t="str">
            <v>m</v>
          </cell>
          <cell r="F90">
            <v>3.99</v>
          </cell>
          <cell r="G90">
            <v>328</v>
          </cell>
        </row>
        <row r="91">
          <cell r="B91" t="str">
            <v>SC05050601</v>
          </cell>
          <cell r="C91">
            <v>86</v>
          </cell>
          <cell r="D91" t="str">
            <v>Demolição manual de alvenaria de pedra argamassada.</v>
          </cell>
          <cell r="E91" t="str">
            <v>m3</v>
          </cell>
          <cell r="F91">
            <v>30.27</v>
          </cell>
          <cell r="G91">
            <v>324</v>
          </cell>
        </row>
        <row r="92">
          <cell r="B92" t="str">
            <v>SC05050750</v>
          </cell>
          <cell r="C92">
            <v>87</v>
          </cell>
          <cell r="D92" t="str">
            <v>Demolição manual de alvenaria de tijolos maciços.</v>
          </cell>
          <cell r="E92" t="str">
            <v>m3</v>
          </cell>
          <cell r="F92">
            <v>52.99</v>
          </cell>
          <cell r="G92">
            <v>130</v>
          </cell>
        </row>
        <row r="93">
          <cell r="B93" t="str">
            <v>SC05050850</v>
          </cell>
          <cell r="C93">
            <v>88</v>
          </cell>
          <cell r="D93" t="str">
            <v>Demolição manual de concreto simples.</v>
          </cell>
          <cell r="E93" t="str">
            <v>m3</v>
          </cell>
          <cell r="F93">
            <v>60.55</v>
          </cell>
          <cell r="G93">
            <v>1904</v>
          </cell>
        </row>
        <row r="94">
          <cell r="B94" t="str">
            <v>SC05050950</v>
          </cell>
          <cell r="C94">
            <v>89</v>
          </cell>
          <cell r="D94" t="str">
            <v>Demolição manual de concreto armado.</v>
          </cell>
          <cell r="E94" t="str">
            <v>m3</v>
          </cell>
          <cell r="F94">
            <v>85.78</v>
          </cell>
          <cell r="G94">
            <v>140</v>
          </cell>
        </row>
        <row r="95">
          <cell r="B95" t="str">
            <v>SC05051400</v>
          </cell>
          <cell r="C95">
            <v>90</v>
          </cell>
          <cell r="D95" t="str">
            <v>Demolição de revestimento em argamassa.</v>
          </cell>
          <cell r="E95" t="str">
            <v>m2</v>
          </cell>
          <cell r="F95">
            <v>2.21</v>
          </cell>
          <cell r="G95">
            <v>144</v>
          </cell>
        </row>
        <row r="96">
          <cell r="B96" t="str">
            <v>SC05051450</v>
          </cell>
          <cell r="C96">
            <v>91</v>
          </cell>
          <cell r="D96" t="str">
            <v>Demolição de revestimento em azulejos, cerâmicas.</v>
          </cell>
          <cell r="E96" t="str">
            <v>m2</v>
          </cell>
          <cell r="F96">
            <v>5.31</v>
          </cell>
          <cell r="G96">
            <v>130</v>
          </cell>
        </row>
        <row r="97">
          <cell r="B97" t="str">
            <v>SC05052150</v>
          </cell>
          <cell r="C97">
            <v>92</v>
          </cell>
          <cell r="D97" t="str">
            <v>Remoção de cobertura de telha francesa.</v>
          </cell>
          <cell r="E97" t="str">
            <v>m2</v>
          </cell>
          <cell r="F97">
            <v>8.26</v>
          </cell>
          <cell r="G97">
            <v>260</v>
          </cell>
        </row>
        <row r="98">
          <cell r="B98" t="str">
            <v>SC05052450</v>
          </cell>
          <cell r="C98">
            <v>93</v>
          </cell>
          <cell r="D98" t="str">
            <v>Remoção de cobertura de telha de fibro-cimento.</v>
          </cell>
          <cell r="E98" t="str">
            <v>m2</v>
          </cell>
          <cell r="F98">
            <v>3.87</v>
          </cell>
          <cell r="G98">
            <v>460</v>
          </cell>
        </row>
        <row r="99">
          <cell r="B99" t="str">
            <v>SC05052900</v>
          </cell>
          <cell r="C99">
            <v>94</v>
          </cell>
          <cell r="D99" t="str">
            <v xml:space="preserve">Remoção manual de passeio de pedra portuguesa. </v>
          </cell>
          <cell r="E99" t="str">
            <v>m2</v>
          </cell>
          <cell r="F99">
            <v>2.44</v>
          </cell>
          <cell r="G99">
            <v>2900</v>
          </cell>
        </row>
        <row r="100">
          <cell r="B100" t="str">
            <v>SC05053250</v>
          </cell>
          <cell r="C100">
            <v>95</v>
          </cell>
          <cell r="D100" t="str">
            <v>Remoção de tubulação ferro fundido ø50mm a 300mm.</v>
          </cell>
          <cell r="E100" t="str">
            <v>m</v>
          </cell>
          <cell r="F100">
            <v>11.88</v>
          </cell>
          <cell r="G100">
            <v>290</v>
          </cell>
        </row>
        <row r="101">
          <cell r="B101" t="str">
            <v>SC05100150</v>
          </cell>
          <cell r="C101">
            <v>96</v>
          </cell>
          <cell r="D101" t="str">
            <v>Demolição, com equipamento, concreto simples.</v>
          </cell>
          <cell r="E101" t="str">
            <v>m3</v>
          </cell>
          <cell r="F101">
            <v>43.52</v>
          </cell>
          <cell r="G101">
            <v>2160</v>
          </cell>
        </row>
        <row r="102">
          <cell r="B102" t="str">
            <v>SC05100300</v>
          </cell>
          <cell r="C102">
            <v>97</v>
          </cell>
          <cell r="D102" t="str">
            <v>Demolição, com equipamento concreto armado.</v>
          </cell>
          <cell r="E102" t="str">
            <v>m3</v>
          </cell>
          <cell r="F102">
            <v>73.98</v>
          </cell>
          <cell r="G102">
            <v>3400</v>
          </cell>
        </row>
        <row r="103">
          <cell r="B103" t="str">
            <v>SC05100500</v>
          </cell>
          <cell r="C103">
            <v>98</v>
          </cell>
          <cell r="D103" t="str">
            <v>Demolição com equip. concreto asfáltico 10cm.</v>
          </cell>
          <cell r="E103" t="str">
            <v>m2</v>
          </cell>
          <cell r="F103">
            <v>8.98</v>
          </cell>
          <cell r="G103">
            <v>20100</v>
          </cell>
        </row>
        <row r="104">
          <cell r="B104" t="str">
            <v>SC10050250</v>
          </cell>
          <cell r="C104">
            <v>99</v>
          </cell>
          <cell r="D104" t="str">
            <v xml:space="preserve">Bombeiro hidráulico (inclusive encargos sociais).   </v>
          </cell>
          <cell r="E104" t="str">
            <v>h</v>
          </cell>
          <cell r="F104">
            <v>6.48</v>
          </cell>
          <cell r="G104">
            <v>2960</v>
          </cell>
        </row>
        <row r="105">
          <cell r="B105" t="str">
            <v>SC10050300</v>
          </cell>
          <cell r="C105">
            <v>100</v>
          </cell>
          <cell r="D105" t="str">
            <v xml:space="preserve">Calceteiro (inclusive encargos sociais).   </v>
          </cell>
          <cell r="E105" t="str">
            <v>h</v>
          </cell>
          <cell r="F105">
            <v>5.99</v>
          </cell>
          <cell r="G105">
            <v>1480</v>
          </cell>
        </row>
        <row r="106">
          <cell r="B106" t="str">
            <v>SC10050350</v>
          </cell>
          <cell r="C106">
            <v>101</v>
          </cell>
          <cell r="D106" t="str">
            <v>Carpinteiro de forma (inclusive encargos sociais).</v>
          </cell>
          <cell r="E106" t="str">
            <v>h</v>
          </cell>
          <cell r="F106">
            <v>5.99</v>
          </cell>
          <cell r="G106">
            <v>1480</v>
          </cell>
        </row>
        <row r="107">
          <cell r="B107" t="str">
            <v>SC10050450</v>
          </cell>
          <cell r="C107">
            <v>102</v>
          </cell>
          <cell r="D107" t="str">
            <v xml:space="preserve">Eletricista (inclusive encargos sociais). </v>
          </cell>
          <cell r="E107" t="str">
            <v>h</v>
          </cell>
          <cell r="F107">
            <v>6.48</v>
          </cell>
          <cell r="G107">
            <v>2960</v>
          </cell>
        </row>
        <row r="108">
          <cell r="B108" t="str">
            <v>SC10050900</v>
          </cell>
          <cell r="C108">
            <v>103</v>
          </cell>
          <cell r="D108" t="str">
            <v xml:space="preserve">Marteleteiro (inclusive encargos sociais). </v>
          </cell>
          <cell r="E108" t="str">
            <v>h</v>
          </cell>
          <cell r="F108">
            <v>5.99</v>
          </cell>
          <cell r="G108">
            <v>2960</v>
          </cell>
        </row>
        <row r="109">
          <cell r="B109" t="str">
            <v>SC10051100</v>
          </cell>
          <cell r="C109">
            <v>104</v>
          </cell>
          <cell r="D109" t="str">
            <v>Operador de máquinas.(inclusive encargos sociais).</v>
          </cell>
          <cell r="E109" t="str">
            <v>h</v>
          </cell>
          <cell r="F109">
            <v>6.48</v>
          </cell>
          <cell r="G109">
            <v>1480</v>
          </cell>
        </row>
        <row r="110">
          <cell r="B110" t="str">
            <v>SC10051200</v>
          </cell>
          <cell r="C110">
            <v>105</v>
          </cell>
          <cell r="D110" t="str">
            <v xml:space="preserve">Pedreiro (inclusive encargos sociais).   </v>
          </cell>
          <cell r="E110" t="str">
            <v>h</v>
          </cell>
          <cell r="F110">
            <v>5.99</v>
          </cell>
          <cell r="G110">
            <v>2960</v>
          </cell>
        </row>
        <row r="111">
          <cell r="B111" t="str">
            <v>SC10051450</v>
          </cell>
          <cell r="C111">
            <v>106</v>
          </cell>
          <cell r="D111" t="str">
            <v>Servente (inclusive encargos sociais).</v>
          </cell>
          <cell r="E111" t="str">
            <v>h</v>
          </cell>
          <cell r="F111">
            <v>4.3</v>
          </cell>
          <cell r="G111">
            <v>5920</v>
          </cell>
        </row>
        <row r="112">
          <cell r="B112" t="str">
            <v>SC10051500</v>
          </cell>
          <cell r="C112">
            <v>107</v>
          </cell>
          <cell r="D112" t="str">
            <v>Soldador em construção civil (inclusive encargos).</v>
          </cell>
          <cell r="E112" t="str">
            <v>h</v>
          </cell>
          <cell r="F112">
            <v>6.23</v>
          </cell>
          <cell r="G112">
            <v>1480</v>
          </cell>
        </row>
        <row r="113">
          <cell r="B113" t="str">
            <v>SC10100050</v>
          </cell>
          <cell r="C113">
            <v>108</v>
          </cell>
          <cell r="D113" t="str">
            <v xml:space="preserve">Operador de tráfego(inclusive encargos sociais). </v>
          </cell>
          <cell r="E113" t="str">
            <v>h</v>
          </cell>
          <cell r="F113">
            <v>7.08</v>
          </cell>
          <cell r="G113">
            <v>2960</v>
          </cell>
        </row>
        <row r="114">
          <cell r="B114" t="str">
            <v>SC05100050</v>
          </cell>
          <cell r="C114">
            <v>109</v>
          </cell>
          <cell r="D114" t="str">
            <v>Arrancamento de tampão de ferro fundido.</v>
          </cell>
          <cell r="E114" t="str">
            <v>un</v>
          </cell>
          <cell r="F114">
            <v>15.18</v>
          </cell>
          <cell r="G114">
            <v>22</v>
          </cell>
        </row>
        <row r="115">
          <cell r="B115" t="str">
            <v>SC15050100</v>
          </cell>
          <cell r="C115">
            <v>110</v>
          </cell>
          <cell r="D115" t="str">
            <v>Aditivo de reciclagem para mistura asfáltica a quente.</v>
          </cell>
          <cell r="E115" t="str">
            <v>t</v>
          </cell>
          <cell r="F115">
            <v>2857.32</v>
          </cell>
          <cell r="G115">
            <v>15</v>
          </cell>
        </row>
        <row r="116">
          <cell r="B116" t="str">
            <v>SC15050150</v>
          </cell>
          <cell r="C116">
            <v>111</v>
          </cell>
          <cell r="D116" t="str">
            <v>Areia grossa lavada. Fornecimento.</v>
          </cell>
          <cell r="E116" t="str">
            <v>m3</v>
          </cell>
          <cell r="F116">
            <v>21</v>
          </cell>
          <cell r="G116">
            <v>2000</v>
          </cell>
        </row>
        <row r="117">
          <cell r="B117" t="str">
            <v>SC15050200</v>
          </cell>
          <cell r="C117">
            <v>112</v>
          </cell>
          <cell r="D117" t="str">
            <v>Asfalto diluído tipo cura rápida CR-250</v>
          </cell>
          <cell r="E117" t="str">
            <v>t</v>
          </cell>
          <cell r="F117">
            <v>1468.02</v>
          </cell>
          <cell r="G117">
            <v>7</v>
          </cell>
        </row>
        <row r="118">
          <cell r="B118" t="str">
            <v>SC15050550</v>
          </cell>
          <cell r="C118">
            <v>113</v>
          </cell>
          <cell r="D118" t="str">
            <v xml:space="preserve">Saibro, inclusive transporte ate 20Km.Fornecimento. </v>
          </cell>
          <cell r="E118" t="str">
            <v>m3</v>
          </cell>
          <cell r="F118">
            <v>20.63</v>
          </cell>
          <cell r="G118">
            <v>184</v>
          </cell>
        </row>
        <row r="119">
          <cell r="B119" t="str">
            <v>SC15100050</v>
          </cell>
          <cell r="C119">
            <v>114</v>
          </cell>
          <cell r="D119" t="str">
            <v>Chapa de aço de 3/4"para passagem de veículos.</v>
          </cell>
          <cell r="E119" t="str">
            <v>m2</v>
          </cell>
          <cell r="F119">
            <v>17.100000000000001</v>
          </cell>
          <cell r="G119">
            <v>360</v>
          </cell>
        </row>
        <row r="120">
          <cell r="B120" t="str">
            <v>SC35050050A</v>
          </cell>
          <cell r="C120">
            <v>115</v>
          </cell>
          <cell r="D120" t="str">
            <v>Levantamento ou rebaixamento de tampão na rua.</v>
          </cell>
          <cell r="E120" t="str">
            <v>un</v>
          </cell>
          <cell r="F120">
            <v>86.15</v>
          </cell>
          <cell r="G120">
            <v>169</v>
          </cell>
        </row>
        <row r="121">
          <cell r="B121" t="str">
            <v>SC45050150</v>
          </cell>
          <cell r="C121">
            <v>116</v>
          </cell>
          <cell r="D121" t="str">
            <v>Toten informativo nas dimensões de (0,50x1,50)m.</v>
          </cell>
          <cell r="E121" t="str">
            <v>un</v>
          </cell>
          <cell r="F121">
            <v>2490</v>
          </cell>
          <cell r="G121">
            <v>29</v>
          </cell>
        </row>
        <row r="122">
          <cell r="B122" t="str">
            <v>SC45100200</v>
          </cell>
          <cell r="C122">
            <v>117</v>
          </cell>
          <cell r="D122" t="str">
            <v>Placa de inauguração em bronze.</v>
          </cell>
          <cell r="E122" t="str">
            <v>un</v>
          </cell>
          <cell r="F122">
            <v>1003.36</v>
          </cell>
          <cell r="G122">
            <v>1</v>
          </cell>
        </row>
        <row r="123">
          <cell r="B123" t="str">
            <v>FD05400100</v>
          </cell>
          <cell r="C123">
            <v>118</v>
          </cell>
          <cell r="D123" t="str">
            <v>Arrasamento de estaca concreto armado, ø40 a 50cm.</v>
          </cell>
          <cell r="E123" t="str">
            <v>un</v>
          </cell>
          <cell r="F123">
            <v>103.03</v>
          </cell>
          <cell r="G123">
            <v>23</v>
          </cell>
        </row>
        <row r="124">
          <cell r="B124" t="str">
            <v>FD05500050</v>
          </cell>
          <cell r="C124">
            <v>119</v>
          </cell>
          <cell r="D124" t="str">
            <v>Estaca raiz com diâmetro de 12", perfurada em solo.</v>
          </cell>
          <cell r="E124" t="str">
            <v>m</v>
          </cell>
          <cell r="F124">
            <v>248.49</v>
          </cell>
          <cell r="G124">
            <v>260</v>
          </cell>
        </row>
        <row r="125">
          <cell r="B125" t="str">
            <v>FD05650150</v>
          </cell>
          <cell r="C125">
            <v>120</v>
          </cell>
          <cell r="D125" t="str">
            <v>Estaca raiz com diâmetro de 10", perfurada em solo.</v>
          </cell>
          <cell r="E125" t="str">
            <v>m</v>
          </cell>
          <cell r="F125">
            <v>130</v>
          </cell>
          <cell r="G125">
            <v>86</v>
          </cell>
        </row>
        <row r="126">
          <cell r="B126" t="str">
            <v>FD10050100</v>
          </cell>
          <cell r="C126">
            <v>121</v>
          </cell>
          <cell r="D126" t="str">
            <v>Ensecadeira de estacas-prancha de aço, tipo Armco.</v>
          </cell>
          <cell r="E126" t="str">
            <v>m2</v>
          </cell>
          <cell r="F126">
            <v>127.53</v>
          </cell>
          <cell r="G126">
            <v>4200</v>
          </cell>
        </row>
        <row r="127">
          <cell r="B127" t="str">
            <v>FD10100050</v>
          </cell>
          <cell r="C127">
            <v>122</v>
          </cell>
          <cell r="D127" t="str">
            <v>Ensecadeira de estacas-prancha em Maçaranduba.</v>
          </cell>
          <cell r="E127" t="str">
            <v>m2</v>
          </cell>
          <cell r="F127">
            <v>70.5</v>
          </cell>
          <cell r="G127">
            <v>2395</v>
          </cell>
        </row>
        <row r="128">
          <cell r="B128" t="str">
            <v>ET15100100</v>
          </cell>
          <cell r="C128">
            <v>123</v>
          </cell>
          <cell r="D128" t="str">
            <v>Formas de madeira peças de concreto armado.</v>
          </cell>
          <cell r="E128" t="str">
            <v>m2</v>
          </cell>
          <cell r="F128">
            <v>25.9</v>
          </cell>
          <cell r="G128">
            <v>2986</v>
          </cell>
        </row>
        <row r="129">
          <cell r="B129" t="str">
            <v>ET15100200</v>
          </cell>
          <cell r="C129">
            <v>124</v>
          </cell>
          <cell r="D129" t="str">
            <v>Formas de madeira.</v>
          </cell>
          <cell r="E129" t="str">
            <v>m2</v>
          </cell>
          <cell r="F129">
            <v>34.86</v>
          </cell>
          <cell r="G129">
            <v>4352</v>
          </cell>
        </row>
        <row r="130">
          <cell r="B130" t="str">
            <v>ET15100250</v>
          </cell>
          <cell r="C130">
            <v>125</v>
          </cell>
          <cell r="D130" t="str">
            <v>Formas de madeira.</v>
          </cell>
          <cell r="E130" t="str">
            <v>m2</v>
          </cell>
          <cell r="F130">
            <v>29.62</v>
          </cell>
          <cell r="G130">
            <v>4406</v>
          </cell>
        </row>
        <row r="131">
          <cell r="B131" t="str">
            <v>ET20300050</v>
          </cell>
          <cell r="C131">
            <v>126</v>
          </cell>
          <cell r="D131" t="str">
            <v>Escoramento de formas.</v>
          </cell>
          <cell r="E131" t="str">
            <v>m2</v>
          </cell>
          <cell r="F131">
            <v>11.18</v>
          </cell>
          <cell r="G131">
            <v>3090</v>
          </cell>
        </row>
        <row r="132">
          <cell r="B132" t="str">
            <v>ET10050100</v>
          </cell>
          <cell r="C132">
            <v>127</v>
          </cell>
          <cell r="D132" t="str">
            <v>Aço CA-50 diâmetro de 6,3mm.</v>
          </cell>
          <cell r="E132" t="str">
            <v>kg</v>
          </cell>
          <cell r="F132">
            <v>2.64</v>
          </cell>
          <cell r="G132">
            <v>4750</v>
          </cell>
        </row>
        <row r="133">
          <cell r="B133" t="str">
            <v>ET10050103</v>
          </cell>
          <cell r="C133">
            <v>128</v>
          </cell>
          <cell r="D133" t="str">
            <v>Aço CA-50 diâmetro de 8mm.</v>
          </cell>
          <cell r="E133" t="str">
            <v>kg</v>
          </cell>
          <cell r="F133">
            <v>2.46</v>
          </cell>
          <cell r="G133">
            <v>1250</v>
          </cell>
        </row>
        <row r="134">
          <cell r="B134" t="str">
            <v>ET10050106</v>
          </cell>
          <cell r="C134">
            <v>129</v>
          </cell>
          <cell r="D134" t="str">
            <v>Aço CA-50 diâmetro de 10mm.</v>
          </cell>
          <cell r="E134" t="str">
            <v>kg</v>
          </cell>
          <cell r="F134">
            <v>2.2000000000000002</v>
          </cell>
          <cell r="G134">
            <v>7950</v>
          </cell>
        </row>
        <row r="135">
          <cell r="B135" t="str">
            <v>ET10050109</v>
          </cell>
          <cell r="C135">
            <v>130</v>
          </cell>
          <cell r="D135" t="str">
            <v>Aço CA-50 diâmetro de 12,5mm.</v>
          </cell>
          <cell r="E135" t="str">
            <v>kg</v>
          </cell>
          <cell r="F135">
            <v>2.1800000000000002</v>
          </cell>
          <cell r="G135">
            <v>5400</v>
          </cell>
        </row>
        <row r="136">
          <cell r="B136" t="str">
            <v>ET10050112</v>
          </cell>
          <cell r="C136">
            <v>131</v>
          </cell>
          <cell r="D136" t="str">
            <v>Aço CA-50 diâmetro de 16mm.</v>
          </cell>
          <cell r="E136" t="str">
            <v>kg</v>
          </cell>
          <cell r="F136">
            <v>2.1800000000000002</v>
          </cell>
          <cell r="G136">
            <v>2700</v>
          </cell>
        </row>
        <row r="137">
          <cell r="B137" t="str">
            <v>ET10050118</v>
          </cell>
          <cell r="C137">
            <v>132</v>
          </cell>
          <cell r="D137" t="str">
            <v>Aço CA-50 diâmetro de 25mm.</v>
          </cell>
          <cell r="E137" t="str">
            <v>kg</v>
          </cell>
          <cell r="F137">
            <v>2.19</v>
          </cell>
          <cell r="G137">
            <v>1400</v>
          </cell>
        </row>
        <row r="138">
          <cell r="B138" t="str">
            <v>ET10100056</v>
          </cell>
          <cell r="C138">
            <v>133</v>
          </cell>
          <cell r="D138" t="str">
            <v>Corte, dobragem, montagem aço CA-50 ø 6,3mm.</v>
          </cell>
          <cell r="E138" t="str">
            <v>kg</v>
          </cell>
          <cell r="F138">
            <v>1.28</v>
          </cell>
          <cell r="G138">
            <v>4750</v>
          </cell>
        </row>
        <row r="139">
          <cell r="B139" t="str">
            <v>ET10100062</v>
          </cell>
          <cell r="C139">
            <v>134</v>
          </cell>
          <cell r="D139" t="str">
            <v>Corte, dobragem, montagem aço CA-50 ø 12,5mm.</v>
          </cell>
          <cell r="E139" t="str">
            <v>kg</v>
          </cell>
          <cell r="F139">
            <v>0.96</v>
          </cell>
          <cell r="G139">
            <v>9450</v>
          </cell>
        </row>
        <row r="140">
          <cell r="B140" t="str">
            <v>ET10100065</v>
          </cell>
          <cell r="C140">
            <v>135</v>
          </cell>
          <cell r="D140" t="str">
            <v>Corte, dobragem, montagem aço CA-50 ø 6,3 a 12,5mm.</v>
          </cell>
          <cell r="E140" t="str">
            <v>kg</v>
          </cell>
          <cell r="F140">
            <v>1.1100000000000001</v>
          </cell>
          <cell r="G140">
            <v>13950</v>
          </cell>
        </row>
        <row r="141">
          <cell r="B141" t="str">
            <v>ET05250653</v>
          </cell>
          <cell r="C141">
            <v>136</v>
          </cell>
          <cell r="D141" t="str">
            <v>Lançamento de concreto.</v>
          </cell>
          <cell r="E141" t="str">
            <v>m3</v>
          </cell>
          <cell r="F141">
            <v>22.57</v>
          </cell>
          <cell r="G141">
            <v>187</v>
          </cell>
        </row>
        <row r="142">
          <cell r="B142" t="str">
            <v>ET45100071</v>
          </cell>
          <cell r="C142">
            <v>137</v>
          </cell>
          <cell r="D142" t="str">
            <v>Concreto bombeado usinado fck=30MPa.</v>
          </cell>
          <cell r="E142" t="str">
            <v>m3</v>
          </cell>
          <cell r="F142">
            <v>297.16000000000003</v>
          </cell>
          <cell r="G142">
            <v>195</v>
          </cell>
        </row>
        <row r="143">
          <cell r="B143" t="str">
            <v>ET60050059</v>
          </cell>
          <cell r="C143">
            <v>138</v>
          </cell>
          <cell r="D143" t="str">
            <v>Concreto usinado de 18MPa.</v>
          </cell>
          <cell r="E143" t="str">
            <v>m3</v>
          </cell>
          <cell r="F143">
            <v>185.77</v>
          </cell>
          <cell r="G143">
            <v>187</v>
          </cell>
        </row>
        <row r="144">
          <cell r="B144" t="str">
            <v>ET25050300</v>
          </cell>
          <cell r="C144">
            <v>139</v>
          </cell>
          <cell r="D144" t="str">
            <v>Fornecimento e montagem de estruturas metálicas.</v>
          </cell>
          <cell r="E144" t="str">
            <v>t</v>
          </cell>
          <cell r="F144">
            <v>7186.39</v>
          </cell>
          <cell r="G144">
            <v>36</v>
          </cell>
        </row>
        <row r="145">
          <cell r="B145" t="str">
            <v>ET25050450</v>
          </cell>
          <cell r="C145">
            <v>140</v>
          </cell>
          <cell r="D145" t="str">
            <v>Peças em chapa de aço 3/8", galvanizadas.</v>
          </cell>
          <cell r="E145" t="str">
            <v>Kg</v>
          </cell>
          <cell r="F145">
            <v>3.99</v>
          </cell>
          <cell r="G145">
            <v>2166</v>
          </cell>
        </row>
        <row r="146">
          <cell r="B146" t="str">
            <v>ET25050453</v>
          </cell>
          <cell r="C146">
            <v>141</v>
          </cell>
          <cell r="D146" t="str">
            <v>Peças em chapa de aço 3/8", galvanizadas.</v>
          </cell>
          <cell r="E146" t="str">
            <v>Kg</v>
          </cell>
          <cell r="F146">
            <v>4.26</v>
          </cell>
          <cell r="G146">
            <v>2078</v>
          </cell>
        </row>
        <row r="147">
          <cell r="B147" t="str">
            <v>ET25050456</v>
          </cell>
          <cell r="C147">
            <v>142</v>
          </cell>
          <cell r="D147" t="str">
            <v>Peças em chapa de aço 3/8", galvanizadas.</v>
          </cell>
          <cell r="E147" t="str">
            <v>Kg</v>
          </cell>
          <cell r="F147">
            <v>4.16</v>
          </cell>
          <cell r="G147">
            <v>1820</v>
          </cell>
        </row>
        <row r="148">
          <cell r="B148" t="str">
            <v>ET50050250</v>
          </cell>
          <cell r="C148">
            <v>143</v>
          </cell>
          <cell r="D148" t="str">
            <v>Muro de contenção em solo reforçado.</v>
          </cell>
          <cell r="E148" t="str">
            <v>m2</v>
          </cell>
          <cell r="F148">
            <v>145.63</v>
          </cell>
          <cell r="G148">
            <v>144</v>
          </cell>
        </row>
        <row r="149">
          <cell r="B149" t="str">
            <v>ET55100100</v>
          </cell>
          <cell r="C149">
            <v>144</v>
          </cell>
          <cell r="D149" t="str">
            <v>Canal pré-fabricado, em concreto armado seção U.</v>
          </cell>
          <cell r="E149" t="str">
            <v>m2</v>
          </cell>
          <cell r="F149">
            <v>384.26</v>
          </cell>
          <cell r="G149">
            <v>86</v>
          </cell>
        </row>
        <row r="150">
          <cell r="B150" t="str">
            <v>ET55100150</v>
          </cell>
          <cell r="C150">
            <v>145</v>
          </cell>
          <cell r="D150" t="str">
            <v>Cobertura de canal pré-fabricado em concreto armado.</v>
          </cell>
          <cell r="E150" t="str">
            <v>m2</v>
          </cell>
          <cell r="F150">
            <v>435.06</v>
          </cell>
          <cell r="G150">
            <v>58</v>
          </cell>
        </row>
        <row r="151">
          <cell r="B151" t="str">
            <v>ES05250359</v>
          </cell>
          <cell r="C151">
            <v>146</v>
          </cell>
          <cell r="D151" t="str">
            <v>Gradil em tubo de ferro galvanizado de 1 1/4".</v>
          </cell>
          <cell r="E151" t="str">
            <v>m</v>
          </cell>
          <cell r="F151">
            <v>338.32</v>
          </cell>
          <cell r="G151">
            <v>144</v>
          </cell>
        </row>
        <row r="152">
          <cell r="B152" t="str">
            <v>ES10250150</v>
          </cell>
          <cell r="C152">
            <v>147</v>
          </cell>
          <cell r="D152" t="str">
            <v xml:space="preserve">Peça em Angelim ou similar, de 2"x1".Fornecimento. </v>
          </cell>
          <cell r="E152" t="str">
            <v>m</v>
          </cell>
          <cell r="F152">
            <v>2.14</v>
          </cell>
          <cell r="G152">
            <v>150</v>
          </cell>
        </row>
        <row r="153">
          <cell r="B153" t="str">
            <v>ES10250200</v>
          </cell>
          <cell r="C153">
            <v>148</v>
          </cell>
          <cell r="D153" t="str">
            <v xml:space="preserve">Peça em Ipê ou similar, de 2"x8".  Fornecimento.    </v>
          </cell>
          <cell r="E153" t="str">
            <v>m</v>
          </cell>
          <cell r="F153">
            <v>30.26</v>
          </cell>
          <cell r="G153">
            <v>200</v>
          </cell>
        </row>
        <row r="154">
          <cell r="B154" t="str">
            <v>ES10250262</v>
          </cell>
          <cell r="C154">
            <v>149</v>
          </cell>
          <cell r="D154" t="str">
            <v>Peça em Maçaranduba ou similar, serrada, de 3"x6".</v>
          </cell>
          <cell r="E154" t="str">
            <v>m</v>
          </cell>
          <cell r="F154">
            <v>8.66</v>
          </cell>
          <cell r="G154">
            <v>100</v>
          </cell>
        </row>
        <row r="155">
          <cell r="B155" t="str">
            <v>ES99990050</v>
          </cell>
          <cell r="C155">
            <v>150</v>
          </cell>
          <cell r="D155" t="str">
            <v>Arruela de 5/16", inclusive transporte até a obra.</v>
          </cell>
          <cell r="E155" t="str">
            <v>un</v>
          </cell>
          <cell r="F155">
            <v>0.02</v>
          </cell>
          <cell r="G155">
            <v>863</v>
          </cell>
        </row>
        <row r="156">
          <cell r="B156" t="str">
            <v>ES99990700</v>
          </cell>
          <cell r="C156">
            <v>151</v>
          </cell>
          <cell r="D156" t="str">
            <v>Parafuso de (8x250)mm.</v>
          </cell>
          <cell r="E156" t="str">
            <v>un</v>
          </cell>
          <cell r="F156">
            <v>0.78</v>
          </cell>
          <cell r="G156">
            <v>863</v>
          </cell>
        </row>
        <row r="157">
          <cell r="B157" t="str">
            <v>ES99990800</v>
          </cell>
          <cell r="C157">
            <v>152</v>
          </cell>
          <cell r="D157" t="str">
            <v>Porca de 5/16", inclusive transporte até a obra.</v>
          </cell>
          <cell r="E157" t="str">
            <v>un</v>
          </cell>
          <cell r="F157">
            <v>0.04</v>
          </cell>
          <cell r="G157">
            <v>863</v>
          </cell>
        </row>
        <row r="158">
          <cell r="B158" t="str">
            <v>ES99990900</v>
          </cell>
          <cell r="C158">
            <v>153</v>
          </cell>
          <cell r="D158" t="str">
            <v>Prego com cabeça chata 23x54, em caixa de 100Kg.</v>
          </cell>
          <cell r="E158" t="str">
            <v>Kg</v>
          </cell>
          <cell r="F158">
            <v>3.01</v>
          </cell>
          <cell r="G158">
            <v>332</v>
          </cell>
        </row>
        <row r="159">
          <cell r="B159" t="str">
            <v>IT25100112</v>
          </cell>
          <cell r="C159">
            <v>154</v>
          </cell>
          <cell r="D159" t="str">
            <v>Kanalex diâmetro de 50mm (2" ).</v>
          </cell>
          <cell r="E159" t="str">
            <v>m</v>
          </cell>
          <cell r="F159">
            <v>4.55</v>
          </cell>
          <cell r="G159">
            <v>356</v>
          </cell>
        </row>
        <row r="160">
          <cell r="B160" t="str">
            <v>IT25100115</v>
          </cell>
          <cell r="C160">
            <v>155</v>
          </cell>
          <cell r="D160" t="str">
            <v>Kanalex diâmetro de 75mm (3" ).</v>
          </cell>
          <cell r="E160" t="str">
            <v>m</v>
          </cell>
          <cell r="F160">
            <v>5.98</v>
          </cell>
          <cell r="G160">
            <v>1766</v>
          </cell>
        </row>
        <row r="161">
          <cell r="B161" t="str">
            <v>IT25100118</v>
          </cell>
          <cell r="C161">
            <v>156</v>
          </cell>
          <cell r="D161" t="str">
            <v>Kanalex diâmetro de 100mm (4" ).</v>
          </cell>
          <cell r="E161" t="str">
            <v>m</v>
          </cell>
          <cell r="F161">
            <v>7.02</v>
          </cell>
          <cell r="G161">
            <v>2554</v>
          </cell>
        </row>
        <row r="162">
          <cell r="B162" t="str">
            <v>IT25100159</v>
          </cell>
          <cell r="C162">
            <v>157</v>
          </cell>
          <cell r="D162" t="str">
            <v>Linha dupla de Kanalex diâmetro de 75mm (3" ).</v>
          </cell>
          <cell r="E162" t="str">
            <v>m</v>
          </cell>
          <cell r="F162">
            <v>10.52</v>
          </cell>
          <cell r="G162">
            <v>3705</v>
          </cell>
        </row>
        <row r="163">
          <cell r="B163" t="str">
            <v>IT25100162</v>
          </cell>
          <cell r="C163">
            <v>158</v>
          </cell>
          <cell r="D163" t="str">
            <v>Linha dupla de Kanalex diâmetro de 100mm (4" ).</v>
          </cell>
          <cell r="E163" t="str">
            <v>m</v>
          </cell>
          <cell r="F163">
            <v>21.87</v>
          </cell>
          <cell r="G163">
            <v>6000</v>
          </cell>
        </row>
        <row r="164">
          <cell r="B164" t="str">
            <v xml:space="preserve"> IT25100165</v>
          </cell>
          <cell r="C164">
            <v>159</v>
          </cell>
          <cell r="D164" t="str">
            <v>Linha dupla de Kanalex diâmetro de 125mm (5" ).</v>
          </cell>
          <cell r="E164" t="str">
            <v>m</v>
          </cell>
          <cell r="F164">
            <v>29.6</v>
          </cell>
          <cell r="G164">
            <v>4000</v>
          </cell>
        </row>
        <row r="165">
          <cell r="B165" t="str">
            <v xml:space="preserve"> IT25340321</v>
          </cell>
          <cell r="C165">
            <v>160</v>
          </cell>
          <cell r="D165" t="str">
            <v>Cabo de cobre rígido, seção de 35mm2 XLPE.</v>
          </cell>
          <cell r="E165" t="str">
            <v>m</v>
          </cell>
          <cell r="F165">
            <v>11.38</v>
          </cell>
          <cell r="G165">
            <v>2842</v>
          </cell>
        </row>
        <row r="166">
          <cell r="B166" t="str">
            <v>IT25700100</v>
          </cell>
          <cell r="C166">
            <v>161</v>
          </cell>
          <cell r="D166" t="str">
            <v>Haste para aterramento, de cobre, de 5/8", com 3m.</v>
          </cell>
          <cell r="E166" t="str">
            <v xml:space="preserve"> un</v>
          </cell>
          <cell r="F166">
            <v>60.94</v>
          </cell>
          <cell r="G166">
            <v>29</v>
          </cell>
        </row>
        <row r="167">
          <cell r="B167" t="str">
            <v>IT25990100</v>
          </cell>
          <cell r="C167">
            <v>162</v>
          </cell>
          <cell r="D167" t="str">
            <v>Base de ferro retangular, para caixa subterrânea.</v>
          </cell>
          <cell r="E167" t="str">
            <v xml:space="preserve"> un</v>
          </cell>
          <cell r="F167">
            <v>117.72</v>
          </cell>
          <cell r="G167">
            <v>55</v>
          </cell>
        </row>
        <row r="168">
          <cell r="B168" t="str">
            <v>IT25990103</v>
          </cell>
          <cell r="C168">
            <v>163</v>
          </cell>
          <cell r="D168" t="str">
            <v>Tampa de ferro retangular, medindo (1,07x0,52)m.</v>
          </cell>
          <cell r="E168" t="str">
            <v xml:space="preserve"> un</v>
          </cell>
          <cell r="F168">
            <v>231.13</v>
          </cell>
          <cell r="G168">
            <v>55</v>
          </cell>
        </row>
        <row r="169">
          <cell r="B169" t="str">
            <v>RV15200409</v>
          </cell>
          <cell r="C169">
            <v>164</v>
          </cell>
          <cell r="D169" t="str">
            <v>Revestimento com granito Cinza flameado.</v>
          </cell>
          <cell r="E169" t="str">
            <v>m2</v>
          </cell>
          <cell r="F169">
            <v>82.41</v>
          </cell>
          <cell r="G169">
            <v>152</v>
          </cell>
        </row>
        <row r="170">
          <cell r="B170" t="str">
            <v>RV15250103</v>
          </cell>
          <cell r="C170">
            <v>165</v>
          </cell>
          <cell r="D170" t="str">
            <v>Piso de concreto simples,8cm de espessura.</v>
          </cell>
          <cell r="E170" t="str">
            <v>m2</v>
          </cell>
          <cell r="F170">
            <v>24.65</v>
          </cell>
          <cell r="G170">
            <v>1095</v>
          </cell>
        </row>
        <row r="171">
          <cell r="B171" t="str">
            <v>CI05750050</v>
          </cell>
          <cell r="C171">
            <v>166</v>
          </cell>
          <cell r="D171" t="str">
            <v>Cabine para quiosque em Fiber-Glass.</v>
          </cell>
          <cell r="E171" t="str">
            <v xml:space="preserve"> un   </v>
          </cell>
          <cell r="F171">
            <v>12250.73</v>
          </cell>
          <cell r="G171">
            <v>6</v>
          </cell>
        </row>
        <row r="172">
          <cell r="B172" t="str">
            <v>PT05300250</v>
          </cell>
          <cell r="C172">
            <v>167</v>
          </cell>
          <cell r="D172" t="str">
            <v>Pintura sobre concreto com uma demão de Primer.</v>
          </cell>
          <cell r="E172" t="str">
            <v>m2</v>
          </cell>
          <cell r="F172">
            <v>9.09</v>
          </cell>
          <cell r="G172">
            <v>542</v>
          </cell>
        </row>
        <row r="173">
          <cell r="B173" t="str">
            <v>PT05400106</v>
          </cell>
          <cell r="C173">
            <v>168</v>
          </cell>
          <cell r="D173" t="str">
            <v>Pintura interna ou externa sobre ferro, com esmalte.</v>
          </cell>
          <cell r="E173" t="str">
            <v>m2</v>
          </cell>
          <cell r="F173">
            <v>7.86</v>
          </cell>
          <cell r="G173">
            <v>1262</v>
          </cell>
        </row>
        <row r="174">
          <cell r="B174" t="str">
            <v>DR05200050</v>
          </cell>
          <cell r="C174">
            <v>169</v>
          </cell>
          <cell r="D174" t="str">
            <v>Tubo de concreto armado com diametro de 0,40m.</v>
          </cell>
          <cell r="E174" t="str">
            <v>m</v>
          </cell>
          <cell r="F174">
            <v>43.02</v>
          </cell>
          <cell r="G174">
            <v>768</v>
          </cell>
        </row>
        <row r="175">
          <cell r="B175" t="str">
            <v>DR05200100</v>
          </cell>
          <cell r="C175">
            <v>170</v>
          </cell>
          <cell r="D175" t="str">
            <v>Tubo de concreto armado com diâmetro de 0,50m.</v>
          </cell>
          <cell r="E175" t="str">
            <v>m</v>
          </cell>
          <cell r="F175">
            <v>62.61</v>
          </cell>
          <cell r="G175">
            <v>290</v>
          </cell>
        </row>
        <row r="176">
          <cell r="B176" t="str">
            <v>DR05200150</v>
          </cell>
          <cell r="C176">
            <v>171</v>
          </cell>
          <cell r="D176" t="str">
            <v>Tubo de concreto armado com diâmetro de 0,60m.</v>
          </cell>
          <cell r="E176" t="str">
            <v>m</v>
          </cell>
          <cell r="F176">
            <v>71.53</v>
          </cell>
          <cell r="G176">
            <v>54</v>
          </cell>
        </row>
        <row r="177">
          <cell r="B177" t="str">
            <v>DR05200200</v>
          </cell>
          <cell r="C177">
            <v>172</v>
          </cell>
          <cell r="D177" t="str">
            <v>Tubo de concreto armado com diâmetro de 0,70m.</v>
          </cell>
          <cell r="E177" t="str">
            <v>m</v>
          </cell>
          <cell r="F177">
            <v>106.59</v>
          </cell>
          <cell r="G177">
            <v>264</v>
          </cell>
        </row>
        <row r="178">
          <cell r="B178" t="str">
            <v>DR05200250</v>
          </cell>
          <cell r="C178">
            <v>173</v>
          </cell>
          <cell r="D178" t="str">
            <v>Tubo de concreto armado com diâmetro de 0,80m.</v>
          </cell>
          <cell r="E178" t="str">
            <v>m</v>
          </cell>
          <cell r="F178">
            <v>113.63</v>
          </cell>
          <cell r="G178">
            <v>38</v>
          </cell>
        </row>
        <row r="179">
          <cell r="B179" t="str">
            <v>DR05200350</v>
          </cell>
          <cell r="C179">
            <v>174</v>
          </cell>
          <cell r="D179" t="str">
            <v>Tubo de concreto armado com diametro de 1m.</v>
          </cell>
          <cell r="E179" t="str">
            <v>m</v>
          </cell>
          <cell r="F179">
            <v>189.28</v>
          </cell>
          <cell r="G179">
            <v>320</v>
          </cell>
        </row>
        <row r="180">
          <cell r="B180" t="str">
            <v>DR05200500</v>
          </cell>
          <cell r="C180">
            <v>175</v>
          </cell>
          <cell r="D180" t="str">
            <v>Tubo de concreto armado com diâmetro de 1,50m.</v>
          </cell>
          <cell r="E180" t="str">
            <v>m</v>
          </cell>
          <cell r="F180">
            <v>400.58</v>
          </cell>
          <cell r="G180">
            <v>214</v>
          </cell>
        </row>
        <row r="181">
          <cell r="B181" t="str">
            <v>DR05400100</v>
          </cell>
          <cell r="C181">
            <v>176</v>
          </cell>
          <cell r="D181" t="str">
            <v>Tubo de PVC rígido Vinilfort, diâmetro de 150mm.</v>
          </cell>
          <cell r="E181" t="str">
            <v>m</v>
          </cell>
          <cell r="F181">
            <v>19.47</v>
          </cell>
          <cell r="G181">
            <v>1643</v>
          </cell>
        </row>
        <row r="182">
          <cell r="B182" t="str">
            <v>DR05400150</v>
          </cell>
          <cell r="C182">
            <v>177</v>
          </cell>
          <cell r="D182" t="str">
            <v>Tubo de PVC rígido Vinilfort, diâmetro de 200mm.</v>
          </cell>
          <cell r="E182" t="str">
            <v>m</v>
          </cell>
          <cell r="F182">
            <v>27.22</v>
          </cell>
          <cell r="G182">
            <v>263</v>
          </cell>
        </row>
        <row r="183">
          <cell r="B183" t="str">
            <v>DR10050065</v>
          </cell>
          <cell r="C183">
            <v>178</v>
          </cell>
          <cell r="D183" t="str">
            <v>Tubo de ferro fundido K-9, diâmetro de 300mm.</v>
          </cell>
          <cell r="E183" t="str">
            <v>m</v>
          </cell>
          <cell r="F183">
            <v>370.29</v>
          </cell>
          <cell r="G183">
            <v>200</v>
          </cell>
        </row>
        <row r="184">
          <cell r="B184" t="str">
            <v>DR20100050</v>
          </cell>
          <cell r="C184">
            <v>179</v>
          </cell>
          <cell r="D184" t="str">
            <v>Poço de visita de (1,20x1,20x1,40)m ø 0,40 a 0,70m.</v>
          </cell>
          <cell r="E184" t="str">
            <v xml:space="preserve"> un</v>
          </cell>
          <cell r="F184">
            <v>704.13</v>
          </cell>
          <cell r="G184">
            <v>22</v>
          </cell>
        </row>
        <row r="185">
          <cell r="B185" t="str">
            <v>DR20100053</v>
          </cell>
          <cell r="C185">
            <v>180</v>
          </cell>
          <cell r="D185" t="str">
            <v>Poço de visita de (1,30 x1,30 x1,40)m ø de 0,80 m.</v>
          </cell>
          <cell r="E185" t="str">
            <v xml:space="preserve"> un</v>
          </cell>
          <cell r="F185">
            <v>750.69</v>
          </cell>
          <cell r="G185">
            <v>2</v>
          </cell>
        </row>
        <row r="186">
          <cell r="B186" t="str">
            <v>DR20100059</v>
          </cell>
          <cell r="C186">
            <v>181</v>
          </cell>
          <cell r="D186" t="str">
            <v>Poço de visita de (1.50x1.50x1.60)m ø1,00 m.</v>
          </cell>
          <cell r="E186" t="str">
            <v xml:space="preserve"> un</v>
          </cell>
          <cell r="F186">
            <v>948.69</v>
          </cell>
          <cell r="G186">
            <v>11</v>
          </cell>
        </row>
        <row r="187">
          <cell r="B187" t="str">
            <v>DR20100068</v>
          </cell>
          <cell r="C187">
            <v>182</v>
          </cell>
          <cell r="D187" t="str">
            <v>Poço de vista de ( 2x 2x2,10)m ø1,50m.</v>
          </cell>
          <cell r="E187" t="str">
            <v xml:space="preserve"> un</v>
          </cell>
          <cell r="F187">
            <v>1525.88</v>
          </cell>
          <cell r="G187">
            <v>7</v>
          </cell>
        </row>
        <row r="188">
          <cell r="B188" t="str">
            <v>DR20150053</v>
          </cell>
          <cell r="C188">
            <v>183</v>
          </cell>
          <cell r="D188" t="str">
            <v>Poço de visita para esgoto sanitário de 1m .</v>
          </cell>
          <cell r="E188" t="str">
            <v xml:space="preserve"> un</v>
          </cell>
          <cell r="F188">
            <v>129.63</v>
          </cell>
          <cell r="G188">
            <v>2</v>
          </cell>
        </row>
        <row r="189">
          <cell r="B189" t="str">
            <v>DR20150056</v>
          </cell>
          <cell r="C189">
            <v>184</v>
          </cell>
          <cell r="D189" t="str">
            <v xml:space="preserve">Poço de visita para esgoto sanitário de 1,05m.                      </v>
          </cell>
          <cell r="E189" t="str">
            <v xml:space="preserve"> un</v>
          </cell>
          <cell r="F189">
            <v>303.89</v>
          </cell>
          <cell r="G189">
            <v>1</v>
          </cell>
        </row>
        <row r="190">
          <cell r="B190" t="str">
            <v>DR20150059</v>
          </cell>
          <cell r="C190">
            <v>185</v>
          </cell>
          <cell r="D190" t="str">
            <v xml:space="preserve">Poço de visita para esgoto sanitário de 1,20m.  </v>
          </cell>
          <cell r="E190" t="str">
            <v xml:space="preserve"> un</v>
          </cell>
          <cell r="F190">
            <v>337.88</v>
          </cell>
          <cell r="G190">
            <v>15</v>
          </cell>
        </row>
        <row r="191">
          <cell r="B191" t="str">
            <v>DR20150062</v>
          </cell>
          <cell r="C191">
            <v>186</v>
          </cell>
          <cell r="D191" t="str">
            <v xml:space="preserve">Poço de visita de esgoto sanitário de 1,40m.      </v>
          </cell>
          <cell r="E191" t="str">
            <v xml:space="preserve"> un</v>
          </cell>
          <cell r="F191">
            <v>387.67</v>
          </cell>
          <cell r="G191">
            <v>5</v>
          </cell>
        </row>
        <row r="192">
          <cell r="B192" t="str">
            <v>DR20150065</v>
          </cell>
          <cell r="C192">
            <v>187</v>
          </cell>
          <cell r="D192" t="str">
            <v xml:space="preserve">Poço de visita de esgoto sanitário de 1,50m.  </v>
          </cell>
          <cell r="E192" t="str">
            <v xml:space="preserve"> un</v>
          </cell>
          <cell r="F192">
            <v>412.76</v>
          </cell>
          <cell r="G192">
            <v>7</v>
          </cell>
        </row>
        <row r="193">
          <cell r="B193" t="str">
            <v>DR20150068</v>
          </cell>
          <cell r="C193">
            <v>188</v>
          </cell>
          <cell r="D193" t="str">
            <v xml:space="preserve">Poço de visita de esgoto sanitário de 1,60m.          </v>
          </cell>
          <cell r="E193" t="str">
            <v xml:space="preserve"> un</v>
          </cell>
          <cell r="F193">
            <v>416.03</v>
          </cell>
          <cell r="G193">
            <v>4</v>
          </cell>
        </row>
        <row r="194">
          <cell r="B194" t="str">
            <v>DR20150071</v>
          </cell>
          <cell r="C194">
            <v>189</v>
          </cell>
          <cell r="D194" t="str">
            <v xml:space="preserve">Poço de visita de esgoto sanitário de 1,70m.   </v>
          </cell>
          <cell r="E194" t="str">
            <v xml:space="preserve"> un</v>
          </cell>
          <cell r="F194">
            <v>450.56</v>
          </cell>
          <cell r="G194">
            <v>2</v>
          </cell>
        </row>
        <row r="195">
          <cell r="B195" t="str">
            <v>DR20150074</v>
          </cell>
          <cell r="C195">
            <v>190</v>
          </cell>
          <cell r="D195" t="str">
            <v xml:space="preserve">Poço de visita de esgoto sanitário de 2m.       </v>
          </cell>
          <cell r="E195" t="str">
            <v xml:space="preserve"> un</v>
          </cell>
          <cell r="F195">
            <v>479.14</v>
          </cell>
          <cell r="G195">
            <v>12</v>
          </cell>
        </row>
        <row r="196">
          <cell r="B196" t="str">
            <v>DR20150077</v>
          </cell>
          <cell r="C196">
            <v>191</v>
          </cell>
          <cell r="D196" t="str">
            <v xml:space="preserve">Poço de visita de esgoto sanitário de 2,30m.        </v>
          </cell>
          <cell r="E196" t="str">
            <v xml:space="preserve"> un</v>
          </cell>
          <cell r="F196">
            <v>518.35</v>
          </cell>
          <cell r="G196">
            <v>2</v>
          </cell>
        </row>
        <row r="197">
          <cell r="B197" t="str">
            <v>DR30150103</v>
          </cell>
          <cell r="C197">
            <v>192</v>
          </cell>
          <cell r="D197" t="str">
            <v>Caixa de ralo de blocos de concreto prensado.</v>
          </cell>
          <cell r="E197" t="str">
            <v xml:space="preserve"> un</v>
          </cell>
          <cell r="F197">
            <v>541.29999999999995</v>
          </cell>
          <cell r="G197">
            <v>135</v>
          </cell>
        </row>
        <row r="198">
          <cell r="B198" t="str">
            <v>DR05300100</v>
          </cell>
          <cell r="C198">
            <v>193</v>
          </cell>
          <cell r="D198" t="str">
            <v>Manilha cerâmica vidrada, com diâmetro 0,15m.</v>
          </cell>
          <cell r="E198" t="str">
            <v>m</v>
          </cell>
          <cell r="F198">
            <v>16.14</v>
          </cell>
          <cell r="G198">
            <v>1240</v>
          </cell>
        </row>
        <row r="199">
          <cell r="B199" t="str">
            <v>DR35050250</v>
          </cell>
          <cell r="C199">
            <v>194</v>
          </cell>
          <cell r="D199" t="str">
            <v>Tampão de ferro fundido completo pesado, de 0,60m.</v>
          </cell>
          <cell r="E199" t="str">
            <v xml:space="preserve"> un</v>
          </cell>
          <cell r="F199">
            <v>209.66</v>
          </cell>
          <cell r="G199">
            <v>140</v>
          </cell>
        </row>
        <row r="200">
          <cell r="B200" t="str">
            <v>DR35050300</v>
          </cell>
          <cell r="C200">
            <v>195</v>
          </cell>
          <cell r="D200" t="str">
            <v>Tampão de ferro fundido completo, de 3 seções.</v>
          </cell>
          <cell r="E200" t="str">
            <v xml:space="preserve"> un</v>
          </cell>
          <cell r="F200">
            <v>1659.65</v>
          </cell>
          <cell r="G200">
            <v>9</v>
          </cell>
        </row>
        <row r="201">
          <cell r="B201" t="str">
            <v>DR55050450</v>
          </cell>
          <cell r="C201">
            <v>196</v>
          </cell>
          <cell r="D201" t="str">
            <v>Embasamento de tubulação, feito com pó-de-pedra.</v>
          </cell>
          <cell r="E201" t="str">
            <v>m3</v>
          </cell>
          <cell r="F201">
            <v>47.35</v>
          </cell>
          <cell r="G201">
            <v>200</v>
          </cell>
        </row>
        <row r="202">
          <cell r="B202" t="str">
            <v>DR75050077</v>
          </cell>
          <cell r="C202">
            <v>197</v>
          </cell>
          <cell r="D202" t="str">
            <v>Levantamento limpeza reassentamento tubos ø1,50m.</v>
          </cell>
          <cell r="E202" t="str">
            <v>m</v>
          </cell>
          <cell r="F202">
            <v>137.80000000000001</v>
          </cell>
          <cell r="G202">
            <v>576</v>
          </cell>
        </row>
        <row r="203">
          <cell r="B203" t="str">
            <v>BP05050050</v>
          </cell>
          <cell r="C203">
            <v>198</v>
          </cell>
          <cell r="D203" t="str">
            <v>Base de brita corrida.</v>
          </cell>
          <cell r="E203" t="str">
            <v>m3</v>
          </cell>
          <cell r="F203">
            <v>35.47</v>
          </cell>
          <cell r="G203">
            <v>7200</v>
          </cell>
        </row>
        <row r="204">
          <cell r="B204" t="str">
            <v>BP05050400A</v>
          </cell>
          <cell r="C204">
            <v>199</v>
          </cell>
          <cell r="D204" t="str">
            <v>Imprimação de base de pavimentação.</v>
          </cell>
          <cell r="E204" t="str">
            <v>m2</v>
          </cell>
          <cell r="F204">
            <v>2.04</v>
          </cell>
          <cell r="G204">
            <v>23998</v>
          </cell>
        </row>
        <row r="205">
          <cell r="B205" t="str">
            <v>BP05050100</v>
          </cell>
          <cell r="C205">
            <v>200</v>
          </cell>
          <cell r="D205" t="str">
            <v>Camada de bloqueio (colchão) de areia.</v>
          </cell>
          <cell r="E205" t="str">
            <v>m3</v>
          </cell>
          <cell r="F205">
            <v>29.11</v>
          </cell>
          <cell r="G205">
            <v>7200</v>
          </cell>
        </row>
        <row r="206">
          <cell r="B206" t="str">
            <v>BP05050103</v>
          </cell>
          <cell r="C206">
            <v>201</v>
          </cell>
          <cell r="D206" t="str">
            <v>Camada de bloqueio (colchão) de pó-de-pedra.</v>
          </cell>
          <cell r="E206" t="str">
            <v>m3</v>
          </cell>
          <cell r="F206">
            <v>31.41</v>
          </cell>
          <cell r="G206">
            <v>6000</v>
          </cell>
        </row>
        <row r="207">
          <cell r="B207" t="str">
            <v>BP10050659</v>
          </cell>
          <cell r="C207">
            <v>202</v>
          </cell>
          <cell r="D207" t="str">
            <v>Revestimento de CBUQ, com  10cm de espessura.</v>
          </cell>
          <cell r="E207" t="str">
            <v>m2</v>
          </cell>
          <cell r="F207">
            <v>24.98</v>
          </cell>
          <cell r="G207">
            <v>23998</v>
          </cell>
        </row>
        <row r="208">
          <cell r="B208" t="str">
            <v>BP10200368</v>
          </cell>
          <cell r="C208">
            <v>203</v>
          </cell>
          <cell r="D208" t="str">
            <v>Revestimento intertravado com peças de concreto.</v>
          </cell>
          <cell r="E208" t="str">
            <v>m2</v>
          </cell>
          <cell r="F208">
            <v>54.88</v>
          </cell>
          <cell r="G208">
            <v>18820</v>
          </cell>
        </row>
        <row r="209">
          <cell r="B209" t="str">
            <v>BP10250050</v>
          </cell>
          <cell r="C209">
            <v>204</v>
          </cell>
          <cell r="D209" t="str">
            <v>Paralelepípedos.Fornecimento.</v>
          </cell>
          <cell r="E209" t="str">
            <v xml:space="preserve"> un</v>
          </cell>
          <cell r="F209">
            <v>0.45</v>
          </cell>
          <cell r="G209">
            <v>2877</v>
          </cell>
        </row>
        <row r="210">
          <cell r="B210" t="str">
            <v>BP05050450</v>
          </cell>
          <cell r="C210">
            <v>205</v>
          </cell>
          <cell r="D210" t="str">
            <v>Regularização de subleito.</v>
          </cell>
          <cell r="E210" t="str">
            <v>m2</v>
          </cell>
          <cell r="F210">
            <v>0.41</v>
          </cell>
          <cell r="G210">
            <v>23998</v>
          </cell>
        </row>
        <row r="211">
          <cell r="B211" t="str">
            <v>BP20100053</v>
          </cell>
          <cell r="C211">
            <v>206</v>
          </cell>
          <cell r="D211" t="str">
            <v>Cordões de concreto simples, secção de (10x25)cm.</v>
          </cell>
          <cell r="E211" t="str">
            <v>m</v>
          </cell>
          <cell r="F211">
            <v>15.98</v>
          </cell>
          <cell r="G211">
            <v>864</v>
          </cell>
        </row>
        <row r="212">
          <cell r="B212" t="str">
            <v>BP05050250</v>
          </cell>
          <cell r="C212">
            <v>207</v>
          </cell>
          <cell r="D212" t="str">
            <v>Construção de aterro.</v>
          </cell>
          <cell r="E212" t="str">
            <v>m3</v>
          </cell>
          <cell r="F212">
            <v>1.1299999999999999</v>
          </cell>
          <cell r="G212">
            <v>5000</v>
          </cell>
        </row>
        <row r="213">
          <cell r="B213" t="str">
            <v>BP10050400A</v>
          </cell>
          <cell r="C213">
            <v>208</v>
          </cell>
          <cell r="D213" t="str">
            <v>Pintura de ligação.</v>
          </cell>
          <cell r="E213" t="str">
            <v>m2</v>
          </cell>
          <cell r="F213">
            <v>1.23</v>
          </cell>
          <cell r="G213">
            <v>23998</v>
          </cell>
        </row>
        <row r="214">
          <cell r="B214" t="str">
            <v>BP10050500</v>
          </cell>
          <cell r="C214">
            <v>209</v>
          </cell>
          <cell r="D214" t="str">
            <v>Recomposição de revestimento em concreto asfáltico.</v>
          </cell>
          <cell r="E214" t="str">
            <v>m2</v>
          </cell>
          <cell r="F214">
            <v>2.13</v>
          </cell>
          <cell r="G214">
            <v>2000</v>
          </cell>
        </row>
        <row r="215">
          <cell r="B215" t="str">
            <v>BP10150050</v>
          </cell>
          <cell r="C215">
            <v>210</v>
          </cell>
          <cell r="D215" t="str">
            <v>Junta de retração, serrada com disco de diamantes.</v>
          </cell>
          <cell r="E215" t="str">
            <v>m</v>
          </cell>
          <cell r="F215">
            <v>7.5</v>
          </cell>
          <cell r="G215">
            <v>415</v>
          </cell>
        </row>
        <row r="216">
          <cell r="B216" t="str">
            <v>BP10250050</v>
          </cell>
          <cell r="C216">
            <v>211</v>
          </cell>
          <cell r="D216" t="str">
            <v xml:space="preserve">Paralelepípedos.Fornecimento. </v>
          </cell>
          <cell r="E216" t="str">
            <v xml:space="preserve"> un</v>
          </cell>
          <cell r="F216">
            <v>0.45</v>
          </cell>
          <cell r="G216">
            <v>2877</v>
          </cell>
        </row>
        <row r="217">
          <cell r="B217" t="str">
            <v>BP15050050</v>
          </cell>
          <cell r="C217">
            <v>212</v>
          </cell>
          <cell r="D217" t="str">
            <v>Fresagem espessura de até 5cm.</v>
          </cell>
          <cell r="E217" t="str">
            <v>m2</v>
          </cell>
          <cell r="F217">
            <v>1.34</v>
          </cell>
          <cell r="G217">
            <v>16799</v>
          </cell>
        </row>
        <row r="218">
          <cell r="B218" t="str">
            <v>BP20150056</v>
          </cell>
          <cell r="C218">
            <v>213</v>
          </cell>
          <cell r="D218" t="str">
            <v>Sarjeta e meio-fio conjugados, de concreto simples.</v>
          </cell>
          <cell r="E218" t="str">
            <v>m</v>
          </cell>
          <cell r="F218">
            <v>44.43</v>
          </cell>
          <cell r="G218">
            <v>4315</v>
          </cell>
        </row>
        <row r="219">
          <cell r="B219" t="str">
            <v>PJ05100150</v>
          </cell>
          <cell r="C219">
            <v>214</v>
          </cell>
          <cell r="D219" t="str">
            <v>Plantio de grama em placas.</v>
          </cell>
          <cell r="E219" t="str">
            <v>m2</v>
          </cell>
          <cell r="F219">
            <v>6.48</v>
          </cell>
          <cell r="G219">
            <v>2213</v>
          </cell>
        </row>
        <row r="220">
          <cell r="B220" t="str">
            <v>PJ10050200</v>
          </cell>
          <cell r="C220">
            <v>215</v>
          </cell>
          <cell r="D220" t="str">
            <v>Plantio de árvore de 2m de altura.</v>
          </cell>
          <cell r="E220" t="str">
            <v xml:space="preserve"> un</v>
          </cell>
          <cell r="F220">
            <v>14.95</v>
          </cell>
          <cell r="G220">
            <v>283</v>
          </cell>
        </row>
        <row r="221">
          <cell r="B221" t="str">
            <v>PJ10150050</v>
          </cell>
          <cell r="C221">
            <v>216</v>
          </cell>
          <cell r="D221" t="str">
            <v>Árvores tipo 1 - Pseudobombax Ellipticum.</v>
          </cell>
          <cell r="E221" t="str">
            <v xml:space="preserve"> un</v>
          </cell>
          <cell r="F221">
            <v>12.9</v>
          </cell>
          <cell r="G221">
            <v>283</v>
          </cell>
        </row>
        <row r="222">
          <cell r="B222" t="str">
            <v>PJ10250056</v>
          </cell>
          <cell r="C222">
            <v>217</v>
          </cell>
          <cell r="D222" t="str">
            <v>Palmeira tipo 3 - Roystonea Oleracea.</v>
          </cell>
          <cell r="E222" t="str">
            <v xml:space="preserve"> un</v>
          </cell>
          <cell r="F222">
            <v>250</v>
          </cell>
          <cell r="G222">
            <v>20</v>
          </cell>
        </row>
        <row r="223">
          <cell r="B223" t="str">
            <v>PJ20100050</v>
          </cell>
          <cell r="C223">
            <v>218</v>
          </cell>
          <cell r="D223" t="str">
            <v>Arrancamento e replantio de árvore adulta.</v>
          </cell>
          <cell r="E223" t="str">
            <v xml:space="preserve"> un</v>
          </cell>
          <cell r="F223">
            <v>46.5</v>
          </cell>
          <cell r="G223">
            <v>32</v>
          </cell>
        </row>
        <row r="224">
          <cell r="B224" t="str">
            <v>PJ20100306</v>
          </cell>
          <cell r="C224">
            <v>219</v>
          </cell>
          <cell r="D224" t="str">
            <v>Remoção de árvore de grande porte.</v>
          </cell>
          <cell r="E224" t="str">
            <v xml:space="preserve"> un</v>
          </cell>
          <cell r="F224">
            <v>886.31</v>
          </cell>
          <cell r="G224">
            <v>10</v>
          </cell>
        </row>
        <row r="225">
          <cell r="B225" t="str">
            <v>PJ40100356</v>
          </cell>
          <cell r="C225">
            <v>220</v>
          </cell>
          <cell r="D225" t="str">
            <v>Tratamento fitossanitário em árvores.</v>
          </cell>
          <cell r="E225" t="str">
            <v xml:space="preserve"> un</v>
          </cell>
          <cell r="F225">
            <v>663.93</v>
          </cell>
          <cell r="G225">
            <v>100</v>
          </cell>
        </row>
        <row r="226">
          <cell r="B226" t="str">
            <v>PJ15050053</v>
          </cell>
          <cell r="C226">
            <v>221</v>
          </cell>
          <cell r="D226" t="str">
            <v>Cerca protetora para jardim.</v>
          </cell>
          <cell r="E226" t="str">
            <v>m2</v>
          </cell>
          <cell r="F226">
            <v>57.16</v>
          </cell>
          <cell r="G226">
            <v>200</v>
          </cell>
        </row>
        <row r="227">
          <cell r="B227" t="str">
            <v>PJ25050100</v>
          </cell>
          <cell r="C227">
            <v>222</v>
          </cell>
          <cell r="D227" t="str">
            <v>Banco para jardim, duplo, pés em ferro fundido.</v>
          </cell>
          <cell r="E227" t="str">
            <v xml:space="preserve"> un</v>
          </cell>
          <cell r="F227">
            <v>904.96</v>
          </cell>
          <cell r="G227">
            <v>36</v>
          </cell>
        </row>
        <row r="228">
          <cell r="B228" t="str">
            <v>PJ25050153</v>
          </cell>
          <cell r="C228">
            <v>223</v>
          </cell>
          <cell r="D228" t="str">
            <v>Mesa de jogos com 4 bancos.</v>
          </cell>
          <cell r="E228" t="str">
            <v xml:space="preserve"> un</v>
          </cell>
          <cell r="F228">
            <v>547.5</v>
          </cell>
          <cell r="G228">
            <v>14</v>
          </cell>
        </row>
        <row r="229">
          <cell r="B229" t="str">
            <v>PJ25100253</v>
          </cell>
          <cell r="C229">
            <v>224</v>
          </cell>
          <cell r="D229" t="str">
            <v>Brinquedo modelo A-08 Dupla Escalada.</v>
          </cell>
          <cell r="E229" t="str">
            <v xml:space="preserve"> un</v>
          </cell>
          <cell r="F229">
            <v>1730.38</v>
          </cell>
          <cell r="G229">
            <v>5</v>
          </cell>
        </row>
        <row r="230">
          <cell r="B230" t="str">
            <v>PJ25100350</v>
          </cell>
          <cell r="C230">
            <v>225</v>
          </cell>
          <cell r="D230" t="str">
            <v>Casa do Tarzan, referência M-45, conforme o modelo.</v>
          </cell>
          <cell r="E230" t="str">
            <v xml:space="preserve"> un</v>
          </cell>
          <cell r="F230">
            <v>2911.25</v>
          </cell>
          <cell r="G230">
            <v>1</v>
          </cell>
        </row>
        <row r="231">
          <cell r="B231" t="str">
            <v>PJ25100600</v>
          </cell>
          <cell r="C231">
            <v>226</v>
          </cell>
          <cell r="D231" t="str">
            <v>Etapa 8, conforme o modelo Pactaplayground.</v>
          </cell>
          <cell r="E231" t="str">
            <v xml:space="preserve"> un</v>
          </cell>
          <cell r="F231">
            <v>263.37</v>
          </cell>
          <cell r="G231">
            <v>1</v>
          </cell>
        </row>
        <row r="232">
          <cell r="B232" t="str">
            <v>PJ25101000</v>
          </cell>
          <cell r="C232">
            <v>227</v>
          </cell>
          <cell r="D232" t="str">
            <v>Prancha para abdominal, em madeira de Lei.</v>
          </cell>
          <cell r="E232" t="str">
            <v xml:space="preserve"> un</v>
          </cell>
          <cell r="F232">
            <v>288.86</v>
          </cell>
          <cell r="G232">
            <v>2</v>
          </cell>
        </row>
        <row r="233">
          <cell r="B233" t="str">
            <v>PJ15050153</v>
          </cell>
          <cell r="C233">
            <v>228</v>
          </cell>
          <cell r="D233" t="str">
            <v>Protetor de árvore em ferro de 3/8".</v>
          </cell>
          <cell r="E233" t="str">
            <v xml:space="preserve"> un</v>
          </cell>
          <cell r="F233">
            <v>40.17</v>
          </cell>
          <cell r="G233">
            <v>283</v>
          </cell>
        </row>
        <row r="234">
          <cell r="B234" t="str">
            <v>PJ20050200</v>
          </cell>
          <cell r="C234">
            <v>229</v>
          </cell>
          <cell r="D234" t="str">
            <v>Aterro com terra preta simples, para gramados.</v>
          </cell>
          <cell r="E234" t="str">
            <v>m3</v>
          </cell>
          <cell r="F234">
            <v>57.72</v>
          </cell>
          <cell r="G234">
            <v>303</v>
          </cell>
        </row>
        <row r="235">
          <cell r="B235" t="str">
            <v>PJ20050453</v>
          </cell>
          <cell r="C235">
            <v>230</v>
          </cell>
          <cell r="D235" t="str">
            <v>Irrigação de árvore e/ou palmeira com Caminhão Pipa.</v>
          </cell>
          <cell r="E235" t="str">
            <v xml:space="preserve"> un</v>
          </cell>
          <cell r="F235">
            <v>0.25</v>
          </cell>
          <cell r="G235">
            <v>303</v>
          </cell>
        </row>
        <row r="236">
          <cell r="B236" t="str">
            <v>PJ20050870</v>
          </cell>
          <cell r="C236">
            <v>231</v>
          </cell>
          <cell r="D236" t="str">
            <v xml:space="preserve">Revolvimento de solo até 20cm de profundidade.   </v>
          </cell>
          <cell r="E236" t="str">
            <v>m2</v>
          </cell>
          <cell r="F236">
            <v>0.67</v>
          </cell>
          <cell r="G236">
            <v>1000</v>
          </cell>
        </row>
        <row r="237">
          <cell r="B237" t="str">
            <v>PJ25250106</v>
          </cell>
          <cell r="C237">
            <v>232</v>
          </cell>
          <cell r="D237" t="str">
            <v>Frade metálico, em ferro fundido, modelo ciclovia.</v>
          </cell>
          <cell r="E237" t="str">
            <v xml:space="preserve"> un</v>
          </cell>
          <cell r="F237">
            <v>94.45</v>
          </cell>
          <cell r="G237">
            <v>505</v>
          </cell>
        </row>
        <row r="238">
          <cell r="B238" t="str">
            <v>PJ40050159</v>
          </cell>
          <cell r="C238">
            <v>233</v>
          </cell>
          <cell r="D238" t="str">
            <v>Remoção de espécies vegetais.</v>
          </cell>
          <cell r="E238" t="str">
            <v xml:space="preserve"> un</v>
          </cell>
          <cell r="F238">
            <v>207.92</v>
          </cell>
          <cell r="G238">
            <v>35</v>
          </cell>
        </row>
        <row r="239">
          <cell r="B239" t="str">
            <v>IP05100300</v>
          </cell>
          <cell r="C239">
            <v>234</v>
          </cell>
          <cell r="D239" t="str">
            <v>Poste de aço, reto, cônico contínuo de 4,5m.</v>
          </cell>
          <cell r="E239" t="str">
            <v xml:space="preserve"> un</v>
          </cell>
          <cell r="F239">
            <v>199.5</v>
          </cell>
          <cell r="G239">
            <v>70</v>
          </cell>
        </row>
        <row r="240">
          <cell r="B240" t="str">
            <v>IP05100553</v>
          </cell>
          <cell r="C240">
            <v>235</v>
          </cell>
          <cell r="D240" t="str">
            <v>Poste de aço, reto, de 7m.</v>
          </cell>
          <cell r="E240" t="str">
            <v xml:space="preserve"> un</v>
          </cell>
          <cell r="F240">
            <v>4336.38</v>
          </cell>
          <cell r="G240">
            <v>10</v>
          </cell>
        </row>
        <row r="241">
          <cell r="B241" t="str">
            <v>IP05100556</v>
          </cell>
          <cell r="C241">
            <v>236</v>
          </cell>
          <cell r="D241" t="str">
            <v>Poste de aço, reto, de 7m.</v>
          </cell>
          <cell r="E241" t="str">
            <v xml:space="preserve"> un</v>
          </cell>
          <cell r="F241">
            <v>4127</v>
          </cell>
          <cell r="G241">
            <v>20</v>
          </cell>
        </row>
        <row r="242">
          <cell r="B242" t="str">
            <v>IP05100562</v>
          </cell>
          <cell r="C242">
            <v>237</v>
          </cell>
          <cell r="D242" t="str">
            <v>Poste de aço, reto, de 7m.</v>
          </cell>
          <cell r="E242" t="str">
            <v xml:space="preserve"> un</v>
          </cell>
          <cell r="F242">
            <v>3360</v>
          </cell>
          <cell r="G242">
            <v>40</v>
          </cell>
        </row>
        <row r="243">
          <cell r="B243" t="str">
            <v>IP10300506</v>
          </cell>
          <cell r="C243">
            <v>238</v>
          </cell>
          <cell r="D243" t="str">
            <v>Conector tipo cunha, em liga de cobre estanhado.</v>
          </cell>
          <cell r="E243" t="str">
            <v xml:space="preserve"> un</v>
          </cell>
          <cell r="F243">
            <v>6.55</v>
          </cell>
          <cell r="G243">
            <v>32</v>
          </cell>
        </row>
        <row r="244">
          <cell r="B244" t="str">
            <v>IP15250100</v>
          </cell>
          <cell r="C244">
            <v>239</v>
          </cell>
          <cell r="D244" t="str">
            <v xml:space="preserve">Cabo de cobre nu, seção de 16mm2.  Fornecimento.  </v>
          </cell>
          <cell r="E244" t="str">
            <v>kg</v>
          </cell>
          <cell r="F244">
            <v>11.42</v>
          </cell>
          <cell r="G244">
            <v>140</v>
          </cell>
        </row>
        <row r="245">
          <cell r="B245" t="str">
            <v>IP15250109</v>
          </cell>
          <cell r="C245">
            <v>240</v>
          </cell>
          <cell r="D245" t="str">
            <v xml:space="preserve">Cabo de cobre nu, seção de 25mm2.  Fornecimento. </v>
          </cell>
          <cell r="E245" t="str">
            <v>kg</v>
          </cell>
          <cell r="F245">
            <v>11.42</v>
          </cell>
          <cell r="G245">
            <v>141.69999999999999</v>
          </cell>
        </row>
        <row r="246">
          <cell r="B246" t="str">
            <v>IP15300053</v>
          </cell>
          <cell r="C246">
            <v>241</v>
          </cell>
          <cell r="D246" t="str">
            <v>Cabo de cobre flexível, 750V, seção de 2x1,5mm2.</v>
          </cell>
          <cell r="E246" t="str">
            <v>m</v>
          </cell>
          <cell r="F246">
            <v>0.88</v>
          </cell>
          <cell r="G246">
            <v>2158</v>
          </cell>
        </row>
        <row r="247">
          <cell r="B247" t="str">
            <v>IP15300062</v>
          </cell>
          <cell r="C247">
            <v>242</v>
          </cell>
          <cell r="D247" t="str">
            <v>Cabo de cobre flexível, 750V, seção de 3x1,5mm2.</v>
          </cell>
          <cell r="E247" t="str">
            <v xml:space="preserve"> un</v>
          </cell>
          <cell r="F247">
            <v>4.62</v>
          </cell>
          <cell r="G247">
            <v>2158</v>
          </cell>
        </row>
        <row r="248">
          <cell r="B248" t="str">
            <v>IP15350350</v>
          </cell>
          <cell r="C248">
            <v>243</v>
          </cell>
          <cell r="D248" t="str">
            <v>Cabo de cobre rígido, seção de 10mm2, 1Kv,  XLPE.</v>
          </cell>
          <cell r="E248" t="str">
            <v>m</v>
          </cell>
          <cell r="F248">
            <v>2.2599999999999998</v>
          </cell>
          <cell r="G248">
            <v>5100</v>
          </cell>
        </row>
        <row r="249">
          <cell r="B249" t="str">
            <v>IP15350456</v>
          </cell>
          <cell r="C249">
            <v>244</v>
          </cell>
          <cell r="D249" t="str">
            <v>Cabo de cobre rígido, seção de 25mm2, 1Kv, XLPE.</v>
          </cell>
          <cell r="E249" t="str">
            <v>m</v>
          </cell>
          <cell r="F249">
            <v>4.4400000000000004</v>
          </cell>
          <cell r="G249">
            <v>144</v>
          </cell>
        </row>
        <row r="250">
          <cell r="B250" t="str">
            <v>IP15350556</v>
          </cell>
          <cell r="C250">
            <v>245</v>
          </cell>
          <cell r="D250" t="str">
            <v>Cabo de cobre rígido, seção de 50mm2, 1Kv, XLPE.</v>
          </cell>
          <cell r="E250" t="str">
            <v>m</v>
          </cell>
          <cell r="F250">
            <v>23.38</v>
          </cell>
          <cell r="G250">
            <v>1870</v>
          </cell>
        </row>
        <row r="251">
          <cell r="B251" t="str">
            <v>IP15450106</v>
          </cell>
          <cell r="C251">
            <v>246</v>
          </cell>
          <cell r="D251" t="str">
            <v>Colocação de 3 condutores singelos em linha de dutos.</v>
          </cell>
          <cell r="E251" t="str">
            <v>m</v>
          </cell>
          <cell r="F251">
            <v>1.42</v>
          </cell>
          <cell r="G251">
            <v>940</v>
          </cell>
        </row>
        <row r="252">
          <cell r="B252" t="str">
            <v>IP15450109</v>
          </cell>
          <cell r="C252">
            <v>247</v>
          </cell>
          <cell r="D252" t="str">
            <v>Colocação de 4 condutores singelos em linha de dutos.</v>
          </cell>
          <cell r="E252" t="str">
            <v>m</v>
          </cell>
          <cell r="F252">
            <v>1.96</v>
          </cell>
          <cell r="G252">
            <v>6180</v>
          </cell>
        </row>
        <row r="253">
          <cell r="B253" t="str">
            <v>IP35150050</v>
          </cell>
          <cell r="C253">
            <v>248</v>
          </cell>
          <cell r="D253" t="str">
            <v>Comando em grupo CRJ-04 ou similar, 85A.</v>
          </cell>
          <cell r="E253" t="str">
            <v xml:space="preserve"> un</v>
          </cell>
          <cell r="F253">
            <v>1984.4</v>
          </cell>
          <cell r="G253">
            <v>2</v>
          </cell>
        </row>
        <row r="254">
          <cell r="B254" t="str">
            <v>IP35150400</v>
          </cell>
          <cell r="C254">
            <v>249</v>
          </cell>
          <cell r="D254" t="str">
            <v>Comando para IP, caixa trifásico, capacidade de 45A.</v>
          </cell>
          <cell r="E254" t="str">
            <v xml:space="preserve"> un</v>
          </cell>
          <cell r="F254">
            <v>1238</v>
          </cell>
          <cell r="G254">
            <v>6</v>
          </cell>
        </row>
        <row r="255">
          <cell r="B255" t="str">
            <v>IP40050100</v>
          </cell>
          <cell r="C255">
            <v>250</v>
          </cell>
          <cell r="D255" t="str">
            <v>Chave blindada, bipolar, 60A. Fornecimento.</v>
          </cell>
          <cell r="E255" t="str">
            <v xml:space="preserve"> un</v>
          </cell>
          <cell r="F255">
            <v>127</v>
          </cell>
          <cell r="G255">
            <v>10</v>
          </cell>
        </row>
        <row r="256">
          <cell r="B256" t="str">
            <v>IP50300850</v>
          </cell>
          <cell r="C256">
            <v>251</v>
          </cell>
          <cell r="D256" t="str">
            <v>Reator subterrâneo para lâmpada de VS de 400W.</v>
          </cell>
          <cell r="E256" t="str">
            <v xml:space="preserve"> un</v>
          </cell>
          <cell r="F256">
            <v>79.099999999999994</v>
          </cell>
          <cell r="G256">
            <v>198</v>
          </cell>
        </row>
        <row r="257">
          <cell r="B257" t="str">
            <v>IP10350400</v>
          </cell>
          <cell r="C257">
            <v>252</v>
          </cell>
          <cell r="D257" t="str">
            <v>Caixa de ligação tipo Condulets R-15/LB-22.</v>
          </cell>
          <cell r="E257" t="str">
            <v xml:space="preserve"> un</v>
          </cell>
          <cell r="F257">
            <v>7.62</v>
          </cell>
          <cell r="G257">
            <v>40</v>
          </cell>
        </row>
        <row r="258">
          <cell r="B258" t="str">
            <v>IP20050050</v>
          </cell>
          <cell r="C258">
            <v>253</v>
          </cell>
          <cell r="D258" t="str">
            <v xml:space="preserve">Aterramento de caixa Hand-Hole. </v>
          </cell>
          <cell r="E258" t="str">
            <v xml:space="preserve"> un</v>
          </cell>
          <cell r="F258">
            <v>10.34</v>
          </cell>
          <cell r="G258">
            <v>140</v>
          </cell>
        </row>
        <row r="259">
          <cell r="B259" t="str">
            <v>IP25100153</v>
          </cell>
          <cell r="C259">
            <v>254</v>
          </cell>
          <cell r="D259" t="str">
            <v>Caixa Hand-Hole, (0,60x0,60)m.</v>
          </cell>
          <cell r="E259" t="str">
            <v xml:space="preserve"> un</v>
          </cell>
          <cell r="F259">
            <v>80.78</v>
          </cell>
          <cell r="G259">
            <v>140</v>
          </cell>
        </row>
        <row r="260">
          <cell r="B260" t="str">
            <v>IP25100165</v>
          </cell>
          <cell r="C260">
            <v>255</v>
          </cell>
          <cell r="D260" t="str">
            <v>Caixa Hand-Hole, (0,60x0,90)m.</v>
          </cell>
          <cell r="E260" t="str">
            <v xml:space="preserve"> un</v>
          </cell>
          <cell r="F260">
            <v>111.4</v>
          </cell>
          <cell r="G260">
            <v>20</v>
          </cell>
        </row>
        <row r="261">
          <cell r="B261" t="str">
            <v>IP50100200</v>
          </cell>
          <cell r="C261">
            <v>256</v>
          </cell>
          <cell r="D261" t="str">
            <v>Luminária decorativa LDRJ-06 para lâmpada VS.</v>
          </cell>
          <cell r="E261" t="str">
            <v xml:space="preserve"> un</v>
          </cell>
          <cell r="F261">
            <v>362.07</v>
          </cell>
          <cell r="G261">
            <v>360</v>
          </cell>
        </row>
        <row r="262">
          <cell r="B262" t="str">
            <v>IP50100250</v>
          </cell>
          <cell r="C262">
            <v>257</v>
          </cell>
          <cell r="D262" t="str">
            <v>Luminária decorativa tipo LDRJ-16/2.</v>
          </cell>
          <cell r="E262" t="str">
            <v xml:space="preserve"> un</v>
          </cell>
          <cell r="F262">
            <v>249.69</v>
          </cell>
          <cell r="G262">
            <v>280</v>
          </cell>
        </row>
        <row r="263">
          <cell r="B263" t="str">
            <v>IP50200050</v>
          </cell>
          <cell r="C263">
            <v>258</v>
          </cell>
          <cell r="D263" t="str">
            <v>Base simples para luminária LDRJ-06.</v>
          </cell>
          <cell r="E263" t="str">
            <v xml:space="preserve"> un</v>
          </cell>
          <cell r="F263">
            <v>40</v>
          </cell>
          <cell r="G263">
            <v>280</v>
          </cell>
        </row>
        <row r="264">
          <cell r="B264" t="str">
            <v>IP50250406</v>
          </cell>
          <cell r="C264">
            <v>259</v>
          </cell>
          <cell r="D264" t="str">
            <v>Lâmpada de multivapor metálico (MVM) 70W/220V.</v>
          </cell>
          <cell r="E264" t="str">
            <v xml:space="preserve"> un</v>
          </cell>
          <cell r="F264">
            <v>73.77</v>
          </cell>
          <cell r="G264">
            <v>80</v>
          </cell>
        </row>
        <row r="265">
          <cell r="B265" t="str">
            <v>IP50250412</v>
          </cell>
          <cell r="C265">
            <v>260</v>
          </cell>
          <cell r="D265" t="str">
            <v>Lâmpada de multivapor metálico (MVM) 150W/220V.</v>
          </cell>
          <cell r="E265" t="str">
            <v xml:space="preserve"> un</v>
          </cell>
          <cell r="F265">
            <v>163.22999999999999</v>
          </cell>
          <cell r="G265">
            <v>20</v>
          </cell>
        </row>
        <row r="266">
          <cell r="B266" t="str">
            <v>IP05350100</v>
          </cell>
          <cell r="C266">
            <v>261</v>
          </cell>
          <cell r="D266" t="str">
            <v>Fundação simples de concreto pré-moldado,RIOLUZ.</v>
          </cell>
          <cell r="E266" t="str">
            <v xml:space="preserve"> un</v>
          </cell>
          <cell r="F266">
            <v>55.26</v>
          </cell>
          <cell r="G266">
            <v>70</v>
          </cell>
        </row>
        <row r="267">
          <cell r="B267" t="str">
            <v>IP05350150</v>
          </cell>
          <cell r="C267">
            <v>262</v>
          </cell>
          <cell r="D267" t="str">
            <v>Fundação simples de concreto pré-moldado,RIOLUZ.</v>
          </cell>
          <cell r="E267" t="str">
            <v xml:space="preserve"> un</v>
          </cell>
          <cell r="F267">
            <v>61.7</v>
          </cell>
          <cell r="G267">
            <v>70</v>
          </cell>
        </row>
        <row r="268">
          <cell r="B268" t="str">
            <v>IP05550150</v>
          </cell>
          <cell r="C268">
            <v>263</v>
          </cell>
          <cell r="D268" t="str">
            <v>Braço, padrão RIOLUZ, de 1,5m até 2,50m.</v>
          </cell>
          <cell r="E268" t="str">
            <v xml:space="preserve"> un</v>
          </cell>
          <cell r="F268">
            <v>47.7</v>
          </cell>
          <cell r="G268">
            <v>280</v>
          </cell>
        </row>
        <row r="269">
          <cell r="B269" t="str">
            <v>IP15200050</v>
          </cell>
          <cell r="C269">
            <v>264</v>
          </cell>
          <cell r="D269" t="str">
            <v>Mufla, 12/20Kv, referência terminal modular TM.</v>
          </cell>
          <cell r="E269" t="str">
            <v xml:space="preserve"> un</v>
          </cell>
          <cell r="F269">
            <v>173.71</v>
          </cell>
          <cell r="G269">
            <v>40</v>
          </cell>
        </row>
        <row r="270">
          <cell r="B270" t="str">
            <v>IP15500100</v>
          </cell>
          <cell r="C270">
            <v>265</v>
          </cell>
          <cell r="D270" t="str">
            <v>Anilha de nylon para identificação de condutor XLPE.</v>
          </cell>
          <cell r="E270" t="str">
            <v xml:space="preserve"> un</v>
          </cell>
          <cell r="F270">
            <v>0.02</v>
          </cell>
          <cell r="G270">
            <v>324</v>
          </cell>
        </row>
        <row r="271">
          <cell r="B271" t="str">
            <v>IP15500150</v>
          </cell>
          <cell r="C271">
            <v>266</v>
          </cell>
          <cell r="D271" t="str">
            <v>Anilha de nylon para identificação de condutor XLPE.</v>
          </cell>
          <cell r="E271" t="str">
            <v xml:space="preserve"> un</v>
          </cell>
          <cell r="F271">
            <v>0.03</v>
          </cell>
          <cell r="G271">
            <v>324</v>
          </cell>
        </row>
        <row r="272">
          <cell r="B272" t="str">
            <v>IP20050053</v>
          </cell>
          <cell r="C272">
            <v>267</v>
          </cell>
          <cell r="D272" t="str">
            <v>Aterramento de poste de aço.</v>
          </cell>
          <cell r="E272" t="str">
            <v xml:space="preserve"> un</v>
          </cell>
          <cell r="F272">
            <v>18.57</v>
          </cell>
          <cell r="G272">
            <v>140</v>
          </cell>
        </row>
        <row r="273">
          <cell r="B273" t="str">
            <v>IP20050056</v>
          </cell>
          <cell r="C273">
            <v>268</v>
          </cell>
          <cell r="D273" t="str">
            <v>Aterramento de tampão.</v>
          </cell>
          <cell r="E273" t="str">
            <v xml:space="preserve"> un</v>
          </cell>
          <cell r="F273">
            <v>28.47</v>
          </cell>
          <cell r="G273">
            <v>140</v>
          </cell>
        </row>
        <row r="274">
          <cell r="B274" t="str">
            <v>IP20050153</v>
          </cell>
          <cell r="C274">
            <v>269</v>
          </cell>
          <cell r="D274" t="str">
            <v>Conjunto de aterramento de transformador.</v>
          </cell>
          <cell r="E274" t="str">
            <v xml:space="preserve"> un</v>
          </cell>
          <cell r="F274">
            <v>176.69</v>
          </cell>
          <cell r="G274">
            <v>53</v>
          </cell>
        </row>
        <row r="275">
          <cell r="B275" t="str">
            <v>IP30200509</v>
          </cell>
          <cell r="C275">
            <v>270</v>
          </cell>
          <cell r="D275" t="str">
            <v>Luva para eletroduto de PVC rígido de 50mm.</v>
          </cell>
          <cell r="E275" t="str">
            <v xml:space="preserve"> un</v>
          </cell>
          <cell r="F275">
            <v>3.43</v>
          </cell>
          <cell r="G275">
            <v>40</v>
          </cell>
        </row>
        <row r="276">
          <cell r="B276" t="str">
            <v>IP50300700</v>
          </cell>
          <cell r="C276">
            <v>271</v>
          </cell>
          <cell r="D276" t="str">
            <v>Reator subterrâneo lâmpada vapor de sódio de 70W.</v>
          </cell>
          <cell r="E276" t="str">
            <v xml:space="preserve"> un</v>
          </cell>
          <cell r="F276">
            <v>40.54</v>
          </cell>
          <cell r="G276">
            <v>200</v>
          </cell>
        </row>
        <row r="277">
          <cell r="B277" t="str">
            <v>IP50300750</v>
          </cell>
          <cell r="C277">
            <v>272</v>
          </cell>
          <cell r="D277" t="str">
            <v>Reator subterrâneo lâmpada vapor de sódio de 150W.</v>
          </cell>
          <cell r="E277" t="str">
            <v xml:space="preserve"> un</v>
          </cell>
          <cell r="F277">
            <v>74.319999999999993</v>
          </cell>
          <cell r="G277">
            <v>26</v>
          </cell>
        </row>
        <row r="278">
          <cell r="B278" t="str">
            <v>IP60200200</v>
          </cell>
          <cell r="C278">
            <v>273</v>
          </cell>
          <cell r="D278" t="str">
            <v xml:space="preserve">Retirada de chaves fusíveis e ferragens, linha 13,2Kv.   </v>
          </cell>
          <cell r="E278" t="str">
            <v xml:space="preserve"> un</v>
          </cell>
          <cell r="F278">
            <v>9.76</v>
          </cell>
          <cell r="G278">
            <v>100</v>
          </cell>
        </row>
        <row r="279">
          <cell r="B279" t="str">
            <v>IP60200362</v>
          </cell>
          <cell r="C279">
            <v>274</v>
          </cell>
          <cell r="D279" t="str">
            <v>Retirada de luminária em poste com 13m a 15m.</v>
          </cell>
          <cell r="E279" t="str">
            <v xml:space="preserve"> un</v>
          </cell>
          <cell r="F279">
            <v>9.76</v>
          </cell>
          <cell r="G279">
            <v>118</v>
          </cell>
        </row>
        <row r="280">
          <cell r="B280" t="str">
            <v>IP60200512</v>
          </cell>
          <cell r="C280">
            <v>275</v>
          </cell>
          <cell r="D280" t="str">
            <v xml:space="preserve">Retirada de poste de concreto ou aço de 13m a 15m.   </v>
          </cell>
          <cell r="E280" t="str">
            <v xml:space="preserve"> un</v>
          </cell>
          <cell r="F280">
            <v>97.64</v>
          </cell>
          <cell r="G280">
            <v>108</v>
          </cell>
        </row>
        <row r="281">
          <cell r="B281" t="str">
            <v>IP60200650</v>
          </cell>
          <cell r="C281">
            <v>276</v>
          </cell>
          <cell r="D281" t="str">
            <v xml:space="preserve">Retirada de rede aérea de 13,2Kv (lance).   </v>
          </cell>
          <cell r="E281" t="str">
            <v xml:space="preserve"> un</v>
          </cell>
          <cell r="F281">
            <v>19.53</v>
          </cell>
          <cell r="G281">
            <v>94</v>
          </cell>
        </row>
        <row r="282">
          <cell r="B282" t="str">
            <v>IP60200800</v>
          </cell>
          <cell r="C282">
            <v>277</v>
          </cell>
          <cell r="D282" t="str">
            <v xml:space="preserve">Retirada de transformadores de 5Kva até 112,5Kva.   </v>
          </cell>
          <cell r="E282" t="str">
            <v xml:space="preserve"> un</v>
          </cell>
          <cell r="F282">
            <v>39.06</v>
          </cell>
          <cell r="G282">
            <v>2</v>
          </cell>
        </row>
        <row r="283">
          <cell r="B283" t="str">
            <v>IP99990150</v>
          </cell>
          <cell r="C283">
            <v>278</v>
          </cell>
          <cell r="D283" t="str">
            <v>Capa isolante de silicone para conector tipo cunha.</v>
          </cell>
          <cell r="E283" t="str">
            <v xml:space="preserve"> un</v>
          </cell>
          <cell r="F283">
            <v>3.68</v>
          </cell>
          <cell r="G283">
            <v>1475</v>
          </cell>
        </row>
        <row r="284">
          <cell r="B284" t="str">
            <v>ST05051200</v>
          </cell>
          <cell r="C284">
            <v>279</v>
          </cell>
          <cell r="D284" t="str">
            <v>Sinalização horizontal, aplicada por extursão.</v>
          </cell>
          <cell r="E284" t="str">
            <v>m2</v>
          </cell>
          <cell r="F284">
            <v>37.81</v>
          </cell>
          <cell r="G284">
            <v>1000</v>
          </cell>
        </row>
        <row r="285">
          <cell r="B285" t="str">
            <v>ST10150050</v>
          </cell>
          <cell r="C285">
            <v>280</v>
          </cell>
          <cell r="D285" t="str">
            <v>Bloco semafórico para pedestre.</v>
          </cell>
          <cell r="E285" t="str">
            <v xml:space="preserve"> un</v>
          </cell>
          <cell r="F285">
            <v>224.25</v>
          </cell>
          <cell r="G285">
            <v>60</v>
          </cell>
        </row>
        <row r="286">
          <cell r="B286" t="str">
            <v>ST10150150</v>
          </cell>
          <cell r="C286">
            <v>281</v>
          </cell>
          <cell r="D286" t="str">
            <v>Bloco semafórico principal.</v>
          </cell>
          <cell r="E286" t="str">
            <v xml:space="preserve"> un</v>
          </cell>
          <cell r="F286">
            <v>691.39</v>
          </cell>
          <cell r="G286">
            <v>48</v>
          </cell>
        </row>
        <row r="287">
          <cell r="B287" t="str">
            <v>ST10150200</v>
          </cell>
          <cell r="C287">
            <v>282</v>
          </cell>
          <cell r="D287" t="str">
            <v>Bloco semafórico repetidor.</v>
          </cell>
          <cell r="E287" t="str">
            <v xml:space="preserve"> un</v>
          </cell>
          <cell r="F287">
            <v>423</v>
          </cell>
          <cell r="G287">
            <v>65</v>
          </cell>
        </row>
        <row r="288">
          <cell r="B288" t="str">
            <v>ST10150300</v>
          </cell>
          <cell r="C288">
            <v>283</v>
          </cell>
          <cell r="D288" t="str">
            <v>Conjunto semafórico para pedestre.</v>
          </cell>
          <cell r="E288" t="str">
            <v xml:space="preserve"> un</v>
          </cell>
          <cell r="F288">
            <v>1779.7</v>
          </cell>
          <cell r="G288">
            <v>20</v>
          </cell>
        </row>
        <row r="289">
          <cell r="B289" t="str">
            <v>ST15250100</v>
          </cell>
          <cell r="C289">
            <v>284</v>
          </cell>
          <cell r="D289" t="str">
            <v>Placa de sinalização de alumínio com fundo pintado.</v>
          </cell>
          <cell r="E289" t="str">
            <v>m2</v>
          </cell>
          <cell r="F289">
            <v>239</v>
          </cell>
          <cell r="G289">
            <v>30</v>
          </cell>
        </row>
        <row r="290">
          <cell r="B290" t="str">
            <v>ST15250150</v>
          </cell>
          <cell r="C290">
            <v>285</v>
          </cell>
          <cell r="D290" t="str">
            <v>Placa de sinalização de alumínio em película refletiva.</v>
          </cell>
          <cell r="E290" t="str">
            <v>m2</v>
          </cell>
          <cell r="F290">
            <v>1013.69</v>
          </cell>
          <cell r="G290">
            <v>60</v>
          </cell>
        </row>
        <row r="291">
          <cell r="B291" t="str">
            <v>ST15250200</v>
          </cell>
          <cell r="C291">
            <v>286</v>
          </cell>
          <cell r="D291" t="str">
            <v>Placa de sinalização de alumínio em película refletiva.</v>
          </cell>
          <cell r="E291" t="str">
            <v>m2</v>
          </cell>
          <cell r="F291">
            <v>564.05999999999995</v>
          </cell>
          <cell r="G291">
            <v>400</v>
          </cell>
        </row>
        <row r="292">
          <cell r="B292" t="str">
            <v>ST10100050</v>
          </cell>
          <cell r="C292">
            <v>287</v>
          </cell>
          <cell r="D292" t="str">
            <v>Controlador de área, compatível com CET-RIO/CTA.</v>
          </cell>
          <cell r="E292" t="str">
            <v xml:space="preserve"> un</v>
          </cell>
          <cell r="F292">
            <v>53682.42</v>
          </cell>
          <cell r="G292">
            <v>1</v>
          </cell>
        </row>
        <row r="293">
          <cell r="B293" t="str">
            <v>ST10100450</v>
          </cell>
          <cell r="C293">
            <v>288</v>
          </cell>
          <cell r="D293" t="str">
            <v>Controlador eletrônico de tráfego local, 4 fases.</v>
          </cell>
          <cell r="E293" t="str">
            <v xml:space="preserve"> un</v>
          </cell>
          <cell r="F293">
            <v>8268.98</v>
          </cell>
          <cell r="G293">
            <v>2</v>
          </cell>
        </row>
        <row r="294">
          <cell r="B294" t="str">
            <v>ST10100500</v>
          </cell>
          <cell r="C294">
            <v>289</v>
          </cell>
          <cell r="D294" t="str">
            <v>Controlador eletrônico de tráfego local, 6 fases.</v>
          </cell>
          <cell r="E294" t="str">
            <v xml:space="preserve"> un</v>
          </cell>
          <cell r="F294">
            <v>9048.98</v>
          </cell>
          <cell r="G294">
            <v>1</v>
          </cell>
        </row>
        <row r="295">
          <cell r="B295" t="str">
            <v>ST10100550</v>
          </cell>
          <cell r="C295">
            <v>290</v>
          </cell>
          <cell r="D295" t="str">
            <v>Controlador eletrônico de tráfego local, 8 fases.</v>
          </cell>
          <cell r="E295" t="str">
            <v xml:space="preserve"> un</v>
          </cell>
          <cell r="F295">
            <v>9828.98</v>
          </cell>
          <cell r="G295">
            <v>1</v>
          </cell>
        </row>
        <row r="296">
          <cell r="B296" t="str">
            <v>ST10100600</v>
          </cell>
          <cell r="C296">
            <v>291</v>
          </cell>
          <cell r="D296" t="str">
            <v>Controlador eletrônico de tráfego local, 10 fases.</v>
          </cell>
          <cell r="E296" t="str">
            <v xml:space="preserve"> un</v>
          </cell>
          <cell r="F296">
            <v>15372.94</v>
          </cell>
          <cell r="G296">
            <v>1</v>
          </cell>
        </row>
        <row r="297">
          <cell r="B297" t="str">
            <v>ST10100650</v>
          </cell>
          <cell r="C297">
            <v>292</v>
          </cell>
          <cell r="D297" t="str">
            <v>Controlador eletrônico de tráfego local, 12 fases.</v>
          </cell>
          <cell r="E297" t="str">
            <v xml:space="preserve"> un</v>
          </cell>
          <cell r="F297">
            <v>16152.94</v>
          </cell>
          <cell r="G297">
            <v>2</v>
          </cell>
        </row>
        <row r="298">
          <cell r="B298" t="str">
            <v>ST10150300</v>
          </cell>
          <cell r="C298">
            <v>293</v>
          </cell>
          <cell r="D298" t="str">
            <v>Conjunto semafórico para pedestre.</v>
          </cell>
          <cell r="E298" t="str">
            <v xml:space="preserve"> un</v>
          </cell>
          <cell r="F298">
            <v>1779.7</v>
          </cell>
          <cell r="G298">
            <v>20</v>
          </cell>
        </row>
        <row r="299">
          <cell r="B299" t="str">
            <v>ST25100150</v>
          </cell>
          <cell r="C299">
            <v>294</v>
          </cell>
          <cell r="D299" t="str">
            <v>Fornecimento de cabo comunicação de CTP-APL-50.</v>
          </cell>
          <cell r="E299" t="str">
            <v>m</v>
          </cell>
          <cell r="F299">
            <v>2.64</v>
          </cell>
          <cell r="G299">
            <v>220</v>
          </cell>
        </row>
        <row r="300">
          <cell r="B300" t="str">
            <v>ST25100300</v>
          </cell>
          <cell r="C300">
            <v>295</v>
          </cell>
          <cell r="D300" t="str">
            <v>Fornecimento de cabo comunicação de cobre, 0,65mm2.</v>
          </cell>
          <cell r="E300" t="str">
            <v>m</v>
          </cell>
          <cell r="F300">
            <v>0.97</v>
          </cell>
          <cell r="G300">
            <v>1215</v>
          </cell>
        </row>
        <row r="301">
          <cell r="B301" t="str">
            <v>ST25100400</v>
          </cell>
          <cell r="C301">
            <v>296</v>
          </cell>
          <cell r="D301" t="str">
            <v xml:space="preserve">Fornecimento de fio telefônico FE-100, ø de 1mm2.      </v>
          </cell>
          <cell r="E301" t="str">
            <v>m</v>
          </cell>
          <cell r="F301">
            <v>0.57999999999999996</v>
          </cell>
          <cell r="G301">
            <v>4618</v>
          </cell>
        </row>
        <row r="302">
          <cell r="B302" t="str">
            <v>ST25150050</v>
          </cell>
          <cell r="C302">
            <v>297</v>
          </cell>
          <cell r="D302" t="str">
            <v>Cabo de fibra ótico, monomodo, geleado.</v>
          </cell>
          <cell r="E302" t="str">
            <v>m</v>
          </cell>
          <cell r="F302">
            <v>3.99</v>
          </cell>
          <cell r="G302">
            <v>972</v>
          </cell>
        </row>
        <row r="303">
          <cell r="B303" t="str">
            <v>ST05050150</v>
          </cell>
          <cell r="C303">
            <v>298</v>
          </cell>
          <cell r="D303" t="str">
            <v>Laminado elastoplástico em faixas, colorido.</v>
          </cell>
          <cell r="E303" t="str">
            <v>m2</v>
          </cell>
          <cell r="F303">
            <v>67.95</v>
          </cell>
          <cell r="G303">
            <v>254</v>
          </cell>
        </row>
        <row r="304">
          <cell r="B304" t="str">
            <v>ST05050250</v>
          </cell>
          <cell r="C304">
            <v>299</v>
          </cell>
          <cell r="D304" t="str">
            <v>Laminado elastoplástico em faixas, cor branca.</v>
          </cell>
          <cell r="E304" t="str">
            <v>m2</v>
          </cell>
          <cell r="F304">
            <v>60.65</v>
          </cell>
          <cell r="G304">
            <v>254</v>
          </cell>
        </row>
        <row r="305">
          <cell r="B305" t="str">
            <v>ST10050050A</v>
          </cell>
          <cell r="C305">
            <v>300</v>
          </cell>
          <cell r="D305" t="str">
            <v>Cabo de cobre estanhado, seção de 7x2,5mm2.</v>
          </cell>
          <cell r="E305" t="str">
            <v>m</v>
          </cell>
          <cell r="F305">
            <v>4.8499999999999996</v>
          </cell>
          <cell r="G305">
            <v>1000</v>
          </cell>
        </row>
        <row r="306">
          <cell r="B306" t="str">
            <v>ST10050100A</v>
          </cell>
          <cell r="C306">
            <v>301</v>
          </cell>
          <cell r="D306" t="str">
            <v>Cabo de cobre estanhado, seção de 4x6mm2.</v>
          </cell>
          <cell r="E306" t="str">
            <v>m</v>
          </cell>
          <cell r="F306">
            <v>5.64</v>
          </cell>
          <cell r="G306">
            <v>400</v>
          </cell>
        </row>
        <row r="307">
          <cell r="B307" t="str">
            <v>ST10050150A</v>
          </cell>
          <cell r="C307">
            <v>302</v>
          </cell>
          <cell r="D307" t="str">
            <v>Cabo de cobre estanhado, seção de 4x10mm2.</v>
          </cell>
          <cell r="E307" t="str">
            <v>m</v>
          </cell>
          <cell r="F307">
            <v>8.77</v>
          </cell>
          <cell r="G307">
            <v>240</v>
          </cell>
        </row>
        <row r="308">
          <cell r="B308" t="str">
            <v>ST10050250A</v>
          </cell>
          <cell r="C308">
            <v>303</v>
          </cell>
          <cell r="D308" t="str">
            <v>Caixa com tampa de ferro leve 300L-400mm,CET-RIO.</v>
          </cell>
          <cell r="E308" t="str">
            <v>un</v>
          </cell>
          <cell r="F308">
            <v>72.06</v>
          </cell>
          <cell r="G308">
            <v>48</v>
          </cell>
        </row>
        <row r="309">
          <cell r="B309" t="str">
            <v>ST10200150A</v>
          </cell>
          <cell r="C309">
            <v>304</v>
          </cell>
          <cell r="D309" t="str">
            <v xml:space="preserve">Base de concreto armado para controlador de tráfego.  </v>
          </cell>
          <cell r="E309" t="str">
            <v>un</v>
          </cell>
          <cell r="F309">
            <v>49.39</v>
          </cell>
          <cell r="G309">
            <v>4</v>
          </cell>
        </row>
        <row r="310">
          <cell r="B310" t="str">
            <v>ST10200250A</v>
          </cell>
          <cell r="C310">
            <v>305</v>
          </cell>
          <cell r="D310" t="str">
            <v xml:space="preserve">Instalação, programação de controlador de tráfego.    </v>
          </cell>
          <cell r="E310" t="str">
            <v>un</v>
          </cell>
          <cell r="F310">
            <v>159.88</v>
          </cell>
          <cell r="G310">
            <v>4</v>
          </cell>
        </row>
        <row r="311">
          <cell r="B311" t="str">
            <v>ST10200300</v>
          </cell>
          <cell r="C311">
            <v>306</v>
          </cell>
          <cell r="D311" t="str">
            <v>Serviços de instalação de laços indutivos.</v>
          </cell>
          <cell r="E311" t="str">
            <v>un</v>
          </cell>
          <cell r="F311">
            <v>680</v>
          </cell>
          <cell r="G311">
            <v>7</v>
          </cell>
        </row>
        <row r="312">
          <cell r="B312" t="str">
            <v>ST15100200</v>
          </cell>
          <cell r="C312">
            <v>307</v>
          </cell>
          <cell r="D312" t="str">
            <v>Poste tipo G9, simples, de 2" de diâmetro.</v>
          </cell>
          <cell r="E312" t="str">
            <v>un</v>
          </cell>
          <cell r="F312">
            <v>163.80000000000001</v>
          </cell>
          <cell r="G312">
            <v>70</v>
          </cell>
        </row>
        <row r="313">
          <cell r="B313" t="str">
            <v>ST15100250</v>
          </cell>
          <cell r="C313">
            <v>308</v>
          </cell>
          <cell r="D313" t="str">
            <v>Poste tipo S5, simples, de 4" de diâmetro.</v>
          </cell>
          <cell r="E313" t="str">
            <v>un</v>
          </cell>
          <cell r="F313">
            <v>496.65</v>
          </cell>
          <cell r="G313">
            <v>19</v>
          </cell>
        </row>
        <row r="314">
          <cell r="B314" t="str">
            <v>ST15100350</v>
          </cell>
          <cell r="C314">
            <v>309</v>
          </cell>
          <cell r="D314" t="str">
            <v>Poste tipo G2 ou S2, coluna de 4 1/2" de diâmetro.</v>
          </cell>
          <cell r="E314" t="str">
            <v>un</v>
          </cell>
          <cell r="F314">
            <v>1234.8</v>
          </cell>
          <cell r="G314">
            <v>14</v>
          </cell>
        </row>
        <row r="315">
          <cell r="B315" t="str">
            <v>ST15100400</v>
          </cell>
          <cell r="C315">
            <v>310</v>
          </cell>
          <cell r="D315" t="str">
            <v>Poste tipo G1 ou S1, coluna de 4 1/2" de diâmetro.</v>
          </cell>
          <cell r="E315" t="str">
            <v>un</v>
          </cell>
          <cell r="F315">
            <v>1342.95</v>
          </cell>
          <cell r="G315">
            <v>15</v>
          </cell>
        </row>
        <row r="316">
          <cell r="B316" t="str">
            <v>ST25050300A</v>
          </cell>
          <cell r="C316">
            <v>311</v>
          </cell>
          <cell r="D316" t="str">
            <v>Instalação subterrânea de cabos de comunicação.</v>
          </cell>
          <cell r="E316" t="str">
            <v>m</v>
          </cell>
          <cell r="F316">
            <v>2.12</v>
          </cell>
          <cell r="G316">
            <v>5700</v>
          </cell>
        </row>
        <row r="317">
          <cell r="B317" t="str">
            <v>ST45150050</v>
          </cell>
          <cell r="C317">
            <v>312</v>
          </cell>
          <cell r="D317" t="str">
            <v>Caixa com tampa de ferro,leve 600L-600mmCET-RIO.</v>
          </cell>
          <cell r="E317" t="str">
            <v>un</v>
          </cell>
          <cell r="F317">
            <v>265.45</v>
          </cell>
          <cell r="G317">
            <v>55</v>
          </cell>
        </row>
        <row r="318">
          <cell r="B318" t="str">
            <v>ST45200050</v>
          </cell>
          <cell r="C318">
            <v>313</v>
          </cell>
          <cell r="D318" t="str">
            <v>Cabo de cobre estanhado, comando,XLPE 9x1,5mm2.</v>
          </cell>
          <cell r="E318" t="str">
            <v>m</v>
          </cell>
          <cell r="F318">
            <v>4.34</v>
          </cell>
          <cell r="G318">
            <v>1800</v>
          </cell>
        </row>
        <row r="319">
          <cell r="B319" t="str">
            <v>ST45200200</v>
          </cell>
          <cell r="C319">
            <v>314</v>
          </cell>
          <cell r="D319" t="str">
            <v xml:space="preserve">Instalação e teste de blocos semafóricos.  </v>
          </cell>
          <cell r="E319" t="str">
            <v>un</v>
          </cell>
          <cell r="F319">
            <v>54.85</v>
          </cell>
          <cell r="G319">
            <v>58</v>
          </cell>
        </row>
        <row r="321">
          <cell r="B321" t="str">
            <v>ITENS INSERIDOS</v>
          </cell>
        </row>
        <row r="322">
          <cell r="B322" t="str">
            <v>BP20150053</v>
          </cell>
          <cell r="C322">
            <v>315</v>
          </cell>
          <cell r="D322" t="str">
            <v>Sarjeta e meio-fio conjugados, moldado no local, 0,45m.</v>
          </cell>
          <cell r="E322" t="str">
            <v>m</v>
          </cell>
          <cell r="F322">
            <v>37.200000000000003</v>
          </cell>
          <cell r="G322">
            <v>3640.55</v>
          </cell>
        </row>
        <row r="323">
          <cell r="B323" t="str">
            <v>BP10200356</v>
          </cell>
          <cell r="C323">
            <v>316</v>
          </cell>
          <cell r="D323" t="str">
            <v xml:space="preserve">Revestimento intertravado, cor natural, 8cm. </v>
          </cell>
          <cell r="E323" t="str">
            <v>m2</v>
          </cell>
          <cell r="F323">
            <v>38.08</v>
          </cell>
          <cell r="G323">
            <v>13265.71</v>
          </cell>
        </row>
        <row r="324">
          <cell r="B324" t="str">
            <v>BP10200359</v>
          </cell>
          <cell r="C324">
            <v>317</v>
          </cell>
          <cell r="D324" t="str">
            <v>Revestimento intertravado com cimento cinza, colorido; 8cm.</v>
          </cell>
          <cell r="E324" t="str">
            <v>m2</v>
          </cell>
          <cell r="F324">
            <v>43.85</v>
          </cell>
          <cell r="G324">
            <v>1167.57</v>
          </cell>
        </row>
        <row r="326">
          <cell r="B326" t="str">
            <v>ITENS NOVOS</v>
          </cell>
        </row>
        <row r="327">
          <cell r="B327" t="str">
            <v>AD05200050</v>
          </cell>
          <cell r="C327">
            <v>318</v>
          </cell>
          <cell r="D327" t="str">
            <v xml:space="preserve">Sondagem a percurssao ate 3" </v>
          </cell>
          <cell r="E327" t="str">
            <v>m</v>
          </cell>
          <cell r="F327">
            <v>49</v>
          </cell>
          <cell r="G327">
            <v>270</v>
          </cell>
        </row>
        <row r="328">
          <cell r="B328" t="str">
            <v>AD15050050</v>
          </cell>
          <cell r="C328">
            <v>319</v>
          </cell>
          <cell r="D328" t="str">
            <v>Deslocamento, entre furos, sondagem a percurssao.</v>
          </cell>
          <cell r="E328" t="str">
            <v>un</v>
          </cell>
          <cell r="F328">
            <v>152.19</v>
          </cell>
          <cell r="G328">
            <v>13</v>
          </cell>
        </row>
        <row r="329">
          <cell r="B329" t="str">
            <v>AD20150050</v>
          </cell>
          <cell r="C329">
            <v>320</v>
          </cell>
          <cell r="D329" t="str">
            <v>Container para escritorio.</v>
          </cell>
          <cell r="E329" t="str">
            <v>un.mes</v>
          </cell>
          <cell r="F329">
            <v>494.18</v>
          </cell>
          <cell r="G329">
            <v>6</v>
          </cell>
        </row>
        <row r="330">
          <cell r="B330" t="str">
            <v>AD20150150</v>
          </cell>
          <cell r="C330">
            <v>321</v>
          </cell>
          <cell r="D330" t="str">
            <v>Container para WC.</v>
          </cell>
          <cell r="E330" t="str">
            <v>un.mes</v>
          </cell>
          <cell r="F330">
            <v>511.48</v>
          </cell>
          <cell r="G330">
            <v>3</v>
          </cell>
        </row>
        <row r="331">
          <cell r="B331" t="str">
            <v>AD40050128</v>
          </cell>
          <cell r="C331">
            <v>322</v>
          </cell>
          <cell r="D331" t="str">
            <v>Engenheiro coordenador geral de projetos.</v>
          </cell>
          <cell r="E331" t="str">
            <v>h</v>
          </cell>
          <cell r="F331">
            <v>43.69</v>
          </cell>
          <cell r="G331">
            <v>378</v>
          </cell>
        </row>
        <row r="332">
          <cell r="B332" t="str">
            <v>AD40050152</v>
          </cell>
          <cell r="C332">
            <v>323</v>
          </cell>
          <cell r="D332" t="str">
            <v>Mestre de obra A (inclusive encargos sociais).</v>
          </cell>
          <cell r="E332" t="str">
            <v>h</v>
          </cell>
          <cell r="F332">
            <v>15.91</v>
          </cell>
          <cell r="G332">
            <v>3009</v>
          </cell>
        </row>
        <row r="333">
          <cell r="B333" t="str">
            <v>AL05250450</v>
          </cell>
          <cell r="C333">
            <v>324</v>
          </cell>
          <cell r="D333" t="str">
            <v>Alvenaria de blocos de concreto (20x20x40)cm.</v>
          </cell>
          <cell r="E333" t="str">
            <v>m2</v>
          </cell>
          <cell r="F333">
            <v>32.409999999999997</v>
          </cell>
          <cell r="G333">
            <v>732.34</v>
          </cell>
        </row>
        <row r="334">
          <cell r="B334" t="str">
            <v>BP10250303</v>
          </cell>
          <cell r="C334">
            <v>325</v>
          </cell>
          <cell r="D334" t="str">
            <v>Pavimentacao com paralelepipedos, colchao de pó.</v>
          </cell>
          <cell r="E334" t="str">
            <v>m2</v>
          </cell>
          <cell r="F334">
            <v>34.6</v>
          </cell>
          <cell r="G334">
            <v>577.88</v>
          </cell>
        </row>
        <row r="335">
          <cell r="B335" t="str">
            <v>BP20100100</v>
          </cell>
          <cell r="C335">
            <v>326</v>
          </cell>
          <cell r="D335" t="str">
            <v>Meio-fio de concreto 13,5MPa mold no local, 0,15x0,30m.</v>
          </cell>
          <cell r="E335" t="str">
            <v>m</v>
          </cell>
          <cell r="F335">
            <v>23.38</v>
          </cell>
          <cell r="G335">
            <v>277.51</v>
          </cell>
        </row>
        <row r="336">
          <cell r="B336" t="str">
            <v>DR30200053</v>
          </cell>
          <cell r="C336">
            <v>327</v>
          </cell>
          <cell r="D336" t="str">
            <v>Caixa de inspecao para esgoto sanitario 0,75m de prof.</v>
          </cell>
          <cell r="E336" t="str">
            <v>un</v>
          </cell>
          <cell r="F336">
            <v>247.46</v>
          </cell>
          <cell r="G336">
            <v>79</v>
          </cell>
        </row>
        <row r="337">
          <cell r="B337" t="str">
            <v>DR35050050</v>
          </cell>
          <cell r="C337">
            <v>328</v>
          </cell>
          <cell r="D337" t="str">
            <v>Tampao de ferro fundido artic., de 30cm,RIOLUZ/CET-RIO.</v>
          </cell>
          <cell r="E337" t="str">
            <v xml:space="preserve">un  </v>
          </cell>
          <cell r="F337">
            <v>50.48</v>
          </cell>
          <cell r="G337">
            <v>199</v>
          </cell>
        </row>
        <row r="338">
          <cell r="B338" t="str">
            <v>DR35050053</v>
          </cell>
          <cell r="C338">
            <v>329</v>
          </cell>
          <cell r="D338" t="str">
            <v>Tampao de ferro fundido leve ø0,60m padrao RIOLUZ.</v>
          </cell>
          <cell r="E338" t="str">
            <v xml:space="preserve">un  </v>
          </cell>
          <cell r="F338">
            <v>206.59</v>
          </cell>
          <cell r="G338">
            <v>14</v>
          </cell>
        </row>
        <row r="339">
          <cell r="B339" t="str">
            <v>DR55050050</v>
          </cell>
          <cell r="C339">
            <v>330</v>
          </cell>
          <cell r="D339" t="str">
            <v>Camada horizontal de brita.</v>
          </cell>
          <cell r="E339" t="str">
            <v>m3</v>
          </cell>
          <cell r="F339">
            <v>41.32</v>
          </cell>
          <cell r="G339">
            <v>38.5</v>
          </cell>
        </row>
        <row r="340">
          <cell r="B340" t="str">
            <v>ET05600050</v>
          </cell>
          <cell r="C340">
            <v>331</v>
          </cell>
          <cell r="D340" t="str">
            <v>Concreto armado de 15MPa.</v>
          </cell>
          <cell r="E340" t="str">
            <v>m3</v>
          </cell>
          <cell r="F340">
            <v>700.29</v>
          </cell>
          <cell r="G340">
            <v>148.97999999999999</v>
          </cell>
        </row>
        <row r="341">
          <cell r="B341" t="str">
            <v>ET15200103</v>
          </cell>
          <cell r="C341">
            <v>332</v>
          </cell>
          <cell r="D341" t="str">
            <v>Formas de placas de Madeirit,17mm de espessura plast.</v>
          </cell>
          <cell r="E341" t="str">
            <v>m2</v>
          </cell>
          <cell r="F341">
            <v>47.48</v>
          </cell>
          <cell r="G341">
            <v>1739.95</v>
          </cell>
        </row>
        <row r="342">
          <cell r="B342" t="str">
            <v>ET20050050</v>
          </cell>
          <cell r="C342">
            <v>333</v>
          </cell>
          <cell r="D342" t="str">
            <v>Escoramento de pontilhoes,pontes,viadutos concreto armado.</v>
          </cell>
          <cell r="E342" t="str">
            <v>m3</v>
          </cell>
          <cell r="F342">
            <v>40.97</v>
          </cell>
          <cell r="G342">
            <v>2258.8000000000002</v>
          </cell>
        </row>
        <row r="343">
          <cell r="B343" t="str">
            <v>ET20300100</v>
          </cell>
          <cell r="C343">
            <v>334</v>
          </cell>
          <cell r="D343" t="str">
            <v xml:space="preserve">Escoramento de formas de 1,50m e ate 5m. </v>
          </cell>
          <cell r="E343" t="str">
            <v>m2</v>
          </cell>
          <cell r="F343">
            <v>17.66</v>
          </cell>
          <cell r="G343">
            <v>943.11</v>
          </cell>
        </row>
        <row r="344">
          <cell r="B344" t="str">
            <v>ET40050121</v>
          </cell>
          <cell r="C344">
            <v>335</v>
          </cell>
          <cell r="D344" t="str">
            <v>Tela de aco Telcon com malha de (10x10)cm.</v>
          </cell>
          <cell r="E344" t="str">
            <v>m2</v>
          </cell>
          <cell r="F344">
            <v>24.52</v>
          </cell>
          <cell r="G344">
            <v>1582.14</v>
          </cell>
        </row>
        <row r="345">
          <cell r="B345" t="str">
            <v>ET60050053</v>
          </cell>
          <cell r="C345">
            <v>336</v>
          </cell>
          <cell r="D345" t="str">
            <v>Concreto usinado 11MPa.</v>
          </cell>
          <cell r="E345" t="str">
            <v>m3</v>
          </cell>
          <cell r="F345">
            <v>166.68</v>
          </cell>
          <cell r="G345">
            <v>678.35</v>
          </cell>
        </row>
        <row r="346">
          <cell r="B346" t="str">
            <v>ET60050068</v>
          </cell>
          <cell r="C346">
            <v>337</v>
          </cell>
          <cell r="D346" t="str">
            <v>Concreto usinado 22,5MPa.</v>
          </cell>
          <cell r="E346" t="str">
            <v>m3</v>
          </cell>
          <cell r="F346">
            <v>209.87</v>
          </cell>
          <cell r="G346">
            <v>79.11</v>
          </cell>
        </row>
        <row r="347">
          <cell r="B347" t="str">
            <v>IP25100025</v>
          </cell>
          <cell r="C347">
            <v>338</v>
          </cell>
          <cell r="D347" t="str">
            <v>Caixa Hand-Hole, (0,30x0,30)m.</v>
          </cell>
          <cell r="E347" t="str">
            <v>un</v>
          </cell>
          <cell r="F347">
            <v>26.29</v>
          </cell>
          <cell r="G347">
            <v>227</v>
          </cell>
        </row>
        <row r="348">
          <cell r="B348" t="str">
            <v>IP25200050</v>
          </cell>
          <cell r="C348">
            <v>339</v>
          </cell>
          <cell r="D348" t="str">
            <v>Tampao de ferro tipo leve padrao RIOLUZ.</v>
          </cell>
          <cell r="E348" t="str">
            <v>un</v>
          </cell>
          <cell r="F348">
            <v>188.93</v>
          </cell>
          <cell r="G348">
            <v>100</v>
          </cell>
        </row>
        <row r="349">
          <cell r="B349" t="str">
            <v>IP55150100</v>
          </cell>
          <cell r="C349">
            <v>340</v>
          </cell>
          <cell r="D349" t="str">
            <v>Chumbador para fixacao de poste de aco.</v>
          </cell>
          <cell r="E349" t="str">
            <v>un</v>
          </cell>
          <cell r="F349">
            <v>27.89</v>
          </cell>
          <cell r="G349">
            <v>1304</v>
          </cell>
        </row>
        <row r="350">
          <cell r="B350" t="str">
            <v>IT10400050</v>
          </cell>
          <cell r="C350">
            <v>341</v>
          </cell>
          <cell r="D350" t="str">
            <v>Ligacao domiciliar de agua.</v>
          </cell>
          <cell r="E350" t="str">
            <v>un</v>
          </cell>
          <cell r="F350">
            <v>96.69</v>
          </cell>
          <cell r="G350">
            <v>67</v>
          </cell>
        </row>
        <row r="351">
          <cell r="B351" t="str">
            <v>IT15600100</v>
          </cell>
          <cell r="C351">
            <v>342</v>
          </cell>
          <cell r="D351" t="str">
            <v>Ligacao de esgoto sanitario, em manilha de 100mm.</v>
          </cell>
          <cell r="E351" t="str">
            <v>un</v>
          </cell>
          <cell r="F351">
            <v>344.53</v>
          </cell>
          <cell r="G351">
            <v>79</v>
          </cell>
        </row>
        <row r="352">
          <cell r="B352" t="str">
            <v>MT05050100</v>
          </cell>
          <cell r="C352">
            <v>343</v>
          </cell>
          <cell r="D352" t="str">
            <v>Escavacao manual de vala, 1,50m e 3m de profundidade.</v>
          </cell>
          <cell r="E352" t="str">
            <v>m3</v>
          </cell>
          <cell r="F352">
            <v>19.93</v>
          </cell>
          <cell r="G352">
            <v>1092</v>
          </cell>
        </row>
        <row r="353">
          <cell r="B353" t="str">
            <v>MT05100100</v>
          </cell>
          <cell r="C353">
            <v>344</v>
          </cell>
          <cell r="D353" t="str">
            <v>Escavacao manual de vala a frio.</v>
          </cell>
          <cell r="E353" t="str">
            <v>m3</v>
          </cell>
          <cell r="F353">
            <v>22.26</v>
          </cell>
          <cell r="G353">
            <v>3071.18</v>
          </cell>
        </row>
        <row r="354">
          <cell r="B354" t="str">
            <v>MT05150050</v>
          </cell>
          <cell r="C354">
            <v>345</v>
          </cell>
          <cell r="D354" t="str">
            <v>Escavacao manual de vala em lodo, ate 1,50m.</v>
          </cell>
          <cell r="E354" t="str">
            <v>m3</v>
          </cell>
          <cell r="F354">
            <v>24.36</v>
          </cell>
          <cell r="G354">
            <v>1395.9</v>
          </cell>
        </row>
        <row r="355">
          <cell r="B355" t="str">
            <v>PJ25250050</v>
          </cell>
          <cell r="C355">
            <v>346</v>
          </cell>
          <cell r="D355" t="str">
            <v>Balizador modelo Copacabana, cilindrico, liso, pre-fabricado.</v>
          </cell>
          <cell r="E355" t="str">
            <v>un</v>
          </cell>
          <cell r="F355">
            <v>98.43</v>
          </cell>
          <cell r="G355">
            <v>419</v>
          </cell>
        </row>
        <row r="356">
          <cell r="B356" t="str">
            <v>RV10050215</v>
          </cell>
          <cell r="C356">
            <v>347</v>
          </cell>
          <cell r="D356" t="str">
            <v>Revestimento externo, de 1 vez.</v>
          </cell>
          <cell r="E356" t="str">
            <v>m2</v>
          </cell>
          <cell r="F356">
            <v>17.29</v>
          </cell>
          <cell r="G356">
            <v>501.79</v>
          </cell>
        </row>
        <row r="357">
          <cell r="B357" t="str">
            <v>SC35050100</v>
          </cell>
          <cell r="C357">
            <v>348</v>
          </cell>
          <cell r="D357" t="str">
            <v>Levantamento ou rebaixamento de tampao, calçada.</v>
          </cell>
          <cell r="E357" t="str">
            <v>un</v>
          </cell>
          <cell r="F357">
            <v>75.849999999999994</v>
          </cell>
          <cell r="G357">
            <v>121</v>
          </cell>
        </row>
        <row r="358">
          <cell r="B358" t="str">
            <v>SE20100253</v>
          </cell>
          <cell r="C358">
            <v>349</v>
          </cell>
          <cell r="D358" t="str">
            <v>Levantamento topografico planialtimetrico e cadastral.</v>
          </cell>
          <cell r="E358" t="str">
            <v>ha</v>
          </cell>
          <cell r="F358">
            <v>2252.4299999999998</v>
          </cell>
          <cell r="G358">
            <v>5.18</v>
          </cell>
        </row>
        <row r="359">
          <cell r="B359" t="str">
            <v>SE25900300</v>
          </cell>
          <cell r="C359">
            <v>350</v>
          </cell>
          <cell r="D359" t="str">
            <v>Servicos de elaboracao de projeto estrutural final de eng.</v>
          </cell>
          <cell r="E359" t="str">
            <v>m2</v>
          </cell>
          <cell r="F359">
            <v>37.130000000000003</v>
          </cell>
          <cell r="G359">
            <v>1149</v>
          </cell>
        </row>
        <row r="360">
          <cell r="B360" t="str">
            <v>ST45150100</v>
          </cell>
          <cell r="C360">
            <v>351</v>
          </cell>
          <cell r="D360" t="str">
            <v>Caixa com tampa de ferro leve 600L-900mm,CET-RIO.</v>
          </cell>
          <cell r="E360" t="str">
            <v xml:space="preserve">un  </v>
          </cell>
          <cell r="F360">
            <v>295.7</v>
          </cell>
          <cell r="G360">
            <v>41</v>
          </cell>
        </row>
        <row r="361">
          <cell r="B361" t="str">
            <v>TC05100050</v>
          </cell>
          <cell r="C361">
            <v>352</v>
          </cell>
          <cell r="D361" t="str">
            <v>Transporte horizontal material em carrinho de mao.</v>
          </cell>
          <cell r="E361" t="str">
            <v>t.dam</v>
          </cell>
          <cell r="F361">
            <v>1.19</v>
          </cell>
          <cell r="G361">
            <v>103434.34</v>
          </cell>
        </row>
        <row r="362">
          <cell r="B362" t="str">
            <v>TC10050350</v>
          </cell>
          <cell r="C362">
            <v>353</v>
          </cell>
          <cell r="D362" t="str">
            <v>Carga e descarga mecanica, com Pa-Carregadeira.</v>
          </cell>
          <cell r="E362" t="str">
            <v xml:space="preserve">t </v>
          </cell>
          <cell r="F362">
            <v>0.51</v>
          </cell>
          <cell r="G362">
            <v>43094.67</v>
          </cell>
        </row>
        <row r="363">
          <cell r="B363" t="str">
            <v>UNI</v>
          </cell>
          <cell r="C363" t="str">
            <v>N1</v>
          </cell>
          <cell r="D363" t="str">
            <v>Tampa light 80x80cm</v>
          </cell>
          <cell r="E363" t="str">
            <v>un</v>
          </cell>
          <cell r="F363">
            <v>259.04000000000002</v>
          </cell>
        </row>
        <row r="365">
          <cell r="B365" t="str">
            <v>ITENS FGV</v>
          </cell>
        </row>
        <row r="366">
          <cell r="B366" t="str">
            <v>BP10050653</v>
          </cell>
          <cell r="C366" t="str">
            <v>F1</v>
          </cell>
          <cell r="D366" t="str">
            <v>Revestimento de CBUQ, com 5cm de espessura.</v>
          </cell>
          <cell r="E366" t="str">
            <v>m2</v>
          </cell>
          <cell r="F366">
            <v>12.77</v>
          </cell>
        </row>
        <row r="367">
          <cell r="B367" t="str">
            <v>BP20200053</v>
          </cell>
          <cell r="C367" t="str">
            <v>F2</v>
          </cell>
          <cell r="D367" t="str">
            <v>Meio-fio de concreto pre-moldado altura de 0,45m.</v>
          </cell>
          <cell r="E367" t="str">
            <v>m</v>
          </cell>
          <cell r="F367">
            <v>21.71</v>
          </cell>
        </row>
        <row r="368">
          <cell r="B368" t="str">
            <v>CE05050050</v>
          </cell>
          <cell r="C368" t="str">
            <v>F3</v>
          </cell>
          <cell r="D368" t="str">
            <v>Prestacao de servicos de engenharia.</v>
          </cell>
          <cell r="E368" t="str">
            <v>hh</v>
          </cell>
          <cell r="F368">
            <v>39.4</v>
          </cell>
        </row>
        <row r="369">
          <cell r="B369" t="str">
            <v>DR30200050</v>
          </cell>
          <cell r="C369" t="str">
            <v>F4</v>
          </cell>
          <cell r="D369" t="str">
            <v>Caixa de inspecao de esgoto, 0,70m de profundidade.</v>
          </cell>
          <cell r="E369" t="str">
            <v>un</v>
          </cell>
          <cell r="F369">
            <v>245.86</v>
          </cell>
        </row>
        <row r="370">
          <cell r="B370" t="str">
            <v>EQ45050150</v>
          </cell>
          <cell r="C370" t="str">
            <v>F5</v>
          </cell>
          <cell r="D370" t="str">
            <v>Compressor de ar. Aluguel produtivo.</v>
          </cell>
          <cell r="E370" t="str">
            <v>h</v>
          </cell>
          <cell r="F370">
            <v>26.28</v>
          </cell>
        </row>
        <row r="371">
          <cell r="B371" t="str">
            <v>ET60050100</v>
          </cell>
          <cell r="C371" t="str">
            <v>F6</v>
          </cell>
          <cell r="D371" t="str">
            <v>Concreto usinado 40Mpa.</v>
          </cell>
          <cell r="E371" t="str">
            <v>m3</v>
          </cell>
          <cell r="F371">
            <v>274.33999999999997</v>
          </cell>
        </row>
        <row r="372">
          <cell r="B372" t="str">
            <v>IP05100400</v>
          </cell>
          <cell r="C372" t="str">
            <v>F7</v>
          </cell>
          <cell r="D372" t="str">
            <v>Poste Multi-Uso de aco, reto, cilindrico de 5,60m.</v>
          </cell>
          <cell r="E372" t="str">
            <v>par</v>
          </cell>
          <cell r="F372">
            <v>1366</v>
          </cell>
        </row>
        <row r="373">
          <cell r="B373" t="str">
            <v>IP05100850</v>
          </cell>
          <cell r="C373" t="str">
            <v>F8</v>
          </cell>
          <cell r="D373" t="str">
            <v>Poste Multi-Uso de aco, reto, cilindrico de 9,5m.</v>
          </cell>
          <cell r="E373" t="str">
            <v>un</v>
          </cell>
          <cell r="F373">
            <v>2656.14</v>
          </cell>
        </row>
        <row r="374">
          <cell r="B374" t="str">
            <v>IP05250150</v>
          </cell>
          <cell r="C374" t="str">
            <v>F9</v>
          </cell>
          <cell r="D374" t="str">
            <v>Poste de aco, reto, de 4,50m ate 6m. Assentamento.</v>
          </cell>
          <cell r="E374" t="str">
            <v>un</v>
          </cell>
          <cell r="F374">
            <v>53.59</v>
          </cell>
        </row>
        <row r="375">
          <cell r="B375" t="str">
            <v>IP05250200</v>
          </cell>
          <cell r="C375" t="str">
            <v>F10</v>
          </cell>
          <cell r="D375" t="str">
            <v>Poste de aco, reto, de 7m ate 12m. Assentamento.</v>
          </cell>
          <cell r="E375" t="str">
            <v>un</v>
          </cell>
          <cell r="F375">
            <v>108.83</v>
          </cell>
        </row>
        <row r="376">
          <cell r="B376" t="str">
            <v>IP05500050</v>
          </cell>
          <cell r="C376" t="str">
            <v>F11</v>
          </cell>
          <cell r="D376" t="str">
            <v>Braco para luminaria de 0,39m.</v>
          </cell>
          <cell r="E376" t="str">
            <v>par</v>
          </cell>
          <cell r="F376">
            <v>63</v>
          </cell>
        </row>
        <row r="377">
          <cell r="B377" t="str">
            <v>IP05500250</v>
          </cell>
          <cell r="C377" t="str">
            <v>F12</v>
          </cell>
          <cell r="D377" t="str">
            <v>Braco para luminaria de 1,35m.</v>
          </cell>
          <cell r="E377" t="str">
            <v>par</v>
          </cell>
          <cell r="F377">
            <v>115</v>
          </cell>
        </row>
        <row r="378">
          <cell r="B378" t="str">
            <v>IP05550050</v>
          </cell>
          <cell r="C378" t="str">
            <v>F13</v>
          </cell>
          <cell r="D378" t="str">
            <v>Braco, padrao RIOLUZ.  Colocacao.</v>
          </cell>
          <cell r="E378" t="str">
            <v>un</v>
          </cell>
          <cell r="F378">
            <v>9.76</v>
          </cell>
        </row>
        <row r="379">
          <cell r="B379" t="str">
            <v>IP05600050</v>
          </cell>
          <cell r="C379" t="str">
            <v>F14</v>
          </cell>
          <cell r="D379" t="str">
            <v>Pintura de braco com 2 demaos de tinta Aluminac.</v>
          </cell>
          <cell r="E379" t="str">
            <v>un</v>
          </cell>
          <cell r="F379">
            <v>12.29</v>
          </cell>
        </row>
        <row r="380">
          <cell r="B380" t="str">
            <v>IP05600103</v>
          </cell>
          <cell r="C380" t="str">
            <v>F15</v>
          </cell>
          <cell r="D380" t="str">
            <v>Pintura de poste de aco, reto, de 4,5m ate 6m.</v>
          </cell>
          <cell r="E380" t="str">
            <v>un</v>
          </cell>
          <cell r="F380">
            <v>14.73</v>
          </cell>
        </row>
        <row r="381">
          <cell r="B381" t="str">
            <v>IP05600109</v>
          </cell>
          <cell r="C381" t="str">
            <v>F16</v>
          </cell>
          <cell r="D381" t="str">
            <v>Pintura de poste de aco reto, de 10m ate 15m.</v>
          </cell>
          <cell r="E381" t="str">
            <v>un</v>
          </cell>
          <cell r="F381">
            <v>54.04</v>
          </cell>
        </row>
        <row r="382">
          <cell r="B382" t="str">
            <v>IP45050250</v>
          </cell>
          <cell r="C382" t="str">
            <v>F17</v>
          </cell>
          <cell r="D382" t="str">
            <v>Rele fotoeletrico, tipo NA, tensao de 127V, 1200VA.</v>
          </cell>
          <cell r="E382" t="str">
            <v>un</v>
          </cell>
          <cell r="F382">
            <v>11.85</v>
          </cell>
        </row>
        <row r="383">
          <cell r="B383" t="str">
            <v>IP50050059</v>
          </cell>
          <cell r="C383" t="str">
            <v>F18</v>
          </cell>
          <cell r="D383" t="str">
            <v>Luminaria LRJ-25 para lampada de 70W ovoide.</v>
          </cell>
          <cell r="E383" t="str">
            <v>un</v>
          </cell>
          <cell r="F383">
            <v>305.18</v>
          </cell>
        </row>
        <row r="384">
          <cell r="B384" t="str">
            <v>IP50050250</v>
          </cell>
          <cell r="C384" t="str">
            <v>F19</v>
          </cell>
          <cell r="D384" t="str">
            <v>Luminaria LRJ-24 para lampada de 250W tubular.</v>
          </cell>
          <cell r="E384" t="str">
            <v>un</v>
          </cell>
          <cell r="F384">
            <v>361.15</v>
          </cell>
        </row>
        <row r="385">
          <cell r="B385" t="str">
            <v>IP50200106</v>
          </cell>
          <cell r="C385" t="str">
            <v>F20</v>
          </cell>
          <cell r="D385" t="str">
            <v>Nucleo simples para luminarias LRJ-09/16/25.</v>
          </cell>
          <cell r="E385" t="str">
            <v>un</v>
          </cell>
          <cell r="F385">
            <v>40</v>
          </cell>
        </row>
        <row r="386">
          <cell r="B386" t="str">
            <v>IP50200150</v>
          </cell>
          <cell r="C386" t="str">
            <v>F21</v>
          </cell>
          <cell r="D386" t="str">
            <v>Nucleo duplo para luminarias LRJ-01/17/23/24/30/31.</v>
          </cell>
          <cell r="E386" t="str">
            <v>un</v>
          </cell>
          <cell r="F386">
            <v>67</v>
          </cell>
        </row>
        <row r="387">
          <cell r="B387" t="str">
            <v>IP50250421</v>
          </cell>
          <cell r="C387" t="str">
            <v>F22</v>
          </cell>
          <cell r="D387" t="str">
            <v>Lampada de multivapor metalica (MVM) de 250W.</v>
          </cell>
          <cell r="E387" t="str">
            <v>un</v>
          </cell>
          <cell r="F387">
            <v>83.9</v>
          </cell>
        </row>
        <row r="388">
          <cell r="B388" t="str">
            <v>IP50400103</v>
          </cell>
          <cell r="C388" t="str">
            <v>F23</v>
          </cell>
          <cell r="D388" t="str">
            <v>Luminaria fechada com lampada de descarga.</v>
          </cell>
          <cell r="E388" t="str">
            <v>un</v>
          </cell>
          <cell r="F388">
            <v>9.76</v>
          </cell>
        </row>
        <row r="389">
          <cell r="B389" t="str">
            <v>IT25100121</v>
          </cell>
          <cell r="C389" t="str">
            <v>F24</v>
          </cell>
          <cell r="D389" t="str">
            <v>Kanalex diametro de 125mm (5" ).</v>
          </cell>
          <cell r="E389" t="str">
            <v>m</v>
          </cell>
          <cell r="F389">
            <v>10.89</v>
          </cell>
        </row>
        <row r="390">
          <cell r="B390" t="str">
            <v>RV1595005</v>
          </cell>
          <cell r="C390" t="str">
            <v>F25</v>
          </cell>
          <cell r="D390" t="str">
            <v>Piso de alerta em placas marmorizadas, cor vermelha.</v>
          </cell>
          <cell r="E390" t="str">
            <v>m2</v>
          </cell>
          <cell r="F390">
            <v>55.17</v>
          </cell>
        </row>
        <row r="391">
          <cell r="B391" t="str">
            <v>SC05100350</v>
          </cell>
          <cell r="C391" t="str">
            <v>F26</v>
          </cell>
          <cell r="D391" t="str">
            <v>Demolicao com equipamento concreto asfaltico 5cm.</v>
          </cell>
          <cell r="E391" t="str">
            <v>m2</v>
          </cell>
          <cell r="F391">
            <v>5.0999999999999996</v>
          </cell>
        </row>
        <row r="392">
          <cell r="B392" t="str">
            <v>SC05100400</v>
          </cell>
          <cell r="C392" t="str">
            <v>F27</v>
          </cell>
          <cell r="D392" t="str">
            <v>Demolicao com equipamento concreto asfaltico 10cm.</v>
          </cell>
          <cell r="E392" t="str">
            <v>m2</v>
          </cell>
          <cell r="F392">
            <v>7.64</v>
          </cell>
        </row>
        <row r="393">
          <cell r="B393" t="str">
            <v>SC05100450</v>
          </cell>
          <cell r="C393" t="str">
            <v>F28</v>
          </cell>
          <cell r="D393" t="str">
            <v>Demolicao equipamento concreto asfaltico 5cm l=1,20m.</v>
          </cell>
          <cell r="E393" t="str">
            <v>m2</v>
          </cell>
          <cell r="F393">
            <v>5.99</v>
          </cell>
        </row>
        <row r="394">
          <cell r="B394" t="str">
            <v>SC10100100</v>
          </cell>
          <cell r="C394" t="str">
            <v>F29</v>
          </cell>
          <cell r="D394" t="str">
            <v>Operador de trafego, nivel junior.</v>
          </cell>
          <cell r="E394" t="str">
            <v>h</v>
          </cell>
          <cell r="F394">
            <v>10.1</v>
          </cell>
        </row>
        <row r="395">
          <cell r="B395" t="str">
            <v>ST05051050</v>
          </cell>
          <cell r="C395" t="str">
            <v>F30</v>
          </cell>
          <cell r="D395" t="str">
            <v>Sinalizacao horizontal aplicada por aspersao.</v>
          </cell>
          <cell r="E395" t="str">
            <v>m2</v>
          </cell>
          <cell r="F395">
            <v>20.149999999999999</v>
          </cell>
        </row>
        <row r="396">
          <cell r="B396" t="str">
            <v>ST10150350</v>
          </cell>
          <cell r="C396" t="str">
            <v>F31</v>
          </cell>
          <cell r="D396" t="str">
            <v>Conjunto semaforico principal.</v>
          </cell>
          <cell r="E396" t="str">
            <v>un</v>
          </cell>
          <cell r="F396">
            <v>4662</v>
          </cell>
        </row>
        <row r="397">
          <cell r="B397" t="str">
            <v>ST10150400</v>
          </cell>
          <cell r="C397" t="str">
            <v>F32</v>
          </cell>
          <cell r="D397" t="str">
            <v>Conjunto semaforico repetidor.</v>
          </cell>
          <cell r="E397" t="str">
            <v>un</v>
          </cell>
          <cell r="F397">
            <v>2243.85</v>
          </cell>
        </row>
        <row r="398">
          <cell r="B398" t="str">
            <v>ST20100050</v>
          </cell>
          <cell r="C398" t="str">
            <v>F33</v>
          </cell>
          <cell r="D398" t="str">
            <v>Aluguel mensal de radio transmissor-receptor.</v>
          </cell>
          <cell r="E398" t="str">
            <v>mes</v>
          </cell>
          <cell r="F398">
            <v>70</v>
          </cell>
        </row>
        <row r="399">
          <cell r="B399" t="str">
            <v>ST15050100</v>
          </cell>
          <cell r="C399" t="str">
            <v>F34</v>
          </cell>
          <cell r="D399" t="str">
            <v>Portico, coluna tubular, em aco galvanizado.</v>
          </cell>
          <cell r="E399" t="str">
            <v>un</v>
          </cell>
          <cell r="F399">
            <v>35622.78</v>
          </cell>
        </row>
        <row r="400">
          <cell r="B400" t="str">
            <v>TC10050050</v>
          </cell>
          <cell r="C400" t="str">
            <v>F35</v>
          </cell>
          <cell r="D400" t="str">
            <v>Carga e descarga manual de material.</v>
          </cell>
          <cell r="E400" t="str">
            <v>t</v>
          </cell>
          <cell r="F400">
            <v>20.36</v>
          </cell>
        </row>
        <row r="401">
          <cell r="B401" t="str">
            <v>DR10050053</v>
          </cell>
          <cell r="C401" t="str">
            <v>F36</v>
          </cell>
          <cell r="D401" t="str">
            <v>Tubo de ferro fundido, ductil, classe K-9,ø 100mm.</v>
          </cell>
          <cell r="E401" t="str">
            <v>m</v>
          </cell>
          <cell r="F401">
            <v>139.33000000000001</v>
          </cell>
        </row>
        <row r="402">
          <cell r="B402" t="str">
            <v>ST05051800</v>
          </cell>
          <cell r="C402" t="str">
            <v>F37</v>
          </cell>
          <cell r="D402" t="str">
            <v>Tachao bidirecional, conforme especificacao CET-RIO.  Fornecimento.</v>
          </cell>
          <cell r="E402" t="str">
            <v>un</v>
          </cell>
          <cell r="F402">
            <v>21.9</v>
          </cell>
        </row>
        <row r="403">
          <cell r="B403" t="str">
            <v>IP50050253</v>
          </cell>
          <cell r="C403" t="str">
            <v>F38</v>
          </cell>
          <cell r="D403" t="str">
            <v>Luminaria LRJ-33 para lampada vapor de sodio ou multivapor metalico de 250W, IP-66, vidro curvo, corpo em aluminio injetado, para encaixe em tubo com diametro de 60,3mm, com equipamento auxiliar integrado (EM-RIOLUZ no 30), refletor em chapa de aluminio 9</v>
          </cell>
          <cell r="E403" t="str">
            <v>un</v>
          </cell>
          <cell r="F403">
            <v>515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APONT"/>
      <sheetName val="RESUMO"/>
      <sheetName val="ACA - 01"/>
      <sheetName val="ACA - 02"/>
      <sheetName val="ACA - 03"/>
      <sheetName val="ACA - 04"/>
      <sheetName val="ACA - 04b"/>
      <sheetName val="ACA - 05"/>
      <sheetName val="ACA - 06"/>
      <sheetName val="ACA - 07"/>
      <sheetName val="ACA - 08"/>
      <sheetName val="ACA - 08b"/>
      <sheetName val="ACA - 09"/>
    </sheetNames>
    <sheetDataSet>
      <sheetData sheetId="0">
        <row r="5">
          <cell r="B5" t="str">
            <v>CÓDIGO</v>
          </cell>
          <cell r="C5" t="str">
            <v>ITEM</v>
          </cell>
          <cell r="D5" t="str">
            <v>DESCRIÇÃO DO INSUMO</v>
          </cell>
          <cell r="E5" t="str">
            <v>UNID.</v>
          </cell>
          <cell r="F5" t="str">
            <v>PÇO. UNIT.</v>
          </cell>
          <cell r="G5" t="str">
            <v>QTDE. CONTRATO</v>
          </cell>
        </row>
        <row r="6">
          <cell r="B6" t="str">
            <v>AD05050100</v>
          </cell>
          <cell r="C6">
            <v>1</v>
          </cell>
          <cell r="D6" t="str">
            <v>Ensaio de andensamento edométrico em solo.</v>
          </cell>
          <cell r="E6" t="str">
            <v>un</v>
          </cell>
          <cell r="F6">
            <v>509.17</v>
          </cell>
          <cell r="G6">
            <v>44</v>
          </cell>
        </row>
        <row r="7">
          <cell r="B7" t="str">
            <v>AD05050200</v>
          </cell>
          <cell r="C7">
            <v>2</v>
          </cell>
          <cell r="D7" t="str">
            <v>Ensaio de laboratorio da Densidade Real.</v>
          </cell>
          <cell r="E7" t="str">
            <v>un</v>
          </cell>
          <cell r="F7">
            <v>56.78</v>
          </cell>
          <cell r="G7">
            <v>29</v>
          </cell>
        </row>
        <row r="8">
          <cell r="B8" t="str">
            <v>AD05050250</v>
          </cell>
          <cell r="C8">
            <v>3</v>
          </cell>
          <cell r="D8" t="str">
            <v>Ensaio em laboratorio do Limite de Liquidez.</v>
          </cell>
          <cell r="E8" t="str">
            <v>un</v>
          </cell>
          <cell r="F8">
            <v>41.29</v>
          </cell>
          <cell r="G8">
            <v>14</v>
          </cell>
        </row>
        <row r="9">
          <cell r="B9" t="str">
            <v>AD05050300</v>
          </cell>
          <cell r="C9">
            <v>4</v>
          </cell>
          <cell r="D9" t="str">
            <v xml:space="preserve">Ensaio em laboratório do limite de plasticidade. </v>
          </cell>
          <cell r="E9" t="str">
            <v>un</v>
          </cell>
          <cell r="F9">
            <v>41.29</v>
          </cell>
          <cell r="G9">
            <v>14</v>
          </cell>
        </row>
        <row r="10">
          <cell r="B10" t="str">
            <v>AD05050350</v>
          </cell>
          <cell r="C10">
            <v>5</v>
          </cell>
          <cell r="D10" t="str">
            <v>Ensaio em laboratório, do Peso Especifico.</v>
          </cell>
          <cell r="E10" t="str">
            <v>un</v>
          </cell>
          <cell r="F10">
            <v>22.86</v>
          </cell>
          <cell r="G10">
            <v>29</v>
          </cell>
        </row>
        <row r="11">
          <cell r="B11" t="str">
            <v>AD05050450</v>
          </cell>
          <cell r="C11">
            <v>6</v>
          </cell>
          <cell r="D11" t="str">
            <v>Ensaio Índice de Suporte Califórnia - Proctor Normal.</v>
          </cell>
          <cell r="E11" t="str">
            <v>un</v>
          </cell>
          <cell r="F11">
            <v>414.42</v>
          </cell>
          <cell r="G11">
            <v>43</v>
          </cell>
        </row>
        <row r="12">
          <cell r="B12" t="str">
            <v>AD05050700</v>
          </cell>
          <cell r="C12">
            <v>7</v>
          </cell>
          <cell r="D12" t="str">
            <v>Sondagem manual com pa e picareta por metro.</v>
          </cell>
          <cell r="E12" t="str">
            <v>m</v>
          </cell>
          <cell r="F12">
            <v>56.78</v>
          </cell>
          <cell r="G12">
            <v>280</v>
          </cell>
        </row>
        <row r="13">
          <cell r="B13" t="str">
            <v>AD20050050</v>
          </cell>
          <cell r="C13">
            <v>8</v>
          </cell>
          <cell r="D13" t="str">
            <v>Barracão de obra com paredes de madeira.</v>
          </cell>
          <cell r="E13" t="str">
            <v>m2</v>
          </cell>
          <cell r="F13">
            <v>141.75</v>
          </cell>
          <cell r="G13">
            <v>250</v>
          </cell>
        </row>
        <row r="14">
          <cell r="B14" t="str">
            <v>AD20050300</v>
          </cell>
          <cell r="C14">
            <v>9</v>
          </cell>
          <cell r="D14" t="str">
            <v>Tapume de vedação ou proteção.</v>
          </cell>
          <cell r="E14" t="str">
            <v>m2</v>
          </cell>
          <cell r="F14">
            <v>19.16</v>
          </cell>
          <cell r="G14">
            <v>24000</v>
          </cell>
        </row>
        <row r="15">
          <cell r="B15" t="str">
            <v>AD20200050</v>
          </cell>
          <cell r="C15">
            <v>10</v>
          </cell>
          <cell r="D15" t="str">
            <v>Instalação e ligação provisórias de energia.</v>
          </cell>
          <cell r="E15" t="str">
            <v>un</v>
          </cell>
          <cell r="F15">
            <v>595.94000000000005</v>
          </cell>
          <cell r="G15">
            <v>2</v>
          </cell>
        </row>
        <row r="16">
          <cell r="B16" t="str">
            <v xml:space="preserve">AD40050056 </v>
          </cell>
          <cell r="C16">
            <v>11</v>
          </cell>
          <cell r="D16" t="str">
            <v xml:space="preserve">Almoxarife(inclusive encargos sociais). </v>
          </cell>
          <cell r="E16" t="str">
            <v>h</v>
          </cell>
          <cell r="F16">
            <v>6.48</v>
          </cell>
          <cell r="G16">
            <v>1480</v>
          </cell>
        </row>
        <row r="17">
          <cell r="B17" t="str">
            <v>AD40050068</v>
          </cell>
          <cell r="C17">
            <v>12</v>
          </cell>
          <cell r="D17" t="str">
            <v>Apontador(inclusive encargos sociais).</v>
          </cell>
          <cell r="E17" t="str">
            <v>h</v>
          </cell>
          <cell r="F17">
            <v>6.48</v>
          </cell>
          <cell r="G17">
            <v>1480</v>
          </cell>
        </row>
        <row r="18">
          <cell r="B18" t="str">
            <v>AD40050074</v>
          </cell>
          <cell r="C18">
            <v>13</v>
          </cell>
          <cell r="D18" t="str">
            <v>Auxiliar de almoxarife(inclusive encargos sociais).</v>
          </cell>
          <cell r="E18" t="str">
            <v>h</v>
          </cell>
          <cell r="F18">
            <v>4.41</v>
          </cell>
          <cell r="G18">
            <v>1480</v>
          </cell>
        </row>
        <row r="19">
          <cell r="B19" t="str">
            <v>AD40050080</v>
          </cell>
          <cell r="C19">
            <v>14</v>
          </cell>
          <cell r="D19" t="str">
            <v>Auxiliar de escritório(inclusive encargos sociais).</v>
          </cell>
          <cell r="E19" t="str">
            <v>h</v>
          </cell>
          <cell r="F19">
            <v>5.32</v>
          </cell>
          <cell r="G19">
            <v>1480</v>
          </cell>
        </row>
        <row r="20">
          <cell r="B20" t="str">
            <v>AD40050086</v>
          </cell>
          <cell r="C20">
            <v>15</v>
          </cell>
          <cell r="D20" t="str">
            <v>Auxiliar técnico(inclusive encargos sociais).</v>
          </cell>
          <cell r="E20" t="str">
            <v>h</v>
          </cell>
          <cell r="F20">
            <v>8.1</v>
          </cell>
          <cell r="G20">
            <v>1480</v>
          </cell>
        </row>
        <row r="21">
          <cell r="B21" t="str">
            <v>AD40050092</v>
          </cell>
          <cell r="C21">
            <v>16</v>
          </cell>
          <cell r="D21" t="str">
            <v xml:space="preserve">Auxiliar de topografia(inclusive encargos sociais).     </v>
          </cell>
          <cell r="E21" t="str">
            <v>h</v>
          </cell>
          <cell r="F21">
            <v>4.5</v>
          </cell>
          <cell r="G21">
            <v>1480</v>
          </cell>
        </row>
        <row r="22">
          <cell r="B22" t="str">
            <v>AD40050098</v>
          </cell>
          <cell r="C22">
            <v>17</v>
          </cell>
          <cell r="D22" t="str">
            <v xml:space="preserve">Chefe de escritório(inclusive encargos sociais). </v>
          </cell>
          <cell r="E22" t="str">
            <v>h</v>
          </cell>
          <cell r="F22">
            <v>13.02</v>
          </cell>
          <cell r="G22">
            <v>1480</v>
          </cell>
        </row>
        <row r="23">
          <cell r="B23" t="str">
            <v>AD40050116</v>
          </cell>
          <cell r="C23">
            <v>18</v>
          </cell>
          <cell r="D23" t="str">
            <v>Encarregado(inclusive encargos sociais).</v>
          </cell>
          <cell r="E23" t="str">
            <v>h</v>
          </cell>
          <cell r="F23">
            <v>8.3699999999999992</v>
          </cell>
          <cell r="G23">
            <v>2960</v>
          </cell>
        </row>
        <row r="24">
          <cell r="B24" t="str">
            <v xml:space="preserve"> AD40050122</v>
          </cell>
          <cell r="C24">
            <v>19</v>
          </cell>
          <cell r="D24" t="str">
            <v>Engenheiro ou arquiteto jr(inclusive encargos sociais).</v>
          </cell>
          <cell r="E24" t="str">
            <v>h</v>
          </cell>
          <cell r="F24">
            <v>21.39</v>
          </cell>
          <cell r="G24">
            <v>1480</v>
          </cell>
        </row>
        <row r="25">
          <cell r="B25" t="str">
            <v>AD40050134</v>
          </cell>
          <cell r="C25">
            <v>20</v>
          </cell>
          <cell r="D25" t="str">
            <v xml:space="preserve">Engenheiro sênior(inclusive encargos sociais).  </v>
          </cell>
          <cell r="E25" t="str">
            <v>h</v>
          </cell>
          <cell r="F25">
            <v>54.35</v>
          </cell>
          <cell r="G25">
            <v>1110</v>
          </cell>
        </row>
        <row r="26">
          <cell r="B26" t="str">
            <v>AD40050146</v>
          </cell>
          <cell r="C26">
            <v>21</v>
          </cell>
          <cell r="D26" t="str">
            <v xml:space="preserve">Estagiário(inclusive encargos sociais).  </v>
          </cell>
          <cell r="E26" t="str">
            <v>h</v>
          </cell>
          <cell r="F26">
            <v>2.76</v>
          </cell>
          <cell r="G26">
            <v>2960</v>
          </cell>
        </row>
        <row r="27">
          <cell r="B27" t="str">
            <v>AD40050188</v>
          </cell>
          <cell r="C27">
            <v>22</v>
          </cell>
          <cell r="D27" t="str">
            <v>Secretaria(inclusive encargos sociais).</v>
          </cell>
          <cell r="E27" t="str">
            <v>h</v>
          </cell>
          <cell r="F27">
            <v>9.24</v>
          </cell>
          <cell r="G27">
            <v>1480</v>
          </cell>
        </row>
        <row r="28">
          <cell r="B28" t="str">
            <v>AD40050200</v>
          </cell>
          <cell r="C28">
            <v>23</v>
          </cell>
          <cell r="D28" t="str">
            <v xml:space="preserve">Supervisor de trafego(inclusive encargos sociais).    </v>
          </cell>
          <cell r="E28" t="str">
            <v>h</v>
          </cell>
          <cell r="F28">
            <v>29.17</v>
          </cell>
          <cell r="G28">
            <v>2960</v>
          </cell>
        </row>
        <row r="29">
          <cell r="B29" t="str">
            <v>AD40050212</v>
          </cell>
          <cell r="C29">
            <v>24</v>
          </cell>
          <cell r="D29" t="str">
            <v xml:space="preserve">Topógrafo A(inclusive encargos sociais).  </v>
          </cell>
          <cell r="E29" t="str">
            <v>h</v>
          </cell>
          <cell r="F29">
            <v>13.78</v>
          </cell>
          <cell r="G29">
            <v>740</v>
          </cell>
        </row>
        <row r="30">
          <cell r="B30" t="str">
            <v>AD40050218</v>
          </cell>
          <cell r="C30">
            <v>25</v>
          </cell>
          <cell r="D30" t="str">
            <v>Vigia(inclusive encargos sociais).</v>
          </cell>
          <cell r="E30" t="str">
            <v>h</v>
          </cell>
          <cell r="F30">
            <v>4.63</v>
          </cell>
          <cell r="G30">
            <v>2960</v>
          </cell>
        </row>
        <row r="31">
          <cell r="B31" t="str">
            <v xml:space="preserve"> AD10050050</v>
          </cell>
          <cell r="C31">
            <v>26</v>
          </cell>
          <cell r="D31" t="str">
            <v>Marcação de obra sem instrumento topográfico.</v>
          </cell>
          <cell r="E31" t="str">
            <v>m2</v>
          </cell>
          <cell r="F31">
            <v>0.95</v>
          </cell>
          <cell r="G31">
            <v>400</v>
          </cell>
        </row>
        <row r="32">
          <cell r="B32" t="str">
            <v>AD10100100</v>
          </cell>
          <cell r="C32">
            <v>27</v>
          </cell>
          <cell r="D32" t="str">
            <v>Locação de obra com aparelho topográfico.</v>
          </cell>
          <cell r="E32" t="str">
            <v>m</v>
          </cell>
          <cell r="F32">
            <v>6.75</v>
          </cell>
          <cell r="G32">
            <v>410</v>
          </cell>
        </row>
        <row r="33">
          <cell r="B33" t="str">
            <v>AD15150750</v>
          </cell>
          <cell r="C33">
            <v>28</v>
          </cell>
          <cell r="D33" t="str">
            <v>Veiculo motor 1.0 a gasolina sem motorista.</v>
          </cell>
          <cell r="E33" t="str">
            <v>mês</v>
          </cell>
          <cell r="F33">
            <v>1269.6600000000001</v>
          </cell>
          <cell r="G33">
            <v>8</v>
          </cell>
        </row>
        <row r="34">
          <cell r="B34" t="str">
            <v>AD20250050</v>
          </cell>
          <cell r="C34">
            <v>29</v>
          </cell>
          <cell r="D34" t="str">
            <v>Barragem de bloqueio, reaproveitamento 40 vezes.</v>
          </cell>
          <cell r="E34" t="str">
            <v>m</v>
          </cell>
          <cell r="F34">
            <v>0.98</v>
          </cell>
          <cell r="G34">
            <v>970</v>
          </cell>
        </row>
        <row r="35">
          <cell r="B35" t="str">
            <v>AD20250100</v>
          </cell>
          <cell r="C35">
            <v>30</v>
          </cell>
          <cell r="D35" t="str">
            <v>Barragem de bloqueio de obra, colocação e retirada.</v>
          </cell>
          <cell r="E35" t="str">
            <v>m</v>
          </cell>
          <cell r="F35">
            <v>3.26</v>
          </cell>
          <cell r="G35">
            <v>4200</v>
          </cell>
        </row>
        <row r="36">
          <cell r="B36" t="str">
            <v>AD20250200</v>
          </cell>
          <cell r="C36">
            <v>31</v>
          </cell>
          <cell r="D36" t="str">
            <v>Placa de sinalização para obra de via publica.</v>
          </cell>
          <cell r="E36" t="str">
            <v>un</v>
          </cell>
          <cell r="F36">
            <v>37.67</v>
          </cell>
          <cell r="G36">
            <v>43</v>
          </cell>
        </row>
        <row r="37">
          <cell r="B37" t="str">
            <v>AD20250250</v>
          </cell>
          <cell r="C37">
            <v>32</v>
          </cell>
          <cell r="D37" t="str">
            <v>Placa de sinalização para obra, colocação e retirada.</v>
          </cell>
          <cell r="E37" t="str">
            <v>un</v>
          </cell>
          <cell r="F37">
            <v>0.89</v>
          </cell>
          <cell r="G37">
            <v>173</v>
          </cell>
        </row>
        <row r="38">
          <cell r="B38" t="str">
            <v>AD20250300</v>
          </cell>
          <cell r="C38">
            <v>33</v>
          </cell>
          <cell r="D38" t="str">
            <v>Placa de identificação de obra publica.</v>
          </cell>
          <cell r="E38" t="str">
            <v>m2</v>
          </cell>
          <cell r="F38">
            <v>166.66</v>
          </cell>
          <cell r="G38">
            <v>22.4</v>
          </cell>
        </row>
        <row r="39">
          <cell r="B39" t="str">
            <v>AD25050050</v>
          </cell>
          <cell r="C39">
            <v>34</v>
          </cell>
          <cell r="D39" t="str">
            <v>Aluguel de balizador vaga-lume.</v>
          </cell>
          <cell r="E39" t="str">
            <v>mês</v>
          </cell>
          <cell r="F39">
            <v>86.83</v>
          </cell>
          <cell r="G39">
            <v>960</v>
          </cell>
        </row>
        <row r="40">
          <cell r="B40" t="str">
            <v xml:space="preserve">AD25050200/  </v>
          </cell>
          <cell r="C40">
            <v>35</v>
          </cell>
          <cell r="D40" t="str">
            <v>Aluguel de cavalete plástico universa.</v>
          </cell>
          <cell r="E40" t="str">
            <v>un.mês</v>
          </cell>
          <cell r="F40">
            <v>86.83</v>
          </cell>
          <cell r="G40">
            <v>600</v>
          </cell>
        </row>
        <row r="41">
          <cell r="B41" t="str">
            <v>AD25050250</v>
          </cell>
          <cell r="C41">
            <v>36</v>
          </cell>
          <cell r="D41" t="str">
            <v>Aluguel de cone canalizador empinhavel T-Topde.</v>
          </cell>
          <cell r="E41" t="str">
            <v>un.mês</v>
          </cell>
          <cell r="F41">
            <v>32.29</v>
          </cell>
          <cell r="G41">
            <v>600</v>
          </cell>
        </row>
        <row r="42">
          <cell r="B42" t="str">
            <v>AD35150050A</v>
          </cell>
          <cell r="C42">
            <v>37</v>
          </cell>
          <cell r="D42" t="str">
            <v>Controle tecnológico de obras em concreto armado.</v>
          </cell>
          <cell r="E42" t="str">
            <v>m3</v>
          </cell>
          <cell r="F42">
            <v>12.32</v>
          </cell>
          <cell r="G42">
            <v>382</v>
          </cell>
        </row>
        <row r="43">
          <cell r="B43" t="str">
            <v xml:space="preserve">SE25100100A  </v>
          </cell>
          <cell r="C43">
            <v>38</v>
          </cell>
          <cell r="D43" t="str">
            <v>Projeto executivo para urbanização/reurbanização.</v>
          </cell>
          <cell r="E43" t="str">
            <v>há</v>
          </cell>
          <cell r="F43">
            <v>34610.160000000003</v>
          </cell>
          <cell r="G43">
            <v>5.18</v>
          </cell>
        </row>
        <row r="44">
          <cell r="B44" t="str">
            <v>SE20100050</v>
          </cell>
          <cell r="C44">
            <v>39</v>
          </cell>
          <cell r="D44" t="str">
            <v>Lançamento de linha poligonal básica.</v>
          </cell>
          <cell r="E44" t="str">
            <v>Km</v>
          </cell>
          <cell r="F44">
            <v>159.44</v>
          </cell>
          <cell r="G44">
            <v>1</v>
          </cell>
        </row>
        <row r="45">
          <cell r="B45" t="str">
            <v>SE20102500A</v>
          </cell>
          <cell r="C45">
            <v>40</v>
          </cell>
          <cell r="D45" t="str">
            <v>Nivelamento de eixo de logradouro.</v>
          </cell>
          <cell r="E45" t="str">
            <v>Km</v>
          </cell>
          <cell r="F45">
            <v>74.489999999999995</v>
          </cell>
          <cell r="G45">
            <v>1</v>
          </cell>
        </row>
        <row r="46">
          <cell r="B46" t="str">
            <v>SE20150050</v>
          </cell>
          <cell r="C46">
            <v>41</v>
          </cell>
          <cell r="D46" t="str">
            <v>Levantamento fotográfico de aspecto de área urbana.</v>
          </cell>
          <cell r="E46" t="str">
            <v>un</v>
          </cell>
          <cell r="F46">
            <v>1.8</v>
          </cell>
          <cell r="G46">
            <v>259</v>
          </cell>
        </row>
        <row r="47">
          <cell r="B47" t="str">
            <v>SE20150250</v>
          </cell>
          <cell r="C47">
            <v>42</v>
          </cell>
          <cell r="D47" t="str">
            <v>Levantamento fotográfico aéreo vertical de área urbana.</v>
          </cell>
          <cell r="E47" t="str">
            <v>conj</v>
          </cell>
          <cell r="F47">
            <v>8267.76</v>
          </cell>
          <cell r="G47">
            <v>1</v>
          </cell>
        </row>
        <row r="48">
          <cell r="B48" t="str">
            <v>SE20101600</v>
          </cell>
          <cell r="C48">
            <v>43</v>
          </cell>
          <cell r="D48" t="str">
            <v>Levantamento cadastral das profundidades de tubos.</v>
          </cell>
          <cell r="E48" t="str">
            <v>un</v>
          </cell>
          <cell r="F48">
            <v>23.05</v>
          </cell>
          <cell r="G48">
            <v>137</v>
          </cell>
        </row>
        <row r="49">
          <cell r="B49" t="str">
            <v>SE30050100</v>
          </cell>
          <cell r="C49">
            <v>44</v>
          </cell>
          <cell r="D49" t="str">
            <v>Determinação da deformação com Viga Benkelmann.</v>
          </cell>
          <cell r="E49" t="str">
            <v>un</v>
          </cell>
          <cell r="F49">
            <v>53.9</v>
          </cell>
          <cell r="G49">
            <v>144</v>
          </cell>
        </row>
        <row r="50">
          <cell r="B50" t="str">
            <v>CE05100110</v>
          </cell>
          <cell r="C50">
            <v>45</v>
          </cell>
          <cell r="D50" t="str">
            <v>Consultor de serviços técnicos especializados.</v>
          </cell>
          <cell r="E50" t="str">
            <v>h</v>
          </cell>
          <cell r="F50">
            <v>89.23</v>
          </cell>
          <cell r="G50">
            <v>726</v>
          </cell>
        </row>
        <row r="51">
          <cell r="B51" t="str">
            <v>CO05050500</v>
          </cell>
          <cell r="C51">
            <v>46</v>
          </cell>
          <cell r="D51" t="str">
            <v>Plataforma ou passarela de Pinho.</v>
          </cell>
          <cell r="E51" t="str">
            <v>m2</v>
          </cell>
          <cell r="F51">
            <v>2.31</v>
          </cell>
          <cell r="G51">
            <v>187</v>
          </cell>
        </row>
        <row r="52">
          <cell r="B52" t="str">
            <v>CO05100050</v>
          </cell>
          <cell r="C52">
            <v>47</v>
          </cell>
          <cell r="D52" t="str">
            <v>Aluguel de andaime tubular sobre sapatas fixas.</v>
          </cell>
          <cell r="E52" t="str">
            <v>m2.mês</v>
          </cell>
          <cell r="F52">
            <v>2.2000000000000002</v>
          </cell>
          <cell r="G52">
            <v>2100</v>
          </cell>
        </row>
        <row r="53">
          <cell r="B53" t="str">
            <v>CO05150100</v>
          </cell>
          <cell r="C53">
            <v>48</v>
          </cell>
          <cell r="D53" t="str">
            <v>Montagem e desmontagem de andaime tubular.</v>
          </cell>
          <cell r="E53" t="str">
            <v>m2</v>
          </cell>
          <cell r="F53">
            <v>1.77</v>
          </cell>
          <cell r="G53">
            <v>350</v>
          </cell>
        </row>
        <row r="54">
          <cell r="B54" t="str">
            <v>CO05150300</v>
          </cell>
          <cell r="C54">
            <v>49</v>
          </cell>
          <cell r="D54" t="str">
            <v>Movimentação vertical ou horizontal de plataforma.</v>
          </cell>
          <cell r="E54" t="str">
            <v>m2</v>
          </cell>
          <cell r="F54">
            <v>0.14000000000000001</v>
          </cell>
          <cell r="G54">
            <v>350</v>
          </cell>
        </row>
        <row r="55">
          <cell r="B55" t="str">
            <v>MT05300100</v>
          </cell>
          <cell r="C55">
            <v>50</v>
          </cell>
          <cell r="D55" t="str">
            <v>Escavação manual em material de 1a categoria.</v>
          </cell>
          <cell r="E55" t="str">
            <v>m3</v>
          </cell>
          <cell r="F55">
            <v>12.4</v>
          </cell>
          <cell r="G55">
            <v>10700</v>
          </cell>
        </row>
        <row r="56">
          <cell r="B56" t="str">
            <v>MT10050050</v>
          </cell>
          <cell r="C56">
            <v>51</v>
          </cell>
          <cell r="D56" t="str">
            <v xml:space="preserve">Escavação mecânica, utilizando Retro-Escavadeira. </v>
          </cell>
          <cell r="E56" t="str">
            <v>m3</v>
          </cell>
          <cell r="F56">
            <v>2.77</v>
          </cell>
          <cell r="G56">
            <v>36800</v>
          </cell>
        </row>
        <row r="57">
          <cell r="B57" t="str">
            <v>MT10100050</v>
          </cell>
          <cell r="C57">
            <v>52</v>
          </cell>
          <cell r="D57" t="str">
            <v>Escavação mecânica, utilizando Escavadeira.</v>
          </cell>
          <cell r="E57" t="str">
            <v>m3</v>
          </cell>
          <cell r="F57">
            <v>0.96</v>
          </cell>
          <cell r="G57">
            <v>7300</v>
          </cell>
        </row>
        <row r="58">
          <cell r="B58" t="str">
            <v>MT15050250</v>
          </cell>
          <cell r="C58">
            <v>53</v>
          </cell>
          <cell r="D58" t="str">
            <v xml:space="preserve">Reaterro de vala com material de boa qualidade. </v>
          </cell>
          <cell r="E58" t="str">
            <v>m3</v>
          </cell>
          <cell r="F58">
            <v>9.3000000000000007</v>
          </cell>
          <cell r="G58">
            <v>13700</v>
          </cell>
        </row>
        <row r="59">
          <cell r="B59" t="str">
            <v>MT15050300</v>
          </cell>
          <cell r="C59">
            <v>54</v>
          </cell>
          <cell r="D59" t="str">
            <v>Reaterro de vala, com po-de-pedra.</v>
          </cell>
          <cell r="E59" t="str">
            <v>m3</v>
          </cell>
          <cell r="F59">
            <v>36.18</v>
          </cell>
          <cell r="G59">
            <v>19600</v>
          </cell>
        </row>
        <row r="60">
          <cell r="B60" t="str">
            <v>MT05250050</v>
          </cell>
          <cell r="C60">
            <v>55</v>
          </cell>
          <cell r="D60" t="str">
            <v>Desmonte manual de bloco de 3a categoria.</v>
          </cell>
          <cell r="E60" t="str">
            <v>m3</v>
          </cell>
          <cell r="F60">
            <v>32.14</v>
          </cell>
          <cell r="G60">
            <v>7050</v>
          </cell>
        </row>
        <row r="61">
          <cell r="B61" t="str">
            <v>MT05450050</v>
          </cell>
          <cell r="C61">
            <v>56</v>
          </cell>
          <cell r="D61" t="str">
            <v>Desmonte a fogo de bloco de material de 3a categoria.</v>
          </cell>
          <cell r="E61" t="str">
            <v>m3</v>
          </cell>
          <cell r="F61">
            <v>66.56</v>
          </cell>
          <cell r="G61">
            <v>8545</v>
          </cell>
        </row>
        <row r="62">
          <cell r="B62" t="str">
            <v>MT15150050</v>
          </cell>
          <cell r="C62">
            <v>57</v>
          </cell>
          <cell r="D62" t="str">
            <v>Preparo de solo ate 30cm de profundidade.</v>
          </cell>
          <cell r="E62" t="str">
            <v>m2</v>
          </cell>
          <cell r="F62">
            <v>5.46</v>
          </cell>
          <cell r="G62">
            <v>17842</v>
          </cell>
        </row>
        <row r="63">
          <cell r="B63" t="str">
            <v>MT20050050</v>
          </cell>
          <cell r="C63">
            <v>58</v>
          </cell>
          <cell r="D63" t="str">
            <v>Espalhamento de material de 1a categoria.</v>
          </cell>
          <cell r="E63" t="str">
            <v>m3</v>
          </cell>
          <cell r="F63">
            <v>0.24</v>
          </cell>
          <cell r="G63">
            <v>70776</v>
          </cell>
        </row>
        <row r="64">
          <cell r="B64" t="str">
            <v>TC05050350</v>
          </cell>
          <cell r="C64">
            <v>59</v>
          </cell>
          <cell r="D64" t="str">
            <v>Transporte de carga de qualquer natureza.</v>
          </cell>
          <cell r="E64" t="str">
            <v>t.Km</v>
          </cell>
          <cell r="F64">
            <v>0.39</v>
          </cell>
          <cell r="G64">
            <v>1880000</v>
          </cell>
        </row>
        <row r="65">
          <cell r="B65" t="str">
            <v>TC10050150</v>
          </cell>
          <cell r="C65">
            <v>60</v>
          </cell>
          <cell r="D65" t="str">
            <v>Carga manual e descarga mecânica.</v>
          </cell>
          <cell r="E65" t="str">
            <v>t</v>
          </cell>
          <cell r="F65">
            <v>7.38</v>
          </cell>
          <cell r="G65">
            <v>47000</v>
          </cell>
        </row>
        <row r="66">
          <cell r="B66" t="str">
            <v>EQ05050100A</v>
          </cell>
          <cell r="C66">
            <v>61</v>
          </cell>
          <cell r="D66" t="str">
            <v xml:space="preserve">Caminhão basculante. Custo horário produtivo.     </v>
          </cell>
          <cell r="E66" t="str">
            <v>h</v>
          </cell>
          <cell r="F66">
            <v>45.34</v>
          </cell>
          <cell r="G66">
            <v>2446</v>
          </cell>
        </row>
        <row r="67">
          <cell r="B67" t="str">
            <v>EQ05050103A</v>
          </cell>
          <cell r="C67">
            <v>62</v>
          </cell>
          <cell r="D67" t="str">
            <v>Caminhão basculante. Custo horário improdutivo.</v>
          </cell>
          <cell r="E67" t="str">
            <v>h</v>
          </cell>
          <cell r="F67">
            <v>25.39</v>
          </cell>
          <cell r="G67">
            <v>432</v>
          </cell>
        </row>
        <row r="68">
          <cell r="B68" t="str">
            <v>EQ05050300</v>
          </cell>
          <cell r="C68">
            <v>63</v>
          </cell>
          <cell r="D68" t="str">
            <v>Caminhão com Carroceria Fixa. Aluguel produtivo.</v>
          </cell>
          <cell r="E68" t="str">
            <v>h</v>
          </cell>
          <cell r="F68">
            <v>32.28</v>
          </cell>
          <cell r="G68">
            <v>1957</v>
          </cell>
        </row>
        <row r="69">
          <cell r="B69" t="str">
            <v>EQ05050306</v>
          </cell>
          <cell r="C69">
            <v>64</v>
          </cell>
          <cell r="D69" t="str">
            <v>Caminhão com Carroceria Fixa. Aluguel improdutivo.</v>
          </cell>
          <cell r="E69" t="str">
            <v>h</v>
          </cell>
          <cell r="F69">
            <v>8.5399999999999991</v>
          </cell>
          <cell r="G69">
            <v>346</v>
          </cell>
        </row>
        <row r="70">
          <cell r="B70" t="str">
            <v>EQ05050415</v>
          </cell>
          <cell r="C70">
            <v>65</v>
          </cell>
          <cell r="D70" t="str">
            <v xml:space="preserve">Caminhão Carroceria Fixa F-12000 Munck produtivo.               </v>
          </cell>
          <cell r="E70" t="str">
            <v>h</v>
          </cell>
          <cell r="F70">
            <v>53.72</v>
          </cell>
          <cell r="G70">
            <v>3453</v>
          </cell>
        </row>
        <row r="71">
          <cell r="B71" t="str">
            <v>EQ15050450</v>
          </cell>
          <cell r="C71">
            <v>66</v>
          </cell>
          <cell r="D71" t="str">
            <v xml:space="preserve">Pa-carregadeira(Carregador frontal). Custo produtivo.  </v>
          </cell>
          <cell r="E71" t="str">
            <v>h</v>
          </cell>
          <cell r="F71">
            <v>68.34</v>
          </cell>
          <cell r="G71">
            <v>1345</v>
          </cell>
        </row>
        <row r="72">
          <cell r="B72" t="str">
            <v>EQ15050453</v>
          </cell>
          <cell r="C72">
            <v>67</v>
          </cell>
          <cell r="D72" t="str">
            <v>Pa-carregadeira(Carregador Frontal).Custo improdutivo.</v>
          </cell>
          <cell r="E72" t="str">
            <v>h</v>
          </cell>
          <cell r="F72">
            <v>31.05</v>
          </cell>
          <cell r="G72">
            <v>237</v>
          </cell>
        </row>
        <row r="73">
          <cell r="B73" t="str">
            <v>EQ15050500</v>
          </cell>
          <cell r="C73">
            <v>68</v>
          </cell>
          <cell r="D73" t="str">
            <v xml:space="preserve">Retro-Escavadeira/carregadeira. Custo produtivo. </v>
          </cell>
          <cell r="E73" t="str">
            <v>h</v>
          </cell>
          <cell r="F73">
            <v>45.49</v>
          </cell>
          <cell r="G73">
            <v>1439</v>
          </cell>
        </row>
        <row r="74">
          <cell r="B74" t="str">
            <v>EQ30050200</v>
          </cell>
          <cell r="C74">
            <v>69</v>
          </cell>
          <cell r="D74" t="str">
            <v>Betoneira com capacidade de 580l, Aluguel produtivo.</v>
          </cell>
          <cell r="E74" t="str">
            <v>h</v>
          </cell>
          <cell r="F74">
            <v>4.71</v>
          </cell>
          <cell r="G74">
            <v>2041</v>
          </cell>
        </row>
        <row r="75">
          <cell r="B75" t="str">
            <v>EQ30050206</v>
          </cell>
          <cell r="C75">
            <v>70</v>
          </cell>
          <cell r="D75" t="str">
            <v>Betoneira com capacidade de 580l Aluguel improdutivo.</v>
          </cell>
          <cell r="E75" t="str">
            <v>h</v>
          </cell>
          <cell r="F75">
            <v>1.56</v>
          </cell>
          <cell r="G75">
            <v>216</v>
          </cell>
        </row>
        <row r="76">
          <cell r="B76" t="str">
            <v>EQ15050550</v>
          </cell>
          <cell r="C76">
            <v>71</v>
          </cell>
          <cell r="D76" t="str">
            <v xml:space="preserve">Rompedor Pneumático de 32,6Kg Aluguel produtivo. </v>
          </cell>
          <cell r="E76" t="str">
            <v>h</v>
          </cell>
          <cell r="F76">
            <v>1.05</v>
          </cell>
          <cell r="G76">
            <v>648</v>
          </cell>
        </row>
        <row r="77">
          <cell r="B77" t="str">
            <v>EQ15050556</v>
          </cell>
          <cell r="C77">
            <v>72</v>
          </cell>
          <cell r="D77" t="str">
            <v>Rompedor Pneumático de 32,6Kg Aluguel improdutivo.</v>
          </cell>
          <cell r="E77" t="str">
            <v>h</v>
          </cell>
          <cell r="F77">
            <v>0.7</v>
          </cell>
          <cell r="G77">
            <v>72</v>
          </cell>
        </row>
        <row r="78">
          <cell r="B78" t="str">
            <v xml:space="preserve"> EQ20050800</v>
          </cell>
          <cell r="C78">
            <v>73</v>
          </cell>
          <cell r="D78" t="str">
            <v xml:space="preserve">Vassoura Mecânica, rebocável, Aluguel produtivo.   </v>
          </cell>
          <cell r="E78" t="str">
            <v>h</v>
          </cell>
          <cell r="F78">
            <v>3.58</v>
          </cell>
          <cell r="G78">
            <v>1712</v>
          </cell>
        </row>
        <row r="79">
          <cell r="B79" t="str">
            <v>EQ20050806</v>
          </cell>
          <cell r="C79">
            <v>74</v>
          </cell>
          <cell r="D79" t="str">
            <v>Vassoura Mecânica, rebocável, Aluguel improdutivo.</v>
          </cell>
          <cell r="E79" t="str">
            <v>h</v>
          </cell>
          <cell r="F79">
            <v>1.43</v>
          </cell>
          <cell r="G79">
            <v>216</v>
          </cell>
        </row>
        <row r="80">
          <cell r="B80" t="str">
            <v>EQ35100200</v>
          </cell>
          <cell r="C80">
            <v>75</v>
          </cell>
          <cell r="D80" t="str">
            <v xml:space="preserve">Bomba Centrífuga Submersível. Aluguel produtivo.    </v>
          </cell>
          <cell r="E80" t="str">
            <v>h</v>
          </cell>
          <cell r="F80">
            <v>3.6</v>
          </cell>
          <cell r="G80">
            <v>8632</v>
          </cell>
        </row>
        <row r="81">
          <cell r="B81" t="str">
            <v>EQ35100203</v>
          </cell>
          <cell r="C81">
            <v>76</v>
          </cell>
          <cell r="D81" t="str">
            <v>Bomba Centrífuga Submersível. Aluguel improdutivo.</v>
          </cell>
          <cell r="E81" t="str">
            <v>h</v>
          </cell>
          <cell r="F81">
            <v>1.4</v>
          </cell>
          <cell r="G81">
            <v>863</v>
          </cell>
        </row>
        <row r="82">
          <cell r="B82" t="str">
            <v>EQ45050159</v>
          </cell>
          <cell r="C82">
            <v>77</v>
          </cell>
          <cell r="D82" t="str">
            <v>Compressor de ar. Aluguel improdutivo.</v>
          </cell>
          <cell r="E82" t="str">
            <v>h</v>
          </cell>
          <cell r="F82">
            <v>3.64</v>
          </cell>
          <cell r="G82">
            <v>72</v>
          </cell>
        </row>
        <row r="83">
          <cell r="B83" t="str">
            <v>EQ45150100</v>
          </cell>
          <cell r="C83">
            <v>78</v>
          </cell>
          <cell r="D83" t="str">
            <v>Retificador de solda elétrica de 430A.</v>
          </cell>
          <cell r="E83" t="str">
            <v>h</v>
          </cell>
          <cell r="F83">
            <v>7.16</v>
          </cell>
          <cell r="G83">
            <v>1007</v>
          </cell>
        </row>
        <row r="84">
          <cell r="B84" t="str">
            <v>EQ40050150A</v>
          </cell>
          <cell r="C84">
            <v>79</v>
          </cell>
          <cell r="D84" t="str">
            <v>Equipamento de jato d'água (Sewer-Jet ou similar).</v>
          </cell>
          <cell r="E84" t="str">
            <v>h</v>
          </cell>
          <cell r="F84">
            <v>79.2</v>
          </cell>
          <cell r="G84">
            <v>1079</v>
          </cell>
        </row>
        <row r="85">
          <cell r="B85" t="str">
            <v>EQ40050153A</v>
          </cell>
          <cell r="C85">
            <v>80</v>
          </cell>
          <cell r="D85" t="str">
            <v>Equipamento de alta pressão  (Vac-All ou similar).</v>
          </cell>
          <cell r="E85" t="str">
            <v>h</v>
          </cell>
          <cell r="F85">
            <v>104.07</v>
          </cell>
          <cell r="G85">
            <v>1942</v>
          </cell>
        </row>
        <row r="86">
          <cell r="B86" t="str">
            <v>SC05050050</v>
          </cell>
          <cell r="C86">
            <v>81</v>
          </cell>
          <cell r="D86" t="str">
            <v>Arrancamento de aparelhos de iluminação.</v>
          </cell>
          <cell r="E86" t="str">
            <v>un</v>
          </cell>
          <cell r="F86">
            <v>1.67</v>
          </cell>
          <cell r="G86">
            <v>65</v>
          </cell>
        </row>
        <row r="87">
          <cell r="B87" t="str">
            <v>SC05050200</v>
          </cell>
          <cell r="C87">
            <v>82</v>
          </cell>
          <cell r="D87" t="str">
            <v>Arrancamento de grades, gradis, alambrados, cercas.</v>
          </cell>
          <cell r="E87" t="str">
            <v>m2</v>
          </cell>
          <cell r="F87">
            <v>4.43</v>
          </cell>
          <cell r="G87">
            <v>144</v>
          </cell>
        </row>
        <row r="88">
          <cell r="B88" t="str">
            <v>SC05050250</v>
          </cell>
          <cell r="C88">
            <v>83</v>
          </cell>
          <cell r="D88" t="str">
            <v>Arrancamento de meios-fios, de granito ou concreto.</v>
          </cell>
          <cell r="E88" t="str">
            <v>m</v>
          </cell>
          <cell r="F88">
            <v>4.87</v>
          </cell>
          <cell r="G88">
            <v>3739</v>
          </cell>
        </row>
        <row r="89">
          <cell r="B89" t="str">
            <v>SC05050300</v>
          </cell>
          <cell r="C89">
            <v>84</v>
          </cell>
          <cell r="D89" t="str">
            <v>Arrancamento de paralelepípedos.</v>
          </cell>
          <cell r="E89" t="str">
            <v>m2</v>
          </cell>
          <cell r="F89">
            <v>2.21</v>
          </cell>
          <cell r="G89">
            <v>860</v>
          </cell>
        </row>
        <row r="90">
          <cell r="B90" t="str">
            <v>SC05050500</v>
          </cell>
          <cell r="C90">
            <v>85</v>
          </cell>
          <cell r="D90" t="str">
            <v>Arrancamento tubos concreto manilhas ø 0,40 a 0,60m.</v>
          </cell>
          <cell r="E90" t="str">
            <v>m</v>
          </cell>
          <cell r="F90">
            <v>3.99</v>
          </cell>
          <cell r="G90">
            <v>328</v>
          </cell>
        </row>
        <row r="91">
          <cell r="B91" t="str">
            <v>SC05050601</v>
          </cell>
          <cell r="C91">
            <v>86</v>
          </cell>
          <cell r="D91" t="str">
            <v>Demolição manual de alvenaria de pedra argamassada.</v>
          </cell>
          <cell r="E91" t="str">
            <v>m3</v>
          </cell>
          <cell r="F91">
            <v>30.27</v>
          </cell>
          <cell r="G91">
            <v>324</v>
          </cell>
        </row>
        <row r="92">
          <cell r="B92" t="str">
            <v>SC05050750</v>
          </cell>
          <cell r="C92">
            <v>87</v>
          </cell>
          <cell r="D92" t="str">
            <v>Demolição manual de alvenaria de tijolos maciços.</v>
          </cell>
          <cell r="E92" t="str">
            <v>m3</v>
          </cell>
          <cell r="F92">
            <v>52.99</v>
          </cell>
          <cell r="G92">
            <v>130</v>
          </cell>
        </row>
        <row r="93">
          <cell r="B93" t="str">
            <v>SC05050850</v>
          </cell>
          <cell r="C93">
            <v>88</v>
          </cell>
          <cell r="D93" t="str">
            <v>Demolição manual de concreto simples.</v>
          </cell>
          <cell r="E93" t="str">
            <v>m3</v>
          </cell>
          <cell r="F93">
            <v>60.55</v>
          </cell>
          <cell r="G93">
            <v>1904</v>
          </cell>
        </row>
        <row r="94">
          <cell r="B94" t="str">
            <v>SC05050950</v>
          </cell>
          <cell r="C94">
            <v>89</v>
          </cell>
          <cell r="D94" t="str">
            <v>Demolição manual de concreto armado.</v>
          </cell>
          <cell r="E94" t="str">
            <v>m3</v>
          </cell>
          <cell r="F94">
            <v>85.78</v>
          </cell>
          <cell r="G94">
            <v>140</v>
          </cell>
        </row>
        <row r="95">
          <cell r="B95" t="str">
            <v>SC05051400</v>
          </cell>
          <cell r="C95">
            <v>90</v>
          </cell>
          <cell r="D95" t="str">
            <v>Demolição de revestimento em argamassa.</v>
          </cell>
          <cell r="E95" t="str">
            <v>m2</v>
          </cell>
          <cell r="F95">
            <v>2.21</v>
          </cell>
          <cell r="G95">
            <v>144</v>
          </cell>
        </row>
        <row r="96">
          <cell r="B96" t="str">
            <v>SC05051450</v>
          </cell>
          <cell r="C96">
            <v>91</v>
          </cell>
          <cell r="D96" t="str">
            <v>Demolição de revestimento em azulejos, cerâmicas.</v>
          </cell>
          <cell r="E96" t="str">
            <v>m2</v>
          </cell>
          <cell r="F96">
            <v>5.31</v>
          </cell>
          <cell r="G96">
            <v>130</v>
          </cell>
        </row>
        <row r="97">
          <cell r="B97" t="str">
            <v>SC05052150</v>
          </cell>
          <cell r="C97">
            <v>92</v>
          </cell>
          <cell r="D97" t="str">
            <v>Remoção de cobertura de telha francesa.</v>
          </cell>
          <cell r="E97" t="str">
            <v>m2</v>
          </cell>
          <cell r="F97">
            <v>8.26</v>
          </cell>
          <cell r="G97">
            <v>260</v>
          </cell>
        </row>
        <row r="98">
          <cell r="B98" t="str">
            <v>SC05052450</v>
          </cell>
          <cell r="C98">
            <v>93</v>
          </cell>
          <cell r="D98" t="str">
            <v>Remoção de cobertura de telha de fibro-cimento.</v>
          </cell>
          <cell r="E98" t="str">
            <v>m2</v>
          </cell>
          <cell r="F98">
            <v>3.87</v>
          </cell>
          <cell r="G98">
            <v>460</v>
          </cell>
        </row>
        <row r="99">
          <cell r="B99" t="str">
            <v>SC05052900</v>
          </cell>
          <cell r="C99">
            <v>94</v>
          </cell>
          <cell r="D99" t="str">
            <v xml:space="preserve">Remoção manual de passeio de pedra portuguesa. </v>
          </cell>
          <cell r="E99" t="str">
            <v>m2</v>
          </cell>
          <cell r="F99">
            <v>2.44</v>
          </cell>
          <cell r="G99">
            <v>2900</v>
          </cell>
        </row>
        <row r="100">
          <cell r="B100" t="str">
            <v>SC05053250</v>
          </cell>
          <cell r="C100">
            <v>95</v>
          </cell>
          <cell r="D100" t="str">
            <v>Remoção de tubulação ferro fundido ø50mm a 300mm.</v>
          </cell>
          <cell r="E100" t="str">
            <v>m</v>
          </cell>
          <cell r="F100">
            <v>11.88</v>
          </cell>
          <cell r="G100">
            <v>290</v>
          </cell>
        </row>
        <row r="101">
          <cell r="B101" t="str">
            <v>SC05100150</v>
          </cell>
          <cell r="C101">
            <v>96</v>
          </cell>
          <cell r="D101" t="str">
            <v>Demolição, com equipamento, concreto simples.</v>
          </cell>
          <cell r="E101" t="str">
            <v>m3</v>
          </cell>
          <cell r="F101">
            <v>43.52</v>
          </cell>
          <cell r="G101">
            <v>2160</v>
          </cell>
        </row>
        <row r="102">
          <cell r="B102" t="str">
            <v>SC05100300</v>
          </cell>
          <cell r="C102">
            <v>97</v>
          </cell>
          <cell r="D102" t="str">
            <v>Demolição, com equipamento concreto armado.</v>
          </cell>
          <cell r="E102" t="str">
            <v>m3</v>
          </cell>
          <cell r="F102">
            <v>73.98</v>
          </cell>
          <cell r="G102">
            <v>3400</v>
          </cell>
        </row>
        <row r="103">
          <cell r="B103" t="str">
            <v>SC05100500</v>
          </cell>
          <cell r="C103">
            <v>98</v>
          </cell>
          <cell r="D103" t="str">
            <v>Demolição com equip. concreto asfáltico 10cm.</v>
          </cell>
          <cell r="E103" t="str">
            <v>m2</v>
          </cell>
          <cell r="F103">
            <v>8.98</v>
          </cell>
          <cell r="G103">
            <v>20100</v>
          </cell>
        </row>
        <row r="104">
          <cell r="B104" t="str">
            <v>SC10050250</v>
          </cell>
          <cell r="C104">
            <v>99</v>
          </cell>
          <cell r="D104" t="str">
            <v xml:space="preserve">Bombeiro hidráulico (inclusive encargos sociais).   </v>
          </cell>
          <cell r="E104" t="str">
            <v>h</v>
          </cell>
          <cell r="F104">
            <v>6.48</v>
          </cell>
          <cell r="G104">
            <v>2960</v>
          </cell>
        </row>
        <row r="105">
          <cell r="B105" t="str">
            <v>SC10050300</v>
          </cell>
          <cell r="C105">
            <v>100</v>
          </cell>
          <cell r="D105" t="str">
            <v xml:space="preserve">Calceteiro (inclusive encargos sociais).   </v>
          </cell>
          <cell r="E105" t="str">
            <v>h</v>
          </cell>
          <cell r="F105">
            <v>5.99</v>
          </cell>
          <cell r="G105">
            <v>1480</v>
          </cell>
        </row>
        <row r="106">
          <cell r="B106" t="str">
            <v>SC10050350</v>
          </cell>
          <cell r="C106">
            <v>101</v>
          </cell>
          <cell r="D106" t="str">
            <v>Carpinteiro de forma (inclusive encargos sociais).</v>
          </cell>
          <cell r="E106" t="str">
            <v>h</v>
          </cell>
          <cell r="F106">
            <v>5.99</v>
          </cell>
          <cell r="G106">
            <v>1480</v>
          </cell>
        </row>
        <row r="107">
          <cell r="B107" t="str">
            <v>SC10050450</v>
          </cell>
          <cell r="C107">
            <v>102</v>
          </cell>
          <cell r="D107" t="str">
            <v xml:space="preserve">Eletricista (inclusive encargos sociais). </v>
          </cell>
          <cell r="E107" t="str">
            <v>h</v>
          </cell>
          <cell r="F107">
            <v>6.48</v>
          </cell>
          <cell r="G107">
            <v>2960</v>
          </cell>
        </row>
        <row r="108">
          <cell r="B108" t="str">
            <v>SC10050900</v>
          </cell>
          <cell r="C108">
            <v>103</v>
          </cell>
          <cell r="D108" t="str">
            <v xml:space="preserve">Marteleteiro (inclusive encargos sociais). </v>
          </cell>
          <cell r="E108" t="str">
            <v>h</v>
          </cell>
          <cell r="F108">
            <v>5.99</v>
          </cell>
          <cell r="G108">
            <v>2960</v>
          </cell>
        </row>
        <row r="109">
          <cell r="B109" t="str">
            <v>SC10051100</v>
          </cell>
          <cell r="C109">
            <v>104</v>
          </cell>
          <cell r="D109" t="str">
            <v>Operador de máquinas.(inclusive encargos sociais).</v>
          </cell>
          <cell r="E109" t="str">
            <v>h</v>
          </cell>
          <cell r="F109">
            <v>6.48</v>
          </cell>
          <cell r="G109">
            <v>1480</v>
          </cell>
        </row>
        <row r="110">
          <cell r="B110" t="str">
            <v>SC10051200</v>
          </cell>
          <cell r="C110">
            <v>105</v>
          </cell>
          <cell r="D110" t="str">
            <v xml:space="preserve">Pedreiro (inclusive encargos sociais).   </v>
          </cell>
          <cell r="E110" t="str">
            <v>h</v>
          </cell>
          <cell r="F110">
            <v>5.99</v>
          </cell>
          <cell r="G110">
            <v>2960</v>
          </cell>
        </row>
        <row r="111">
          <cell r="B111" t="str">
            <v>SC10051450</v>
          </cell>
          <cell r="C111">
            <v>106</v>
          </cell>
          <cell r="D111" t="str">
            <v>Servente (inclusive encargos sociais).</v>
          </cell>
          <cell r="E111" t="str">
            <v>h</v>
          </cell>
          <cell r="F111">
            <v>4.3</v>
          </cell>
          <cell r="G111">
            <v>5920</v>
          </cell>
        </row>
        <row r="112">
          <cell r="B112" t="str">
            <v>SC10051500</v>
          </cell>
          <cell r="C112">
            <v>107</v>
          </cell>
          <cell r="D112" t="str">
            <v>Soldador em construção civil (inclusive encargos).</v>
          </cell>
          <cell r="E112" t="str">
            <v>h</v>
          </cell>
          <cell r="F112">
            <v>6.23</v>
          </cell>
          <cell r="G112">
            <v>1480</v>
          </cell>
        </row>
        <row r="113">
          <cell r="B113" t="str">
            <v>SC10100050</v>
          </cell>
          <cell r="C113">
            <v>108</v>
          </cell>
          <cell r="D113" t="str">
            <v xml:space="preserve">Operador de tráfego(inclusive encargos sociais). </v>
          </cell>
          <cell r="E113" t="str">
            <v>h</v>
          </cell>
          <cell r="F113">
            <v>7.08</v>
          </cell>
          <cell r="G113">
            <v>2960</v>
          </cell>
        </row>
        <row r="114">
          <cell r="B114" t="str">
            <v>SC05100050</v>
          </cell>
          <cell r="C114">
            <v>109</v>
          </cell>
          <cell r="D114" t="str">
            <v>Arrancamento de tampão de ferro fundido.</v>
          </cell>
          <cell r="E114" t="str">
            <v>un</v>
          </cell>
          <cell r="F114">
            <v>15.18</v>
          </cell>
          <cell r="G114">
            <v>22</v>
          </cell>
        </row>
        <row r="115">
          <cell r="B115" t="str">
            <v>SC15050100</v>
          </cell>
          <cell r="C115">
            <v>110</v>
          </cell>
          <cell r="D115" t="str">
            <v>Aditivo de reciclagem para mistura asfáltica a quente.</v>
          </cell>
          <cell r="E115" t="str">
            <v>t</v>
          </cell>
          <cell r="F115">
            <v>2857.32</v>
          </cell>
          <cell r="G115">
            <v>15</v>
          </cell>
        </row>
        <row r="116">
          <cell r="B116" t="str">
            <v>SC15050150</v>
          </cell>
          <cell r="C116">
            <v>111</v>
          </cell>
          <cell r="D116" t="str">
            <v>Areia grossa lavada. Fornecimento.</v>
          </cell>
          <cell r="E116" t="str">
            <v>m3</v>
          </cell>
          <cell r="F116">
            <v>21</v>
          </cell>
          <cell r="G116">
            <v>2000</v>
          </cell>
        </row>
        <row r="117">
          <cell r="B117" t="str">
            <v>SC15050200</v>
          </cell>
          <cell r="C117">
            <v>112</v>
          </cell>
          <cell r="D117" t="str">
            <v>Asfalto diluído tipo cura rápida CR-250</v>
          </cell>
          <cell r="E117" t="str">
            <v>t</v>
          </cell>
          <cell r="F117">
            <v>1468.02</v>
          </cell>
          <cell r="G117">
            <v>7</v>
          </cell>
        </row>
        <row r="118">
          <cell r="B118" t="str">
            <v>SC15050550</v>
          </cell>
          <cell r="C118">
            <v>113</v>
          </cell>
          <cell r="D118" t="str">
            <v xml:space="preserve">Saibro, inclusive transporte ate 20Km.Fornecimento. </v>
          </cell>
          <cell r="E118" t="str">
            <v>m3</v>
          </cell>
          <cell r="F118">
            <v>20.63</v>
          </cell>
          <cell r="G118">
            <v>184</v>
          </cell>
        </row>
        <row r="119">
          <cell r="B119" t="str">
            <v>SC15100050</v>
          </cell>
          <cell r="C119">
            <v>114</v>
          </cell>
          <cell r="D119" t="str">
            <v>Chapa de aço de 3/4"para passagem de veículos.</v>
          </cell>
          <cell r="E119" t="str">
            <v>m2</v>
          </cell>
          <cell r="F119">
            <v>17.100000000000001</v>
          </cell>
          <cell r="G119">
            <v>360</v>
          </cell>
        </row>
        <row r="120">
          <cell r="B120" t="str">
            <v>SC35050050A</v>
          </cell>
          <cell r="C120">
            <v>115</v>
          </cell>
          <cell r="D120" t="str">
            <v>Levantamento ou rebaixamento de tampão na rua.</v>
          </cell>
          <cell r="E120" t="str">
            <v>un</v>
          </cell>
          <cell r="F120">
            <v>86.15</v>
          </cell>
          <cell r="G120">
            <v>169</v>
          </cell>
        </row>
        <row r="121">
          <cell r="B121" t="str">
            <v>SC45050150</v>
          </cell>
          <cell r="C121">
            <v>116</v>
          </cell>
          <cell r="D121" t="str">
            <v>Toten informativo nas dimensões de (0,50x1,50)m.</v>
          </cell>
          <cell r="E121" t="str">
            <v>un</v>
          </cell>
          <cell r="F121">
            <v>2490</v>
          </cell>
          <cell r="G121">
            <v>29</v>
          </cell>
        </row>
        <row r="122">
          <cell r="B122" t="str">
            <v>SC45100200</v>
          </cell>
          <cell r="C122">
            <v>117</v>
          </cell>
          <cell r="D122" t="str">
            <v>Placa de inauguração em bronze.</v>
          </cell>
          <cell r="E122" t="str">
            <v>un</v>
          </cell>
          <cell r="F122">
            <v>1003.36</v>
          </cell>
          <cell r="G122">
            <v>1</v>
          </cell>
        </row>
        <row r="123">
          <cell r="B123" t="str">
            <v>FD05400100</v>
          </cell>
          <cell r="C123">
            <v>118</v>
          </cell>
          <cell r="D123" t="str">
            <v>Arrasamento de estaca concreto armado, ø40 a 50cm.</v>
          </cell>
          <cell r="E123" t="str">
            <v>un</v>
          </cell>
          <cell r="F123">
            <v>103.03</v>
          </cell>
          <cell r="G123">
            <v>23</v>
          </cell>
        </row>
        <row r="124">
          <cell r="B124" t="str">
            <v>FD05500050</v>
          </cell>
          <cell r="C124">
            <v>119</v>
          </cell>
          <cell r="D124" t="str">
            <v>Estaca raiz com diâmetro de 12", perfurada em solo.</v>
          </cell>
          <cell r="E124" t="str">
            <v>m</v>
          </cell>
          <cell r="F124">
            <v>248.49</v>
          </cell>
          <cell r="G124">
            <v>260</v>
          </cell>
        </row>
        <row r="125">
          <cell r="B125" t="str">
            <v>FD05650150</v>
          </cell>
          <cell r="C125">
            <v>120</v>
          </cell>
          <cell r="D125" t="str">
            <v>Estaca raiz com diâmetro de 10", perfurada em solo.</v>
          </cell>
          <cell r="E125" t="str">
            <v>m</v>
          </cell>
          <cell r="F125">
            <v>130</v>
          </cell>
          <cell r="G125">
            <v>86</v>
          </cell>
        </row>
        <row r="126">
          <cell r="B126" t="str">
            <v>FD10050100</v>
          </cell>
          <cell r="C126">
            <v>121</v>
          </cell>
          <cell r="D126" t="str">
            <v>Ensecadeira de estacas-prancha de aço, tipo Armco.</v>
          </cell>
          <cell r="E126" t="str">
            <v>m2</v>
          </cell>
          <cell r="F126">
            <v>127.53</v>
          </cell>
          <cell r="G126">
            <v>4200</v>
          </cell>
        </row>
        <row r="127">
          <cell r="B127" t="str">
            <v>FD10100050</v>
          </cell>
          <cell r="C127">
            <v>122</v>
          </cell>
          <cell r="D127" t="str">
            <v>Ensecadeira de estacas-prancha em Maçaranduba.</v>
          </cell>
          <cell r="E127" t="str">
            <v>m2</v>
          </cell>
          <cell r="F127">
            <v>70.5</v>
          </cell>
          <cell r="G127">
            <v>2395</v>
          </cell>
        </row>
        <row r="128">
          <cell r="B128" t="str">
            <v>ET15100100</v>
          </cell>
          <cell r="C128">
            <v>123</v>
          </cell>
          <cell r="D128" t="str">
            <v>Formas de madeira peças de concreto armado.</v>
          </cell>
          <cell r="E128" t="str">
            <v>m2</v>
          </cell>
          <cell r="F128">
            <v>25.9</v>
          </cell>
          <cell r="G128">
            <v>2986</v>
          </cell>
        </row>
        <row r="129">
          <cell r="B129" t="str">
            <v>ET15100200</v>
          </cell>
          <cell r="C129">
            <v>124</v>
          </cell>
          <cell r="D129" t="str">
            <v>Formas de madeira.</v>
          </cell>
          <cell r="E129" t="str">
            <v>m2</v>
          </cell>
          <cell r="F129">
            <v>34.86</v>
          </cell>
          <cell r="G129">
            <v>4352</v>
          </cell>
        </row>
        <row r="130">
          <cell r="B130" t="str">
            <v>ET15100250</v>
          </cell>
          <cell r="C130">
            <v>125</v>
          </cell>
          <cell r="D130" t="str">
            <v>Formas de madeira.</v>
          </cell>
          <cell r="E130" t="str">
            <v>m2</v>
          </cell>
          <cell r="F130">
            <v>29.62</v>
          </cell>
          <cell r="G130">
            <v>4406</v>
          </cell>
        </row>
        <row r="131">
          <cell r="B131" t="str">
            <v>ET20300050</v>
          </cell>
          <cell r="C131">
            <v>126</v>
          </cell>
          <cell r="D131" t="str">
            <v>Escoramento de formas.</v>
          </cell>
          <cell r="E131" t="str">
            <v>m2</v>
          </cell>
          <cell r="F131">
            <v>11.18</v>
          </cell>
          <cell r="G131">
            <v>3090</v>
          </cell>
        </row>
        <row r="132">
          <cell r="B132" t="str">
            <v>ET10050100</v>
          </cell>
          <cell r="C132">
            <v>127</v>
          </cell>
          <cell r="D132" t="str">
            <v>Aço CA-50 diâmetro de 6,3mm.</v>
          </cell>
          <cell r="E132" t="str">
            <v>kg</v>
          </cell>
          <cell r="F132">
            <v>2.64</v>
          </cell>
          <cell r="G132">
            <v>4750</v>
          </cell>
        </row>
        <row r="133">
          <cell r="B133" t="str">
            <v>ET10050103</v>
          </cell>
          <cell r="C133">
            <v>128</v>
          </cell>
          <cell r="D133" t="str">
            <v>Aço CA-50 diâmetro de 8mm.</v>
          </cell>
          <cell r="E133" t="str">
            <v>kg</v>
          </cell>
          <cell r="F133">
            <v>2.46</v>
          </cell>
          <cell r="G133">
            <v>1250</v>
          </cell>
        </row>
        <row r="134">
          <cell r="B134" t="str">
            <v>ET10050106</v>
          </cell>
          <cell r="C134">
            <v>129</v>
          </cell>
          <cell r="D134" t="str">
            <v>Aço CA-50 diâmetro de 10mm.</v>
          </cell>
          <cell r="E134" t="str">
            <v>kg</v>
          </cell>
          <cell r="F134">
            <v>2.2000000000000002</v>
          </cell>
          <cell r="G134">
            <v>7950</v>
          </cell>
        </row>
        <row r="135">
          <cell r="B135" t="str">
            <v>ET10050109</v>
          </cell>
          <cell r="C135">
            <v>130</v>
          </cell>
          <cell r="D135" t="str">
            <v>Aço CA-50 diâmetro de 12,5mm.</v>
          </cell>
          <cell r="E135" t="str">
            <v>kg</v>
          </cell>
          <cell r="F135">
            <v>2.1800000000000002</v>
          </cell>
          <cell r="G135">
            <v>5400</v>
          </cell>
        </row>
        <row r="136">
          <cell r="B136" t="str">
            <v>ET10050112</v>
          </cell>
          <cell r="C136">
            <v>131</v>
          </cell>
          <cell r="D136" t="str">
            <v>Aço CA-50 diâmetro de 16mm.</v>
          </cell>
          <cell r="E136" t="str">
            <v>kg</v>
          </cell>
          <cell r="F136">
            <v>2.1800000000000002</v>
          </cell>
          <cell r="G136">
            <v>2700</v>
          </cell>
        </row>
        <row r="137">
          <cell r="B137" t="str">
            <v>ET10050118</v>
          </cell>
          <cell r="C137">
            <v>132</v>
          </cell>
          <cell r="D137" t="str">
            <v>Aço CA-50 diâmetro de 25mm.</v>
          </cell>
          <cell r="E137" t="str">
            <v>kg</v>
          </cell>
          <cell r="F137">
            <v>2.19</v>
          </cell>
          <cell r="G137">
            <v>1400</v>
          </cell>
        </row>
        <row r="138">
          <cell r="B138" t="str">
            <v>ET10100056</v>
          </cell>
          <cell r="C138">
            <v>133</v>
          </cell>
          <cell r="D138" t="str">
            <v>Corte, dobragem, montagem aço CA-50 ø 6,3mm.</v>
          </cell>
          <cell r="E138" t="str">
            <v>kg</v>
          </cell>
          <cell r="F138">
            <v>1.28</v>
          </cell>
          <cell r="G138">
            <v>4750</v>
          </cell>
        </row>
        <row r="139">
          <cell r="B139" t="str">
            <v>ET10100062</v>
          </cell>
          <cell r="C139">
            <v>134</v>
          </cell>
          <cell r="D139" t="str">
            <v>Corte, dobragem, montagem aço CA-50 ø 12,5mm.</v>
          </cell>
          <cell r="E139" t="str">
            <v>kg</v>
          </cell>
          <cell r="F139">
            <v>0.96</v>
          </cell>
          <cell r="G139">
            <v>9450</v>
          </cell>
        </row>
        <row r="140">
          <cell r="B140" t="str">
            <v>ET10100065</v>
          </cell>
          <cell r="C140">
            <v>135</v>
          </cell>
          <cell r="D140" t="str">
            <v>Corte, dobragem, montagem aço CA-50 ø 6,3 a 12,5mm.</v>
          </cell>
          <cell r="E140" t="str">
            <v>kg</v>
          </cell>
          <cell r="F140">
            <v>1.1100000000000001</v>
          </cell>
          <cell r="G140">
            <v>13950</v>
          </cell>
        </row>
        <row r="141">
          <cell r="B141" t="str">
            <v>ET05250653</v>
          </cell>
          <cell r="C141">
            <v>136</v>
          </cell>
          <cell r="D141" t="str">
            <v>Lançamento de concreto.</v>
          </cell>
          <cell r="E141" t="str">
            <v>m3</v>
          </cell>
          <cell r="F141">
            <v>22.57</v>
          </cell>
          <cell r="G141">
            <v>187</v>
          </cell>
        </row>
        <row r="142">
          <cell r="B142" t="str">
            <v>ET45100071</v>
          </cell>
          <cell r="C142">
            <v>137</v>
          </cell>
          <cell r="D142" t="str">
            <v>Concreto bombeado usinado fck=30MPa.</v>
          </cell>
          <cell r="E142" t="str">
            <v>m3</v>
          </cell>
          <cell r="F142">
            <v>297.16000000000003</v>
          </cell>
          <cell r="G142">
            <v>195</v>
          </cell>
        </row>
        <row r="143">
          <cell r="B143" t="str">
            <v>ET60050059</v>
          </cell>
          <cell r="C143">
            <v>138</v>
          </cell>
          <cell r="D143" t="str">
            <v>Concreto usinado de 18MPa.</v>
          </cell>
          <cell r="E143" t="str">
            <v>m3</v>
          </cell>
          <cell r="F143">
            <v>185.77</v>
          </cell>
          <cell r="G143">
            <v>187</v>
          </cell>
        </row>
        <row r="144">
          <cell r="B144" t="str">
            <v>ET25050300</v>
          </cell>
          <cell r="C144">
            <v>139</v>
          </cell>
          <cell r="D144" t="str">
            <v>Fornecimento e montagem de estruturas metálicas.</v>
          </cell>
          <cell r="E144" t="str">
            <v>t</v>
          </cell>
          <cell r="F144">
            <v>7186.39</v>
          </cell>
          <cell r="G144">
            <v>36</v>
          </cell>
        </row>
        <row r="145">
          <cell r="B145" t="str">
            <v>ET25050450</v>
          </cell>
          <cell r="C145">
            <v>140</v>
          </cell>
          <cell r="D145" t="str">
            <v>Peças em chapa de aço 3/8", galvanizadas.</v>
          </cell>
          <cell r="E145" t="str">
            <v>Kg</v>
          </cell>
          <cell r="F145">
            <v>3.99</v>
          </cell>
          <cell r="G145">
            <v>2166</v>
          </cell>
        </row>
        <row r="146">
          <cell r="B146" t="str">
            <v>ET25050453</v>
          </cell>
          <cell r="C146">
            <v>141</v>
          </cell>
          <cell r="D146" t="str">
            <v>Peças em chapa de aço 3/8", galvanizadas.</v>
          </cell>
          <cell r="E146" t="str">
            <v>Kg</v>
          </cell>
          <cell r="F146">
            <v>4.26</v>
          </cell>
          <cell r="G146">
            <v>2078</v>
          </cell>
        </row>
        <row r="147">
          <cell r="B147" t="str">
            <v>ET25050456</v>
          </cell>
          <cell r="C147">
            <v>142</v>
          </cell>
          <cell r="D147" t="str">
            <v>Peças em chapa de aço 3/8", galvanizadas.</v>
          </cell>
          <cell r="E147" t="str">
            <v>Kg</v>
          </cell>
          <cell r="F147">
            <v>4.16</v>
          </cell>
          <cell r="G147">
            <v>1820</v>
          </cell>
        </row>
        <row r="148">
          <cell r="B148" t="str">
            <v>ET50050250</v>
          </cell>
          <cell r="C148">
            <v>143</v>
          </cell>
          <cell r="D148" t="str">
            <v>Muro de contenção em solo reforçado.</v>
          </cell>
          <cell r="E148" t="str">
            <v>m2</v>
          </cell>
          <cell r="F148">
            <v>145.63</v>
          </cell>
          <cell r="G148">
            <v>144</v>
          </cell>
        </row>
        <row r="149">
          <cell r="B149" t="str">
            <v>ET55100100</v>
          </cell>
          <cell r="C149">
            <v>144</v>
          </cell>
          <cell r="D149" t="str">
            <v>Canal pré-fabricado, em concreto armado seção U.</v>
          </cell>
          <cell r="E149" t="str">
            <v>m2</v>
          </cell>
          <cell r="F149">
            <v>384.26</v>
          </cell>
          <cell r="G149">
            <v>86</v>
          </cell>
        </row>
        <row r="150">
          <cell r="B150" t="str">
            <v>ET55100150</v>
          </cell>
          <cell r="C150">
            <v>145</v>
          </cell>
          <cell r="D150" t="str">
            <v>Cobertura de canal pré-fabricado em concreto armado.</v>
          </cell>
          <cell r="E150" t="str">
            <v>m2</v>
          </cell>
          <cell r="F150">
            <v>435.06</v>
          </cell>
          <cell r="G150">
            <v>58</v>
          </cell>
        </row>
        <row r="151">
          <cell r="B151" t="str">
            <v>ES05250359</v>
          </cell>
          <cell r="C151">
            <v>146</v>
          </cell>
          <cell r="D151" t="str">
            <v>Gradil em tubo de ferro galvanizado de 1 1/4".</v>
          </cell>
          <cell r="E151" t="str">
            <v>m</v>
          </cell>
          <cell r="F151">
            <v>338.32</v>
          </cell>
          <cell r="G151">
            <v>144</v>
          </cell>
        </row>
        <row r="152">
          <cell r="B152" t="str">
            <v>ES10250150</v>
          </cell>
          <cell r="C152">
            <v>147</v>
          </cell>
          <cell r="D152" t="str">
            <v xml:space="preserve">Peça em Angelim ou similar, de 2"x1".Fornecimento. </v>
          </cell>
          <cell r="E152" t="str">
            <v>m</v>
          </cell>
          <cell r="F152">
            <v>2.14</v>
          </cell>
          <cell r="G152">
            <v>150</v>
          </cell>
        </row>
        <row r="153">
          <cell r="B153" t="str">
            <v>ES10250200</v>
          </cell>
          <cell r="C153">
            <v>148</v>
          </cell>
          <cell r="D153" t="str">
            <v xml:space="preserve">Peça em Ipê ou similar, de 2"x8".  Fornecimento.    </v>
          </cell>
          <cell r="E153" t="str">
            <v>m</v>
          </cell>
          <cell r="F153">
            <v>30.26</v>
          </cell>
          <cell r="G153">
            <v>200</v>
          </cell>
        </row>
        <row r="154">
          <cell r="B154" t="str">
            <v>ES10250262</v>
          </cell>
          <cell r="C154">
            <v>149</v>
          </cell>
          <cell r="D154" t="str">
            <v>Peça em Maçaranduba ou similar, serrada, de 3"x6".</v>
          </cell>
          <cell r="E154" t="str">
            <v>m</v>
          </cell>
          <cell r="F154">
            <v>8.66</v>
          </cell>
          <cell r="G154">
            <v>100</v>
          </cell>
        </row>
        <row r="155">
          <cell r="B155" t="str">
            <v>ES99990050</v>
          </cell>
          <cell r="C155">
            <v>150</v>
          </cell>
          <cell r="D155" t="str">
            <v>Arruela de 5/16", inclusive transporte até a obra.</v>
          </cell>
          <cell r="E155" t="str">
            <v>un</v>
          </cell>
          <cell r="F155">
            <v>0.02</v>
          </cell>
          <cell r="G155">
            <v>863</v>
          </cell>
        </row>
        <row r="156">
          <cell r="B156" t="str">
            <v>ES99990700</v>
          </cell>
          <cell r="C156">
            <v>151</v>
          </cell>
          <cell r="D156" t="str">
            <v>Parafuso de (8x250)mm.</v>
          </cell>
          <cell r="E156" t="str">
            <v>un</v>
          </cell>
          <cell r="F156">
            <v>0.78</v>
          </cell>
          <cell r="G156">
            <v>863</v>
          </cell>
        </row>
        <row r="157">
          <cell r="B157" t="str">
            <v>ES99990800</v>
          </cell>
          <cell r="C157">
            <v>152</v>
          </cell>
          <cell r="D157" t="str">
            <v>Porca de 5/16", inclusive transporte até a obra.</v>
          </cell>
          <cell r="E157" t="str">
            <v>un</v>
          </cell>
          <cell r="F157">
            <v>0.04</v>
          </cell>
          <cell r="G157">
            <v>863</v>
          </cell>
        </row>
        <row r="158">
          <cell r="B158" t="str">
            <v>ES99990900</v>
          </cell>
          <cell r="C158">
            <v>153</v>
          </cell>
          <cell r="D158" t="str">
            <v>Prego com cabeça chata 23x54, em caixa de 100Kg.</v>
          </cell>
          <cell r="E158" t="str">
            <v>Kg</v>
          </cell>
          <cell r="F158">
            <v>3.01</v>
          </cell>
          <cell r="G158">
            <v>332</v>
          </cell>
        </row>
        <row r="159">
          <cell r="B159" t="str">
            <v>IT25100112</v>
          </cell>
          <cell r="C159">
            <v>154</v>
          </cell>
          <cell r="D159" t="str">
            <v>Kanalex diâmetro de 50mm (2" ).</v>
          </cell>
          <cell r="E159" t="str">
            <v>m</v>
          </cell>
          <cell r="F159">
            <v>4.55</v>
          </cell>
          <cell r="G159">
            <v>356</v>
          </cell>
        </row>
        <row r="160">
          <cell r="B160" t="str">
            <v>IT25100115</v>
          </cell>
          <cell r="C160">
            <v>155</v>
          </cell>
          <cell r="D160" t="str">
            <v>Kanalex diâmetro de 75mm (3" ).</v>
          </cell>
          <cell r="E160" t="str">
            <v>m</v>
          </cell>
          <cell r="F160">
            <v>5.98</v>
          </cell>
          <cell r="G160">
            <v>1766</v>
          </cell>
        </row>
        <row r="161">
          <cell r="B161" t="str">
            <v>IT25100118</v>
          </cell>
          <cell r="C161">
            <v>156</v>
          </cell>
          <cell r="D161" t="str">
            <v>Kanalex diâmetro de 100mm (4" ).</v>
          </cell>
          <cell r="E161" t="str">
            <v>m</v>
          </cell>
          <cell r="F161">
            <v>7.02</v>
          </cell>
          <cell r="G161">
            <v>2554</v>
          </cell>
        </row>
        <row r="162">
          <cell r="B162" t="str">
            <v>IT25100159</v>
          </cell>
          <cell r="C162">
            <v>157</v>
          </cell>
          <cell r="D162" t="str">
            <v>Linha dupla de Kanalex diâmetro de 75mm (3" ).</v>
          </cell>
          <cell r="E162" t="str">
            <v>m</v>
          </cell>
          <cell r="F162">
            <v>10.52</v>
          </cell>
          <cell r="G162">
            <v>3705</v>
          </cell>
        </row>
        <row r="163">
          <cell r="B163" t="str">
            <v>IT25100162</v>
          </cell>
          <cell r="C163">
            <v>158</v>
          </cell>
          <cell r="D163" t="str">
            <v>Linha dupla de Kanalex diâmetro de 100mm (4" ).</v>
          </cell>
          <cell r="E163" t="str">
            <v>m</v>
          </cell>
          <cell r="F163">
            <v>21.87</v>
          </cell>
          <cell r="G163">
            <v>6000</v>
          </cell>
        </row>
        <row r="164">
          <cell r="B164" t="str">
            <v xml:space="preserve"> IT25100165</v>
          </cell>
          <cell r="C164">
            <v>159</v>
          </cell>
          <cell r="D164" t="str">
            <v>Linha dupla de Kanalex diâmetro de 125mm (5" ).</v>
          </cell>
          <cell r="E164" t="str">
            <v>m</v>
          </cell>
          <cell r="F164">
            <v>29.6</v>
          </cell>
          <cell r="G164">
            <v>4000</v>
          </cell>
        </row>
        <row r="165">
          <cell r="B165" t="str">
            <v xml:space="preserve"> IT25340321</v>
          </cell>
          <cell r="C165">
            <v>160</v>
          </cell>
          <cell r="D165" t="str">
            <v>Cabo de cobre rígido, seção de 35mm2 XLPE.</v>
          </cell>
          <cell r="E165" t="str">
            <v>m</v>
          </cell>
          <cell r="F165">
            <v>11.38</v>
          </cell>
          <cell r="G165">
            <v>2842</v>
          </cell>
        </row>
        <row r="166">
          <cell r="B166" t="str">
            <v>IT25700100</v>
          </cell>
          <cell r="C166">
            <v>161</v>
          </cell>
          <cell r="D166" t="str">
            <v>Haste para aterramento, de cobre, de 5/8", com 3m.</v>
          </cell>
          <cell r="E166" t="str">
            <v xml:space="preserve"> un</v>
          </cell>
          <cell r="F166">
            <v>60.94</v>
          </cell>
          <cell r="G166">
            <v>29</v>
          </cell>
        </row>
        <row r="167">
          <cell r="B167" t="str">
            <v>IT25990100</v>
          </cell>
          <cell r="C167">
            <v>162</v>
          </cell>
          <cell r="D167" t="str">
            <v>Base de ferro retangular, para caixa subterrânea.</v>
          </cell>
          <cell r="E167" t="str">
            <v xml:space="preserve"> un</v>
          </cell>
          <cell r="F167">
            <v>117.72</v>
          </cell>
          <cell r="G167">
            <v>55</v>
          </cell>
        </row>
        <row r="168">
          <cell r="B168" t="str">
            <v>IT25990103</v>
          </cell>
          <cell r="C168">
            <v>163</v>
          </cell>
          <cell r="D168" t="str">
            <v>Tampa de ferro retangular, medindo (1,07x0,52)m.</v>
          </cell>
          <cell r="E168" t="str">
            <v xml:space="preserve"> un</v>
          </cell>
          <cell r="F168">
            <v>231.13</v>
          </cell>
          <cell r="G168">
            <v>55</v>
          </cell>
        </row>
        <row r="169">
          <cell r="B169" t="str">
            <v>RV15200409</v>
          </cell>
          <cell r="C169">
            <v>164</v>
          </cell>
          <cell r="D169" t="str">
            <v>Revestimento com granito Cinza flameado.</v>
          </cell>
          <cell r="E169" t="str">
            <v>m2</v>
          </cell>
          <cell r="F169">
            <v>82.41</v>
          </cell>
          <cell r="G169">
            <v>152</v>
          </cell>
        </row>
        <row r="170">
          <cell r="B170" t="str">
            <v>RV15250103</v>
          </cell>
          <cell r="C170">
            <v>165</v>
          </cell>
          <cell r="D170" t="str">
            <v>Piso de concreto simples,8cm de espessura.</v>
          </cell>
          <cell r="E170" t="str">
            <v>m2</v>
          </cell>
          <cell r="F170">
            <v>24.65</v>
          </cell>
          <cell r="G170">
            <v>1095</v>
          </cell>
        </row>
        <row r="171">
          <cell r="B171" t="str">
            <v>CI05750050</v>
          </cell>
          <cell r="C171">
            <v>166</v>
          </cell>
          <cell r="D171" t="str">
            <v>Cabine para quiosque em Fiber-Glass.</v>
          </cell>
          <cell r="E171" t="str">
            <v xml:space="preserve"> un   </v>
          </cell>
          <cell r="F171">
            <v>12250.73</v>
          </cell>
          <cell r="G171">
            <v>6</v>
          </cell>
        </row>
        <row r="172">
          <cell r="B172" t="str">
            <v>PT05300250</v>
          </cell>
          <cell r="C172">
            <v>167</v>
          </cell>
          <cell r="D172" t="str">
            <v>Pintura sobre concreto com uma demão de Primer.</v>
          </cell>
          <cell r="E172" t="str">
            <v>m2</v>
          </cell>
          <cell r="F172">
            <v>9.09</v>
          </cell>
          <cell r="G172">
            <v>542</v>
          </cell>
        </row>
        <row r="173">
          <cell r="B173" t="str">
            <v>PT05400106</v>
          </cell>
          <cell r="C173">
            <v>168</v>
          </cell>
          <cell r="D173" t="str">
            <v>Pintura interna ou externa sobre ferro, com esmalte.</v>
          </cell>
          <cell r="E173" t="str">
            <v>m2</v>
          </cell>
          <cell r="F173">
            <v>7.86</v>
          </cell>
          <cell r="G173">
            <v>1262</v>
          </cell>
        </row>
        <row r="174">
          <cell r="B174" t="str">
            <v>DR05200050</v>
          </cell>
          <cell r="C174">
            <v>169</v>
          </cell>
          <cell r="D174" t="str">
            <v>Tubo de concreto armado com diametro de 0,40m.</v>
          </cell>
          <cell r="E174" t="str">
            <v>m</v>
          </cell>
          <cell r="F174">
            <v>43.02</v>
          </cell>
          <cell r="G174">
            <v>768</v>
          </cell>
        </row>
        <row r="175">
          <cell r="B175" t="str">
            <v>DR05200100</v>
          </cell>
          <cell r="C175">
            <v>170</v>
          </cell>
          <cell r="D175" t="str">
            <v>Tubo de concreto armado com diâmetro de 0,50m.</v>
          </cell>
          <cell r="E175" t="str">
            <v>m</v>
          </cell>
          <cell r="F175">
            <v>62.61</v>
          </cell>
          <cell r="G175">
            <v>290</v>
          </cell>
        </row>
        <row r="176">
          <cell r="B176" t="str">
            <v>DR05200150</v>
          </cell>
          <cell r="C176">
            <v>171</v>
          </cell>
          <cell r="D176" t="str">
            <v>Tubo de concreto armado com diâmetro de 0,60m.</v>
          </cell>
          <cell r="E176" t="str">
            <v>m</v>
          </cell>
          <cell r="F176">
            <v>71.53</v>
          </cell>
          <cell r="G176">
            <v>54</v>
          </cell>
        </row>
        <row r="177">
          <cell r="B177" t="str">
            <v>DR05200200</v>
          </cell>
          <cell r="C177">
            <v>172</v>
          </cell>
          <cell r="D177" t="str">
            <v>Tubo de concreto armado com diâmetro de 0,70m.</v>
          </cell>
          <cell r="E177" t="str">
            <v>m</v>
          </cell>
          <cell r="F177">
            <v>106.59</v>
          </cell>
          <cell r="G177">
            <v>264</v>
          </cell>
        </row>
        <row r="178">
          <cell r="B178" t="str">
            <v>DR05200250</v>
          </cell>
          <cell r="C178">
            <v>173</v>
          </cell>
          <cell r="D178" t="str">
            <v>Tubo de concreto armado com diâmetro de 0,80m.</v>
          </cell>
          <cell r="E178" t="str">
            <v>m</v>
          </cell>
          <cell r="F178">
            <v>113.63</v>
          </cell>
          <cell r="G178">
            <v>38</v>
          </cell>
        </row>
        <row r="179">
          <cell r="B179" t="str">
            <v>DR05200350</v>
          </cell>
          <cell r="C179">
            <v>174</v>
          </cell>
          <cell r="D179" t="str">
            <v>Tubo de concreto armado com diametro de 1m.</v>
          </cell>
          <cell r="E179" t="str">
            <v>m</v>
          </cell>
          <cell r="F179">
            <v>189.28</v>
          </cell>
          <cell r="G179">
            <v>320</v>
          </cell>
        </row>
        <row r="180">
          <cell r="B180" t="str">
            <v>DR05200500</v>
          </cell>
          <cell r="C180">
            <v>175</v>
          </cell>
          <cell r="D180" t="str">
            <v>Tubo de concreto armado com diâmetro de 1,50m.</v>
          </cell>
          <cell r="E180" t="str">
            <v>m</v>
          </cell>
          <cell r="F180">
            <v>400.58</v>
          </cell>
          <cell r="G180">
            <v>214</v>
          </cell>
        </row>
        <row r="181">
          <cell r="B181" t="str">
            <v>DR05400100</v>
          </cell>
          <cell r="C181">
            <v>176</v>
          </cell>
          <cell r="D181" t="str">
            <v>Tubo de PVC rígido Vinilfort, diâmetro de 150mm.</v>
          </cell>
          <cell r="E181" t="str">
            <v>m</v>
          </cell>
          <cell r="F181">
            <v>19.47</v>
          </cell>
          <cell r="G181">
            <v>1643</v>
          </cell>
        </row>
        <row r="182">
          <cell r="B182" t="str">
            <v>DR05400150</v>
          </cell>
          <cell r="C182">
            <v>177</v>
          </cell>
          <cell r="D182" t="str">
            <v>Tubo de PVC rígido Vinilfort, diâmetro de 200mm.</v>
          </cell>
          <cell r="E182" t="str">
            <v>m</v>
          </cell>
          <cell r="F182">
            <v>27.22</v>
          </cell>
          <cell r="G182">
            <v>263</v>
          </cell>
        </row>
        <row r="183">
          <cell r="B183" t="str">
            <v>DR10050065</v>
          </cell>
          <cell r="C183">
            <v>178</v>
          </cell>
          <cell r="D183" t="str">
            <v>Tubo de ferro fundido K-9, diâmetro de 300mm.</v>
          </cell>
          <cell r="E183" t="str">
            <v>m</v>
          </cell>
          <cell r="F183">
            <v>370.29</v>
          </cell>
          <cell r="G183">
            <v>200</v>
          </cell>
        </row>
        <row r="184">
          <cell r="B184" t="str">
            <v>DR20100050</v>
          </cell>
          <cell r="C184">
            <v>179</v>
          </cell>
          <cell r="D184" t="str">
            <v>Poço de visita de (1,20x1,20x1,40)m ø 0,40 a 0,70m.</v>
          </cell>
          <cell r="E184" t="str">
            <v xml:space="preserve"> un</v>
          </cell>
          <cell r="F184">
            <v>704.13</v>
          </cell>
          <cell r="G184">
            <v>22</v>
          </cell>
        </row>
        <row r="185">
          <cell r="B185" t="str">
            <v>DR20100053</v>
          </cell>
          <cell r="C185">
            <v>180</v>
          </cell>
          <cell r="D185" t="str">
            <v>Poço de visita de (1,30 x1,30 x1,40)m ø de 0,80 m.</v>
          </cell>
          <cell r="E185" t="str">
            <v xml:space="preserve"> un</v>
          </cell>
          <cell r="F185">
            <v>750.69</v>
          </cell>
          <cell r="G185">
            <v>2</v>
          </cell>
        </row>
        <row r="186">
          <cell r="B186" t="str">
            <v>DR20100059</v>
          </cell>
          <cell r="C186">
            <v>181</v>
          </cell>
          <cell r="D186" t="str">
            <v>Poço de visita de (1.50x1.50x1.60)m ø1,00 m.</v>
          </cell>
          <cell r="E186" t="str">
            <v xml:space="preserve"> un</v>
          </cell>
          <cell r="F186">
            <v>948.69</v>
          </cell>
          <cell r="G186">
            <v>11</v>
          </cell>
        </row>
        <row r="187">
          <cell r="B187" t="str">
            <v>DR20100068</v>
          </cell>
          <cell r="C187">
            <v>182</v>
          </cell>
          <cell r="D187" t="str">
            <v>Poço de vista de ( 2x 2x2,10)m ø1,50m.</v>
          </cell>
          <cell r="E187" t="str">
            <v xml:space="preserve"> un</v>
          </cell>
          <cell r="F187">
            <v>1525.88</v>
          </cell>
          <cell r="G187">
            <v>7</v>
          </cell>
        </row>
        <row r="188">
          <cell r="B188" t="str">
            <v>DR20150053</v>
          </cell>
          <cell r="C188">
            <v>183</v>
          </cell>
          <cell r="D188" t="str">
            <v>Poço de visita para esgoto sanitário de 1m .</v>
          </cell>
          <cell r="E188" t="str">
            <v xml:space="preserve"> un</v>
          </cell>
          <cell r="F188">
            <v>129.63</v>
          </cell>
          <cell r="G188">
            <v>2</v>
          </cell>
        </row>
        <row r="189">
          <cell r="B189" t="str">
            <v>DR20150056</v>
          </cell>
          <cell r="C189">
            <v>184</v>
          </cell>
          <cell r="D189" t="str">
            <v xml:space="preserve">Poço de visita para esgoto sanitário de 1,05m.                      </v>
          </cell>
          <cell r="E189" t="str">
            <v xml:space="preserve"> un</v>
          </cell>
          <cell r="F189">
            <v>303.89</v>
          </cell>
          <cell r="G189">
            <v>1</v>
          </cell>
        </row>
        <row r="190">
          <cell r="B190" t="str">
            <v>DR20150059</v>
          </cell>
          <cell r="C190">
            <v>185</v>
          </cell>
          <cell r="D190" t="str">
            <v xml:space="preserve">Poço de visita para esgoto sanitário de 1,20m.  </v>
          </cell>
          <cell r="E190" t="str">
            <v xml:space="preserve"> un</v>
          </cell>
          <cell r="F190">
            <v>337.88</v>
          </cell>
          <cell r="G190">
            <v>15</v>
          </cell>
        </row>
        <row r="191">
          <cell r="B191" t="str">
            <v>DR20150062</v>
          </cell>
          <cell r="C191">
            <v>186</v>
          </cell>
          <cell r="D191" t="str">
            <v xml:space="preserve">Poço de visita de esgoto sanitário de 1,40m.      </v>
          </cell>
          <cell r="E191" t="str">
            <v xml:space="preserve"> un</v>
          </cell>
          <cell r="F191">
            <v>387.67</v>
          </cell>
          <cell r="G191">
            <v>5</v>
          </cell>
        </row>
        <row r="192">
          <cell r="B192" t="str">
            <v>DR20150065</v>
          </cell>
          <cell r="C192">
            <v>187</v>
          </cell>
          <cell r="D192" t="str">
            <v xml:space="preserve">Poço de visita de esgoto sanitário de 1,50m.  </v>
          </cell>
          <cell r="E192" t="str">
            <v xml:space="preserve"> un</v>
          </cell>
          <cell r="F192">
            <v>412.76</v>
          </cell>
          <cell r="G192">
            <v>7</v>
          </cell>
        </row>
        <row r="193">
          <cell r="B193" t="str">
            <v>DR20150068</v>
          </cell>
          <cell r="C193">
            <v>188</v>
          </cell>
          <cell r="D193" t="str">
            <v xml:space="preserve">Poço de visita de esgoto sanitário de 1,60m.          </v>
          </cell>
          <cell r="E193" t="str">
            <v xml:space="preserve"> un</v>
          </cell>
          <cell r="F193">
            <v>416.03</v>
          </cell>
          <cell r="G193">
            <v>4</v>
          </cell>
        </row>
        <row r="194">
          <cell r="B194" t="str">
            <v>DR20150071</v>
          </cell>
          <cell r="C194">
            <v>189</v>
          </cell>
          <cell r="D194" t="str">
            <v xml:space="preserve">Poço de visita de esgoto sanitário de 1,70m.   </v>
          </cell>
          <cell r="E194" t="str">
            <v xml:space="preserve"> un</v>
          </cell>
          <cell r="F194">
            <v>450.56</v>
          </cell>
          <cell r="G194">
            <v>2</v>
          </cell>
        </row>
        <row r="195">
          <cell r="B195" t="str">
            <v>DR20150074</v>
          </cell>
          <cell r="C195">
            <v>190</v>
          </cell>
          <cell r="D195" t="str">
            <v xml:space="preserve">Poço de visita de esgoto sanitário de 2m.       </v>
          </cell>
          <cell r="E195" t="str">
            <v xml:space="preserve"> un</v>
          </cell>
          <cell r="F195">
            <v>479.14</v>
          </cell>
          <cell r="G195">
            <v>12</v>
          </cell>
        </row>
        <row r="196">
          <cell r="B196" t="str">
            <v>DR20150077</v>
          </cell>
          <cell r="C196">
            <v>191</v>
          </cell>
          <cell r="D196" t="str">
            <v xml:space="preserve">Poço de visita de esgoto sanitário de 2,30m.        </v>
          </cell>
          <cell r="E196" t="str">
            <v xml:space="preserve"> un</v>
          </cell>
          <cell r="F196">
            <v>518.35</v>
          </cell>
          <cell r="G196">
            <v>2</v>
          </cell>
        </row>
        <row r="197">
          <cell r="B197" t="str">
            <v>DR30150103</v>
          </cell>
          <cell r="C197">
            <v>192</v>
          </cell>
          <cell r="D197" t="str">
            <v>Caixa de ralo de blocos de concreto prensado.</v>
          </cell>
          <cell r="E197" t="str">
            <v xml:space="preserve"> un</v>
          </cell>
          <cell r="F197">
            <v>541.29999999999995</v>
          </cell>
          <cell r="G197">
            <v>135</v>
          </cell>
        </row>
        <row r="198">
          <cell r="B198" t="str">
            <v>DR05300100</v>
          </cell>
          <cell r="C198">
            <v>193</v>
          </cell>
          <cell r="D198" t="str">
            <v>Manilha cerâmica vidrada, com diâmetro 0,15m.</v>
          </cell>
          <cell r="E198" t="str">
            <v>m</v>
          </cell>
          <cell r="F198">
            <v>16.14</v>
          </cell>
          <cell r="G198">
            <v>1240</v>
          </cell>
        </row>
        <row r="199">
          <cell r="B199" t="str">
            <v>DR35050250</v>
          </cell>
          <cell r="C199">
            <v>194</v>
          </cell>
          <cell r="D199" t="str">
            <v>Tampão de ferro fundido completo pesado, de 0,60m.</v>
          </cell>
          <cell r="E199" t="str">
            <v xml:space="preserve"> un</v>
          </cell>
          <cell r="F199">
            <v>209.66</v>
          </cell>
          <cell r="G199">
            <v>140</v>
          </cell>
        </row>
        <row r="200">
          <cell r="B200" t="str">
            <v>DR35050300</v>
          </cell>
          <cell r="C200">
            <v>195</v>
          </cell>
          <cell r="D200" t="str">
            <v>Tampão de ferro fundido completo, de 3 seções.</v>
          </cell>
          <cell r="E200" t="str">
            <v xml:space="preserve"> un</v>
          </cell>
          <cell r="F200">
            <v>1659.65</v>
          </cell>
          <cell r="G200">
            <v>9</v>
          </cell>
        </row>
        <row r="201">
          <cell r="B201" t="str">
            <v>DR55050450</v>
          </cell>
          <cell r="C201">
            <v>196</v>
          </cell>
          <cell r="D201" t="str">
            <v>Embasamento de tubulação, feito com pó-de-pedra.</v>
          </cell>
          <cell r="E201" t="str">
            <v>m3</v>
          </cell>
          <cell r="F201">
            <v>47.35</v>
          </cell>
          <cell r="G201">
            <v>200</v>
          </cell>
        </row>
        <row r="202">
          <cell r="B202" t="str">
            <v>DR75050077</v>
          </cell>
          <cell r="C202">
            <v>197</v>
          </cell>
          <cell r="D202" t="str">
            <v>Levantamento limpeza reassentamento tubos ø1,50m.</v>
          </cell>
          <cell r="E202" t="str">
            <v>m</v>
          </cell>
          <cell r="F202">
            <v>137.80000000000001</v>
          </cell>
          <cell r="G202">
            <v>576</v>
          </cell>
        </row>
        <row r="203">
          <cell r="B203" t="str">
            <v>BP05050050</v>
          </cell>
          <cell r="C203">
            <v>198</v>
          </cell>
          <cell r="D203" t="str">
            <v>Base de brita corrida.</v>
          </cell>
          <cell r="E203" t="str">
            <v>m3</v>
          </cell>
          <cell r="F203">
            <v>35.47</v>
          </cell>
          <cell r="G203">
            <v>7200</v>
          </cell>
        </row>
        <row r="204">
          <cell r="B204" t="str">
            <v>BP05050400A</v>
          </cell>
          <cell r="C204">
            <v>199</v>
          </cell>
          <cell r="D204" t="str">
            <v>Imprimação de base de pavimentação.</v>
          </cell>
          <cell r="E204" t="str">
            <v>m2</v>
          </cell>
          <cell r="F204">
            <v>2.04</v>
          </cell>
          <cell r="G204">
            <v>23998</v>
          </cell>
        </row>
        <row r="205">
          <cell r="B205" t="str">
            <v>BP05050100</v>
          </cell>
          <cell r="C205">
            <v>200</v>
          </cell>
          <cell r="D205" t="str">
            <v>Camada de bloqueio (colchão) de areia.</v>
          </cell>
          <cell r="E205" t="str">
            <v>m3</v>
          </cell>
          <cell r="F205">
            <v>29.11</v>
          </cell>
          <cell r="G205">
            <v>7200</v>
          </cell>
        </row>
        <row r="206">
          <cell r="B206" t="str">
            <v>BP05050103</v>
          </cell>
          <cell r="C206">
            <v>201</v>
          </cell>
          <cell r="D206" t="str">
            <v>Camada de bloqueio (colchão) de pó-de-pedra.</v>
          </cell>
          <cell r="E206" t="str">
            <v>m3</v>
          </cell>
          <cell r="F206">
            <v>31.41</v>
          </cell>
          <cell r="G206">
            <v>6000</v>
          </cell>
        </row>
        <row r="207">
          <cell r="B207" t="str">
            <v>BP10050659</v>
          </cell>
          <cell r="C207">
            <v>202</v>
          </cell>
          <cell r="D207" t="str">
            <v>Revestimento de CBUQ, com  10cm de espessura.</v>
          </cell>
          <cell r="E207" t="str">
            <v>m2</v>
          </cell>
          <cell r="F207">
            <v>24.98</v>
          </cell>
          <cell r="G207">
            <v>23998</v>
          </cell>
        </row>
        <row r="208">
          <cell r="B208" t="str">
            <v>BP10200368</v>
          </cell>
          <cell r="C208">
            <v>203</v>
          </cell>
          <cell r="D208" t="str">
            <v>Revestimento intertravado com peças de concreto.</v>
          </cell>
          <cell r="E208" t="str">
            <v>m2</v>
          </cell>
          <cell r="F208">
            <v>54.88</v>
          </cell>
          <cell r="G208">
            <v>18820</v>
          </cell>
        </row>
        <row r="209">
          <cell r="B209" t="str">
            <v>BP10250050</v>
          </cell>
          <cell r="C209">
            <v>204</v>
          </cell>
          <cell r="D209" t="str">
            <v>Paralelepípedos.Fornecimento.</v>
          </cell>
          <cell r="E209" t="str">
            <v xml:space="preserve"> un</v>
          </cell>
          <cell r="F209">
            <v>0.45</v>
          </cell>
          <cell r="G209">
            <v>2877</v>
          </cell>
        </row>
        <row r="210">
          <cell r="B210" t="str">
            <v>BP05050450</v>
          </cell>
          <cell r="C210">
            <v>205</v>
          </cell>
          <cell r="D210" t="str">
            <v>Regularização de subleito.</v>
          </cell>
          <cell r="E210" t="str">
            <v>m2</v>
          </cell>
          <cell r="F210">
            <v>0.41</v>
          </cell>
          <cell r="G210">
            <v>23998</v>
          </cell>
        </row>
        <row r="211">
          <cell r="B211" t="str">
            <v>BP20100053</v>
          </cell>
          <cell r="C211">
            <v>206</v>
          </cell>
          <cell r="D211" t="str">
            <v>Cordões de concreto simples, secção de (10x25)cm.</v>
          </cell>
          <cell r="E211" t="str">
            <v>m</v>
          </cell>
          <cell r="F211">
            <v>15.98</v>
          </cell>
          <cell r="G211">
            <v>864</v>
          </cell>
        </row>
        <row r="212">
          <cell r="B212" t="str">
            <v>BP05050250</v>
          </cell>
          <cell r="C212">
            <v>207</v>
          </cell>
          <cell r="D212" t="str">
            <v>Construção de aterro.</v>
          </cell>
          <cell r="E212" t="str">
            <v>m3</v>
          </cell>
          <cell r="F212">
            <v>1.1299999999999999</v>
          </cell>
          <cell r="G212">
            <v>5000</v>
          </cell>
        </row>
        <row r="213">
          <cell r="B213" t="str">
            <v>BP10050400A</v>
          </cell>
          <cell r="C213">
            <v>208</v>
          </cell>
          <cell r="D213" t="str">
            <v>Pintura de ligação.</v>
          </cell>
          <cell r="E213" t="str">
            <v>m2</v>
          </cell>
          <cell r="F213">
            <v>1.23</v>
          </cell>
          <cell r="G213">
            <v>23998</v>
          </cell>
        </row>
        <row r="214">
          <cell r="B214" t="str">
            <v>BP10050500</v>
          </cell>
          <cell r="C214">
            <v>209</v>
          </cell>
          <cell r="D214" t="str">
            <v>Recomposição de revestimento em concreto asfáltico.</v>
          </cell>
          <cell r="E214" t="str">
            <v>m2</v>
          </cell>
          <cell r="F214">
            <v>2.13</v>
          </cell>
          <cell r="G214">
            <v>2000</v>
          </cell>
        </row>
        <row r="215">
          <cell r="B215" t="str">
            <v>BP10150050</v>
          </cell>
          <cell r="C215">
            <v>210</v>
          </cell>
          <cell r="D215" t="str">
            <v>Junta de retração, serrada com disco de diamantes.</v>
          </cell>
          <cell r="E215" t="str">
            <v>m</v>
          </cell>
          <cell r="F215">
            <v>7.5</v>
          </cell>
          <cell r="G215">
            <v>415</v>
          </cell>
        </row>
        <row r="216">
          <cell r="B216" t="str">
            <v>BP10250050</v>
          </cell>
          <cell r="C216">
            <v>211</v>
          </cell>
          <cell r="D216" t="str">
            <v xml:space="preserve">Paralelepípedos.Fornecimento. </v>
          </cell>
          <cell r="E216" t="str">
            <v xml:space="preserve"> un</v>
          </cell>
          <cell r="F216">
            <v>0.45</v>
          </cell>
          <cell r="G216">
            <v>2877</v>
          </cell>
        </row>
        <row r="217">
          <cell r="B217" t="str">
            <v>BP15050050</v>
          </cell>
          <cell r="C217">
            <v>212</v>
          </cell>
          <cell r="D217" t="str">
            <v>Fresagem espessura de até 5cm.</v>
          </cell>
          <cell r="E217" t="str">
            <v>m2</v>
          </cell>
          <cell r="F217">
            <v>1.34</v>
          </cell>
          <cell r="G217">
            <v>16799</v>
          </cell>
        </row>
        <row r="218">
          <cell r="B218" t="str">
            <v>BP20150056</v>
          </cell>
          <cell r="C218">
            <v>213</v>
          </cell>
          <cell r="D218" t="str">
            <v>Sarjeta e meio-fio conjugados, de concreto simples.</v>
          </cell>
          <cell r="E218" t="str">
            <v>m</v>
          </cell>
          <cell r="F218">
            <v>44.43</v>
          </cell>
          <cell r="G218">
            <v>4315</v>
          </cell>
        </row>
        <row r="219">
          <cell r="B219" t="str">
            <v>PJ05100150</v>
          </cell>
          <cell r="C219">
            <v>214</v>
          </cell>
          <cell r="D219" t="str">
            <v>Plantio de grama em placas.</v>
          </cell>
          <cell r="E219" t="str">
            <v>m2</v>
          </cell>
          <cell r="F219">
            <v>6.48</v>
          </cell>
          <cell r="G219">
            <v>2213</v>
          </cell>
        </row>
        <row r="220">
          <cell r="B220" t="str">
            <v>PJ10050200</v>
          </cell>
          <cell r="C220">
            <v>215</v>
          </cell>
          <cell r="D220" t="str">
            <v>Plantio de árvore de 2m de altura.</v>
          </cell>
          <cell r="E220" t="str">
            <v xml:space="preserve"> un</v>
          </cell>
          <cell r="F220">
            <v>14.95</v>
          </cell>
          <cell r="G220">
            <v>283</v>
          </cell>
        </row>
        <row r="221">
          <cell r="B221" t="str">
            <v>PJ10150050</v>
          </cell>
          <cell r="C221">
            <v>216</v>
          </cell>
          <cell r="D221" t="str">
            <v>Árvores tipo 1 - Pseudobombax Ellipticum.</v>
          </cell>
          <cell r="E221" t="str">
            <v xml:space="preserve"> un</v>
          </cell>
          <cell r="F221">
            <v>12.9</v>
          </cell>
          <cell r="G221">
            <v>283</v>
          </cell>
        </row>
        <row r="222">
          <cell r="B222" t="str">
            <v>PJ10250056</v>
          </cell>
          <cell r="C222">
            <v>217</v>
          </cell>
          <cell r="D222" t="str">
            <v>Palmeira tipo 3 - Roystonea Oleracea.</v>
          </cell>
          <cell r="E222" t="str">
            <v xml:space="preserve"> un</v>
          </cell>
          <cell r="F222">
            <v>250</v>
          </cell>
          <cell r="G222">
            <v>20</v>
          </cell>
        </row>
        <row r="223">
          <cell r="B223" t="str">
            <v>PJ20100050</v>
          </cell>
          <cell r="C223">
            <v>218</v>
          </cell>
          <cell r="D223" t="str">
            <v>Arrancamento e replantio de árvore adulta.</v>
          </cell>
          <cell r="E223" t="str">
            <v xml:space="preserve"> un</v>
          </cell>
          <cell r="F223">
            <v>46.5</v>
          </cell>
          <cell r="G223">
            <v>32</v>
          </cell>
        </row>
        <row r="224">
          <cell r="B224" t="str">
            <v>PJ20100306</v>
          </cell>
          <cell r="C224">
            <v>219</v>
          </cell>
          <cell r="D224" t="str">
            <v>Remoção de árvore de grande porte.</v>
          </cell>
          <cell r="E224" t="str">
            <v xml:space="preserve"> un</v>
          </cell>
          <cell r="F224">
            <v>886.31</v>
          </cell>
          <cell r="G224">
            <v>10</v>
          </cell>
        </row>
        <row r="225">
          <cell r="B225" t="str">
            <v>PJ40100356</v>
          </cell>
          <cell r="C225">
            <v>220</v>
          </cell>
          <cell r="D225" t="str">
            <v>Tratamento fitossanitário em árvores.</v>
          </cell>
          <cell r="E225" t="str">
            <v xml:space="preserve"> un</v>
          </cell>
          <cell r="F225">
            <v>663.93</v>
          </cell>
          <cell r="G225">
            <v>100</v>
          </cell>
        </row>
        <row r="226">
          <cell r="B226" t="str">
            <v>PJ15050053</v>
          </cell>
          <cell r="C226">
            <v>221</v>
          </cell>
          <cell r="D226" t="str">
            <v>Cerca protetora para jardim.</v>
          </cell>
          <cell r="E226" t="str">
            <v>m2</v>
          </cell>
          <cell r="F226">
            <v>57.16</v>
          </cell>
          <cell r="G226">
            <v>200</v>
          </cell>
        </row>
        <row r="227">
          <cell r="B227" t="str">
            <v>PJ25050100</v>
          </cell>
          <cell r="C227">
            <v>222</v>
          </cell>
          <cell r="D227" t="str">
            <v>Banco para jardim, duplo, pés em ferro fundido.</v>
          </cell>
          <cell r="E227" t="str">
            <v xml:space="preserve"> un</v>
          </cell>
          <cell r="F227">
            <v>904.96</v>
          </cell>
          <cell r="G227">
            <v>36</v>
          </cell>
        </row>
        <row r="228">
          <cell r="B228" t="str">
            <v>PJ25050153</v>
          </cell>
          <cell r="C228">
            <v>223</v>
          </cell>
          <cell r="D228" t="str">
            <v>Mesa de jogos com 4 bancos.</v>
          </cell>
          <cell r="E228" t="str">
            <v xml:space="preserve"> un</v>
          </cell>
          <cell r="F228">
            <v>547.5</v>
          </cell>
          <cell r="G228">
            <v>14</v>
          </cell>
        </row>
        <row r="229">
          <cell r="B229" t="str">
            <v>PJ25100253</v>
          </cell>
          <cell r="C229">
            <v>224</v>
          </cell>
          <cell r="D229" t="str">
            <v>Brinquedo modelo A-08 Dupla Escalada.</v>
          </cell>
          <cell r="E229" t="str">
            <v xml:space="preserve"> un</v>
          </cell>
          <cell r="F229">
            <v>1730.38</v>
          </cell>
          <cell r="G229">
            <v>5</v>
          </cell>
        </row>
        <row r="230">
          <cell r="B230" t="str">
            <v>PJ25100350</v>
          </cell>
          <cell r="C230">
            <v>225</v>
          </cell>
          <cell r="D230" t="str">
            <v>Casa do Tarzan, referência M-45, conforme o modelo.</v>
          </cell>
          <cell r="E230" t="str">
            <v xml:space="preserve"> un</v>
          </cell>
          <cell r="F230">
            <v>2911.25</v>
          </cell>
          <cell r="G230">
            <v>1</v>
          </cell>
        </row>
        <row r="231">
          <cell r="B231" t="str">
            <v>PJ25100600</v>
          </cell>
          <cell r="C231">
            <v>226</v>
          </cell>
          <cell r="D231" t="str">
            <v>Etapa 8, conforme o modelo Pactaplayground.</v>
          </cell>
          <cell r="E231" t="str">
            <v xml:space="preserve"> un</v>
          </cell>
          <cell r="F231">
            <v>263.37</v>
          </cell>
          <cell r="G231">
            <v>1</v>
          </cell>
        </row>
        <row r="232">
          <cell r="B232" t="str">
            <v>PJ25101000</v>
          </cell>
          <cell r="C232">
            <v>227</v>
          </cell>
          <cell r="D232" t="str">
            <v>Prancha para abdominal, em madeira de Lei.</v>
          </cell>
          <cell r="E232" t="str">
            <v xml:space="preserve"> un</v>
          </cell>
          <cell r="F232">
            <v>288.86</v>
          </cell>
          <cell r="G232">
            <v>2</v>
          </cell>
        </row>
        <row r="233">
          <cell r="B233" t="str">
            <v>PJ15050153</v>
          </cell>
          <cell r="C233">
            <v>228</v>
          </cell>
          <cell r="D233" t="str">
            <v>Protetor de árvore em ferro de 3/8".</v>
          </cell>
          <cell r="E233" t="str">
            <v xml:space="preserve"> un</v>
          </cell>
          <cell r="F233">
            <v>40.17</v>
          </cell>
          <cell r="G233">
            <v>283</v>
          </cell>
        </row>
        <row r="234">
          <cell r="B234" t="str">
            <v>PJ20050200</v>
          </cell>
          <cell r="C234">
            <v>229</v>
          </cell>
          <cell r="D234" t="str">
            <v>Aterro com terra preta simples, para gramados.</v>
          </cell>
          <cell r="E234" t="str">
            <v>m3</v>
          </cell>
          <cell r="F234">
            <v>57.72</v>
          </cell>
          <cell r="G234">
            <v>303</v>
          </cell>
        </row>
        <row r="235">
          <cell r="B235" t="str">
            <v>PJ20050453</v>
          </cell>
          <cell r="C235">
            <v>230</v>
          </cell>
          <cell r="D235" t="str">
            <v>Irrigação de árvore e/ou palmeira com Caminhão Pipa.</v>
          </cell>
          <cell r="E235" t="str">
            <v xml:space="preserve"> un</v>
          </cell>
          <cell r="F235">
            <v>0.25</v>
          </cell>
          <cell r="G235">
            <v>303</v>
          </cell>
        </row>
        <row r="236">
          <cell r="B236" t="str">
            <v>PJ20050870</v>
          </cell>
          <cell r="C236">
            <v>231</v>
          </cell>
          <cell r="D236" t="str">
            <v xml:space="preserve">Revolvimento de solo até 20cm de profundidade.   </v>
          </cell>
          <cell r="E236" t="str">
            <v>m2</v>
          </cell>
          <cell r="F236">
            <v>0.67</v>
          </cell>
          <cell r="G236">
            <v>1000</v>
          </cell>
        </row>
        <row r="237">
          <cell r="B237" t="str">
            <v>PJ25250106</v>
          </cell>
          <cell r="C237">
            <v>232</v>
          </cell>
          <cell r="D237" t="str">
            <v>Frade metálico, em ferro fundido, modelo ciclovia.</v>
          </cell>
          <cell r="E237" t="str">
            <v xml:space="preserve"> un</v>
          </cell>
          <cell r="F237">
            <v>94.45</v>
          </cell>
          <cell r="G237">
            <v>505</v>
          </cell>
        </row>
        <row r="238">
          <cell r="B238" t="str">
            <v>PJ40050159</v>
          </cell>
          <cell r="C238">
            <v>233</v>
          </cell>
          <cell r="D238" t="str">
            <v>Remoção de espécies vegetais.</v>
          </cell>
          <cell r="E238" t="str">
            <v xml:space="preserve"> un</v>
          </cell>
          <cell r="F238">
            <v>207.92</v>
          </cell>
          <cell r="G238">
            <v>35</v>
          </cell>
        </row>
        <row r="239">
          <cell r="B239" t="str">
            <v>IP05100300</v>
          </cell>
          <cell r="C239">
            <v>234</v>
          </cell>
          <cell r="D239" t="str">
            <v>Poste de aço, reto, cônico contínuo de 4,5m.</v>
          </cell>
          <cell r="E239" t="str">
            <v xml:space="preserve"> un</v>
          </cell>
          <cell r="F239">
            <v>199.5</v>
          </cell>
          <cell r="G239">
            <v>70</v>
          </cell>
        </row>
        <row r="240">
          <cell r="B240" t="str">
            <v>IP05100553</v>
          </cell>
          <cell r="C240">
            <v>235</v>
          </cell>
          <cell r="D240" t="str">
            <v>Poste de aço, reto, de 7m.</v>
          </cell>
          <cell r="E240" t="str">
            <v xml:space="preserve"> un</v>
          </cell>
          <cell r="F240">
            <v>4336.38</v>
          </cell>
          <cell r="G240">
            <v>10</v>
          </cell>
        </row>
        <row r="241">
          <cell r="B241" t="str">
            <v>IP05100556</v>
          </cell>
          <cell r="C241">
            <v>236</v>
          </cell>
          <cell r="D241" t="str">
            <v>Poste de aço, reto, de 7m.</v>
          </cell>
          <cell r="E241" t="str">
            <v xml:space="preserve"> un</v>
          </cell>
          <cell r="F241">
            <v>4127</v>
          </cell>
          <cell r="G241">
            <v>20</v>
          </cell>
        </row>
        <row r="242">
          <cell r="B242" t="str">
            <v>IP05100562</v>
          </cell>
          <cell r="C242">
            <v>237</v>
          </cell>
          <cell r="D242" t="str">
            <v>Poste de aço, reto, de 7m.</v>
          </cell>
          <cell r="E242" t="str">
            <v xml:space="preserve"> un</v>
          </cell>
          <cell r="F242">
            <v>3360</v>
          </cell>
          <cell r="G242">
            <v>40</v>
          </cell>
        </row>
        <row r="243">
          <cell r="B243" t="str">
            <v>IP10300506</v>
          </cell>
          <cell r="C243">
            <v>238</v>
          </cell>
          <cell r="D243" t="str">
            <v>Conector tipo cunha, em liga de cobre estanhado.</v>
          </cell>
          <cell r="E243" t="str">
            <v xml:space="preserve"> un</v>
          </cell>
          <cell r="F243">
            <v>6.55</v>
          </cell>
          <cell r="G243">
            <v>32</v>
          </cell>
        </row>
        <row r="244">
          <cell r="B244" t="str">
            <v>IP15250100</v>
          </cell>
          <cell r="C244">
            <v>239</v>
          </cell>
          <cell r="D244" t="str">
            <v xml:space="preserve">Cabo de cobre nu, seção de 16mm2.  Fornecimento.  </v>
          </cell>
          <cell r="E244" t="str">
            <v>kg</v>
          </cell>
          <cell r="F244">
            <v>11.42</v>
          </cell>
          <cell r="G244">
            <v>140</v>
          </cell>
        </row>
        <row r="245">
          <cell r="B245" t="str">
            <v>IP15250109</v>
          </cell>
          <cell r="C245">
            <v>240</v>
          </cell>
          <cell r="D245" t="str">
            <v xml:space="preserve">Cabo de cobre nu, seção de 25mm2.  Fornecimento. </v>
          </cell>
          <cell r="E245" t="str">
            <v>kg</v>
          </cell>
          <cell r="F245">
            <v>11.42</v>
          </cell>
          <cell r="G245">
            <v>141.69999999999999</v>
          </cell>
        </row>
        <row r="246">
          <cell r="B246" t="str">
            <v>IP15300053</v>
          </cell>
          <cell r="C246">
            <v>241</v>
          </cell>
          <cell r="D246" t="str">
            <v>Cabo de cobre flexível, 750V, seção de 2x1,5mm2.</v>
          </cell>
          <cell r="E246" t="str">
            <v>m</v>
          </cell>
          <cell r="F246">
            <v>0.88</v>
          </cell>
          <cell r="G246">
            <v>2158</v>
          </cell>
        </row>
        <row r="247">
          <cell r="B247" t="str">
            <v>IP15300062</v>
          </cell>
          <cell r="C247">
            <v>242</v>
          </cell>
          <cell r="D247" t="str">
            <v>Cabo de cobre flexível, 750V, seção de 3x1,5mm2.</v>
          </cell>
          <cell r="E247" t="str">
            <v xml:space="preserve"> un</v>
          </cell>
          <cell r="F247">
            <v>4.62</v>
          </cell>
          <cell r="G247">
            <v>2158</v>
          </cell>
        </row>
        <row r="248">
          <cell r="B248" t="str">
            <v>IP15350350</v>
          </cell>
          <cell r="C248">
            <v>243</v>
          </cell>
          <cell r="D248" t="str">
            <v>Cabo de cobre rígido, seção de 10mm2, 1Kv,  XLPE.</v>
          </cell>
          <cell r="E248" t="str">
            <v>m</v>
          </cell>
          <cell r="F248">
            <v>2.2599999999999998</v>
          </cell>
          <cell r="G248">
            <v>5100</v>
          </cell>
        </row>
        <row r="249">
          <cell r="B249" t="str">
            <v>IP15350456</v>
          </cell>
          <cell r="C249">
            <v>244</v>
          </cell>
          <cell r="D249" t="str">
            <v>Cabo de cobre rígido, seção de 25mm2, 1Kv, XLPE.</v>
          </cell>
          <cell r="E249" t="str">
            <v>m</v>
          </cell>
          <cell r="F249">
            <v>4.4400000000000004</v>
          </cell>
          <cell r="G249">
            <v>144</v>
          </cell>
        </row>
        <row r="250">
          <cell r="B250" t="str">
            <v>IP15350556</v>
          </cell>
          <cell r="C250">
            <v>245</v>
          </cell>
          <cell r="D250" t="str">
            <v>Cabo de cobre rígido, seção de 50mm2, 1Kv, XLPE.</v>
          </cell>
          <cell r="E250" t="str">
            <v>m</v>
          </cell>
          <cell r="F250">
            <v>23.38</v>
          </cell>
          <cell r="G250">
            <v>1870</v>
          </cell>
        </row>
        <row r="251">
          <cell r="B251" t="str">
            <v>IP15450106</v>
          </cell>
          <cell r="C251">
            <v>246</v>
          </cell>
          <cell r="D251" t="str">
            <v>Colocação de 3 condutores singelos em linha de dutos.</v>
          </cell>
          <cell r="E251" t="str">
            <v>m</v>
          </cell>
          <cell r="F251">
            <v>1.42</v>
          </cell>
          <cell r="G251">
            <v>940</v>
          </cell>
        </row>
        <row r="252">
          <cell r="B252" t="str">
            <v>IP15450109</v>
          </cell>
          <cell r="C252">
            <v>247</v>
          </cell>
          <cell r="D252" t="str">
            <v>Colocação de 4 condutores singelos em linha de dutos.</v>
          </cell>
          <cell r="E252" t="str">
            <v>m</v>
          </cell>
          <cell r="F252">
            <v>1.96</v>
          </cell>
          <cell r="G252">
            <v>6180</v>
          </cell>
        </row>
        <row r="253">
          <cell r="B253" t="str">
            <v>IP35150050</v>
          </cell>
          <cell r="C253">
            <v>248</v>
          </cell>
          <cell r="D253" t="str">
            <v>Comando em grupo CRJ-04 ou similar, 85A.</v>
          </cell>
          <cell r="E253" t="str">
            <v xml:space="preserve"> un</v>
          </cell>
          <cell r="F253">
            <v>1984.4</v>
          </cell>
          <cell r="G253">
            <v>2</v>
          </cell>
        </row>
        <row r="254">
          <cell r="B254" t="str">
            <v>IP35150400</v>
          </cell>
          <cell r="C254">
            <v>249</v>
          </cell>
          <cell r="D254" t="str">
            <v>Comando para IP, caixa trifásico, capacidade de 45A.</v>
          </cell>
          <cell r="E254" t="str">
            <v xml:space="preserve"> un</v>
          </cell>
          <cell r="F254">
            <v>1238</v>
          </cell>
          <cell r="G254">
            <v>6</v>
          </cell>
        </row>
        <row r="255">
          <cell r="B255" t="str">
            <v>IP40050100</v>
          </cell>
          <cell r="C255">
            <v>250</v>
          </cell>
          <cell r="D255" t="str">
            <v>Chave blindada, bipolar, 60A. Fornecimento.</v>
          </cell>
          <cell r="E255" t="str">
            <v xml:space="preserve"> un</v>
          </cell>
          <cell r="F255">
            <v>127</v>
          </cell>
          <cell r="G255">
            <v>10</v>
          </cell>
        </row>
        <row r="256">
          <cell r="B256" t="str">
            <v>IP50300850</v>
          </cell>
          <cell r="C256">
            <v>251</v>
          </cell>
          <cell r="D256" t="str">
            <v>Reator subterrâneo para lâmpada de VS de 400W.</v>
          </cell>
          <cell r="E256" t="str">
            <v xml:space="preserve"> un</v>
          </cell>
          <cell r="F256">
            <v>79.099999999999994</v>
          </cell>
          <cell r="G256">
            <v>198</v>
          </cell>
        </row>
        <row r="257">
          <cell r="B257" t="str">
            <v>IP10350400</v>
          </cell>
          <cell r="C257">
            <v>252</v>
          </cell>
          <cell r="D257" t="str">
            <v>Caixa de ligação tipo Condulets R-15/LB-22.</v>
          </cell>
          <cell r="E257" t="str">
            <v xml:space="preserve"> un</v>
          </cell>
          <cell r="F257">
            <v>7.62</v>
          </cell>
          <cell r="G257">
            <v>40</v>
          </cell>
        </row>
        <row r="258">
          <cell r="B258" t="str">
            <v>IP20050050</v>
          </cell>
          <cell r="C258">
            <v>253</v>
          </cell>
          <cell r="D258" t="str">
            <v xml:space="preserve">Aterramento de caixa Hand-Hole. </v>
          </cell>
          <cell r="E258" t="str">
            <v xml:space="preserve"> un</v>
          </cell>
          <cell r="F258">
            <v>10.34</v>
          </cell>
          <cell r="G258">
            <v>140</v>
          </cell>
        </row>
        <row r="259">
          <cell r="B259" t="str">
            <v>IP25100153</v>
          </cell>
          <cell r="C259">
            <v>254</v>
          </cell>
          <cell r="D259" t="str">
            <v>Caixa Hand-Hole, (0,60x0,60)m.</v>
          </cell>
          <cell r="E259" t="str">
            <v xml:space="preserve"> un</v>
          </cell>
          <cell r="F259">
            <v>80.78</v>
          </cell>
          <cell r="G259">
            <v>140</v>
          </cell>
        </row>
        <row r="260">
          <cell r="B260" t="str">
            <v>IP25100165</v>
          </cell>
          <cell r="C260">
            <v>255</v>
          </cell>
          <cell r="D260" t="str">
            <v>Caixa Hand-Hole, (0,60x0,90)m.</v>
          </cell>
          <cell r="E260" t="str">
            <v xml:space="preserve"> un</v>
          </cell>
          <cell r="F260">
            <v>111.4</v>
          </cell>
          <cell r="G260">
            <v>20</v>
          </cell>
        </row>
        <row r="261">
          <cell r="B261" t="str">
            <v>IP50100200</v>
          </cell>
          <cell r="C261">
            <v>256</v>
          </cell>
          <cell r="D261" t="str">
            <v>Luminária decorativa LDRJ-06 para lâmpada VS.</v>
          </cell>
          <cell r="E261" t="str">
            <v xml:space="preserve"> un</v>
          </cell>
          <cell r="F261">
            <v>362.07</v>
          </cell>
          <cell r="G261">
            <v>360</v>
          </cell>
        </row>
        <row r="262">
          <cell r="B262" t="str">
            <v>IP50100250</v>
          </cell>
          <cell r="C262">
            <v>257</v>
          </cell>
          <cell r="D262" t="str">
            <v>Luminária decorativa tipo LDRJ-16/2.</v>
          </cell>
          <cell r="E262" t="str">
            <v xml:space="preserve"> un</v>
          </cell>
          <cell r="F262">
            <v>249.69</v>
          </cell>
          <cell r="G262">
            <v>280</v>
          </cell>
        </row>
        <row r="263">
          <cell r="B263" t="str">
            <v>IP50200050</v>
          </cell>
          <cell r="C263">
            <v>258</v>
          </cell>
          <cell r="D263" t="str">
            <v>Base simples para luminária LDRJ-06.</v>
          </cell>
          <cell r="E263" t="str">
            <v xml:space="preserve"> un</v>
          </cell>
          <cell r="F263">
            <v>40</v>
          </cell>
          <cell r="G263">
            <v>280</v>
          </cell>
        </row>
        <row r="264">
          <cell r="B264" t="str">
            <v>IP50250406</v>
          </cell>
          <cell r="C264">
            <v>259</v>
          </cell>
          <cell r="D264" t="str">
            <v>Lâmpada de multivapor metálico (MVM) 70W/220V.</v>
          </cell>
          <cell r="E264" t="str">
            <v xml:space="preserve"> un</v>
          </cell>
          <cell r="F264">
            <v>73.77</v>
          </cell>
          <cell r="G264">
            <v>80</v>
          </cell>
        </row>
        <row r="265">
          <cell r="B265" t="str">
            <v>IP50250412</v>
          </cell>
          <cell r="C265">
            <v>260</v>
          </cell>
          <cell r="D265" t="str">
            <v>Lâmpada de multivapor metálico (MVM) 150W/220V.</v>
          </cell>
          <cell r="E265" t="str">
            <v xml:space="preserve"> un</v>
          </cell>
          <cell r="F265">
            <v>163.22999999999999</v>
          </cell>
          <cell r="G265">
            <v>20</v>
          </cell>
        </row>
        <row r="266">
          <cell r="B266" t="str">
            <v>IP05350100</v>
          </cell>
          <cell r="C266">
            <v>261</v>
          </cell>
          <cell r="D266" t="str">
            <v>Fundação simples de concreto pré-moldado,RIOLUZ.</v>
          </cell>
          <cell r="E266" t="str">
            <v xml:space="preserve"> un</v>
          </cell>
          <cell r="F266">
            <v>55.26</v>
          </cell>
          <cell r="G266">
            <v>70</v>
          </cell>
        </row>
        <row r="267">
          <cell r="B267" t="str">
            <v>IP05350150</v>
          </cell>
          <cell r="C267">
            <v>262</v>
          </cell>
          <cell r="D267" t="str">
            <v>Fundação simples de concreto pré-moldado,RIOLUZ.</v>
          </cell>
          <cell r="E267" t="str">
            <v xml:space="preserve"> un</v>
          </cell>
          <cell r="F267">
            <v>61.7</v>
          </cell>
          <cell r="G267">
            <v>70</v>
          </cell>
        </row>
        <row r="268">
          <cell r="B268" t="str">
            <v>IP05550150</v>
          </cell>
          <cell r="C268">
            <v>263</v>
          </cell>
          <cell r="D268" t="str">
            <v>Braço, padrão RIOLUZ, de 1,5m até 2,50m.</v>
          </cell>
          <cell r="E268" t="str">
            <v xml:space="preserve"> un</v>
          </cell>
          <cell r="F268">
            <v>47.7</v>
          </cell>
          <cell r="G268">
            <v>280</v>
          </cell>
        </row>
        <row r="269">
          <cell r="B269" t="str">
            <v>IP15200050</v>
          </cell>
          <cell r="C269">
            <v>264</v>
          </cell>
          <cell r="D269" t="str">
            <v>Mufla, 12/20Kv, referência terminal modular TM.</v>
          </cell>
          <cell r="E269" t="str">
            <v xml:space="preserve"> un</v>
          </cell>
          <cell r="F269">
            <v>173.71</v>
          </cell>
          <cell r="G269">
            <v>40</v>
          </cell>
        </row>
        <row r="270">
          <cell r="B270" t="str">
            <v>IP15500100</v>
          </cell>
          <cell r="C270">
            <v>265</v>
          </cell>
          <cell r="D270" t="str">
            <v>Anilha de nylon para identificação de condutor XLPE.</v>
          </cell>
          <cell r="E270" t="str">
            <v xml:space="preserve"> un</v>
          </cell>
          <cell r="F270">
            <v>0.02</v>
          </cell>
          <cell r="G270">
            <v>324</v>
          </cell>
        </row>
        <row r="271">
          <cell r="B271" t="str">
            <v>IP15500150</v>
          </cell>
          <cell r="C271">
            <v>266</v>
          </cell>
          <cell r="D271" t="str">
            <v>Anilha de nylon para identificação de condutor XLPE.</v>
          </cell>
          <cell r="E271" t="str">
            <v xml:space="preserve"> un</v>
          </cell>
          <cell r="F271">
            <v>0.03</v>
          </cell>
          <cell r="G271">
            <v>324</v>
          </cell>
        </row>
        <row r="272">
          <cell r="B272" t="str">
            <v>IP20050053</v>
          </cell>
          <cell r="C272">
            <v>267</v>
          </cell>
          <cell r="D272" t="str">
            <v>Aterramento de poste de aço.</v>
          </cell>
          <cell r="E272" t="str">
            <v xml:space="preserve"> un</v>
          </cell>
          <cell r="F272">
            <v>18.57</v>
          </cell>
          <cell r="G272">
            <v>140</v>
          </cell>
        </row>
        <row r="273">
          <cell r="B273" t="str">
            <v>IP20050056</v>
          </cell>
          <cell r="C273">
            <v>268</v>
          </cell>
          <cell r="D273" t="str">
            <v>Aterramento de tampão.</v>
          </cell>
          <cell r="E273" t="str">
            <v xml:space="preserve"> un</v>
          </cell>
          <cell r="F273">
            <v>28.47</v>
          </cell>
          <cell r="G273">
            <v>140</v>
          </cell>
        </row>
        <row r="274">
          <cell r="B274" t="str">
            <v>IP20050153</v>
          </cell>
          <cell r="C274">
            <v>269</v>
          </cell>
          <cell r="D274" t="str">
            <v>Conjunto de aterramento de transformador.</v>
          </cell>
          <cell r="E274" t="str">
            <v xml:space="preserve"> un</v>
          </cell>
          <cell r="F274">
            <v>176.69</v>
          </cell>
          <cell r="G274">
            <v>53</v>
          </cell>
        </row>
        <row r="275">
          <cell r="B275" t="str">
            <v>IP30200509</v>
          </cell>
          <cell r="C275">
            <v>270</v>
          </cell>
          <cell r="D275" t="str">
            <v>Luva para eletroduto de PVC rígido de 50mm.</v>
          </cell>
          <cell r="E275" t="str">
            <v xml:space="preserve"> un</v>
          </cell>
          <cell r="F275">
            <v>3.43</v>
          </cell>
          <cell r="G275">
            <v>40</v>
          </cell>
        </row>
        <row r="276">
          <cell r="B276" t="str">
            <v>IP50300700</v>
          </cell>
          <cell r="C276">
            <v>271</v>
          </cell>
          <cell r="D276" t="str">
            <v>Reator subterrâneo lâmpada vapor de sódio de 70W.</v>
          </cell>
          <cell r="E276" t="str">
            <v xml:space="preserve"> un</v>
          </cell>
          <cell r="F276">
            <v>40.54</v>
          </cell>
          <cell r="G276">
            <v>200</v>
          </cell>
        </row>
        <row r="277">
          <cell r="B277" t="str">
            <v>IP50300750</v>
          </cell>
          <cell r="C277">
            <v>272</v>
          </cell>
          <cell r="D277" t="str">
            <v>Reator subterrâneo lâmpada vapor de sódio de 150W.</v>
          </cell>
          <cell r="E277" t="str">
            <v xml:space="preserve"> un</v>
          </cell>
          <cell r="F277">
            <v>74.319999999999993</v>
          </cell>
          <cell r="G277">
            <v>26</v>
          </cell>
        </row>
        <row r="278">
          <cell r="B278" t="str">
            <v>IP60200200</v>
          </cell>
          <cell r="C278">
            <v>273</v>
          </cell>
          <cell r="D278" t="str">
            <v xml:space="preserve">Retirada de chaves fusíveis e ferragens, linha 13,2Kv.   </v>
          </cell>
          <cell r="E278" t="str">
            <v xml:space="preserve"> un</v>
          </cell>
          <cell r="F278">
            <v>9.76</v>
          </cell>
          <cell r="G278">
            <v>100</v>
          </cell>
        </row>
        <row r="279">
          <cell r="B279" t="str">
            <v>IP60200362</v>
          </cell>
          <cell r="C279">
            <v>274</v>
          </cell>
          <cell r="D279" t="str">
            <v>Retirada de luminária em poste com 13m a 15m.</v>
          </cell>
          <cell r="E279" t="str">
            <v xml:space="preserve"> un</v>
          </cell>
          <cell r="F279">
            <v>9.76</v>
          </cell>
          <cell r="G279">
            <v>118</v>
          </cell>
        </row>
        <row r="280">
          <cell r="B280" t="str">
            <v>IP60200512</v>
          </cell>
          <cell r="C280">
            <v>275</v>
          </cell>
          <cell r="D280" t="str">
            <v xml:space="preserve">Retirada de poste de concreto ou aço de 13m a 15m.   </v>
          </cell>
          <cell r="E280" t="str">
            <v xml:space="preserve"> un</v>
          </cell>
          <cell r="F280">
            <v>97.64</v>
          </cell>
          <cell r="G280">
            <v>108</v>
          </cell>
        </row>
        <row r="281">
          <cell r="B281" t="str">
            <v>IP60200650</v>
          </cell>
          <cell r="C281">
            <v>276</v>
          </cell>
          <cell r="D281" t="str">
            <v xml:space="preserve">Retirada de rede aérea de 13,2Kv (lance).   </v>
          </cell>
          <cell r="E281" t="str">
            <v xml:space="preserve"> un</v>
          </cell>
          <cell r="F281">
            <v>19.53</v>
          </cell>
          <cell r="G281">
            <v>94</v>
          </cell>
        </row>
        <row r="282">
          <cell r="B282" t="str">
            <v>IP60200800</v>
          </cell>
          <cell r="C282">
            <v>277</v>
          </cell>
          <cell r="D282" t="str">
            <v xml:space="preserve">Retirada de transformadores de 5Kva até 112,5Kva.   </v>
          </cell>
          <cell r="E282" t="str">
            <v xml:space="preserve"> un</v>
          </cell>
          <cell r="F282">
            <v>39.06</v>
          </cell>
          <cell r="G282">
            <v>2</v>
          </cell>
        </row>
        <row r="283">
          <cell r="B283" t="str">
            <v>IP99990150</v>
          </cell>
          <cell r="C283">
            <v>278</v>
          </cell>
          <cell r="D283" t="str">
            <v>Capa isolante de silicone para conector tipo cunha.</v>
          </cell>
          <cell r="E283" t="str">
            <v xml:space="preserve"> un</v>
          </cell>
          <cell r="F283">
            <v>3.68</v>
          </cell>
          <cell r="G283">
            <v>1475</v>
          </cell>
        </row>
        <row r="284">
          <cell r="B284" t="str">
            <v>ST05051200</v>
          </cell>
          <cell r="C284">
            <v>279</v>
          </cell>
          <cell r="D284" t="str">
            <v>Sinalização horizontal, aplicada por extursão.</v>
          </cell>
          <cell r="E284" t="str">
            <v>m2</v>
          </cell>
          <cell r="F284">
            <v>37.81</v>
          </cell>
          <cell r="G284">
            <v>1000</v>
          </cell>
        </row>
        <row r="285">
          <cell r="B285" t="str">
            <v>ST10150050</v>
          </cell>
          <cell r="C285">
            <v>280</v>
          </cell>
          <cell r="D285" t="str">
            <v>Bloco semafórico para pedestre.</v>
          </cell>
          <cell r="E285" t="str">
            <v xml:space="preserve"> un</v>
          </cell>
          <cell r="F285">
            <v>224.25</v>
          </cell>
          <cell r="G285">
            <v>60</v>
          </cell>
        </row>
        <row r="286">
          <cell r="B286" t="str">
            <v>ST10150150</v>
          </cell>
          <cell r="C286">
            <v>281</v>
          </cell>
          <cell r="D286" t="str">
            <v>Bloco semafórico principal.</v>
          </cell>
          <cell r="E286" t="str">
            <v xml:space="preserve"> un</v>
          </cell>
          <cell r="F286">
            <v>691.39</v>
          </cell>
          <cell r="G286">
            <v>48</v>
          </cell>
        </row>
        <row r="287">
          <cell r="B287" t="str">
            <v>ST10150200</v>
          </cell>
          <cell r="C287">
            <v>282</v>
          </cell>
          <cell r="D287" t="str">
            <v>Bloco semafórico repetidor.</v>
          </cell>
          <cell r="E287" t="str">
            <v xml:space="preserve"> un</v>
          </cell>
          <cell r="F287">
            <v>423</v>
          </cell>
          <cell r="G287">
            <v>65</v>
          </cell>
        </row>
        <row r="288">
          <cell r="B288" t="str">
            <v>ST10150300</v>
          </cell>
          <cell r="C288">
            <v>283</v>
          </cell>
          <cell r="D288" t="str">
            <v>Conjunto semafórico para pedestre.</v>
          </cell>
          <cell r="E288" t="str">
            <v xml:space="preserve"> un</v>
          </cell>
          <cell r="F288">
            <v>1779.7</v>
          </cell>
          <cell r="G288">
            <v>20</v>
          </cell>
        </row>
        <row r="289">
          <cell r="B289" t="str">
            <v>ST15250100</v>
          </cell>
          <cell r="C289">
            <v>284</v>
          </cell>
          <cell r="D289" t="str">
            <v>Placa de sinalização de alumínio com fundo pintado.</v>
          </cell>
          <cell r="E289" t="str">
            <v>m2</v>
          </cell>
          <cell r="F289">
            <v>239</v>
          </cell>
          <cell r="G289">
            <v>30</v>
          </cell>
        </row>
        <row r="290">
          <cell r="B290" t="str">
            <v>ST15250150</v>
          </cell>
          <cell r="C290">
            <v>285</v>
          </cell>
          <cell r="D290" t="str">
            <v>Placa de sinalização de alumínio em película refletiva.</v>
          </cell>
          <cell r="E290" t="str">
            <v>m2</v>
          </cell>
          <cell r="F290">
            <v>1013.69</v>
          </cell>
          <cell r="G290">
            <v>60</v>
          </cell>
        </row>
        <row r="291">
          <cell r="B291" t="str">
            <v>ST15250200</v>
          </cell>
          <cell r="C291">
            <v>286</v>
          </cell>
          <cell r="D291" t="str">
            <v>Placa de sinalização de alumínio em película refletiva.</v>
          </cell>
          <cell r="E291" t="str">
            <v>m2</v>
          </cell>
          <cell r="F291">
            <v>564.05999999999995</v>
          </cell>
          <cell r="G291">
            <v>400</v>
          </cell>
        </row>
        <row r="292">
          <cell r="B292" t="str">
            <v>ST10100050</v>
          </cell>
          <cell r="C292">
            <v>287</v>
          </cell>
          <cell r="D292" t="str">
            <v>Controlador de área, compatível com CET-RIO/CTA.</v>
          </cell>
          <cell r="E292" t="str">
            <v xml:space="preserve"> un</v>
          </cell>
          <cell r="F292">
            <v>53682.42</v>
          </cell>
          <cell r="G292">
            <v>1</v>
          </cell>
        </row>
        <row r="293">
          <cell r="B293" t="str">
            <v>ST10100450</v>
          </cell>
          <cell r="C293">
            <v>288</v>
          </cell>
          <cell r="D293" t="str">
            <v>Controlador eletrônico de tráfego local, 4 fases.</v>
          </cell>
          <cell r="E293" t="str">
            <v xml:space="preserve"> un</v>
          </cell>
          <cell r="F293">
            <v>8268.98</v>
          </cell>
          <cell r="G293">
            <v>2</v>
          </cell>
        </row>
        <row r="294">
          <cell r="B294" t="str">
            <v>ST10100500</v>
          </cell>
          <cell r="C294">
            <v>289</v>
          </cell>
          <cell r="D294" t="str">
            <v>Controlador eletrônico de tráfego local, 6 fases.</v>
          </cell>
          <cell r="E294" t="str">
            <v xml:space="preserve"> un</v>
          </cell>
          <cell r="F294">
            <v>9048.98</v>
          </cell>
          <cell r="G294">
            <v>1</v>
          </cell>
        </row>
        <row r="295">
          <cell r="B295" t="str">
            <v>ST10100550</v>
          </cell>
          <cell r="C295">
            <v>290</v>
          </cell>
          <cell r="D295" t="str">
            <v>Controlador eletrônico de tráfego local, 8 fases.</v>
          </cell>
          <cell r="E295" t="str">
            <v xml:space="preserve"> un</v>
          </cell>
          <cell r="F295">
            <v>9828.98</v>
          </cell>
          <cell r="G295">
            <v>1</v>
          </cell>
        </row>
        <row r="296">
          <cell r="B296" t="str">
            <v>ST10100600</v>
          </cell>
          <cell r="C296">
            <v>291</v>
          </cell>
          <cell r="D296" t="str">
            <v>Controlador eletrônico de tráfego local, 10 fases.</v>
          </cell>
          <cell r="E296" t="str">
            <v xml:space="preserve"> un</v>
          </cell>
          <cell r="F296">
            <v>15372.94</v>
          </cell>
          <cell r="G296">
            <v>1</v>
          </cell>
        </row>
        <row r="297">
          <cell r="B297" t="str">
            <v>ST10100650</v>
          </cell>
          <cell r="C297">
            <v>292</v>
          </cell>
          <cell r="D297" t="str">
            <v>Controlador eletrônico de tráfego local, 12 fases.</v>
          </cell>
          <cell r="E297" t="str">
            <v xml:space="preserve"> un</v>
          </cell>
          <cell r="F297">
            <v>16152.94</v>
          </cell>
          <cell r="G297">
            <v>2</v>
          </cell>
        </row>
        <row r="298">
          <cell r="B298" t="str">
            <v>ST10150300</v>
          </cell>
          <cell r="C298">
            <v>293</v>
          </cell>
          <cell r="D298" t="str">
            <v>Conjunto semafórico para pedestre.</v>
          </cell>
          <cell r="E298" t="str">
            <v xml:space="preserve"> un</v>
          </cell>
          <cell r="F298">
            <v>1779.7</v>
          </cell>
          <cell r="G298">
            <v>20</v>
          </cell>
        </row>
        <row r="299">
          <cell r="B299" t="str">
            <v>ST25100150</v>
          </cell>
          <cell r="C299">
            <v>294</v>
          </cell>
          <cell r="D299" t="str">
            <v>Fornecimento de cabo comunicação de CTP-APL-50.</v>
          </cell>
          <cell r="E299" t="str">
            <v>m</v>
          </cell>
          <cell r="F299">
            <v>2.64</v>
          </cell>
          <cell r="G299">
            <v>220</v>
          </cell>
        </row>
        <row r="300">
          <cell r="B300" t="str">
            <v>ST25100300</v>
          </cell>
          <cell r="C300">
            <v>295</v>
          </cell>
          <cell r="D300" t="str">
            <v>Fornecimento de cabo comunicação de cobre, 0,65mm2.</v>
          </cell>
          <cell r="E300" t="str">
            <v>m</v>
          </cell>
          <cell r="F300">
            <v>0.97</v>
          </cell>
          <cell r="G300">
            <v>1215</v>
          </cell>
        </row>
        <row r="301">
          <cell r="B301" t="str">
            <v>ST25100400</v>
          </cell>
          <cell r="C301">
            <v>296</v>
          </cell>
          <cell r="D301" t="str">
            <v xml:space="preserve">Fornecimento de fio telefônico FE-100, ø de 1mm2.      </v>
          </cell>
          <cell r="E301" t="str">
            <v>m</v>
          </cell>
          <cell r="F301">
            <v>0.57999999999999996</v>
          </cell>
          <cell r="G301">
            <v>4618</v>
          </cell>
        </row>
        <row r="302">
          <cell r="B302" t="str">
            <v>ST25150050</v>
          </cell>
          <cell r="C302">
            <v>297</v>
          </cell>
          <cell r="D302" t="str">
            <v>Cabo de fibra ótico, monomodo, geleado.</v>
          </cell>
          <cell r="E302" t="str">
            <v>m</v>
          </cell>
          <cell r="F302">
            <v>3.99</v>
          </cell>
          <cell r="G302">
            <v>972</v>
          </cell>
        </row>
        <row r="303">
          <cell r="B303" t="str">
            <v>ST05050150</v>
          </cell>
          <cell r="C303">
            <v>298</v>
          </cell>
          <cell r="D303" t="str">
            <v>Laminado elastoplástico em faixas, colorido.</v>
          </cell>
          <cell r="E303" t="str">
            <v>m2</v>
          </cell>
          <cell r="F303">
            <v>67.95</v>
          </cell>
          <cell r="G303">
            <v>254</v>
          </cell>
        </row>
        <row r="304">
          <cell r="B304" t="str">
            <v>ST05050250</v>
          </cell>
          <cell r="C304">
            <v>299</v>
          </cell>
          <cell r="D304" t="str">
            <v>Laminado elastoplástico em faixas, cor branca.</v>
          </cell>
          <cell r="E304" t="str">
            <v>m2</v>
          </cell>
          <cell r="F304">
            <v>60.65</v>
          </cell>
          <cell r="G304">
            <v>254</v>
          </cell>
        </row>
        <row r="305">
          <cell r="B305" t="str">
            <v>ST10050050A</v>
          </cell>
          <cell r="C305">
            <v>300</v>
          </cell>
          <cell r="D305" t="str">
            <v>Cabo de cobre estanhado, seção de 7x2,5mm2.</v>
          </cell>
          <cell r="E305" t="str">
            <v>m</v>
          </cell>
          <cell r="F305">
            <v>4.8499999999999996</v>
          </cell>
          <cell r="G305">
            <v>1000</v>
          </cell>
        </row>
        <row r="306">
          <cell r="B306" t="str">
            <v>ST10050100A</v>
          </cell>
          <cell r="C306">
            <v>301</v>
          </cell>
          <cell r="D306" t="str">
            <v>Cabo de cobre estanhado, seção de 4x6mm2.</v>
          </cell>
          <cell r="E306" t="str">
            <v>m</v>
          </cell>
          <cell r="F306">
            <v>5.64</v>
          </cell>
          <cell r="G306">
            <v>400</v>
          </cell>
        </row>
        <row r="307">
          <cell r="B307" t="str">
            <v>ST10050150A</v>
          </cell>
          <cell r="C307">
            <v>302</v>
          </cell>
          <cell r="D307" t="str">
            <v>Cabo de cobre estanhado, seção de 4x10mm2.</v>
          </cell>
          <cell r="E307" t="str">
            <v>m</v>
          </cell>
          <cell r="F307">
            <v>8.77</v>
          </cell>
          <cell r="G307">
            <v>240</v>
          </cell>
        </row>
        <row r="308">
          <cell r="B308" t="str">
            <v>ST10050250A</v>
          </cell>
          <cell r="C308">
            <v>303</v>
          </cell>
          <cell r="D308" t="str">
            <v>Caixa com tampa de ferro leve 300L-400mm,CET-RIO.</v>
          </cell>
          <cell r="E308" t="str">
            <v>un</v>
          </cell>
          <cell r="F308">
            <v>72.06</v>
          </cell>
          <cell r="G308">
            <v>48</v>
          </cell>
        </row>
        <row r="309">
          <cell r="B309" t="str">
            <v>ST10200150A</v>
          </cell>
          <cell r="C309">
            <v>304</v>
          </cell>
          <cell r="D309" t="str">
            <v xml:space="preserve">Base de concreto armado para controlador de tráfego.  </v>
          </cell>
          <cell r="E309" t="str">
            <v>un</v>
          </cell>
          <cell r="F309">
            <v>49.39</v>
          </cell>
          <cell r="G309">
            <v>4</v>
          </cell>
        </row>
        <row r="310">
          <cell r="B310" t="str">
            <v>ST10200250A</v>
          </cell>
          <cell r="C310">
            <v>305</v>
          </cell>
          <cell r="D310" t="str">
            <v xml:space="preserve">Instalação, programação de controlador de tráfego.    </v>
          </cell>
          <cell r="E310" t="str">
            <v>un</v>
          </cell>
          <cell r="F310">
            <v>159.88</v>
          </cell>
          <cell r="G310">
            <v>4</v>
          </cell>
        </row>
        <row r="311">
          <cell r="B311" t="str">
            <v>ST10200300</v>
          </cell>
          <cell r="C311">
            <v>306</v>
          </cell>
          <cell r="D311" t="str">
            <v>Serviços de instalação de laços indutivos.</v>
          </cell>
          <cell r="E311" t="str">
            <v>un</v>
          </cell>
          <cell r="F311">
            <v>680</v>
          </cell>
          <cell r="G311">
            <v>7</v>
          </cell>
        </row>
        <row r="312">
          <cell r="B312" t="str">
            <v>ST15100200</v>
          </cell>
          <cell r="C312">
            <v>307</v>
          </cell>
          <cell r="D312" t="str">
            <v>Poste tipo G9, simples, de 2" de diâmetro.</v>
          </cell>
          <cell r="E312" t="str">
            <v>un</v>
          </cell>
          <cell r="F312">
            <v>163.80000000000001</v>
          </cell>
          <cell r="G312">
            <v>70</v>
          </cell>
        </row>
        <row r="313">
          <cell r="B313" t="str">
            <v>ST15100250</v>
          </cell>
          <cell r="C313">
            <v>308</v>
          </cell>
          <cell r="D313" t="str">
            <v>Poste tipo S5, simples, de 4" de diâmetro.</v>
          </cell>
          <cell r="E313" t="str">
            <v>un</v>
          </cell>
          <cell r="F313">
            <v>496.65</v>
          </cell>
          <cell r="G313">
            <v>19</v>
          </cell>
        </row>
        <row r="314">
          <cell r="B314" t="str">
            <v>ST15100350</v>
          </cell>
          <cell r="C314">
            <v>309</v>
          </cell>
          <cell r="D314" t="str">
            <v>Poste tipo G2 ou S2, coluna de 4 1/2" de diâmetro.</v>
          </cell>
          <cell r="E314" t="str">
            <v>un</v>
          </cell>
          <cell r="F314">
            <v>1234.8</v>
          </cell>
          <cell r="G314">
            <v>14</v>
          </cell>
        </row>
        <row r="315">
          <cell r="B315" t="str">
            <v>ST15100400</v>
          </cell>
          <cell r="C315">
            <v>310</v>
          </cell>
          <cell r="D315" t="str">
            <v>Poste tipo G1 ou S1, coluna de 4 1/2" de diâmetro.</v>
          </cell>
          <cell r="E315" t="str">
            <v>un</v>
          </cell>
          <cell r="F315">
            <v>1342.95</v>
          </cell>
          <cell r="G315">
            <v>15</v>
          </cell>
        </row>
        <row r="316">
          <cell r="B316" t="str">
            <v>ST25050300A</v>
          </cell>
          <cell r="C316">
            <v>311</v>
          </cell>
          <cell r="D316" t="str">
            <v>Instalação subterrânea de cabos de comunicação.</v>
          </cell>
          <cell r="E316" t="str">
            <v>m</v>
          </cell>
          <cell r="F316">
            <v>2.12</v>
          </cell>
          <cell r="G316">
            <v>5700</v>
          </cell>
        </row>
        <row r="317">
          <cell r="B317" t="str">
            <v>ST45150050</v>
          </cell>
          <cell r="C317">
            <v>312</v>
          </cell>
          <cell r="D317" t="str">
            <v>Caixa com tampa de ferro,leve 600L-600mmCET-RIO.</v>
          </cell>
          <cell r="E317" t="str">
            <v>un</v>
          </cell>
          <cell r="F317">
            <v>265.45</v>
          </cell>
          <cell r="G317">
            <v>55</v>
          </cell>
        </row>
        <row r="318">
          <cell r="B318" t="str">
            <v>ST45200050</v>
          </cell>
          <cell r="C318">
            <v>313</v>
          </cell>
          <cell r="D318" t="str">
            <v>Cabo de cobre estanhado, comando,XLPE 9x1,5mm2.</v>
          </cell>
          <cell r="E318" t="str">
            <v>m</v>
          </cell>
          <cell r="F318">
            <v>4.34</v>
          </cell>
          <cell r="G318">
            <v>1800</v>
          </cell>
        </row>
        <row r="319">
          <cell r="B319" t="str">
            <v>ST45200200</v>
          </cell>
          <cell r="C319">
            <v>314</v>
          </cell>
          <cell r="D319" t="str">
            <v xml:space="preserve">Instalação e teste de blocos semafóricos.  </v>
          </cell>
          <cell r="E319" t="str">
            <v>un</v>
          </cell>
          <cell r="F319">
            <v>54.85</v>
          </cell>
          <cell r="G319">
            <v>58</v>
          </cell>
        </row>
        <row r="321">
          <cell r="B321" t="str">
            <v>ITENS INSERIDOS</v>
          </cell>
        </row>
        <row r="322">
          <cell r="B322" t="str">
            <v>BP20150053</v>
          </cell>
          <cell r="C322">
            <v>315</v>
          </cell>
          <cell r="D322" t="str">
            <v>Sarjeta e meio-fio conjugados, moldado no local, 0,45m.</v>
          </cell>
          <cell r="E322" t="str">
            <v>m</v>
          </cell>
          <cell r="F322">
            <v>37.200000000000003</v>
          </cell>
          <cell r="G322">
            <v>3640.55</v>
          </cell>
        </row>
        <row r="323">
          <cell r="B323" t="str">
            <v>BP10200356</v>
          </cell>
          <cell r="C323">
            <v>316</v>
          </cell>
          <cell r="D323" t="str">
            <v xml:space="preserve">Revestimento intertravado, cor natural, 8cm. </v>
          </cell>
          <cell r="E323" t="str">
            <v>m2</v>
          </cell>
          <cell r="F323">
            <v>38.08</v>
          </cell>
          <cell r="G323">
            <v>13265.71</v>
          </cell>
        </row>
        <row r="324">
          <cell r="B324" t="str">
            <v>BP10200359</v>
          </cell>
          <cell r="C324">
            <v>317</v>
          </cell>
          <cell r="D324" t="str">
            <v>Revestimento intertravado com cimento cinza, colorido; 8cm.</v>
          </cell>
          <cell r="E324" t="str">
            <v>m2</v>
          </cell>
          <cell r="F324">
            <v>43.85</v>
          </cell>
          <cell r="G324">
            <v>1167.57</v>
          </cell>
        </row>
        <row r="326">
          <cell r="B326" t="str">
            <v>ITENS NOVOS</v>
          </cell>
        </row>
        <row r="327">
          <cell r="B327" t="str">
            <v>AD05200050</v>
          </cell>
          <cell r="C327">
            <v>318</v>
          </cell>
          <cell r="D327" t="str">
            <v xml:space="preserve">Sondagem a percurssao ate 3" </v>
          </cell>
          <cell r="E327" t="str">
            <v>m</v>
          </cell>
          <cell r="F327">
            <v>49</v>
          </cell>
          <cell r="G327">
            <v>270</v>
          </cell>
        </row>
        <row r="328">
          <cell r="B328" t="str">
            <v>AD15050050</v>
          </cell>
          <cell r="C328">
            <v>319</v>
          </cell>
          <cell r="D328" t="str">
            <v>Deslocamento, entre furos, sondagem a percurssao.</v>
          </cell>
          <cell r="E328" t="str">
            <v>un</v>
          </cell>
          <cell r="F328">
            <v>152.19</v>
          </cell>
          <cell r="G328">
            <v>13</v>
          </cell>
        </row>
        <row r="329">
          <cell r="B329" t="str">
            <v>AD20150050</v>
          </cell>
          <cell r="C329">
            <v>320</v>
          </cell>
          <cell r="D329" t="str">
            <v>Container para escritorio.</v>
          </cell>
          <cell r="E329" t="str">
            <v>un.mes</v>
          </cell>
          <cell r="F329">
            <v>494.18</v>
          </cell>
          <cell r="G329">
            <v>6</v>
          </cell>
        </row>
        <row r="330">
          <cell r="B330" t="str">
            <v>AD20150150</v>
          </cell>
          <cell r="C330">
            <v>321</v>
          </cell>
          <cell r="D330" t="str">
            <v>Container para WC.</v>
          </cell>
          <cell r="E330" t="str">
            <v>un.mes</v>
          </cell>
          <cell r="F330">
            <v>511.48</v>
          </cell>
          <cell r="G330">
            <v>3</v>
          </cell>
        </row>
        <row r="331">
          <cell r="B331" t="str">
            <v>AD40050128</v>
          </cell>
          <cell r="C331">
            <v>322</v>
          </cell>
          <cell r="D331" t="str">
            <v>Engenheiro coordenador geral de projetos.</v>
          </cell>
          <cell r="E331" t="str">
            <v>h</v>
          </cell>
          <cell r="F331">
            <v>43.69</v>
          </cell>
          <cell r="G331">
            <v>378</v>
          </cell>
        </row>
        <row r="332">
          <cell r="B332" t="str">
            <v>AD40050152</v>
          </cell>
          <cell r="C332">
            <v>323</v>
          </cell>
          <cell r="D332" t="str">
            <v>Mestre de obra A (inclusive encargos sociais).</v>
          </cell>
          <cell r="E332" t="str">
            <v>h</v>
          </cell>
          <cell r="F332">
            <v>15.91</v>
          </cell>
          <cell r="G332">
            <v>3009</v>
          </cell>
        </row>
        <row r="333">
          <cell r="B333" t="str">
            <v>AL05250450</v>
          </cell>
          <cell r="C333">
            <v>324</v>
          </cell>
          <cell r="D333" t="str">
            <v>Alvenaria de blocos de concreto (20x20x40)cm.</v>
          </cell>
          <cell r="E333" t="str">
            <v>m2</v>
          </cell>
          <cell r="F333">
            <v>32.409999999999997</v>
          </cell>
          <cell r="G333">
            <v>732.34</v>
          </cell>
        </row>
        <row r="334">
          <cell r="B334" t="str">
            <v>BP10250303</v>
          </cell>
          <cell r="C334">
            <v>325</v>
          </cell>
          <cell r="D334" t="str">
            <v>Pavimentacao com paralelepipedos, colchao de pó.</v>
          </cell>
          <cell r="E334" t="str">
            <v>m2</v>
          </cell>
          <cell r="F334">
            <v>34.6</v>
          </cell>
          <cell r="G334">
            <v>577.88</v>
          </cell>
        </row>
        <row r="335">
          <cell r="B335" t="str">
            <v>BP20100100</v>
          </cell>
          <cell r="C335">
            <v>326</v>
          </cell>
          <cell r="D335" t="str">
            <v>Meio-fio de concreto 13,5MPa mold no local, 0,15x0,30m.</v>
          </cell>
          <cell r="E335" t="str">
            <v>m</v>
          </cell>
          <cell r="F335">
            <v>23.38</v>
          </cell>
          <cell r="G335">
            <v>277.51</v>
          </cell>
        </row>
        <row r="336">
          <cell r="B336" t="str">
            <v>DR30200053</v>
          </cell>
          <cell r="C336">
            <v>327</v>
          </cell>
          <cell r="D336" t="str">
            <v>Caixa de inspecao para esgoto sanitario 0,75m de prof.</v>
          </cell>
          <cell r="E336" t="str">
            <v>un</v>
          </cell>
          <cell r="F336">
            <v>247.46</v>
          </cell>
          <cell r="G336">
            <v>79</v>
          </cell>
        </row>
        <row r="337">
          <cell r="B337" t="str">
            <v>DR35050050</v>
          </cell>
          <cell r="C337">
            <v>328</v>
          </cell>
          <cell r="D337" t="str">
            <v>Tampao de ferro fundido artic., de 30cm,RIOLUZ/CET-RIO.</v>
          </cell>
          <cell r="E337" t="str">
            <v xml:space="preserve">un  </v>
          </cell>
          <cell r="F337">
            <v>50.48</v>
          </cell>
          <cell r="G337">
            <v>199</v>
          </cell>
        </row>
        <row r="338">
          <cell r="B338" t="str">
            <v>DR35050053</v>
          </cell>
          <cell r="C338">
            <v>329</v>
          </cell>
          <cell r="D338" t="str">
            <v>Tampao de ferro fundido leve ø0,60m padrao RIOLUZ.</v>
          </cell>
          <cell r="E338" t="str">
            <v xml:space="preserve">un  </v>
          </cell>
          <cell r="F338">
            <v>206.59</v>
          </cell>
          <cell r="G338">
            <v>14</v>
          </cell>
        </row>
        <row r="339">
          <cell r="B339" t="str">
            <v>DR55050050</v>
          </cell>
          <cell r="C339">
            <v>330</v>
          </cell>
          <cell r="D339" t="str">
            <v>Camada horizontal de brita.</v>
          </cell>
          <cell r="E339" t="str">
            <v>m3</v>
          </cell>
          <cell r="F339">
            <v>41.32</v>
          </cell>
          <cell r="G339">
            <v>38.5</v>
          </cell>
        </row>
        <row r="340">
          <cell r="B340" t="str">
            <v>ET05600050</v>
          </cell>
          <cell r="C340">
            <v>331</v>
          </cell>
          <cell r="D340" t="str">
            <v>Concreto armado de 15MPa.</v>
          </cell>
          <cell r="E340" t="str">
            <v>m3</v>
          </cell>
          <cell r="F340">
            <v>700.29</v>
          </cell>
          <cell r="G340">
            <v>148.97999999999999</v>
          </cell>
        </row>
        <row r="341">
          <cell r="B341" t="str">
            <v>ET15200103</v>
          </cell>
          <cell r="C341">
            <v>332</v>
          </cell>
          <cell r="D341" t="str">
            <v>Formas de placas de Madeirit,17mm de espessura plast.</v>
          </cell>
          <cell r="E341" t="str">
            <v>m2</v>
          </cell>
          <cell r="F341">
            <v>47.48</v>
          </cell>
          <cell r="G341">
            <v>1739.95</v>
          </cell>
        </row>
        <row r="342">
          <cell r="B342" t="str">
            <v>ET20050050</v>
          </cell>
          <cell r="C342">
            <v>333</v>
          </cell>
          <cell r="D342" t="str">
            <v>Escoramento de pontilhoes,pontes,viadutos concreto armado.</v>
          </cell>
          <cell r="E342" t="str">
            <v>m3</v>
          </cell>
          <cell r="F342">
            <v>40.97</v>
          </cell>
          <cell r="G342">
            <v>2258.8000000000002</v>
          </cell>
        </row>
        <row r="343">
          <cell r="B343" t="str">
            <v>ET20300100</v>
          </cell>
          <cell r="C343">
            <v>334</v>
          </cell>
          <cell r="D343" t="str">
            <v xml:space="preserve">Escoramento de formas de 1,50m e ate 5m. </v>
          </cell>
          <cell r="E343" t="str">
            <v>m2</v>
          </cell>
          <cell r="F343">
            <v>17.66</v>
          </cell>
          <cell r="G343">
            <v>943.11</v>
          </cell>
        </row>
        <row r="344">
          <cell r="B344" t="str">
            <v>ET40050121</v>
          </cell>
          <cell r="C344">
            <v>335</v>
          </cell>
          <cell r="D344" t="str">
            <v>Tela de aco Telcon com malha de (10x10)cm.</v>
          </cell>
          <cell r="E344" t="str">
            <v>m2</v>
          </cell>
          <cell r="F344">
            <v>24.52</v>
          </cell>
          <cell r="G344">
            <v>1582.14</v>
          </cell>
        </row>
        <row r="345">
          <cell r="B345" t="str">
            <v>ET60050053</v>
          </cell>
          <cell r="C345">
            <v>336</v>
          </cell>
          <cell r="D345" t="str">
            <v>Concreto usinado 11MPa.</v>
          </cell>
          <cell r="E345" t="str">
            <v>m3</v>
          </cell>
          <cell r="F345">
            <v>166.68</v>
          </cell>
          <cell r="G345">
            <v>678.35</v>
          </cell>
        </row>
        <row r="346">
          <cell r="B346" t="str">
            <v>ET60050068</v>
          </cell>
          <cell r="C346">
            <v>337</v>
          </cell>
          <cell r="D346" t="str">
            <v>Concreto usinado 22,5MPa.</v>
          </cell>
          <cell r="E346" t="str">
            <v>m3</v>
          </cell>
          <cell r="F346">
            <v>209.87</v>
          </cell>
          <cell r="G346">
            <v>79.11</v>
          </cell>
        </row>
        <row r="347">
          <cell r="B347" t="str">
            <v>IP25100025</v>
          </cell>
          <cell r="C347">
            <v>338</v>
          </cell>
          <cell r="D347" t="str">
            <v>Caixa Hand-Hole, (0,30x0,30)m.</v>
          </cell>
          <cell r="E347" t="str">
            <v>un</v>
          </cell>
          <cell r="F347">
            <v>26.29</v>
          </cell>
          <cell r="G347">
            <v>227</v>
          </cell>
        </row>
        <row r="348">
          <cell r="B348" t="str">
            <v>IP25200050</v>
          </cell>
          <cell r="C348">
            <v>339</v>
          </cell>
          <cell r="D348" t="str">
            <v>Tampao de ferro tipo leve padrao RIOLUZ.</v>
          </cell>
          <cell r="E348" t="str">
            <v>un</v>
          </cell>
          <cell r="F348">
            <v>188.93</v>
          </cell>
          <cell r="G348">
            <v>100</v>
          </cell>
        </row>
        <row r="349">
          <cell r="B349" t="str">
            <v>IP55150100</v>
          </cell>
          <cell r="C349">
            <v>340</v>
          </cell>
          <cell r="D349" t="str">
            <v>Chumbador para fixacao de poste de aco.</v>
          </cell>
          <cell r="E349" t="str">
            <v>un</v>
          </cell>
          <cell r="F349">
            <v>27.89</v>
          </cell>
          <cell r="G349">
            <v>1304</v>
          </cell>
        </row>
        <row r="350">
          <cell r="B350" t="str">
            <v>IT10400050</v>
          </cell>
          <cell r="C350">
            <v>341</v>
          </cell>
          <cell r="D350" t="str">
            <v>Ligacao domiciliar de agua.</v>
          </cell>
          <cell r="E350" t="str">
            <v>un</v>
          </cell>
          <cell r="F350">
            <v>96.69</v>
          </cell>
          <cell r="G350">
            <v>67</v>
          </cell>
        </row>
        <row r="351">
          <cell r="B351" t="str">
            <v>IT15600100</v>
          </cell>
          <cell r="C351">
            <v>342</v>
          </cell>
          <cell r="D351" t="str">
            <v>Ligacao de esgoto sanitario, em manilha de 100mm.</v>
          </cell>
          <cell r="E351" t="str">
            <v>un</v>
          </cell>
          <cell r="F351">
            <v>344.53</v>
          </cell>
          <cell r="G351">
            <v>79</v>
          </cell>
        </row>
        <row r="352">
          <cell r="B352" t="str">
            <v>MT05050100</v>
          </cell>
          <cell r="C352">
            <v>343</v>
          </cell>
          <cell r="D352" t="str">
            <v>Escavacao manual de vala, 1,50m e 3m de profundidade.</v>
          </cell>
          <cell r="E352" t="str">
            <v>m3</v>
          </cell>
          <cell r="F352">
            <v>19.93</v>
          </cell>
          <cell r="G352">
            <v>1092</v>
          </cell>
        </row>
        <row r="353">
          <cell r="B353" t="str">
            <v>MT05100100</v>
          </cell>
          <cell r="C353">
            <v>344</v>
          </cell>
          <cell r="D353" t="str">
            <v>Escavacao manual de vala a frio.</v>
          </cell>
          <cell r="E353" t="str">
            <v>m3</v>
          </cell>
          <cell r="F353">
            <v>22.26</v>
          </cell>
          <cell r="G353">
            <v>3071.18</v>
          </cell>
        </row>
        <row r="354">
          <cell r="B354" t="str">
            <v>MT05150050</v>
          </cell>
          <cell r="C354">
            <v>345</v>
          </cell>
          <cell r="D354" t="str">
            <v>Escavacao manual de vala em lodo, ate 1,50m.</v>
          </cell>
          <cell r="E354" t="str">
            <v>m3</v>
          </cell>
          <cell r="F354">
            <v>24.36</v>
          </cell>
          <cell r="G354">
            <v>1395.9</v>
          </cell>
        </row>
        <row r="355">
          <cell r="B355" t="str">
            <v>PJ25250050</v>
          </cell>
          <cell r="C355">
            <v>346</v>
          </cell>
          <cell r="D355" t="str">
            <v>Balizador modelo Copacabana, cilindrico, liso, pre-fabricado.</v>
          </cell>
          <cell r="E355" t="str">
            <v>un</v>
          </cell>
          <cell r="F355">
            <v>98.43</v>
          </cell>
          <cell r="G355">
            <v>419</v>
          </cell>
        </row>
        <row r="356">
          <cell r="B356" t="str">
            <v>RV10050215</v>
          </cell>
          <cell r="C356">
            <v>347</v>
          </cell>
          <cell r="D356" t="str">
            <v>Revestimento externo, de 1 vez.</v>
          </cell>
          <cell r="E356" t="str">
            <v>m2</v>
          </cell>
          <cell r="F356">
            <v>17.29</v>
          </cell>
          <cell r="G356">
            <v>501.79</v>
          </cell>
        </row>
        <row r="357">
          <cell r="B357" t="str">
            <v>SC35050100</v>
          </cell>
          <cell r="C357">
            <v>348</v>
          </cell>
          <cell r="D357" t="str">
            <v>Levantamento ou rebaixamento de tampao, calçada.</v>
          </cell>
          <cell r="E357" t="str">
            <v>un</v>
          </cell>
          <cell r="F357">
            <v>75.849999999999994</v>
          </cell>
          <cell r="G357">
            <v>121</v>
          </cell>
        </row>
        <row r="358">
          <cell r="B358" t="str">
            <v>SE20100253</v>
          </cell>
          <cell r="C358">
            <v>349</v>
          </cell>
          <cell r="D358" t="str">
            <v>Levantamento topografico planialtimetrico e cadastral.</v>
          </cell>
          <cell r="E358" t="str">
            <v>ha</v>
          </cell>
          <cell r="F358">
            <v>2252.4299999999998</v>
          </cell>
          <cell r="G358">
            <v>5.18</v>
          </cell>
        </row>
        <row r="359">
          <cell r="B359" t="str">
            <v>SE25900300</v>
          </cell>
          <cell r="C359">
            <v>350</v>
          </cell>
          <cell r="D359" t="str">
            <v>Servicos de elaboracao de projeto estrutural final de eng.</v>
          </cell>
          <cell r="E359" t="str">
            <v>m2</v>
          </cell>
          <cell r="F359">
            <v>37.130000000000003</v>
          </cell>
          <cell r="G359">
            <v>1149</v>
          </cell>
        </row>
        <row r="360">
          <cell r="B360" t="str">
            <v>ST45150100</v>
          </cell>
          <cell r="C360">
            <v>351</v>
          </cell>
          <cell r="D360" t="str">
            <v>Caixa com tampa de ferro leve 600L-900mm,CET-RIO.</v>
          </cell>
          <cell r="E360" t="str">
            <v xml:space="preserve">un  </v>
          </cell>
          <cell r="F360">
            <v>295.7</v>
          </cell>
          <cell r="G360">
            <v>41</v>
          </cell>
        </row>
        <row r="361">
          <cell r="B361" t="str">
            <v>TC05100050</v>
          </cell>
          <cell r="C361">
            <v>352</v>
          </cell>
          <cell r="D361" t="str">
            <v>Transporte horizontal material em carrinho de mao.</v>
          </cell>
          <cell r="E361" t="str">
            <v>t.dam</v>
          </cell>
          <cell r="F361">
            <v>1.19</v>
          </cell>
          <cell r="G361">
            <v>103434.34</v>
          </cell>
        </row>
        <row r="362">
          <cell r="B362" t="str">
            <v>TC10050350</v>
          </cell>
          <cell r="C362">
            <v>353</v>
          </cell>
          <cell r="D362" t="str">
            <v>Carga e descarga mecanica, com Pa-Carregadeira.</v>
          </cell>
          <cell r="E362" t="str">
            <v xml:space="preserve">t </v>
          </cell>
          <cell r="F362">
            <v>0.51</v>
          </cell>
          <cell r="G362">
            <v>43094.67</v>
          </cell>
        </row>
        <row r="363">
          <cell r="B363" t="str">
            <v>UNI</v>
          </cell>
          <cell r="C363" t="str">
            <v>N1</v>
          </cell>
          <cell r="D363" t="str">
            <v>Tampa light 80x80cm</v>
          </cell>
          <cell r="E363" t="str">
            <v>un</v>
          </cell>
          <cell r="F363">
            <v>259.04000000000002</v>
          </cell>
        </row>
        <row r="365">
          <cell r="B365" t="str">
            <v>ITENS FGV</v>
          </cell>
        </row>
        <row r="366">
          <cell r="B366" t="str">
            <v>BP10050653</v>
          </cell>
          <cell r="C366" t="str">
            <v>F1</v>
          </cell>
          <cell r="D366" t="str">
            <v>Revestimento de CBUQ, com 5cm de espessura.</v>
          </cell>
          <cell r="E366" t="str">
            <v>m2</v>
          </cell>
          <cell r="F366">
            <v>12.77</v>
          </cell>
        </row>
        <row r="367">
          <cell r="B367" t="str">
            <v>BP20200053</v>
          </cell>
          <cell r="C367" t="str">
            <v>F2</v>
          </cell>
          <cell r="D367" t="str">
            <v>Meio-fio de concreto pre-moldado altura de 0,45m.</v>
          </cell>
          <cell r="E367" t="str">
            <v>m</v>
          </cell>
          <cell r="F367">
            <v>21.71</v>
          </cell>
        </row>
        <row r="368">
          <cell r="B368" t="str">
            <v>CE05050050</v>
          </cell>
          <cell r="C368" t="str">
            <v>F3</v>
          </cell>
          <cell r="D368" t="str">
            <v>Prestacao de servicos de engenharia.</v>
          </cell>
          <cell r="E368" t="str">
            <v>hh</v>
          </cell>
          <cell r="F368">
            <v>39.4</v>
          </cell>
        </row>
        <row r="369">
          <cell r="B369" t="str">
            <v>DR30200050</v>
          </cell>
          <cell r="C369" t="str">
            <v>F4</v>
          </cell>
          <cell r="D369" t="str">
            <v>Caixa de inspecao de esgoto, 0,70m de profundidade.</v>
          </cell>
          <cell r="E369" t="str">
            <v>un</v>
          </cell>
          <cell r="F369">
            <v>245.86</v>
          </cell>
        </row>
        <row r="370">
          <cell r="B370" t="str">
            <v>EQ45050150</v>
          </cell>
          <cell r="C370" t="str">
            <v>F5</v>
          </cell>
          <cell r="D370" t="str">
            <v>Compressor de ar. Aluguel produtivo.</v>
          </cell>
          <cell r="E370" t="str">
            <v>h</v>
          </cell>
          <cell r="F370">
            <v>26.28</v>
          </cell>
        </row>
        <row r="371">
          <cell r="B371" t="str">
            <v>ET60050100</v>
          </cell>
          <cell r="C371" t="str">
            <v>F6</v>
          </cell>
          <cell r="D371" t="str">
            <v>Concreto usinado 40Mpa.</v>
          </cell>
          <cell r="E371" t="str">
            <v>m3</v>
          </cell>
          <cell r="F371">
            <v>274.33999999999997</v>
          </cell>
        </row>
        <row r="372">
          <cell r="B372" t="str">
            <v>IP05100400</v>
          </cell>
          <cell r="C372" t="str">
            <v>F7</v>
          </cell>
          <cell r="D372" t="str">
            <v>Poste Multi-Uso de aco, reto, cilindrico de 5,60m.</v>
          </cell>
          <cell r="E372" t="str">
            <v>par</v>
          </cell>
          <cell r="F372">
            <v>1366</v>
          </cell>
        </row>
        <row r="373">
          <cell r="B373" t="str">
            <v>IP05100850</v>
          </cell>
          <cell r="C373" t="str">
            <v>F8</v>
          </cell>
          <cell r="D373" t="str">
            <v>Poste Multi-Uso de aco, reto, cilindrico de 9,5m.</v>
          </cell>
          <cell r="E373" t="str">
            <v>un</v>
          </cell>
          <cell r="F373">
            <v>2656.14</v>
          </cell>
        </row>
        <row r="374">
          <cell r="B374" t="str">
            <v>IP05250150</v>
          </cell>
          <cell r="C374" t="str">
            <v>F9</v>
          </cell>
          <cell r="D374" t="str">
            <v>Poste de aco, reto, de 4,50m ate 6m. Assentamento.</v>
          </cell>
          <cell r="E374" t="str">
            <v>un</v>
          </cell>
          <cell r="F374">
            <v>53.59</v>
          </cell>
        </row>
        <row r="375">
          <cell r="B375" t="str">
            <v>IP05250200</v>
          </cell>
          <cell r="C375" t="str">
            <v>F10</v>
          </cell>
          <cell r="D375" t="str">
            <v>Poste de aco, reto, de 7m ate 12m. Assentamento.</v>
          </cell>
          <cell r="E375" t="str">
            <v>un</v>
          </cell>
          <cell r="F375">
            <v>108.83</v>
          </cell>
        </row>
        <row r="376">
          <cell r="B376" t="str">
            <v>IP05500050</v>
          </cell>
          <cell r="C376" t="str">
            <v>F11</v>
          </cell>
          <cell r="D376" t="str">
            <v>Braco para luminaria de 0,39m.</v>
          </cell>
          <cell r="E376" t="str">
            <v>par</v>
          </cell>
          <cell r="F376">
            <v>63</v>
          </cell>
        </row>
        <row r="377">
          <cell r="B377" t="str">
            <v>IP05500250</v>
          </cell>
          <cell r="C377" t="str">
            <v>F12</v>
          </cell>
          <cell r="D377" t="str">
            <v>Braco para luminaria de 1,35m.</v>
          </cell>
          <cell r="E377" t="str">
            <v>par</v>
          </cell>
          <cell r="F377">
            <v>115</v>
          </cell>
        </row>
        <row r="378">
          <cell r="B378" t="str">
            <v>IP05550050</v>
          </cell>
          <cell r="C378" t="str">
            <v>F13</v>
          </cell>
          <cell r="D378" t="str">
            <v>Braco, padrao RIOLUZ.  Colocacao.</v>
          </cell>
          <cell r="E378" t="str">
            <v>un</v>
          </cell>
          <cell r="F378">
            <v>9.76</v>
          </cell>
        </row>
        <row r="379">
          <cell r="B379" t="str">
            <v>IP05600050</v>
          </cell>
          <cell r="C379" t="str">
            <v>F14</v>
          </cell>
          <cell r="D379" t="str">
            <v>Pintura de braco com 2 demaos de tinta Aluminac.</v>
          </cell>
          <cell r="E379" t="str">
            <v>un</v>
          </cell>
          <cell r="F379">
            <v>12.29</v>
          </cell>
        </row>
        <row r="380">
          <cell r="B380" t="str">
            <v>IP05600103</v>
          </cell>
          <cell r="C380" t="str">
            <v>F15</v>
          </cell>
          <cell r="D380" t="str">
            <v>Pintura de poste de aco, reto, de 4,5m ate 6m.</v>
          </cell>
          <cell r="E380" t="str">
            <v>un</v>
          </cell>
          <cell r="F380">
            <v>14.73</v>
          </cell>
        </row>
        <row r="381">
          <cell r="B381" t="str">
            <v>IP05600109</v>
          </cell>
          <cell r="C381" t="str">
            <v>F16</v>
          </cell>
          <cell r="D381" t="str">
            <v>Pintura de poste de aco reto, de 10m ate 15m.</v>
          </cell>
          <cell r="E381" t="str">
            <v>un</v>
          </cell>
          <cell r="F381">
            <v>54.04</v>
          </cell>
        </row>
        <row r="382">
          <cell r="B382" t="str">
            <v>IP45050250</v>
          </cell>
          <cell r="C382" t="str">
            <v>F17</v>
          </cell>
          <cell r="D382" t="str">
            <v>Rele fotoeletrico, tipo NA, tensao de 127V, 1200VA.</v>
          </cell>
          <cell r="E382" t="str">
            <v>un</v>
          </cell>
          <cell r="F382">
            <v>11.85</v>
          </cell>
        </row>
        <row r="383">
          <cell r="B383" t="str">
            <v>IP50050059</v>
          </cell>
          <cell r="C383" t="str">
            <v>F18</v>
          </cell>
          <cell r="D383" t="str">
            <v>Luminaria LRJ-25 para lampada de 70W ovoide.</v>
          </cell>
          <cell r="E383" t="str">
            <v>un</v>
          </cell>
          <cell r="F383">
            <v>305.18</v>
          </cell>
        </row>
        <row r="384">
          <cell r="B384" t="str">
            <v>IP50050250</v>
          </cell>
          <cell r="C384" t="str">
            <v>F19</v>
          </cell>
          <cell r="D384" t="str">
            <v>Luminaria LRJ-24 para lampada de 250W tubular.</v>
          </cell>
          <cell r="E384" t="str">
            <v>un</v>
          </cell>
          <cell r="F384">
            <v>361.15</v>
          </cell>
        </row>
        <row r="385">
          <cell r="B385" t="str">
            <v>IP50200106</v>
          </cell>
          <cell r="C385" t="str">
            <v>F20</v>
          </cell>
          <cell r="D385" t="str">
            <v>Nucleo simples para luminarias LRJ-09/16/25.</v>
          </cell>
          <cell r="E385" t="str">
            <v>un</v>
          </cell>
          <cell r="F385">
            <v>40</v>
          </cell>
        </row>
        <row r="386">
          <cell r="B386" t="str">
            <v>IP50200150</v>
          </cell>
          <cell r="C386" t="str">
            <v>F21</v>
          </cell>
          <cell r="D386" t="str">
            <v>Nucleo duplo para luminarias LRJ-01/17/23/24/30/31.</v>
          </cell>
          <cell r="E386" t="str">
            <v>un</v>
          </cell>
          <cell r="F386">
            <v>67</v>
          </cell>
        </row>
        <row r="387">
          <cell r="B387" t="str">
            <v>IP50250421</v>
          </cell>
          <cell r="C387" t="str">
            <v>F22</v>
          </cell>
          <cell r="D387" t="str">
            <v>Lampada de multivapor metalica (MVM) de 250W.</v>
          </cell>
          <cell r="E387" t="str">
            <v>un</v>
          </cell>
          <cell r="F387">
            <v>83.9</v>
          </cell>
        </row>
        <row r="388">
          <cell r="B388" t="str">
            <v>IP50400103</v>
          </cell>
          <cell r="C388" t="str">
            <v>F23</v>
          </cell>
          <cell r="D388" t="str">
            <v>Luminaria fechada com lampada de descarga.</v>
          </cell>
          <cell r="E388" t="str">
            <v>un</v>
          </cell>
          <cell r="F388">
            <v>9.76</v>
          </cell>
        </row>
        <row r="389">
          <cell r="B389" t="str">
            <v>IT25100121</v>
          </cell>
          <cell r="C389" t="str">
            <v>F24</v>
          </cell>
          <cell r="D389" t="str">
            <v>Kanalex diametro de 125mm (5" ).</v>
          </cell>
          <cell r="E389" t="str">
            <v>m</v>
          </cell>
          <cell r="F389">
            <v>10.89</v>
          </cell>
        </row>
        <row r="390">
          <cell r="B390" t="str">
            <v>RV1595005</v>
          </cell>
          <cell r="C390" t="str">
            <v>F25</v>
          </cell>
          <cell r="D390" t="str">
            <v>Piso de alerta em placas marmorizadas, cor vermelha.</v>
          </cell>
          <cell r="E390" t="str">
            <v>m2</v>
          </cell>
          <cell r="F390">
            <v>55.17</v>
          </cell>
        </row>
        <row r="391">
          <cell r="B391" t="str">
            <v>SC05100350</v>
          </cell>
          <cell r="C391" t="str">
            <v>F26</v>
          </cell>
          <cell r="D391" t="str">
            <v>Demolicao com equipamento concreto asfaltico 5cm.</v>
          </cell>
          <cell r="E391" t="str">
            <v>m2</v>
          </cell>
          <cell r="F391">
            <v>5.0999999999999996</v>
          </cell>
        </row>
        <row r="392">
          <cell r="B392" t="str">
            <v>SC05100400</v>
          </cell>
          <cell r="C392" t="str">
            <v>F27</v>
          </cell>
          <cell r="D392" t="str">
            <v>Demolicao com equipamento concreto asfaltico 10cm.</v>
          </cell>
          <cell r="E392" t="str">
            <v>m2</v>
          </cell>
          <cell r="F392">
            <v>7.64</v>
          </cell>
        </row>
        <row r="393">
          <cell r="B393" t="str">
            <v>SC05100450</v>
          </cell>
          <cell r="C393" t="str">
            <v>F28</v>
          </cell>
          <cell r="D393" t="str">
            <v>Demolicao equipamento concreto asfaltico 5cm l=1,20m.</v>
          </cell>
          <cell r="E393" t="str">
            <v>m2</v>
          </cell>
          <cell r="F393">
            <v>5.99</v>
          </cell>
        </row>
        <row r="394">
          <cell r="B394" t="str">
            <v>SC10100100</v>
          </cell>
          <cell r="C394" t="str">
            <v>F29</v>
          </cell>
          <cell r="D394" t="str">
            <v>Operador de trafego, nivel junior.</v>
          </cell>
          <cell r="E394" t="str">
            <v>h</v>
          </cell>
          <cell r="F394">
            <v>10.1</v>
          </cell>
        </row>
        <row r="395">
          <cell r="B395" t="str">
            <v>ST05051050</v>
          </cell>
          <cell r="C395" t="str">
            <v>F30</v>
          </cell>
          <cell r="D395" t="str">
            <v>Sinalizacao horizontal aplicada por aspersao.</v>
          </cell>
          <cell r="E395" t="str">
            <v>m2</v>
          </cell>
          <cell r="F395">
            <v>20.149999999999999</v>
          </cell>
        </row>
        <row r="396">
          <cell r="B396" t="str">
            <v>ST10150350</v>
          </cell>
          <cell r="C396" t="str">
            <v>F31</v>
          </cell>
          <cell r="D396" t="str">
            <v>Conjunto semaforico principal.</v>
          </cell>
          <cell r="E396" t="str">
            <v>un</v>
          </cell>
          <cell r="F396">
            <v>4662</v>
          </cell>
        </row>
        <row r="397">
          <cell r="B397" t="str">
            <v>ST10150400</v>
          </cell>
          <cell r="C397" t="str">
            <v>F32</v>
          </cell>
          <cell r="D397" t="str">
            <v>Conjunto semaforico repetidor.</v>
          </cell>
          <cell r="E397" t="str">
            <v>un</v>
          </cell>
          <cell r="F397">
            <v>2243.85</v>
          </cell>
        </row>
        <row r="398">
          <cell r="B398" t="str">
            <v>ST20100050</v>
          </cell>
          <cell r="C398" t="str">
            <v>F33</v>
          </cell>
          <cell r="D398" t="str">
            <v>Aluguel mensal de radio transmissor-receptor.</v>
          </cell>
          <cell r="E398" t="str">
            <v>mes</v>
          </cell>
          <cell r="F398">
            <v>70</v>
          </cell>
        </row>
        <row r="399">
          <cell r="B399" t="str">
            <v>ST15050100</v>
          </cell>
          <cell r="C399" t="str">
            <v>F34</v>
          </cell>
          <cell r="D399" t="str">
            <v>Portico, coluna tubular, em aco galvanizado.</v>
          </cell>
          <cell r="E399" t="str">
            <v>un</v>
          </cell>
          <cell r="F399">
            <v>35622.78</v>
          </cell>
        </row>
        <row r="400">
          <cell r="B400" t="str">
            <v>TC10050050</v>
          </cell>
          <cell r="C400" t="str">
            <v>F35</v>
          </cell>
          <cell r="D400" t="str">
            <v>Carga e descarga manual de material.</v>
          </cell>
          <cell r="E400" t="str">
            <v>t</v>
          </cell>
          <cell r="F400">
            <v>20.36</v>
          </cell>
        </row>
        <row r="401">
          <cell r="B401" t="str">
            <v>DR10050053</v>
          </cell>
          <cell r="C401" t="str">
            <v>F36</v>
          </cell>
          <cell r="D401" t="str">
            <v>Tubo de ferro fundido, ductil, classe K-9,ø 100mm.</v>
          </cell>
          <cell r="E401" t="str">
            <v>m</v>
          </cell>
          <cell r="F401">
            <v>139.33000000000001</v>
          </cell>
        </row>
        <row r="402">
          <cell r="B402" t="str">
            <v>ST05051800</v>
          </cell>
          <cell r="C402" t="str">
            <v>F37</v>
          </cell>
          <cell r="D402" t="str">
            <v>Tachao bidirecional, conforme especificacao CET-RIO.  Fornecimento.</v>
          </cell>
          <cell r="E402" t="str">
            <v>un</v>
          </cell>
          <cell r="F402">
            <v>21.9</v>
          </cell>
        </row>
        <row r="403">
          <cell r="B403" t="str">
            <v>IP50050253</v>
          </cell>
          <cell r="C403" t="str">
            <v>F38</v>
          </cell>
          <cell r="D403" t="str">
            <v>Luminaria LRJ-33 para lampada vapor de sodio ou multivapor metalico de 250W, IP-66, vidro curvo, corpo em aluminio injetado, para encaixe em tubo com diametro de 60,3mm, com equipamento auxiliar integrado (EM-RIOLUZ no 30), refletor em chapa de aluminio 9</v>
          </cell>
          <cell r="E403" t="str">
            <v>un</v>
          </cell>
          <cell r="F403">
            <v>515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PREÇO PROJETO"/>
      <sheetName val="RESUMO - MEDIÇÃO"/>
      <sheetName val="DRENAGEM"/>
      <sheetName val="Ofício"/>
      <sheetName val="Cabeçalho"/>
      <sheetName val="Desmatamento "/>
      <sheetName val="DMT"/>
      <sheetName val="Corte"/>
      <sheetName val="Aterro"/>
      <sheetName val="Regula"/>
      <sheetName val="Forro de cascalho"/>
      <sheetName val="Sub-base"/>
      <sheetName val="Base"/>
      <sheetName val="Imprimação"/>
      <sheetName val="TSD"/>
      <sheetName val="TSS"/>
      <sheetName val="AGREGADOS"/>
      <sheetName val="EMPRÉSTIMO"/>
      <sheetName val="RECUPERAÇÃO-JAZIDA"/>
      <sheetName val="Nº DE ARBUSTOS"/>
      <sheetName val="RELATÓRIO"/>
      <sheetName val="_TRANSPORTE M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Serviços"/>
      <sheetName val="CBUQ E CAP-50-70 CAPA RECAP"/>
      <sheetName val="PINTURA DE LIGAÇÃO RECAP"/>
      <sheetName val="TSS E RR-2C CICLO"/>
      <sheetName val="CBUQ E CAP-50-70 CAPA PISTA"/>
      <sheetName val="PINTURA DE LIGAÇÃO PISTA"/>
      <sheetName val="IMPRIMAÇÃO  E CM-30 PISTA"/>
      <sheetName val="SUB-BASE"/>
      <sheetName val="BASE"/>
      <sheetName val="REGULARIZAÇÃO DO SUBLEITO"/>
      <sheetName val="CONCRETO"/>
      <sheetName val="DESMAT. DEST. LIMP. AREA"/>
      <sheetName val="Orçamento"/>
      <sheetName val="DRENAGEM"/>
      <sheetName val="Administração - Pessoal"/>
      <sheetName val="INST. MOB."/>
      <sheetName val="Transporte Terra"/>
      <sheetName val="Transporte CICLOVIA"/>
      <sheetName val="Transporte RECAP"/>
      <sheetName val="Transporte PISTA"/>
      <sheetName val="QD QUANTIDADE CAD"/>
      <sheetName val="Mat Asf"/>
      <sheetName val="relatório-1ª med."/>
    </sheetNames>
    <sheetDataSet>
      <sheetData sheetId="0">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MULTIPLICADORES BÁSICOS"/>
      <sheetName val="INSUMOS BÁSICOS"/>
      <sheetName val="QUADRO 08 - PLANILHAS PREÇO (2)"/>
      <sheetName val="INSUMOS - EQUIPAMENTOS"/>
      <sheetName val="CRONOGRAMA FÍSICO I"/>
      <sheetName val="QUADRO 04 - PLANILHAS PREÇOS"/>
      <sheetName val="COMPOSIÇÃO BDI"/>
      <sheetName val="LEIS SOCIAIS"/>
      <sheetName val="QUADRO 11 - C. H. PESSOAL"/>
      <sheetName val="quadro 06 - equipamentos dner"/>
      <sheetName val="Indice de Reajuste"/>
    </sheetNames>
    <sheetDataSet>
      <sheetData sheetId="0"/>
      <sheetData sheetId="1" refreshError="1">
        <row r="66">
          <cell r="E66">
            <v>1.42</v>
          </cell>
        </row>
        <row r="67">
          <cell r="E67">
            <v>0.65100000000000002</v>
          </cell>
        </row>
      </sheetData>
      <sheetData sheetId="2"/>
      <sheetData sheetId="3"/>
      <sheetData sheetId="4"/>
      <sheetData sheetId="5"/>
      <sheetData sheetId="6"/>
      <sheetData sheetId="7"/>
      <sheetData sheetId="8"/>
      <sheetData sheetId="9"/>
      <sheetData sheetId="10"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RELATÓRIO"/>
      <sheetName val="RESUMO-DVOP"/>
      <sheetName val="Cronograma Físico-Financeiro"/>
      <sheetName val="REAJU"/>
      <sheetName val="Aterro"/>
      <sheetName val="Aterro a 100% PN (2)"/>
      <sheetName val="DMT MEDIÇÃO (2)"/>
      <sheetName val="DMT MEDIÇÃO"/>
      <sheetName val="Plan1"/>
      <sheetName val="Cortes"/>
      <sheetName val="ESCAVAÇÃO"/>
      <sheetName val="Limpeza da faixa de domínio"/>
      <sheetName val="Colchão drenante"/>
      <sheetName val="Pintura"/>
      <sheetName val="Grama"/>
      <sheetName val="Meio fio"/>
      <sheetName val="Plan2"/>
      <sheetName val="Transporte de brita"/>
      <sheetName val="Sarjeta geral "/>
      <sheetName val="DRENO"/>
      <sheetName val="SINALIZAÇÃO HORIZONTAL (2)"/>
      <sheetName val="SINALIZAÇÃO VERTICAL"/>
      <sheetName val="SINALIZAÇÃO HORIZONTAL"/>
      <sheetName val="Mat Asf"/>
      <sheetName val="RESUMO_DVOP"/>
      <sheetName val="SERV-EXTRAS"/>
      <sheetName val="Planilha 358 (Saldo)"/>
    </sheetNames>
    <sheetDataSet>
      <sheetData sheetId="0" refreshError="1"/>
      <sheetData sheetId="1" refreshError="1">
        <row r="35">
          <cell r="C35" t="str">
            <v>Local e data: Peixoto de Azevedo/MT, 28 de fevereiro de 1998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RELATÓRIO"/>
      <sheetName val="RESUMO-DVOP_JBS (2)"/>
      <sheetName val="Boletim"/>
      <sheetName val="Empreiteira_Agrimat"/>
      <sheetName val="RESUMO-DVOP MOD SEET"/>
      <sheetName val="Reajustamento"/>
      <sheetName val="Forma Tubulão"/>
      <sheetName val="Forma Compensado"/>
      <sheetName val="AÇO CA-50"/>
      <sheetName val="Crono Físico-Financeiro"/>
      <sheetName val="Mat Asf "/>
      <sheetName val="RESUMO-DVOP_AGRIMAT"/>
      <sheetName val="REAJU (2)"/>
      <sheetName val="Total Mat Asf"/>
      <sheetName val="Meio fio"/>
      <sheetName val="Desmatamento "/>
      <sheetName val="Regular mec Faixa dom"/>
      <sheetName val="Remoção"/>
      <sheetName val="DMT 50m"/>
      <sheetName val="SPA_Esc Jaz e Tranp."/>
      <sheetName val="DMT 600 a 800m"/>
      <sheetName val="DMT 1000 a 1200m"/>
      <sheetName val="Remoção Solo Mole"/>
      <sheetName val="Reconf Plataforma"/>
      <sheetName val="Enrocamento Rachão"/>
      <sheetName val="OAC"/>
      <sheetName val="Agregados P OAC"/>
      <sheetName val="Regula"/>
      <sheetName val="Sub-base"/>
      <sheetName val="Base"/>
      <sheetName val="Imprimação"/>
      <sheetName val="TSD-FOG"/>
      <sheetName val="CAPA SELANTE"/>
      <sheetName val="AGREGADOS"/>
      <sheetName val="Dreno"/>
      <sheetName val="Cerca"/>
      <sheetName val="Valeta"/>
      <sheetName val="Grama muda"/>
      <sheetName val="Valeta (3)"/>
      <sheetName val="AGREGADOS P DRENAGEM"/>
      <sheetName val="TSS"/>
      <sheetName val="DMT modelo (2)"/>
      <sheetName val="DMT"/>
      <sheetName val="Aterro"/>
      <sheetName val="Aterro 100%"/>
      <sheetName val="Aterro 95%"/>
      <sheetName val="Transp. Rio Honorato"/>
      <sheetName val="Cálculo Ponte"/>
      <sheetName val="Defensa"/>
      <sheetName val="Placas"/>
      <sheetName val="Grama"/>
      <sheetName val="Pintura"/>
      <sheetName val="REAJU"/>
      <sheetName val="RESUMO-DV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0">
          <cell r="L10" t="str">
            <v>I.C. Nº 001/2005/00/00-ASJU</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Planilha"/>
      <sheetName val="Indice de Reajuste"/>
      <sheetName val="Carimbo"/>
      <sheetName val="Sado de contrato a PI"/>
      <sheetName val="Cronograma atual"/>
      <sheetName val="Mat Asf "/>
      <sheetName val="Físico_med"/>
      <sheetName val="Ofício"/>
      <sheetName val="RESUMO-DVOP"/>
      <sheetName val="RELATÓRIO"/>
      <sheetName val="REAJU (2)"/>
      <sheetName val="REAJU (3)"/>
      <sheetName val="REAJU (4)"/>
      <sheetName val="Crono Físico-Financeiro"/>
      <sheetName val="Mat Asf"/>
      <sheetName val="Meio fio"/>
      <sheetName val="Desmatamento "/>
      <sheetName val="Limpeza da faixa de domínio"/>
      <sheetName val="Colchão drenante"/>
      <sheetName val="Remoção"/>
      <sheetName val="Compac alas"/>
      <sheetName val="OAC (2)"/>
      <sheetName val="OAC"/>
      <sheetName val="Patrolamento"/>
      <sheetName val="Regula"/>
      <sheetName val="Forro de cascalho"/>
      <sheetName val="Reforço do sub-leito"/>
      <sheetName val="Sub-base"/>
      <sheetName val="Base"/>
      <sheetName val="Imprimação"/>
      <sheetName val="TSD-FOG"/>
      <sheetName val="AGREGADOS (2)"/>
      <sheetName val="AGREGADOS"/>
      <sheetName val="Dreno"/>
      <sheetName val="Cerca"/>
      <sheetName val="Valeta"/>
      <sheetName val="Valeta (2)"/>
      <sheetName val="Valeta (3)"/>
      <sheetName val="DDL de Cerrado"/>
      <sheetName val="DMT"/>
      <sheetName val="Escalonamento"/>
      <sheetName val="Aterro (2)"/>
      <sheetName val="Aterro 100% (2)"/>
      <sheetName val="Aterro 95% (2)"/>
      <sheetName val="DMT modelo (2)"/>
      <sheetName val="Aterro"/>
      <sheetName val="Aterro 100%"/>
      <sheetName val="Aterro 95%"/>
      <sheetName val="Defensa"/>
      <sheetName val="Placas"/>
      <sheetName val="Grama"/>
      <sheetName val="Pintura"/>
      <sheetName val="REAJ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Ofício"/>
      <sheetName val="RELATÓRIO"/>
      <sheetName val="RESUMO-DVOP"/>
      <sheetName val="REAJU"/>
      <sheetName val="Mat Asf"/>
      <sheetName val="Crono Físico-Financeiro"/>
      <sheetName val="Plan1"/>
      <sheetName val="terraplenagem"/>
      <sheetName val="preench rebaixo em rocha"/>
      <sheetName val="DMT"/>
      <sheetName val="remoção de base antiga"/>
      <sheetName val="subbase (1)"/>
      <sheetName val="base (1)"/>
      <sheetName val="Imprimação (1)"/>
      <sheetName val="pintura de ligação (1)"/>
      <sheetName val="CBUQ (1)"/>
      <sheetName val="Binder (1)"/>
      <sheetName val="Transp-Massa (1)"/>
      <sheetName val="Transp-Brita (1)"/>
      <sheetName val="remoção de pavim (1)"/>
      <sheetName val="dreno transversal (1)"/>
      <sheetName val="meio fio com sarjeta conjug (1)"/>
      <sheetName val="base (2)"/>
      <sheetName val="transp mat jaz (2)"/>
      <sheetName val="remoçao de pavim (1)"/>
      <sheetName val="Pintura de ligação (2)"/>
      <sheetName val="CBUQ (2)"/>
      <sheetName val="Transp-Massa (2)"/>
      <sheetName val="Transp-Brita (2)"/>
      <sheetName val="RESUMO_DVOP"/>
      <sheetName val="Desmat"/>
      <sheetName val="Aux.da anterior"/>
      <sheetName val="Cubação"/>
      <sheetName val="Croqui"/>
      <sheetName val="CALCULOS AUXILIARES"/>
      <sheetName val="Pato"/>
      <sheetName val="ID"/>
      <sheetName val="MT"/>
      <sheetName val="relatório-1ª med."/>
      <sheetName val="Entrada de Dados"/>
      <sheetName val="Dados do Contrato"/>
      <sheetName val="Boletim"/>
      <sheetName val="Resumo"/>
      <sheetName val="MT-358 Sin.Hor."/>
      <sheetName val="MT-358 Sin.Vert."/>
      <sheetName val="MT-358 Disp. Aux."/>
      <sheetName val="MT 220 Disp Aux"/>
      <sheetName val="Controle financeiro"/>
      <sheetName val="Linear"/>
      <sheetName val="Cronograma"/>
      <sheetName val="Vert. item 1"/>
      <sheetName val="Horizontal"/>
      <sheetName val="Vertical"/>
      <sheetName val="Seg. e Canalizacao"/>
      <sheetName val="RELATÓRIO FOTOGRAFICO"/>
      <sheetName val="Pluviometria"/>
      <sheetName val="RESUMO DE DIÁRIO DE OBRAS"/>
      <sheetName val="Reajuste"/>
      <sheetName val="Cont.fin. Reajustamento"/>
      <sheetName val="Cálculo"/>
    </sheetNames>
    <sheetDataSet>
      <sheetData sheetId="0" refreshError="1"/>
      <sheetData sheetId="1" refreshError="1">
        <row r="2">
          <cell r="B2" t="str">
            <v>OBRA: Complementação da Restauração de Rodovias Pavimentadas e Melhoramentos</v>
          </cell>
        </row>
        <row r="3">
          <cell r="B3" t="str">
            <v>RODOVIA/PROGRAMA: MT-358</v>
          </cell>
        </row>
        <row r="4">
          <cell r="B4" t="str">
            <v>TRECHO: Tangará da Serra - Assari</v>
          </cell>
        </row>
        <row r="5">
          <cell r="B5" t="str">
            <v>SUB-TRECHO: Tangará da Serra - Entrº MT-343</v>
          </cell>
        </row>
        <row r="6">
          <cell r="B6" t="str">
            <v>CONTRATO: 005/2001/00/00-P.Jur.</v>
          </cell>
        </row>
        <row r="7">
          <cell r="B7" t="str">
            <v>REFERÊNCIA (nº ordem med./aval): 6ª Medição Provisória</v>
          </cell>
        </row>
        <row r="8">
          <cell r="B8" t="str">
            <v>PERÍODO SIMPLES: 01/08/01 à 31/08/01</v>
          </cell>
        </row>
        <row r="9">
          <cell r="B9" t="str">
            <v>FIRMA: CONSTRUTORA TRIUNFO S/A</v>
          </cell>
        </row>
        <row r="10">
          <cell r="B10" t="str">
            <v>RELATÓRIO  DOS  SERVIÇOS  EXECUTADOS</v>
          </cell>
        </row>
        <row r="11">
          <cell r="B11" t="str">
            <v>CÓDIGO</v>
          </cell>
          <cell r="C11" t="str">
            <v>DISCRIMINAÇÃO</v>
          </cell>
          <cell r="D11" t="str">
            <v>UNID.</v>
          </cell>
        </row>
        <row r="12">
          <cell r="C12" t="str">
            <v>MELHORAMENTOS</v>
          </cell>
        </row>
        <row r="13">
          <cell r="B13">
            <v>40000</v>
          </cell>
          <cell r="C13" t="str">
            <v>TERRAPLENAGEM</v>
          </cell>
        </row>
        <row r="14">
          <cell r="B14">
            <v>40110</v>
          </cell>
          <cell r="C14" t="str">
            <v>Desmatamento, destocamento e limpeza em mata</v>
          </cell>
          <cell r="D14" t="str">
            <v>m²</v>
          </cell>
        </row>
        <row r="15">
          <cell r="B15">
            <v>40140</v>
          </cell>
          <cell r="C15" t="str">
            <v>Remoção e limpeza da camada vegetal</v>
          </cell>
          <cell r="D15" t="str">
            <v>m²</v>
          </cell>
        </row>
        <row r="16">
          <cell r="B16">
            <v>40201</v>
          </cell>
          <cell r="C16" t="str">
            <v>Escavação, carga e transp. de mat. de 1ª cat. DMT &lt; 50 m</v>
          </cell>
          <cell r="D16" t="str">
            <v>m³</v>
          </cell>
        </row>
        <row r="17">
          <cell r="B17">
            <v>40202</v>
          </cell>
          <cell r="C17" t="str">
            <v>Escavação, carga e transp. de mat. de 1ª cat. 50 &lt; DMT &lt; 200 m</v>
          </cell>
          <cell r="D17" t="str">
            <v>m³</v>
          </cell>
        </row>
        <row r="18">
          <cell r="B18">
            <v>40203</v>
          </cell>
          <cell r="C18" t="str">
            <v>Escavação, carga e transp. de mat. de 1ª cat. 200 &lt; DMT &lt; 400 m</v>
          </cell>
          <cell r="D18" t="str">
            <v>m³</v>
          </cell>
        </row>
        <row r="19">
          <cell r="B19">
            <v>40204</v>
          </cell>
          <cell r="C19" t="str">
            <v>Escavação, carga e transp. de mat. de 1ª cat. 400 &lt; DMT &lt; 600 m</v>
          </cell>
          <cell r="D19" t="str">
            <v>m³</v>
          </cell>
        </row>
        <row r="20">
          <cell r="B20">
            <v>40205</v>
          </cell>
          <cell r="C20" t="str">
            <v>Escavação, carga e transp. de mat. de 1ª cat. 600 &lt; DMT &lt; 800 m</v>
          </cell>
          <cell r="D20" t="str">
            <v>m³</v>
          </cell>
        </row>
        <row r="21">
          <cell r="B21">
            <v>40206</v>
          </cell>
          <cell r="C21" t="str">
            <v>Escavação, carga e transp. de mat. de 1ª cat. 800 &lt; DMT &lt; 1000 m</v>
          </cell>
          <cell r="D21" t="str">
            <v>m³</v>
          </cell>
        </row>
        <row r="22">
          <cell r="B22">
            <v>40207</v>
          </cell>
          <cell r="C22" t="str">
            <v>Escavação, carga e transp. de mat. de 1ª cat. 1000 &lt; DMT &lt; 1200 m</v>
          </cell>
          <cell r="D22" t="str">
            <v>m³</v>
          </cell>
        </row>
        <row r="23">
          <cell r="B23">
            <v>40209</v>
          </cell>
          <cell r="C23" t="str">
            <v>Escavação, carga e transp. de mat. de 1ª cat. 1400 &lt; DMT &lt; 1600 m</v>
          </cell>
          <cell r="D23" t="str">
            <v>m³</v>
          </cell>
        </row>
        <row r="24">
          <cell r="B24">
            <v>40211</v>
          </cell>
          <cell r="C24" t="str">
            <v>Escavação, carga e transp. de mat. de 1ª cat. 1800 &lt; DMT &lt; 2000 m</v>
          </cell>
          <cell r="D24" t="str">
            <v>m³</v>
          </cell>
        </row>
        <row r="25">
          <cell r="B25">
            <v>40212</v>
          </cell>
          <cell r="C25" t="str">
            <v>Escavação, carga e transp. de mat. de 1ª cat. 2000 &lt; DMT &lt; 3000 m</v>
          </cell>
          <cell r="D25" t="str">
            <v>m³</v>
          </cell>
        </row>
        <row r="26">
          <cell r="B26">
            <v>40301</v>
          </cell>
          <cell r="C26" t="str">
            <v>Escavação, carga e transp. de mat. de 2ª cat. DMT &lt; 50 m</v>
          </cell>
          <cell r="D26" t="str">
            <v>m³</v>
          </cell>
        </row>
        <row r="27">
          <cell r="B27">
            <v>40302</v>
          </cell>
          <cell r="C27" t="str">
            <v>Escavação, carga e transp. de mat. de 2ª cat. 50 &lt; DMT &lt; 200 m</v>
          </cell>
          <cell r="D27" t="str">
            <v>m³</v>
          </cell>
        </row>
        <row r="28">
          <cell r="B28">
            <v>40303</v>
          </cell>
          <cell r="C28" t="str">
            <v>Escavação, carga e transp. de mat. de 2ª cat. 200 &lt; DMT &lt; 400 m</v>
          </cell>
          <cell r="D28" t="str">
            <v>m³</v>
          </cell>
        </row>
        <row r="29">
          <cell r="B29">
            <v>40304</v>
          </cell>
          <cell r="C29" t="str">
            <v>Escavação, carga e transp. de mat. de 2ª cat. 400 &lt; DMT &lt; 600 m</v>
          </cell>
          <cell r="D29" t="str">
            <v>m³</v>
          </cell>
        </row>
        <row r="30">
          <cell r="B30">
            <v>40305</v>
          </cell>
          <cell r="C30" t="str">
            <v>Escavação, carga e transp. de mat. de 2ª cat. 600 &lt; DMT &lt; 800 m</v>
          </cell>
          <cell r="D30" t="str">
            <v>m³</v>
          </cell>
          <cell r="I30">
            <v>6159.39</v>
          </cell>
        </row>
        <row r="31">
          <cell r="B31">
            <v>40306</v>
          </cell>
          <cell r="C31" t="str">
            <v>Escavação, carga e transp. de mat. de 2ª cat. 800 &lt; DMT &lt; 1000 m</v>
          </cell>
          <cell r="D31" t="str">
            <v>m³</v>
          </cell>
          <cell r="I31">
            <v>1052.415</v>
          </cell>
        </row>
        <row r="32">
          <cell r="B32">
            <v>40401</v>
          </cell>
          <cell r="C32" t="str">
            <v>Escavação, carga e transp. de mat. de 3ª cat. DMT &lt; 50 m</v>
          </cell>
          <cell r="D32" t="str">
            <v>m³</v>
          </cell>
        </row>
        <row r="33">
          <cell r="B33">
            <v>40402</v>
          </cell>
          <cell r="C33" t="str">
            <v>Escavação, carga e transp. de mat. de 3ª cat. 50 &lt; DMT &lt; 200 m</v>
          </cell>
          <cell r="D33" t="str">
            <v>m³</v>
          </cell>
        </row>
        <row r="34">
          <cell r="B34">
            <v>40403</v>
          </cell>
          <cell r="C34" t="str">
            <v>Escavação, carga e transp. de mat. de 3ª cat. 200 &lt; DMT &lt; 400 m</v>
          </cell>
          <cell r="D34" t="str">
            <v>m³</v>
          </cell>
        </row>
        <row r="35">
          <cell r="B35">
            <v>40404</v>
          </cell>
          <cell r="C35" t="str">
            <v>Escavação, carga e transp. de mat. de 3ª cat. 400 &lt; DMT &lt; 600 m</v>
          </cell>
          <cell r="D35" t="str">
            <v>m³</v>
          </cell>
        </row>
        <row r="36">
          <cell r="B36">
            <v>40405</v>
          </cell>
          <cell r="C36" t="str">
            <v>Escavação, carga e transp. de mat. de 3ª cat. 600 &lt; DMT &lt; 800 m</v>
          </cell>
          <cell r="D36" t="str">
            <v>m³</v>
          </cell>
        </row>
        <row r="37">
          <cell r="B37">
            <v>40406</v>
          </cell>
          <cell r="C37" t="str">
            <v>Escavação, carga e transp. de mat. de 3ª cat. 800 &lt; DMT &lt; 1000 m</v>
          </cell>
          <cell r="D37" t="str">
            <v>m³</v>
          </cell>
        </row>
        <row r="38">
          <cell r="B38">
            <v>40407</v>
          </cell>
          <cell r="C38" t="str">
            <v>Escavação, carga e transp. de mat. de 3ª cat. 1000 &lt; DMT &lt; 1200 m</v>
          </cell>
          <cell r="D38" t="str">
            <v>m³</v>
          </cell>
        </row>
        <row r="39">
          <cell r="B39">
            <v>40510</v>
          </cell>
          <cell r="C39" t="str">
            <v>Compactação de aterros a 95% do Proctor Normal</v>
          </cell>
          <cell r="D39" t="str">
            <v>m³</v>
          </cell>
        </row>
        <row r="40">
          <cell r="B40">
            <v>40520</v>
          </cell>
          <cell r="C40" t="str">
            <v>Compactação de aterros a 100% do Proctor Normal</v>
          </cell>
          <cell r="D40" t="str">
            <v>m³</v>
          </cell>
        </row>
        <row r="41">
          <cell r="B41">
            <v>40710</v>
          </cell>
          <cell r="C41" t="str">
            <v>Preenchimento de rebaixo em rocha</v>
          </cell>
          <cell r="D41" t="str">
            <v>m³</v>
          </cell>
        </row>
        <row r="43">
          <cell r="B43">
            <v>50000</v>
          </cell>
          <cell r="C43" t="str">
            <v>PAVIMENTAÇÃO</v>
          </cell>
        </row>
        <row r="44">
          <cell r="B44">
            <v>50100</v>
          </cell>
          <cell r="C44" t="str">
            <v>Regularização do sub-leito</v>
          </cell>
          <cell r="D44" t="str">
            <v>m²</v>
          </cell>
        </row>
        <row r="45">
          <cell r="B45">
            <v>50210</v>
          </cell>
          <cell r="C45" t="str">
            <v>Sub-base de solo estabilizado sem mistura</v>
          </cell>
          <cell r="D45" t="str">
            <v>m³</v>
          </cell>
        </row>
        <row r="46">
          <cell r="B46">
            <v>50230</v>
          </cell>
          <cell r="C46" t="str">
            <v>Base de solo estabilizado sem mistura</v>
          </cell>
          <cell r="D46" t="str">
            <v>m³</v>
          </cell>
        </row>
        <row r="47">
          <cell r="B47">
            <v>50610</v>
          </cell>
          <cell r="C47" t="str">
            <v>Imprimação asfáltica - execução</v>
          </cell>
          <cell r="D47" t="str">
            <v>m²</v>
          </cell>
        </row>
        <row r="48">
          <cell r="B48">
            <v>50620</v>
          </cell>
          <cell r="C48" t="str">
            <v>Pintura de ligação - execução</v>
          </cell>
          <cell r="D48" t="str">
            <v>m²</v>
          </cell>
        </row>
        <row r="49">
          <cell r="B49">
            <v>50740</v>
          </cell>
          <cell r="C49" t="str">
            <v>Concreto betuminoso usinado a quente</v>
          </cell>
          <cell r="D49" t="str">
            <v>m³</v>
          </cell>
        </row>
        <row r="50">
          <cell r="B50">
            <v>50745</v>
          </cell>
          <cell r="C50" t="str">
            <v>Concreto betuminoso usinado a quente para Binder</v>
          </cell>
          <cell r="D50" t="str">
            <v>m³</v>
          </cell>
        </row>
        <row r="51">
          <cell r="B51">
            <v>52010</v>
          </cell>
          <cell r="C51" t="str">
            <v>Transporte de material de jazida para sub-base e base</v>
          </cell>
          <cell r="D51" t="str">
            <v>m³xkm</v>
          </cell>
        </row>
        <row r="52">
          <cell r="B52">
            <v>52100</v>
          </cell>
          <cell r="C52" t="str">
            <v>Fornecimento e transporte de cimento asfáltico penetração CAP-20</v>
          </cell>
          <cell r="D52" t="str">
            <v>t</v>
          </cell>
        </row>
        <row r="53">
          <cell r="B53">
            <v>52200</v>
          </cell>
          <cell r="C53" t="str">
            <v>Fornecimento e transporte de asfalto CM-30</v>
          </cell>
          <cell r="D53" t="str">
            <v>t</v>
          </cell>
        </row>
        <row r="54">
          <cell r="B54">
            <v>52300</v>
          </cell>
          <cell r="C54" t="str">
            <v>Fornecimento e transporte de emulsão asfáltica RR-2C</v>
          </cell>
          <cell r="D54" t="str">
            <v>t</v>
          </cell>
        </row>
        <row r="55">
          <cell r="B55">
            <v>90219</v>
          </cell>
          <cell r="C55" t="str">
            <v>Remoção de pavimento</v>
          </cell>
          <cell r="D55" t="str">
            <v>m³</v>
          </cell>
        </row>
        <row r="56">
          <cell r="B56">
            <v>90543</v>
          </cell>
          <cell r="C56" t="str">
            <v>Transporte de C.B.U.Q. / Binder</v>
          </cell>
          <cell r="D56" t="str">
            <v>txkm</v>
          </cell>
        </row>
        <row r="58">
          <cell r="B58">
            <v>55000</v>
          </cell>
          <cell r="C58" t="str">
            <v>DRENAGEM</v>
          </cell>
        </row>
        <row r="59">
          <cell r="B59">
            <v>55110</v>
          </cell>
          <cell r="C59" t="str">
            <v>Dreno longitudinal para corte em rocha</v>
          </cell>
          <cell r="D59" t="str">
            <v>m</v>
          </cell>
        </row>
        <row r="60">
          <cell r="B60">
            <v>55130</v>
          </cell>
          <cell r="C60" t="str">
            <v>Dreno longitudinal para corte em solo tipo B (com Bidim)</v>
          </cell>
          <cell r="D60" t="str">
            <v>m</v>
          </cell>
        </row>
        <row r="61">
          <cell r="B61">
            <v>55150</v>
          </cell>
          <cell r="C61" t="str">
            <v>Dreno transversal de base</v>
          </cell>
          <cell r="D61" t="str">
            <v>m</v>
          </cell>
        </row>
        <row r="62">
          <cell r="B62">
            <v>55310</v>
          </cell>
          <cell r="C62" t="str">
            <v>Valeta de proteção sem revestimento</v>
          </cell>
          <cell r="D62" t="str">
            <v>m</v>
          </cell>
        </row>
        <row r="63">
          <cell r="B63">
            <v>55320</v>
          </cell>
          <cell r="C63" t="str">
            <v>Valeta de proteção com revestimento vegetal</v>
          </cell>
          <cell r="D63" t="str">
            <v>m</v>
          </cell>
        </row>
        <row r="64">
          <cell r="B64">
            <v>55330</v>
          </cell>
          <cell r="C64" t="str">
            <v>Valeta de proteção com revestimento em concreto para corte</v>
          </cell>
          <cell r="D64" t="str">
            <v>m</v>
          </cell>
        </row>
        <row r="65">
          <cell r="C65" t="str">
            <v>COMISSÃO DE FISCALIZAÇÃO</v>
          </cell>
        </row>
        <row r="72">
          <cell r="B72">
            <v>55340</v>
          </cell>
          <cell r="C72" t="str">
            <v>Valeta de proteção com revestimento em concreto para aterro</v>
          </cell>
          <cell r="D72" t="str">
            <v>m</v>
          </cell>
        </row>
        <row r="73">
          <cell r="B73">
            <v>55410</v>
          </cell>
          <cell r="C73" t="str">
            <v>Meio fio simples</v>
          </cell>
          <cell r="D73" t="str">
            <v>m</v>
          </cell>
        </row>
        <row r="74">
          <cell r="B74">
            <v>55500</v>
          </cell>
          <cell r="C74" t="str">
            <v>Meio fio com sarjeta conjugada</v>
          </cell>
          <cell r="D74" t="str">
            <v>m</v>
          </cell>
        </row>
        <row r="75">
          <cell r="B75">
            <v>55501</v>
          </cell>
          <cell r="C75" t="str">
            <v>Entrada d'água tipo I</v>
          </cell>
          <cell r="D75" t="str">
            <v>ud</v>
          </cell>
        </row>
        <row r="76">
          <cell r="B76">
            <v>55502</v>
          </cell>
          <cell r="C76" t="str">
            <v>Entrada d'água tipo II</v>
          </cell>
          <cell r="D76" t="str">
            <v>ud</v>
          </cell>
        </row>
        <row r="77">
          <cell r="B77">
            <v>55503</v>
          </cell>
          <cell r="C77" t="str">
            <v>Descida d'água tipo I</v>
          </cell>
          <cell r="D77" t="str">
            <v>m</v>
          </cell>
        </row>
        <row r="78">
          <cell r="B78">
            <v>55504</v>
          </cell>
          <cell r="C78" t="str">
            <v>Descida d'água tipo II</v>
          </cell>
          <cell r="D78" t="str">
            <v>m</v>
          </cell>
        </row>
        <row r="79">
          <cell r="B79">
            <v>55505</v>
          </cell>
          <cell r="C79" t="str">
            <v>Bacia de amortecimento tipo I e II</v>
          </cell>
          <cell r="D79" t="str">
            <v>ud</v>
          </cell>
        </row>
        <row r="80">
          <cell r="B80">
            <v>55510</v>
          </cell>
          <cell r="C80" t="str">
            <v>Sarjeta de corte tipo A</v>
          </cell>
          <cell r="D80" t="str">
            <v>m</v>
          </cell>
        </row>
        <row r="81">
          <cell r="B81">
            <v>55610</v>
          </cell>
          <cell r="C81" t="str">
            <v>Saída d'água de sarjeta tipo A</v>
          </cell>
          <cell r="D81" t="str">
            <v>ud</v>
          </cell>
        </row>
        <row r="82">
          <cell r="B82">
            <v>55720</v>
          </cell>
          <cell r="C82" t="str">
            <v>Caixa coletora tipo B</v>
          </cell>
          <cell r="D82" t="str">
            <v>ud</v>
          </cell>
        </row>
        <row r="84">
          <cell r="B84">
            <v>60000</v>
          </cell>
          <cell r="C84" t="str">
            <v>OBRAS DE ARTE CORRENTES</v>
          </cell>
        </row>
        <row r="85">
          <cell r="B85">
            <v>60103</v>
          </cell>
          <cell r="C85" t="str">
            <v>Corpo de BSTC ø = 0,80 m, tipo CA-1, inclusive berço</v>
          </cell>
          <cell r="D85" t="str">
            <v>m</v>
          </cell>
        </row>
        <row r="86">
          <cell r="B86">
            <v>60104</v>
          </cell>
          <cell r="C86" t="str">
            <v>Corpo de BSTC ø = 1,00 m, tipo CA-1, inclusive berço</v>
          </cell>
          <cell r="D86" t="str">
            <v>m</v>
          </cell>
        </row>
        <row r="87">
          <cell r="B87">
            <v>60105</v>
          </cell>
          <cell r="C87" t="str">
            <v>Corpo de BSTC ø = 1,20 m, tipo CA-1, inclusive berço</v>
          </cell>
          <cell r="D87" t="str">
            <v>m</v>
          </cell>
        </row>
        <row r="88">
          <cell r="B88">
            <v>60108</v>
          </cell>
          <cell r="C88" t="str">
            <v>Corpo de BDTC ø = 1,20 m, tipo CA-1, inclusive berço</v>
          </cell>
          <cell r="D88" t="str">
            <v>m</v>
          </cell>
        </row>
        <row r="89">
          <cell r="B89">
            <v>60111</v>
          </cell>
          <cell r="C89" t="str">
            <v>Corpo de BTTC ø = 1,00 m, tipo CA-1, inclusive berço</v>
          </cell>
          <cell r="D89" t="str">
            <v>m</v>
          </cell>
        </row>
        <row r="90">
          <cell r="B90">
            <v>60112</v>
          </cell>
          <cell r="C90" t="str">
            <v>Corpo de BTTC ø = 1,20 m, tipo CA-1, inclusive berço</v>
          </cell>
          <cell r="D90" t="str">
            <v>m</v>
          </cell>
        </row>
        <row r="91">
          <cell r="B91">
            <v>60203</v>
          </cell>
          <cell r="C91" t="str">
            <v>Boca de bueiro simples tubular de concreto ø = 0,80 m</v>
          </cell>
          <cell r="D91" t="str">
            <v>ud</v>
          </cell>
        </row>
        <row r="92">
          <cell r="B92">
            <v>60204</v>
          </cell>
          <cell r="C92" t="str">
            <v>Boca de bueiro simples tubular de concreto ø = 1,00 m</v>
          </cell>
          <cell r="D92" t="str">
            <v>ud</v>
          </cell>
        </row>
        <row r="93">
          <cell r="B93">
            <v>60205</v>
          </cell>
          <cell r="C93" t="str">
            <v>Boca de bueiro simples tubular de concreto ø = 1,20 m</v>
          </cell>
          <cell r="D93" t="str">
            <v>ud</v>
          </cell>
        </row>
        <row r="94">
          <cell r="B94">
            <v>60208</v>
          </cell>
          <cell r="C94" t="str">
            <v>Boca de bueiro duplo tubular de concreto ø = 1,20 m</v>
          </cell>
          <cell r="D94" t="str">
            <v>ud</v>
          </cell>
        </row>
        <row r="95">
          <cell r="B95">
            <v>60211</v>
          </cell>
          <cell r="C95" t="str">
            <v>Boca de bueiro triplo tubular de concreto ø = 1,00 m</v>
          </cell>
          <cell r="D95" t="str">
            <v>ud</v>
          </cell>
        </row>
        <row r="96">
          <cell r="B96">
            <v>60212</v>
          </cell>
          <cell r="C96" t="str">
            <v>Boca de bueiro triplo tubular de concreto ø = 1,20 m</v>
          </cell>
          <cell r="D96" t="str">
            <v>ud</v>
          </cell>
        </row>
        <row r="97">
          <cell r="B97">
            <v>61130</v>
          </cell>
          <cell r="C97" t="str">
            <v>Escavação manual de valas em material de 3ª categoria</v>
          </cell>
          <cell r="D97" t="str">
            <v>m³</v>
          </cell>
        </row>
        <row r="98">
          <cell r="B98">
            <v>61140</v>
          </cell>
          <cell r="C98" t="str">
            <v>Escavação mecânica de valas em material de 1ª categoria</v>
          </cell>
          <cell r="D98" t="str">
            <v>m³</v>
          </cell>
        </row>
        <row r="99">
          <cell r="B99">
            <v>61150</v>
          </cell>
          <cell r="C99" t="str">
            <v>Escavação mecânica de valas em material de 2ª categoria</v>
          </cell>
          <cell r="D99" t="str">
            <v>m³</v>
          </cell>
        </row>
        <row r="100">
          <cell r="B100">
            <v>61160</v>
          </cell>
          <cell r="C100" t="str">
            <v>Reaterro e compactação com placa vibratória</v>
          </cell>
          <cell r="D100" t="str">
            <v>m³</v>
          </cell>
        </row>
        <row r="101">
          <cell r="B101">
            <v>61200</v>
          </cell>
          <cell r="C101" t="str">
            <v>Demolição de estrutura de concreto</v>
          </cell>
          <cell r="D101" t="str">
            <v>m³</v>
          </cell>
        </row>
        <row r="102">
          <cell r="B102">
            <v>61410</v>
          </cell>
          <cell r="C102" t="str">
            <v>Remoção de bueiros tubulares</v>
          </cell>
          <cell r="D102" t="str">
            <v>m</v>
          </cell>
        </row>
        <row r="104">
          <cell r="B104">
            <v>80000</v>
          </cell>
          <cell r="C104" t="str">
            <v>OBRAS COMPLEMENTARES</v>
          </cell>
        </row>
        <row r="105">
          <cell r="B105">
            <v>80110</v>
          </cell>
          <cell r="C105" t="str">
            <v>Remoção e reconstrução de cercas</v>
          </cell>
          <cell r="D105" t="str">
            <v>m</v>
          </cell>
        </row>
        <row r="106">
          <cell r="B106">
            <v>80210</v>
          </cell>
          <cell r="C106" t="str">
            <v>Defensa com perfil e suporte metálico</v>
          </cell>
          <cell r="D106" t="str">
            <v>m</v>
          </cell>
        </row>
        <row r="107">
          <cell r="B107">
            <v>80302</v>
          </cell>
          <cell r="C107" t="str">
            <v>Placa de regulamentação circular ø = 1,00 m</v>
          </cell>
          <cell r="D107" t="str">
            <v>ud</v>
          </cell>
        </row>
        <row r="108">
          <cell r="B108">
            <v>80304</v>
          </cell>
          <cell r="C108" t="str">
            <v>Placa de regulamentação triangular L = 1,00 m</v>
          </cell>
          <cell r="D108" t="str">
            <v>ud</v>
          </cell>
        </row>
        <row r="109">
          <cell r="B109">
            <v>80305</v>
          </cell>
          <cell r="C109" t="str">
            <v>Placa de regulamentação de parada obrigatória (octagonal)</v>
          </cell>
          <cell r="D109" t="str">
            <v>ud</v>
          </cell>
        </row>
        <row r="110">
          <cell r="B110">
            <v>80307</v>
          </cell>
          <cell r="C110" t="str">
            <v>Placa de advertência (1,00 x 1,00 m)</v>
          </cell>
          <cell r="D110" t="str">
            <v>ud</v>
          </cell>
        </row>
        <row r="111">
          <cell r="B111">
            <v>80310</v>
          </cell>
          <cell r="C111" t="str">
            <v>Placa de identificação de rodovia</v>
          </cell>
          <cell r="D111" t="str">
            <v>ud</v>
          </cell>
        </row>
        <row r="112">
          <cell r="B112">
            <v>80332</v>
          </cell>
          <cell r="C112" t="str">
            <v>Placa de indicação (2,00 x 1,00 m)</v>
          </cell>
          <cell r="D112" t="str">
            <v>ud</v>
          </cell>
        </row>
        <row r="113">
          <cell r="B113">
            <v>80415</v>
          </cell>
          <cell r="C113" t="str">
            <v>Pintura de faixas horizontais para 2 anos de duração</v>
          </cell>
          <cell r="D113" t="str">
            <v>m²</v>
          </cell>
        </row>
        <row r="114">
          <cell r="B114">
            <v>80425</v>
          </cell>
          <cell r="C114" t="str">
            <v>Pintura de setas e zebrados para 2 anos de duração</v>
          </cell>
          <cell r="D114" t="str">
            <v>m²</v>
          </cell>
        </row>
        <row r="115">
          <cell r="B115">
            <v>80430</v>
          </cell>
          <cell r="C115" t="str">
            <v>Tacha refletiva bidirecional</v>
          </cell>
          <cell r="D115" t="str">
            <v>ud</v>
          </cell>
        </row>
        <row r="116">
          <cell r="B116">
            <v>80435</v>
          </cell>
          <cell r="C116" t="str">
            <v>Tachão refletivo bidirecional</v>
          </cell>
          <cell r="D116" t="str">
            <v>ud</v>
          </cell>
        </row>
        <row r="117">
          <cell r="B117">
            <v>80512</v>
          </cell>
          <cell r="C117" t="str">
            <v>Plantio de gramas em placas</v>
          </cell>
          <cell r="D117" t="str">
            <v>m²</v>
          </cell>
        </row>
        <row r="118">
          <cell r="C118" t="str">
            <v>Barreira de concreto do tipo New Jersey</v>
          </cell>
          <cell r="D118" t="str">
            <v>m</v>
          </cell>
        </row>
        <row r="119">
          <cell r="C119" t="str">
            <v>Início/final de barreira tipo New Jersey</v>
          </cell>
          <cell r="D119" t="str">
            <v>ud</v>
          </cell>
        </row>
        <row r="121">
          <cell r="C121" t="str">
            <v>RESTAURAÇÃO</v>
          </cell>
        </row>
        <row r="122">
          <cell r="B122">
            <v>90000</v>
          </cell>
          <cell r="C122" t="str">
            <v>SERVIÇOS DE CONSERVAÇÃO</v>
          </cell>
        </row>
        <row r="123">
          <cell r="B123">
            <v>90110</v>
          </cell>
          <cell r="C123" t="str">
            <v>Tapa buraco com mistura betuminosa</v>
          </cell>
          <cell r="D123" t="str">
            <v>m³</v>
          </cell>
        </row>
        <row r="124">
          <cell r="B124">
            <v>90115</v>
          </cell>
          <cell r="C124" t="str">
            <v>Limpeza manual de vala de drenagem</v>
          </cell>
          <cell r="D124" t="str">
            <v>m</v>
          </cell>
        </row>
        <row r="125">
          <cell r="C125" t="str">
            <v>COMISSÃO DE FISCALIZAÇÃO</v>
          </cell>
        </row>
        <row r="132">
          <cell r="B132">
            <v>90118</v>
          </cell>
          <cell r="C132" t="str">
            <v>Desobstrução de bueiro</v>
          </cell>
          <cell r="D132" t="str">
            <v>m³</v>
          </cell>
        </row>
        <row r="134">
          <cell r="B134">
            <v>40000</v>
          </cell>
          <cell r="C134" t="str">
            <v>TERRAPLENAGEM</v>
          </cell>
        </row>
        <row r="135">
          <cell r="B135">
            <v>40110</v>
          </cell>
          <cell r="C135" t="str">
            <v>Desmatamento, destocamento e limpeza em mata</v>
          </cell>
          <cell r="D135" t="str">
            <v>m²</v>
          </cell>
        </row>
        <row r="136">
          <cell r="B136">
            <v>40202</v>
          </cell>
          <cell r="C136" t="str">
            <v>Escavação, carga e transp. de mat. de 1ª cat. 50 &lt; DMT &lt; 200 m</v>
          </cell>
          <cell r="D136" t="str">
            <v>m³</v>
          </cell>
        </row>
        <row r="137">
          <cell r="B137">
            <v>40203</v>
          </cell>
          <cell r="C137" t="str">
            <v>Escavação, carga e transp. de mat. de 1ª cat. 200 &lt; DMT &lt; 400 m</v>
          </cell>
          <cell r="D137" t="str">
            <v>m³</v>
          </cell>
        </row>
        <row r="138">
          <cell r="B138">
            <v>40205</v>
          </cell>
          <cell r="C138" t="str">
            <v>Escavação, carga e transp. de mat. de 1ª cat. 600 &lt; DMT &lt; 800 m</v>
          </cell>
          <cell r="D138" t="str">
            <v>m³</v>
          </cell>
        </row>
        <row r="139">
          <cell r="B139">
            <v>40206</v>
          </cell>
          <cell r="C139" t="str">
            <v>Escavação, carga e transp. de mat. de 1ª cat. 800 &lt; DMT &lt; 1000 m</v>
          </cell>
          <cell r="D139" t="str">
            <v>m³</v>
          </cell>
        </row>
        <row r="140">
          <cell r="B140">
            <v>40401</v>
          </cell>
          <cell r="C140" t="str">
            <v>Escavação, carga e transp. de mat. de 3ª cat. DMT &lt; 50 m</v>
          </cell>
          <cell r="D140" t="str">
            <v>m³</v>
          </cell>
        </row>
        <row r="141">
          <cell r="B141">
            <v>40402</v>
          </cell>
          <cell r="C141" t="str">
            <v>Escavação, carga e transp. de mat. de 3ª cat. 50 &lt; DMT &lt; 200 m</v>
          </cell>
          <cell r="D141" t="str">
            <v>m³</v>
          </cell>
        </row>
        <row r="142">
          <cell r="B142">
            <v>40403</v>
          </cell>
          <cell r="C142" t="str">
            <v>Escavação, carga e transp. de mat. de 3ª cat. 200 &lt; DMT &lt; 400 m</v>
          </cell>
          <cell r="D142" t="str">
            <v>m³</v>
          </cell>
        </row>
        <row r="143">
          <cell r="B143">
            <v>40404</v>
          </cell>
          <cell r="C143" t="str">
            <v>Escavação, carga e transp. de mat. de 3ª cat. 400 &lt; DMT &lt; 600 m</v>
          </cell>
          <cell r="D143" t="str">
            <v>m³</v>
          </cell>
        </row>
        <row r="144">
          <cell r="B144">
            <v>40510</v>
          </cell>
          <cell r="C144" t="str">
            <v>Compactação de aterros a 95% do Proctor Normal</v>
          </cell>
          <cell r="D144" t="str">
            <v>m³</v>
          </cell>
        </row>
        <row r="145">
          <cell r="B145">
            <v>40520</v>
          </cell>
          <cell r="C145" t="str">
            <v>Compactação de aterros a 100% do Proctor Normal</v>
          </cell>
          <cell r="D145" t="str">
            <v>m³</v>
          </cell>
        </row>
        <row r="147">
          <cell r="B147">
            <v>50000</v>
          </cell>
          <cell r="C147" t="str">
            <v>PAVIMENTAÇÃO</v>
          </cell>
        </row>
        <row r="148">
          <cell r="B148">
            <v>40910</v>
          </cell>
          <cell r="C148" t="str">
            <v>Transporte de brita</v>
          </cell>
          <cell r="D148" t="str">
            <v>txkm</v>
          </cell>
        </row>
        <row r="149">
          <cell r="B149">
            <v>50100</v>
          </cell>
          <cell r="C149" t="str">
            <v>Regularização do sub-leito</v>
          </cell>
          <cell r="D149" t="str">
            <v>m²</v>
          </cell>
        </row>
        <row r="150">
          <cell r="B150">
            <v>50210</v>
          </cell>
          <cell r="C150" t="str">
            <v>Sub-base de solo estabilizado sem mistura</v>
          </cell>
          <cell r="D150" t="str">
            <v>m³</v>
          </cell>
        </row>
        <row r="151">
          <cell r="B151">
            <v>50230</v>
          </cell>
          <cell r="C151" t="str">
            <v>Base de solo estabilizado sem mistura</v>
          </cell>
          <cell r="D151" t="str">
            <v>m³</v>
          </cell>
        </row>
        <row r="152">
          <cell r="B152">
            <v>50610</v>
          </cell>
          <cell r="C152" t="str">
            <v>Imprimação asfáltica - execução</v>
          </cell>
          <cell r="D152" t="str">
            <v>m²</v>
          </cell>
        </row>
        <row r="153">
          <cell r="B153">
            <v>50620</v>
          </cell>
          <cell r="C153" t="str">
            <v>Pintura de ligação - execução</v>
          </cell>
          <cell r="D153" t="str">
            <v>m²</v>
          </cell>
        </row>
        <row r="154">
          <cell r="B154">
            <v>50740</v>
          </cell>
          <cell r="C154" t="str">
            <v>Concreto betuminoso usinado a quente</v>
          </cell>
          <cell r="D154" t="str">
            <v>m³</v>
          </cell>
        </row>
        <row r="155">
          <cell r="B155">
            <v>50745</v>
          </cell>
          <cell r="C155" t="str">
            <v>Concreto betuminoso usinado a quente para Binder</v>
          </cell>
          <cell r="D155" t="str">
            <v>m³</v>
          </cell>
        </row>
        <row r="156">
          <cell r="B156">
            <v>52010</v>
          </cell>
          <cell r="C156" t="str">
            <v>Transporte de material de jazida para sub-base e base</v>
          </cell>
          <cell r="D156" t="str">
            <v>m³xkm</v>
          </cell>
        </row>
        <row r="157">
          <cell r="B157">
            <v>52100</v>
          </cell>
          <cell r="C157" t="str">
            <v>Fornecimento e transporte de cimento asfáltico penetração CAP-20</v>
          </cell>
          <cell r="D157" t="str">
            <v>t</v>
          </cell>
        </row>
        <row r="158">
          <cell r="B158">
            <v>52200</v>
          </cell>
          <cell r="C158" t="str">
            <v>Fornecimento e transporte de asfalto CM-30</v>
          </cell>
          <cell r="D158" t="str">
            <v>t</v>
          </cell>
        </row>
        <row r="159">
          <cell r="B159">
            <v>52300</v>
          </cell>
          <cell r="C159" t="str">
            <v>Fornecimento e transporte de emulsão asfáltica RR-2C</v>
          </cell>
          <cell r="D159" t="str">
            <v>t</v>
          </cell>
        </row>
        <row r="160">
          <cell r="B160">
            <v>90219</v>
          </cell>
          <cell r="C160" t="str">
            <v>Remoção de pavimento</v>
          </cell>
          <cell r="D160" t="str">
            <v>m³</v>
          </cell>
        </row>
        <row r="161">
          <cell r="B161">
            <v>90543</v>
          </cell>
          <cell r="C161" t="str">
            <v>Transporte de C.B.U.Q. / Binder</v>
          </cell>
          <cell r="D161" t="str">
            <v>txkm</v>
          </cell>
        </row>
        <row r="163">
          <cell r="B163">
            <v>55000</v>
          </cell>
          <cell r="C163" t="str">
            <v>DRENAGEM</v>
          </cell>
        </row>
        <row r="164">
          <cell r="B164">
            <v>55330</v>
          </cell>
          <cell r="C164" t="str">
            <v>Valeta de proteção com revestimento em concreto para corte</v>
          </cell>
          <cell r="D164" t="str">
            <v>m</v>
          </cell>
        </row>
        <row r="165">
          <cell r="B165">
            <v>55750</v>
          </cell>
          <cell r="C165" t="str">
            <v>Colchão drenante</v>
          </cell>
          <cell r="D165" t="str">
            <v>m³</v>
          </cell>
        </row>
        <row r="167">
          <cell r="B167">
            <v>80000</v>
          </cell>
          <cell r="C167" t="str">
            <v>OBRAS COMPLEMENTARES</v>
          </cell>
        </row>
        <row r="168">
          <cell r="B168">
            <v>80415</v>
          </cell>
          <cell r="C168" t="str">
            <v>Pintura de faixas horiz. p/ 2 anos de duração (contínua amarela)</v>
          </cell>
          <cell r="D168" t="str">
            <v>m²</v>
          </cell>
        </row>
        <row r="169">
          <cell r="B169">
            <v>80415</v>
          </cell>
          <cell r="C169" t="str">
            <v>Pintura de faixas horiz. p/ 2 anos de duração (tracejada amarela)</v>
          </cell>
          <cell r="D169" t="str">
            <v>m²</v>
          </cell>
        </row>
        <row r="170">
          <cell r="B170">
            <v>80415</v>
          </cell>
          <cell r="C170" t="str">
            <v>Pintura de faixas horiz. p/ 2 anos de duração (contínua branca)</v>
          </cell>
          <cell r="D170" t="str">
            <v>m²</v>
          </cell>
        </row>
        <row r="171">
          <cell r="B171">
            <v>80415</v>
          </cell>
          <cell r="C171" t="str">
            <v>Pintura de faixas horiz. p/ 2 anos de duração (tracejada branca)</v>
          </cell>
          <cell r="D171" t="str">
            <v>m²</v>
          </cell>
        </row>
        <row r="172">
          <cell r="B172">
            <v>80302</v>
          </cell>
          <cell r="C172" t="str">
            <v>Placa de regulamentação circular ø = 1,00 m</v>
          </cell>
          <cell r="D172" t="str">
            <v>ud</v>
          </cell>
        </row>
        <row r="173">
          <cell r="B173">
            <v>80305</v>
          </cell>
          <cell r="C173" t="str">
            <v>Placa de regulamentação de parada obrigatória (octagonal)</v>
          </cell>
          <cell r="D173" t="str">
            <v>ud</v>
          </cell>
        </row>
        <row r="174">
          <cell r="B174">
            <v>80307</v>
          </cell>
          <cell r="C174" t="str">
            <v>Placa de advertência (1,00 x 1,00 m)</v>
          </cell>
          <cell r="D174" t="str">
            <v>ud</v>
          </cell>
        </row>
        <row r="175">
          <cell r="B175">
            <v>80310</v>
          </cell>
          <cell r="C175" t="str">
            <v>Placa de identificação de rodovia</v>
          </cell>
          <cell r="D175" t="str">
            <v>ud</v>
          </cell>
        </row>
        <row r="176">
          <cell r="B176">
            <v>80320</v>
          </cell>
          <cell r="C176" t="str">
            <v>Marco quilométrico</v>
          </cell>
          <cell r="D176" t="str">
            <v>ud</v>
          </cell>
        </row>
        <row r="177">
          <cell r="B177">
            <v>80332</v>
          </cell>
          <cell r="C177" t="str">
            <v>Placa de indicação (2,00 x 1,00 m)</v>
          </cell>
          <cell r="D177" t="str">
            <v>ud</v>
          </cell>
        </row>
        <row r="178">
          <cell r="C178" t="str">
            <v>Tangará da Serra/MT, 3 de setembro de 2001.</v>
          </cell>
        </row>
        <row r="179">
          <cell r="C179" t="str">
            <v>COMISSÃO DE FISCALIZAÇÃO</v>
          </cell>
        </row>
      </sheetData>
      <sheetData sheetId="2" refreshError="1">
        <row r="36">
          <cell r="C36" t="str">
            <v>Escavação, carga e transp. de mat. de 3ª cat. 600 &lt; DMT &lt; 800 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12">
          <cell r="B12" t="str">
            <v>ENTRADA DE DADOS</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Serviços"/>
      <sheetName val="Orçamento"/>
      <sheetName val="TRANSPORTE"/>
      <sheetName val="DRENAGEM"/>
      <sheetName val="quadro 08 - composições"/>
      <sheetName val="dados de entrada concorrência"/>
      <sheetName val="utr 2"/>
    </sheetNames>
    <sheetDataSet>
      <sheetData sheetId="0" refreshError="1"/>
      <sheetData sheetId="1">
        <row r="17">
          <cell r="B17" t="str">
            <v>TERRAPLENAGEM</v>
          </cell>
          <cell r="C17" t="str">
            <v/>
          </cell>
        </row>
        <row r="18">
          <cell r="A18" t="str">
            <v>2 S 01 000 00</v>
          </cell>
          <cell r="B18" t="str">
            <v>Desm. dest. limpeza áreas c/arv. diam. até 0,15 m</v>
          </cell>
          <cell r="C18" t="str">
            <v>m2</v>
          </cell>
          <cell r="D18">
            <v>574000</v>
          </cell>
        </row>
        <row r="19">
          <cell r="A19" t="str">
            <v>2 S 01 100 03</v>
          </cell>
          <cell r="B19" t="str">
            <v>Esc. carga transp. mat 1ª cat DMT 200 a 400m c/m</v>
          </cell>
          <cell r="C19" t="str">
            <v>m3</v>
          </cell>
          <cell r="D19">
            <v>120254.129</v>
          </cell>
        </row>
        <row r="20">
          <cell r="A20" t="str">
            <v>2 S 01 100 06</v>
          </cell>
          <cell r="B20" t="str">
            <v>Esc. carga transp. mat 1ª cat DMT 800 a 1000m c/m</v>
          </cell>
          <cell r="C20" t="str">
            <v>m3</v>
          </cell>
          <cell r="D20">
            <v>240508.258</v>
          </cell>
        </row>
        <row r="21">
          <cell r="A21" t="str">
            <v>2 S 01 100 08</v>
          </cell>
          <cell r="B21" t="str">
            <v>Esc. carga transp. mat 1ª cat DMT 1200 a 1400m c/m</v>
          </cell>
          <cell r="C21" t="str">
            <v>m3</v>
          </cell>
          <cell r="D21">
            <v>90190.596999999994</v>
          </cell>
        </row>
        <row r="22">
          <cell r="A22" t="str">
            <v>2 S 01 100 18</v>
          </cell>
          <cell r="B22" t="str">
            <v>Esc. carga tr. mat 1ª c. DMT 1800 a 2000m c/carreg</v>
          </cell>
          <cell r="C22" t="str">
            <v>m3</v>
          </cell>
          <cell r="D22">
            <v>150317.66</v>
          </cell>
        </row>
        <row r="23">
          <cell r="A23" t="str">
            <v>2 S 01 510 00</v>
          </cell>
          <cell r="B23" t="str">
            <v>Compactação de aterros a 95% proctor normal</v>
          </cell>
          <cell r="C23" t="str">
            <v>m3</v>
          </cell>
          <cell r="D23">
            <v>181715.88</v>
          </cell>
        </row>
        <row r="24">
          <cell r="A24" t="str">
            <v>2 S 01 511 00</v>
          </cell>
          <cell r="B24" t="str">
            <v>Compactação de aterros a 100% proctor normal</v>
          </cell>
          <cell r="C24" t="str">
            <v>m3</v>
          </cell>
          <cell r="D24">
            <v>280800</v>
          </cell>
        </row>
        <row r="25">
          <cell r="B25" t="str">
            <v>PAVIMENTAÇÃO</v>
          </cell>
          <cell r="C25" t="str">
            <v/>
          </cell>
        </row>
        <row r="26">
          <cell r="A26" t="str">
            <v>2 S 02 110 00</v>
          </cell>
          <cell r="B26" t="str">
            <v>Regularização do subleito</v>
          </cell>
          <cell r="C26" t="str">
            <v>m2</v>
          </cell>
          <cell r="D26">
            <v>459270</v>
          </cell>
        </row>
        <row r="27">
          <cell r="A27" t="str">
            <v>2 S 02 200 00</v>
          </cell>
          <cell r="B27" t="str">
            <v>Sub-base solo estabilizado granul. s/ mistura</v>
          </cell>
          <cell r="C27" t="str">
            <v>m3</v>
          </cell>
          <cell r="D27">
            <v>157464</v>
          </cell>
        </row>
        <row r="28">
          <cell r="A28" t="str">
            <v>2 S 02 200 01</v>
          </cell>
          <cell r="B28" t="str">
            <v>Base solo estabilizado granul. s/ mistura</v>
          </cell>
          <cell r="C28" t="str">
            <v>m3</v>
          </cell>
          <cell r="D28">
            <v>88476.3</v>
          </cell>
        </row>
        <row r="29">
          <cell r="A29" t="str">
            <v>2 S 02 300 00</v>
          </cell>
          <cell r="B29" t="str">
            <v>Imprimação</v>
          </cell>
          <cell r="C29" t="str">
            <v>m2</v>
          </cell>
          <cell r="D29">
            <v>364500</v>
          </cell>
        </row>
        <row r="30">
          <cell r="A30" t="str">
            <v>2 S 02 500 01</v>
          </cell>
          <cell r="B30" t="str">
            <v>Tratamento superficial simples c/ emulsão</v>
          </cell>
          <cell r="C30" t="str">
            <v>m2</v>
          </cell>
          <cell r="D30">
            <v>81000</v>
          </cell>
        </row>
        <row r="31">
          <cell r="A31" t="str">
            <v>2 S 02 501 01</v>
          </cell>
          <cell r="B31" t="str">
            <v>Tratamento superficial duplo c/ emulsão</v>
          </cell>
          <cell r="C31" t="str">
            <v>m2</v>
          </cell>
          <cell r="D31">
            <v>283500</v>
          </cell>
        </row>
        <row r="32">
          <cell r="A32" t="str">
            <v>M103</v>
          </cell>
          <cell r="B32" t="str">
            <v>Asfalto diluído CM-30</v>
          </cell>
          <cell r="C32" t="str">
            <v>t</v>
          </cell>
          <cell r="D32">
            <v>438</v>
          </cell>
        </row>
        <row r="33">
          <cell r="A33" t="str">
            <v>M105</v>
          </cell>
          <cell r="B33" t="str">
            <v>Emulsão asfáltica RR-2C</v>
          </cell>
          <cell r="C33" t="str">
            <v>t</v>
          </cell>
          <cell r="D33">
            <v>966</v>
          </cell>
        </row>
        <row r="34">
          <cell r="A34" t="str">
            <v>2 S 09 002 05</v>
          </cell>
          <cell r="B34" t="str">
            <v>Transporte Local em Rodovia Pavimentada (Brita)</v>
          </cell>
          <cell r="C34" t="str">
            <v>tkm</v>
          </cell>
          <cell r="D34">
            <v>1183519.3500000001</v>
          </cell>
        </row>
        <row r="35">
          <cell r="A35" t="str">
            <v>2 S 09 001 05</v>
          </cell>
          <cell r="B35" t="str">
            <v>Transporte Local em Rodovia Não Pavimentada (Brita)</v>
          </cell>
          <cell r="C35" t="str">
            <v>tkm</v>
          </cell>
          <cell r="D35">
            <v>191183.89499999999</v>
          </cell>
        </row>
        <row r="36">
          <cell r="A36" t="str">
            <v>2 S 09 001 05</v>
          </cell>
          <cell r="B36" t="str">
            <v>Transporte Local em Rodovia Não Pavimentada (Base)</v>
          </cell>
          <cell r="C36" t="str">
            <v>tkm</v>
          </cell>
          <cell r="D36">
            <v>131908.864</v>
          </cell>
        </row>
        <row r="37">
          <cell r="A37" t="str">
            <v>2 S 09 001 05</v>
          </cell>
          <cell r="B37" t="str">
            <v>Transporte Local em Rodovia Não Pavimentada (Sub-Base)</v>
          </cell>
          <cell r="C37" t="str">
            <v>tkm</v>
          </cell>
          <cell r="D37">
            <v>82005.900160000005</v>
          </cell>
        </row>
        <row r="38">
          <cell r="A38" t="str">
            <v>M103</v>
          </cell>
          <cell r="B38" t="str">
            <v>Transporte de Asfalto Diluído CM-30</v>
          </cell>
          <cell r="C38" t="str">
            <v>t</v>
          </cell>
          <cell r="D38">
            <v>438</v>
          </cell>
        </row>
        <row r="39">
          <cell r="A39" t="str">
            <v>M105</v>
          </cell>
          <cell r="B39" t="str">
            <v>Transporte de Emulsão Asfáltica RR-2C</v>
          </cell>
          <cell r="C39" t="str">
            <v>t</v>
          </cell>
          <cell r="D39">
            <v>966</v>
          </cell>
        </row>
        <row r="40">
          <cell r="B40" t="str">
            <v>TOTAL</v>
          </cell>
        </row>
        <row r="44">
          <cell r="B44" t="str">
            <v>DRENAGEM</v>
          </cell>
          <cell r="C44" t="str">
            <v/>
          </cell>
        </row>
        <row r="45">
          <cell r="A45" t="str">
            <v>2 S 04 100 03</v>
          </cell>
          <cell r="B45" t="str">
            <v>Corpo BSTC D=1,00m</v>
          </cell>
          <cell r="C45" t="str">
            <v>m</v>
          </cell>
          <cell r="D45">
            <v>736</v>
          </cell>
        </row>
        <row r="46">
          <cell r="A46" t="str">
            <v>2 S 04 101 03</v>
          </cell>
          <cell r="B46" t="str">
            <v>Boca BSTC D=1,00m normal</v>
          </cell>
          <cell r="C46" t="str">
            <v>und</v>
          </cell>
          <cell r="D46">
            <v>84</v>
          </cell>
        </row>
        <row r="47">
          <cell r="A47" t="str">
            <v>2 S 04 110 01</v>
          </cell>
          <cell r="B47" t="str">
            <v>Corpo BDTC D=1,00m</v>
          </cell>
          <cell r="C47" t="str">
            <v>m</v>
          </cell>
          <cell r="D47">
            <v>107</v>
          </cell>
        </row>
        <row r="48">
          <cell r="A48" t="str">
            <v>2 S 04 111 01</v>
          </cell>
          <cell r="B48" t="str">
            <v>Boca BDTC D=1,00m normal</v>
          </cell>
          <cell r="C48" t="str">
            <v>und</v>
          </cell>
          <cell r="D48">
            <v>10</v>
          </cell>
        </row>
        <row r="49">
          <cell r="A49" t="str">
            <v>2 S 04 120 01</v>
          </cell>
          <cell r="B49" t="str">
            <v>Corpo BTTC D=1,00m</v>
          </cell>
          <cell r="C49" t="str">
            <v>m</v>
          </cell>
          <cell r="D49">
            <v>165</v>
          </cell>
        </row>
        <row r="50">
          <cell r="A50" t="str">
            <v>2 S 04 121 01</v>
          </cell>
          <cell r="B50" t="str">
            <v>Boca BTTC D=1,00m normal</v>
          </cell>
          <cell r="C50" t="str">
            <v>und</v>
          </cell>
          <cell r="D50">
            <v>16</v>
          </cell>
        </row>
        <row r="51">
          <cell r="A51" t="str">
            <v>2 S 04 220 08</v>
          </cell>
          <cell r="B51" t="str">
            <v>Corpo BTCC 3,00 x 3,00 m alt. 1,00 a 2,50 m</v>
          </cell>
          <cell r="C51" t="str">
            <v>m</v>
          </cell>
          <cell r="D51">
            <v>18</v>
          </cell>
        </row>
        <row r="52">
          <cell r="A52" t="str">
            <v>2 S 04 221 04</v>
          </cell>
          <cell r="B52" t="str">
            <v>Boca BTCC 3,00 x 3,00 m normal</v>
          </cell>
          <cell r="C52" t="str">
            <v>und</v>
          </cell>
          <cell r="D52">
            <v>2</v>
          </cell>
        </row>
        <row r="53">
          <cell r="A53" t="str">
            <v>2 S 04 942 01</v>
          </cell>
          <cell r="B53" t="str">
            <v>Entrada d'água - EDA 01</v>
          </cell>
          <cell r="C53" t="str">
            <v>und</v>
          </cell>
          <cell r="D53">
            <v>30</v>
          </cell>
        </row>
        <row r="54">
          <cell r="A54" t="str">
            <v>2 S 04 942 02</v>
          </cell>
          <cell r="B54" t="str">
            <v>Entrada d'água - EDA 02</v>
          </cell>
          <cell r="C54" t="str">
            <v>und</v>
          </cell>
          <cell r="D54">
            <v>8</v>
          </cell>
        </row>
        <row r="55">
          <cell r="A55" t="str">
            <v>2 S 04 940 01</v>
          </cell>
          <cell r="B55" t="str">
            <v>Descida d'água tipo rap. - calha concr. - DAR 01</v>
          </cell>
          <cell r="C55" t="str">
            <v>m</v>
          </cell>
          <cell r="D55">
            <v>112</v>
          </cell>
        </row>
        <row r="56">
          <cell r="A56" t="str">
            <v>2 S 09 001 05</v>
          </cell>
          <cell r="B56" t="str">
            <v>Transporte local em rod. Não  Pav. (Brita)</v>
          </cell>
          <cell r="C56" t="str">
            <v>tkm</v>
          </cell>
          <cell r="D56">
            <v>27920.860800000002</v>
          </cell>
        </row>
        <row r="57">
          <cell r="A57" t="str">
            <v>2 S 09 001 05</v>
          </cell>
          <cell r="B57" t="str">
            <v>Transporte local em rod. Não  Pav. (Areia)</v>
          </cell>
          <cell r="C57" t="str">
            <v>tkm</v>
          </cell>
          <cell r="D57">
            <v>19522.944</v>
          </cell>
        </row>
        <row r="58">
          <cell r="A58" t="str">
            <v>2 S 09 001 05</v>
          </cell>
          <cell r="B58" t="str">
            <v>Transporte local em rod. Não Pav. (Cimento)</v>
          </cell>
          <cell r="C58" t="str">
            <v>tkm</v>
          </cell>
          <cell r="D58">
            <v>19113.194100000001</v>
          </cell>
        </row>
        <row r="59">
          <cell r="A59" t="str">
            <v>2 S 09 001 05</v>
          </cell>
          <cell r="B59" t="str">
            <v>Transporte local em rod. Não Pav. (Madeira)</v>
          </cell>
          <cell r="C59" t="str">
            <v>tkm</v>
          </cell>
          <cell r="D59">
            <v>639.24419999999998</v>
          </cell>
        </row>
        <row r="60">
          <cell r="A60" t="str">
            <v>2 S 09 002 05</v>
          </cell>
          <cell r="B60" t="str">
            <v>Transporte local em rod.  Pav. (Brita)</v>
          </cell>
          <cell r="C60" t="str">
            <v>tkm</v>
          </cell>
          <cell r="D60">
            <v>118319.77299999997</v>
          </cell>
        </row>
        <row r="61">
          <cell r="B61" t="str">
            <v>OBRAS COMPLEMENTARES</v>
          </cell>
          <cell r="C61" t="str">
            <v/>
          </cell>
        </row>
        <row r="62">
          <cell r="A62" t="str">
            <v>4 S 06 010 01</v>
          </cell>
          <cell r="B62" t="str">
            <v>Defensa semi-maleável simples (forn./ impl.)</v>
          </cell>
          <cell r="C62" t="str">
            <v>m</v>
          </cell>
          <cell r="D62">
            <v>720</v>
          </cell>
        </row>
        <row r="63">
          <cell r="A63" t="str">
            <v>4 S 06 010 02</v>
          </cell>
          <cell r="B63" t="str">
            <v>Ancoragem defensa semi-maleável simples (forn/imp)</v>
          </cell>
          <cell r="C63" t="str">
            <v>m</v>
          </cell>
          <cell r="D63">
            <v>270</v>
          </cell>
        </row>
        <row r="64">
          <cell r="A64" t="str">
            <v>4 S 06 100 21</v>
          </cell>
          <cell r="B64" t="str">
            <v>Pintura faixa - tinta durabilidade - 2 anos</v>
          </cell>
          <cell r="C64" t="str">
            <v>m2</v>
          </cell>
          <cell r="D64">
            <v>1677</v>
          </cell>
        </row>
        <row r="65">
          <cell r="A65" t="str">
            <v>4 S 06 100 22</v>
          </cell>
          <cell r="B65" t="str">
            <v>Pintura setas e zebrado - 2 anos</v>
          </cell>
          <cell r="C65" t="str">
            <v>m2</v>
          </cell>
          <cell r="D65">
            <v>48.5</v>
          </cell>
        </row>
        <row r="66">
          <cell r="A66" t="str">
            <v>4 S 06 200 02</v>
          </cell>
          <cell r="B66" t="str">
            <v>Forn. e implantação placa sinaliz. tot.refletiva</v>
          </cell>
          <cell r="C66" t="str">
            <v>m2</v>
          </cell>
          <cell r="D66">
            <v>113.26</v>
          </cell>
        </row>
        <row r="67">
          <cell r="A67" t="str">
            <v>4 S 06 121 01</v>
          </cell>
          <cell r="B67" t="str">
            <v>Forn. e colocação de tacha reflet. bidirecional</v>
          </cell>
          <cell r="C67" t="str">
            <v>und</v>
          </cell>
          <cell r="D67">
            <v>12185</v>
          </cell>
        </row>
        <row r="68">
          <cell r="B68" t="str">
            <v>PROJETO DE RECUPERAÇÃO AMBIENTAL</v>
          </cell>
        </row>
        <row r="69">
          <cell r="A69" t="str">
            <v>2 S 05 102 00</v>
          </cell>
          <cell r="B69" t="str">
            <v>Hidrossemeadura - Area de Aterro</v>
          </cell>
          <cell r="C69" t="str">
            <v>m2</v>
          </cell>
          <cell r="D69">
            <v>14868</v>
          </cell>
        </row>
        <row r="70">
          <cell r="A70" t="str">
            <v>2 S 01 100 01</v>
          </cell>
          <cell r="B70" t="str">
            <v>Reconformação de Área de Jazida de Base e Sub-Base  (Modelagem)</v>
          </cell>
          <cell r="C70" t="str">
            <v>m3</v>
          </cell>
          <cell r="D70">
            <v>35640</v>
          </cell>
        </row>
        <row r="71">
          <cell r="A71" t="str">
            <v>2 S 05 102 00</v>
          </cell>
          <cell r="B71" t="str">
            <v>Hidrossemeadura - Area  de Jazida de Base e Sub-Base</v>
          </cell>
          <cell r="C71" t="str">
            <v>m2</v>
          </cell>
          <cell r="D71">
            <v>237600</v>
          </cell>
        </row>
        <row r="72">
          <cell r="A72" t="str">
            <v>3 S 01 930 00</v>
          </cell>
          <cell r="B72" t="str">
            <v>Regul. e espalhamento de mat. orgânico-Area de Base e Sub-Base</v>
          </cell>
          <cell r="C72" t="str">
            <v>m2</v>
          </cell>
          <cell r="D72">
            <v>237600</v>
          </cell>
        </row>
        <row r="73">
          <cell r="B73" t="str">
            <v>TOTAL</v>
          </cell>
        </row>
        <row r="75">
          <cell r="B75" t="str">
            <v>Importa o presente orçamento em: (       )</v>
          </cell>
        </row>
      </sheetData>
      <sheetData sheetId="2"/>
      <sheetData sheetId="3" refreshError="1"/>
      <sheetData sheetId="4" refreshError="1"/>
      <sheetData sheetId="5" refreshError="1"/>
      <sheetData sheetId="6"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Ofício"/>
      <sheetName val="RESUMO-DVOP"/>
      <sheetName val="REAJU"/>
      <sheetName val="Crono Físico-Financeiro"/>
      <sheetName val="Mat Asf"/>
      <sheetName val="Meio fio"/>
      <sheetName val="Limpeza da faixa de domínio"/>
      <sheetName val="Remoção"/>
      <sheetName val="Compac alas"/>
      <sheetName val="OAC (2)"/>
      <sheetName val="OAC"/>
      <sheetName val="Regula"/>
      <sheetName val="Sub e base"/>
      <sheetName val="Imprimação"/>
      <sheetName val="TSD-FOG"/>
      <sheetName val="AGREGADOS"/>
      <sheetName val="Dreno"/>
      <sheetName val="Cerca"/>
      <sheetName val="Valeta"/>
      <sheetName val="Valeta (2)"/>
      <sheetName val="Valeta (3)"/>
      <sheetName val="DMT modelo (1)"/>
      <sheetName val="DMT modelo"/>
      <sheetName val="DMT_EV"/>
      <sheetName val="CÁLC.DMT-T"/>
      <sheetName val="DIST.MAT-T"/>
      <sheetName val="Croqui terra"/>
      <sheetName val="Aterro"/>
      <sheetName val="Defensa"/>
      <sheetName val="Grama"/>
      <sheetName val="Concreto "/>
      <sheetName val="Indice de Reajuste"/>
      <sheetName val="Orçamento"/>
    </sheetNames>
    <sheetDataSet>
      <sheetData sheetId="0"/>
      <sheetData sheetId="1"/>
      <sheetData sheetId="2"/>
      <sheetData sheetId="3"/>
      <sheetData sheetId="4">
        <row r="36">
          <cell r="C36" t="str">
            <v>Engº. ??????????????</v>
          </cell>
        </row>
        <row r="37">
          <cell r="C37" t="str">
            <v xml:space="preserve"> Membro Port. GP Nº.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Ofício"/>
      <sheetName val="RESUMO-DVOP"/>
      <sheetName val="REAJU"/>
      <sheetName val="Crono Físico-Financeiro"/>
      <sheetName val="Mat Asf"/>
      <sheetName val="Meio fio"/>
      <sheetName val="Limpeza da faixa de domínio"/>
      <sheetName val="Remoção"/>
      <sheetName val="Compac alas"/>
      <sheetName val="OAC (2)"/>
      <sheetName val="OAC"/>
      <sheetName val="Regula"/>
      <sheetName val="Sub e base"/>
      <sheetName val="Imprimação"/>
      <sheetName val="TSD-FOG"/>
      <sheetName val="AGREGADOS"/>
      <sheetName val="Dreno"/>
      <sheetName val="Cerca"/>
      <sheetName val="Valeta"/>
      <sheetName val="Valeta (2)"/>
      <sheetName val="Valeta (3)"/>
      <sheetName val="DMT modelo (1)"/>
      <sheetName val="DMT modelo"/>
      <sheetName val="DMT_EV"/>
      <sheetName val="CÁLC.DMT-T"/>
      <sheetName val="DIST.MAT-T"/>
      <sheetName val="Croqui terra"/>
      <sheetName val="Aterro"/>
      <sheetName val="Defensa"/>
      <sheetName val="Grama"/>
      <sheetName val="Concreto "/>
      <sheetName val="Indice de Reajuste"/>
      <sheetName val="Orçamento"/>
    </sheetNames>
    <sheetDataSet>
      <sheetData sheetId="0"/>
      <sheetData sheetId="1"/>
      <sheetData sheetId="2"/>
      <sheetData sheetId="3"/>
      <sheetData sheetId="4">
        <row r="36">
          <cell r="C36" t="str">
            <v>Engº. ??????????????</v>
          </cell>
        </row>
        <row r="37">
          <cell r="C37" t="str">
            <v xml:space="preserve"> Membro Port. GP Nº.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Serviços Rodoviários"/>
      <sheetName val="Orçamento"/>
      <sheetName val="Distancia"/>
      <sheetName val="Transporte 01"/>
      <sheetName val="Transporte 02"/>
      <sheetName val="Transporte 03"/>
      <sheetName val="Transporte 04"/>
      <sheetName val="Transporte 05"/>
      <sheetName val="Transporte 06"/>
      <sheetName val="Transporte 07"/>
      <sheetName val="Transporte 08"/>
      <sheetName val="Plan2"/>
      <sheetName val="CANT_OBRAS"/>
      <sheetName val="AQU TERRENO-"/>
      <sheetName val="ESTA ELEVATÓRIA_"/>
      <sheetName val="EMISSÁRIO_"/>
      <sheetName val="ligação predial"/>
      <sheetName val="REDE COLETORA"/>
      <sheetName val="aterro"/>
      <sheetName val="tsd"/>
    </sheetNames>
    <sheetDataSet>
      <sheetData sheetId="0" refreshError="1">
        <row r="3">
          <cell r="A3" t="str">
            <v>1 A 00 102 00</v>
          </cell>
          <cell r="B3" t="str">
            <v>Transporte local de material betuminoso</v>
          </cell>
          <cell r="C3" t="str">
            <v>tkm</v>
          </cell>
          <cell r="D3">
            <v>0.9</v>
          </cell>
        </row>
        <row r="4">
          <cell r="A4" t="str">
            <v>1 A 00 301 00</v>
          </cell>
          <cell r="B4" t="str">
            <v>Fornecimento de Aço CA-25</v>
          </cell>
          <cell r="C4" t="str">
            <v>kg</v>
          </cell>
          <cell r="D4">
            <v>3.37</v>
          </cell>
        </row>
        <row r="5">
          <cell r="A5" t="str">
            <v>1 A 00 302 00</v>
          </cell>
          <cell r="B5" t="str">
            <v>Fornecimento de Aço CA-50</v>
          </cell>
          <cell r="C5" t="str">
            <v>kg</v>
          </cell>
          <cell r="D5">
            <v>3.15</v>
          </cell>
        </row>
        <row r="6">
          <cell r="A6" t="str">
            <v>1 A 00 303 00</v>
          </cell>
          <cell r="B6" t="str">
            <v>Fornecimento de Aço CA-60</v>
          </cell>
          <cell r="C6" t="str">
            <v>kg</v>
          </cell>
          <cell r="D6">
            <v>3.73</v>
          </cell>
        </row>
        <row r="7">
          <cell r="A7" t="str">
            <v>1 A 00 716 00</v>
          </cell>
          <cell r="B7" t="str">
            <v>Areia Comercial</v>
          </cell>
          <cell r="C7" t="str">
            <v>m3</v>
          </cell>
          <cell r="D7">
            <v>30</v>
          </cell>
        </row>
        <row r="8">
          <cell r="A8" t="str">
            <v>1 A 00 901 01</v>
          </cell>
          <cell r="B8" t="str">
            <v>Alvenaria de pedra argamassada</v>
          </cell>
          <cell r="C8" t="str">
            <v>m3</v>
          </cell>
          <cell r="D8">
            <v>105.8</v>
          </cell>
        </row>
        <row r="9">
          <cell r="A9" t="str">
            <v>1 A 00 903 01</v>
          </cell>
          <cell r="B9" t="str">
            <v>Dentes para bueiros duplos D=1,00 m</v>
          </cell>
          <cell r="C9" t="str">
            <v>und</v>
          </cell>
          <cell r="D9">
            <v>82.34</v>
          </cell>
        </row>
        <row r="10">
          <cell r="A10" t="str">
            <v>1 A 00 904 01</v>
          </cell>
          <cell r="B10" t="str">
            <v>Dentes para bueiros duplos D=1,20 m</v>
          </cell>
          <cell r="C10" t="str">
            <v>und</v>
          </cell>
          <cell r="D10">
            <v>92.63</v>
          </cell>
        </row>
        <row r="11">
          <cell r="A11" t="str">
            <v>1 A 00 908 01</v>
          </cell>
          <cell r="B11" t="str">
            <v>Dentes para bueiros simples D=1,00 m</v>
          </cell>
          <cell r="C11" t="str">
            <v>und</v>
          </cell>
          <cell r="D11">
            <v>41.1</v>
          </cell>
        </row>
        <row r="12">
          <cell r="A12" t="str">
            <v>1 A 00 909 01</v>
          </cell>
          <cell r="B12" t="str">
            <v>Dentes para bueiros simples D=1,20 m</v>
          </cell>
          <cell r="C12" t="str">
            <v>und</v>
          </cell>
          <cell r="D12">
            <v>46.38</v>
          </cell>
        </row>
        <row r="13">
          <cell r="A13" t="str">
            <v>1 A 00 912 01</v>
          </cell>
          <cell r="B13" t="str">
            <v>Dentes para bueiros triplos D=1,20 m</v>
          </cell>
          <cell r="C13" t="str">
            <v>und</v>
          </cell>
          <cell r="D13">
            <v>139.01</v>
          </cell>
        </row>
        <row r="14">
          <cell r="A14" t="str">
            <v>1 A 00 963 00</v>
          </cell>
          <cell r="B14" t="str">
            <v>Peças de Desgaste do Britador 80m3/h</v>
          </cell>
          <cell r="C14" t="str">
            <v>cjh</v>
          </cell>
          <cell r="D14">
            <v>156.22</v>
          </cell>
        </row>
        <row r="15">
          <cell r="A15" t="str">
            <v>1 A 00 964 00</v>
          </cell>
          <cell r="B15" t="str">
            <v>Peças de desgaste britador prod. de rachão</v>
          </cell>
          <cell r="C15" t="str">
            <v>cjh</v>
          </cell>
          <cell r="D15">
            <v>39.35</v>
          </cell>
        </row>
        <row r="16">
          <cell r="A16" t="str">
            <v>1 A 00 999 06</v>
          </cell>
          <cell r="B16" t="str">
            <v>Solo local / selo de argila apiloado</v>
          </cell>
          <cell r="C16" t="str">
            <v>m3</v>
          </cell>
          <cell r="D16">
            <v>9.57</v>
          </cell>
        </row>
        <row r="17">
          <cell r="A17" t="str">
            <v>1 A 01 100 01</v>
          </cell>
          <cell r="B17" t="str">
            <v>Limpeza camada vegetal em jazida (const e restr.)</v>
          </cell>
          <cell r="C17" t="str">
            <v>m2</v>
          </cell>
          <cell r="D17">
            <v>0.3</v>
          </cell>
        </row>
        <row r="18">
          <cell r="A18" t="str">
            <v>1 A 01 105 01</v>
          </cell>
          <cell r="B18" t="str">
            <v>Expurgo de jazida (const e restr)</v>
          </cell>
          <cell r="C18" t="str">
            <v>m3</v>
          </cell>
          <cell r="D18">
            <v>1.6</v>
          </cell>
        </row>
        <row r="19">
          <cell r="A19" t="str">
            <v>1 A 01 120 01</v>
          </cell>
          <cell r="B19" t="str">
            <v>Escav. e carga de mater. de jazida(const e restr)</v>
          </cell>
          <cell r="C19" t="str">
            <v>m3</v>
          </cell>
          <cell r="D19">
            <v>3.45</v>
          </cell>
        </row>
        <row r="20">
          <cell r="A20" t="str">
            <v>1 A 01 150 01</v>
          </cell>
          <cell r="B20" t="str">
            <v>Rocha p/ britagem c/ perfur. sobre esteira</v>
          </cell>
          <cell r="C20" t="str">
            <v>m3</v>
          </cell>
          <cell r="D20">
            <v>20.23</v>
          </cell>
        </row>
        <row r="21">
          <cell r="A21" t="str">
            <v>1 A 01 155 01</v>
          </cell>
          <cell r="B21" t="str">
            <v>Rachão e pedra-de-mão produzidos-(const e rest)</v>
          </cell>
          <cell r="C21" t="str">
            <v>m3</v>
          </cell>
          <cell r="D21">
            <v>16.61</v>
          </cell>
        </row>
        <row r="22">
          <cell r="A22" t="str">
            <v>1 A 01 200 01</v>
          </cell>
          <cell r="B22" t="str">
            <v>Brita produzida em central de britagem de 80 m3/h</v>
          </cell>
          <cell r="C22" t="str">
            <v>m3</v>
          </cell>
          <cell r="D22">
            <v>19.5</v>
          </cell>
        </row>
        <row r="23">
          <cell r="A23" t="str">
            <v>1 A 01 390 02</v>
          </cell>
          <cell r="B23" t="str">
            <v>Usinagem de CBUQ (capa de rolamento)</v>
          </cell>
          <cell r="C23" t="str">
            <v>t</v>
          </cell>
          <cell r="D23">
            <v>33.840000000000003</v>
          </cell>
        </row>
        <row r="24">
          <cell r="A24" t="str">
            <v>1 A 01 401 01</v>
          </cell>
          <cell r="B24" t="str">
            <v>Fôrma comum de madeira</v>
          </cell>
          <cell r="C24" t="str">
            <v>m2</v>
          </cell>
          <cell r="D24">
            <v>32.29</v>
          </cell>
        </row>
        <row r="25">
          <cell r="A25" t="str">
            <v>1 A 01 402 01</v>
          </cell>
          <cell r="B25" t="str">
            <v>Fôrma de placa compensada resinada</v>
          </cell>
          <cell r="C25" t="str">
            <v>m2</v>
          </cell>
          <cell r="D25">
            <v>25.05</v>
          </cell>
        </row>
        <row r="26">
          <cell r="A26" t="str">
            <v>1 A 01 407 01</v>
          </cell>
          <cell r="B26" t="str">
            <v>Confecção e lançam. de concreto magro em betoneira</v>
          </cell>
          <cell r="C26" t="str">
            <v>m3</v>
          </cell>
          <cell r="D26">
            <v>138.16999999999999</v>
          </cell>
        </row>
        <row r="27">
          <cell r="A27" t="str">
            <v>1 A 01 410 01</v>
          </cell>
          <cell r="B27" t="str">
            <v>Concreto fck=10MPa contr raz uso geral conf e lanç</v>
          </cell>
          <cell r="C27" t="str">
            <v>m3</v>
          </cell>
          <cell r="D27">
            <v>159.71</v>
          </cell>
        </row>
        <row r="28">
          <cell r="A28" t="str">
            <v>1 A 01 412 01</v>
          </cell>
          <cell r="B28" t="str">
            <v>Concreto fck=12MPa contr raz uso geral conf e lanç</v>
          </cell>
          <cell r="C28" t="str">
            <v>m3</v>
          </cell>
          <cell r="D28">
            <v>165.47</v>
          </cell>
        </row>
        <row r="29">
          <cell r="A29" t="str">
            <v>1 A 01 415 01</v>
          </cell>
          <cell r="B29" t="str">
            <v>Concr estr fck=15MPa contr raz uso ger conf e lanç</v>
          </cell>
          <cell r="C29" t="str">
            <v>m3</v>
          </cell>
          <cell r="D29">
            <v>171.69</v>
          </cell>
        </row>
        <row r="30">
          <cell r="A30" t="str">
            <v>1 A 01 423 00</v>
          </cell>
          <cell r="B30" t="str">
            <v>Concreto fck=18MPa para pré-moldados (tubos)</v>
          </cell>
          <cell r="C30" t="str">
            <v>m3</v>
          </cell>
          <cell r="D30">
            <v>173.04</v>
          </cell>
        </row>
        <row r="31">
          <cell r="A31" t="str">
            <v>1 A 01 450 01</v>
          </cell>
          <cell r="B31" t="str">
            <v>Escoramento de bueiros celulares</v>
          </cell>
          <cell r="C31" t="str">
            <v>m3</v>
          </cell>
          <cell r="D31">
            <v>27.98</v>
          </cell>
        </row>
        <row r="32">
          <cell r="A32" t="str">
            <v>1 A 01 512 10</v>
          </cell>
          <cell r="B32" t="str">
            <v>Concreto ciclópico fck=12 MPa</v>
          </cell>
          <cell r="C32" t="str">
            <v>m3</v>
          </cell>
          <cell r="D32">
            <v>128.55000000000001</v>
          </cell>
        </row>
        <row r="33">
          <cell r="A33" t="str">
            <v>1 A 01 580 01</v>
          </cell>
          <cell r="B33" t="str">
            <v>Fornecimento, preparo e colocação formas aço CA 60</v>
          </cell>
          <cell r="C33" t="str">
            <v>kg</v>
          </cell>
          <cell r="D33">
            <v>5.77</v>
          </cell>
        </row>
        <row r="34">
          <cell r="A34" t="str">
            <v>1 A 01 580 02</v>
          </cell>
          <cell r="B34" t="str">
            <v>Fornecimento, preparo e colocação formas aço CA 50</v>
          </cell>
          <cell r="C34" t="str">
            <v>kg</v>
          </cell>
          <cell r="D34">
            <v>5.13</v>
          </cell>
        </row>
        <row r="35">
          <cell r="A35" t="str">
            <v>1 A 01 603 01</v>
          </cell>
          <cell r="B35" t="str">
            <v>Argamassa cimento-areia 1:3</v>
          </cell>
          <cell r="C35" t="str">
            <v>m3</v>
          </cell>
          <cell r="D35">
            <v>192.72</v>
          </cell>
        </row>
        <row r="36">
          <cell r="A36" t="str">
            <v>1 A 01 604 01</v>
          </cell>
          <cell r="B36" t="str">
            <v>Argamassa cimento-areia 1:4</v>
          </cell>
          <cell r="C36" t="str">
            <v>m3</v>
          </cell>
          <cell r="D36">
            <v>169.72</v>
          </cell>
        </row>
        <row r="37">
          <cell r="A37" t="str">
            <v>1 A 01 730 00</v>
          </cell>
          <cell r="B37" t="str">
            <v>Concreto fck=18MPa p/ pré moldados (mourões)</v>
          </cell>
          <cell r="C37" t="str">
            <v>m3</v>
          </cell>
          <cell r="D37">
            <v>170.43</v>
          </cell>
        </row>
        <row r="38">
          <cell r="A38" t="str">
            <v>1 A 01 730 01</v>
          </cell>
          <cell r="B38" t="str">
            <v>Fabr. mourão de concr. esticador seção quad. 15cm</v>
          </cell>
          <cell r="C38" t="str">
            <v>un</v>
          </cell>
          <cell r="D38">
            <v>25.64</v>
          </cell>
        </row>
        <row r="39">
          <cell r="A39" t="str">
            <v>1 A 01 735 01</v>
          </cell>
          <cell r="B39" t="str">
            <v>Fabr. mourão de concreto suporte seção quad. 11cm</v>
          </cell>
          <cell r="C39" t="str">
            <v>un</v>
          </cell>
          <cell r="D39">
            <v>18.89</v>
          </cell>
        </row>
        <row r="40">
          <cell r="A40" t="str">
            <v>1 A 01 740 01</v>
          </cell>
          <cell r="B40" t="str">
            <v>Confecção de tubos de concreto perfurado D=0,20m</v>
          </cell>
          <cell r="C40" t="str">
            <v>m</v>
          </cell>
          <cell r="D40">
            <v>10</v>
          </cell>
        </row>
        <row r="41">
          <cell r="A41" t="str">
            <v>1 A 01 765 01</v>
          </cell>
          <cell r="B41" t="str">
            <v>Confecção de tubos de concreto armado D=1,00m CA-4</v>
          </cell>
          <cell r="C41" t="str">
            <v>m</v>
          </cell>
          <cell r="D41">
            <v>265.27</v>
          </cell>
        </row>
        <row r="42">
          <cell r="A42" t="str">
            <v>1 A 01 770 01</v>
          </cell>
          <cell r="B42" t="str">
            <v>Confecção de tubos de concreto armado D=1,20m CA-4</v>
          </cell>
          <cell r="C42" t="str">
            <v>m</v>
          </cell>
          <cell r="D42">
            <v>373.78</v>
          </cell>
        </row>
        <row r="43">
          <cell r="A43" t="str">
            <v>1 A 01 780 01</v>
          </cell>
          <cell r="B43" t="str">
            <v>Obtenção de grama para replantio</v>
          </cell>
          <cell r="C43" t="str">
            <v>m2</v>
          </cell>
          <cell r="D43">
            <v>0.83</v>
          </cell>
        </row>
        <row r="44">
          <cell r="A44" t="str">
            <v>1 A 01 790 01</v>
          </cell>
          <cell r="B44" t="str">
            <v>Guia de madeira - 2,5 x 7,0 cm</v>
          </cell>
          <cell r="C44" t="str">
            <v>m</v>
          </cell>
          <cell r="D44">
            <v>1.66</v>
          </cell>
        </row>
        <row r="45">
          <cell r="A45" t="str">
            <v>1 A 01 860 01</v>
          </cell>
          <cell r="B45" t="str">
            <v>Confecção de placa de sinalização tot. refletiva</v>
          </cell>
          <cell r="C45" t="str">
            <v>m2</v>
          </cell>
          <cell r="D45">
            <v>215.54</v>
          </cell>
        </row>
        <row r="46">
          <cell r="A46" t="str">
            <v>1 A 01 870 01</v>
          </cell>
          <cell r="B46" t="str">
            <v>Confecção de suporte e travessa p/ placa de sinal.</v>
          </cell>
          <cell r="C46" t="str">
            <v>un</v>
          </cell>
          <cell r="D46">
            <v>23.26</v>
          </cell>
        </row>
        <row r="47">
          <cell r="A47" t="str">
            <v>1 A 01 890 01</v>
          </cell>
          <cell r="B47" t="str">
            <v>Escavação manual em material de 1a categoria</v>
          </cell>
          <cell r="C47" t="str">
            <v>m3</v>
          </cell>
          <cell r="D47">
            <v>17.670000000000002</v>
          </cell>
        </row>
        <row r="48">
          <cell r="A48" t="str">
            <v>1 A 01 893 01</v>
          </cell>
          <cell r="B48" t="str">
            <v>Compactação manual</v>
          </cell>
          <cell r="C48" t="str">
            <v>m3</v>
          </cell>
          <cell r="D48">
            <v>8.94</v>
          </cell>
        </row>
        <row r="49">
          <cell r="A49" t="str">
            <v>1 A 01 894 01</v>
          </cell>
          <cell r="B49" t="str">
            <v>Lastro de brita</v>
          </cell>
          <cell r="C49" t="str">
            <v>m3</v>
          </cell>
          <cell r="D49">
            <v>29.15</v>
          </cell>
        </row>
        <row r="50">
          <cell r="A50" t="str">
            <v>2 S 00 000 01</v>
          </cell>
          <cell r="B50" t="str">
            <v>Instalações de Canteiro e Acampamento</v>
          </cell>
          <cell r="C50" t="str">
            <v>vb</v>
          </cell>
          <cell r="D50">
            <v>95391.23</v>
          </cell>
        </row>
        <row r="51">
          <cell r="A51" t="str">
            <v>2 S 00 000 02</v>
          </cell>
          <cell r="B51" t="str">
            <v>Mobilização e Desmobilização</v>
          </cell>
          <cell r="C51" t="str">
            <v>vb</v>
          </cell>
          <cell r="D51">
            <v>49627.78</v>
          </cell>
        </row>
        <row r="52">
          <cell r="A52" t="str">
            <v>2 S 01 000 00</v>
          </cell>
          <cell r="B52" t="str">
            <v>Desm. dest. limpeza áreas c/arv. diam. até 0,15 m</v>
          </cell>
          <cell r="C52" t="str">
            <v>m2</v>
          </cell>
          <cell r="D52">
            <v>0.2</v>
          </cell>
        </row>
        <row r="53">
          <cell r="A53" t="str">
            <v>2 S 01 100 01</v>
          </cell>
          <cell r="B53" t="str">
            <v>Esc. carga transp. mat 1ª cat DMT 50 m</v>
          </cell>
          <cell r="C53" t="str">
            <v>m3</v>
          </cell>
          <cell r="D53">
            <v>1.06</v>
          </cell>
        </row>
        <row r="54">
          <cell r="A54" t="str">
            <v>2 S 01 100 09</v>
          </cell>
          <cell r="B54" t="str">
            <v>Esc. carga tr. mat 1ª cat DMT 50 a 200m c/carreg</v>
          </cell>
          <cell r="C54" t="str">
            <v>m3</v>
          </cell>
          <cell r="D54">
            <v>3.7</v>
          </cell>
        </row>
        <row r="55">
          <cell r="A55" t="str">
            <v>2 S 01 100 10</v>
          </cell>
          <cell r="B55" t="str">
            <v>Esc. carga tr. mat 1ª cat DMT 200 a 400m c/carreg</v>
          </cell>
          <cell r="C55" t="str">
            <v>m3</v>
          </cell>
          <cell r="D55">
            <v>4.01</v>
          </cell>
        </row>
        <row r="56">
          <cell r="A56" t="str">
            <v>2 S 01 100 11</v>
          </cell>
          <cell r="B56" t="str">
            <v>Esc. carga tr. mat 1ª cat DMT 400 a 600m c/carreg</v>
          </cell>
          <cell r="C56" t="str">
            <v>m3</v>
          </cell>
          <cell r="D56">
            <v>4.2300000000000004</v>
          </cell>
        </row>
        <row r="57">
          <cell r="A57" t="str">
            <v>2 S 01 100 12</v>
          </cell>
          <cell r="B57" t="str">
            <v>Esc. carga tr. mat 1ª cat DMT 600 a 800m c/carreg</v>
          </cell>
          <cell r="C57" t="str">
            <v>m3</v>
          </cell>
          <cell r="D57">
            <v>4.6100000000000003</v>
          </cell>
        </row>
        <row r="58">
          <cell r="A58" t="str">
            <v>2 S 01 100 13</v>
          </cell>
          <cell r="B58" t="str">
            <v>Esc. carga tr. mat 1ª cat DMT 800 a 1000m c/carreg</v>
          </cell>
          <cell r="C58" t="str">
            <v>m3</v>
          </cell>
          <cell r="D58">
            <v>4.8499999999999996</v>
          </cell>
        </row>
        <row r="59">
          <cell r="A59" t="str">
            <v>2 S 01 100 14</v>
          </cell>
          <cell r="B59" t="str">
            <v>Esc. carga tr. mat 1ª cat DMT 1000 a 1200m c/carreg</v>
          </cell>
          <cell r="C59" t="str">
            <v>m3</v>
          </cell>
          <cell r="D59">
            <v>5.16</v>
          </cell>
        </row>
        <row r="60">
          <cell r="A60" t="str">
            <v>2 S 01 102 02</v>
          </cell>
          <cell r="B60" t="str">
            <v>Esc. carga transp. mat 3a cat DMT 50 a 200m</v>
          </cell>
          <cell r="C60" t="str">
            <v>m3</v>
          </cell>
          <cell r="D60">
            <v>20.14</v>
          </cell>
        </row>
        <row r="61">
          <cell r="A61" t="str">
            <v>2 S 01 300 01</v>
          </cell>
          <cell r="B61" t="str">
            <v>Esc. carga transp. solos moles DMT 0 a 200m</v>
          </cell>
          <cell r="C61" t="str">
            <v>m3</v>
          </cell>
          <cell r="D61">
            <v>10.27</v>
          </cell>
        </row>
        <row r="62">
          <cell r="A62" t="str">
            <v>2 S 01 510 00</v>
          </cell>
          <cell r="B62" t="str">
            <v>Compactação de aterros a 95% proctor normal</v>
          </cell>
          <cell r="C62" t="str">
            <v>m3</v>
          </cell>
          <cell r="D62">
            <v>1.46</v>
          </cell>
        </row>
        <row r="63">
          <cell r="A63" t="str">
            <v>2 S 01 511 00</v>
          </cell>
          <cell r="B63" t="str">
            <v>Compactação de aterros a 100% proctor normal</v>
          </cell>
          <cell r="C63" t="str">
            <v>m3</v>
          </cell>
          <cell r="D63">
            <v>1.69</v>
          </cell>
        </row>
        <row r="64">
          <cell r="A64" t="str">
            <v>2 S 02 100 00</v>
          </cell>
          <cell r="B64" t="str">
            <v>Reforço do subleito</v>
          </cell>
          <cell r="C64" t="str">
            <v>m3</v>
          </cell>
          <cell r="D64">
            <v>7.72</v>
          </cell>
        </row>
        <row r="65">
          <cell r="A65" t="str">
            <v>2 S 02 110 00</v>
          </cell>
          <cell r="B65" t="str">
            <v>Regularização do subleito</v>
          </cell>
          <cell r="C65" t="str">
            <v>m2</v>
          </cell>
          <cell r="D65">
            <v>0.44</v>
          </cell>
        </row>
        <row r="66">
          <cell r="A66" t="str">
            <v>2 S 02 200 00</v>
          </cell>
          <cell r="B66" t="str">
            <v>Sub-base solo estabilizado granul. s/ mistura</v>
          </cell>
          <cell r="C66" t="str">
            <v>m3</v>
          </cell>
          <cell r="D66">
            <v>7.72</v>
          </cell>
        </row>
        <row r="67">
          <cell r="A67" t="str">
            <v>2 S 02 200 01</v>
          </cell>
          <cell r="B67" t="str">
            <v>Base solo estabilizado granul. s/ mistura</v>
          </cell>
          <cell r="C67" t="str">
            <v>m3</v>
          </cell>
          <cell r="D67">
            <v>7.72</v>
          </cell>
        </row>
        <row r="68">
          <cell r="A68" t="str">
            <v>2 S 02 300 00</v>
          </cell>
          <cell r="B68" t="str">
            <v>Imprimação</v>
          </cell>
          <cell r="C68" t="str">
            <v>m2</v>
          </cell>
          <cell r="D68">
            <v>0.14000000000000001</v>
          </cell>
        </row>
        <row r="69">
          <cell r="A69" t="str">
            <v>2 S 02 400 00</v>
          </cell>
          <cell r="B69" t="str">
            <v>Pintura de ligação</v>
          </cell>
          <cell r="C69" t="str">
            <v>m2</v>
          </cell>
          <cell r="D69">
            <v>0.09</v>
          </cell>
        </row>
        <row r="70">
          <cell r="A70" t="str">
            <v>2 S 02 500 01</v>
          </cell>
          <cell r="B70" t="str">
            <v>Tratamento superficial simples c/ emulsão</v>
          </cell>
          <cell r="C70" t="str">
            <v>m2</v>
          </cell>
          <cell r="D70">
            <v>0.43</v>
          </cell>
        </row>
        <row r="71">
          <cell r="A71" t="str">
            <v>2 S 02 540 01</v>
          </cell>
          <cell r="B71" t="str">
            <v>Conc. betuminoso usinado a quente - capa rolamento</v>
          </cell>
          <cell r="C71" t="str">
            <v>t</v>
          </cell>
          <cell r="D71">
            <v>39.520000000000003</v>
          </cell>
        </row>
        <row r="72">
          <cell r="A72" t="str">
            <v>2 S 02 999 01</v>
          </cell>
          <cell r="B72" t="str">
            <v>Fornecimento de Cimento Asfáltico CAP-20</v>
          </cell>
          <cell r="C72" t="str">
            <v>t</v>
          </cell>
          <cell r="D72">
            <v>1320</v>
          </cell>
        </row>
        <row r="73">
          <cell r="A73" t="str">
            <v>2 S 02 999 03</v>
          </cell>
          <cell r="B73" t="str">
            <v>Fornecimento de Asfálto Diluído CM-30</v>
          </cell>
          <cell r="C73" t="str">
            <v>t</v>
          </cell>
          <cell r="D73">
            <v>1730</v>
          </cell>
        </row>
        <row r="74">
          <cell r="A74" t="str">
            <v>2 S 02 999 05</v>
          </cell>
          <cell r="B74" t="str">
            <v>Fornecimento de Emulsão Asfáltica RR-2C</v>
          </cell>
          <cell r="C74" t="str">
            <v>t</v>
          </cell>
          <cell r="D74">
            <v>999</v>
          </cell>
        </row>
        <row r="75">
          <cell r="A75" t="str">
            <v>2 S 03 940 01</v>
          </cell>
          <cell r="B75" t="str">
            <v>Reaterro e compactação</v>
          </cell>
          <cell r="C75" t="str">
            <v>m3</v>
          </cell>
          <cell r="D75">
            <v>15.19</v>
          </cell>
        </row>
        <row r="76">
          <cell r="A76" t="str">
            <v>2 S 04 000 00</v>
          </cell>
          <cell r="B76" t="str">
            <v>Escavação manual em material de 1a cat</v>
          </cell>
          <cell r="C76" t="str">
            <v>m3</v>
          </cell>
          <cell r="D76">
            <v>22.13</v>
          </cell>
        </row>
        <row r="77">
          <cell r="A77" t="str">
            <v>2 S 04 001 00</v>
          </cell>
          <cell r="B77" t="str">
            <v>Escavação mecânica de vala em mat.1a cat.</v>
          </cell>
          <cell r="C77" t="str">
            <v>m3</v>
          </cell>
          <cell r="D77">
            <v>3.28</v>
          </cell>
        </row>
        <row r="78">
          <cell r="A78" t="str">
            <v>2 S 04 100 03</v>
          </cell>
          <cell r="B78" t="str">
            <v>Corpo BSTC D=1,00m - CA-4, inclusive berço e dentes</v>
          </cell>
          <cell r="C78" t="str">
            <v>m</v>
          </cell>
          <cell r="D78">
            <v>403.59</v>
          </cell>
        </row>
        <row r="79">
          <cell r="A79" t="str">
            <v>2 S 04 100 04</v>
          </cell>
          <cell r="B79" t="str">
            <v>Corpo BSTC D=1,20m - CA-4, inclusive berço e dentes</v>
          </cell>
          <cell r="C79" t="str">
            <v>m</v>
          </cell>
          <cell r="D79">
            <v>546.91</v>
          </cell>
        </row>
        <row r="80">
          <cell r="A80" t="str">
            <v>2 S 04 101 03</v>
          </cell>
          <cell r="B80" t="str">
            <v>Boca BSTC D=1,00m normal</v>
          </cell>
          <cell r="C80" t="str">
            <v>und</v>
          </cell>
          <cell r="D80">
            <v>1036.92</v>
          </cell>
        </row>
        <row r="81">
          <cell r="A81" t="str">
            <v>2 S 04 101 04</v>
          </cell>
          <cell r="B81" t="str">
            <v>Boca BSTC D=1,20m normal</v>
          </cell>
          <cell r="C81" t="str">
            <v>und</v>
          </cell>
          <cell r="D81">
            <v>1479.79</v>
          </cell>
        </row>
        <row r="82">
          <cell r="A82" t="str">
            <v>2 S 04 101 08</v>
          </cell>
          <cell r="B82" t="str">
            <v>Boca BSTC D=1,00 m - esc.=15</v>
          </cell>
          <cell r="C82" t="str">
            <v>und</v>
          </cell>
          <cell r="D82">
            <v>1086.8699999999999</v>
          </cell>
        </row>
        <row r="83">
          <cell r="A83" t="str">
            <v>2 S 04 101 09</v>
          </cell>
          <cell r="B83" t="str">
            <v>Boca BSTC D=1,20 m - esc.=15</v>
          </cell>
          <cell r="C83" t="str">
            <v>und</v>
          </cell>
          <cell r="D83">
            <v>1555.75</v>
          </cell>
        </row>
        <row r="84">
          <cell r="A84" t="str">
            <v>2 S 04 101 13</v>
          </cell>
          <cell r="B84" t="str">
            <v>Boca BSTC D=1,00 m - esc.=30</v>
          </cell>
          <cell r="C84" t="str">
            <v>und</v>
          </cell>
          <cell r="D84">
            <v>1208.68</v>
          </cell>
        </row>
        <row r="85">
          <cell r="A85" t="str">
            <v>2 S 04 101 14</v>
          </cell>
          <cell r="B85" t="str">
            <v>Boca BSTC D=1,20 m - esc.=30</v>
          </cell>
          <cell r="C85" t="str">
            <v>und</v>
          </cell>
          <cell r="D85">
            <v>1734.01</v>
          </cell>
        </row>
        <row r="86">
          <cell r="A86" t="str">
            <v>2 S 04 101 18</v>
          </cell>
          <cell r="B86" t="str">
            <v>Boca BSTC D=1,00 m - esc.=45</v>
          </cell>
          <cell r="C86" t="str">
            <v>und</v>
          </cell>
          <cell r="D86">
            <v>1496.66</v>
          </cell>
        </row>
        <row r="87">
          <cell r="A87" t="str">
            <v>2 S 04 110 01</v>
          </cell>
          <cell r="B87" t="str">
            <v>Corpo BDTC D=1,00m - CA-4, inclusive berço e dentes</v>
          </cell>
          <cell r="C87" t="str">
            <v>m</v>
          </cell>
          <cell r="D87">
            <v>820.5</v>
          </cell>
        </row>
        <row r="88">
          <cell r="A88" t="str">
            <v>2 S 04 110 02</v>
          </cell>
          <cell r="B88" t="str">
            <v>Corpo BDTC D=1,20m - CA-4, inclusive berço e dentes</v>
          </cell>
          <cell r="C88" t="str">
            <v>m</v>
          </cell>
          <cell r="D88">
            <v>1070.0999999999999</v>
          </cell>
        </row>
        <row r="89">
          <cell r="A89" t="str">
            <v>2 S 04 111 01</v>
          </cell>
          <cell r="B89" t="str">
            <v>Boca BDTC D=1,00m normal</v>
          </cell>
          <cell r="C89" t="str">
            <v>und</v>
          </cell>
          <cell r="D89">
            <v>1442.97</v>
          </cell>
        </row>
        <row r="90">
          <cell r="A90" t="str">
            <v>2 S 04 111 02</v>
          </cell>
          <cell r="B90" t="str">
            <v>Boca BDTC D=1,20m normal</v>
          </cell>
          <cell r="C90" t="str">
            <v>und</v>
          </cell>
          <cell r="D90">
            <v>2065.5100000000002</v>
          </cell>
        </row>
        <row r="91">
          <cell r="A91" t="str">
            <v>2 S 04 111 05</v>
          </cell>
          <cell r="B91" t="str">
            <v>Boca BDTC D=1,00 m - esc.=15</v>
          </cell>
          <cell r="C91" t="str">
            <v>und</v>
          </cell>
          <cell r="D91">
            <v>1507.6</v>
          </cell>
        </row>
        <row r="92">
          <cell r="A92" t="str">
            <v>2 S 04 111 06</v>
          </cell>
          <cell r="B92" t="str">
            <v>Boca BDTC D=1,20 m - esc.=15</v>
          </cell>
          <cell r="C92" t="str">
            <v>und</v>
          </cell>
          <cell r="D92">
            <v>2161.86</v>
          </cell>
        </row>
        <row r="93">
          <cell r="A93" t="str">
            <v>2 S 04 111 09</v>
          </cell>
          <cell r="B93" t="str">
            <v>Boca BDTC D=1,20 m - esc.=30</v>
          </cell>
          <cell r="C93" t="str">
            <v>und</v>
          </cell>
          <cell r="D93">
            <v>2405.5500000000002</v>
          </cell>
        </row>
        <row r="94">
          <cell r="A94" t="str">
            <v>2 S 04 120 02</v>
          </cell>
          <cell r="B94" t="str">
            <v>Corpo BTTC D=1,20m - CA-4, inclusive berço e dentes</v>
          </cell>
          <cell r="C94" t="str">
            <v>m</v>
          </cell>
          <cell r="D94">
            <v>1594.36</v>
          </cell>
        </row>
        <row r="95">
          <cell r="A95" t="str">
            <v>2 S 04 121 02</v>
          </cell>
          <cell r="B95" t="str">
            <v>Boca BTTC D=1,20m normal</v>
          </cell>
          <cell r="C95" t="str">
            <v>und</v>
          </cell>
          <cell r="D95">
            <v>2657.93</v>
          </cell>
        </row>
        <row r="96">
          <cell r="A96" t="str">
            <v>2 S 04 121 05</v>
          </cell>
          <cell r="B96" t="str">
            <v>Boca BTTC D=1,20 m - esc.=15</v>
          </cell>
          <cell r="C96" t="str">
            <v>und</v>
          </cell>
          <cell r="D96">
            <v>2776.04</v>
          </cell>
        </row>
        <row r="97">
          <cell r="A97" t="str">
            <v>2 S 04 121 08</v>
          </cell>
          <cell r="B97" t="str">
            <v>Boca BTTC D=1,20 m - esc.=30</v>
          </cell>
          <cell r="C97" t="str">
            <v>und</v>
          </cell>
          <cell r="D97">
            <v>3087.76</v>
          </cell>
        </row>
        <row r="98">
          <cell r="A98" t="str">
            <v>2 S 04 200 14</v>
          </cell>
          <cell r="B98" t="str">
            <v>Corpo BSCC 2,00 x 2,00 m alt. 5,00 a 7,50 m</v>
          </cell>
          <cell r="C98" t="str">
            <v>m</v>
          </cell>
          <cell r="D98">
            <v>1486.5</v>
          </cell>
        </row>
        <row r="99">
          <cell r="A99" t="str">
            <v>2 S 04 200 15</v>
          </cell>
          <cell r="B99" t="str">
            <v>Corpo BSCC 2,50 x 2,50 m alt. 5,00 a 7,50 m</v>
          </cell>
          <cell r="C99" t="str">
            <v>m</v>
          </cell>
          <cell r="D99">
            <v>2160.11</v>
          </cell>
        </row>
        <row r="100">
          <cell r="A100" t="str">
            <v>2 S 04 200 16</v>
          </cell>
          <cell r="B100" t="str">
            <v>Corpo BSCC 3,00 x 3,00 m alt. 5,00 a 7,50 m</v>
          </cell>
          <cell r="C100" t="str">
            <v>m</v>
          </cell>
          <cell r="D100">
            <v>3060.59</v>
          </cell>
        </row>
        <row r="101">
          <cell r="A101" t="str">
            <v>2 S 04 201 02</v>
          </cell>
          <cell r="B101" t="str">
            <v>Boca BSCC 2,00 x 2,00 m normal</v>
          </cell>
          <cell r="C101" t="str">
            <v>und</v>
          </cell>
          <cell r="D101">
            <v>7798.38</v>
          </cell>
        </row>
        <row r="102">
          <cell r="A102" t="str">
            <v>2 S 04 201 03</v>
          </cell>
          <cell r="B102" t="str">
            <v>Boca BSCC 2,50 x 2,50 m normal</v>
          </cell>
          <cell r="C102" t="str">
            <v>und</v>
          </cell>
          <cell r="D102">
            <v>10509.48</v>
          </cell>
        </row>
        <row r="103">
          <cell r="A103" t="str">
            <v>2 S 04 201 04</v>
          </cell>
          <cell r="B103" t="str">
            <v>Boca BSCC 3,00 x 3,00 m normal</v>
          </cell>
          <cell r="C103" t="str">
            <v>und</v>
          </cell>
          <cell r="D103">
            <v>15014.69</v>
          </cell>
        </row>
        <row r="104">
          <cell r="A104" t="str">
            <v>2 S 04 201 07</v>
          </cell>
          <cell r="B104" t="str">
            <v>Boca BSCC 2,50 x 2,50 m - esc.=15</v>
          </cell>
          <cell r="C104" t="str">
            <v>und</v>
          </cell>
          <cell r="D104">
            <v>11197.12</v>
          </cell>
        </row>
        <row r="105">
          <cell r="A105" t="str">
            <v>2 S 04 201 08</v>
          </cell>
          <cell r="B105" t="str">
            <v>Boca BSCC 3,00 x 3,00 m - esc.=15</v>
          </cell>
          <cell r="C105" t="str">
            <v>und</v>
          </cell>
          <cell r="D105">
            <v>15908.84</v>
          </cell>
        </row>
        <row r="106">
          <cell r="A106" t="str">
            <v>2 S 04 201 10</v>
          </cell>
          <cell r="B106" t="str">
            <v>Boca BSCC 2,00 x 2,00 m - esc.=30</v>
          </cell>
          <cell r="C106" t="str">
            <v>und</v>
          </cell>
          <cell r="D106">
            <v>8686.02</v>
          </cell>
        </row>
        <row r="107">
          <cell r="A107" t="str">
            <v>2 S 04 201 11</v>
          </cell>
          <cell r="B107" t="str">
            <v>Boca BSCC 2,50 x 2,50 m - esc.=30</v>
          </cell>
          <cell r="C107" t="str">
            <v>und</v>
          </cell>
          <cell r="D107">
            <v>12465.66</v>
          </cell>
        </row>
        <row r="108">
          <cell r="A108" t="str">
            <v>2 S 04 210 03</v>
          </cell>
          <cell r="B108" t="str">
            <v>Corpo BDCC 2,50 x 2,50 m alt. 0 a 1,00 m</v>
          </cell>
          <cell r="C108" t="str">
            <v>m</v>
          </cell>
          <cell r="D108">
            <v>2765.61</v>
          </cell>
        </row>
        <row r="109">
          <cell r="A109" t="str">
            <v>2 S 04 210 04</v>
          </cell>
          <cell r="B109" t="str">
            <v>Corpo BDCC 3,00 x 3,00 m alt. 0 a 1,00 m</v>
          </cell>
          <cell r="C109" t="str">
            <v>m</v>
          </cell>
          <cell r="D109">
            <v>3775.24</v>
          </cell>
        </row>
        <row r="110">
          <cell r="A110" t="str">
            <v>2 S 04 211 03</v>
          </cell>
          <cell r="B110" t="str">
            <v>Boca BDCC 2,50 x 2,50 m normal</v>
          </cell>
          <cell r="C110" t="str">
            <v>und</v>
          </cell>
          <cell r="D110">
            <v>12667.46</v>
          </cell>
        </row>
        <row r="111">
          <cell r="A111" t="str">
            <v>2 S 04 211 04</v>
          </cell>
          <cell r="B111" t="str">
            <v>Boca BDCC 3,00 x 3,00 m normal</v>
          </cell>
          <cell r="C111" t="str">
            <v>und</v>
          </cell>
          <cell r="D111">
            <v>18400.97</v>
          </cell>
        </row>
        <row r="112">
          <cell r="A112" t="str">
            <v>2 S 04 211 07</v>
          </cell>
          <cell r="B112" t="str">
            <v>Boca BDCC 2,50 x 2,50 m esc=15</v>
          </cell>
          <cell r="C112" t="str">
            <v>und</v>
          </cell>
          <cell r="D112">
            <v>13743.23</v>
          </cell>
        </row>
        <row r="113">
          <cell r="A113" t="str">
            <v>2 S 04 211 11</v>
          </cell>
          <cell r="B113" t="str">
            <v>Boca BDCC 2,50 x 2,50 m esc.=30</v>
          </cell>
          <cell r="C113" t="str">
            <v>und</v>
          </cell>
          <cell r="D113">
            <v>14745.59</v>
          </cell>
        </row>
        <row r="114">
          <cell r="A114" t="str">
            <v>2 S 04 500 07</v>
          </cell>
          <cell r="B114" t="str">
            <v>Dreno longitudinal prof. p/corte em solo - DPS 07</v>
          </cell>
          <cell r="C114" t="str">
            <v>m</v>
          </cell>
          <cell r="D114">
            <v>52.85</v>
          </cell>
        </row>
        <row r="115">
          <cell r="A115" t="str">
            <v>2 S 04 501 02</v>
          </cell>
          <cell r="B115" t="str">
            <v>Dreno longitudinal prof. p/corte em rocha - DPR 02</v>
          </cell>
          <cell r="C115" t="str">
            <v>m</v>
          </cell>
          <cell r="D115">
            <v>32.79</v>
          </cell>
        </row>
        <row r="116">
          <cell r="A116" t="str">
            <v>2 S 04 502 02</v>
          </cell>
          <cell r="B116" t="str">
            <v>Boca saída p/dreno longitudinal prof. BSD 02</v>
          </cell>
          <cell r="C116" t="str">
            <v>und</v>
          </cell>
          <cell r="D116">
            <v>65.739999999999995</v>
          </cell>
        </row>
        <row r="117">
          <cell r="A117" t="str">
            <v>2 S 04 900 02</v>
          </cell>
          <cell r="B117" t="str">
            <v>Sarjeta triangular de concreto - STC 02</v>
          </cell>
          <cell r="C117" t="str">
            <v>m</v>
          </cell>
          <cell r="D117">
            <v>19.18</v>
          </cell>
        </row>
        <row r="118">
          <cell r="A118" t="str">
            <v>2 S 04 901 22</v>
          </cell>
          <cell r="B118" t="str">
            <v>Sarjeta de canteiro central de concreto - SCC 04</v>
          </cell>
          <cell r="C118" t="str">
            <v>m</v>
          </cell>
          <cell r="D118">
            <v>32.53</v>
          </cell>
        </row>
        <row r="119">
          <cell r="A119" t="str">
            <v>2 S 04 910 01</v>
          </cell>
          <cell r="B119" t="str">
            <v>Meio fio de concreto - MFC 01- tipo B - (c/ sarjeta de 50,0 cm)</v>
          </cell>
          <cell r="C119" t="str">
            <v>m</v>
          </cell>
          <cell r="D119">
            <v>29.19</v>
          </cell>
        </row>
        <row r="120">
          <cell r="A120" t="str">
            <v>2 S 04 910 03</v>
          </cell>
          <cell r="B120" t="str">
            <v>Meio fio de concreto - MFC 03</v>
          </cell>
          <cell r="C120" t="str">
            <v>m</v>
          </cell>
          <cell r="D120">
            <v>14.02</v>
          </cell>
        </row>
        <row r="121">
          <cell r="A121" t="str">
            <v>2 S 04 940 02</v>
          </cell>
          <cell r="B121" t="str">
            <v>Descida d'água tipo tipo rápido - canal retang.- DAR 02</v>
          </cell>
          <cell r="C121" t="str">
            <v>m</v>
          </cell>
          <cell r="D121">
            <v>39.01</v>
          </cell>
        </row>
        <row r="122">
          <cell r="A122" t="str">
            <v>2 S 04 941 02</v>
          </cell>
          <cell r="B122" t="str">
            <v>Descida d'água aterros em degraus - arm - DAD 02</v>
          </cell>
          <cell r="C122" t="str">
            <v>m</v>
          </cell>
          <cell r="D122">
            <v>85.22</v>
          </cell>
        </row>
        <row r="123">
          <cell r="A123" t="str">
            <v>2 S 04 942 01</v>
          </cell>
          <cell r="B123" t="str">
            <v>Entrada d'água - EDA 01</v>
          </cell>
          <cell r="C123" t="str">
            <v>und</v>
          </cell>
          <cell r="D123">
            <v>20.6</v>
          </cell>
        </row>
        <row r="124">
          <cell r="A124" t="str">
            <v>2 S 04 942 02</v>
          </cell>
          <cell r="B124" t="str">
            <v>Entrada d'água - EDA 02</v>
          </cell>
          <cell r="C124" t="str">
            <v>und</v>
          </cell>
          <cell r="D124">
            <v>24.81</v>
          </cell>
        </row>
        <row r="125">
          <cell r="A125" t="str">
            <v>2 S 04 950 21</v>
          </cell>
          <cell r="B125" t="str">
            <v>Dissipador de energia - DEB 01</v>
          </cell>
          <cell r="C125" t="str">
            <v>und</v>
          </cell>
          <cell r="D125">
            <v>119.45</v>
          </cell>
        </row>
        <row r="126">
          <cell r="A126" t="str">
            <v>2 S 05 100 00</v>
          </cell>
          <cell r="B126" t="str">
            <v>Enleivamento</v>
          </cell>
          <cell r="C126" t="str">
            <v>m2</v>
          </cell>
          <cell r="D126">
            <v>3.77</v>
          </cell>
        </row>
        <row r="127">
          <cell r="A127" t="str">
            <v>2 S 05 102 00</v>
          </cell>
          <cell r="B127" t="str">
            <v>Hidrossemeadura</v>
          </cell>
          <cell r="C127" t="str">
            <v>m2</v>
          </cell>
          <cell r="D127">
            <v>0.91</v>
          </cell>
        </row>
        <row r="128">
          <cell r="A128" t="str">
            <v>2 S 05 120 01</v>
          </cell>
          <cell r="B128" t="str">
            <v>Plantio de arbusto (h= 0,50m)</v>
          </cell>
          <cell r="C128" t="str">
            <v>un</v>
          </cell>
          <cell r="D128">
            <v>10.19</v>
          </cell>
        </row>
        <row r="129">
          <cell r="A129" t="str">
            <v>2 S 06 400 01</v>
          </cell>
          <cell r="B129" t="str">
            <v>Cerca arame farp. c/ mourão concr. seção quadrada</v>
          </cell>
          <cell r="C129" t="str">
            <v>m</v>
          </cell>
          <cell r="D129">
            <v>14.62</v>
          </cell>
        </row>
        <row r="130">
          <cell r="A130" t="str">
            <v>2 S 09 001 05</v>
          </cell>
          <cell r="B130" t="str">
            <v>Transporte local em rodov. não pav. (const.)</v>
          </cell>
          <cell r="C130" t="str">
            <v>tkm</v>
          </cell>
          <cell r="D130">
            <v>0.41</v>
          </cell>
        </row>
        <row r="131">
          <cell r="A131" t="str">
            <v>2 S 09 001 91</v>
          </cell>
          <cell r="B131" t="str">
            <v>Transporte comercial c/ basc. 10m3 rodov. não pav.</v>
          </cell>
          <cell r="C131" t="str">
            <v>tkm</v>
          </cell>
          <cell r="D131">
            <v>0.33</v>
          </cell>
        </row>
        <row r="132">
          <cell r="A132" t="str">
            <v>2 S 09 002 91</v>
          </cell>
          <cell r="B132" t="str">
            <v>Transporte comercial c/ basc. 10m3 rodov. pavimentada</v>
          </cell>
          <cell r="C132" t="str">
            <v>tkm</v>
          </cell>
          <cell r="D132">
            <v>0.22</v>
          </cell>
        </row>
        <row r="133">
          <cell r="A133" t="str">
            <v>2 S 09 009 01</v>
          </cell>
          <cell r="B133" t="str">
            <v>Transporte de Cimento Asfáltico CAP-20</v>
          </cell>
          <cell r="C133" t="str">
            <v>t</v>
          </cell>
          <cell r="D133">
            <v>200</v>
          </cell>
        </row>
        <row r="134">
          <cell r="A134" t="str">
            <v>2 S 09 009 03</v>
          </cell>
          <cell r="B134" t="str">
            <v>Transporte de Asfálto Diluído CM-30</v>
          </cell>
          <cell r="C134" t="str">
            <v>t</v>
          </cell>
          <cell r="D134">
            <v>200</v>
          </cell>
        </row>
        <row r="135">
          <cell r="A135" t="str">
            <v>2 S 09 009 05</v>
          </cell>
          <cell r="B135" t="str">
            <v>Transporte de Emulsão Asfáltica RR-2C</v>
          </cell>
          <cell r="C135" t="str">
            <v>t</v>
          </cell>
          <cell r="D135">
            <v>200</v>
          </cell>
        </row>
        <row r="136">
          <cell r="A136" t="str">
            <v>3 S 01 930 00</v>
          </cell>
          <cell r="B136" t="str">
            <v>Regularização mecânica da faixa de domínio (c/ trator esteira)</v>
          </cell>
          <cell r="C136" t="str">
            <v>m2</v>
          </cell>
          <cell r="D136">
            <v>0.17</v>
          </cell>
        </row>
        <row r="137">
          <cell r="A137" t="str">
            <v>4 S 06 000 11</v>
          </cell>
          <cell r="B137" t="str">
            <v>Defensa maleável dupla (forn./ impl.)</v>
          </cell>
          <cell r="C137" t="str">
            <v>m</v>
          </cell>
          <cell r="D137">
            <v>254</v>
          </cell>
        </row>
        <row r="138">
          <cell r="A138" t="str">
            <v>4 S 06 000 12</v>
          </cell>
          <cell r="B138" t="str">
            <v>Ancoragem de defensa maleável dupla (forn./ impl.)</v>
          </cell>
          <cell r="C138" t="str">
            <v>m</v>
          </cell>
          <cell r="D138">
            <v>273.51</v>
          </cell>
        </row>
        <row r="139">
          <cell r="A139" t="str">
            <v>4 S 06 100 21</v>
          </cell>
          <cell r="B139" t="str">
            <v>Pintura faixa - tinta durabilidade - 2 anos</v>
          </cell>
          <cell r="C139" t="str">
            <v>m2</v>
          </cell>
          <cell r="D139">
            <v>11.71</v>
          </cell>
        </row>
        <row r="140">
          <cell r="A140" t="str">
            <v>4 S 06 100 22</v>
          </cell>
          <cell r="B140" t="str">
            <v>Pintura setas e zebrado - 2 anos</v>
          </cell>
          <cell r="C140" t="str">
            <v>m2</v>
          </cell>
          <cell r="D140">
            <v>15.44</v>
          </cell>
        </row>
        <row r="141">
          <cell r="A141" t="str">
            <v>4 S 06 121 01</v>
          </cell>
          <cell r="B141" t="str">
            <v>Forn. e colocação de tacha reflet. bidirecional</v>
          </cell>
          <cell r="C141" t="str">
            <v>und</v>
          </cell>
          <cell r="D141">
            <v>10.91</v>
          </cell>
        </row>
        <row r="142">
          <cell r="A142" t="str">
            <v>4 S 06 121 11</v>
          </cell>
          <cell r="B142" t="str">
            <v>Forn. e colocação de tachão reflet. bidirecional</v>
          </cell>
          <cell r="C142" t="str">
            <v>und</v>
          </cell>
          <cell r="D142">
            <v>29.44</v>
          </cell>
        </row>
        <row r="143">
          <cell r="A143" t="str">
            <v>4 S 06 200 02</v>
          </cell>
          <cell r="B143" t="str">
            <v>Forn. e implantação placa sinaliz. tot.refletiva</v>
          </cell>
          <cell r="C143" t="str">
            <v>m2</v>
          </cell>
          <cell r="D143">
            <v>252.87</v>
          </cell>
        </row>
        <row r="144">
          <cell r="A144" t="str">
            <v>5 S 04 999 01</v>
          </cell>
          <cell r="B144" t="str">
            <v>Remoção de bueiros existentes</v>
          </cell>
          <cell r="C144" t="str">
            <v>m</v>
          </cell>
          <cell r="D144">
            <v>35.31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refreshError="1"/>
      <sheetData sheetId="19"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Serviços"/>
      <sheetName val="Orçamento"/>
      <sheetName val="Transporte"/>
      <sheetName val="DRENAGEM"/>
      <sheetName val="Mob Desm-Inst. Cant."/>
      <sheetName val="Anexo"/>
      <sheetName val="resumo"/>
      <sheetName val="quantitativos"/>
      <sheetName val="APONT"/>
      <sheetName val="7-TSD"/>
      <sheetName val="DMT MEDIÇÃO"/>
      <sheetName val="desm"/>
      <sheetName val="Croqui"/>
      <sheetName val="CALCULOS AUXILIARES"/>
      <sheetName val="Pato"/>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Serviços"/>
      <sheetName val="Orçamento"/>
      <sheetName val=" Dren."/>
      <sheetName val="Transporte "/>
      <sheetName val="Plan1"/>
      <sheetName val="Plan2"/>
      <sheetName val=""/>
      <sheetName val="aterro"/>
      <sheetName val="tsd"/>
      <sheetName val="CUSTO HORÁRIO"/>
      <sheetName val="Mão de obra"/>
      <sheetName val="Material"/>
      <sheetName val="Mat Asf"/>
      <sheetName val="DMT MEDIÇÃO"/>
      <sheetName val="RESUMO_DVOP"/>
      <sheetName val="insumos básicos"/>
      <sheetName val="RESUMO-DVOP"/>
      <sheetName val="quadro 04 - planilhas preços"/>
      <sheetName val="Cabeçalho"/>
      <sheetName val="DADOS"/>
      <sheetName val="mat"/>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dados"/>
      <sheetName val="quadro 09 - equipamentos dner"/>
      <sheetName val="QUADRO 10 - C. H. PESSOAL"/>
      <sheetName val="CUSTO HORÁRIO"/>
      <sheetName val="Mão de obra"/>
      <sheetName val="Material"/>
      <sheetName val="Serviços"/>
    </sheetNames>
    <sheetDataSet>
      <sheetData sheetId="0" refreshError="1">
        <row r="5">
          <cell r="B5" t="str">
            <v>SEGMENTO: Km 11,00 - Km 197,15</v>
          </cell>
        </row>
      </sheetData>
      <sheetData sheetId="1"/>
      <sheetData sheetId="2"/>
      <sheetData sheetId="3" refreshError="1"/>
      <sheetData sheetId="4" refreshError="1"/>
      <sheetData sheetId="5" refreshError="1"/>
      <sheetData sheetId="6"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Serviços"/>
      <sheetName val="Orçamento"/>
      <sheetName val="Transporte"/>
      <sheetName val="DRENAGEM"/>
      <sheetName val="Mob Desm-Inst. Cant."/>
      <sheetName val="Anexo"/>
      <sheetName val="resumo"/>
      <sheetName val="quantitativos"/>
      <sheetName val="DMT MEDIÇÃO"/>
      <sheetName val="dados"/>
      <sheetName val="Desmatamento "/>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Serviços"/>
      <sheetName val="QUANTITATIVO"/>
      <sheetName val="Orçamento"/>
      <sheetName val="Transporte"/>
      <sheetName val="DRENAGEM"/>
      <sheetName val="INST MOB"/>
      <sheetName val="DESMAT. DEST. LIMP. AREA"/>
      <sheetName val="REGULARIZAÇÃO DO SUBLEITO"/>
      <sheetName val="BASE"/>
      <sheetName val="SUB-BASE"/>
      <sheetName val="IMPRIMAÇÃO  E CM-30"/>
      <sheetName val="TSS E RR-2C"/>
      <sheetName val="TSD E RR-2C"/>
      <sheetName val="insumos básicos"/>
      <sheetName val="RESUMO-DVOP"/>
      <sheetName val="quadro 04 - planilhas preços"/>
      <sheetName val="PLE"/>
      <sheetName val="Eventograma_e_Quantitativos"/>
      <sheetName val="cubação"/>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Solum"/>
      <sheetName val="Plan2"/>
      <sheetName val="Plan3"/>
      <sheetName val="cobertura quadra"/>
      <sheetName val="CRON REF"/>
      <sheetName val="cobertura_quadra"/>
      <sheetName val="CRON_REF"/>
      <sheetName val="cronograma físico-financeiro - "/>
    </sheetNames>
    <sheetDataSet>
      <sheetData sheetId="0" refreshError="1">
        <row r="3">
          <cell r="A3" t="str">
            <v>Obra :001 -  001</v>
          </cell>
        </row>
        <row r="4">
          <cell r="A4" t="str">
            <v xml:space="preserve">Total da Planilha - </v>
          </cell>
          <cell r="B4" t="str">
            <v>364.742,2448</v>
          </cell>
        </row>
        <row r="5">
          <cell r="A5" t="str">
            <v>Cód. Tarefa</v>
          </cell>
          <cell r="B5" t="str">
            <v>Descrição</v>
          </cell>
          <cell r="C5" t="str">
            <v>Unidade</v>
          </cell>
          <cell r="D5" t="str">
            <v>Valor Unitário</v>
          </cell>
        </row>
        <row r="6">
          <cell r="A6" t="str">
            <v>001</v>
          </cell>
          <cell r="B6" t="str">
            <v>BOLETIM DE REFERÊNCIA DE PREÇOS - ABRIL 2005</v>
          </cell>
          <cell r="D6">
            <v>364742.24479999999</v>
          </cell>
        </row>
        <row r="7">
          <cell r="A7" t="str">
            <v>001.01</v>
          </cell>
          <cell r="B7" t="str">
            <v>DEMOLIÇÃO E RETIRADA</v>
          </cell>
          <cell r="D7">
            <v>1590.6348</v>
          </cell>
        </row>
        <row r="8">
          <cell r="A8" t="str">
            <v>001.01.00020</v>
          </cell>
          <cell r="B8" t="str">
            <v>Demolição de cobertura construída c/telha de barro ou cerâmica</v>
          </cell>
          <cell r="C8" t="str">
            <v>M2</v>
          </cell>
          <cell r="D8">
            <v>2.6091000000000002</v>
          </cell>
        </row>
        <row r="9">
          <cell r="A9" t="str">
            <v>001.01.00040</v>
          </cell>
          <cell r="B9" t="str">
            <v>Demolição de cobertura construída c/telha de cimento amianto, alumínio, plastico e ferro galvanizado</v>
          </cell>
          <cell r="C9" t="str">
            <v>M2</v>
          </cell>
          <cell r="D9">
            <v>1.0871999999999999</v>
          </cell>
        </row>
        <row r="10">
          <cell r="A10" t="str">
            <v>001.01.00060</v>
          </cell>
          <cell r="B10" t="str">
            <v>Demolição de madeiramento de telhado constituído por tesouras (telha de barro)</v>
          </cell>
          <cell r="C10" t="str">
            <v>M2</v>
          </cell>
          <cell r="D10">
            <v>3.9278</v>
          </cell>
        </row>
        <row r="11">
          <cell r="A11" t="str">
            <v>001.01.00080</v>
          </cell>
          <cell r="B11" t="str">
            <v>Demolição de madeiramento de telhado constituído por tesouras (telha de cimento aminato e alumínio)</v>
          </cell>
          <cell r="C11" t="str">
            <v>M2</v>
          </cell>
          <cell r="D11">
            <v>3.3856999999999999</v>
          </cell>
        </row>
        <row r="12">
          <cell r="A12" t="str">
            <v>001.01.00100</v>
          </cell>
          <cell r="B12" t="str">
            <v>Demolição de madeiramento de telhado tipo pontaletados (telhas de barro)</v>
          </cell>
          <cell r="C12" t="str">
            <v>M2</v>
          </cell>
          <cell r="D12">
            <v>2.9251</v>
          </cell>
        </row>
        <row r="13">
          <cell r="A13" t="str">
            <v>001.01.00120</v>
          </cell>
          <cell r="B13" t="str">
            <v>Demolição de madeiramento de telhado tipo pontaletados (telhas de cimento aminato ou alumínio)</v>
          </cell>
          <cell r="C13" t="str">
            <v>M2</v>
          </cell>
          <cell r="D13">
            <v>2.9251</v>
          </cell>
        </row>
        <row r="14">
          <cell r="A14" t="str">
            <v>001.01.00130</v>
          </cell>
          <cell r="B14" t="str">
            <v>Demolição de Ripamento em Cobertura Barro ou Cerâmica</v>
          </cell>
          <cell r="C14" t="str">
            <v>m2</v>
          </cell>
          <cell r="D14">
            <v>0.19040000000000001</v>
          </cell>
        </row>
        <row r="15">
          <cell r="A15" t="str">
            <v>001.01.00140</v>
          </cell>
          <cell r="B15" t="str">
            <v>Demolição de estrutura de ferro  para  telhados</v>
          </cell>
          <cell r="C15" t="str">
            <v>M2</v>
          </cell>
          <cell r="D15">
            <v>8.0597999999999992</v>
          </cell>
        </row>
        <row r="16">
          <cell r="A16" t="str">
            <v>001.01.00160</v>
          </cell>
          <cell r="B16" t="str">
            <v>Retirada de cobertura de madeira - caibros e vigas</v>
          </cell>
          <cell r="C16" t="str">
            <v>ML</v>
          </cell>
          <cell r="D16">
            <v>0.20039999999999999</v>
          </cell>
        </row>
        <row r="17">
          <cell r="A17" t="str">
            <v>001.01.00180</v>
          </cell>
          <cell r="B17" t="str">
            <v>Retirada de cobertura de madeira - ripas</v>
          </cell>
          <cell r="C17" t="str">
            <v>ML</v>
          </cell>
          <cell r="D17">
            <v>0.1002</v>
          </cell>
        </row>
        <row r="18">
          <cell r="A18" t="str">
            <v>001.01.00200</v>
          </cell>
          <cell r="B18" t="str">
            <v>Retirada de cobertura em telhas de barro s/aproveitamento das cumeeiras e espigões</v>
          </cell>
          <cell r="C18" t="str">
            <v>UN</v>
          </cell>
          <cell r="D18">
            <v>0.27660000000000001</v>
          </cell>
        </row>
        <row r="19">
          <cell r="A19" t="str">
            <v>001.01.00220</v>
          </cell>
          <cell r="B19" t="str">
            <v>Retirada de cobertura em telhas de cimento aminato, alumínio, plástico ou ferro galvanizado</v>
          </cell>
          <cell r="C19" t="str">
            <v>UN</v>
          </cell>
          <cell r="D19">
            <v>3.6886000000000001</v>
          </cell>
        </row>
        <row r="20">
          <cell r="A20" t="str">
            <v>001.01.00240</v>
          </cell>
          <cell r="B20" t="str">
            <v>Retirada de cobertura em telhas cerãmicas ( plan , colonial , francesa , etc. )</v>
          </cell>
          <cell r="C20" t="str">
            <v>M2</v>
          </cell>
          <cell r="D20">
            <v>2.4449999999999998</v>
          </cell>
        </row>
        <row r="21">
          <cell r="A21" t="str">
            <v>001.01.00260</v>
          </cell>
          <cell r="B21" t="str">
            <v>Retirada de cobertura em telhas de cimento aminato, alumínio, plástico e c.g.</v>
          </cell>
          <cell r="C21" t="str">
            <v>M2</v>
          </cell>
          <cell r="D21">
            <v>1.3028999999999999</v>
          </cell>
        </row>
        <row r="22">
          <cell r="A22" t="str">
            <v>001.01.00280</v>
          </cell>
          <cell r="B22" t="str">
            <v>Retirada de madeiramento de telhado constituído por tesouras (telha de barro)</v>
          </cell>
          <cell r="C22" t="str">
            <v>M2</v>
          </cell>
          <cell r="D22">
            <v>3.0061</v>
          </cell>
        </row>
        <row r="23">
          <cell r="A23" t="str">
            <v>001.01.00300</v>
          </cell>
          <cell r="B23" t="str">
            <v>Retirada de madeiramento de telhado constituído por tesouras (telha de cimento amianto ou alumínio)</v>
          </cell>
          <cell r="C23" t="str">
            <v>M2</v>
          </cell>
          <cell r="D23">
            <v>2.5051000000000001</v>
          </cell>
        </row>
        <row r="24">
          <cell r="A24" t="str">
            <v>001.01.00320</v>
          </cell>
          <cell r="B24" t="str">
            <v>Retirada de madeiramento de telhado tipo pontaletados (telhas de barro)</v>
          </cell>
          <cell r="C24" t="str">
            <v>M2</v>
          </cell>
          <cell r="D24">
            <v>2.004</v>
          </cell>
        </row>
        <row r="25">
          <cell r="A25" t="str">
            <v>001.01.00340</v>
          </cell>
          <cell r="B25" t="str">
            <v>Retirada de madeiramento de telhado tipo pontaletados (telhas de cimento amianto ou alumínio)</v>
          </cell>
          <cell r="C25" t="str">
            <v>M2</v>
          </cell>
          <cell r="D25">
            <v>1.8036000000000001</v>
          </cell>
        </row>
        <row r="26">
          <cell r="A26" t="str">
            <v>001.01.00360</v>
          </cell>
          <cell r="B26" t="str">
            <v>Retirada de calhas e rufos metálicos</v>
          </cell>
          <cell r="C26" t="str">
            <v>M2</v>
          </cell>
          <cell r="D26">
            <v>3.0522</v>
          </cell>
        </row>
        <row r="27">
          <cell r="A27" t="str">
            <v>001.01.00380</v>
          </cell>
          <cell r="B27" t="str">
            <v>Demolição de revestimento de argamassa de cal e areia (inclusive emboço)</v>
          </cell>
          <cell r="C27" t="str">
            <v>M2</v>
          </cell>
          <cell r="D27">
            <v>1.9035</v>
          </cell>
        </row>
        <row r="28">
          <cell r="A28" t="str">
            <v>001.01.00400</v>
          </cell>
          <cell r="B28" t="str">
            <v>Demolição de revestimento de argamassa mista (inclusive emboço)</v>
          </cell>
          <cell r="C28" t="str">
            <v>M2</v>
          </cell>
          <cell r="D28">
            <v>2.8553000000000002</v>
          </cell>
        </row>
        <row r="29">
          <cell r="A29" t="str">
            <v>001.01.00420</v>
          </cell>
          <cell r="B29" t="str">
            <v>Demolição de revestimento de argamassa de cimento e areia (inclusive emboço)</v>
          </cell>
          <cell r="C29" t="str">
            <v>M2</v>
          </cell>
          <cell r="D29">
            <v>7.3181000000000003</v>
          </cell>
        </row>
        <row r="30">
          <cell r="A30" t="str">
            <v>001.01.00440</v>
          </cell>
          <cell r="B30" t="str">
            <v>Demolição de azulejos pastilas ladrilhos cerâmicos ou base de gres (inclusive emboço)</v>
          </cell>
          <cell r="C30" t="str">
            <v>M2</v>
          </cell>
          <cell r="D30">
            <v>7.0641999999999996</v>
          </cell>
        </row>
        <row r="31">
          <cell r="A31" t="str">
            <v>001.01.00460</v>
          </cell>
          <cell r="B31" t="str">
            <v>Demolição de mármore, pedra ou granito (inclusive emboço)</v>
          </cell>
          <cell r="C31" t="str">
            <v>M2</v>
          </cell>
          <cell r="D31">
            <v>7.0641999999999996</v>
          </cell>
        </row>
        <row r="32">
          <cell r="A32" t="str">
            <v>001.01.00480</v>
          </cell>
          <cell r="B32" t="str">
            <v>Demolição de quadro negro</v>
          </cell>
          <cell r="C32" t="str">
            <v>M2</v>
          </cell>
          <cell r="D32">
            <v>7.0641999999999996</v>
          </cell>
        </row>
        <row r="33">
          <cell r="A33" t="str">
            <v>001.01.00500</v>
          </cell>
          <cell r="B33" t="str">
            <v>Retirada de revestimento com mármore, pedra ou granito (inclusive emboço)</v>
          </cell>
          <cell r="C33" t="str">
            <v>M2</v>
          </cell>
          <cell r="D33">
            <v>6.5143000000000004</v>
          </cell>
        </row>
        <row r="34">
          <cell r="A34" t="str">
            <v>001.01.00520</v>
          </cell>
          <cell r="B34" t="str">
            <v>Demolição de forro de estuque (inclusive entarugamento de madeira)</v>
          </cell>
          <cell r="C34" t="str">
            <v>M2</v>
          </cell>
          <cell r="D34">
            <v>2.0588000000000002</v>
          </cell>
        </row>
        <row r="35">
          <cell r="A35" t="str">
            <v>001.01.00540</v>
          </cell>
          <cell r="B35" t="str">
            <v>Demolição de forro de madeira ou de gesso (incluso entarugamento)</v>
          </cell>
          <cell r="C35" t="str">
            <v>M2</v>
          </cell>
          <cell r="D35">
            <v>1.7394000000000001</v>
          </cell>
        </row>
        <row r="36">
          <cell r="A36" t="str">
            <v>001.01.00560</v>
          </cell>
          <cell r="B36" t="str">
            <v>Demolição somente das tábuas ou chapas de madeira ou de gesso</v>
          </cell>
          <cell r="C36" t="str">
            <v>M2</v>
          </cell>
          <cell r="D36">
            <v>2.6091000000000002</v>
          </cell>
        </row>
        <row r="37">
          <cell r="A37" t="str">
            <v>001.01.00580</v>
          </cell>
          <cell r="B37" t="str">
            <v>Demolição de lambris de madeira inclusive entarugamento</v>
          </cell>
          <cell r="C37" t="str">
            <v>M2</v>
          </cell>
          <cell r="D37">
            <v>7.0641999999999996</v>
          </cell>
        </row>
        <row r="38">
          <cell r="A38" t="str">
            <v>001.01.00600</v>
          </cell>
          <cell r="B38" t="str">
            <v>Demolição somente de chapas ou placas de lambris ou madeira</v>
          </cell>
          <cell r="C38" t="str">
            <v>M2</v>
          </cell>
          <cell r="D38">
            <v>4.3993000000000002</v>
          </cell>
        </row>
        <row r="39">
          <cell r="A39" t="str">
            <v>001.01.00620</v>
          </cell>
          <cell r="B39" t="str">
            <v>Retirada de todo o forro inclusive vigas e sarrafos</v>
          </cell>
          <cell r="C39" t="str">
            <v>M2</v>
          </cell>
          <cell r="D39">
            <v>9.2608999999999995</v>
          </cell>
        </row>
        <row r="40">
          <cell r="A40" t="str">
            <v>001.01.00640</v>
          </cell>
          <cell r="B40" t="str">
            <v>Retirada de todos os lambris inclusive caibros e sarrafos</v>
          </cell>
          <cell r="C40" t="str">
            <v>M2</v>
          </cell>
          <cell r="D40">
            <v>9.2608999999999995</v>
          </cell>
        </row>
        <row r="41">
          <cell r="A41" t="str">
            <v>001.01.00660</v>
          </cell>
          <cell r="B41" t="str">
            <v>Demolição de alvenaria de tijolos maciços</v>
          </cell>
          <cell r="C41" t="str">
            <v>M3</v>
          </cell>
          <cell r="D41">
            <v>17.935300000000002</v>
          </cell>
        </row>
        <row r="42">
          <cell r="A42" t="str">
            <v>001.01.00680</v>
          </cell>
          <cell r="B42" t="str">
            <v>Retirada de alvenaria de tijolos maciços</v>
          </cell>
          <cell r="C42" t="str">
            <v>M3</v>
          </cell>
          <cell r="D42">
            <v>33.967100000000002</v>
          </cell>
        </row>
        <row r="43">
          <cell r="A43" t="str">
            <v>001.01.00700</v>
          </cell>
          <cell r="B43" t="str">
            <v>Demolição de alvenaria de tijolos cerâmicos</v>
          </cell>
          <cell r="C43" t="str">
            <v>M3</v>
          </cell>
          <cell r="D43">
            <v>13.045400000000001</v>
          </cell>
        </row>
        <row r="44">
          <cell r="A44" t="str">
            <v>001.01.00720</v>
          </cell>
          <cell r="B44" t="str">
            <v>Demolição de alvenaria de blocos de concreto</v>
          </cell>
          <cell r="C44" t="str">
            <v>M3</v>
          </cell>
          <cell r="D44">
            <v>13.045400000000001</v>
          </cell>
        </row>
        <row r="45">
          <cell r="A45" t="str">
            <v>001.01.00740</v>
          </cell>
          <cell r="B45" t="str">
            <v>Retirada de alvenaria de blocos de concreto</v>
          </cell>
          <cell r="C45" t="str">
            <v>M3</v>
          </cell>
          <cell r="D45">
            <v>26.090800000000002</v>
          </cell>
        </row>
        <row r="46">
          <cell r="A46" t="str">
            <v>001.01.00760</v>
          </cell>
          <cell r="B46" t="str">
            <v>Demolição de alvenaria de pedra</v>
          </cell>
          <cell r="C46" t="str">
            <v>M3</v>
          </cell>
          <cell r="D46">
            <v>33.1633</v>
          </cell>
        </row>
        <row r="47">
          <cell r="A47" t="str">
            <v>001.01.00780</v>
          </cell>
          <cell r="B47" t="str">
            <v>Retirada de alvenaria de pedra</v>
          </cell>
          <cell r="C47" t="str">
            <v>M3</v>
          </cell>
          <cell r="D47">
            <v>37.511800000000001</v>
          </cell>
        </row>
        <row r="48">
          <cell r="A48" t="str">
            <v>001.01.00800</v>
          </cell>
          <cell r="B48" t="str">
            <v>Demolição de alvenaria de placas de concreto celular</v>
          </cell>
          <cell r="C48" t="str">
            <v>M3</v>
          </cell>
          <cell r="D48">
            <v>7.6139999999999999</v>
          </cell>
        </row>
        <row r="49">
          <cell r="A49" t="str">
            <v>001.01.00820</v>
          </cell>
          <cell r="B49" t="str">
            <v>Retirada de alvenaria de placas de concreto celular</v>
          </cell>
          <cell r="C49" t="str">
            <v>M3</v>
          </cell>
          <cell r="D49">
            <v>13.028600000000001</v>
          </cell>
        </row>
        <row r="50">
          <cell r="A50" t="str">
            <v>001.01.00840</v>
          </cell>
          <cell r="B50" t="str">
            <v>Demolição de alvenaria de adobo</v>
          </cell>
          <cell r="C50" t="str">
            <v>M3</v>
          </cell>
          <cell r="D50">
            <v>19.035</v>
          </cell>
        </row>
        <row r="51">
          <cell r="A51" t="str">
            <v>001.01.00860</v>
          </cell>
          <cell r="B51" t="str">
            <v>Demolição de elemento vazado</v>
          </cell>
          <cell r="C51" t="str">
            <v>M2</v>
          </cell>
          <cell r="D51">
            <v>24.4664</v>
          </cell>
        </row>
        <row r="52">
          <cell r="A52" t="str">
            <v>001.01.00880</v>
          </cell>
          <cell r="B52" t="str">
            <v>Demolição inclusive entarugamento de paredes divisórias de tábuas e chapas</v>
          </cell>
          <cell r="C52" t="str">
            <v>M2</v>
          </cell>
          <cell r="D52">
            <v>3.8069999999999999</v>
          </cell>
        </row>
        <row r="53">
          <cell r="A53" t="str">
            <v>001.01.00900</v>
          </cell>
          <cell r="B53" t="str">
            <v>Demolição apenas das tábuas ou chapas das paredes divisórias</v>
          </cell>
          <cell r="C53" t="str">
            <v>M2</v>
          </cell>
          <cell r="D53">
            <v>2.6648999999999998</v>
          </cell>
        </row>
        <row r="54">
          <cell r="A54" t="str">
            <v>001.01.00920</v>
          </cell>
          <cell r="B54" t="str">
            <v>Retirada de divisória tipo naval</v>
          </cell>
          <cell r="C54" t="str">
            <v>m2</v>
          </cell>
          <cell r="D54">
            <v>1.5227999999999999</v>
          </cell>
        </row>
        <row r="55">
          <cell r="A55" t="str">
            <v>001.01.00940</v>
          </cell>
          <cell r="B55" t="str">
            <v>Demolição de alvenaria de fundação de tijolos maciços inclusive escavações necessárias</v>
          </cell>
          <cell r="C55" t="str">
            <v>M3</v>
          </cell>
          <cell r="D55">
            <v>67.934200000000004</v>
          </cell>
        </row>
        <row r="56">
          <cell r="A56" t="str">
            <v>001.01.00960</v>
          </cell>
          <cell r="B56" t="str">
            <v>Demolição de alvenaria de fundações de pedra</v>
          </cell>
          <cell r="C56" t="str">
            <v>M3</v>
          </cell>
          <cell r="D56">
            <v>34.262999999999998</v>
          </cell>
        </row>
        <row r="57">
          <cell r="A57" t="str">
            <v>001.01.00980</v>
          </cell>
          <cell r="B57" t="str">
            <v>Demolição de concreto simples em fundação</v>
          </cell>
          <cell r="C57" t="str">
            <v>M3</v>
          </cell>
          <cell r="D57">
            <v>58.915799999999997</v>
          </cell>
        </row>
        <row r="58">
          <cell r="A58" t="str">
            <v>001.01.01000</v>
          </cell>
          <cell r="B58" t="str">
            <v>Demolição de concreto armado em fundações</v>
          </cell>
          <cell r="C58" t="str">
            <v>M3</v>
          </cell>
          <cell r="D58">
            <v>150.42070000000001</v>
          </cell>
        </row>
        <row r="59">
          <cell r="A59" t="str">
            <v>001.01.01020</v>
          </cell>
          <cell r="B59" t="str">
            <v>Demolição de concreto simples acima do embasamento</v>
          </cell>
          <cell r="C59" t="str">
            <v>M3</v>
          </cell>
          <cell r="D59">
            <v>48.915999999999997</v>
          </cell>
        </row>
        <row r="60">
          <cell r="A60" t="str">
            <v>001.01.01040</v>
          </cell>
          <cell r="B60" t="str">
            <v>Demolição de concreto armado acima do embasamento</v>
          </cell>
          <cell r="C60" t="str">
            <v>M3</v>
          </cell>
          <cell r="D60">
            <v>135.1079</v>
          </cell>
        </row>
        <row r="61">
          <cell r="A61" t="str">
            <v>001.01.01042</v>
          </cell>
          <cell r="B61" t="str">
            <v>Rasgo em piso de concreto simples 7.00 x 7.00 cm para passagem de tubulação, utilizando máquina corta piso manual com disco diamantado</v>
          </cell>
          <cell r="C61" t="str">
            <v>ml</v>
          </cell>
          <cell r="D61">
            <v>3.4912999999999998</v>
          </cell>
        </row>
        <row r="62">
          <cell r="A62" t="str">
            <v>001.01.01045</v>
          </cell>
          <cell r="B62" t="str">
            <v>Rasgo em piso de concreto simples 10.00 x 7.00 cm para passagem de tubulação, utilizando máquina corta piso manual com disco diamantado</v>
          </cell>
          <cell r="C62" t="str">
            <v>ml</v>
          </cell>
          <cell r="D62">
            <v>4.4429999999999996</v>
          </cell>
        </row>
        <row r="63">
          <cell r="A63" t="str">
            <v>001.01.01050</v>
          </cell>
          <cell r="B63" t="str">
            <v>Rasgo em piso de concreto simples 15.00 x 7.00 cm para passagem de tubulação, utilizando máquina corta piso manual com disco diamantado</v>
          </cell>
          <cell r="C63" t="str">
            <v>ml</v>
          </cell>
          <cell r="D63">
            <v>6.3464999999999998</v>
          </cell>
        </row>
        <row r="64">
          <cell r="A64" t="str">
            <v>001.01.01060</v>
          </cell>
          <cell r="B64" t="str">
            <v>Demolição de assoalhos de tábuas incl.rodapés e cordões</v>
          </cell>
          <cell r="C64" t="str">
            <v>M2</v>
          </cell>
          <cell r="D64">
            <v>6.8522999999999996</v>
          </cell>
        </row>
        <row r="65">
          <cell r="A65" t="str">
            <v>001.01.01080</v>
          </cell>
          <cell r="B65" t="str">
            <v>Demolição de assoalhos de tábuas apenas das tábuas</v>
          </cell>
          <cell r="C65" t="str">
            <v>M2</v>
          </cell>
          <cell r="D65">
            <v>2.7408999999999999</v>
          </cell>
        </row>
        <row r="66">
          <cell r="A66" t="str">
            <v>001.01.01100</v>
          </cell>
          <cell r="B66" t="str">
            <v>Retirada de todo piso assoalho de tábuas inclusive vigamento de peróba</v>
          </cell>
          <cell r="C66" t="str">
            <v>M2</v>
          </cell>
          <cell r="D66">
            <v>11.176299999999999</v>
          </cell>
        </row>
        <row r="67">
          <cell r="A67" t="str">
            <v>001.01.01120</v>
          </cell>
          <cell r="B67" t="str">
            <v>Demolição de pisos de tacos madeira inclusive argamassa de assentamento</v>
          </cell>
          <cell r="C67" t="str">
            <v>M2</v>
          </cell>
          <cell r="D67">
            <v>8.3957999999999995</v>
          </cell>
        </row>
        <row r="68">
          <cell r="A68" t="str">
            <v>001.01.01140</v>
          </cell>
          <cell r="B68" t="str">
            <v>Retirada de pisos de tacos madeira inclusive argamassa de assentamento</v>
          </cell>
          <cell r="C68" t="str">
            <v>M2</v>
          </cell>
          <cell r="D68">
            <v>10.020200000000001</v>
          </cell>
        </row>
        <row r="69">
          <cell r="A69" t="str">
            <v>001.01.01160</v>
          </cell>
          <cell r="B69" t="str">
            <v>Demolição de rodapé de madeira</v>
          </cell>
          <cell r="C69" t="str">
            <v>ML</v>
          </cell>
          <cell r="D69">
            <v>0.30459999999999998</v>
          </cell>
        </row>
        <row r="70">
          <cell r="A70" t="str">
            <v>001.01.01180</v>
          </cell>
          <cell r="B70" t="str">
            <v>Retirada de rodapé de madeira</v>
          </cell>
          <cell r="C70" t="str">
            <v>ML</v>
          </cell>
          <cell r="D70">
            <v>0.48730000000000001</v>
          </cell>
        </row>
        <row r="71">
          <cell r="A71" t="str">
            <v>001.01.01200</v>
          </cell>
          <cell r="B71" t="str">
            <v>Demolição de pisos de ladrilhos em geral</v>
          </cell>
          <cell r="C71" t="str">
            <v>M2</v>
          </cell>
          <cell r="D71">
            <v>3.0438999999999998</v>
          </cell>
        </row>
        <row r="72">
          <cell r="A72" t="str">
            <v>001.01.01220</v>
          </cell>
          <cell r="B72" t="str">
            <v>Demolição de ladrilhos em geral sobre base ou lastro de concreto</v>
          </cell>
          <cell r="C72" t="str">
            <v>M2</v>
          </cell>
          <cell r="D72">
            <v>6.0877999999999997</v>
          </cell>
        </row>
        <row r="73">
          <cell r="A73" t="str">
            <v>001.01.01240</v>
          </cell>
          <cell r="B73" t="str">
            <v>Demolição de pisos de granilite ou cimentado</v>
          </cell>
          <cell r="C73" t="str">
            <v>M2</v>
          </cell>
          <cell r="D73">
            <v>1.1307</v>
          </cell>
        </row>
        <row r="74">
          <cell r="A74" t="str">
            <v>001.01.01260</v>
          </cell>
          <cell r="B74" t="str">
            <v>Retirada de pavimentação em paralelepípedo</v>
          </cell>
          <cell r="C74" t="str">
            <v>M2</v>
          </cell>
          <cell r="D74">
            <v>3.4788000000000001</v>
          </cell>
        </row>
        <row r="75">
          <cell r="A75" t="str">
            <v>001.01.01280</v>
          </cell>
          <cell r="B75" t="str">
            <v>Demolição de pavimentação asfáltica p/processo manual</v>
          </cell>
          <cell r="C75" t="str">
            <v>M2</v>
          </cell>
          <cell r="D75">
            <v>5.7104999999999997</v>
          </cell>
        </row>
        <row r="76">
          <cell r="A76" t="str">
            <v>001.01.01300</v>
          </cell>
          <cell r="B76" t="str">
            <v>Demolição de pisos cimentados sobre base ou lastro concreto</v>
          </cell>
          <cell r="C76" t="str">
            <v>M2</v>
          </cell>
          <cell r="D76">
            <v>5.6529999999999996</v>
          </cell>
        </row>
        <row r="77">
          <cell r="A77" t="str">
            <v>001.01.01320</v>
          </cell>
          <cell r="B77" t="str">
            <v>Demolição de lastro de concreto</v>
          </cell>
          <cell r="C77" t="str">
            <v>M2</v>
          </cell>
          <cell r="D77">
            <v>3.0438999999999998</v>
          </cell>
        </row>
        <row r="78">
          <cell r="A78" t="str">
            <v>001.01.01340</v>
          </cell>
          <cell r="B78" t="str">
            <v>Retirada de vidros inteiros</v>
          </cell>
          <cell r="C78" t="str">
            <v>M2</v>
          </cell>
          <cell r="D78">
            <v>2.3028</v>
          </cell>
        </row>
        <row r="79">
          <cell r="A79" t="str">
            <v>001.01.01360</v>
          </cell>
          <cell r="B79" t="str">
            <v>Retirada de esquadrias de madeira inclusive batente</v>
          </cell>
          <cell r="C79" t="str">
            <v>M2</v>
          </cell>
          <cell r="D79">
            <v>3.4788000000000001</v>
          </cell>
        </row>
        <row r="80">
          <cell r="A80" t="str">
            <v>001.01.01380</v>
          </cell>
          <cell r="B80" t="str">
            <v>Retirada de esquadrias metálicas</v>
          </cell>
          <cell r="C80" t="str">
            <v>M2</v>
          </cell>
          <cell r="D80">
            <v>4.5599999999999996</v>
          </cell>
        </row>
        <row r="81">
          <cell r="A81" t="str">
            <v>001.01.01400</v>
          </cell>
          <cell r="B81" t="str">
            <v>Retirada de fechaduras</v>
          </cell>
          <cell r="C81" t="str">
            <v>UN</v>
          </cell>
          <cell r="D81">
            <v>2.3028</v>
          </cell>
        </row>
        <row r="82">
          <cell r="A82" t="str">
            <v>001.01.01420</v>
          </cell>
          <cell r="B82" t="str">
            <v>Retirada de esquadria de madeira, somente as folhas</v>
          </cell>
          <cell r="C82" t="str">
            <v>M2</v>
          </cell>
          <cell r="D82">
            <v>1.5441</v>
          </cell>
        </row>
        <row r="83">
          <cell r="A83" t="str">
            <v>001.01.01440</v>
          </cell>
          <cell r="B83" t="str">
            <v>Retirada de aparelhos de louça ou ferro sanitário</v>
          </cell>
          <cell r="C83" t="str">
            <v>UN</v>
          </cell>
          <cell r="D83">
            <v>8.3524999999999991</v>
          </cell>
        </row>
        <row r="84">
          <cell r="A84" t="str">
            <v>001.01.01460</v>
          </cell>
          <cell r="B84" t="str">
            <v>Retirada de caixa dágua pré fabricada</v>
          </cell>
          <cell r="C84" t="str">
            <v>UN</v>
          </cell>
          <cell r="D84">
            <v>13.9208</v>
          </cell>
        </row>
        <row r="85">
          <cell r="A85" t="str">
            <v>001.01.01480</v>
          </cell>
          <cell r="B85" t="str">
            <v>Demolição de tubulação de ferro galvanizado até 2 pol</v>
          </cell>
          <cell r="C85" t="str">
            <v>ML</v>
          </cell>
          <cell r="D85">
            <v>1.6705000000000001</v>
          </cell>
        </row>
        <row r="86">
          <cell r="A86" t="str">
            <v>001.01.01500</v>
          </cell>
          <cell r="B86" t="str">
            <v>Demolição de tubulação de ferro galvanizado acima de 2 pol</v>
          </cell>
          <cell r="C86" t="str">
            <v>ML</v>
          </cell>
          <cell r="D86">
            <v>2.7841999999999998</v>
          </cell>
        </row>
        <row r="87">
          <cell r="A87" t="str">
            <v>001.01.01520</v>
          </cell>
          <cell r="B87" t="str">
            <v>Retirada de tubo de ferro galvanizado até 2 pol</v>
          </cell>
          <cell r="C87" t="str">
            <v>ML</v>
          </cell>
          <cell r="D87">
            <v>2.7841999999999998</v>
          </cell>
        </row>
        <row r="88">
          <cell r="A88" t="str">
            <v>001.01.01540</v>
          </cell>
          <cell r="B88" t="str">
            <v>Retirada de tubo de ferro galvanizado acima de 2 pol</v>
          </cell>
          <cell r="C88" t="str">
            <v>ML</v>
          </cell>
          <cell r="D88">
            <v>3.3410000000000002</v>
          </cell>
        </row>
        <row r="89">
          <cell r="A89" t="str">
            <v>001.01.01560</v>
          </cell>
          <cell r="B89" t="str">
            <v>Demolição de tubo de f.f.ate 3 pol</v>
          </cell>
          <cell r="C89" t="str">
            <v>ML</v>
          </cell>
          <cell r="D89">
            <v>1.6705000000000001</v>
          </cell>
        </row>
        <row r="90">
          <cell r="A90" t="str">
            <v>001.01.01580</v>
          </cell>
          <cell r="B90" t="str">
            <v>Demolição de tubo de f.f.acima 3 pol</v>
          </cell>
          <cell r="C90" t="str">
            <v>ML</v>
          </cell>
          <cell r="D90">
            <v>2.7841999999999998</v>
          </cell>
        </row>
        <row r="91">
          <cell r="A91" t="str">
            <v>001.01.01600</v>
          </cell>
          <cell r="B91" t="str">
            <v>Retirada de tubo de f.f.ate 3 pol</v>
          </cell>
          <cell r="C91" t="str">
            <v>ML</v>
          </cell>
          <cell r="D91">
            <v>2.7841999999999998</v>
          </cell>
        </row>
        <row r="92">
          <cell r="A92" t="str">
            <v>001.01.01620</v>
          </cell>
          <cell r="B92" t="str">
            <v>Retirada de tubo de f.f.acima de 3 pol</v>
          </cell>
          <cell r="C92" t="str">
            <v>ML</v>
          </cell>
          <cell r="D92">
            <v>3.3410000000000002</v>
          </cell>
        </row>
        <row r="93">
          <cell r="A93" t="str">
            <v>001.01.01640</v>
          </cell>
          <cell r="B93" t="str">
            <v>Demolição de tubo de barro ou c.a.ate 3 pol</v>
          </cell>
          <cell r="C93" t="str">
            <v>ML</v>
          </cell>
          <cell r="D93">
            <v>1.1136999999999999</v>
          </cell>
        </row>
        <row r="94">
          <cell r="A94" t="str">
            <v>001.01.01660</v>
          </cell>
          <cell r="B94" t="str">
            <v>Demolição de tubo de barro ou c.a.acima de 3 pol</v>
          </cell>
          <cell r="C94" t="str">
            <v>ML</v>
          </cell>
          <cell r="D94">
            <v>1.6705000000000001</v>
          </cell>
        </row>
        <row r="95">
          <cell r="A95" t="str">
            <v>001.01.01680</v>
          </cell>
          <cell r="B95" t="str">
            <v>Retirada de tubos de barro ou cimento amianto até 3 pol</v>
          </cell>
          <cell r="C95" t="str">
            <v>ML</v>
          </cell>
          <cell r="D95">
            <v>3.3410000000000002</v>
          </cell>
        </row>
        <row r="96">
          <cell r="A96" t="str">
            <v>001.01.01700</v>
          </cell>
          <cell r="B96" t="str">
            <v>Retirada de tubos de barro ou cimento amianto acima de 3 pol</v>
          </cell>
          <cell r="C96" t="str">
            <v>ML</v>
          </cell>
          <cell r="D96">
            <v>3.8978000000000002</v>
          </cell>
        </row>
        <row r="97">
          <cell r="A97" t="str">
            <v>001.01.01720</v>
          </cell>
          <cell r="B97" t="str">
            <v>Retirada de registro ate 2 pol</v>
          </cell>
          <cell r="C97" t="str">
            <v>UN</v>
          </cell>
          <cell r="D97">
            <v>6.1250999999999998</v>
          </cell>
        </row>
        <row r="98">
          <cell r="A98" t="str">
            <v>001.01.01740</v>
          </cell>
          <cell r="B98" t="str">
            <v>Retirada de calhas e condutores</v>
          </cell>
          <cell r="C98" t="str">
            <v>ML</v>
          </cell>
          <cell r="D98">
            <v>1.2209000000000001</v>
          </cell>
        </row>
        <row r="99">
          <cell r="A99" t="str">
            <v>001.01.01760</v>
          </cell>
          <cell r="B99" t="str">
            <v>Execução de desentupimento de esgoto</v>
          </cell>
          <cell r="C99" t="str">
            <v>ML</v>
          </cell>
          <cell r="D99">
            <v>2.0348000000000002</v>
          </cell>
        </row>
        <row r="100">
          <cell r="A100" t="str">
            <v>001.01.01780</v>
          </cell>
          <cell r="B100" t="str">
            <v>Retirada de caixa de descarga</v>
          </cell>
          <cell r="C100" t="str">
            <v>UN</v>
          </cell>
          <cell r="D100">
            <v>5.3921999999999999</v>
          </cell>
        </row>
        <row r="101">
          <cell r="A101" t="str">
            <v>001.01.01800</v>
          </cell>
          <cell r="B101" t="str">
            <v>Retirada de bancadas, balcões ou pias (aço,granilite,ardósia,etc)</v>
          </cell>
          <cell r="C101" t="str">
            <v>M2</v>
          </cell>
          <cell r="D101">
            <v>9.2216000000000005</v>
          </cell>
        </row>
        <row r="102">
          <cell r="A102" t="str">
            <v>001.01.01820</v>
          </cell>
          <cell r="B102" t="str">
            <v>Demolição de quadro de luz e força</v>
          </cell>
          <cell r="C102" t="str">
            <v>UN</v>
          </cell>
          <cell r="D102">
            <v>13.9208</v>
          </cell>
        </row>
        <row r="103">
          <cell r="A103" t="str">
            <v>001.01.01840</v>
          </cell>
          <cell r="B103" t="str">
            <v>Retirada de quadro de luz e força</v>
          </cell>
          <cell r="C103" t="str">
            <v>UN</v>
          </cell>
          <cell r="D103">
            <v>19.489100000000001</v>
          </cell>
        </row>
        <row r="104">
          <cell r="A104" t="str">
            <v>001.01.01860</v>
          </cell>
          <cell r="B104" t="str">
            <v>Retirada de aparelhos incandecentes</v>
          </cell>
          <cell r="C104" t="str">
            <v>UN</v>
          </cell>
          <cell r="D104">
            <v>0.55679999999999996</v>
          </cell>
        </row>
        <row r="105">
          <cell r="A105" t="str">
            <v>001.01.01880</v>
          </cell>
          <cell r="B105" t="str">
            <v>Retirada de aparelhos fluorescentes</v>
          </cell>
          <cell r="C105" t="str">
            <v>UN</v>
          </cell>
          <cell r="D105">
            <v>2.2273000000000001</v>
          </cell>
        </row>
        <row r="106">
          <cell r="A106" t="str">
            <v>001.01.01900</v>
          </cell>
          <cell r="B106" t="str">
            <v>Demolição de tubulação elétrica ate 2.00 pol</v>
          </cell>
          <cell r="C106" t="str">
            <v>ML</v>
          </cell>
          <cell r="D106">
            <v>1.6705000000000001</v>
          </cell>
        </row>
        <row r="107">
          <cell r="A107" t="str">
            <v>001.01.01920</v>
          </cell>
          <cell r="B107" t="str">
            <v>Demolição de tubulação elétrica acima de 2.00 pol</v>
          </cell>
          <cell r="C107" t="str">
            <v>ML</v>
          </cell>
          <cell r="D107">
            <v>2.7841999999999998</v>
          </cell>
        </row>
        <row r="108">
          <cell r="A108" t="str">
            <v>001.01.01940</v>
          </cell>
          <cell r="B108" t="str">
            <v>Retirada de fiação (até cabo n.2 awg)</v>
          </cell>
          <cell r="C108" t="str">
            <v>ML</v>
          </cell>
          <cell r="D108">
            <v>0.1114</v>
          </cell>
        </row>
        <row r="109">
          <cell r="A109" t="str">
            <v>001.01.01960</v>
          </cell>
          <cell r="B109" t="str">
            <v>Retirada de fiação (do cabo 1/0 ate 4/0 awg)</v>
          </cell>
          <cell r="C109" t="str">
            <v>ML</v>
          </cell>
          <cell r="D109">
            <v>0.22270000000000001</v>
          </cell>
        </row>
        <row r="110">
          <cell r="A110" t="str">
            <v>001.01.01980</v>
          </cell>
          <cell r="B110" t="str">
            <v>Retirada de interruptores, tomadas, campainhas, etc. (inclusive, condutores e caixas)</v>
          </cell>
          <cell r="C110" t="str">
            <v>UN</v>
          </cell>
          <cell r="D110">
            <v>0.1114</v>
          </cell>
        </row>
        <row r="111">
          <cell r="A111" t="str">
            <v>001.01.02000</v>
          </cell>
          <cell r="B111" t="str">
            <v>Retirada de postes de madeira ou concreto ate 11.00 m</v>
          </cell>
          <cell r="C111" t="str">
            <v>UN</v>
          </cell>
          <cell r="D111">
            <v>17.455300000000001</v>
          </cell>
        </row>
        <row r="112">
          <cell r="A112" t="str">
            <v>001.01.02020</v>
          </cell>
          <cell r="B112" t="str">
            <v>Retirada de arruelas</v>
          </cell>
          <cell r="C112" t="str">
            <v>UN</v>
          </cell>
          <cell r="D112">
            <v>0.1114</v>
          </cell>
        </row>
        <row r="113">
          <cell r="A113" t="str">
            <v>001.01.02040</v>
          </cell>
          <cell r="B113" t="str">
            <v>Retirada de cruzeta de madeira</v>
          </cell>
          <cell r="C113" t="str">
            <v>UN</v>
          </cell>
          <cell r="D113">
            <v>0.27839999999999998</v>
          </cell>
        </row>
        <row r="114">
          <cell r="A114" t="str">
            <v>001.01.02060</v>
          </cell>
          <cell r="B114" t="str">
            <v>Retirada de isoladores</v>
          </cell>
          <cell r="C114" t="str">
            <v>UN</v>
          </cell>
          <cell r="D114">
            <v>0.55679999999999996</v>
          </cell>
        </row>
        <row r="115">
          <cell r="A115" t="str">
            <v>001.01.02080</v>
          </cell>
          <cell r="B115" t="str">
            <v>Retirada de mão francesa</v>
          </cell>
          <cell r="C115" t="str">
            <v>UN</v>
          </cell>
          <cell r="D115">
            <v>0.55679999999999996</v>
          </cell>
        </row>
        <row r="116">
          <cell r="A116" t="str">
            <v>001.01.02100</v>
          </cell>
          <cell r="B116" t="str">
            <v>Retirada de parafuso máquina ou francês</v>
          </cell>
          <cell r="C116" t="str">
            <v>UN</v>
          </cell>
          <cell r="D116">
            <v>0.55679999999999996</v>
          </cell>
        </row>
        <row r="117">
          <cell r="A117" t="str">
            <v>001.01.02120</v>
          </cell>
          <cell r="B117" t="str">
            <v>Retirada de pino p/isolador de 15 kv</v>
          </cell>
          <cell r="C117" t="str">
            <v>UN</v>
          </cell>
          <cell r="D117">
            <v>0.83520000000000005</v>
          </cell>
        </row>
        <row r="118">
          <cell r="A118" t="str">
            <v>001.01.02140</v>
          </cell>
          <cell r="B118" t="str">
            <v>Retirada de disjuntor monofásico, bifásico ou trifásico de 15 a até 200 a</v>
          </cell>
          <cell r="C118" t="str">
            <v>UN</v>
          </cell>
          <cell r="D118">
            <v>1.0174000000000001</v>
          </cell>
        </row>
        <row r="119">
          <cell r="A119" t="str">
            <v>001.01.02160</v>
          </cell>
          <cell r="B119" t="str">
            <v>Retirada de chave trifásica com fusíveis de 30a até 200a</v>
          </cell>
          <cell r="C119" t="str">
            <v>UN</v>
          </cell>
          <cell r="D119">
            <v>3.0522</v>
          </cell>
        </row>
        <row r="120">
          <cell r="A120" t="str">
            <v>001.01.02180</v>
          </cell>
          <cell r="B120" t="str">
            <v>Retirada de ventilador de teto completo</v>
          </cell>
          <cell r="C120" t="str">
            <v>UN</v>
          </cell>
          <cell r="D120">
            <v>1.526</v>
          </cell>
        </row>
        <row r="121">
          <cell r="A121" t="str">
            <v>001.01.02200</v>
          </cell>
          <cell r="B121" t="str">
            <v>Retirada de refletor com lâmpada</v>
          </cell>
          <cell r="C121" t="str">
            <v>UN</v>
          </cell>
          <cell r="D121">
            <v>1.526</v>
          </cell>
        </row>
        <row r="122">
          <cell r="A122" t="str">
            <v>001.01.02220</v>
          </cell>
          <cell r="B122" t="str">
            <v>Remanejamento de fancoils</v>
          </cell>
          <cell r="C122" t="str">
            <v>UN</v>
          </cell>
          <cell r="D122">
            <v>80.161600000000007</v>
          </cell>
        </row>
        <row r="123">
          <cell r="A123" t="str">
            <v>001.01.02240</v>
          </cell>
          <cell r="B123" t="str">
            <v>Retirada c/ remoção de transformador de at/bt-15 kv 75 a 150 kva</v>
          </cell>
          <cell r="C123" t="str">
            <v>UN</v>
          </cell>
          <cell r="D123">
            <v>199.11799999999999</v>
          </cell>
        </row>
        <row r="124">
          <cell r="A124" t="str">
            <v>001.01.02260</v>
          </cell>
          <cell r="B124" t="str">
            <v>Retirada com remoção de grupo motor-gerador de 60 a 250 kva</v>
          </cell>
          <cell r="C124" t="str">
            <v>UN</v>
          </cell>
          <cell r="D124">
            <v>199.11799999999999</v>
          </cell>
        </row>
        <row r="125">
          <cell r="A125" t="str">
            <v>001.01.02280</v>
          </cell>
          <cell r="B125" t="str">
            <v>Remoção de pintura a cal</v>
          </cell>
          <cell r="C125" t="str">
            <v>M2</v>
          </cell>
          <cell r="D125">
            <v>0.81220000000000003</v>
          </cell>
        </row>
        <row r="126">
          <cell r="A126" t="str">
            <v>001.01.02300</v>
          </cell>
          <cell r="B126" t="str">
            <v>Remoção de pintura a gesso cola ou base de látex (pva)</v>
          </cell>
          <cell r="C126" t="str">
            <v>M2</v>
          </cell>
          <cell r="D126">
            <v>1.0829</v>
          </cell>
        </row>
        <row r="127">
          <cell r="A127" t="str">
            <v>001.01.02320</v>
          </cell>
          <cell r="B127" t="str">
            <v>Remoção de pintura a óleo esmalte verniz ou grafite</v>
          </cell>
          <cell r="C127" t="str">
            <v>M2</v>
          </cell>
          <cell r="D127">
            <v>2.0588000000000002</v>
          </cell>
        </row>
        <row r="128">
          <cell r="A128" t="str">
            <v>001.01.02340</v>
          </cell>
          <cell r="B128" t="str">
            <v>Raspagem e lixamento de pintura a óleo esmalte verniz ou grafite</v>
          </cell>
          <cell r="C128" t="str">
            <v>M2</v>
          </cell>
          <cell r="D128">
            <v>1.5441</v>
          </cell>
        </row>
        <row r="129">
          <cell r="A129" t="str">
            <v>001.02</v>
          </cell>
          <cell r="B129" t="str">
            <v>SERVIÇOS PRELIMINARES</v>
          </cell>
          <cell r="D129">
            <v>3235.6857</v>
          </cell>
        </row>
        <row r="130">
          <cell r="A130" t="str">
            <v>001.02.00020</v>
          </cell>
          <cell r="B130" t="str">
            <v>Execução de Corte e destocamento inclusive remoção de árvore de pequeno porte com diâmetro até 15 cm</v>
          </cell>
          <cell r="C130" t="str">
            <v>un</v>
          </cell>
          <cell r="D130">
            <v>19.833600000000001</v>
          </cell>
        </row>
        <row r="131">
          <cell r="A131" t="str">
            <v>001.02.00040</v>
          </cell>
          <cell r="B131" t="str">
            <v>Execução de Corte e destocamento inclusive remoção de árvore de médio porte com diâmetro até 25 cm</v>
          </cell>
          <cell r="C131" t="str">
            <v>UN</v>
          </cell>
          <cell r="D131">
            <v>25.9434</v>
          </cell>
        </row>
        <row r="132">
          <cell r="A132" t="str">
            <v>001.02.00060</v>
          </cell>
          <cell r="B132" t="str">
            <v>Execução de Corte e destocamento de árvore de grande porte com diâmetro médio de 50 cm</v>
          </cell>
          <cell r="C132" t="str">
            <v>un</v>
          </cell>
          <cell r="D132">
            <v>115.05800000000001</v>
          </cell>
        </row>
        <row r="133">
          <cell r="A133" t="str">
            <v>001.02.00080</v>
          </cell>
          <cell r="B133" t="str">
            <v>Execução de Roçado em capoeirão c/empilhamento e queima de resíduos</v>
          </cell>
          <cell r="C133" t="str">
            <v>M2</v>
          </cell>
          <cell r="D133">
            <v>0.27450000000000002</v>
          </cell>
        </row>
        <row r="134">
          <cell r="A134" t="str">
            <v>001.02.00100</v>
          </cell>
          <cell r="B134" t="str">
            <v>Execução de Capinação de terreno inclusive retirada (bota fora)</v>
          </cell>
          <cell r="C134" t="str">
            <v>M2</v>
          </cell>
          <cell r="D134">
            <v>0.38069999999999998</v>
          </cell>
        </row>
        <row r="135">
          <cell r="A135" t="str">
            <v>001.02.00120</v>
          </cell>
          <cell r="B135" t="str">
            <v>Execução de Limpeza do terreno c/ retirada dos entulhos e queima dos mesmos</v>
          </cell>
          <cell r="C135" t="str">
            <v>M2</v>
          </cell>
          <cell r="D135">
            <v>0.30459999999999998</v>
          </cell>
        </row>
        <row r="136">
          <cell r="A136" t="str">
            <v>001.02.00160</v>
          </cell>
          <cell r="B136" t="str">
            <v>Fornecimento e Instalação de Tapume em chapa de madeira compensada 6.00 mm de espessura</v>
          </cell>
          <cell r="C136" t="str">
            <v>m2</v>
          </cell>
          <cell r="D136">
            <v>17.754799999999999</v>
          </cell>
        </row>
        <row r="137">
          <cell r="A137" t="str">
            <v>001.02.00180</v>
          </cell>
          <cell r="B137" t="str">
            <v>Fornecimento e Instalação de Tapume em Chapa Metálica e Fixado em Pilar de Madeira, com Parafusos Auto-Atarrachante,conf. det. SINFRA ( 8 Reaproveitamentos)</v>
          </cell>
          <cell r="C137" t="str">
            <v>ml</v>
          </cell>
          <cell r="D137">
            <v>20.6296</v>
          </cell>
        </row>
        <row r="138">
          <cell r="A138" t="str">
            <v>001.02.00200</v>
          </cell>
          <cell r="B138" t="str">
            <v>Execução de barracão de obra para alojamento</v>
          </cell>
          <cell r="C138" t="str">
            <v>m2</v>
          </cell>
          <cell r="D138">
            <v>65.298699999999997</v>
          </cell>
        </row>
        <row r="139">
          <cell r="A139" t="str">
            <v>001.02.00220</v>
          </cell>
          <cell r="B139" t="str">
            <v>Execução de barracão de obra para depósito ou refeitório</v>
          </cell>
          <cell r="C139" t="str">
            <v>m2</v>
          </cell>
          <cell r="D139">
            <v>62.970100000000002</v>
          </cell>
        </row>
        <row r="140">
          <cell r="A140" t="str">
            <v>001.02.00310</v>
          </cell>
          <cell r="B140" t="str">
            <v>Instalações Provisórias em Estrutura Metálica Tipo Conteiner (Almoxarifado, Depósito, Escritório, Ferramentaria, etc.) dim. 1.50x1.80x3.00 mts</v>
          </cell>
          <cell r="C140" t="str">
            <v>mês</v>
          </cell>
          <cell r="D140">
            <v>180</v>
          </cell>
        </row>
        <row r="141">
          <cell r="A141" t="str">
            <v>001.02.00320</v>
          </cell>
          <cell r="B141" t="str">
            <v>Execução de instalação provisória de água e esgoto</v>
          </cell>
          <cell r="C141" t="str">
            <v>UN</v>
          </cell>
          <cell r="D141">
            <v>769.67160000000001</v>
          </cell>
        </row>
        <row r="142">
          <cell r="A142" t="str">
            <v>001.02.00340</v>
          </cell>
          <cell r="B142" t="str">
            <v>Execução de instalação provisória de luz e força</v>
          </cell>
          <cell r="C142" t="str">
            <v>UN</v>
          </cell>
          <cell r="D142">
            <v>866.22799999999995</v>
          </cell>
        </row>
        <row r="143">
          <cell r="A143" t="str">
            <v>001.02.00380</v>
          </cell>
          <cell r="B143" t="str">
            <v>Fornecimento e instalação de placa de obra,de 5,00x3,00m,conforme detalhe da seet</v>
          </cell>
          <cell r="C143" t="str">
            <v>UN</v>
          </cell>
          <cell r="D143">
            <v>1009.9981</v>
          </cell>
        </row>
        <row r="144">
          <cell r="A144" t="str">
            <v>001.02.00400</v>
          </cell>
          <cell r="B144" t="str">
            <v>Fornecimento e instalação de placa de obra</v>
          </cell>
          <cell r="C144" t="str">
            <v>M2</v>
          </cell>
          <cell r="D144">
            <v>73.5017</v>
          </cell>
        </row>
        <row r="145">
          <cell r="A145" t="str">
            <v>001.02.00420</v>
          </cell>
          <cell r="B145" t="str">
            <v>Execução de locação da obra c/aparelhos topográficos p/medição considerar as faces externas das paredes</v>
          </cell>
          <cell r="C145" t="str">
            <v>M2</v>
          </cell>
          <cell r="D145">
            <v>1.2089000000000001</v>
          </cell>
        </row>
        <row r="146">
          <cell r="A146" t="str">
            <v>001.02.00440</v>
          </cell>
          <cell r="B146" t="str">
            <v>Execução de locação da obra c/tábuas corridas p/medição considerar as faces externas das paredes</v>
          </cell>
          <cell r="C146" t="str">
            <v>M2</v>
          </cell>
          <cell r="D146">
            <v>2.7069999999999999</v>
          </cell>
        </row>
        <row r="147">
          <cell r="A147" t="str">
            <v>001.02.00460</v>
          </cell>
          <cell r="B147" t="str">
            <v>Locação de linhas estaqueadas de 20 em 20 m para construção de muro, sem nivelamento</v>
          </cell>
          <cell r="C147" t="str">
            <v>ml</v>
          </cell>
          <cell r="D147">
            <v>1.5085999999999999</v>
          </cell>
        </row>
        <row r="148">
          <cell r="A148" t="str">
            <v>001.02.00480</v>
          </cell>
          <cell r="B148" t="str">
            <v>Locação de linhas estaqueadas de 20 em 20 m para construção de muro, com nivelamento</v>
          </cell>
          <cell r="C148" t="str">
            <v>ml</v>
          </cell>
          <cell r="D148">
            <v>2.4138000000000002</v>
          </cell>
        </row>
        <row r="149">
          <cell r="A149" t="str">
            <v>001.03</v>
          </cell>
          <cell r="B149" t="str">
            <v>MOVIMENTO DE TERRA</v>
          </cell>
          <cell r="D149">
            <v>268.12540000000001</v>
          </cell>
        </row>
        <row r="150">
          <cell r="A150" t="str">
            <v>001.03.00020</v>
          </cell>
          <cell r="B150" t="str">
            <v>Escavação manual de vala profund. até 2 mts em solo de 1ª categoria -   qualquer que seja o teor de umidade que apresente</v>
          </cell>
          <cell r="C150" t="str">
            <v>m3</v>
          </cell>
          <cell r="D150">
            <v>15.228</v>
          </cell>
        </row>
        <row r="151">
          <cell r="A151" t="str">
            <v>001.03.00030</v>
          </cell>
          <cell r="B151" t="str">
            <v>Escavação manual de vala profund. de 2 a 4 mts em solo de 1ª categoria -  qualquer que seja o teor de umidade que apresente</v>
          </cell>
          <cell r="C151" t="str">
            <v>m3</v>
          </cell>
          <cell r="D151">
            <v>17.131499999999999</v>
          </cell>
        </row>
        <row r="152">
          <cell r="A152" t="str">
            <v>001.03.00040</v>
          </cell>
          <cell r="B152" t="str">
            <v>Escavação manual em terra compacta ate 1,50m em material de primeira catergoria</v>
          </cell>
          <cell r="C152" t="str">
            <v>M3</v>
          </cell>
          <cell r="D152">
            <v>10.659599999999999</v>
          </cell>
        </row>
        <row r="153">
          <cell r="A153" t="str">
            <v>001.03.00060</v>
          </cell>
          <cell r="B153" t="str">
            <v>Escavação manual em terra compacta de 1,50 ate 4,00 m</v>
          </cell>
          <cell r="C153" t="str">
            <v>M3</v>
          </cell>
          <cell r="D153">
            <v>19.035</v>
          </cell>
        </row>
        <row r="154">
          <cell r="A154" t="str">
            <v>001.03.00080</v>
          </cell>
          <cell r="B154" t="str">
            <v>Escavação manual em terra dura ate 1,50m de profundidade</v>
          </cell>
          <cell r="C154" t="str">
            <v>M3</v>
          </cell>
          <cell r="D154">
            <v>13.7052</v>
          </cell>
        </row>
        <row r="155">
          <cell r="A155" t="str">
            <v>001.03.00100</v>
          </cell>
          <cell r="B155" t="str">
            <v>Escavação manual em terra dura de 1,50 a 4,00m de profundidade</v>
          </cell>
          <cell r="C155" t="str">
            <v>M3</v>
          </cell>
          <cell r="D155">
            <v>22.841999999999999</v>
          </cell>
        </row>
        <row r="156">
          <cell r="A156" t="str">
            <v>001.03.00110</v>
          </cell>
          <cell r="B156" t="str">
            <v>Reaterro manual de valas c/o proprio material escavado incl.serviços de apiloamento com masso de 30 kg</v>
          </cell>
          <cell r="C156" t="str">
            <v>m3</v>
          </cell>
          <cell r="D156">
            <v>7.4237000000000002</v>
          </cell>
        </row>
        <row r="157">
          <cell r="A157" t="str">
            <v>001.03.00120</v>
          </cell>
          <cell r="B157" t="str">
            <v>Reaterro manual de valas c/o proprio material escavado incl.serviços de apiloamento com masso de 30 kg a 60 kg</v>
          </cell>
          <cell r="C157" t="str">
            <v>m3</v>
          </cell>
          <cell r="D157">
            <v>8.1851000000000003</v>
          </cell>
        </row>
        <row r="158">
          <cell r="A158" t="str">
            <v>001.03.00130</v>
          </cell>
          <cell r="B158" t="str">
            <v>Reaterro Mecanizado de Vala Empregando Compactador  de Placa Vibratória Movido à Diesel VPY 1750</v>
          </cell>
          <cell r="C158" t="str">
            <v>m3</v>
          </cell>
          <cell r="D158">
            <v>1.2639</v>
          </cell>
        </row>
        <row r="159">
          <cell r="A159" t="str">
            <v>001.03.00140</v>
          </cell>
          <cell r="B159" t="str">
            <v>Aterro interno entre baldrames em camada de 20 cm, utilizando compactador mecânico (tipo sapo mecânico), incluindo transporte e espalhamento do material</v>
          </cell>
          <cell r="C159" t="str">
            <v>m3</v>
          </cell>
          <cell r="D159">
            <v>15.5708</v>
          </cell>
        </row>
        <row r="160">
          <cell r="A160" t="str">
            <v>001.03.00200</v>
          </cell>
          <cell r="B160" t="str">
            <v>Apiloamento de fundo de valas ou cavas com masso ate 30 kg</v>
          </cell>
          <cell r="C160" t="str">
            <v>M2</v>
          </cell>
          <cell r="D160">
            <v>4.3780999999999999</v>
          </cell>
        </row>
        <row r="161">
          <cell r="A161" t="str">
            <v>001.03.00220</v>
          </cell>
          <cell r="B161" t="str">
            <v>Apiloamento de fundo de valas ou cavas com masso de 30 a 60 kg</v>
          </cell>
          <cell r="C161" t="str">
            <v>M2</v>
          </cell>
          <cell r="D161">
            <v>6.4718999999999998</v>
          </cell>
        </row>
        <row r="162">
          <cell r="A162" t="str">
            <v>001.03.00240</v>
          </cell>
          <cell r="B162" t="str">
            <v>Espalhamento manual de terra descarregada</v>
          </cell>
          <cell r="C162" t="str">
            <v>m3</v>
          </cell>
          <cell r="D162">
            <v>1.5227999999999999</v>
          </cell>
        </row>
        <row r="163">
          <cell r="A163" t="str">
            <v>001.03.00280</v>
          </cell>
          <cell r="B163" t="str">
            <v>Aquisição de material para aterro (material de base ou subbase)</v>
          </cell>
          <cell r="C163" t="str">
            <v>m3</v>
          </cell>
          <cell r="D163">
            <v>7.03</v>
          </cell>
        </row>
        <row r="164">
          <cell r="A164" t="str">
            <v>001.03.00300</v>
          </cell>
          <cell r="B164" t="str">
            <v>Escavação manual a céu aberto para tubulões</v>
          </cell>
          <cell r="C164" t="str">
            <v>M3</v>
          </cell>
          <cell r="D164">
            <v>67.300799999999995</v>
          </cell>
        </row>
        <row r="165">
          <cell r="A165" t="str">
            <v>001.03.00310</v>
          </cell>
          <cell r="B165" t="str">
            <v>Escavação Mecanizada Com Perfuratriz com Diâmetro Médio de Perfuração de 80 cm</v>
          </cell>
          <cell r="C165" t="str">
            <v>ml</v>
          </cell>
          <cell r="D165">
            <v>8.5</v>
          </cell>
        </row>
        <row r="166">
          <cell r="A166" t="str">
            <v>001.03.00340</v>
          </cell>
          <cell r="B166" t="str">
            <v>Movimento de terra c/ corte e aterro compensado e c/ volume de corte excedente compensado manual em terreno mole</v>
          </cell>
          <cell r="C166" t="str">
            <v>M3</v>
          </cell>
          <cell r="D166">
            <v>9.5175000000000001</v>
          </cell>
        </row>
        <row r="167">
          <cell r="A167" t="str">
            <v>001.03.00360</v>
          </cell>
          <cell r="B167" t="str">
            <v>Movimento de terra c/ corte e aterro compensado e c/ volume de corte excedente compensado manual em terreno duro</v>
          </cell>
          <cell r="C167" t="str">
            <v>M3</v>
          </cell>
          <cell r="D167">
            <v>11.420999999999999</v>
          </cell>
        </row>
        <row r="168">
          <cell r="A168" t="str">
            <v>001.03.00380</v>
          </cell>
          <cell r="B168" t="str">
            <v>Movimento de terra c/ corte e aterro compensado e c/ volume de aterro por empréstimo volume compensado manual em terreno mole</v>
          </cell>
          <cell r="C168" t="str">
            <v>M3</v>
          </cell>
          <cell r="D168">
            <v>9.5175000000000001</v>
          </cell>
        </row>
        <row r="169">
          <cell r="A169" t="str">
            <v>001.03.00400</v>
          </cell>
          <cell r="B169" t="str">
            <v>Movimento de terra c/ corte e aterro compensado e c/ volume de aterro por empréstimo volume compensado manual em terreno duro</v>
          </cell>
          <cell r="C169" t="str">
            <v>M3</v>
          </cell>
          <cell r="D169">
            <v>11.420999999999999</v>
          </cell>
        </row>
        <row r="170">
          <cell r="A170" t="str">
            <v>001.04</v>
          </cell>
          <cell r="B170" t="str">
            <v>FUNDAÇÕES</v>
          </cell>
          <cell r="D170">
            <v>6408.5231000000003</v>
          </cell>
        </row>
        <row r="171">
          <cell r="A171" t="str">
            <v>001.04.00020</v>
          </cell>
          <cell r="B171" t="str">
            <v>Fornecimento, Lançamento e Aplicação de Lastro de Concreto c/ betoneira em fundações 1:5:10 c/167 kg cim/m3</v>
          </cell>
          <cell r="C171" t="str">
            <v>m3</v>
          </cell>
          <cell r="D171">
            <v>156.33449999999999</v>
          </cell>
        </row>
        <row r="172">
          <cell r="A172" t="str">
            <v>001.04.00105</v>
          </cell>
          <cell r="B172" t="str">
            <v>Fornecimento, confecção, transporte e aplicação de concreto 10 Mpa (241 kgcimento/m3),em fundações, virado na obra, composto por cimento portland CP 32 F, areia lavada tipo média a grossa, seixo rolado, e equipamentos.</v>
          </cell>
          <cell r="C172" t="str">
            <v>m3</v>
          </cell>
          <cell r="D172">
            <v>170.2595</v>
          </cell>
        </row>
        <row r="173">
          <cell r="A173" t="str">
            <v>001.04.00106</v>
          </cell>
          <cell r="B173" t="str">
            <v>Fornecimento, confecção, transporte e aplicação de concreto 13,5 Mpa (268 kgcimento/m3) em fundações, virado na obra, composto por cimento portland CP 32 F, areia lavada tipo média a grossa, seixo rolado, e equipamentos.</v>
          </cell>
          <cell r="C173" t="str">
            <v>m3</v>
          </cell>
          <cell r="D173">
            <v>177.58349999999999</v>
          </cell>
        </row>
        <row r="174">
          <cell r="A174" t="str">
            <v>001.04.00107</v>
          </cell>
          <cell r="B174" t="str">
            <v>Fornecimento, confecção, transporte e aplicação de concreto 15 Mpa (280 kgcimento/m3),em fundações, virado na obra, composto por cimento portland CP 32 F, areia lavada tipo média a grossa, seixo rolado, e equipamentos.</v>
          </cell>
          <cell r="C174" t="str">
            <v>m3</v>
          </cell>
          <cell r="D174">
            <v>174.21950000000001</v>
          </cell>
        </row>
        <row r="175">
          <cell r="A175" t="str">
            <v>001.04.00108</v>
          </cell>
          <cell r="B175" t="str">
            <v>Fornecimento, confecção, transporte e aplicação de concreto 18 Mpa (305 kgcimento/m3) em fundações, virado na obra, composto por cimento portland CP 32 F, areia lavada tipo média a grossa, seixo rolado, e equipamentos.</v>
          </cell>
          <cell r="C175" t="str">
            <v>m3</v>
          </cell>
          <cell r="D175">
            <v>187.62350000000001</v>
          </cell>
        </row>
        <row r="176">
          <cell r="A176" t="str">
            <v>001.04.00109</v>
          </cell>
          <cell r="B176" t="str">
            <v>Fornecimento, confecção, transporte e aplicação de concreto 20 Mpa (322 kgcimento/m3) em fundações, virado na obra, composto por cimento portland CP 32 F, areia lavada tipo média a grossa, seixo rolado, e equipamentos.</v>
          </cell>
          <cell r="C176" t="str">
            <v>m3</v>
          </cell>
          <cell r="D176">
            <v>201.55289999999999</v>
          </cell>
        </row>
        <row r="177">
          <cell r="A177" t="str">
            <v>001.04.00110</v>
          </cell>
          <cell r="B177" t="str">
            <v>Fornecimento, confecção, transporte e aplicação de concreto 21 Mpa (331 kgcimento/m3) em fundações, virado na obra, composto por cimento portland CP 32 F, areia lavada tipo média a grossa, seixo rolado, e equipamentos.</v>
          </cell>
          <cell r="C177" t="str">
            <v>m3</v>
          </cell>
          <cell r="D177">
            <v>188.06649999999999</v>
          </cell>
        </row>
        <row r="178">
          <cell r="A178" t="str">
            <v>001.04.00111</v>
          </cell>
          <cell r="B178" t="str">
            <v>Fornecimento, confecção, transporte e aplicação de concreto 25 Mpa (367 kgcimento/m3) em fundações, virado na obra, composto por cimento portland CP 32 F, areia lavada tipo média a grossa, seixo rolado, e equipamentos.</v>
          </cell>
          <cell r="C178" t="str">
            <v>m3</v>
          </cell>
          <cell r="D178">
            <v>197.83949999999999</v>
          </cell>
        </row>
        <row r="179">
          <cell r="A179" t="str">
            <v>001.04.00205</v>
          </cell>
          <cell r="B179" t="str">
            <v>Fornecimento, confecção, transporte e aplicação de concreto 10 Mpa (241 kgcimento/m3),em fundações, virado na obra, composto por cimento portland CP 32 F, areia lavada tipo média a grossa, pedra granitica britada, e equipamentos.</v>
          </cell>
          <cell r="C179" t="str">
            <v>m3</v>
          </cell>
          <cell r="D179">
            <v>179.58090000000001</v>
          </cell>
        </row>
        <row r="180">
          <cell r="A180" t="str">
            <v>001.04.00206</v>
          </cell>
          <cell r="B180" t="str">
            <v>Fornecimento, confecção, transporte e aplicação de concreto 13,5 Mpa (268 kgcimento/m3) em fundações, virado na obra, composto por cimento portland CP 32 F, areia lavada tipo média a grossa, pedra granitica britada, e equipamentos.</v>
          </cell>
          <cell r="C180" t="str">
            <v>m3</v>
          </cell>
          <cell r="D180">
            <v>186.9049</v>
          </cell>
        </row>
        <row r="181">
          <cell r="A181" t="str">
            <v>001.04.00207</v>
          </cell>
          <cell r="B181" t="str">
            <v>Fornecimento, confecção, transporte e aplicação de concreto 15 Mpa (280 kgcimento/m3),em fundações, virado na obra, composto por cimento portland CP 32 F, areia lavada tipo média a grossa, pedra granitica britada, e equipamentos.</v>
          </cell>
          <cell r="C181" t="str">
            <v>m3</v>
          </cell>
          <cell r="D181">
            <v>190.1549</v>
          </cell>
        </row>
        <row r="182">
          <cell r="A182" t="str">
            <v>001.04.00208</v>
          </cell>
          <cell r="B182" t="str">
            <v>Fornecimento, confecção, transporte e aplicação de concreto 18 Mpa (305 kgcimento/m3) em fundações, virado na obra, composto por cimento portland CP 32 F, areia lavada tipo média a grossa, pedra granitica britada, e equipamentos.</v>
          </cell>
          <cell r="C182" t="str">
            <v>m3</v>
          </cell>
          <cell r="D182">
            <v>196.94489999999999</v>
          </cell>
        </row>
        <row r="183">
          <cell r="A183" t="str">
            <v>001.04.00209</v>
          </cell>
          <cell r="B183" t="str">
            <v>Fornecimento, confecção, transporte e aplicação de concreto 20 Mpa (322 kgcimento/m3) em fundações, virado na obra, composto por cimento portland CP 32 F, areia lavada tipo média a grossa, pedra granitica britada, e equipamentos.</v>
          </cell>
          <cell r="C183" t="str">
            <v>m3</v>
          </cell>
          <cell r="D183">
            <v>201.55289999999999</v>
          </cell>
        </row>
        <row r="184">
          <cell r="A184" t="str">
            <v>001.04.00210</v>
          </cell>
          <cell r="B184" t="str">
            <v>Fornecimento, confecção, transporte e aplicação de concreto 21 Mpa (331 kgcimento/m3) em fundações, virado na obra, composto por cimento portland CP 32 F, areia lavada tipo média a grossa, pedra granitica britada, e equipamentos.</v>
          </cell>
          <cell r="C184" t="str">
            <v>m3</v>
          </cell>
          <cell r="D184">
            <v>204.00190000000001</v>
          </cell>
        </row>
        <row r="185">
          <cell r="A185" t="str">
            <v>001.04.00211</v>
          </cell>
          <cell r="B185" t="str">
            <v>Fornecimento, confecção, transporte e aplicação de concreto 25 Mpa (367 kgcimento/m3) em fundações, virado na obra, composto por cimento portland CP 32 F, areia lavada tipo média a grossa, pedra granitica britada, e equipamentos.</v>
          </cell>
          <cell r="C185" t="str">
            <v>m3</v>
          </cell>
          <cell r="D185">
            <v>221.38890000000001</v>
          </cell>
        </row>
        <row r="186">
          <cell r="A186" t="str">
            <v>001.04.00220</v>
          </cell>
          <cell r="B186" t="str">
            <v>Fornecimento, Transporte, Lançamento e Aplicação de Concreto usinado em fundação Fck= 13,5 Mpa</v>
          </cell>
          <cell r="C186" t="str">
            <v>m3</v>
          </cell>
          <cell r="D186">
            <v>219.32470000000001</v>
          </cell>
        </row>
        <row r="187">
          <cell r="A187" t="str">
            <v>001.04.00240</v>
          </cell>
          <cell r="B187" t="str">
            <v>Fornecimento, Transporte, Lançamento e Aplicação de Concreto usinado em fundação, Fck=15 mpa</v>
          </cell>
          <cell r="C187" t="str">
            <v>m3</v>
          </cell>
          <cell r="D187">
            <v>230.87469999999999</v>
          </cell>
        </row>
        <row r="188">
          <cell r="A188" t="str">
            <v>001.04.00260</v>
          </cell>
          <cell r="B188" t="str">
            <v>Fornecimento, Transporte, Lançamento e Aplicação de Concreto usinado em fundação Fck= 18 Mpa</v>
          </cell>
          <cell r="C188" t="str">
            <v>m3</v>
          </cell>
          <cell r="D188">
            <v>236.12469999999999</v>
          </cell>
        </row>
        <row r="189">
          <cell r="A189" t="str">
            <v>001.04.00280</v>
          </cell>
          <cell r="B189" t="str">
            <v>Fornecimento, Transporte, Lançamento e Aplicação de Concreto usinado em fundação Fck= 20 mpa</v>
          </cell>
          <cell r="C189" t="str">
            <v>m3</v>
          </cell>
          <cell r="D189">
            <v>249.7747</v>
          </cell>
        </row>
        <row r="190">
          <cell r="A190" t="str">
            <v>001.04.00290</v>
          </cell>
          <cell r="B190" t="str">
            <v>Fornecimento, Transporte, Lançamento e Aplicação de Concreto usinado em fundação Fck= 25 mpa</v>
          </cell>
          <cell r="C190" t="str">
            <v>m3</v>
          </cell>
          <cell r="D190">
            <v>260.2747</v>
          </cell>
        </row>
        <row r="191">
          <cell r="A191" t="str">
            <v>001.04.00300</v>
          </cell>
          <cell r="B191" t="str">
            <v>Forma inclusive desforma comum de tábua para fundações sem reaproveitamento</v>
          </cell>
          <cell r="C191" t="str">
            <v>M2</v>
          </cell>
          <cell r="D191">
            <v>33.5563</v>
          </cell>
        </row>
        <row r="192">
          <cell r="A192" t="str">
            <v>001.04.00320</v>
          </cell>
          <cell r="B192" t="str">
            <v>Forma inclusive desforma comum de tábua para fundações c/ 01 reaproveitamento</v>
          </cell>
          <cell r="C192" t="str">
            <v>M2</v>
          </cell>
          <cell r="D192">
            <v>21.167300000000001</v>
          </cell>
        </row>
        <row r="193">
          <cell r="A193" t="str">
            <v>001.04.00340</v>
          </cell>
          <cell r="B193" t="str">
            <v>Forma inclusive desforma comum de tábua para fundações c/ 02 reaproveitamentos</v>
          </cell>
          <cell r="C193" t="str">
            <v>m2</v>
          </cell>
          <cell r="D193">
            <v>17.304300000000001</v>
          </cell>
        </row>
        <row r="194">
          <cell r="A194" t="str">
            <v>001.04.00360</v>
          </cell>
          <cell r="B194" t="str">
            <v>Forma inclusive desforma comum de tábua para fundações c/ 03 reaproveitamentos</v>
          </cell>
          <cell r="C194" t="str">
            <v>m2</v>
          </cell>
          <cell r="D194">
            <v>15.972799999999999</v>
          </cell>
        </row>
        <row r="195">
          <cell r="A195" t="str">
            <v>001.04.00365</v>
          </cell>
          <cell r="B195" t="str">
            <v>Forma inclusive desforma comum de tábua para fundações c/ 04 reaproveitamentos</v>
          </cell>
          <cell r="C195" t="str">
            <v>m2</v>
          </cell>
          <cell r="D195">
            <v>15.2928</v>
          </cell>
        </row>
        <row r="196">
          <cell r="A196" t="str">
            <v>001.04.00400</v>
          </cell>
          <cell r="B196" t="str">
            <v>Fornecimento e Aplicação de Aço CA 50</v>
          </cell>
          <cell r="C196" t="str">
            <v>KG</v>
          </cell>
          <cell r="D196">
            <v>4.6759000000000004</v>
          </cell>
        </row>
        <row r="197">
          <cell r="A197" t="str">
            <v>001.04.00420</v>
          </cell>
          <cell r="B197" t="str">
            <v>Fornecimento e Aplicação de Aço CA - 60</v>
          </cell>
          <cell r="C197" t="str">
            <v>KG</v>
          </cell>
          <cell r="D197">
            <v>5.2900999999999998</v>
          </cell>
        </row>
        <row r="198">
          <cell r="A198" t="str">
            <v>001.04.00440</v>
          </cell>
          <cell r="B198" t="str">
            <v>Concreto ciclópico com 30% de pedra de mão traço 1:4:8</v>
          </cell>
          <cell r="C198" t="str">
            <v>M3</v>
          </cell>
          <cell r="D198">
            <v>160.297</v>
          </cell>
        </row>
        <row r="199">
          <cell r="A199" t="str">
            <v>001.04.00460</v>
          </cell>
          <cell r="B199" t="str">
            <v>Concreto ciclópico com 30% de pedra de mão traço 1:3:6</v>
          </cell>
          <cell r="C199" t="str">
            <v>M3</v>
          </cell>
          <cell r="D199">
            <v>169.07249999999999</v>
          </cell>
        </row>
        <row r="200">
          <cell r="A200" t="str">
            <v>001.04.00480</v>
          </cell>
          <cell r="B200" t="str">
            <v>Execução de Alvenaria de fundação e embasamento em tijolo maciço assente c/  o traço 1:4:12, cimento, cal e areia</v>
          </cell>
          <cell r="C200" t="str">
            <v>M3</v>
          </cell>
          <cell r="D200">
            <v>169.40549999999999</v>
          </cell>
        </row>
        <row r="201">
          <cell r="A201" t="str">
            <v>001.04.00500</v>
          </cell>
          <cell r="B201" t="str">
            <v>Execução de Alvenaria de fundação e embasamento em tijolo maciço assente c/ o traço 1:3, cimento e areia</v>
          </cell>
          <cell r="C201" t="str">
            <v>M3</v>
          </cell>
          <cell r="D201">
            <v>224.51480000000001</v>
          </cell>
        </row>
        <row r="202">
          <cell r="A202" t="str">
            <v>001.04.00520</v>
          </cell>
          <cell r="B202" t="str">
            <v>Execução de Alvenaria de fundação e embasamento em tijolo maciço assente c/ o traço 1:4 cimento e areia</v>
          </cell>
          <cell r="C202" t="str">
            <v>M3</v>
          </cell>
          <cell r="D202">
            <v>216.3278</v>
          </cell>
        </row>
        <row r="203">
          <cell r="A203" t="str">
            <v>001.04.00540</v>
          </cell>
          <cell r="B203" t="str">
            <v>Execução de Alvenaria de fundação e embasamento em tijolo maciço assente c/ o traço 1:5 cimento e areia</v>
          </cell>
          <cell r="C203" t="str">
            <v>M3</v>
          </cell>
          <cell r="D203">
            <v>211.26150000000001</v>
          </cell>
        </row>
        <row r="204">
          <cell r="A204" t="str">
            <v>001.04.00560</v>
          </cell>
          <cell r="B204" t="str">
            <v>Execução de Alvenaria de fundação e embasamento em tijolo maiciço assente c/ argamassa 1:3 c/adição de vedacit a 2 kg p/saco de cimento</v>
          </cell>
          <cell r="C204" t="str">
            <v>M3</v>
          </cell>
          <cell r="D204">
            <v>236.77549999999999</v>
          </cell>
        </row>
        <row r="205">
          <cell r="A205" t="str">
            <v>001.04.00580</v>
          </cell>
          <cell r="B205" t="str">
            <v>Execução de Alvenaria de tijolo comum em espelho p/ cinta de fundação (forma), assente c/ argamassa de cimento e areia 1:3</v>
          </cell>
          <cell r="C205" t="str">
            <v>M2</v>
          </cell>
          <cell r="D205">
            <v>15.642200000000001</v>
          </cell>
        </row>
        <row r="206">
          <cell r="A206" t="str">
            <v>001.04.00600</v>
          </cell>
          <cell r="B206" t="str">
            <v>Execução de Alvenaria de tijolo comum em espelho p/ cinta de fundação (forma), assente c/ argamassa de cimento e areia 1:4</v>
          </cell>
          <cell r="C206" t="str">
            <v>M2</v>
          </cell>
          <cell r="D206">
            <v>15.440200000000001</v>
          </cell>
        </row>
        <row r="207">
          <cell r="A207" t="str">
            <v>001.04.00620</v>
          </cell>
          <cell r="B207" t="str">
            <v>Confecção e lançamento de concreto em tubulão a céu aberto empregando concreto fck 150 mpa</v>
          </cell>
          <cell r="C207" t="str">
            <v>M3</v>
          </cell>
          <cell r="D207">
            <v>207.76410000000001</v>
          </cell>
        </row>
        <row r="208">
          <cell r="A208" t="str">
            <v>001.04.00640</v>
          </cell>
          <cell r="B208" t="str">
            <v>Confecção e lançamento de concreto em tubulão a céu aberto empregando concreto pré-misturado fck 15 mpa</v>
          </cell>
          <cell r="C208" t="str">
            <v>M3</v>
          </cell>
          <cell r="D208">
            <v>228.97120000000001</v>
          </cell>
        </row>
        <row r="209">
          <cell r="A209" t="str">
            <v>001.04.00660</v>
          </cell>
          <cell r="B209" t="str">
            <v>Execução de Broca de concreto armado no traço 1:3:6 até 4 m profundidade e c/ diâmetro 20 cm (escavação manual)</v>
          </cell>
          <cell r="C209" t="str">
            <v>ml</v>
          </cell>
          <cell r="D209">
            <v>15.726100000000001</v>
          </cell>
        </row>
        <row r="210">
          <cell r="A210" t="str">
            <v>001.04.00680</v>
          </cell>
          <cell r="B210" t="str">
            <v>Execução de Broca de concreto armado no traço 1:3:6 até 4 m profundidade e c/ diâmetro 25 cm (escavação manual)</v>
          </cell>
          <cell r="C210" t="str">
            <v>ml</v>
          </cell>
          <cell r="D210">
            <v>23.283100000000001</v>
          </cell>
        </row>
        <row r="211">
          <cell r="A211" t="str">
            <v>001.04.00700</v>
          </cell>
          <cell r="B211" t="str">
            <v>Execução de Broca de concreto armado no traço 1:3:6 até 4 m profundidade e c/ diâmetro 30 cm (escavação manual)</v>
          </cell>
          <cell r="C211" t="str">
            <v>ml</v>
          </cell>
          <cell r="D211">
            <v>32.720700000000001</v>
          </cell>
        </row>
        <row r="212">
          <cell r="A212" t="str">
            <v>001.04.00720</v>
          </cell>
          <cell r="B212" t="str">
            <v>Execução de Broca de concreto armado no traço 1:3:6 de 4 m até 6 m de profundidade e c/ diâmetro 25 cm (escavação manual)</v>
          </cell>
          <cell r="C212" t="str">
            <v>ml</v>
          </cell>
          <cell r="D212">
            <v>25.244</v>
          </cell>
        </row>
        <row r="213">
          <cell r="A213" t="str">
            <v>001.04.00740</v>
          </cell>
          <cell r="B213" t="str">
            <v>Execução de Broca de concreto armado no traço 1:3:6 de 4 m até 6 m de profundidade e c/ diâmetro 30 cm (escavação manual)</v>
          </cell>
          <cell r="C213" t="str">
            <v>ml</v>
          </cell>
          <cell r="D213">
            <v>36.314799999999998</v>
          </cell>
        </row>
        <row r="214">
          <cell r="A214" t="str">
            <v>001.04.00760</v>
          </cell>
          <cell r="B214" t="str">
            <v>Fornecimento e Cravação de estaca de concreto fck=15 mpa moldada no local diâmetro 25 cm tipo """"straus""""</v>
          </cell>
          <cell r="C214" t="str">
            <v>M</v>
          </cell>
          <cell r="D214">
            <v>40.098199999999999</v>
          </cell>
        </row>
        <row r="215">
          <cell r="A215" t="str">
            <v>001.04.00780</v>
          </cell>
          <cell r="B215" t="str">
            <v>Fornecimento e Cravação de estaca de concreto fck=15 mpa moldada no local diâmetro 32 cm tipo """"straus""""</v>
          </cell>
          <cell r="C215" t="str">
            <v>M</v>
          </cell>
          <cell r="D215">
            <v>58.744199999999999</v>
          </cell>
        </row>
        <row r="216">
          <cell r="A216" t="str">
            <v>001.04.00790</v>
          </cell>
          <cell r="B216" t="str">
            <v>Fornecimento e Cravação de Estaca de Concreto Pré Moldada Dim. 17.50 x 17.50 cm - 20 T</v>
          </cell>
          <cell r="C216" t="str">
            <v>ml</v>
          </cell>
          <cell r="D216">
            <v>30.5</v>
          </cell>
        </row>
        <row r="217">
          <cell r="A217" t="str">
            <v>001.04.00800</v>
          </cell>
          <cell r="B217" t="str">
            <v>Fornecimento e Cravação de Estaca de Concreto Pré-Moldada Dim (26,5x26,5)cm - 30 T</v>
          </cell>
          <cell r="C217" t="str">
            <v>ml</v>
          </cell>
          <cell r="D217">
            <v>49.4</v>
          </cell>
        </row>
        <row r="218">
          <cell r="A218" t="str">
            <v>001.04.00820</v>
          </cell>
          <cell r="B218" t="str">
            <v>Fornecimento e Instalação de emenda em estaca pré-moldada de concreto</v>
          </cell>
          <cell r="C218" t="str">
            <v>UN</v>
          </cell>
          <cell r="D218">
            <v>20</v>
          </cell>
        </row>
        <row r="219">
          <cell r="A219" t="str">
            <v>001.04.00840</v>
          </cell>
          <cell r="B219" t="str">
            <v>Lastro de brita granítica apiloado manualmente</v>
          </cell>
          <cell r="C219" t="str">
            <v>m3</v>
          </cell>
          <cell r="D219">
            <v>46.764000000000003</v>
          </cell>
        </row>
        <row r="220">
          <cell r="A220" t="str">
            <v>001.04.00860</v>
          </cell>
          <cell r="B220" t="str">
            <v>Lastro de areia média a grossa apiloado manualmente</v>
          </cell>
          <cell r="C220" t="str">
            <v>m3</v>
          </cell>
          <cell r="D220">
            <v>30.614000000000001</v>
          </cell>
        </row>
        <row r="221">
          <cell r="A221" t="str">
            <v>001.05</v>
          </cell>
          <cell r="B221" t="str">
            <v>ESTRUTURA</v>
          </cell>
          <cell r="D221">
            <v>5099.8338000000003</v>
          </cell>
        </row>
        <row r="222">
          <cell r="A222" t="str">
            <v>001.05.00020</v>
          </cell>
          <cell r="B222" t="str">
            <v>Fornecimento, confecção, transporte e aplicação de concreto 15 Mpa (280 kgcimento/m3),em estrutura, virado na obra, composto por cimento portland CP 32 F, areia lavada tipo média a grossa, seixo rolado, e equipamentos.</v>
          </cell>
          <cell r="C222" t="str">
            <v>m3</v>
          </cell>
          <cell r="D222">
            <v>176.6679</v>
          </cell>
        </row>
        <row r="223">
          <cell r="A223" t="str">
            <v>001.05.00021</v>
          </cell>
          <cell r="B223" t="str">
            <v>Fornecimento, confecção, transporte e aplicação de concreto 18 Mpa (305 kgcimento/m3) em estrutura, virado na obra, composto por cimento portland CP 32 F, areia lavada tipo média a grossa, seixo rolado, e equipamentos.</v>
          </cell>
          <cell r="C223" t="str">
            <v>m3</v>
          </cell>
          <cell r="D223">
            <v>183.4579</v>
          </cell>
        </row>
        <row r="224">
          <cell r="A224" t="str">
            <v>001.05.00022</v>
          </cell>
          <cell r="B224" t="str">
            <v>Fornecimento, confecção, transporte e aplicação de concreto 20 Mpa (322 kgcimento/m3) em estrutura, virado na obra, composto por cimento portland CP 32 F, areia lavada tipo média a grossa, seixo rolado, e equipamentos.</v>
          </cell>
          <cell r="C224" t="str">
            <v>m3</v>
          </cell>
          <cell r="D224">
            <v>197.38730000000001</v>
          </cell>
        </row>
        <row r="225">
          <cell r="A225" t="str">
            <v>001.05.00023</v>
          </cell>
          <cell r="B225" t="str">
            <v>Fornecimento, confecção, transporte e aplicação de concreto 21 Mpa (331 kgcimento/m3) em estrutura, virado na obra, composto por cimento portland CP 32 F, areia lavada tipo média a grossa, seixo rolado, e equipamentos.</v>
          </cell>
          <cell r="C225" t="str">
            <v>m3</v>
          </cell>
          <cell r="D225">
            <v>190.51490000000001</v>
          </cell>
        </row>
        <row r="226">
          <cell r="A226" t="str">
            <v>001.05.00024</v>
          </cell>
          <cell r="B226" t="str">
            <v>Fornecimento, confecção, transporte e aplicação de concreto 25 Mpa (367 kgcimento/m3) em estrutura, virado na obra, composto por cimento portland CP 32 F, areia lavada tipo média a grossa, seixo rolado, e equipamentos.</v>
          </cell>
          <cell r="C226" t="str">
            <v>m3</v>
          </cell>
          <cell r="D226">
            <v>200.28790000000001</v>
          </cell>
        </row>
        <row r="227">
          <cell r="A227" t="str">
            <v>001.05.00030</v>
          </cell>
          <cell r="B227" t="str">
            <v>Fornecimento, confecção, transporte e aplicação de concreto 15 Mpa (280 kgcimento/m3),em estrutura, virado na obra, composto por cimento portland CP 32 F, areia lavada tipo média a grossa, pedra granitica britada, e equipamentos.</v>
          </cell>
          <cell r="C227" t="str">
            <v>m3</v>
          </cell>
          <cell r="D227">
            <v>185.98929999999999</v>
          </cell>
        </row>
        <row r="228">
          <cell r="A228" t="str">
            <v>001.05.00031</v>
          </cell>
          <cell r="B228" t="str">
            <v>Fornecimento, confecção, transporte e aplicação de concreto 18 Mpa (305 kgcimento/m3) em estrutura, virado na obra, composto por cimento portland CP 32 F, areia lavada tipo média a grossa, pedra granitica britada, e equipamentos.</v>
          </cell>
          <cell r="C228" t="str">
            <v>m3</v>
          </cell>
          <cell r="D228">
            <v>192.77930000000001</v>
          </cell>
        </row>
        <row r="229">
          <cell r="A229" t="str">
            <v>001.05.00032</v>
          </cell>
          <cell r="B229" t="str">
            <v>Fornecimento, confecção, transporte e aplicação de concreto 20 Mpa (322 kgcimento/m3) em estrutura, virado na obra, composto por cimento portland CP 32 F, areia lavada tipo média a grossa, pedra granitica britada, e equipamentos.</v>
          </cell>
          <cell r="C229" t="str">
            <v>m3</v>
          </cell>
          <cell r="D229">
            <v>197.38730000000001</v>
          </cell>
        </row>
        <row r="230">
          <cell r="A230" t="str">
            <v>001.05.00033</v>
          </cell>
          <cell r="B230" t="str">
            <v>Fornecimento, confecção, transporte e aplicação de concreto 21 Mpa (322 kgcimento/m3) em estrutura, virado na obra, composto por cimento portland CP 32 F, areia lavada tipo média a grossa, pedra granitica britada, e equipamentos.</v>
          </cell>
          <cell r="C230" t="str">
            <v>m3</v>
          </cell>
          <cell r="D230">
            <v>199.83629999999999</v>
          </cell>
        </row>
        <row r="231">
          <cell r="A231" t="str">
            <v>001.05.00034</v>
          </cell>
          <cell r="B231" t="str">
            <v>Fornecimento, confecção, transporte e aplicação de concreto 25 Mpa (367 kgcimento/m3) em estrutura, virado na obra, composto por cimento portland CP 32 F, areia lavada tipo média a grossa, pedra granitica britada, e equipamentos.</v>
          </cell>
          <cell r="C231" t="str">
            <v>m3</v>
          </cell>
          <cell r="D231">
            <v>217.22329999999999</v>
          </cell>
        </row>
        <row r="232">
          <cell r="A232" t="str">
            <v>001.05.00140</v>
          </cell>
          <cell r="B232" t="str">
            <v>Fornecimento, Transporte, Lançamento, Adensamento e Acabamento Manual de Concreto Usinado Fck= 13,50 Mpa, em Estrutura.</v>
          </cell>
          <cell r="C232" t="str">
            <v>m3</v>
          </cell>
          <cell r="D232">
            <v>215.1591</v>
          </cell>
        </row>
        <row r="233">
          <cell r="A233" t="str">
            <v>001.05.00160</v>
          </cell>
          <cell r="B233" t="str">
            <v>Fornecimento, Transporte, Lançamento, Adensamento e Acabamento Manual de Concreto Usinado Fck= 15 Mpa, em Estrutura.</v>
          </cell>
          <cell r="C233" t="str">
            <v>m3</v>
          </cell>
          <cell r="D233">
            <v>226.70910000000001</v>
          </cell>
        </row>
        <row r="234">
          <cell r="A234" t="str">
            <v>001.05.00180</v>
          </cell>
          <cell r="B234" t="str">
            <v>Fornecimento, Transporte, Lançamento, Adensamento e Acabamento Manual de Concreto Usinado Fck= 18 Mpa, em Estrutura.</v>
          </cell>
          <cell r="C234" t="str">
            <v>m3</v>
          </cell>
          <cell r="D234">
            <v>231.95910000000001</v>
          </cell>
        </row>
        <row r="235">
          <cell r="A235" t="str">
            <v>001.05.00200</v>
          </cell>
          <cell r="B235" t="str">
            <v>Fornecimento, Transporte, Lançamento, Adensamento e Acabamento Manual de Concreto Usinado Fck= 20 Mpa, em Estrutura.</v>
          </cell>
          <cell r="C235" t="str">
            <v>m3</v>
          </cell>
          <cell r="D235">
            <v>245.60910000000001</v>
          </cell>
        </row>
        <row r="236">
          <cell r="A236" t="str">
            <v>001.05.00220</v>
          </cell>
          <cell r="B236" t="str">
            <v>Fornecimento, Transporte, Lançamento, Adensamento e Acabamento Manual de Concreto Usinado Fck= 25 Mpa, em Estrutura.</v>
          </cell>
          <cell r="C236" t="str">
            <v>m3</v>
          </cell>
          <cell r="D236">
            <v>256.10910000000001</v>
          </cell>
        </row>
        <row r="237">
          <cell r="A237" t="str">
            <v>001.05.00230</v>
          </cell>
          <cell r="B237" t="str">
            <v>Fornecimento e Aplicação de Concreto em Estrutura Fck= 13,50 Mpa (não está incluso o bombeamento)</v>
          </cell>
          <cell r="C237" t="str">
            <v>m3</v>
          </cell>
          <cell r="D237">
            <v>198.78899999999999</v>
          </cell>
        </row>
        <row r="238">
          <cell r="A238" t="str">
            <v>001.05.00231</v>
          </cell>
          <cell r="B238" t="str">
            <v>Fornecimento e Aplicação de Concreto em Estrutura Fck= 15 Mpa (não está incluso o bombeamento)</v>
          </cell>
          <cell r="C238" t="str">
            <v>m3</v>
          </cell>
          <cell r="D238">
            <v>210.339</v>
          </cell>
        </row>
        <row r="239">
          <cell r="A239" t="str">
            <v>001.05.00232</v>
          </cell>
          <cell r="B239" t="str">
            <v>Fornecimento e Aplicação de Concreto em Estrutura Fck= 18 Mpa (não está incluso o bombeamento)</v>
          </cell>
          <cell r="C239" t="str">
            <v>m3</v>
          </cell>
          <cell r="D239">
            <v>215.589</v>
          </cell>
        </row>
        <row r="240">
          <cell r="A240" t="str">
            <v>001.05.00233</v>
          </cell>
          <cell r="B240" t="str">
            <v>Fornecimento e Aplicação de Concreto em Estrutura Fck= 20 Mpa (não está incluso o bombeamento)</v>
          </cell>
          <cell r="C240" t="str">
            <v>m3</v>
          </cell>
          <cell r="D240">
            <v>229.239</v>
          </cell>
        </row>
        <row r="241">
          <cell r="A241" t="str">
            <v>001.05.00234</v>
          </cell>
          <cell r="B241" t="str">
            <v>Fornecimento e Aplicação de Concreto em Estrutura Fck= 25 Mpa (não está incluso o bombeamento)</v>
          </cell>
          <cell r="C241" t="str">
            <v>m3</v>
          </cell>
          <cell r="D241">
            <v>239.739</v>
          </cell>
        </row>
        <row r="242">
          <cell r="A242" t="str">
            <v>001.05.00235</v>
          </cell>
          <cell r="B242" t="str">
            <v>Serviço de Bombeamento de Concreto em Estrutura</v>
          </cell>
          <cell r="C242" t="str">
            <v>m3</v>
          </cell>
          <cell r="D242">
            <v>20</v>
          </cell>
        </row>
        <row r="243">
          <cell r="A243" t="str">
            <v>001.05.00260</v>
          </cell>
          <cell r="B243" t="str">
            <v>Fornecimento e Aplicação de Aço  CA 50 em estrutura</v>
          </cell>
          <cell r="C243" t="str">
            <v>KG</v>
          </cell>
          <cell r="D243">
            <v>4.6759000000000004</v>
          </cell>
        </row>
        <row r="244">
          <cell r="A244" t="str">
            <v>001.05.00280</v>
          </cell>
          <cell r="B244" t="str">
            <v>Fornecimento e Aplicação de Aço CA 60 em estrutura</v>
          </cell>
          <cell r="C244" t="str">
            <v>KG</v>
          </cell>
          <cell r="D244">
            <v>5.2900999999999998</v>
          </cell>
        </row>
        <row r="245">
          <cell r="A245" t="str">
            <v>001.05.00300</v>
          </cell>
          <cell r="B245" t="str">
            <v>Fornecimento e Aplicação de Aço em tela soldada 4.20 mm com malha 15x15 cm - Q 92</v>
          </cell>
          <cell r="C245" t="str">
            <v>m2</v>
          </cell>
          <cell r="D245">
            <v>9.0431000000000008</v>
          </cell>
        </row>
        <row r="246">
          <cell r="A246" t="str">
            <v>001.05.00320</v>
          </cell>
          <cell r="B246" t="str">
            <v>Confecção e Montagem de Forma incl. desforma comum de tábua  sem reaproveitamento</v>
          </cell>
          <cell r="C246" t="str">
            <v>M2</v>
          </cell>
          <cell r="D246">
            <v>43.644599999999997</v>
          </cell>
        </row>
        <row r="247">
          <cell r="A247" t="str">
            <v>001.05.00340</v>
          </cell>
          <cell r="B247" t="str">
            <v>Confecção e Montagem de Forma incl. desforma comum de tábua com 01 reaproveitamento</v>
          </cell>
          <cell r="C247" t="str">
            <v>M2</v>
          </cell>
          <cell r="D247">
            <v>26.484300000000001</v>
          </cell>
        </row>
        <row r="248">
          <cell r="A248" t="str">
            <v>001.05.00360</v>
          </cell>
          <cell r="B248" t="str">
            <v>Confecção e Montagem de Forma incl. desforma comum de tábua com 02 reaproveitamentos</v>
          </cell>
          <cell r="C248" t="str">
            <v>m2</v>
          </cell>
          <cell r="D248">
            <v>21.256499999999999</v>
          </cell>
        </row>
        <row r="249">
          <cell r="A249" t="str">
            <v>001.05.00365</v>
          </cell>
          <cell r="B249" t="str">
            <v>Confecção e Montagem de Forma incl. desforma comum de tábua  com 03 reaproveitamentos</v>
          </cell>
          <cell r="C249" t="str">
            <v>m2</v>
          </cell>
          <cell r="D249">
            <v>17.490200000000002</v>
          </cell>
        </row>
        <row r="250">
          <cell r="A250" t="str">
            <v>001.05.00370</v>
          </cell>
          <cell r="B250" t="str">
            <v>Confecção e Montagem de Forma incl. desforma comum de tábua  com 04 reaproveitamentos</v>
          </cell>
          <cell r="C250" t="str">
            <v>m2</v>
          </cell>
          <cell r="D250">
            <v>15.7019</v>
          </cell>
        </row>
        <row r="251">
          <cell r="A251" t="str">
            <v>001.05.00420</v>
          </cell>
          <cell r="B251" t="str">
            <v>Confecção e Montagem de Forma especial em chapa de madeira compensada do tipo resinada c/ 12 mm de espessura sem reaproveitamento</v>
          </cell>
          <cell r="C251" t="str">
            <v>M2</v>
          </cell>
          <cell r="D251">
            <v>42.938099999999999</v>
          </cell>
        </row>
        <row r="252">
          <cell r="A252" t="str">
            <v>001.05.00440</v>
          </cell>
          <cell r="B252" t="str">
            <v>Confecção e Montagem de Forma especial em chapa de madeira compensada do tipo resinada c/ 12 mm de espessura com 01 reaproveitamento</v>
          </cell>
          <cell r="C252" t="str">
            <v>M2</v>
          </cell>
          <cell r="D252">
            <v>36.784999999999997</v>
          </cell>
        </row>
        <row r="253">
          <cell r="A253" t="str">
            <v>001.05.00460</v>
          </cell>
          <cell r="B253" t="str">
            <v>Confecção e Montagem de Forma especial em chapa de madeira compensada do tipo resinada c/ 12 mm de espessura com 02 reaproveitamento</v>
          </cell>
          <cell r="C253" t="str">
            <v>m2</v>
          </cell>
          <cell r="D253">
            <v>31.637499999999999</v>
          </cell>
        </row>
        <row r="254">
          <cell r="A254" t="str">
            <v>001.05.00480</v>
          </cell>
          <cell r="B254" t="str">
            <v>Confecção e Montagem de Forma especial em chapa de madeira compensada do tipo plastificada c/ 12 mm de espessura sem reaproveitamento</v>
          </cell>
          <cell r="C254" t="str">
            <v>M2</v>
          </cell>
          <cell r="D254">
            <v>54.3521</v>
          </cell>
        </row>
        <row r="255">
          <cell r="A255" t="str">
            <v>001.05.00500</v>
          </cell>
          <cell r="B255" t="str">
            <v>Confecção e Montagem de Forma especial em chapa de madeira compensada do tipo plastificada c/ 12 mm de espessura com 01 reaproveitamento</v>
          </cell>
          <cell r="C255" t="str">
            <v>M2</v>
          </cell>
          <cell r="D255">
            <v>42.829000000000001</v>
          </cell>
        </row>
        <row r="256">
          <cell r="A256" t="str">
            <v>001.05.00520</v>
          </cell>
          <cell r="B256" t="str">
            <v>Confecção e Montagem de Forma especial em chapa de madeira compensada do tipo plastificada c/ 12 mm de espessura com 02 reaproveitamento</v>
          </cell>
          <cell r="C256" t="str">
            <v>M2</v>
          </cell>
          <cell r="D256">
            <v>34.566899999999997</v>
          </cell>
        </row>
        <row r="257">
          <cell r="A257" t="str">
            <v>001.05.00540</v>
          </cell>
          <cell r="B257" t="str">
            <v>Confecção e Montagem de Forma especial em chapa de madeira compensada do tipo plastificada c/ 12 mm de espessura com 03 reaproveitamento</v>
          </cell>
          <cell r="C257" t="str">
            <v>M2</v>
          </cell>
          <cell r="D257">
            <v>29.206600000000002</v>
          </cell>
        </row>
        <row r="258">
          <cell r="A258" t="str">
            <v>001.05.00560</v>
          </cell>
          <cell r="B258" t="str">
            <v>Confecção e Montagem de Forma especial em chapa de madeira compensada do tipo plastificada c/ 12 mm de espessura com 04 reaproveitamento</v>
          </cell>
          <cell r="C258" t="str">
            <v>M2</v>
          </cell>
          <cell r="D258">
            <v>25.8553</v>
          </cell>
        </row>
        <row r="259">
          <cell r="A259" t="str">
            <v>001.05.00660</v>
          </cell>
          <cell r="B259" t="str">
            <v>Execução de Laje pré-fabricada para forro espacamento entre vigas de 41cm a espessura da lajota de 8.00 cm e capeamento de 2.00 cm, incl tela soldada CA 60 4.20 mm 15 x 15 cm</v>
          </cell>
          <cell r="C259" t="str">
            <v>m2</v>
          </cell>
          <cell r="D259">
            <v>40.811</v>
          </cell>
        </row>
        <row r="260">
          <cell r="A260" t="str">
            <v>001.05.00680</v>
          </cell>
          <cell r="B260" t="str">
            <v>Execução de Laje pré-fabricada para piso espaçamento entre vigas de 41 cm a espessura da lajota de 8.00 cm e capeamento de 4.00 cm, incl tela soldada CA 60 4.20 mm 15 x 15 cm</v>
          </cell>
          <cell r="C260" t="str">
            <v>m2</v>
          </cell>
          <cell r="D260">
            <v>45.497900000000001</v>
          </cell>
        </row>
        <row r="261">
          <cell r="A261" t="str">
            <v>001.05.00720</v>
          </cell>
          <cell r="B261" t="str">
            <v>Execução de pilar tipo sanduíche de madeira 6x12 cm, entarugado c/ madeira através de parafusos</v>
          </cell>
          <cell r="C261" t="str">
            <v>ml</v>
          </cell>
          <cell r="D261">
            <v>20.256599999999999</v>
          </cell>
        </row>
        <row r="262">
          <cell r="A262" t="str">
            <v>001.05.00820</v>
          </cell>
          <cell r="B262" t="str">
            <v>Fornecimento e Execução de Grauteamento de Estrutura de Concreto Pré Moldado traço 1:3 incl. SuperPlastificante</v>
          </cell>
          <cell r="C262" t="str">
            <v>m3</v>
          </cell>
          <cell r="D262">
            <v>320.73930000000001</v>
          </cell>
        </row>
        <row r="263">
          <cell r="A263" t="str">
            <v>001.06</v>
          </cell>
          <cell r="B263" t="str">
            <v>IMPERMEABILIZAÇÕES E TRATAMENTOS</v>
          </cell>
          <cell r="D263">
            <v>134.8614</v>
          </cell>
        </row>
        <row r="264">
          <cell r="A264" t="str">
            <v>001.06.00020</v>
          </cell>
          <cell r="B264" t="str">
            <v>Execução de descupinização</v>
          </cell>
          <cell r="C264" t="str">
            <v>M2</v>
          </cell>
          <cell r="D264">
            <v>0.83</v>
          </cell>
        </row>
        <row r="265">
          <cell r="A265" t="str">
            <v>001.06.00040</v>
          </cell>
          <cell r="B265" t="str">
            <v>Execução de imunização de madeiramento de cobertura ou forro de madeira com aplicação de pentox claro a uma demão</v>
          </cell>
          <cell r="C265" t="str">
            <v>M2</v>
          </cell>
          <cell r="D265">
            <v>1.6774</v>
          </cell>
        </row>
        <row r="266">
          <cell r="A266" t="str">
            <v>001.06.00060</v>
          </cell>
          <cell r="B266" t="str">
            <v>Execução de pintura c/neutrol 45 c/ 02 demãos</v>
          </cell>
          <cell r="C266" t="str">
            <v>M2</v>
          </cell>
          <cell r="D266">
            <v>4.4787999999999997</v>
          </cell>
        </row>
        <row r="267">
          <cell r="A267" t="str">
            <v>001.06.00080</v>
          </cell>
          <cell r="B267" t="str">
            <v>Fornecimento e Instalação de Lona Plástica Preta ( Encerado)</v>
          </cell>
          <cell r="C267" t="str">
            <v>M2</v>
          </cell>
          <cell r="D267">
            <v>0.59719999999999995</v>
          </cell>
        </row>
        <row r="268">
          <cell r="A268" t="str">
            <v>001.06.00100</v>
          </cell>
          <cell r="B268" t="str">
            <v>Fornecimento e Instalação de Manta Tipo Bidim, com as seguintes características: permissividade de 120 l/s/m2; permeabilidade normal 4x10(-1) e resistência a tração na ruptura 425 N</v>
          </cell>
          <cell r="C268" t="str">
            <v>M2</v>
          </cell>
          <cell r="D268">
            <v>3.0371999999999999</v>
          </cell>
        </row>
        <row r="269">
          <cell r="A269" t="str">
            <v>001.06.00120</v>
          </cell>
          <cell r="B269" t="str">
            <v>Fornecimento e Instalação de Manta Tipo Bidim, com as seguintes características: permissividade de 100 l/s/m2; permeabilidade normal 4x10(-1) e resistência a tração na ruptura 750 N</v>
          </cell>
          <cell r="C269" t="str">
            <v>M2</v>
          </cell>
          <cell r="D269">
            <v>4.4127000000000001</v>
          </cell>
        </row>
        <row r="270">
          <cell r="A270" t="str">
            <v>001.06.00130</v>
          </cell>
          <cell r="B270" t="str">
            <v>Fornecimento e Aplicação de Nata de Cimento na proporção de 5 kg de cimento por m2</v>
          </cell>
          <cell r="C270" t="str">
            <v>m2</v>
          </cell>
          <cell r="D270">
            <v>1.8307</v>
          </cell>
        </row>
        <row r="271">
          <cell r="A271" t="str">
            <v>001.06.00135</v>
          </cell>
          <cell r="B271" t="str">
            <v>Fornecimento e Aplicação de chapisco de aderência c/argamassa de cimento e areia traço 1:3 e= 5 mm, incl. adesivo de alto desempenho para argamassas e chapisco.</v>
          </cell>
          <cell r="C271" t="str">
            <v>m2</v>
          </cell>
          <cell r="D271">
            <v>4.2747000000000002</v>
          </cell>
        </row>
        <row r="272">
          <cell r="A272" t="str">
            <v>001.06.00140</v>
          </cell>
          <cell r="B272" t="str">
            <v>Execução de regularização de laje com argamassa de cimento e areia 1:4 com cimento, espessura média igual a 3.00 cm, incl aplicação de nata de cimento para preparo de superficie.</v>
          </cell>
          <cell r="C272" t="str">
            <v>m2</v>
          </cell>
          <cell r="D272">
            <v>8.4360999999999997</v>
          </cell>
        </row>
        <row r="273">
          <cell r="A273" t="str">
            <v>001.06.00160</v>
          </cell>
          <cell r="B273" t="str">
            <v>Execução de proteção mecânica com argamassa de cimento e areia 1:3,espessura 2.00 cm</v>
          </cell>
          <cell r="C273" t="str">
            <v>m2</v>
          </cell>
          <cell r="D273">
            <v>6.0629</v>
          </cell>
        </row>
        <row r="274">
          <cell r="A274" t="str">
            <v>001.06.00200</v>
          </cell>
          <cell r="B274" t="str">
            <v>Execução de impermeabilização c/argamassa de cimento e areia 1:4 a 2.00 cm espessura c/ adição de 140 g/m2 de impermeabilizante, aplicação em parede como revestimento.</v>
          </cell>
          <cell r="C274" t="str">
            <v>m2</v>
          </cell>
          <cell r="D274">
            <v>14.679600000000001</v>
          </cell>
        </row>
        <row r="275">
          <cell r="A275" t="str">
            <v>001.06.00220</v>
          </cell>
          <cell r="B275" t="str">
            <v>Execução de impermeabilização c/argamassa de cimento e areia 1:3 a 2.50 cm espessura c/ adição de 185 g/m2 de impermeabilizante, para impermeabilização de Reservatórios.</v>
          </cell>
          <cell r="C275" t="str">
            <v>m2</v>
          </cell>
          <cell r="D275">
            <v>15.3651</v>
          </cell>
        </row>
        <row r="276">
          <cell r="A276" t="str">
            <v>001.06.00240</v>
          </cell>
          <cell r="B276" t="str">
            <v>Fornecimento e Aplicação de Impermeabilizante Cristalizante Sobre Superfície Perfeitamente Regularizada</v>
          </cell>
          <cell r="C276" t="str">
            <v>m2</v>
          </cell>
          <cell r="D276">
            <v>6.7892999999999999</v>
          </cell>
        </row>
        <row r="277">
          <cell r="A277" t="str">
            <v>001.06.00300</v>
          </cell>
          <cell r="B277" t="str">
            <v>Execução de impermeabilização de laje de cobertura com utilização de manta asfáltica poliéster 3.00 mm</v>
          </cell>
          <cell r="C277" t="str">
            <v>M2</v>
          </cell>
          <cell r="D277">
            <v>26.46</v>
          </cell>
        </row>
        <row r="278">
          <cell r="A278" t="str">
            <v>001.06.00320</v>
          </cell>
          <cell r="B278" t="str">
            <v>Execução de impermeabilização de laje de cobertura com utilização de manta asfáltica poliéster 4.00 mm</v>
          </cell>
          <cell r="C278" t="str">
            <v>M2</v>
          </cell>
          <cell r="D278">
            <v>28.497</v>
          </cell>
        </row>
        <row r="279">
          <cell r="A279" t="str">
            <v>001.06.00340</v>
          </cell>
          <cell r="B279" t="str">
            <v>Fornecimento e Aplicação de Isopor e = 5,00 cm, conf. Det. Sinfra n.01</v>
          </cell>
          <cell r="C279" t="str">
            <v>M2</v>
          </cell>
          <cell r="D279">
            <v>7.4326999999999996</v>
          </cell>
        </row>
        <row r="280">
          <cell r="A280" t="str">
            <v>001.07</v>
          </cell>
          <cell r="B280" t="str">
            <v>ALVENARIA</v>
          </cell>
          <cell r="D280">
            <v>1844.6894</v>
          </cell>
        </row>
        <row r="281">
          <cell r="A281" t="str">
            <v>001.07.00020</v>
          </cell>
          <cell r="B281" t="str">
            <v>Execução de alvenaria de elevação de tijolo maciço assente c/ argamassa de cimento e areia no traço 1:3 de 1/4 vez</v>
          </cell>
          <cell r="C281" t="str">
            <v>M2</v>
          </cell>
          <cell r="D281">
            <v>16.777699999999999</v>
          </cell>
        </row>
        <row r="282">
          <cell r="A282" t="str">
            <v>001.07.00040</v>
          </cell>
          <cell r="B282" t="str">
            <v>Execução de alvenaria de elevação de tijolo maciço assente c/ argamassa de cimento e areia no traço 1:3 de 1/2 vez</v>
          </cell>
          <cell r="C282" t="str">
            <v>M2</v>
          </cell>
          <cell r="D282">
            <v>31.524699999999999</v>
          </cell>
        </row>
        <row r="283">
          <cell r="A283" t="str">
            <v>001.07.00060</v>
          </cell>
          <cell r="B283" t="str">
            <v>Execução de alvenaria de elevação de tijolo maciço assente c/ argamassa de cimento e areia no traço 1:3 de 1 vez</v>
          </cell>
          <cell r="C283" t="str">
            <v>M2</v>
          </cell>
          <cell r="D283">
            <v>55.713500000000003</v>
          </cell>
        </row>
        <row r="284">
          <cell r="A284" t="str">
            <v>001.07.00080</v>
          </cell>
          <cell r="B284" t="str">
            <v>Execução de alvenaria de elevação de tijolo maciço assente c/ argamassa de cal e areia no traço de 1:4 de 1/4 vez</v>
          </cell>
          <cell r="C284" t="str">
            <v>M2</v>
          </cell>
          <cell r="D284">
            <v>14.9764</v>
          </cell>
        </row>
        <row r="285">
          <cell r="A285" t="str">
            <v>001.07.00100</v>
          </cell>
          <cell r="B285" t="str">
            <v>Execução de alvenaria de elevação de tijolo maciço assente c/ argamassa de cal e areia no traço de 1:4 de 1/2 vez</v>
          </cell>
          <cell r="C285" t="str">
            <v>M2</v>
          </cell>
          <cell r="D285">
            <v>27.887599999999999</v>
          </cell>
        </row>
        <row r="286">
          <cell r="A286" t="str">
            <v>001.07.00120</v>
          </cell>
          <cell r="B286" t="str">
            <v>Execução de alvenaria de elevação de tijolo maciço assente c/ argamassa de cal e areia no traço de 1:4 de 1 vez</v>
          </cell>
          <cell r="C286" t="str">
            <v>M2</v>
          </cell>
          <cell r="D286">
            <v>50.272199999999998</v>
          </cell>
        </row>
        <row r="287">
          <cell r="A287" t="str">
            <v>001.07.00140</v>
          </cell>
          <cell r="B287" t="str">
            <v>Execução de alvenaria de tijolo maciço assente c/ argamassa de cimento e areia no traço 1:4 de 1/4 vez</v>
          </cell>
          <cell r="C287" t="str">
            <v>M2</v>
          </cell>
          <cell r="D287">
            <v>17.266100000000002</v>
          </cell>
        </row>
        <row r="288">
          <cell r="A288" t="str">
            <v>001.07.00160</v>
          </cell>
          <cell r="B288" t="str">
            <v>Execução de alvenaria de tijolo maciço assente c/ argamassa de cimento e areia no traço 1:4 de 1/2 vez</v>
          </cell>
          <cell r="C288" t="str">
            <v>M2</v>
          </cell>
          <cell r="D288">
            <v>29.367699999999999</v>
          </cell>
        </row>
        <row r="289">
          <cell r="A289" t="str">
            <v>001.07.00180</v>
          </cell>
          <cell r="B289" t="str">
            <v>Execução de alvenaria de tijolo maciço assente c/ argamassa de cimento e areia no traço 1:4 de 1 vez</v>
          </cell>
          <cell r="C289" t="str">
            <v>M2</v>
          </cell>
          <cell r="D289">
            <v>54.098999999999997</v>
          </cell>
        </row>
        <row r="290">
          <cell r="A290" t="str">
            <v>001.07.00200</v>
          </cell>
          <cell r="B290" t="str">
            <v>Execução de alvenaria de elevação c/ tijolo maciço assente c/ argamassa mista de cimento cal e areia no traço 1:2:8 de de 1/4 vez</v>
          </cell>
          <cell r="C290" t="str">
            <v>M2</v>
          </cell>
          <cell r="D290">
            <v>15.995900000000001</v>
          </cell>
        </row>
        <row r="291">
          <cell r="A291" t="str">
            <v>001.07.00220</v>
          </cell>
          <cell r="B291" t="str">
            <v>Execução de alvenaria de elevação c/ tijolo maciço assente c/ argamassa mista de cimento cal e areia no traço 1:2:8 de de 1/2 vez</v>
          </cell>
          <cell r="C291" t="str">
            <v>M2</v>
          </cell>
          <cell r="D291">
            <v>30.2836</v>
          </cell>
        </row>
        <row r="292">
          <cell r="A292" t="str">
            <v>001.07.00240</v>
          </cell>
          <cell r="B292" t="str">
            <v>Execução de alvenaria de elevação c/ tijolo maciço assente c/ argamassa mista de cimento cal e areia no traço 1:2:8 de de 1 vez</v>
          </cell>
          <cell r="C292" t="str">
            <v>M2</v>
          </cell>
          <cell r="D292">
            <v>53.873100000000001</v>
          </cell>
        </row>
        <row r="293">
          <cell r="A293" t="str">
            <v>001.07.00260</v>
          </cell>
          <cell r="B293" t="str">
            <v>Execução de alvenaria de elevação de tijolo maciço assente c/ argamassa mista 1:4:12 de 1/2 vez</v>
          </cell>
          <cell r="C293" t="str">
            <v>M2</v>
          </cell>
          <cell r="D293">
            <v>26.956700000000001</v>
          </cell>
        </row>
        <row r="294">
          <cell r="A294" t="str">
            <v>001.07.00280</v>
          </cell>
          <cell r="B294" t="str">
            <v>Execução de alvenaria de elevação de tijolo maciço assente c/ argamassa mista 1:4:12 de 1 vez</v>
          </cell>
          <cell r="C294" t="str">
            <v>M2</v>
          </cell>
          <cell r="D294">
            <v>49.000100000000003</v>
          </cell>
        </row>
        <row r="295">
          <cell r="A295" t="str">
            <v>001.07.00300</v>
          </cell>
          <cell r="B295" t="str">
            <v>Execução de alvenaria de elevação de tijolo maciço assente c/ argamassa mista 1:4:12 de 1.5 vez</v>
          </cell>
          <cell r="C295" t="str">
            <v>M2</v>
          </cell>
          <cell r="D295">
            <v>67.3352</v>
          </cell>
        </row>
        <row r="296">
          <cell r="A296" t="str">
            <v>001.07.00340</v>
          </cell>
          <cell r="B296" t="str">
            <v>Execução de alvenaria de elevação c/ tijolo cerâmico 9x19x19 assente c/ argamassa mista 1:2:8 de 1/2 vez</v>
          </cell>
          <cell r="C296" t="str">
            <v>m2</v>
          </cell>
          <cell r="D296">
            <v>11.666499999999999</v>
          </cell>
        </row>
        <row r="297">
          <cell r="A297" t="str">
            <v>001.07.00360</v>
          </cell>
          <cell r="B297" t="str">
            <v>Execução de alvenaria de elevação c/ tijolo cerâmico 9x19x19 assente c/ argamassa mista 1:2:8 de 1 vez</v>
          </cell>
          <cell r="C297" t="str">
            <v>m2</v>
          </cell>
          <cell r="D297">
            <v>23.483000000000001</v>
          </cell>
        </row>
        <row r="298">
          <cell r="A298" t="str">
            <v>001.07.00420</v>
          </cell>
          <cell r="B298" t="str">
            <v>Execução de alvenaria aparente de tijolo cerâmico c/ 18 ou 21 furos (dim. 6.00x10.00x21.00 cm) assente c/ argamassa de cimento e areia no traço 1:2:8 de 1/2 vez</v>
          </cell>
          <cell r="C298" t="str">
            <v>m2</v>
          </cell>
          <cell r="D298">
            <v>37.906599999999997</v>
          </cell>
        </row>
        <row r="299">
          <cell r="A299" t="str">
            <v>001.07.00440</v>
          </cell>
          <cell r="B299" t="str">
            <v>Execução de alvenaria aparente de tijolo cerâmico c/ 18 ou 21 furos (dim. 6.00x10.00x21.00 cm) assente c/ argamassa de cimento e areia no traço 1:2:8 de 1 vez</v>
          </cell>
          <cell r="C299" t="str">
            <v>m2</v>
          </cell>
          <cell r="D299">
            <v>81.045699999999997</v>
          </cell>
        </row>
        <row r="300">
          <cell r="A300" t="str">
            <v>001.07.00540</v>
          </cell>
          <cell r="B300" t="str">
            <v>Execução de elemento vazado de cerâmica assente c/ argamassa de cimento e areia peneirada no traço 1:3</v>
          </cell>
          <cell r="C300" t="str">
            <v>m2</v>
          </cell>
          <cell r="D300">
            <v>27.084700000000002</v>
          </cell>
        </row>
        <row r="301">
          <cell r="A301" t="str">
            <v>001.07.00550</v>
          </cell>
          <cell r="B301" t="str">
            <v>Alvenaria de vedação com bloco cerâmico furado dim. 9x19x28, com juntas de 20 mm com argamassa mista de cimento, cal hidratada e areia sem peneirar no traço 1:2:9</v>
          </cell>
          <cell r="C301" t="str">
            <v>m2</v>
          </cell>
          <cell r="D301">
            <v>12.625400000000001</v>
          </cell>
        </row>
        <row r="302">
          <cell r="A302" t="str">
            <v>001.07.00551</v>
          </cell>
          <cell r="B302" t="str">
            <v>Alvenaria de vedação com bloco cerâmico furado dim.12x19x28, com juntas de 20 mm com argamassa mista de cimento, cal hidratada e areia sem peneirar no traço 1:2:9</v>
          </cell>
          <cell r="C302" t="str">
            <v>m2</v>
          </cell>
          <cell r="D302">
            <v>15.767799999999999</v>
          </cell>
        </row>
        <row r="303">
          <cell r="A303" t="str">
            <v>001.07.00552</v>
          </cell>
          <cell r="B303" t="str">
            <v>Alvenaria de vedação com bloco cerâmico furado dim.14x19x28, com juntas de 20 mm com argamassa mista de cimento, cal hidratada e areia sem peneirar no traço 1:2:9</v>
          </cell>
          <cell r="C303" t="str">
            <v>m2</v>
          </cell>
          <cell r="D303">
            <v>20.5151</v>
          </cell>
        </row>
        <row r="304">
          <cell r="A304" t="str">
            <v>001.07.00560</v>
          </cell>
          <cell r="B304" t="str">
            <v>Alvenaria de Vedação Com Bloco de Concreto, Juntas de 10 mm Com Argamassa Mista de Cimento, Cal Hidratada e Areia Sem Peneirar no traço 1:0,50:8 dim. 11,50x19x39 cm</v>
          </cell>
          <cell r="C304" t="str">
            <v>M2</v>
          </cell>
          <cell r="D304">
            <v>15.852</v>
          </cell>
        </row>
        <row r="305">
          <cell r="A305" t="str">
            <v>001.07.00580</v>
          </cell>
          <cell r="B305" t="str">
            <v>Alvenaria de Vedação Com Bloco de Concreto, Juntas de 10 mm Com Argamassa Mista de Cimento, Cal Hidratada e Areia Sem Peneirar no traço 1:0,50:8 dim. 14x19x39 cm</v>
          </cell>
          <cell r="C305" t="str">
            <v>M2</v>
          </cell>
          <cell r="D305">
            <v>20.927600000000002</v>
          </cell>
        </row>
        <row r="306">
          <cell r="A306" t="str">
            <v>001.07.00600</v>
          </cell>
          <cell r="B306" t="str">
            <v>Alvenaria de Vedação Com Bloco de Concreto, Juntas de 10 mm Com Argamassa Mista de Cimento, Cal Hidratada e Areia Sem Peneirar no traço 1:0,50:8 dim. 19x19x39 cm</v>
          </cell>
          <cell r="C306" t="str">
            <v>M2</v>
          </cell>
          <cell r="D306">
            <v>25.4863</v>
          </cell>
        </row>
        <row r="307">
          <cell r="A307" t="str">
            <v>001.07.00620</v>
          </cell>
          <cell r="B307" t="str">
            <v>Alvenaria Estrutural Com Bloco de Concreto, Juntas de 10 mm Com Argamassa Mista de Cimento, Cal Hidratada e Areia Sem Peneirar no traço 1:0,25:6 dim. 14x19x39 cm</v>
          </cell>
          <cell r="C307" t="str">
            <v>M2</v>
          </cell>
          <cell r="D307">
            <v>22.66</v>
          </cell>
        </row>
        <row r="308">
          <cell r="A308" t="str">
            <v>001.07.00640</v>
          </cell>
          <cell r="B308" t="str">
            <v>Alvenaria Estrutural Com Bloco de Concreto, Juntas de 10 mm Com Argamassa Mista de Cimento, Cal Hidratada e Areia Sem Peneirar no traço 1:0,25:6 dim. 19x19x39 cm</v>
          </cell>
          <cell r="C308" t="str">
            <v>M2</v>
          </cell>
          <cell r="D308">
            <v>29.4238</v>
          </cell>
        </row>
        <row r="309">
          <cell r="A309" t="str">
            <v>001.07.00710</v>
          </cell>
          <cell r="B309" t="str">
            <v>Execucao de escada com degraus de tijolo macico, asente com massa forte, inclusive revestimento dos espelhos e pisos</v>
          </cell>
          <cell r="C309" t="str">
            <v>m3</v>
          </cell>
          <cell r="D309">
            <v>241.85810000000001</v>
          </cell>
        </row>
        <row r="310">
          <cell r="A310" t="str">
            <v>001.07.00720</v>
          </cell>
          <cell r="B310" t="str">
            <v>Reparo de trincas ou rachaduras em alvenaria de tijolo com ferros transversais e posteriormente refazer o acabamento conforme revestimento existente</v>
          </cell>
          <cell r="C310" t="str">
            <v>M</v>
          </cell>
          <cell r="D310">
            <v>8.8058999999999994</v>
          </cell>
        </row>
        <row r="311">
          <cell r="A311" t="str">
            <v>001.07.00790</v>
          </cell>
          <cell r="B311" t="str">
            <v>Fornecimento e instalação de caixa de concreto pré-moldado para ar condicionado de 7.000 btu</v>
          </cell>
          <cell r="C311" t="str">
            <v>un</v>
          </cell>
          <cell r="D311">
            <v>50.443199999999997</v>
          </cell>
        </row>
        <row r="312">
          <cell r="A312" t="str">
            <v>001.07.00792</v>
          </cell>
          <cell r="B312" t="str">
            <v>Fornecimento e instalação de caixa de concreto pré-moldado para ar condicionado de 10.000 btu</v>
          </cell>
          <cell r="C312" t="str">
            <v>un</v>
          </cell>
          <cell r="D312">
            <v>54.443199999999997</v>
          </cell>
        </row>
        <row r="313">
          <cell r="A313" t="str">
            <v>001.07.00794</v>
          </cell>
          <cell r="B313" t="str">
            <v>Fornecimento e instalação de caixa de concreto pré-moldado para ar condicionado de 20.000 btu</v>
          </cell>
          <cell r="C313" t="str">
            <v>un</v>
          </cell>
          <cell r="D313">
            <v>68.443200000000004</v>
          </cell>
        </row>
        <row r="314">
          <cell r="A314" t="str">
            <v>001.07.00800</v>
          </cell>
          <cell r="B314" t="str">
            <v>Verga, contra-verga ou pilar de concreto armado, incluindo concreto, forma e ferragem com concreto 13,5 mpa (300kg. cim/m3)</v>
          </cell>
          <cell r="C314" t="str">
            <v>M3</v>
          </cell>
          <cell r="D314">
            <v>534.92179999999996</v>
          </cell>
        </row>
        <row r="315">
          <cell r="A315" t="str">
            <v>001.08</v>
          </cell>
          <cell r="B315" t="str">
            <v>COBERTURA</v>
          </cell>
          <cell r="D315">
            <v>1176.3939</v>
          </cell>
        </row>
        <row r="316">
          <cell r="A316" t="str">
            <v>001.08.00005</v>
          </cell>
          <cell r="B316" t="str">
            <v>Estrutura metálica para cobertura, com especificações mínimas: perfil aço dobrado, laminado e chaparia ASTM A 36, eletrodo E6013, especificação AWS. incl. montagem e fundo anti corrosão a base de cromato de zinco</v>
          </cell>
          <cell r="C316" t="str">
            <v>kg</v>
          </cell>
          <cell r="D316">
            <v>5.625</v>
          </cell>
        </row>
        <row r="317">
          <cell r="A317" t="str">
            <v>001.08.00010</v>
          </cell>
          <cell r="B317" t="str">
            <v>Estrutura de madeira para telha de cerâmica ou de concreto, pontaletada sobre laje ou parede</v>
          </cell>
          <cell r="C317" t="str">
            <v>m2</v>
          </cell>
          <cell r="D317">
            <v>25.268599999999999</v>
          </cell>
        </row>
        <row r="318">
          <cell r="A318" t="str">
            <v>001.08.00015</v>
          </cell>
          <cell r="B318" t="str">
            <v>Estrutura de madeira para telha de fibrocimento, alumínio ou aço zincado pontaletada sobre laje ou parede</v>
          </cell>
          <cell r="C318" t="str">
            <v>m2</v>
          </cell>
          <cell r="D318">
            <v>7.6664000000000003</v>
          </cell>
        </row>
        <row r="319">
          <cell r="A319" t="str">
            <v>001.08.00080</v>
          </cell>
          <cell r="B319" t="str">
            <v>Estrutura de madeira para telhado, c/ distância entre tesouras 4.00 m, 02 águas, p/ cobertura c/ chapa ondulada de c.a. ou alumínio, com 10 m de vão</v>
          </cell>
          <cell r="C319" t="str">
            <v>m2</v>
          </cell>
          <cell r="D319">
            <v>20.342400000000001</v>
          </cell>
        </row>
        <row r="320">
          <cell r="A320" t="str">
            <v>001.08.00100</v>
          </cell>
          <cell r="B320" t="str">
            <v>Estrutura de madeira para telhado, c/ distância entre tesouras 4.00 m, 02 águas, p/ cobertura c/ chapa ondulada de c.a. ou alumínio, com 15 m de vão</v>
          </cell>
          <cell r="C320" t="str">
            <v>m2</v>
          </cell>
          <cell r="D320">
            <v>24.297899999999998</v>
          </cell>
        </row>
        <row r="321">
          <cell r="A321" t="str">
            <v>001.08.00120</v>
          </cell>
          <cell r="B321" t="str">
            <v>Estrutura de madeira para telhado, c/ distância entre tesouras 4.00 m, 02 águas, p/ cobertura c/ chapa ondulada de c.a. ou alumínio, com 20 m de vão</v>
          </cell>
          <cell r="C321" t="str">
            <v>m2</v>
          </cell>
          <cell r="D321">
            <v>30.482700000000001</v>
          </cell>
        </row>
        <row r="322">
          <cell r="A322" t="str">
            <v>001.08.00140</v>
          </cell>
          <cell r="B322" t="str">
            <v>Estrutura de madeira para telhado, c/ distância entre tesouras 4.00 m, 04 águas p/ cobertura c/ chapas onduladas de c.a ou alumínio, com 10 m de vao</v>
          </cell>
          <cell r="C322" t="str">
            <v>m2</v>
          </cell>
          <cell r="D322">
            <v>23.178999999999998</v>
          </cell>
        </row>
        <row r="323">
          <cell r="A323" t="str">
            <v>001.08.00160</v>
          </cell>
          <cell r="B323" t="str">
            <v>Execução de estrutura de madeira para telhado, c/ distância entre tesouras 4.00 m, 04 águas p/ cobertura c/ chapas onduladas de c.a ou alumínio, com 15 m de vao</v>
          </cell>
          <cell r="C323" t="str">
            <v>m2</v>
          </cell>
          <cell r="D323">
            <v>26.8645</v>
          </cell>
        </row>
        <row r="324">
          <cell r="A324" t="str">
            <v>001.08.00180</v>
          </cell>
          <cell r="B324" t="str">
            <v>Execução de estrutura de madeira para telhado, c/ distância entre tesouras 4.00 m, 04 águas p/ cobertura c/ chapas onduladas de c.a ou alumínio, com 20 m de vao</v>
          </cell>
          <cell r="C324" t="str">
            <v>m2</v>
          </cell>
          <cell r="D324">
            <v>35.208199999999998</v>
          </cell>
        </row>
        <row r="325">
          <cell r="A325" t="str">
            <v>001.08.00200</v>
          </cell>
          <cell r="B325" t="str">
            <v>Estrutura de Madeira  comum para telhado, constituído de tesouras (6x12 e 6x16 cm), terças (6x12 e 6x16 cm), caibros(5 x 6cm), ripas (1 x 5 cm) e contraventamentos p/ cobertura com telha de barro ou cerâmica de 3 a 7 m de vão</v>
          </cell>
          <cell r="C325" t="str">
            <v>m2</v>
          </cell>
          <cell r="D325">
            <v>27.703399999999998</v>
          </cell>
        </row>
        <row r="326">
          <cell r="A326" t="str">
            <v>001.08.00205</v>
          </cell>
          <cell r="B326" t="str">
            <v>Estrutura de Madeira comum para telhado, constituído de tesouras (6x12 e 6x16 cm), terças (6x12 e 6x16 cm), caibros(5 x 6cm), ripas (1 x 5 cm) e contraventamentos p/ cobertura com telha de barro ou cerâmica de 7 a 10 m de vão</v>
          </cell>
          <cell r="C326" t="str">
            <v>m2</v>
          </cell>
          <cell r="D326">
            <v>31.499500000000001</v>
          </cell>
        </row>
        <row r="327">
          <cell r="A327" t="str">
            <v>001.08.00210</v>
          </cell>
          <cell r="B327" t="str">
            <v>Estrutura de Madeira comum para telhado, constituído de tesouras (6x12 e 6x16 cm), terças (6x12 e 6x16 cm), caibros(5 x 6cm), ripas (1 x 5 cm) e contraventamentos p/ cobertura com telha de barro ou cerâmica de 10 a 13 m de vão</v>
          </cell>
          <cell r="C327" t="str">
            <v>m2</v>
          </cell>
          <cell r="D327">
            <v>35.7776</v>
          </cell>
        </row>
        <row r="328">
          <cell r="A328" t="str">
            <v>001.08.00240</v>
          </cell>
          <cell r="B328" t="str">
            <v>Estrutura de madeira para  telhas canalete 90 ou 43</v>
          </cell>
          <cell r="C328" t="str">
            <v>m2</v>
          </cell>
          <cell r="D328">
            <v>7.5975000000000001</v>
          </cell>
        </row>
        <row r="329">
          <cell r="A329" t="str">
            <v>001.08.00260</v>
          </cell>
          <cell r="B329" t="str">
            <v>Execução de estrutura de madeira para casa popular em telha ceramica</v>
          </cell>
          <cell r="C329" t="str">
            <v>m2</v>
          </cell>
          <cell r="D329">
            <v>15.370100000000001</v>
          </cell>
        </row>
        <row r="330">
          <cell r="A330" t="str">
            <v>001.08.00270</v>
          </cell>
          <cell r="B330" t="str">
            <v>Execução de Cobertura com telha cerâmica tipo ""plan"", inclinação 35%</v>
          </cell>
          <cell r="C330" t="str">
            <v>m2</v>
          </cell>
          <cell r="D330">
            <v>20.971499999999999</v>
          </cell>
        </row>
        <row r="331">
          <cell r="A331" t="str">
            <v>001.08.00275</v>
          </cell>
          <cell r="B331" t="str">
            <v>Execução de Cobertura com telha ceramica tipo portuguesa, inclinação 35%</v>
          </cell>
          <cell r="C331" t="str">
            <v>m2</v>
          </cell>
          <cell r="D331">
            <v>16.964300000000001</v>
          </cell>
        </row>
        <row r="332">
          <cell r="A332" t="str">
            <v>001.08.00280</v>
          </cell>
          <cell r="B332" t="str">
            <v>Execução de Cobertura com telha cerâmica tipo colonial, inclinação 35%</v>
          </cell>
          <cell r="C332" t="str">
            <v>m2</v>
          </cell>
          <cell r="D332">
            <v>26.0471</v>
          </cell>
        </row>
        <row r="333">
          <cell r="A333" t="str">
            <v>001.08.00285</v>
          </cell>
          <cell r="B333" t="str">
            <v>Execução de Cobertura com telha cerâmica tipo romana inclinação 35%</v>
          </cell>
          <cell r="C333" t="str">
            <v>m2</v>
          </cell>
          <cell r="D333">
            <v>16.5443</v>
          </cell>
        </row>
        <row r="334">
          <cell r="A334" t="str">
            <v>001.08.00290</v>
          </cell>
          <cell r="B334" t="str">
            <v>Execução de Cobertura com telha cerâmica tipo tipo francesa, inclinação 35%</v>
          </cell>
          <cell r="C334" t="str">
            <v>m2</v>
          </cell>
          <cell r="D334">
            <v>16.908300000000001</v>
          </cell>
        </row>
        <row r="335">
          <cell r="A335" t="str">
            <v>001.08.00300</v>
          </cell>
          <cell r="B335" t="str">
            <v>Fornecimento de Instalação de Cobertura com chapas onduladas de cimento amianto altura 24 mm, largura útil 450 mm, largura nominal  500 mm, de 4 mm de espessura, inclinação 27%</v>
          </cell>
          <cell r="C335" t="str">
            <v>m2</v>
          </cell>
          <cell r="D335">
            <v>5.5359999999999996</v>
          </cell>
        </row>
        <row r="336">
          <cell r="A336" t="str">
            <v>001.08.00305</v>
          </cell>
          <cell r="B336" t="str">
            <v>Fornecimento e Instalação de Cobertura com chapas onduladas de cimento amianto, altura 125 mm, largura útil 1.020 mm e largura nominal 1.064 mm, de 5 mm de espessura, inclinação 27%</v>
          </cell>
          <cell r="C336" t="str">
            <v>m2</v>
          </cell>
          <cell r="D336">
            <v>15.379</v>
          </cell>
        </row>
        <row r="337">
          <cell r="A337" t="str">
            <v>001.08.00310</v>
          </cell>
          <cell r="B337" t="str">
            <v>Fornecimento e Instalação de Cobertura com chapas onduladas de cimento amianto, altura 125 mm, largura útil 1.020 mm e largura nominal 1.064 mm, de 6 mm de espessura, inclinação 27%</v>
          </cell>
          <cell r="C337" t="str">
            <v>m2</v>
          </cell>
          <cell r="D337">
            <v>18.0379</v>
          </cell>
        </row>
        <row r="338">
          <cell r="A338" t="str">
            <v>001.08.00315</v>
          </cell>
          <cell r="B338" t="str">
            <v>Fornecimento e Instalação de Cobertura de cimento amianto, perfil trapezoidal,altura 181 mm, largura útil 490 mm, largura nominal 521 mm, de 8 mm de espessura, inclinação 3%</v>
          </cell>
          <cell r="C338" t="str">
            <v>m2</v>
          </cell>
          <cell r="D338">
            <v>22.775600000000001</v>
          </cell>
        </row>
        <row r="339">
          <cell r="A339" t="str">
            <v>001.08.00320</v>
          </cell>
          <cell r="B339" t="str">
            <v>Fornecimento e Instalação de Cobertura com telhas onduladas de poliester c/reforço de fibra de vidro</v>
          </cell>
          <cell r="C339" t="str">
            <v>m2</v>
          </cell>
          <cell r="D339">
            <v>29.275400000000001</v>
          </cell>
        </row>
        <row r="340">
          <cell r="A340" t="str">
            <v>001.08.00325</v>
          </cell>
          <cell r="B340" t="str">
            <v>Fornecimento e Instalação de Cobertura com telha de aço galvanizado zincado trapezoidal, trapézio alto ou baixo, com 0.43mm de espessura, incl.10%, fixada com hastes de ferro galvanizado tipo gancho, arruela de borracha e parafuso</v>
          </cell>
          <cell r="C340" t="str">
            <v>m2</v>
          </cell>
          <cell r="D340">
            <v>30.491099999999999</v>
          </cell>
        </row>
        <row r="341">
          <cell r="A341" t="str">
            <v>001.08.00330</v>
          </cell>
          <cell r="B341" t="str">
            <v>Fornecimento e Instalação de Cobertura com telha trapezoidal de aço pré-pintada eletrostaticamente em uma face, e=0,43 mm, inclinação 10%, fixada com hastes de ferro galvanizado tipo gancho, arruela de borracha e parafuso</v>
          </cell>
          <cell r="C341" t="str">
            <v>m2</v>
          </cell>
          <cell r="D341">
            <v>35.6661</v>
          </cell>
        </row>
        <row r="342">
          <cell r="A342" t="str">
            <v>001.08.00335</v>
          </cell>
          <cell r="B342" t="str">
            <v>Fornecimento e Instalação de Cobertura com telha trapezoidal de aço pré-pintada eletrostaticamente em duas faces, e=0,43 mm, inclinação 10%, fixada com hastes de ferro galvanizado tipo gancho, arruela de borracha e parafuso</v>
          </cell>
          <cell r="C342" t="str">
            <v>m2</v>
          </cell>
          <cell r="D342">
            <v>42.106099999999998</v>
          </cell>
        </row>
        <row r="343">
          <cell r="A343" t="str">
            <v>001.08.00401</v>
          </cell>
          <cell r="B343" t="str">
            <v>Execução de Cumeeira para telha de barro tipo francesa</v>
          </cell>
          <cell r="C343" t="str">
            <v>ML</v>
          </cell>
          <cell r="D343">
            <v>9.5657999999999994</v>
          </cell>
        </row>
        <row r="344">
          <cell r="A344" t="str">
            <v>001.08.00421</v>
          </cell>
          <cell r="B344" t="str">
            <v>Execução de Cumeeira para telha de barro tipo paulista ou colonial</v>
          </cell>
          <cell r="C344" t="str">
            <v>ML</v>
          </cell>
          <cell r="D344">
            <v>9.5657999999999994</v>
          </cell>
        </row>
        <row r="345">
          <cell r="A345" t="str">
            <v>001.08.00441</v>
          </cell>
          <cell r="B345" t="str">
            <v>Execução de Cumeeira para telha tipo romana</v>
          </cell>
          <cell r="C345" t="str">
            <v>ML</v>
          </cell>
          <cell r="D345">
            <v>8.9657999999999998</v>
          </cell>
        </row>
        <row r="346">
          <cell r="A346" t="str">
            <v>001.08.00561</v>
          </cell>
          <cell r="B346" t="str">
            <v>Fornecimento e Instalação de Cumeeira de cimento amianto normal p/telhas onduladas</v>
          </cell>
          <cell r="C346" t="str">
            <v>ML</v>
          </cell>
          <cell r="D346">
            <v>27.003799999999998</v>
          </cell>
        </row>
        <row r="347">
          <cell r="A347" t="str">
            <v>001.08.00581</v>
          </cell>
          <cell r="B347" t="str">
            <v>Fornecimento e Instalação de Cumeeira de cimento amianto universal p/telhas onduladas</v>
          </cell>
          <cell r="C347" t="str">
            <v>ML</v>
          </cell>
          <cell r="D347">
            <v>31.194800000000001</v>
          </cell>
        </row>
        <row r="348">
          <cell r="A348" t="str">
            <v>001.08.00601</v>
          </cell>
          <cell r="B348" t="str">
            <v>Fornecimento e Instalação de Cumeeira de cimento amianto para canalete 90</v>
          </cell>
          <cell r="C348" t="str">
            <v>ML</v>
          </cell>
          <cell r="D348">
            <v>30.819400000000002</v>
          </cell>
        </row>
        <row r="349">
          <cell r="A349" t="str">
            <v>001.08.00621</v>
          </cell>
          <cell r="B349" t="str">
            <v>Fornecimento e Instalação de Cumeeira de cimento amianto p/canalete 49</v>
          </cell>
          <cell r="C349" t="str">
            <v>ML</v>
          </cell>
          <cell r="D349">
            <v>30.819400000000002</v>
          </cell>
        </row>
        <row r="350">
          <cell r="A350" t="str">
            <v>001.08.00641</v>
          </cell>
          <cell r="B350" t="str">
            <v>Fornecimento e Instalação de Cumeeira de cimento amianto p/ telha vogatex</v>
          </cell>
          <cell r="C350" t="str">
            <v>ML</v>
          </cell>
          <cell r="D350">
            <v>7.2525000000000004</v>
          </cell>
        </row>
        <row r="351">
          <cell r="A351" t="str">
            <v>001.08.00661</v>
          </cell>
          <cell r="B351" t="str">
            <v>Fornecimento e Instalação de Tampão de cimento aminato para canalete 90 (723x215) mm</v>
          </cell>
          <cell r="C351" t="str">
            <v>UN</v>
          </cell>
          <cell r="D351">
            <v>20.029399999999999</v>
          </cell>
        </row>
        <row r="352">
          <cell r="A352" t="str">
            <v>001.08.00681</v>
          </cell>
          <cell r="B352" t="str">
            <v>Fornecimento e Instalação de Tampão de cimento amianto para cobertura c/canalete 49</v>
          </cell>
          <cell r="C352" t="str">
            <v>M2</v>
          </cell>
          <cell r="D352">
            <v>35.700200000000002</v>
          </cell>
        </row>
        <row r="353">
          <cell r="A353" t="str">
            <v>001.08.00701</v>
          </cell>
          <cell r="B353" t="str">
            <v>Fornecimento e Instalação de Tampão de cimento amianto para cobertura c/canalete 90</v>
          </cell>
          <cell r="C353" t="str">
            <v>M2</v>
          </cell>
          <cell r="D353">
            <v>51.2102</v>
          </cell>
        </row>
        <row r="354">
          <cell r="A354" t="str">
            <v>001.08.00800</v>
          </cell>
          <cell r="B354" t="str">
            <v>Fornecimento e Instalação de calha ou rufo na chapa n.26 com desenvolvimento de 25.00 cm</v>
          </cell>
          <cell r="C354" t="str">
            <v>ML</v>
          </cell>
          <cell r="D354">
            <v>12.5</v>
          </cell>
        </row>
        <row r="355">
          <cell r="A355" t="str">
            <v>001.08.00805</v>
          </cell>
          <cell r="B355" t="str">
            <v>Fornecimento e Instalação de calha ou rufo na chapa n.26 com desenvolvimento de 40.00 cm</v>
          </cell>
          <cell r="C355" t="str">
            <v>ML</v>
          </cell>
          <cell r="D355">
            <v>20</v>
          </cell>
        </row>
        <row r="356">
          <cell r="A356" t="str">
            <v>001.08.00810</v>
          </cell>
          <cell r="B356" t="str">
            <v>Fornecimento e Instalação de calha ou rufo na chapa n.24 com desenvolvimento de 25.00 cm</v>
          </cell>
          <cell r="C356" t="str">
            <v>ML</v>
          </cell>
          <cell r="D356">
            <v>13.75</v>
          </cell>
        </row>
        <row r="357">
          <cell r="A357" t="str">
            <v>001.08.00815</v>
          </cell>
          <cell r="B357" t="str">
            <v>Fornecimento e Instalação de calha ou rufo na chapa n.24 com desenvolvimento de 30.00 cm</v>
          </cell>
          <cell r="C357" t="str">
            <v>ML</v>
          </cell>
          <cell r="D357">
            <v>16.5</v>
          </cell>
        </row>
        <row r="358">
          <cell r="A358" t="str">
            <v>001.08.00820</v>
          </cell>
          <cell r="B358" t="str">
            <v>Fornecimento e Instalação de calha ou rufo na chapa n.24 com desenvolvimento de 50.00 cm</v>
          </cell>
          <cell r="C358" t="str">
            <v>ML</v>
          </cell>
          <cell r="D358">
            <v>27.5</v>
          </cell>
        </row>
        <row r="359">
          <cell r="A359" t="str">
            <v>001.08.00825</v>
          </cell>
          <cell r="B359" t="str">
            <v>Fornecimento e Instalação de calha ou rufo na chapa n.24 com desenvolvimento de 120.00 cm</v>
          </cell>
          <cell r="C359" t="str">
            <v>ML</v>
          </cell>
          <cell r="D359">
            <v>66</v>
          </cell>
        </row>
        <row r="360">
          <cell r="A360" t="str">
            <v>001.08.00830</v>
          </cell>
          <cell r="B360" t="str">
            <v>Fornecimento e Instalação de condutor na chapa n.26</v>
          </cell>
          <cell r="C360" t="str">
            <v>ML</v>
          </cell>
          <cell r="D360">
            <v>20</v>
          </cell>
        </row>
        <row r="361">
          <cell r="A361" t="str">
            <v>001.08.00835</v>
          </cell>
          <cell r="B361" t="str">
            <v>Fornecimento e Instalação de condutor na chapa n.24</v>
          </cell>
          <cell r="C361" t="str">
            <v>ML</v>
          </cell>
          <cell r="D361">
            <v>22</v>
          </cell>
        </row>
        <row r="362">
          <cell r="A362" t="str">
            <v>001.08.01181</v>
          </cell>
          <cell r="B362" t="str">
            <v>Fornecimento e Instalação de Cumeeira lisa de aluminio pré-pintada - perkron</v>
          </cell>
          <cell r="C362" t="str">
            <v>ML</v>
          </cell>
          <cell r="D362">
            <v>20.704000000000001</v>
          </cell>
        </row>
        <row r="363">
          <cell r="A363" t="str">
            <v>001.08.01261</v>
          </cell>
          <cell r="B363" t="str">
            <v>Fornecimento e Instalação de Tubo de pvc para águas pluviais inclusive braçadeira para fixação 100 mm</v>
          </cell>
          <cell r="C363" t="str">
            <v>ML</v>
          </cell>
          <cell r="D363">
            <v>12.404400000000001</v>
          </cell>
        </row>
        <row r="364">
          <cell r="A364" t="str">
            <v>001.08.01281</v>
          </cell>
          <cell r="B364" t="str">
            <v>Fornecimento e Instalação de Curva de pvc 90º diâm.100 mm</v>
          </cell>
          <cell r="C364" t="str">
            <v>un</v>
          </cell>
          <cell r="D364">
            <v>13.850899999999999</v>
          </cell>
        </row>
        <row r="365">
          <cell r="A365" t="str">
            <v>001.08.01301</v>
          </cell>
          <cell r="B365" t="str">
            <v>Fornecimento e Instalação de Ralo seco vertical em ferro fundido diâm.100 mm</v>
          </cell>
          <cell r="C365" t="str">
            <v>UN</v>
          </cell>
          <cell r="D365">
            <v>12.534800000000001</v>
          </cell>
        </row>
        <row r="366">
          <cell r="A366" t="str">
            <v>001.08.01361</v>
          </cell>
          <cell r="B366" t="str">
            <v>Fornecimento e instalação de Acabamento de beiral com tabua trabalhada, tratada e envernizada 1"""" x 10""""</v>
          </cell>
          <cell r="C366" t="str">
            <v>ML</v>
          </cell>
          <cell r="D366">
            <v>10.306100000000001</v>
          </cell>
        </row>
        <row r="367">
          <cell r="A367" t="str">
            <v>001.08.01381</v>
          </cell>
          <cell r="B367" t="str">
            <v>Execução de Reparo de cobertura -  emboçamento da última fiada de telhas cerâmicas, empregando argamassa mista de cimento, cal e areia no traço 1:2:8</v>
          </cell>
          <cell r="C367" t="str">
            <v>ML</v>
          </cell>
          <cell r="D367">
            <v>3.4887000000000001</v>
          </cell>
        </row>
        <row r="368">
          <cell r="A368" t="str">
            <v>001.08.01401</v>
          </cell>
          <cell r="B368" t="str">
            <v>Execução de Reparo de cobertura -  revisão de cobertura de telhas cerâmicas com tomada de  goteiras</v>
          </cell>
          <cell r="C368" t="str">
            <v>M2</v>
          </cell>
          <cell r="D368">
            <v>0.46110000000000001</v>
          </cell>
        </row>
        <row r="369">
          <cell r="A369" t="str">
            <v>001.08.01440</v>
          </cell>
          <cell r="B369" t="str">
            <v>Execução de Reparo de cobertura - substituição de ripa de peróba</v>
          </cell>
          <cell r="C369" t="str">
            <v>m2</v>
          </cell>
          <cell r="D369">
            <v>2.6128</v>
          </cell>
        </row>
        <row r="370">
          <cell r="A370" t="str">
            <v>001.08.01441</v>
          </cell>
          <cell r="B370" t="str">
            <v>Execução de Reparo de cobertura - substituição de caibros de peróba</v>
          </cell>
          <cell r="C370" t="str">
            <v>ML</v>
          </cell>
          <cell r="D370">
            <v>3.2985000000000002</v>
          </cell>
        </row>
        <row r="371">
          <cell r="A371" t="str">
            <v>001.08.01461</v>
          </cell>
          <cell r="B371" t="str">
            <v>Execução de Reparo de cobertura - substituição de vigas de peróba 6x12 cm</v>
          </cell>
          <cell r="C371" t="str">
            <v>ML</v>
          </cell>
          <cell r="D371">
            <v>9.8161000000000005</v>
          </cell>
        </row>
        <row r="372">
          <cell r="A372" t="str">
            <v>001.08.01481</v>
          </cell>
          <cell r="B372" t="str">
            <v>Execução de Reparo de cobertura - substituição de vigas de peróba 6x16 cm</v>
          </cell>
          <cell r="C372" t="str">
            <v>ML</v>
          </cell>
          <cell r="D372">
            <v>10.3172</v>
          </cell>
        </row>
        <row r="373">
          <cell r="A373" t="str">
            <v>001.08.01501</v>
          </cell>
          <cell r="B373" t="str">
            <v>Execução de Reparo de cobertura - substituição de telha cerâmica tipo francesa</v>
          </cell>
          <cell r="C373" t="str">
            <v>UN</v>
          </cell>
          <cell r="D373">
            <v>0.96889999999999998</v>
          </cell>
        </row>
        <row r="374">
          <cell r="A374" t="str">
            <v>001.08.01521</v>
          </cell>
          <cell r="B374" t="str">
            <v>Execução de Reparo de cobertura - substituição de telha cerâmica tipo colonial</v>
          </cell>
          <cell r="C374" t="str">
            <v>UN</v>
          </cell>
          <cell r="D374">
            <v>0.89890000000000003</v>
          </cell>
        </row>
        <row r="375">
          <cell r="A375" t="str">
            <v>001.08.01541</v>
          </cell>
          <cell r="B375" t="str">
            <v>Execução de Reparo de cobertura - substituição de telha cerâmica tipo plan</v>
          </cell>
          <cell r="C375" t="str">
            <v>UN</v>
          </cell>
          <cell r="D375">
            <v>0.76890000000000003</v>
          </cell>
        </row>
        <row r="376">
          <cell r="A376" t="str">
            <v>001.09</v>
          </cell>
          <cell r="B376" t="str">
            <v>ESQUADRIAS</v>
          </cell>
          <cell r="D376">
            <v>17702.920600000001</v>
          </cell>
        </row>
        <row r="377">
          <cell r="A377" t="str">
            <v>001.09.00020</v>
          </cell>
          <cell r="B377" t="str">
            <v>Fornecimento e Instalação de Porta metálica de abrir em chapa dobrada n 18</v>
          </cell>
          <cell r="C377" t="str">
            <v>M2</v>
          </cell>
          <cell r="D377">
            <v>248.29320000000001</v>
          </cell>
        </row>
        <row r="378">
          <cell r="A378" t="str">
            <v>001.09.00040</v>
          </cell>
          <cell r="B378" t="str">
            <v>Fornecimento e Instalação de Porta metálica de abrir em metalón</v>
          </cell>
          <cell r="C378" t="str">
            <v>M2</v>
          </cell>
          <cell r="D378">
            <v>148.44319999999999</v>
          </cell>
        </row>
        <row r="379">
          <cell r="A379" t="str">
            <v>001.09.00060</v>
          </cell>
          <cell r="B379" t="str">
            <v>Fornecimento e Instalação de Porta metálica de abrir em perfil metálico (cantoneiras e tees)</v>
          </cell>
          <cell r="C379" t="str">
            <v>M2</v>
          </cell>
          <cell r="D379">
            <v>161.44319999999999</v>
          </cell>
        </row>
        <row r="380">
          <cell r="A380" t="str">
            <v>001.09.00080</v>
          </cell>
          <cell r="B380" t="str">
            <v>Fornecimento e Instalação de Porta metálica de correr em chapa dobrada n 18</v>
          </cell>
          <cell r="C380" t="str">
            <v>M2</v>
          </cell>
          <cell r="D380">
            <v>161.44319999999999</v>
          </cell>
        </row>
        <row r="381">
          <cell r="A381" t="str">
            <v>001.09.00100</v>
          </cell>
          <cell r="B381" t="str">
            <v>Fornecimento e instalação de Porta metálica de correr em metalón</v>
          </cell>
          <cell r="C381" t="str">
            <v>M2</v>
          </cell>
          <cell r="D381">
            <v>183.44319999999999</v>
          </cell>
        </row>
        <row r="382">
          <cell r="A382" t="str">
            <v>001.09.00120</v>
          </cell>
          <cell r="B382" t="str">
            <v>Fornecimento e Instalação de Porta metálica de correr em perfil metálico (cantoneiras e tees)</v>
          </cell>
          <cell r="C382" t="str">
            <v>M2</v>
          </cell>
          <cell r="D382">
            <v>168.44319999999999</v>
          </cell>
        </row>
        <row r="383">
          <cell r="A383" t="str">
            <v>001.09.00140</v>
          </cell>
          <cell r="B383" t="str">
            <v>Fornecimento e Instalaçao de Porta metálica de de abrir em metalón com janela acoplada</v>
          </cell>
          <cell r="C383" t="str">
            <v>M2</v>
          </cell>
          <cell r="D383">
            <v>100.9432</v>
          </cell>
        </row>
        <row r="384">
          <cell r="A384" t="str">
            <v>001.09.00160</v>
          </cell>
          <cell r="B384" t="str">
            <v>Fornecimento e Instalação de Porta metálica de ( 2,00 x 2,60 ) m - 2 fls de abrir c/ vidro</v>
          </cell>
          <cell r="C384" t="str">
            <v>UN</v>
          </cell>
          <cell r="D384">
            <v>768.81600000000003</v>
          </cell>
        </row>
        <row r="385">
          <cell r="A385" t="str">
            <v>001.09.00180</v>
          </cell>
          <cell r="B385" t="str">
            <v>Porta metálica de enrolar em chapa de aço ondulada</v>
          </cell>
          <cell r="C385" t="str">
            <v>M2</v>
          </cell>
          <cell r="D385">
            <v>88.012</v>
          </cell>
        </row>
        <row r="386">
          <cell r="A386" t="str">
            <v>001.09.00200</v>
          </cell>
          <cell r="B386" t="str">
            <v>Janela metálica basculante em chapa dobrada n 18</v>
          </cell>
          <cell r="C386" t="str">
            <v>M2</v>
          </cell>
          <cell r="D386">
            <v>229.2216</v>
          </cell>
        </row>
        <row r="387">
          <cell r="A387" t="str">
            <v>001.09.00220</v>
          </cell>
          <cell r="B387" t="str">
            <v>Janela metálica basculante em metalón</v>
          </cell>
          <cell r="C387" t="str">
            <v>M2</v>
          </cell>
          <cell r="D387">
            <v>166.16159999999999</v>
          </cell>
        </row>
        <row r="388">
          <cell r="A388" t="str">
            <v>001.09.00240</v>
          </cell>
          <cell r="B388" t="str">
            <v>Janela metálica basculante em perfil metálico (cantoneiras e tees)</v>
          </cell>
          <cell r="C388" t="str">
            <v>M2</v>
          </cell>
          <cell r="D388">
            <v>166.16159999999999</v>
          </cell>
        </row>
        <row r="389">
          <cell r="A389" t="str">
            <v>001.09.00260</v>
          </cell>
          <cell r="B389" t="str">
            <v>Janela metálica de correr em chapa de aço  dobrada n 18</v>
          </cell>
          <cell r="C389" t="str">
            <v>M2</v>
          </cell>
          <cell r="D389">
            <v>194.2216</v>
          </cell>
        </row>
        <row r="390">
          <cell r="A390" t="str">
            <v>001.09.00280</v>
          </cell>
          <cell r="B390" t="str">
            <v>Janela metálica de correr em metalón</v>
          </cell>
          <cell r="C390" t="str">
            <v>M2</v>
          </cell>
          <cell r="D390">
            <v>156.9881</v>
          </cell>
        </row>
        <row r="391">
          <cell r="A391" t="str">
            <v>001.09.00300</v>
          </cell>
          <cell r="B391" t="str">
            <v>Janela metálica de correr em perfis metálicos (cantoneiras e tees)</v>
          </cell>
          <cell r="C391" t="str">
            <v>M2</v>
          </cell>
          <cell r="D391">
            <v>164.2216</v>
          </cell>
        </row>
        <row r="392">
          <cell r="A392" t="str">
            <v>001.09.00320</v>
          </cell>
          <cell r="B392" t="str">
            <v>Janela metálica maximar em chapa dobrada n 18</v>
          </cell>
          <cell r="C392" t="str">
            <v>M2</v>
          </cell>
          <cell r="D392">
            <v>171.9881</v>
          </cell>
        </row>
        <row r="393">
          <cell r="A393" t="str">
            <v>001.09.00340</v>
          </cell>
          <cell r="B393" t="str">
            <v>Janela metálica maximar em metalón</v>
          </cell>
          <cell r="C393" t="str">
            <v>M2</v>
          </cell>
          <cell r="D393">
            <v>171.9881</v>
          </cell>
        </row>
        <row r="394">
          <cell r="A394" t="str">
            <v>001.09.00360</v>
          </cell>
          <cell r="B394" t="str">
            <v>Janela metálica maximar em perfis metálicos (cantoneiras e tees)</v>
          </cell>
          <cell r="C394" t="str">
            <v>M2</v>
          </cell>
          <cell r="D394">
            <v>180.9881</v>
          </cell>
        </row>
        <row r="395">
          <cell r="A395" t="str">
            <v>001.09.00380</v>
          </cell>
          <cell r="B395" t="str">
            <v>Janela metálica veneziana em metalon</v>
          </cell>
          <cell r="C395" t="str">
            <v>M2</v>
          </cell>
          <cell r="D395">
            <v>141.9881</v>
          </cell>
        </row>
        <row r="396">
          <cell r="A396" t="str">
            <v>001.09.00400</v>
          </cell>
          <cell r="B396" t="str">
            <v>Janela metálica fixa para vidro em chapa dobrada</v>
          </cell>
          <cell r="C396" t="str">
            <v>M2</v>
          </cell>
          <cell r="D396">
            <v>196.9881</v>
          </cell>
        </row>
        <row r="397">
          <cell r="A397" t="str">
            <v>001.09.00440</v>
          </cell>
          <cell r="B397" t="str">
            <v>Janela metálica tipo grade de ferro de 1/2 pol. espaçados a cada 15 cm incl. tela de arame sobreposta, j3-120x50 cm</v>
          </cell>
          <cell r="C397" t="str">
            <v>UN</v>
          </cell>
          <cell r="D397">
            <v>253.99090000000001</v>
          </cell>
        </row>
        <row r="398">
          <cell r="A398" t="str">
            <v>001.09.00460</v>
          </cell>
          <cell r="B398" t="str">
            <v>Janela metálica de chapa dobrada n.18 tipo grade fixa inclusive ferragens e tela mosquiteiro</v>
          </cell>
          <cell r="C398" t="str">
            <v>M2</v>
          </cell>
          <cell r="D398">
            <v>141.7216</v>
          </cell>
        </row>
        <row r="399">
          <cell r="A399" t="str">
            <v>001.09.00480</v>
          </cell>
          <cell r="B399" t="str">
            <v>Janela metálica de correr em metalón com tela</v>
          </cell>
          <cell r="C399" t="str">
            <v>M2</v>
          </cell>
          <cell r="D399">
            <v>158.83240000000001</v>
          </cell>
        </row>
        <row r="400">
          <cell r="A400" t="str">
            <v>001.09.00500</v>
          </cell>
          <cell r="B400" t="str">
            <v>Portão metálico tipo grade em ferro de 1/2 pol espaçados a cada 15 cm conf. modelo, p5-90x210 cm</v>
          </cell>
          <cell r="C400" t="str">
            <v>UN</v>
          </cell>
          <cell r="D400">
            <v>327.63900000000001</v>
          </cell>
        </row>
        <row r="401">
          <cell r="A401" t="str">
            <v>001.09.00510</v>
          </cell>
          <cell r="B401" t="str">
            <v>Portão de Correr em Chapa Corrugada N.18, Conf. Det. SINFRA N.06</v>
          </cell>
          <cell r="C401" t="str">
            <v>m2</v>
          </cell>
          <cell r="D401">
            <v>210.41220000000001</v>
          </cell>
        </row>
        <row r="402">
          <cell r="A402" t="str">
            <v>001.09.00520</v>
          </cell>
          <cell r="B402" t="str">
            <v>Gradil  de ferro metalón 20x20 mm</v>
          </cell>
          <cell r="C402" t="str">
            <v>M2</v>
          </cell>
          <cell r="D402">
            <v>78.488200000000006</v>
          </cell>
        </row>
        <row r="403">
          <cell r="A403" t="str">
            <v>001.09.00530</v>
          </cell>
          <cell r="B403" t="str">
            <v>Fornecimento e Instalação de Gradil em Módulos Fixos, conf. det. SINFRA/ FEMA - Entrada do Parque Mãe Bonifácia</v>
          </cell>
          <cell r="C403" t="str">
            <v>ml</v>
          </cell>
          <cell r="D403">
            <v>233.9051</v>
          </cell>
        </row>
        <row r="404">
          <cell r="A404" t="str">
            <v>001.09.00540</v>
          </cell>
          <cell r="B404" t="str">
            <v>Portão de ferro metalon  30x20mm</v>
          </cell>
          <cell r="C404" t="str">
            <v>M2</v>
          </cell>
          <cell r="D404">
            <v>54.642400000000002</v>
          </cell>
        </row>
        <row r="405">
          <cell r="A405" t="str">
            <v>001.09.00560</v>
          </cell>
          <cell r="B405" t="str">
            <v>Grades de proteção - chapa 2 x 1 cm</v>
          </cell>
          <cell r="C405" t="str">
            <v>M2</v>
          </cell>
          <cell r="D405">
            <v>69.721599999999995</v>
          </cell>
        </row>
        <row r="406">
          <cell r="A406" t="str">
            <v>001.09.00580</v>
          </cell>
          <cell r="B406" t="str">
            <v>Portão metálico em chapa dobrada com fechamento em chapa lisa, inclusive ferragens</v>
          </cell>
          <cell r="C406" t="str">
            <v>M2</v>
          </cell>
          <cell r="D406">
            <v>88.421599999999998</v>
          </cell>
        </row>
        <row r="407">
          <cell r="A407" t="str">
            <v>001.09.00600</v>
          </cell>
          <cell r="B407" t="str">
            <v>Corrimão metálico de ferro ( 3 x 2 cm ) h=0,80m</v>
          </cell>
          <cell r="C407" t="str">
            <v>ML</v>
          </cell>
          <cell r="D407">
            <v>59.221600000000002</v>
          </cell>
        </row>
        <row r="408">
          <cell r="A408" t="str">
            <v>001.09.00620</v>
          </cell>
          <cell r="B408" t="str">
            <v>Portão metálico em chapa lisa vincada c/ requadro em perfil de ferro simples, inclusive ferragens e fechadura</v>
          </cell>
          <cell r="C408" t="str">
            <v>M2</v>
          </cell>
          <cell r="D408">
            <v>103.83240000000001</v>
          </cell>
        </row>
        <row r="409">
          <cell r="A409" t="str">
            <v>001.09.00640</v>
          </cell>
          <cell r="B409" t="str">
            <v>Alçapão metálico em chapa galvanizada</v>
          </cell>
          <cell r="C409" t="str">
            <v>M2</v>
          </cell>
          <cell r="D409">
            <v>248.29320000000001</v>
          </cell>
        </row>
        <row r="410">
          <cell r="A410" t="str">
            <v>001.09.00660</v>
          </cell>
          <cell r="B410" t="str">
            <v>Fornecimento e Instalação de Batente ou guarnição metálica para vão de ( 0,80 x 2,10 ) m</v>
          </cell>
          <cell r="C410" t="str">
            <v>UN</v>
          </cell>
          <cell r="D410">
            <v>61.488100000000003</v>
          </cell>
        </row>
        <row r="411">
          <cell r="A411" t="str">
            <v>001.09.00680</v>
          </cell>
          <cell r="B411" t="str">
            <v>Fornecimento e Instalação de Batente ou guarnição metálica para vão de ( 1,20 x 2,10 ) m</v>
          </cell>
          <cell r="C411" t="str">
            <v>UN</v>
          </cell>
          <cell r="D411">
            <v>66.370199999999997</v>
          </cell>
        </row>
        <row r="412">
          <cell r="A412" t="str">
            <v>001.09.00700</v>
          </cell>
          <cell r="B412" t="str">
            <v>Fornecimento e Instalação de Batente ou guarnição metálica para vão de ( 1,50 x 2,10 ) m</v>
          </cell>
          <cell r="C412" t="str">
            <v>UN</v>
          </cell>
          <cell r="D412">
            <v>70.2624</v>
          </cell>
        </row>
        <row r="413">
          <cell r="A413" t="str">
            <v>001.09.00720</v>
          </cell>
          <cell r="B413" t="str">
            <v>Fornecimento e Instalação de Batente ou guarnição metálica para vão de ( 1,80 x 2,10 ) m</v>
          </cell>
          <cell r="C413" t="str">
            <v>UN</v>
          </cell>
          <cell r="D413">
            <v>74.154600000000002</v>
          </cell>
        </row>
        <row r="414">
          <cell r="A414" t="str">
            <v>001.09.00740</v>
          </cell>
          <cell r="B414" t="str">
            <v>Fornecimento e Instalação de Porta  de ferro em perfil metálico - 0,80x2,10m - padrão comercial</v>
          </cell>
          <cell r="C414" t="str">
            <v>UN</v>
          </cell>
          <cell r="D414">
            <v>117.1932</v>
          </cell>
        </row>
        <row r="415">
          <cell r="A415" t="str">
            <v>001.09.00760</v>
          </cell>
          <cell r="B415" t="str">
            <v>Fornecimento e Instalação de Porta  de ferro em perfis metalicos - 0,70x2,10m - padrão comercial</v>
          </cell>
          <cell r="C415" t="str">
            <v>UN</v>
          </cell>
          <cell r="D415">
            <v>117.1932</v>
          </cell>
        </row>
        <row r="416">
          <cell r="A416" t="str">
            <v>001.09.00770</v>
          </cell>
          <cell r="B416" t="str">
            <v>Fornecimento e Instalação de Porta  de ferro em perfil metálico - 0,60x2,10m - padrão comercial</v>
          </cell>
          <cell r="C416" t="str">
            <v>un</v>
          </cell>
          <cell r="D416">
            <v>132.35319999999999</v>
          </cell>
        </row>
        <row r="417">
          <cell r="A417" t="str">
            <v>001.09.00780</v>
          </cell>
          <cell r="B417" t="str">
            <v>Fornecimento e Instalação de Porta de Ferro de Correr Em Perfil Metálico Tipo Mosaico Quadriculado, 4 Folhas, Dim. 2.00 x 2.13 Req. 13 Chapa 22 - Padrão Comercial</v>
          </cell>
          <cell r="C417" t="str">
            <v>m2</v>
          </cell>
          <cell r="D417">
            <v>241.3716</v>
          </cell>
        </row>
        <row r="418">
          <cell r="A418" t="str">
            <v>001.09.00790</v>
          </cell>
          <cell r="B418" t="str">
            <v>Fornecimento e Instalação de Porta de ferro tipo veneziana - 0,80x2,10m - padrão comercial</v>
          </cell>
          <cell r="C418" t="str">
            <v>un</v>
          </cell>
          <cell r="D418">
            <v>132.35319999999999</v>
          </cell>
        </row>
        <row r="419">
          <cell r="A419" t="str">
            <v>001.09.00800</v>
          </cell>
          <cell r="B419" t="str">
            <v>Fornecimento e Instalação de Porta de ferro tipo veneziana - 0,70x2,10m - padrão comercial</v>
          </cell>
          <cell r="C419" t="str">
            <v>UN</v>
          </cell>
          <cell r="D419">
            <v>132.35319999999999</v>
          </cell>
        </row>
        <row r="420">
          <cell r="A420" t="str">
            <v>001.09.00805</v>
          </cell>
          <cell r="B420" t="str">
            <v>Fornecimento e Instalação de Porta de ferro tipo veneziana - 0,60x2,10m - padrão comercial</v>
          </cell>
          <cell r="C420" t="str">
            <v>un</v>
          </cell>
          <cell r="D420">
            <v>132.35319999999999</v>
          </cell>
        </row>
        <row r="421">
          <cell r="A421" t="str">
            <v>001.09.00820</v>
          </cell>
          <cell r="B421" t="str">
            <v>Fornecimento e Instalação de Janela de ferro em perfis metálicos - basculante com grade - padrão comercial</v>
          </cell>
          <cell r="C421" t="str">
            <v>M2</v>
          </cell>
          <cell r="D421">
            <v>229.2216</v>
          </cell>
        </row>
        <row r="422">
          <cell r="A422" t="str">
            <v>001.09.00825</v>
          </cell>
          <cell r="B422" t="str">
            <v>Fornecimento e Instalação de Janela Tipo Vitro Basculante com Grade Xadrez 0.40 x 0.40 cm, batente e = 12 cm chapa 22 - Padrão Comercial</v>
          </cell>
          <cell r="C422" t="str">
            <v>m2</v>
          </cell>
          <cell r="D422">
            <v>166.3862</v>
          </cell>
        </row>
        <row r="423">
          <cell r="A423" t="str">
            <v>001.09.00826</v>
          </cell>
          <cell r="B423" t="str">
            <v>Fornecimento e Instalação de Janela Tipo Vitro Basculante com Grade Xadrez 0.40 x 0.60 cm Batente e = 12 cm Chapa 22 - Padrão Comercial</v>
          </cell>
          <cell r="C423" t="str">
            <v>m2</v>
          </cell>
          <cell r="D423">
            <v>166.3862</v>
          </cell>
        </row>
        <row r="424">
          <cell r="A424" t="str">
            <v>001.09.00830</v>
          </cell>
          <cell r="B424" t="str">
            <v>Fornecimento e Instalação de Janela Tipo Vitro Maxim-ar 1.00 x 0.60 m c/ Grade Xadrez, Batente E = 12 cm, Chapa 22  - Padrão Comercial</v>
          </cell>
          <cell r="C424" t="str">
            <v>m2</v>
          </cell>
          <cell r="D424">
            <v>214.61619999999999</v>
          </cell>
        </row>
        <row r="425">
          <cell r="A425" t="str">
            <v>001.09.00840</v>
          </cell>
          <cell r="B425" t="str">
            <v>Fornecimento e Instalação de Janela de ferro em perfis metálicos - de correr com grade  - padrão comercial</v>
          </cell>
          <cell r="C425" t="str">
            <v>m2</v>
          </cell>
          <cell r="D425">
            <v>156.9881</v>
          </cell>
        </row>
        <row r="426">
          <cell r="A426" t="str">
            <v>001.09.00845</v>
          </cell>
          <cell r="B426" t="str">
            <v>Fornecimento e Instalação de Janela Tipo Vitro de Correr com Caixilho Fixo 1.20 x 1.00 m c/ Grade, Batente E = 12 cm, Chapa 22 4 Folhas - Padrão Comercial</v>
          </cell>
          <cell r="C426" t="str">
            <v>m2</v>
          </cell>
          <cell r="D426">
            <v>128.71619999999999</v>
          </cell>
        </row>
        <row r="427">
          <cell r="A427" t="str">
            <v>001.09.00846</v>
          </cell>
          <cell r="B427" t="str">
            <v>Fornecimento e Instalação de Janela Tipo Vitro de Correr com Caixilho Fixo 1.50 x 1.00 m c/ Grade, Batente E = 12 cm, Chapa 22 4 Folhas - Padrão Comercial</v>
          </cell>
          <cell r="C427" t="str">
            <v>m2</v>
          </cell>
          <cell r="D427">
            <v>118.58620000000001</v>
          </cell>
        </row>
        <row r="428">
          <cell r="A428" t="str">
            <v>001.09.00848</v>
          </cell>
          <cell r="B428" t="str">
            <v>Fornecimento e Instalação de Janela Tipo Vitro de Correr com Caixilho Fixo 2.00 x 1.00 m s/ Grade, Batente e= 12 cm Chapa 22, 4 Folhas - Padrão Comercial</v>
          </cell>
          <cell r="C428" t="str">
            <v>m2</v>
          </cell>
          <cell r="D428">
            <v>113.1362</v>
          </cell>
        </row>
        <row r="429">
          <cell r="A429" t="str">
            <v>001.09.00850</v>
          </cell>
          <cell r="B429" t="str">
            <v>Fornecimento e Instalação de Janela Tipo Vitro de Correr com Caixilho Fixo 1.50 x 1.20 m c/ Grade, Batente E = 12 cm, Chapa 22 4 Folhas - Padrão Comercial</v>
          </cell>
          <cell r="C429" t="str">
            <v>m2</v>
          </cell>
          <cell r="D429">
            <v>110.7362</v>
          </cell>
        </row>
        <row r="430">
          <cell r="A430" t="str">
            <v>001.09.00860</v>
          </cell>
          <cell r="B430" t="str">
            <v>Fornecimento e Instalação de Janela metálica tipo veneziana de correr com grade - padrão comercial</v>
          </cell>
          <cell r="C430" t="str">
            <v>m2</v>
          </cell>
          <cell r="D430">
            <v>156.9881</v>
          </cell>
        </row>
        <row r="431">
          <cell r="A431" t="str">
            <v>001.09.00900</v>
          </cell>
          <cell r="B431" t="str">
            <v>Fornecimento e Instalação de Porta Padrão Popular (sem defeitos), Tipo Solidor, Dimensão 60 x 210 cm, incl. Portal de Cedrinho Fixado Com Espuma de Poliuretano, Alisar de Cedrinho, Dobradiça de Ferro Zincado 31/2"" x 21/2"",</v>
          </cell>
          <cell r="C431" t="str">
            <v>CJ</v>
          </cell>
          <cell r="D431">
            <v>112.01260000000001</v>
          </cell>
        </row>
        <row r="432">
          <cell r="A432" t="str">
            <v>001.09.00920</v>
          </cell>
          <cell r="B432" t="str">
            <v>Fornecimento e Instalação de Porta Padrão Popular (sem defeitos), Tipo Solidor, Dimensão 70 x 210 cm, incl. Portal de Cedrinho Fixado Com Espuma de Poliuretano, Alisar de Cedrinho, Dobradiça de Ferro Zincado 31/2"" x 21/2"",</v>
          </cell>
          <cell r="C432" t="str">
            <v>CJ</v>
          </cell>
          <cell r="D432">
            <v>112.01260000000001</v>
          </cell>
        </row>
        <row r="433">
          <cell r="A433" t="str">
            <v>001.09.00940</v>
          </cell>
          <cell r="B433" t="str">
            <v>Fornecimento e Instalação de Porta Padrão Popular (sem defeitos), Tipo Solidor, Dimensão 80 x 210 cm, incl. Portal de Cedrinho Fixado Com Espuma de Poliuretano, Alisar de Cedrinho, Dobradiça de Ferro Zincado 31/2"" x 21/2"",</v>
          </cell>
          <cell r="C433" t="str">
            <v>CJ</v>
          </cell>
          <cell r="D433">
            <v>112.01260000000001</v>
          </cell>
        </row>
        <row r="434">
          <cell r="A434" t="str">
            <v>001.09.00960</v>
          </cell>
          <cell r="B434" t="str">
            <v>Fornecimento e Instalação de Porta Tipo Solidor, Angelim, Prensada, Semi Oca, Laminada Para Pintura, Dim. 60 x 210 cm, incl. Portal de Angelim e=3.50cm, Fixado C/ Espuma de Poliuretano, Alisar de Angelim l=6.00cm, Dobradiça de Ferro Niquel. 31/2"" x 21/</v>
          </cell>
          <cell r="C434" t="str">
            <v>CJ</v>
          </cell>
          <cell r="D434">
            <v>205.89259999999999</v>
          </cell>
        </row>
        <row r="435">
          <cell r="A435" t="str">
            <v>001.09.00980</v>
          </cell>
          <cell r="B435" t="str">
            <v>Fornecimento e Instalação de Porta Tipo Solidor, Angelim, Prensada, Semi Oca, Laminada Para Pintura, Dim. 60 x 210 cm, incl. Portal de Angelim e=3.50cm, Fixado C/ Espuma de Poliuretano, Alisar de Angelim l=6.00cm, Dobradiça de Ferro Niquel. 31/2"" x 21/</v>
          </cell>
          <cell r="C435" t="str">
            <v>CJ</v>
          </cell>
          <cell r="D435">
            <v>205.89259999999999</v>
          </cell>
        </row>
        <row r="436">
          <cell r="A436" t="str">
            <v>001.09.01000</v>
          </cell>
          <cell r="B436" t="str">
            <v>Fornecimento e Instalação de Porta Tipo Solidor, Angelim, Prensada, Semi Oca, Laminada Para Pintura, Dim. 60 x 210 cm, incl. Portal de Angelim e=3.50cm, Fixado C/ Espuma de Poliuretano, Alisar de Angelim l=6.00cm, Dobradiça de Ferro Niquel. 31/2"" x 21/</v>
          </cell>
          <cell r="C436" t="str">
            <v>CJ</v>
          </cell>
          <cell r="D436">
            <v>205.89259999999999</v>
          </cell>
        </row>
        <row r="437">
          <cell r="A437" t="str">
            <v>001.09.01010</v>
          </cell>
          <cell r="B437" t="str">
            <v>Fornecimento e Instalação de Porta Tipo Solidor, Angelim, Prensada, Semi Oca, Laminada Para Pintura, Dim. 90 x 210 cm, incl. Portal de Angelim e=3.50cm, Fixado C/ Espuma de Poliuretano, Alisar de Angelim l=6.00cm, Dobradiça de Ferro Niquel. 31/2"" x 21/</v>
          </cell>
          <cell r="C437" t="str">
            <v>CJ</v>
          </cell>
          <cell r="D437">
            <v>205.89259999999999</v>
          </cell>
        </row>
        <row r="438">
          <cell r="A438" t="str">
            <v>001.09.01020</v>
          </cell>
          <cell r="B438" t="str">
            <v>Fornecimento e Instalação de Porta Tipo Solidor, Angelim, Prensada, Encabeçada,Semi Oca, Laminada Para Envernizamento, Dim. 60 x 210 cm, incl. Portal de Angelim e=3.50cm, Fixado C/ Espuma de Poliuretano, Alisar de Angelim l=6.00cm, Dobradiça 31/2""x21/2</v>
          </cell>
          <cell r="C438" t="str">
            <v>CJ</v>
          </cell>
          <cell r="D438">
            <v>230.9126</v>
          </cell>
        </row>
        <row r="439">
          <cell r="A439" t="str">
            <v>001.09.01040</v>
          </cell>
          <cell r="B439" t="str">
            <v>Fornecimento e Instalação de Porta Tipo Solidor, Angelim, Prensada, Encabeçada,Semi Oca, Laminada Para Envernizamento, Dim. 70 x 210 cm, incl. Portal de Angelim e=3.50cm, Fixado C/ Espuma de Poliuretano, Alisar de Angelim l=6.00cm, Dobradiça 31/2""x21/2</v>
          </cell>
          <cell r="C439" t="str">
            <v>CJ</v>
          </cell>
          <cell r="D439">
            <v>230.9126</v>
          </cell>
        </row>
        <row r="440">
          <cell r="A440" t="str">
            <v>001.09.01060</v>
          </cell>
          <cell r="B440" t="str">
            <v>Fornecimento e Instalação de Porta Tipo Solidor, Angelim, Prensada, Encabeçada,Semi Oca, Laminada Para Envernizamento, Dim. 80 x 210 cm, incl. Portal de Angelim e=3.50cm, Fixado C/ Espuma de Poliuretano, Alisar de Angelim l=6.00cm, Dobradiça 31/2""x21/2</v>
          </cell>
          <cell r="C440" t="str">
            <v>CJ</v>
          </cell>
          <cell r="D440">
            <v>230.9126</v>
          </cell>
        </row>
        <row r="441">
          <cell r="A441" t="str">
            <v>001.09.01070</v>
          </cell>
          <cell r="B441" t="str">
            <v>Fornecimento e Instalação de Porta Tipo Solidor, Angelim, Prensada, Encabeçada,Semi Oca, Laminada Para Envernizamento, Dim. 90 x 210 cm, incl. Portal de Angelim e=3.50cm, Fixado C/ Espuma de Poliuretano, Alisar de Angelim l=6.00cm, Dobradiça 31/2""x21/2</v>
          </cell>
          <cell r="C441" t="str">
            <v>CJ</v>
          </cell>
          <cell r="D441">
            <v>230.9126</v>
          </cell>
        </row>
        <row r="442">
          <cell r="A442" t="str">
            <v>001.09.01080</v>
          </cell>
          <cell r="B442" t="str">
            <v>Fornecimento e Instalação de Porta Tipo Solidor,Itaúba, Prensada, Encabeçada,Semi Oca, Laminada Para Envernizamento, Dim. 60 x 210 cm, incl. Portal de Itaúba e=3.50cm, Fixado C/ Espuma de Poliuretano, Alisar de Itaúba l=6.00cm, Dobradiça de 31/2""x21/2</v>
          </cell>
          <cell r="C442" t="str">
            <v>CJ</v>
          </cell>
          <cell r="D442">
            <v>237.99260000000001</v>
          </cell>
        </row>
        <row r="443">
          <cell r="A443" t="str">
            <v>001.09.01100</v>
          </cell>
          <cell r="B443" t="str">
            <v>Fornecimento e Instalação de Porta Tipo Solidor,Itaúba, Prensada, Encabeçada,Semi Oca, Laminada Para Envernizamento, Dim. 70 x 210 cm, incl. Portal de Itaúba e=3.50cm, Fixado C/ Espuma de Poliuretano, Alisar de Itaúba l=6.00cm, Dobradiça de 31/2""x21/2"</v>
          </cell>
          <cell r="C443" t="str">
            <v>CJ</v>
          </cell>
          <cell r="D443">
            <v>237.99260000000001</v>
          </cell>
        </row>
        <row r="444">
          <cell r="A444" t="str">
            <v>001.09.01120</v>
          </cell>
          <cell r="B444" t="str">
            <v>Fornecimento e Instalação de Porta Tipo Solidor,Itaúba, Prensada, Encabeçada,Semi Oca, Laminada Para Envernizamento, Dim. 80 x 210 cm, incl. Portal de Itaúba e=3.50cm, Fixado C/ Espuma de Poliuretano, Alisar de Itaúba l=6.00cm, Dobradiça de 31/2""x21/2"</v>
          </cell>
          <cell r="C444" t="str">
            <v>CJ</v>
          </cell>
          <cell r="D444">
            <v>226.30260000000001</v>
          </cell>
        </row>
        <row r="445">
          <cell r="A445" t="str">
            <v>001.09.01130</v>
          </cell>
          <cell r="B445" t="str">
            <v>Fornecimento e Instalação de Porta Tipo Solidor,Itaúba, Prensada, Encabeçada,Semi Oca, Laminada Para Envernizamento, Dim. 90 x 210 cm, incl. Portal de Itaúba e=3.50cm, Fixado C/ Espuma de Poliuretano, Alisar de Itaúba l=6.00cm, Dobradiça de 31/2""x21/2"</v>
          </cell>
          <cell r="C445" t="str">
            <v>CJ</v>
          </cell>
          <cell r="D445">
            <v>226.30260000000001</v>
          </cell>
        </row>
        <row r="446">
          <cell r="A446" t="str">
            <v>001.09.01290</v>
          </cell>
          <cell r="B446" t="str">
            <v>Fornecimento e Instalação de Porta Tipo Solidor, Angelim, Prensada, Semi Oca, Laminada e Formicada TX PP30 0.8 mm, Dim. 60 x 210 cm, incl. Portal de Angelim e=3.50cm, Fix. Espuma de Poliur., Alisar de Angelim l=6.00cm, Dobr. de Ferro Niquel. 31/2"" x 21</v>
          </cell>
          <cell r="C446" t="str">
            <v>un</v>
          </cell>
          <cell r="D446">
            <v>308.86610000000002</v>
          </cell>
        </row>
        <row r="447">
          <cell r="A447" t="str">
            <v>001.09.01291</v>
          </cell>
          <cell r="B447" t="str">
            <v>Fornecimento e Instalação de Porta Tipo Solidor, Angelim, Prensada, Semi Oca, Laminada e Formicada TX PP30 0.8 mm, Dim. 70 x 210 cm, incl. Portal de Angelim e=3.50cm, Fix. Espuma de Poliur., Alisar de Angelim l=6.00cm, Dobr. de Ferro Niquel. 31/2"" x 21</v>
          </cell>
          <cell r="C447" t="str">
            <v>un</v>
          </cell>
          <cell r="D447">
            <v>332.24610000000001</v>
          </cell>
        </row>
        <row r="448">
          <cell r="A448" t="str">
            <v>001.09.01292</v>
          </cell>
          <cell r="B448" t="str">
            <v>Fornecimento e Instalação de Porta Tipo Solidor, Angelim, Prensada, Semi Oca, Laminada e Formicada TX PP30 0.8 mm, Dim. 80 x 210 cm, incl. Portal de Angelim e=3.50cm, Fix. Espuma de Poliur., Alisar de Angelim l=6.00cm, Dobr. de Ferro Niquel. 31/2"" x 21</v>
          </cell>
          <cell r="C448" t="str">
            <v>un</v>
          </cell>
          <cell r="D448">
            <v>332.24610000000001</v>
          </cell>
        </row>
        <row r="449">
          <cell r="A449" t="str">
            <v>001.09.01293</v>
          </cell>
          <cell r="B449" t="str">
            <v>Fornecimento e Instalação de Porta Tipo Solidor, Angelim, Prensada, Semi Oca, Laminada e Formicada TX PP30 0.8 mm, Dim. 90 x 210 cm, incl. Portal de Angelim e=3.50cm, Fix. Espuma de Poliur., Alisar de Angelim l=6.00cm, Dobr. de Ferro Niquel. 31/2"" x 21</v>
          </cell>
          <cell r="C449" t="str">
            <v>un</v>
          </cell>
          <cell r="D449">
            <v>332.24610000000001</v>
          </cell>
        </row>
        <row r="450">
          <cell r="A450" t="str">
            <v>001.09.01420</v>
          </cell>
          <cell r="B450" t="str">
            <v>Fechadura c/ chave central, maçaneta tipo copo, conjunto completo p/portas de entrada</v>
          </cell>
          <cell r="C450" t="str">
            <v>UN</v>
          </cell>
          <cell r="D450">
            <v>23.020199999999999</v>
          </cell>
        </row>
        <row r="451">
          <cell r="A451" t="str">
            <v>001.09.01440</v>
          </cell>
          <cell r="B451" t="str">
            <v>Fechadura c/ chave central, maçaneta tipo copo, conjunto completo p/portas de comunicacao</v>
          </cell>
          <cell r="C451" t="str">
            <v>UN</v>
          </cell>
          <cell r="D451">
            <v>18.860199999999999</v>
          </cell>
        </row>
        <row r="452">
          <cell r="A452" t="str">
            <v>001.09.01460</v>
          </cell>
          <cell r="B452" t="str">
            <v>Fechadura c/ chave central, maçaneta tipo copo, conjunto completo p/portas de banheiro</v>
          </cell>
          <cell r="C452" t="str">
            <v>UN</v>
          </cell>
          <cell r="D452">
            <v>18.860199999999999</v>
          </cell>
        </row>
        <row r="453">
          <cell r="A453" t="str">
            <v>001.09.02300</v>
          </cell>
          <cell r="B453" t="str">
            <v>Tela metálica tipo mosquiteiro fixado em ferro cantoneira de abas iguais de 1/2""""x1/8""""</v>
          </cell>
          <cell r="C453" t="str">
            <v>M2</v>
          </cell>
          <cell r="D453">
            <v>33.885399999999997</v>
          </cell>
        </row>
        <row r="454">
          <cell r="A454" t="str">
            <v>001.09.02320</v>
          </cell>
          <cell r="B454" t="str">
            <v>Tela metálica tipo mosquiteiro fixado em ferro cantoneira de abas iguais de 1""""x3/16""""</v>
          </cell>
          <cell r="C454" t="str">
            <v>M2</v>
          </cell>
          <cell r="D454">
            <v>59.985399999999998</v>
          </cell>
        </row>
        <row r="455">
          <cell r="A455" t="str">
            <v>001.09.02325</v>
          </cell>
          <cell r="B455" t="str">
            <v>Fornecimento e Instalação de Chapa de Ferro Preta Lisa e= 3 mm Conf. Det. 26 A SEJUSP</v>
          </cell>
          <cell r="C455" t="str">
            <v>m2</v>
          </cell>
          <cell r="D455">
            <v>128.08510000000001</v>
          </cell>
        </row>
        <row r="456">
          <cell r="A456" t="str">
            <v>001.09.02327</v>
          </cell>
          <cell r="B456" t="str">
            <v>Fornecimento e Instalação de Chapa de Ferro Preta Lisa e= 8 mm Conf. Det. 26 C SEJUSP</v>
          </cell>
          <cell r="C456" t="str">
            <v>m2</v>
          </cell>
          <cell r="D456">
            <v>339.98250000000002</v>
          </cell>
        </row>
        <row r="457">
          <cell r="A457" t="str">
            <v>001.09.02330</v>
          </cell>
          <cell r="B457" t="str">
            <v>Fornecimento e Instalação de Porta Para Cadeia ou Presídio 0.80 x 2.10 em grade 7/8"" e barra chata 1 1/2"" x 5/16"" Conf. Det. 05 SINFRA</v>
          </cell>
          <cell r="C457" t="str">
            <v>m2</v>
          </cell>
          <cell r="D457">
            <v>227.84440000000001</v>
          </cell>
        </row>
        <row r="458">
          <cell r="A458" t="str">
            <v>001.09.02335</v>
          </cell>
          <cell r="B458" t="str">
            <v>Fornecimento e Instalação de Porta Metálica C/ Passa Prato Conf. Det. 05 SEJUSP</v>
          </cell>
          <cell r="C458" t="str">
            <v>m2</v>
          </cell>
          <cell r="D458">
            <v>356.19459999999998</v>
          </cell>
        </row>
        <row r="459">
          <cell r="A459" t="str">
            <v>001.09.02336</v>
          </cell>
          <cell r="B459" t="str">
            <v>Fornecimento e Instalação de Porta Metálica S/ Passa Prato Conf. Det. 05 A SEJUSP</v>
          </cell>
          <cell r="C459" t="str">
            <v>m2</v>
          </cell>
          <cell r="D459">
            <v>278.31799999999998</v>
          </cell>
        </row>
        <row r="460">
          <cell r="A460" t="str">
            <v>001.09.02337</v>
          </cell>
          <cell r="B460" t="str">
            <v>Fornecimento e Instalação de Porta Metálica C/ Chapa Metálica Sobre Toda a Porta Conf. Det. 05 B  SEJUSP</v>
          </cell>
          <cell r="C460" t="str">
            <v>m2</v>
          </cell>
          <cell r="D460">
            <v>426.10849999999999</v>
          </cell>
        </row>
        <row r="461">
          <cell r="A461" t="str">
            <v>001.09.02338</v>
          </cell>
          <cell r="B461" t="str">
            <v>Fornecimento e Instalação de Conjunto de Grade Conf. Det. 08 SEJUSP</v>
          </cell>
          <cell r="C461" t="str">
            <v>m2</v>
          </cell>
          <cell r="D461">
            <v>130.26499999999999</v>
          </cell>
        </row>
        <row r="462">
          <cell r="A462" t="str">
            <v>001.09.02340</v>
          </cell>
          <cell r="B462" t="str">
            <v>Fornecimento e Instalação de Grade Metálica Conf. Det. 09 A SEJUSP</v>
          </cell>
          <cell r="C462" t="str">
            <v>m2</v>
          </cell>
          <cell r="D462">
            <v>191.0461</v>
          </cell>
        </row>
        <row r="463">
          <cell r="A463" t="str">
            <v>001.09.02345</v>
          </cell>
          <cell r="B463" t="str">
            <v>Fornecimento e Instalação de Porta Metálica C/ Chapa Metálica Sobre Toda a Porta Conf. Det. 23  SEJUSP</v>
          </cell>
          <cell r="C463" t="str">
            <v>m2</v>
          </cell>
          <cell r="D463">
            <v>380.67520000000002</v>
          </cell>
        </row>
        <row r="464">
          <cell r="A464" t="str">
            <v>001.09.02346</v>
          </cell>
          <cell r="B464" t="str">
            <v>Fornecimento e Instalação de Porta Metálica S/ Chapa Metálica Conf. Det. 23 A  SEJUSP</v>
          </cell>
          <cell r="C464" t="str">
            <v>m2</v>
          </cell>
          <cell r="D464">
            <v>297.05579999999998</v>
          </cell>
        </row>
        <row r="465">
          <cell r="A465" t="str">
            <v>001.09.02350</v>
          </cell>
          <cell r="B465" t="str">
            <v>Fornecimento e Instalação de Visor Conf. Det. 30 SEJUSP</v>
          </cell>
          <cell r="C465" t="str">
            <v>un</v>
          </cell>
          <cell r="D465">
            <v>210.67439999999999</v>
          </cell>
        </row>
        <row r="466">
          <cell r="A466" t="str">
            <v>001.09.02360</v>
          </cell>
          <cell r="B466" t="str">
            <v>Fornecimento e Instalação de Tranca Tipo Comum Conf. Det. 41 SEJUSP</v>
          </cell>
          <cell r="C466" t="str">
            <v>un</v>
          </cell>
          <cell r="D466">
            <v>122.6871</v>
          </cell>
        </row>
        <row r="467">
          <cell r="A467" t="str">
            <v>001.09.02365</v>
          </cell>
          <cell r="B467" t="str">
            <v>Fornecimento e Instalação de Grade Metálica Conf. Det. 45 B SEJUSP</v>
          </cell>
          <cell r="C467" t="str">
            <v>m2</v>
          </cell>
          <cell r="D467">
            <v>246.3074</v>
          </cell>
        </row>
        <row r="468">
          <cell r="A468" t="str">
            <v>001.09.02370</v>
          </cell>
          <cell r="B468" t="str">
            <v>Batente de madeira 15 x 15 cm para porta e janela</v>
          </cell>
          <cell r="C468" t="str">
            <v>m</v>
          </cell>
          <cell r="D468">
            <v>20.7333</v>
          </cell>
        </row>
        <row r="469">
          <cell r="A469" t="str">
            <v>001.09.02380</v>
          </cell>
          <cell r="B469" t="str">
            <v>Batente de madeira 3,5 x 14,5 cm para portas e janelas</v>
          </cell>
          <cell r="C469" t="str">
            <v>M</v>
          </cell>
          <cell r="D469">
            <v>8.0296000000000003</v>
          </cell>
        </row>
        <row r="470">
          <cell r="A470" t="str">
            <v>001.09.02400</v>
          </cell>
          <cell r="B470" t="str">
            <v>Reparo em esquadria - substituição de folhas de porta/janelas de madeira tipo almofadada</v>
          </cell>
          <cell r="C470" t="str">
            <v>M2</v>
          </cell>
          <cell r="D470">
            <v>42.630299999999998</v>
          </cell>
        </row>
        <row r="471">
          <cell r="A471" t="str">
            <v>001.09.02420</v>
          </cell>
          <cell r="B471" t="str">
            <v>Reparo em esquadria - substituição de batente de madeira</v>
          </cell>
          <cell r="C471" t="str">
            <v>M</v>
          </cell>
          <cell r="D471">
            <v>17.7865</v>
          </cell>
        </row>
        <row r="472">
          <cell r="A472" t="str">
            <v>001.09.02440</v>
          </cell>
          <cell r="B472" t="str">
            <v>Reparo em esquadria - substituição de folha de porta de madeira tipo solidor, inclusive dobradiças, -(0,60x1,80)m</v>
          </cell>
          <cell r="C472" t="str">
            <v>UN</v>
          </cell>
          <cell r="D472">
            <v>50.916499999999999</v>
          </cell>
        </row>
        <row r="473">
          <cell r="A473" t="str">
            <v>001.09.02460</v>
          </cell>
          <cell r="B473" t="str">
            <v>Reparo em esquadria - substituição de folha de porta de madeira tipo solidor, inclusive dobradiças, -(0,60x2,10)m</v>
          </cell>
          <cell r="C473" t="str">
            <v>UN</v>
          </cell>
          <cell r="D473">
            <v>54.606499999999997</v>
          </cell>
        </row>
        <row r="474">
          <cell r="A474" t="str">
            <v>001.09.02480</v>
          </cell>
          <cell r="B474" t="str">
            <v>Reparo em esquadria - substituição de folha de porta de madeira tipo solidor, inclusive dobradiças, -(0,70x2,10)m</v>
          </cell>
          <cell r="C474" t="str">
            <v>UN</v>
          </cell>
          <cell r="D474">
            <v>54.606499999999997</v>
          </cell>
        </row>
        <row r="475">
          <cell r="A475" t="str">
            <v>001.09.02500</v>
          </cell>
          <cell r="B475" t="str">
            <v>Reparo em esquadria - substituição de folha de porta de madeira tipo solidor, inclusive dobradiças, -(0,80x2,10)m</v>
          </cell>
          <cell r="C475" t="str">
            <v>UN</v>
          </cell>
          <cell r="D475">
            <v>54.606499999999997</v>
          </cell>
        </row>
        <row r="476">
          <cell r="A476" t="str">
            <v>001.09.02520</v>
          </cell>
          <cell r="B476" t="str">
            <v>Reparo em esquadria - substituição de folha de porta de madeira tipo solidor, inclusive dobradiças, -(0,90x2,10)m</v>
          </cell>
          <cell r="C476" t="str">
            <v>UN</v>
          </cell>
          <cell r="D476">
            <v>92.606499999999997</v>
          </cell>
        </row>
        <row r="477">
          <cell r="A477" t="str">
            <v>001.09.02540</v>
          </cell>
          <cell r="B477" t="str">
            <v>Reparo em esquadria - substituição de folha de madeira almofadada, inclusive dobradiças-(0,60x2,10)m</v>
          </cell>
          <cell r="C477" t="str">
            <v>UN</v>
          </cell>
          <cell r="D477">
            <v>73.606499999999997</v>
          </cell>
        </row>
        <row r="478">
          <cell r="A478" t="str">
            <v>001.09.02560</v>
          </cell>
          <cell r="B478" t="str">
            <v>Reparo em esquadria - substituição de folha de madeira almofadada, inclusive dobradiças-(0,70x2,10)m</v>
          </cell>
          <cell r="C478" t="str">
            <v>UN</v>
          </cell>
          <cell r="D478">
            <v>73.606499999999997</v>
          </cell>
        </row>
        <row r="479">
          <cell r="A479" t="str">
            <v>001.09.02580</v>
          </cell>
          <cell r="B479" t="str">
            <v>Reparo em esquadria - substituição de folha de madeira almofadada, inclusive dobradiças-(0,80x2,10)m</v>
          </cell>
          <cell r="C479" t="str">
            <v>UN</v>
          </cell>
          <cell r="D479">
            <v>73.606499999999997</v>
          </cell>
        </row>
        <row r="480">
          <cell r="A480" t="str">
            <v>001.09.02600</v>
          </cell>
          <cell r="B480" t="str">
            <v>Reparo em esquadria - substituição de folha de madeira almofadada, inclusive dobradiças-(0,90x2,10)m</v>
          </cell>
          <cell r="C480" t="str">
            <v>UN</v>
          </cell>
          <cell r="D480">
            <v>87.606499999999997</v>
          </cell>
        </row>
        <row r="481">
          <cell r="A481" t="str">
            <v>001.09.02620</v>
          </cell>
          <cell r="B481" t="str">
            <v>Reparo em esquadria - substituição de batente de peroba, inclusive guarnições -vão de (0,60x2,10)m</v>
          </cell>
          <cell r="C481" t="str">
            <v>JG</v>
          </cell>
          <cell r="D481">
            <v>98.226600000000005</v>
          </cell>
        </row>
        <row r="482">
          <cell r="A482" t="str">
            <v>001.09.02640</v>
          </cell>
          <cell r="B482" t="str">
            <v>Reparo em esquadria - substituição de batente de peroba, inclusive guarnições -vão de (0,70x2,10)m</v>
          </cell>
          <cell r="C482" t="str">
            <v>JG</v>
          </cell>
          <cell r="D482">
            <v>96.892099999999999</v>
          </cell>
        </row>
        <row r="483">
          <cell r="A483" t="str">
            <v>001.09.02660</v>
          </cell>
          <cell r="B483" t="str">
            <v>Reparo em esquadria - substituição de batente de peroba, inclusive guarnições -vão de (0,80x2,10)m</v>
          </cell>
          <cell r="C483" t="str">
            <v>JG</v>
          </cell>
          <cell r="D483">
            <v>108.9226</v>
          </cell>
        </row>
        <row r="484">
          <cell r="A484" t="str">
            <v>001.09.02800</v>
          </cell>
          <cell r="B484" t="str">
            <v>Reparo em Grades e Portões - substituição de ferro CA 25 1/2""</v>
          </cell>
          <cell r="C484" t="str">
            <v>ml</v>
          </cell>
          <cell r="D484">
            <v>4.0110999999999999</v>
          </cell>
        </row>
        <row r="485">
          <cell r="A485" t="str">
            <v>001.09.02820</v>
          </cell>
          <cell r="B485" t="str">
            <v>Reparo em Grades e Portões - substituição de ferro CA 25 7/8""</v>
          </cell>
          <cell r="C485" t="str">
            <v>ml</v>
          </cell>
          <cell r="D485">
            <v>13.7584</v>
          </cell>
        </row>
        <row r="486">
          <cell r="A486" t="str">
            <v>001.09.02840</v>
          </cell>
          <cell r="B486" t="str">
            <v>Reparo em Alambrados e Portões - substituição de tubo de ferro em chapa preta diam.2"" chapa 13</v>
          </cell>
          <cell r="C486" t="str">
            <v>ml</v>
          </cell>
          <cell r="D486">
            <v>16.174800000000001</v>
          </cell>
        </row>
        <row r="487">
          <cell r="A487" t="str">
            <v>001.09.02860</v>
          </cell>
          <cell r="B487" t="str">
            <v>Reparo em Alambrados e Portões - substituição de tela de alambrado galvanizado malha 2"" fio dw12</v>
          </cell>
          <cell r="C487" t="str">
            <v>m2</v>
          </cell>
          <cell r="D487">
            <v>14.151400000000001</v>
          </cell>
        </row>
        <row r="488">
          <cell r="A488" t="str">
            <v>001.10</v>
          </cell>
          <cell r="B488" t="str">
            <v>REVESTIMENTO</v>
          </cell>
          <cell r="D488">
            <v>329.01499999999999</v>
          </cell>
        </row>
        <row r="489">
          <cell r="A489" t="str">
            <v>001.10.00020</v>
          </cell>
          <cell r="B489" t="str">
            <v>Chapisco de aderência c/argamassa de cimento e areia traço 1:3 e= 5 mm</v>
          </cell>
          <cell r="C489" t="str">
            <v>m2</v>
          </cell>
          <cell r="D489">
            <v>1.9576</v>
          </cell>
        </row>
        <row r="490">
          <cell r="A490" t="str">
            <v>001.10.00040</v>
          </cell>
          <cell r="B490" t="str">
            <v>Chapisco de acab.c/argam.de cimento e pedrisco traço 1:4  e= 7 mm</v>
          </cell>
          <cell r="C490" t="str">
            <v>m2</v>
          </cell>
          <cell r="D490">
            <v>2.9297</v>
          </cell>
        </row>
        <row r="491">
          <cell r="A491" t="str">
            <v>001.10.00100</v>
          </cell>
          <cell r="B491" t="str">
            <v>Reboco paulista usando argamassa mista de cimento cal e areia no traço 1:2:8 com 20 mm de espessura</v>
          </cell>
          <cell r="C491" t="str">
            <v>m2</v>
          </cell>
          <cell r="D491">
            <v>7.8211000000000004</v>
          </cell>
        </row>
        <row r="492">
          <cell r="A492" t="str">
            <v>001.10.00110</v>
          </cell>
          <cell r="B492" t="str">
            <v>Reboco paulista usando argamassa mista de cimento cal e areia no traço 1:2:9 com 20 mm de espessura</v>
          </cell>
          <cell r="C492" t="str">
            <v>m2</v>
          </cell>
          <cell r="D492">
            <v>7.6371000000000002</v>
          </cell>
        </row>
        <row r="493">
          <cell r="A493" t="str">
            <v>001.10.00120</v>
          </cell>
          <cell r="B493" t="str">
            <v>Reboco c/ argamassa de cal em pasta e areia fina peneirada no traço 1:2 (espessura 0.5 cm)</v>
          </cell>
          <cell r="C493" t="str">
            <v>m2</v>
          </cell>
          <cell r="D493">
            <v>3.6324999999999998</v>
          </cell>
        </row>
        <row r="494">
          <cell r="A494" t="str">
            <v>001.10.00170</v>
          </cell>
          <cell r="B494" t="str">
            <v>Revestimento c/ argamassa de barita e = 1O mm</v>
          </cell>
          <cell r="C494" t="str">
            <v>m2</v>
          </cell>
          <cell r="D494">
            <v>42.392600000000002</v>
          </cell>
        </row>
        <row r="495">
          <cell r="A495" t="str">
            <v>001.10.00180</v>
          </cell>
          <cell r="B495" t="str">
            <v>Reboco barra lisa com argamassa de cimento e areia 1:1.5 com impermeabilizante inclusive emboço de cimento e areia 1:4</v>
          </cell>
          <cell r="C495" t="str">
            <v>M2</v>
          </cell>
          <cell r="D495">
            <v>17.493600000000001</v>
          </cell>
        </row>
        <row r="496">
          <cell r="A496" t="str">
            <v>001.10.00200</v>
          </cell>
          <cell r="B496" t="str">
            <v>Barra lisa c/ acabamento em nata de cimento comum c/ desempenadeira de aço sobre emboço de cimento e areia 1:4</v>
          </cell>
          <cell r="C496" t="str">
            <v>m2</v>
          </cell>
          <cell r="D496">
            <v>12.008100000000001</v>
          </cell>
        </row>
        <row r="497">
          <cell r="A497" t="str">
            <v>001.10.00220</v>
          </cell>
          <cell r="B497" t="str">
            <v>Barra lisa c/ acabamento em nata de cimento comum c/ desempenadeira de aço sobre emboço de cimento e areia 1:4:8</v>
          </cell>
          <cell r="C497" t="str">
            <v>m2</v>
          </cell>
          <cell r="D497">
            <v>11.581300000000001</v>
          </cell>
        </row>
        <row r="498">
          <cell r="A498" t="str">
            <v>001.10.00240</v>
          </cell>
          <cell r="B498" t="str">
            <v>Barra lisa c/ acabamento em nata de cimento branco c/ desempenadeira de aço sobre emboço de cimento e areia 1:4</v>
          </cell>
          <cell r="C498" t="str">
            <v>m2</v>
          </cell>
          <cell r="D498">
            <v>14.0441</v>
          </cell>
        </row>
        <row r="499">
          <cell r="A499" t="str">
            <v>001.10.00260</v>
          </cell>
          <cell r="B499" t="str">
            <v>Barra lisa c/ acabamento em nata de cimento comum c/ desempenadeira de aço sobre emboço de cimento e areia 1:4:8</v>
          </cell>
          <cell r="C499" t="str">
            <v>m2</v>
          </cell>
          <cell r="D499">
            <v>11.581300000000001</v>
          </cell>
        </row>
        <row r="500">
          <cell r="A500" t="str">
            <v>001.10.00280</v>
          </cell>
          <cell r="B500" t="str">
            <v>Revestimento com azulejo branco (dimensão mínima 150x150 mm, espessura mínima 4 mm) empregando argamassa pré fabricada de cimento colante (a prumo ), incl rejuntamento</v>
          </cell>
          <cell r="C500" t="str">
            <v>m2</v>
          </cell>
          <cell r="D500">
            <v>22.776800000000001</v>
          </cell>
        </row>
        <row r="501">
          <cell r="A501" t="str">
            <v>001.10.00300</v>
          </cell>
          <cell r="B501" t="str">
            <v>Revestimento com azulejo decorado (dimensão mínima 150x150 mm, espessura mínima 4 mm) empregando argamassa pré fabricada de cimento colante (a prumo ), incl rejuntamento</v>
          </cell>
          <cell r="C501" t="str">
            <v>m2</v>
          </cell>
          <cell r="D501">
            <v>19.9938</v>
          </cell>
        </row>
        <row r="502">
          <cell r="A502" t="str">
            <v>001.10.00320</v>
          </cell>
          <cell r="B502" t="str">
            <v>Revestimento Com Piso Parede (dimensão mínima 300x300 mm, espessura mínima 6 mm) Empregando Argamassa Pré Fabricada de Cimento Colante, incl Rejuntamento</v>
          </cell>
          <cell r="C502" t="str">
            <v>m2</v>
          </cell>
          <cell r="D502">
            <v>19.991800000000001</v>
          </cell>
        </row>
        <row r="503">
          <cell r="A503" t="str">
            <v>001.10.00330</v>
          </cell>
          <cell r="B503" t="str">
            <v>Fornecimento e Assentamento de Pastilha de Porcelana (dimensão mínima 100x100 mm, espessura mínima 8 mm), Assentada Com Argamassa Pré- Fabricada de Cimento Colante, Incl. Rejuntamento</v>
          </cell>
          <cell r="C503" t="str">
            <v>m2</v>
          </cell>
          <cell r="D503">
            <v>47.176099999999998</v>
          </cell>
        </row>
        <row r="504">
          <cell r="A504" t="str">
            <v>001.10.00560</v>
          </cell>
          <cell r="B504" t="str">
            <v>Revestimento c/ carpete 8 mm sobre parede</v>
          </cell>
          <cell r="C504" t="str">
            <v>M2</v>
          </cell>
          <cell r="D504">
            <v>24.803599999999999</v>
          </cell>
        </row>
        <row r="505">
          <cell r="A505" t="str">
            <v>001.10.00580</v>
          </cell>
          <cell r="B505" t="str">
            <v>Revestimento de paredes com laminado melaminico colado (formiplac texturizado)</v>
          </cell>
          <cell r="C505" t="str">
            <v>m2</v>
          </cell>
          <cell r="D505">
            <v>23.991599999999998</v>
          </cell>
        </row>
        <row r="506">
          <cell r="A506" t="str">
            <v>001.10.00660</v>
          </cell>
          <cell r="B506" t="str">
            <v>Faixas decorativas para portas e janelas, 10 cm de largura, em argamassa mista de cimento cal e areia</v>
          </cell>
          <cell r="C506" t="str">
            <v>M</v>
          </cell>
          <cell r="D506">
            <v>4.1908000000000003</v>
          </cell>
        </row>
        <row r="507">
          <cell r="A507" t="str">
            <v>001.10.00680</v>
          </cell>
          <cell r="B507" t="str">
            <v>Fornecimento e Assentamento de Faixa Cerâmica Decorada Para Cozinha e Banheiro</v>
          </cell>
          <cell r="C507" t="str">
            <v>ml</v>
          </cell>
          <cell r="D507">
            <v>13.7346</v>
          </cell>
        </row>
        <row r="508">
          <cell r="A508" t="str">
            <v>001.10.00740</v>
          </cell>
          <cell r="B508" t="str">
            <v>Correção de trincas em paredes, usando ferro de 1/4"""" e argamassa de cimento e areia 1:3</v>
          </cell>
          <cell r="C508" t="str">
            <v>M</v>
          </cell>
          <cell r="D508">
            <v>19.276900000000001</v>
          </cell>
        </row>
        <row r="509">
          <cell r="A509" t="str">
            <v>001.11</v>
          </cell>
          <cell r="B509" t="str">
            <v>PISOS RODAPÉS SOLEIRAS E PEITORIS</v>
          </cell>
          <cell r="D509">
            <v>1236.8943999999999</v>
          </cell>
        </row>
        <row r="510">
          <cell r="A510" t="str">
            <v>001.11.00010</v>
          </cell>
          <cell r="B510" t="str">
            <v>Preparo e apiloamento do local destinado a receber o piso, incl. carga e transporte manual de material de caixão de empréstimo para complementação do que faltar.</v>
          </cell>
          <cell r="C510" t="str">
            <v>m2</v>
          </cell>
          <cell r="D510">
            <v>5.9009</v>
          </cell>
        </row>
        <row r="511">
          <cell r="A511" t="str">
            <v>001.11.00015</v>
          </cell>
          <cell r="B511" t="str">
            <v>Fornecimento e Execução de Picoteamento de Piso Para Aplicação de Argamassa de Regularização em Pisos Pré Exitentes</v>
          </cell>
          <cell r="C511" t="str">
            <v>m2</v>
          </cell>
          <cell r="D511">
            <v>1.3325</v>
          </cell>
        </row>
        <row r="512">
          <cell r="A512" t="str">
            <v>001.11.00040</v>
          </cell>
          <cell r="B512" t="str">
            <v>Regularização de laje ou lastro de concreto com argamassa de cimento e areia no traço 1:3, procedendo-se da seguinte maneira: umidecer abundantemente o contrapiso, aplicar nata de agua e cimento e finalmente a aplicar da argamassa de regularização.</v>
          </cell>
          <cell r="C512" t="str">
            <v>m3</v>
          </cell>
          <cell r="D512">
            <v>283.80529999999999</v>
          </cell>
        </row>
        <row r="513">
          <cell r="A513" t="str">
            <v>001.11.00050</v>
          </cell>
          <cell r="B513" t="str">
            <v>Contrapiso de concreto não estrutural Fck=13,5 Mpa, preparado com régua de alumínio e desempenadeira de madeira, perfeitamente nivelado, pronto para receber o piso, esp.= 6.00 cm</v>
          </cell>
          <cell r="C513" t="str">
            <v>m2</v>
          </cell>
          <cell r="D513">
            <v>16.967300000000002</v>
          </cell>
        </row>
        <row r="514">
          <cell r="A514" t="str">
            <v>001.11.00060</v>
          </cell>
          <cell r="B514" t="str">
            <v>Calçada em concreto Fck=13,5 Mpa no traco 1:3:6 com junta de dilatação de madeira 1.2 cm de espessura formando quadro 2.0 x 2.0 m com 6.0 cm de espessura, preparado com régua de alumínio e desempenadeira de madeira, perfeitamente nivelado.</v>
          </cell>
          <cell r="C514" t="str">
            <v>m2</v>
          </cell>
          <cell r="D514">
            <v>19.508099999999999</v>
          </cell>
        </row>
        <row r="515">
          <cell r="A515" t="str">
            <v>001.11.00080</v>
          </cell>
          <cell r="B515" t="str">
            <v>Calçada em concreto Fck=13,5 Mpa, no traço 1:3:6 com junta de dilatação seca, formando quadro de 2.00x2.00 m, com 6 cm de espessura, preparado com régua de alumínio e desempenadeira de madeira, perfeitamente nivelado.</v>
          </cell>
          <cell r="C515" t="str">
            <v>m2</v>
          </cell>
          <cell r="D515">
            <v>19.508099999999999</v>
          </cell>
        </row>
        <row r="516">
          <cell r="A516" t="str">
            <v>001.11.00100</v>
          </cell>
          <cell r="B516" t="str">
            <v>Calçada em Concreto Usinado 13,50 Mpa, Com Junta de Dilatação de Ripa de Madeira de 1.20 cm de Espessura formando Quadro 1.50 x 1.50 m, sendo a espessura de e= 5.00 cm, preparado com régua de alumínio e desempenadeira de madeira, perfeitamente nivelado.</v>
          </cell>
          <cell r="C516" t="str">
            <v>m2</v>
          </cell>
          <cell r="D516">
            <v>20.432700000000001</v>
          </cell>
        </row>
        <row r="517">
          <cell r="A517" t="str">
            <v>001.11.00110</v>
          </cell>
          <cell r="B517" t="str">
            <v>Calçada em Concreto Usinado 13,50 Mpa, Com Junta de Dilatação de Ripa de Madeira de 1.20 cm de Espessura formando Quadro 1.50 x 1.50 m, sendo a espessura de e=7.00 cm, preparado com régua de alumínio e desempenadeira de madeira, perfeitamente nivelado.</v>
          </cell>
          <cell r="C517" t="str">
            <v>m2</v>
          </cell>
          <cell r="D517">
            <v>25.315899999999999</v>
          </cell>
        </row>
        <row r="518">
          <cell r="A518" t="str">
            <v>001.11.00180</v>
          </cell>
          <cell r="B518" t="str">
            <v>Cimentado liso queimado c/espessura de 1.5 cm c/argamassa de cimento e areia no traço 1:3, procedendo-se da seguinte maneira: umidecer abundantemente o contrapiso, aplicar nata de agua e cimento e finalmente a aplicar da argamassa de acabamento.</v>
          </cell>
          <cell r="C518" t="str">
            <v>m2</v>
          </cell>
          <cell r="D518">
            <v>6.6917999999999997</v>
          </cell>
        </row>
        <row r="519">
          <cell r="A519" t="str">
            <v>001.11.00200</v>
          </cell>
          <cell r="B519" t="str">
            <v>Cimentado liso queimado c/espessura de 2 cm usando argamassa de cimento e areia 1:3 c/ juntas plásticas de 19 mm formando quadros de 2.00 x 2.00 m,umidecer abundantemente o contrapiso, aplicar nata de agua e cimento e finalmente a aplicar a argamassa.</v>
          </cell>
          <cell r="C519" t="str">
            <v>m2</v>
          </cell>
          <cell r="D519">
            <v>10.9033</v>
          </cell>
        </row>
        <row r="520">
          <cell r="A520" t="str">
            <v>001.11.00280</v>
          </cell>
          <cell r="B520" t="str">
            <v>Cimentado liso queimado c/ po xadrez e=1.5 cm c/argamassa de cimento e areia no traço 1:3, umidecer abundantemente o contrapiso, aplicar nata de agua e cimento e finalmente a aplicar a argamassa.</v>
          </cell>
          <cell r="C520" t="str">
            <v>m2</v>
          </cell>
          <cell r="D520">
            <v>7.5258000000000003</v>
          </cell>
        </row>
        <row r="521">
          <cell r="A521" t="str">
            <v>001.11.00310</v>
          </cell>
          <cell r="B521" t="str">
            <v>Revestimento com Piso Cerâmico Esmaltado (dimensão mínima 300x300mm, espessura mínima 8 mm), PI 02, Assentado Com Argamassa Colante Uso Interno, incl. rejuntamento.</v>
          </cell>
          <cell r="C521" t="str">
            <v>m2</v>
          </cell>
          <cell r="D521">
            <v>19.514099999999999</v>
          </cell>
        </row>
        <row r="522">
          <cell r="A522" t="str">
            <v>001.11.00311</v>
          </cell>
          <cell r="B522" t="str">
            <v>Revestimento com Piso Cerâmico Esmaltado (dimensão mínima 300x300mm, espessura mínima 8 mm), PI 03, Assentado Com Argamassa Colante Uso Interno, incl. rejuntamento</v>
          </cell>
          <cell r="C522" t="str">
            <v>m2</v>
          </cell>
          <cell r="D522">
            <v>19.514099999999999</v>
          </cell>
        </row>
        <row r="523">
          <cell r="A523" t="str">
            <v>001.11.00312</v>
          </cell>
          <cell r="B523" t="str">
            <v>Revestimento com Piso Cerâmico Esmaltado (dimensão mínima 300x300mm, espessura mínima 8 mm), PI 04, Assentado Com Argamassa Colante Uso Interno, incl. rejuntamento</v>
          </cell>
          <cell r="C523" t="str">
            <v>m2</v>
          </cell>
          <cell r="D523">
            <v>19.514099999999999</v>
          </cell>
        </row>
        <row r="524">
          <cell r="A524" t="str">
            <v>001.11.00313</v>
          </cell>
          <cell r="B524" t="str">
            <v>Revestimento com Piso Cerâmico Esmaltado (dimensão mínima 300x300mm, espessura mínima 8 mm), PI 05, Assentado Com Argamassa Colante Uso Interno, incl. rejuntamento</v>
          </cell>
          <cell r="C524" t="str">
            <v>m2</v>
          </cell>
          <cell r="D524">
            <v>19.514099999999999</v>
          </cell>
        </row>
        <row r="525">
          <cell r="A525" t="str">
            <v>001.11.00321</v>
          </cell>
          <cell r="B525" t="str">
            <v>Revestimento de pisos e lajotas cerâmicas 30x30 cm assente c/argamassa de cimento e areia 1:4</v>
          </cell>
          <cell r="C525" t="str">
            <v>M2</v>
          </cell>
          <cell r="D525">
            <v>21.881699999999999</v>
          </cell>
        </row>
        <row r="526">
          <cell r="A526" t="str">
            <v>001.11.00341</v>
          </cell>
          <cell r="B526" t="str">
            <v>Assentamento de ladrilho hidráulico cor natural do cimento, assente com argamassa mista de cimento, cal e areia traço 1:4 adição 100 kg cimento</v>
          </cell>
          <cell r="C526" t="str">
            <v>m2</v>
          </cell>
          <cell r="D526">
            <v>34.721200000000003</v>
          </cell>
        </row>
        <row r="527">
          <cell r="A527" t="str">
            <v>001.11.00342</v>
          </cell>
          <cell r="B527" t="str">
            <v>Assentamento de ladrilho hidráulico cor única, assente com argamassa mista de cimento, cal e areia traço 1:4 adição 100 kg cimento</v>
          </cell>
          <cell r="C527" t="str">
            <v>m2</v>
          </cell>
          <cell r="D527">
            <v>36.921199999999999</v>
          </cell>
        </row>
        <row r="528">
          <cell r="A528" t="str">
            <v>001.11.00343</v>
          </cell>
          <cell r="B528" t="str">
            <v>Assentamento de ladrilho hidráulico tipo Cuiabá, assente com argamassa mista de cimento, cal e areia traço 1:4 adição 100 kg cimento</v>
          </cell>
          <cell r="C528" t="str">
            <v>m2</v>
          </cell>
          <cell r="D528">
            <v>38.0212</v>
          </cell>
        </row>
        <row r="529">
          <cell r="A529" t="str">
            <v>001.11.00344</v>
          </cell>
          <cell r="B529" t="str">
            <v>Assentamento de ladrilho hidráulico tipo Copacabana, assente com argamassa mista de cimento, cal e areia traço 1:4 adição 100 kg cimento</v>
          </cell>
          <cell r="C529" t="str">
            <v>m2</v>
          </cell>
          <cell r="D529">
            <v>43.5212</v>
          </cell>
        </row>
        <row r="530">
          <cell r="A530" t="str">
            <v>001.11.00461</v>
          </cell>
          <cell r="B530" t="str">
            <v>Revestimento de piso em granilite fundido no local formando quadros de 2.00 m2 de área ( no máximo) com junta plastica colorida e faixa perimétrica de 30 cm na cor preta fazendo meia cana, aplicação de 2 demãos de resina acrilica</v>
          </cell>
          <cell r="C530" t="str">
            <v>m2</v>
          </cell>
          <cell r="D530">
            <v>16.6541</v>
          </cell>
        </row>
        <row r="531">
          <cell r="A531" t="str">
            <v>001.11.00481</v>
          </cell>
          <cell r="B531" t="str">
            <v>Assentamento de junta plástica de dilatacao p/pisos de 19 mm</v>
          </cell>
          <cell r="C531" t="str">
            <v>ML</v>
          </cell>
          <cell r="D531">
            <v>1.6704000000000001</v>
          </cell>
        </row>
        <row r="532">
          <cell r="A532" t="str">
            <v>001.11.00581</v>
          </cell>
          <cell r="B532" t="str">
            <v>Revestimento de piso em ardosia natural 40x40cm cor preta tipo on com resinex</v>
          </cell>
          <cell r="C532" t="str">
            <v>M2</v>
          </cell>
          <cell r="D532">
            <v>26.732700000000001</v>
          </cell>
        </row>
        <row r="533">
          <cell r="A533" t="str">
            <v>001.11.00601</v>
          </cell>
          <cell r="B533" t="str">
            <v>Revestimento de paviflex sobre lastro ou laje regularizada, assentado com cola especial de 2.00 mm de espessura</v>
          </cell>
          <cell r="C533" t="str">
            <v>M2</v>
          </cell>
          <cell r="D533">
            <v>40.183599999999998</v>
          </cell>
        </row>
        <row r="534">
          <cell r="A534" t="str">
            <v>001.11.00621</v>
          </cell>
          <cell r="B534" t="str">
            <v>Revestimento de paviflex sobre lastro ou laje regularizada, assentado com cola especial de 3.20 mm de espessura</v>
          </cell>
          <cell r="C534" t="str">
            <v>M2</v>
          </cell>
          <cell r="D534">
            <v>68.533600000000007</v>
          </cell>
        </row>
        <row r="535">
          <cell r="A535" t="str">
            <v>001.11.00641</v>
          </cell>
          <cell r="B535" t="str">
            <v>Revestimento de paviflex sobre lastro ou laje regularizada, assentado com cola especial de 1.60 mm de espessura</v>
          </cell>
          <cell r="C535" t="str">
            <v>M2</v>
          </cell>
          <cell r="D535">
            <v>32.833599999999997</v>
          </cell>
        </row>
        <row r="536">
          <cell r="A536" t="str">
            <v>001.11.00681</v>
          </cell>
          <cell r="B536" t="str">
            <v>Revestimento da escada (degrau e espelho) c/ ardósia preta tipo on c/ resinex</v>
          </cell>
          <cell r="C536" t="str">
            <v>M2</v>
          </cell>
          <cell r="D536">
            <v>30.999199999999998</v>
          </cell>
        </row>
        <row r="537">
          <cell r="A537" t="str">
            <v>001.11.00701</v>
          </cell>
          <cell r="B537" t="str">
            <v>Execução de Piso em Concreto Usinado Armado Fck=15 Mpa, espessura do concreto e=15, incluso lastro de brita espessura e= 5 cm, e tela soldada Q 92 de 15 x 15 cm , diam do aço 4.20 mm2, acabamento do piso sem elementos mecânicos</v>
          </cell>
          <cell r="C537" t="str">
            <v>m2</v>
          </cell>
          <cell r="D537">
            <v>42.729100000000003</v>
          </cell>
        </row>
        <row r="538">
          <cell r="A538" t="str">
            <v>001.11.00721</v>
          </cell>
          <cell r="B538" t="str">
            <v>Assentamento de rodapé de cimentado usando argamassa de cimento e areia 1:3 com altura de 10 cm, simples</v>
          </cell>
          <cell r="C538" t="str">
            <v>ML</v>
          </cell>
          <cell r="D538">
            <v>5.4762000000000004</v>
          </cell>
        </row>
        <row r="539">
          <cell r="A539" t="str">
            <v>001.11.00741</v>
          </cell>
          <cell r="B539" t="str">
            <v>Assentamento de rodapé de cimentado usando argamassa de cimento e areia 1:3 com altura de 10 cm, de cor</v>
          </cell>
          <cell r="C539" t="str">
            <v>ML</v>
          </cell>
          <cell r="D539">
            <v>6.3990999999999998</v>
          </cell>
        </row>
        <row r="540">
          <cell r="A540" t="str">
            <v>001.11.00761</v>
          </cell>
          <cell r="B540" t="str">
            <v>Assentamento de rodapés para pisos em ceramica 30x30</v>
          </cell>
          <cell r="C540" t="str">
            <v>ML</v>
          </cell>
          <cell r="D540">
            <v>5.4912999999999998</v>
          </cell>
        </row>
        <row r="541">
          <cell r="A541" t="str">
            <v>001.11.00781</v>
          </cell>
          <cell r="B541" t="str">
            <v>Assentamento de rodapés de de madeira de 10 cm de altura</v>
          </cell>
          <cell r="C541" t="str">
            <v>ML</v>
          </cell>
          <cell r="D541">
            <v>7.4458000000000002</v>
          </cell>
        </row>
        <row r="542">
          <cell r="A542" t="str">
            <v>001.11.00821</v>
          </cell>
          <cell r="B542" t="str">
            <v>Assentamento de mármore c/10 cm de altura e 2.00 cm de espessura</v>
          </cell>
          <cell r="C542" t="str">
            <v>ML</v>
          </cell>
          <cell r="D542">
            <v>19.636099999999999</v>
          </cell>
        </row>
        <row r="543">
          <cell r="A543" t="str">
            <v>001.11.00841</v>
          </cell>
          <cell r="B543" t="str">
            <v>Assentamento de rodapé de cerâmica empregando pasta de argamassa de cimento colante</v>
          </cell>
          <cell r="C543" t="str">
            <v>ML</v>
          </cell>
          <cell r="D543">
            <v>2.1575000000000002</v>
          </cell>
        </row>
        <row r="544">
          <cell r="A544" t="str">
            <v>001.11.00861</v>
          </cell>
          <cell r="B544" t="str">
            <v>Assentamento de paviflex c/9 cm de altura assente com cola especial</v>
          </cell>
          <cell r="C544" t="str">
            <v>ML</v>
          </cell>
          <cell r="D544">
            <v>4.3353999999999999</v>
          </cell>
        </row>
        <row r="545">
          <cell r="A545" t="str">
            <v>001.11.00901</v>
          </cell>
          <cell r="B545" t="str">
            <v>Assentamento de rodapé de madeira de peróba 7x1.5 cm fixados c/tacos de peróba previamente chumbados na alvenaria c/ espaçamento max. de 2.00x2.00 m</v>
          </cell>
          <cell r="C545" t="str">
            <v>ML</v>
          </cell>
          <cell r="D545">
            <v>22.854800000000001</v>
          </cell>
        </row>
        <row r="546">
          <cell r="A546" t="str">
            <v>001.11.00921</v>
          </cell>
          <cell r="B546" t="str">
            <v>Assentamento de rodapé de ardósia natural</v>
          </cell>
          <cell r="C546" t="str">
            <v>ML</v>
          </cell>
          <cell r="D546">
            <v>7.9911000000000003</v>
          </cell>
        </row>
        <row r="547">
          <cell r="A547" t="str">
            <v>001.11.00941</v>
          </cell>
          <cell r="B547" t="str">
            <v>Assentamento de rodapé de granito na cor verde ubatuba com 7 cm de espessura</v>
          </cell>
          <cell r="C547" t="str">
            <v>ML</v>
          </cell>
          <cell r="D547">
            <v>19.324100000000001</v>
          </cell>
        </row>
        <row r="548">
          <cell r="A548" t="str">
            <v>001.11.00961</v>
          </cell>
          <cell r="B548" t="str">
            <v>Assentamento de rodapé de de lajota colonial</v>
          </cell>
          <cell r="C548" t="str">
            <v>ML</v>
          </cell>
          <cell r="D548">
            <v>8.1670999999999996</v>
          </cell>
        </row>
        <row r="549">
          <cell r="A549" t="str">
            <v>001.11.00981</v>
          </cell>
          <cell r="B549" t="str">
            <v>Assentamento de soleiras externas c/ pingadeira ou ressalto penetrando 2.50 cm de c/ lado da alvenaria assentado c/ aragam. de cimento e areia no traço 1:4, de mármore branco marfim 3.00 cm</v>
          </cell>
          <cell r="C549" t="str">
            <v>ML</v>
          </cell>
          <cell r="D549">
            <v>21.161999999999999</v>
          </cell>
        </row>
        <row r="550">
          <cell r="A550" t="str">
            <v>001.11.01001</v>
          </cell>
          <cell r="B550" t="str">
            <v>Assentamento de soleiras externas c/ pingadeira ou ressalto penetrando 2.50 cm de c/ lado da alvenaria assentado c/ aragam. de cimento e areia no traço 1:4, de granilite</v>
          </cell>
          <cell r="C550" t="str">
            <v>ML</v>
          </cell>
          <cell r="D550">
            <v>6.5724</v>
          </cell>
        </row>
        <row r="551">
          <cell r="A551" t="str">
            <v>001.11.01021</v>
          </cell>
          <cell r="B551" t="str">
            <v>Assentamento de soleira interna de 0.15 m de mármore branco marfim 3.00 cmassente c/ argamassa de cimento e areia 1:4 m</v>
          </cell>
          <cell r="C551" t="str">
            <v>ML</v>
          </cell>
          <cell r="D551">
            <v>20.3873</v>
          </cell>
        </row>
        <row r="552">
          <cell r="A552" t="str">
            <v>001.11.01041</v>
          </cell>
          <cell r="B552" t="str">
            <v>Assentamento de soleira interna de 0.15 m de granilite  assente c/ argamassa de cimento e areia 1:4 m</v>
          </cell>
          <cell r="C552" t="str">
            <v>ML</v>
          </cell>
          <cell r="D552">
            <v>7.1898</v>
          </cell>
        </row>
        <row r="553">
          <cell r="A553" t="str">
            <v>001.11.01061</v>
          </cell>
          <cell r="B553" t="str">
            <v>Assentamento de soleira interna de 0.15 m de ardósia ,assente c/ argamassa de cimento e areia no traço 1:4</v>
          </cell>
          <cell r="C553" t="str">
            <v>ML</v>
          </cell>
          <cell r="D553">
            <v>11.455299999999999</v>
          </cell>
        </row>
        <row r="554">
          <cell r="A554" t="str">
            <v>001.11.01081</v>
          </cell>
          <cell r="B554" t="str">
            <v>Assentamento de soleira de granito l=0,15m e=2cm</v>
          </cell>
          <cell r="C554" t="str">
            <v>UN</v>
          </cell>
          <cell r="D554">
            <v>23.486999999999998</v>
          </cell>
        </row>
        <row r="555">
          <cell r="A555" t="str">
            <v>001.11.01101</v>
          </cell>
          <cell r="B555" t="str">
            <v>Assentamento de soleira de granito na cor verde ubatuba l=15 cm</v>
          </cell>
          <cell r="C555" t="str">
            <v>ML</v>
          </cell>
          <cell r="D555">
            <v>40.587000000000003</v>
          </cell>
        </row>
        <row r="556">
          <cell r="A556" t="str">
            <v>001.11.01121</v>
          </cell>
          <cell r="B556" t="str">
            <v>Assentamento de peitoril de mármore branco espessura 3.00 cm, assente com argamassa de cimento e areia traço 1:4</v>
          </cell>
          <cell r="C556" t="str">
            <v>ML</v>
          </cell>
          <cell r="D556">
            <v>17.907399999999999</v>
          </cell>
        </row>
        <row r="557">
          <cell r="A557" t="str">
            <v>001.11.01141</v>
          </cell>
          <cell r="B557" t="str">
            <v>Assentamento de peitoril de granilite espessura 2.50 cm, assente com argamassa de cimento e areia traço 1:4</v>
          </cell>
          <cell r="C557" t="str">
            <v>ML</v>
          </cell>
          <cell r="D557">
            <v>8.5264000000000006</v>
          </cell>
        </row>
        <row r="558">
          <cell r="A558" t="str">
            <v>001.11.01161</v>
          </cell>
          <cell r="B558" t="str">
            <v>Assentamento de peitoril de ardósia polida  espessura 3.00 cm, assente com argamassa de cimento e areia traço 1:4</v>
          </cell>
          <cell r="C558" t="str">
            <v>ml</v>
          </cell>
          <cell r="D558">
            <v>14.244999999999999</v>
          </cell>
        </row>
        <row r="559">
          <cell r="A559" t="str">
            <v>001.11.01181</v>
          </cell>
          <cell r="B559" t="str">
            <v>Assentamento de peitoril interno de mármore branco espessura 2.00 cm, assentes com argamassa de cimento e areia 1:4</v>
          </cell>
          <cell r="C559" t="str">
            <v>ML</v>
          </cell>
          <cell r="D559">
            <v>18.947700000000001</v>
          </cell>
        </row>
        <row r="560">
          <cell r="A560" t="str">
            <v>001.11.01201</v>
          </cell>
          <cell r="B560" t="str">
            <v>Assentamento de peitoril interno de granilite espessura 2.50 cm, assentes com argamassa de cimento e areia 1:4</v>
          </cell>
          <cell r="C560" t="str">
            <v>ML</v>
          </cell>
          <cell r="D560">
            <v>5.7976999999999999</v>
          </cell>
        </row>
        <row r="561">
          <cell r="A561" t="str">
            <v>001.12</v>
          </cell>
          <cell r="B561" t="str">
            <v>FORROS E DIVISÓRIAS</v>
          </cell>
          <cell r="D561">
            <v>1101.4413</v>
          </cell>
        </row>
        <row r="562">
          <cell r="A562" t="str">
            <v>001.12.00020</v>
          </cell>
          <cell r="B562" t="str">
            <v>Forro de tábuas de cedrinho 10.00x1.00 cm aplicados em sarrafos 10x2.5 cm espacados de 50x50 cm</v>
          </cell>
          <cell r="C562" t="str">
            <v>M2</v>
          </cell>
          <cell r="D562">
            <v>28.898499999999999</v>
          </cell>
        </row>
        <row r="563">
          <cell r="A563" t="str">
            <v>001.12.00040</v>
          </cell>
          <cell r="B563" t="str">
            <v>Forro de tábuas de cedrinho 10.00x1.00 cm aplicados em caibros de 5x6 cm espaçados de 50x50 cm</v>
          </cell>
          <cell r="C563" t="str">
            <v>M2</v>
          </cell>
          <cell r="D563">
            <v>29.525500000000001</v>
          </cell>
        </row>
        <row r="564">
          <cell r="A564" t="str">
            <v>001.12.00100</v>
          </cell>
          <cell r="B564" t="str">
            <v>Cimalha de cedrinho</v>
          </cell>
          <cell r="C564" t="str">
            <v>ML</v>
          </cell>
          <cell r="D564">
            <v>2.3441000000000001</v>
          </cell>
        </row>
        <row r="565">
          <cell r="A565" t="str">
            <v>001.12.00140</v>
          </cell>
          <cell r="B565" t="str">
            <v>Forro de gesso 60x60 cm liso fixado diretamente na estrutura por meio de arame galvanizado</v>
          </cell>
          <cell r="C565" t="str">
            <v>m2</v>
          </cell>
          <cell r="D565">
            <v>17.436599999999999</v>
          </cell>
        </row>
        <row r="566">
          <cell r="A566" t="str">
            <v>001.12.00150</v>
          </cell>
          <cell r="B566" t="str">
            <v>Forro Em Gesso Acartonado com Painel FGA  incl. assessórios</v>
          </cell>
          <cell r="C566" t="str">
            <v>m2</v>
          </cell>
          <cell r="D566">
            <v>31.337399999999999</v>
          </cell>
        </row>
        <row r="567">
          <cell r="A567" t="str">
            <v>001.12.00155</v>
          </cell>
          <cell r="B567" t="str">
            <v>Forro Em Gesso Acartonado com Painel FGE  incl. assessórios</v>
          </cell>
          <cell r="C567" t="str">
            <v>m2</v>
          </cell>
          <cell r="D567">
            <v>35.223300000000002</v>
          </cell>
        </row>
        <row r="568">
          <cell r="A568" t="str">
            <v>001.12.00160</v>
          </cell>
          <cell r="B568" t="str">
            <v>Fornecimento e Instalação de Moldura em Gesso h=7 cm</v>
          </cell>
          <cell r="C568" t="str">
            <v>m</v>
          </cell>
          <cell r="D568">
            <v>7</v>
          </cell>
        </row>
        <row r="569">
          <cell r="A569" t="str">
            <v>001.12.00180</v>
          </cell>
          <cell r="B569" t="str">
            <v>Sanca de gesso l=1,20 m</v>
          </cell>
          <cell r="C569" t="str">
            <v>ML</v>
          </cell>
          <cell r="D569">
            <v>25</v>
          </cell>
        </row>
        <row r="570">
          <cell r="A570" t="str">
            <v>001.12.00200</v>
          </cell>
          <cell r="B570" t="str">
            <v>Sanca de gesso l=0,30m</v>
          </cell>
          <cell r="C570" t="str">
            <v>ML</v>
          </cell>
          <cell r="D570">
            <v>9</v>
          </cell>
        </row>
        <row r="571">
          <cell r="A571" t="str">
            <v>001.12.00320</v>
          </cell>
          <cell r="B571" t="str">
            <v>Fornecimento e Instalação de Forro de pvc branco 200 mm, incl. estrutura para fixação em metalon galvanizado e rodaforro</v>
          </cell>
          <cell r="C571" t="str">
            <v>m2</v>
          </cell>
          <cell r="D571">
            <v>29</v>
          </cell>
        </row>
        <row r="572">
          <cell r="A572" t="str">
            <v>001.12.00360</v>
          </cell>
          <cell r="B572" t="str">
            <v>Substituição de tábuas p/forro de cedrinho</v>
          </cell>
          <cell r="C572" t="str">
            <v>M2</v>
          </cell>
          <cell r="D572">
            <v>18.536999999999999</v>
          </cell>
        </row>
        <row r="573">
          <cell r="A573" t="str">
            <v>001.12.00380</v>
          </cell>
          <cell r="B573" t="str">
            <v>Repregamento de forro de madeira</v>
          </cell>
          <cell r="C573" t="str">
            <v>M2</v>
          </cell>
          <cell r="D573">
            <v>1.2952999999999999</v>
          </cell>
        </row>
        <row r="574">
          <cell r="A574" t="str">
            <v>001.12.00600</v>
          </cell>
          <cell r="B574" t="str">
            <v>Fornecimento e instalação de divisória de granilite para sanitários assentada com argamassa de cimento e areia 1:3</v>
          </cell>
          <cell r="C574" t="str">
            <v>m2</v>
          </cell>
          <cell r="D574">
            <v>118.28060000000001</v>
          </cell>
        </row>
        <row r="575">
          <cell r="A575" t="str">
            <v>001.12.00700</v>
          </cell>
          <cell r="B575" t="str">
            <v>Fornecimento e instalação de divisória p/ banheiro em ardosia polida natural c/ resinex</v>
          </cell>
          <cell r="C575" t="str">
            <v>m2</v>
          </cell>
          <cell r="D575">
            <v>109.6836</v>
          </cell>
        </row>
        <row r="576">
          <cell r="A576" t="str">
            <v>001.12.00800</v>
          </cell>
          <cell r="B576" t="str">
            <v>Fornecimento e instalação de divisória p/ banheiro em granito polido, assente com argamassa,  na cor cinza.</v>
          </cell>
          <cell r="C576" t="str">
            <v>m2</v>
          </cell>
          <cell r="D576">
            <v>156.2336</v>
          </cell>
        </row>
        <row r="577">
          <cell r="A577" t="str">
            <v>001.12.00900</v>
          </cell>
          <cell r="B577" t="str">
            <v>Fornecimento e instalação de divisória naval stander padrão bege com perfis de aço na cor preto , cinza ou branco</v>
          </cell>
          <cell r="C577" t="str">
            <v>m2</v>
          </cell>
          <cell r="D577">
            <v>42.383400000000002</v>
          </cell>
        </row>
        <row r="578">
          <cell r="A578" t="str">
            <v>001.12.00920</v>
          </cell>
          <cell r="B578" t="str">
            <v>Fornecimento e instalação de porta de divisória  incl.montante , fechadura e dobradiças, divisória naval stander branco, cinza ou areia jundiai  com perfis de aço na cor preto, branco e cinza</v>
          </cell>
          <cell r="C578" t="str">
            <v>cj</v>
          </cell>
          <cell r="D578">
            <v>126.0202</v>
          </cell>
        </row>
        <row r="579">
          <cell r="A579" t="str">
            <v>001.12.00940</v>
          </cell>
          <cell r="B579" t="str">
            <v>Fornecimento e instalação de divisória naval stander padrão branco, cinza ou areia jundiai, perfis de aço na cor preta e bandeira em vidro</v>
          </cell>
          <cell r="C579" t="str">
            <v>m2</v>
          </cell>
          <cell r="D579">
            <v>56.060600000000001</v>
          </cell>
        </row>
        <row r="580">
          <cell r="A580" t="str">
            <v>001.12.00960</v>
          </cell>
          <cell r="B580" t="str">
            <v>Fornecimento e instalação de porta de divisória  incl.montante , fechadura e dobradiças, divisória naval stander branco, cinza ou areia jundiai  com perfis de aço na cor preto, branco e cinza</v>
          </cell>
          <cell r="C580" t="str">
            <v>cj</v>
          </cell>
          <cell r="D580">
            <v>126.0202</v>
          </cell>
        </row>
        <row r="581">
          <cell r="A581" t="str">
            <v>001.12.00980</v>
          </cell>
          <cell r="B581" t="str">
            <v>Fornecimento e instalação de ferragens para porta de divisória</v>
          </cell>
          <cell r="C581" t="str">
            <v>un</v>
          </cell>
          <cell r="D581">
            <v>71.010099999999994</v>
          </cell>
        </row>
        <row r="582">
          <cell r="A582" t="str">
            <v>001.12.01000</v>
          </cell>
          <cell r="B582" t="str">
            <v>Parede Em Gesso Acartonado Revestida nas Duas Faces com Painel FGE sendo Montante e Guia 75, incl. parafuso GN 25, Massa e Fita .</v>
          </cell>
          <cell r="C582" t="str">
            <v>m2</v>
          </cell>
          <cell r="D582">
            <v>61.151299999999999</v>
          </cell>
        </row>
        <row r="583">
          <cell r="A583" t="str">
            <v>001.13</v>
          </cell>
          <cell r="B583" t="str">
            <v>VIDROS</v>
          </cell>
          <cell r="D583">
            <v>2710.9706000000001</v>
          </cell>
        </row>
        <row r="584">
          <cell r="A584" t="str">
            <v>001.13.00020</v>
          </cell>
          <cell r="B584" t="str">
            <v>Fornecimento e Instalação de Vidro liso incolor espessura 3.00 mm</v>
          </cell>
          <cell r="C584" t="str">
            <v>m2</v>
          </cell>
          <cell r="D584">
            <v>42</v>
          </cell>
        </row>
        <row r="585">
          <cell r="A585" t="str">
            <v>001.13.00040</v>
          </cell>
          <cell r="B585" t="str">
            <v>Fornecimento e Instalação de Vidro liso incolor espessura 4.00 mm</v>
          </cell>
          <cell r="C585" t="str">
            <v>m2</v>
          </cell>
          <cell r="D585">
            <v>58</v>
          </cell>
        </row>
        <row r="586">
          <cell r="A586" t="str">
            <v>001.13.00060</v>
          </cell>
          <cell r="B586" t="str">
            <v>Fornecimento e Instalação de Vidro liso incolor espessura 5.00 mm</v>
          </cell>
          <cell r="C586" t="str">
            <v>m2</v>
          </cell>
          <cell r="D586">
            <v>75</v>
          </cell>
        </row>
        <row r="587">
          <cell r="A587" t="str">
            <v>001.13.00080</v>
          </cell>
          <cell r="B587" t="str">
            <v>Fornecimento e Instalação de Vidro liso incolor espessura 6.00 mm</v>
          </cell>
          <cell r="C587" t="str">
            <v>m2</v>
          </cell>
          <cell r="D587">
            <v>85</v>
          </cell>
        </row>
        <row r="588">
          <cell r="A588" t="str">
            <v>001.13.00081</v>
          </cell>
          <cell r="B588" t="str">
            <v>Fornecimento e Instalação de Vidro liso incolor espessura 8.00 mm</v>
          </cell>
          <cell r="C588" t="str">
            <v>m2</v>
          </cell>
          <cell r="D588">
            <v>100</v>
          </cell>
        </row>
        <row r="589">
          <cell r="A589" t="str">
            <v>001.13.00082</v>
          </cell>
          <cell r="B589" t="str">
            <v>Fornecimento e Instalação de Vidro liso incolor espessura 10.00 mm</v>
          </cell>
          <cell r="C589" t="str">
            <v>m2</v>
          </cell>
          <cell r="D589">
            <v>145</v>
          </cell>
        </row>
        <row r="590">
          <cell r="A590" t="str">
            <v>001.13.00100</v>
          </cell>
          <cell r="B590" t="str">
            <v>Fornecimento e Instalação de Vidro martelado espessura 3.00 mm</v>
          </cell>
          <cell r="C590" t="str">
            <v>m2</v>
          </cell>
          <cell r="D590">
            <v>42</v>
          </cell>
        </row>
        <row r="591">
          <cell r="A591" t="str">
            <v>001.13.00120</v>
          </cell>
          <cell r="B591" t="str">
            <v>Fornecimento e Instalação de Vidro canelado comum espessura 4.00 mm</v>
          </cell>
          <cell r="C591" t="str">
            <v>m2</v>
          </cell>
          <cell r="D591">
            <v>42</v>
          </cell>
        </row>
        <row r="592">
          <cell r="A592" t="str">
            <v>001.13.00140</v>
          </cell>
          <cell r="B592" t="str">
            <v>Fornecimento e Instalação de Vidro liso fumê cinza espessura 4.00 mm</v>
          </cell>
          <cell r="C592" t="str">
            <v>m2</v>
          </cell>
          <cell r="D592">
            <v>85</v>
          </cell>
        </row>
        <row r="593">
          <cell r="A593" t="str">
            <v>001.13.00160</v>
          </cell>
          <cell r="B593" t="str">
            <v>Fornecimento e Instalação de Vidro liso fumê cinza espessura 5.00 mm</v>
          </cell>
          <cell r="C593" t="str">
            <v>m2</v>
          </cell>
          <cell r="D593">
            <v>100</v>
          </cell>
        </row>
        <row r="594">
          <cell r="A594" t="str">
            <v>001.13.00170</v>
          </cell>
          <cell r="B594" t="str">
            <v>Fornecimento e Instalação de Vidro liso cinza fumê espessura 6.00 mm</v>
          </cell>
          <cell r="C594" t="str">
            <v>m2</v>
          </cell>
          <cell r="D594">
            <v>115</v>
          </cell>
        </row>
        <row r="595">
          <cell r="A595" t="str">
            <v>001.13.00175</v>
          </cell>
          <cell r="B595" t="str">
            <v>Fornecimento e Instalação de Vidro liso cinza fumê espessura 8.00 mm</v>
          </cell>
          <cell r="C595" t="str">
            <v>m2</v>
          </cell>
          <cell r="D595">
            <v>155</v>
          </cell>
        </row>
        <row r="596">
          <cell r="A596" t="str">
            <v>001.13.00180</v>
          </cell>
          <cell r="B596" t="str">
            <v>Fornecimento e Instalação de Vidro liso fumê cinza espessura 10.00 mm</v>
          </cell>
          <cell r="C596" t="str">
            <v>m2</v>
          </cell>
          <cell r="D596">
            <v>195</v>
          </cell>
        </row>
        <row r="597">
          <cell r="A597" t="str">
            <v>001.13.00300</v>
          </cell>
          <cell r="B597" t="str">
            <v>Fornecimento e Instalação de Vidro liso incolor termperado espessura 6.00 mm</v>
          </cell>
          <cell r="C597" t="str">
            <v>m2</v>
          </cell>
          <cell r="D597">
            <v>115</v>
          </cell>
        </row>
        <row r="598">
          <cell r="A598" t="str">
            <v>001.13.00320</v>
          </cell>
          <cell r="B598" t="str">
            <v>Fornecimento e Instalação de Vidro liso incolor termperado espessura 8.00 mm</v>
          </cell>
          <cell r="C598" t="str">
            <v>m2</v>
          </cell>
          <cell r="D598">
            <v>140</v>
          </cell>
        </row>
        <row r="599">
          <cell r="A599" t="str">
            <v>001.13.00340</v>
          </cell>
          <cell r="B599" t="str">
            <v>Fornecimento e Instalação de Vidro liso incolor termperado espessura 10.00 mm</v>
          </cell>
          <cell r="C599" t="str">
            <v>m2</v>
          </cell>
          <cell r="D599">
            <v>170</v>
          </cell>
        </row>
        <row r="600">
          <cell r="A600" t="str">
            <v>001.13.00400</v>
          </cell>
          <cell r="B600" t="str">
            <v>Fornecimento e Instalação de Vidro liso cinza fumê temperado espessura 6 mm</v>
          </cell>
          <cell r="C600" t="str">
            <v>m2</v>
          </cell>
          <cell r="D600">
            <v>145</v>
          </cell>
        </row>
        <row r="601">
          <cell r="A601" t="str">
            <v>001.13.00420</v>
          </cell>
          <cell r="B601" t="str">
            <v>Fornecimento e Instalação de Vidro liso cinza fumê temperado espessura 8 mm</v>
          </cell>
          <cell r="C601" t="str">
            <v>m2</v>
          </cell>
          <cell r="D601">
            <v>190</v>
          </cell>
        </row>
        <row r="602">
          <cell r="A602" t="str">
            <v>001.13.00440</v>
          </cell>
          <cell r="B602" t="str">
            <v>Fornecimento e Instalação de Vidro liso cinza fumê temperado espessura 10 mm</v>
          </cell>
          <cell r="C602" t="str">
            <v>m2</v>
          </cell>
          <cell r="D602">
            <v>225</v>
          </cell>
        </row>
        <row r="603">
          <cell r="A603" t="str">
            <v>001.13.00500</v>
          </cell>
          <cell r="B603" t="str">
            <v>Fornecimento e Instalação de Perfil ""U"" Cavalão</v>
          </cell>
          <cell r="C603" t="str">
            <v>ml</v>
          </cell>
          <cell r="D603">
            <v>8.6859999999999999</v>
          </cell>
        </row>
        <row r="604">
          <cell r="A604" t="str">
            <v>001.13.00520</v>
          </cell>
          <cell r="B604" t="str">
            <v>Fornecimento e Instalação de Dobradiça Inferior Para Porta de Vidro</v>
          </cell>
          <cell r="C604" t="str">
            <v>un</v>
          </cell>
          <cell r="D604">
            <v>53.412599999999998</v>
          </cell>
        </row>
        <row r="605">
          <cell r="A605" t="str">
            <v>001.13.00540</v>
          </cell>
          <cell r="B605" t="str">
            <v>Fornecimento e Instalação de Dobradiça Superior Para Porta de Vidro</v>
          </cell>
          <cell r="C605" t="str">
            <v>un</v>
          </cell>
          <cell r="D605">
            <v>53.412599999999998</v>
          </cell>
        </row>
        <row r="606">
          <cell r="A606" t="str">
            <v>001.13.00560</v>
          </cell>
          <cell r="B606" t="str">
            <v>Fornecimento e Instalação de Trinco Para Piso em Porta de Vidro</v>
          </cell>
          <cell r="C606" t="str">
            <v>un</v>
          </cell>
          <cell r="D606">
            <v>62.6342</v>
          </cell>
        </row>
        <row r="607">
          <cell r="A607" t="str">
            <v>001.13.00580</v>
          </cell>
          <cell r="B607" t="str">
            <v>Fornecimento e Instalação de Fechadura e  Contra Fechadura Para Porta de Vidro</v>
          </cell>
          <cell r="C607" t="str">
            <v>cj</v>
          </cell>
          <cell r="D607">
            <v>93.412599999999998</v>
          </cell>
        </row>
        <row r="608">
          <cell r="A608" t="str">
            <v>001.13.00600</v>
          </cell>
          <cell r="B608" t="str">
            <v>Fornecimento e Instalação de Puxador de Madeira Para Porta de Vidro</v>
          </cell>
          <cell r="C608" t="str">
            <v>cj</v>
          </cell>
          <cell r="D608">
            <v>43.412599999999998</v>
          </cell>
        </row>
        <row r="609">
          <cell r="A609" t="str">
            <v>001.13.00800</v>
          </cell>
          <cell r="B609" t="str">
            <v>Fornecimento e instalação de box para banheiro em perfil de alumínio e acrílico cinza, incl.toalheiro</v>
          </cell>
          <cell r="C609" t="str">
            <v>m2</v>
          </cell>
          <cell r="D609">
            <v>86</v>
          </cell>
        </row>
        <row r="610">
          <cell r="A610" t="str">
            <v>001.13.00820</v>
          </cell>
          <cell r="B610" t="str">
            <v>Fornecimento e instalação de box para banheiro em perfil de alumínio com acrílico fumê,cristal ou ouro velho, incl. toalheiro</v>
          </cell>
          <cell r="C610" t="str">
            <v>m2</v>
          </cell>
          <cell r="D610">
            <v>86</v>
          </cell>
        </row>
        <row r="611">
          <cell r="A611" t="str">
            <v>001.14</v>
          </cell>
          <cell r="B611" t="str">
            <v>PINTURA</v>
          </cell>
          <cell r="D611">
            <v>567.21900000000005</v>
          </cell>
        </row>
        <row r="612">
          <cell r="A612" t="str">
            <v>001.14.00020</v>
          </cell>
          <cell r="B612" t="str">
            <v>Caiação em paredes e tetos à 03 demãos</v>
          </cell>
          <cell r="C612" t="str">
            <v>m2</v>
          </cell>
          <cell r="D612">
            <v>0.82599999999999996</v>
          </cell>
        </row>
        <row r="613">
          <cell r="A613" t="str">
            <v>001.14.00045</v>
          </cell>
          <cell r="B613" t="str">
            <v>Emassamento de Parede Interna ou Forro Com Massa Corrida à Base de PVA  1ª Linha com Duas Demãos</v>
          </cell>
          <cell r="C613" t="str">
            <v>m2</v>
          </cell>
          <cell r="D613">
            <v>3.2052999999999998</v>
          </cell>
        </row>
        <row r="614">
          <cell r="A614" t="str">
            <v>001.14.00047</v>
          </cell>
          <cell r="B614" t="str">
            <v>Emassamento de Parede Interna, Externa ou Forro Com Massa Corrida  Acrílica  1ª Linha com Duas Demãos</v>
          </cell>
          <cell r="C614" t="str">
            <v>m2</v>
          </cell>
          <cell r="D614">
            <v>5.8514999999999997</v>
          </cell>
        </row>
        <row r="615">
          <cell r="A615" t="str">
            <v>001.14.00048</v>
          </cell>
          <cell r="B615" t="str">
            <v>Pintura Em Selador Acrilico (1ª Linha ) Sobre Superfície Rebocada, duas demãos, aplicado a rolo de lã</v>
          </cell>
          <cell r="C615" t="str">
            <v>m2</v>
          </cell>
          <cell r="D615">
            <v>2.0775999999999999</v>
          </cell>
        </row>
        <row r="616">
          <cell r="A616" t="str">
            <v>001.14.00050</v>
          </cell>
          <cell r="B616" t="str">
            <v>Pintura Em Látex PVA (1ª Linha Renner ou Suvinil) Sobre Superfície Perfeitamente Emassada, duas demãos</v>
          </cell>
          <cell r="C616" t="str">
            <v>m2</v>
          </cell>
          <cell r="D616">
            <v>2.9777999999999998</v>
          </cell>
        </row>
        <row r="617">
          <cell r="A617" t="str">
            <v>001.14.00080</v>
          </cell>
          <cell r="B617" t="str">
            <v>Pintura Em Látex PVA (1ª Linha Renner ou Suvinil) em superfície rebocada executada como segue: limpeza e lixamento preliminar , uma demão de selador(, duas demãos de tinta de acabamento</v>
          </cell>
          <cell r="C617" t="str">
            <v>m2</v>
          </cell>
          <cell r="D617">
            <v>4.4993999999999996</v>
          </cell>
        </row>
        <row r="618">
          <cell r="A618" t="str">
            <v>001.14.00100</v>
          </cell>
          <cell r="B618" t="str">
            <v>Pintura Látex Acrílica (1ª Linha Renner ou Suvinil) Sobre Superfície Perfeitamente Emassada, duas demãos</v>
          </cell>
          <cell r="C618" t="str">
            <v>m2</v>
          </cell>
          <cell r="D618">
            <v>3.1438999999999999</v>
          </cell>
        </row>
        <row r="619">
          <cell r="A619" t="str">
            <v>001.14.00120</v>
          </cell>
          <cell r="B619" t="str">
            <v>Pintura Látex Acrílico(1ª Linha Renner ou Suvinil) em superfície rebocada executada como segue: limpeza e lixamento preliminar, uma demão de selador acrílico e duas demãos de tinta de acabamento</v>
          </cell>
          <cell r="C619" t="str">
            <v>m2</v>
          </cell>
          <cell r="D619">
            <v>4.6654999999999998</v>
          </cell>
        </row>
        <row r="620">
          <cell r="A620" t="str">
            <v>001.14.00140</v>
          </cell>
          <cell r="B620" t="str">
            <v>Textura Acrílica (1ªLinha) em Parede Externa ou Interna, incl. Aplicação de Fundo Preparador de Superfície Base Solvente</v>
          </cell>
          <cell r="C620" t="str">
            <v>m2</v>
          </cell>
          <cell r="D620">
            <v>7.2527999999999997</v>
          </cell>
        </row>
        <row r="621">
          <cell r="A621" t="str">
            <v>001.14.00180</v>
          </cell>
          <cell r="B621" t="str">
            <v>Pintura em esquadria de ferro inclusive lixamento uma demão de zarcão, correções de imperfeições e 02 demãos de tinta base de grafite</v>
          </cell>
          <cell r="C621" t="str">
            <v>M2</v>
          </cell>
          <cell r="D621">
            <v>11.182399999999999</v>
          </cell>
        </row>
        <row r="622">
          <cell r="A622" t="str">
            <v>001.14.00200</v>
          </cell>
          <cell r="B622" t="str">
            <v>Pintura em esquadria de ferro inclusive lixamento uma demão de zarcão, correções de imperfeições e 02 demãos de tinta base de esmalte</v>
          </cell>
          <cell r="C622" t="str">
            <v>M2</v>
          </cell>
          <cell r="D622">
            <v>10.8704</v>
          </cell>
        </row>
        <row r="623">
          <cell r="A623" t="str">
            <v>001.14.00220</v>
          </cell>
          <cell r="B623" t="str">
            <v>Pintura em esquadria de ferro inclusive lixamento uma demão de zarcão, correções de imperfeições e 02 demãos de tinta base de alimínio</v>
          </cell>
          <cell r="C623" t="str">
            <v>M2</v>
          </cell>
          <cell r="D623">
            <v>10.8704</v>
          </cell>
        </row>
        <row r="624">
          <cell r="A624" t="str">
            <v>001.14.00240</v>
          </cell>
          <cell r="B624" t="str">
            <v>Pintura em esquadria de ferro inclusive lixamento uma demão de zarcão, correções de imperfeições e 02 demãos de tinta base de óleo</v>
          </cell>
          <cell r="C624" t="str">
            <v>M2</v>
          </cell>
          <cell r="D624">
            <v>10.8704</v>
          </cell>
        </row>
        <row r="625">
          <cell r="A625" t="str">
            <v>001.14.00260</v>
          </cell>
          <cell r="B625" t="str">
            <v>Pintura a esmalte em esquadrias de madeira com massa corrida</v>
          </cell>
          <cell r="C625" t="str">
            <v>M2</v>
          </cell>
          <cell r="D625">
            <v>12.101699999999999</v>
          </cell>
        </row>
        <row r="626">
          <cell r="A626" t="str">
            <v>001.14.00280</v>
          </cell>
          <cell r="B626" t="str">
            <v>Pintura a esmalte em esquadria de madeira sem massa corrida aplicada a 2 ou 3 demãos após os lixamentos preliminares</v>
          </cell>
          <cell r="C626" t="str">
            <v>M2</v>
          </cell>
          <cell r="D626">
            <v>8.1027000000000005</v>
          </cell>
        </row>
        <row r="627">
          <cell r="A627" t="str">
            <v>001.14.00300</v>
          </cell>
          <cell r="B627" t="str">
            <v>Pintura a esmalte com massa corrida em rodpés de madeira à 3 demãos aos após lixamento preliminar</v>
          </cell>
          <cell r="C627" t="str">
            <v>ML</v>
          </cell>
          <cell r="D627">
            <v>2.4598</v>
          </cell>
        </row>
        <row r="628">
          <cell r="A628" t="str">
            <v>001.14.00320</v>
          </cell>
          <cell r="B628" t="str">
            <v>Pintura à esmalte em forro de madeira à duas demãos em superfície lixada aparelhada e amassada</v>
          </cell>
          <cell r="C628" t="str">
            <v>M2</v>
          </cell>
          <cell r="D628">
            <v>11.655099999999999</v>
          </cell>
        </row>
        <row r="629">
          <cell r="A629" t="str">
            <v>001.14.00340</v>
          </cell>
          <cell r="B629" t="str">
            <v>Pintura em estrutura metálica com grafite incl. limpeza com escova de aço e duas demãos de zarcão</v>
          </cell>
          <cell r="C629" t="str">
            <v>M2</v>
          </cell>
          <cell r="D629">
            <v>5.1429</v>
          </cell>
        </row>
        <row r="630">
          <cell r="A630" t="str">
            <v>001.14.00360</v>
          </cell>
          <cell r="B630" t="str">
            <v>Pintura em estrutura metálica com alumínio incl. limpeza com escova de aço e duas demãos de zarcão</v>
          </cell>
          <cell r="C630" t="str">
            <v>M2</v>
          </cell>
          <cell r="D630">
            <v>5.1429</v>
          </cell>
        </row>
        <row r="631">
          <cell r="A631" t="str">
            <v>001.14.00380</v>
          </cell>
          <cell r="B631" t="str">
            <v>Pintura em estrutura metálica com esmalte incl. limpeza com escova de aço e duas demãos de zarcão</v>
          </cell>
          <cell r="C631" t="str">
            <v>M2</v>
          </cell>
          <cell r="D631">
            <v>5.1429</v>
          </cell>
        </row>
        <row r="632">
          <cell r="A632" t="str">
            <v>001.14.00400</v>
          </cell>
          <cell r="B632" t="str">
            <v>Pintura em cobertura metálica zincada inclusive limpeza das superfícies (interna e externa) na face interna.uma demão de tinta base (cromato de zinco) e duas demãos de tinta de acabamento de base sintética,</v>
          </cell>
          <cell r="C632" t="str">
            <v>M2</v>
          </cell>
          <cell r="D632">
            <v>6.2830000000000004</v>
          </cell>
        </row>
        <row r="633">
          <cell r="A633" t="str">
            <v>001.14.00420</v>
          </cell>
          <cell r="B633" t="str">
            <v>Pintura em cobertura metálica zincada inclusive limpeza das superfícies (interna e externa) na face externa aplicação de emulsão asfáltica a frio na espessura aproximadamente de 1.00 mm, uma demão de acabamento com tinta base de asfalto</v>
          </cell>
          <cell r="C633" t="str">
            <v>M2</v>
          </cell>
          <cell r="D633">
            <v>13.9017</v>
          </cell>
        </row>
        <row r="634">
          <cell r="A634" t="str">
            <v>001.14.00500</v>
          </cell>
          <cell r="B634" t="str">
            <v>Pintura em paredes internas com esmalte incl 02 demaos de massa corrida pva</v>
          </cell>
          <cell r="C634" t="str">
            <v>m2</v>
          </cell>
          <cell r="D634">
            <v>9.0042000000000009</v>
          </cell>
        </row>
        <row r="635">
          <cell r="A635" t="str">
            <v>001.14.00520</v>
          </cell>
          <cell r="B635" t="str">
            <v>Pintura em paredes internas com esmalte e com retoque de  massa corrida</v>
          </cell>
          <cell r="C635" t="str">
            <v>m2</v>
          </cell>
          <cell r="D635">
            <v>6.5228000000000002</v>
          </cell>
        </row>
        <row r="636">
          <cell r="A636" t="str">
            <v>001.14.00540</v>
          </cell>
          <cell r="B636" t="str">
            <v>Pintura interan a óleo em paredes com massa corrida executada da seguinte forma: lixamento preliminar a seco com lixa n.1 e limpeza do pó resultante, aparelhamento com 01 demão de líquido base (impermeabilizante) aplicado a trincha ou pincel</v>
          </cell>
          <cell r="C636" t="str">
            <v>M2</v>
          </cell>
          <cell r="D636">
            <v>12.253399999999999</v>
          </cell>
        </row>
        <row r="637">
          <cell r="A637" t="str">
            <v>001.14.00560</v>
          </cell>
          <cell r="B637" t="str">
            <v>Pintura à óleo em paredes internas, duas demãos, sem massa corrida executada da seguinte forma: lixamento preliminar a seco com lixa n.1 e limpeza do pó resultante - aparelhamento 01 demão com líquidobase (impermeabilizante) - 02 ou 03 demãos</v>
          </cell>
          <cell r="C637" t="str">
            <v>M2</v>
          </cell>
          <cell r="D637">
            <v>6.5228000000000002</v>
          </cell>
        </row>
        <row r="638">
          <cell r="A638" t="str">
            <v>001.14.00580</v>
          </cell>
          <cell r="B638" t="str">
            <v>Pintura a óleo em esquadrias de madeira c/massa corrida</v>
          </cell>
          <cell r="C638" t="str">
            <v>M2</v>
          </cell>
          <cell r="D638">
            <v>10.767300000000001</v>
          </cell>
        </row>
        <row r="639">
          <cell r="A639" t="str">
            <v>001.14.00600</v>
          </cell>
          <cell r="B639" t="str">
            <v>Pintura em porta de madeira com tinta a óleo renner ou similar</v>
          </cell>
          <cell r="C639" t="str">
            <v>M2</v>
          </cell>
          <cell r="D639">
            <v>7.2358000000000002</v>
          </cell>
        </row>
        <row r="640">
          <cell r="A640" t="str">
            <v>001.14.00620</v>
          </cell>
          <cell r="B640" t="str">
            <v>Pintura à óleo em rodapés de madeira à duas demãos após lixamento preliminar com retoques de massa para vedação de juntas, orifícios e outros defeitos</v>
          </cell>
          <cell r="C640" t="str">
            <v>ML</v>
          </cell>
          <cell r="D640">
            <v>1.4215</v>
          </cell>
        </row>
        <row r="641">
          <cell r="A641" t="str">
            <v>001.14.00640</v>
          </cell>
          <cell r="B641" t="str">
            <v>Pintura externa à óleo em madeira (portões, cerca, etc) à 03 demãos s/ aparelhamento e emassamento prévio</v>
          </cell>
          <cell r="C641" t="str">
            <v>M2</v>
          </cell>
          <cell r="D641">
            <v>7.2100999999999997</v>
          </cell>
        </row>
        <row r="642">
          <cell r="A642" t="str">
            <v>001.14.00660</v>
          </cell>
          <cell r="B642" t="str">
            <v>Pintura à óleo em madeiramento aparente (galpões, passadiços e beirais) a 3 demãos sem aparelhamento e emassamento prévio</v>
          </cell>
          <cell r="C642" t="str">
            <v>M2</v>
          </cell>
          <cell r="D642">
            <v>5.1166</v>
          </cell>
        </row>
        <row r="643">
          <cell r="A643" t="str">
            <v>001.14.00680</v>
          </cell>
          <cell r="B643" t="str">
            <v>Pintura externa c/ verniz plástico a base de poliuretano (verniz de barco) aplicado à 3 demãos sobre esquadrias e peça de madeira expostas ao tempo convenientemente intercalado entre as demãos</v>
          </cell>
          <cell r="C643" t="str">
            <v>M2</v>
          </cell>
          <cell r="D643">
            <v>6.3780999999999999</v>
          </cell>
        </row>
        <row r="644">
          <cell r="A644" t="str">
            <v>001.14.00700</v>
          </cell>
          <cell r="B644" t="str">
            <v>Pintura envernizamento de alvenaria aparente inclusive a preparação da superfície em 02 demãos</v>
          </cell>
          <cell r="C644" t="str">
            <v>M2</v>
          </cell>
          <cell r="D644">
            <v>6.2975000000000003</v>
          </cell>
        </row>
        <row r="645">
          <cell r="A645" t="str">
            <v>001.14.00720</v>
          </cell>
          <cell r="B645" t="str">
            <v>Pintura com verniz acrílico sobre paredes de concreto aplicado à duas demãos</v>
          </cell>
          <cell r="C645" t="str">
            <v>M2</v>
          </cell>
          <cell r="D645">
            <v>4.5688000000000004</v>
          </cell>
        </row>
        <row r="646">
          <cell r="A646" t="str">
            <v>001.14.00740</v>
          </cell>
          <cell r="B646" t="str">
            <v>Envernizamento interno em esquadrias ou forro de madeira executador da seguinte forma:lixamento e limpeza preliminar, correção de defeitos com massa incolor seguido de lixamento, duas demãos de verniz de  aparelho e lixamento e 02 demãos de verniz</v>
          </cell>
          <cell r="C646" t="str">
            <v>m2</v>
          </cell>
          <cell r="D646">
            <v>6.9675000000000002</v>
          </cell>
        </row>
        <row r="647">
          <cell r="A647" t="str">
            <v>001.14.00780</v>
          </cell>
          <cell r="B647" t="str">
            <v>Pintura - envernizamento de rodapés de madeira lixada e aparelhada com retoque de massa para correção de juntas e orifícios, verniz e acabamento aplicado em duas demãos a pincel</v>
          </cell>
          <cell r="C647" t="str">
            <v>M2</v>
          </cell>
          <cell r="D647">
            <v>1.3131999999999999</v>
          </cell>
        </row>
        <row r="648">
          <cell r="A648" t="str">
            <v>001.14.00800</v>
          </cell>
          <cell r="B648" t="str">
            <v>Pintura - envernizamento de rodapés de madeira lixada e aparelhada com retoque de massa para correção de juntas e orifícios, verniz e acabamento aplicado em duas demãos a boneca</v>
          </cell>
          <cell r="C648" t="str">
            <v>M2</v>
          </cell>
          <cell r="D648">
            <v>1.4215</v>
          </cell>
        </row>
        <row r="649">
          <cell r="A649" t="str">
            <v>001.14.00820</v>
          </cell>
          <cell r="B649" t="str">
            <v>Enceramento de madeira à boneca (portas, lambris, painéis  divisões) recomendada apenas para madeiras nobres como imbuia, caviúna, perobinha do campo, jacarandá, etc. e executado como segue: limpeza e lixamento preliminar, obturação de orifíc</v>
          </cell>
          <cell r="C649" t="str">
            <v>M2</v>
          </cell>
          <cell r="D649">
            <v>6.3494999999999999</v>
          </cell>
        </row>
        <row r="650">
          <cell r="A650" t="str">
            <v>001.14.00840</v>
          </cell>
          <cell r="B650" t="str">
            <v>Pintura externa em madeira aparente c/ líquido imunizante aplicado à brocha, pistola ou por imersão de acordo com as especificações  do fabricante</v>
          </cell>
          <cell r="C650" t="str">
            <v>M2</v>
          </cell>
          <cell r="D650">
            <v>1.6244000000000001</v>
          </cell>
        </row>
        <row r="651">
          <cell r="A651" t="str">
            <v>001.14.00860</v>
          </cell>
          <cell r="B651" t="str">
            <v>Pintura c/nata de cimento</v>
          </cell>
          <cell r="C651" t="str">
            <v>M2</v>
          </cell>
          <cell r="D651">
            <v>1.9872000000000001</v>
          </cell>
        </row>
        <row r="652">
          <cell r="A652" t="str">
            <v>001.14.00880</v>
          </cell>
          <cell r="B652" t="str">
            <v>Pintura novacor piso</v>
          </cell>
          <cell r="C652" t="str">
            <v>M2</v>
          </cell>
          <cell r="D652">
            <v>3.8085</v>
          </cell>
        </row>
        <row r="653">
          <cell r="A653" t="str">
            <v>001.14.00885</v>
          </cell>
          <cell r="B653" t="str">
            <v>Pintura de marcação da quadra de esportes c/tinta especial (conf.especificação da cbd) inclusive preparo da superfície (larg. 5.00 cm)</v>
          </cell>
          <cell r="C653" t="str">
            <v>ml</v>
          </cell>
          <cell r="D653">
            <v>4.2210000000000001</v>
          </cell>
        </row>
        <row r="654">
          <cell r="A654" t="str">
            <v>001.14.00890</v>
          </cell>
          <cell r="B654" t="str">
            <v>Pintura de marcação do campo de futebol a cal inclusive preparação do terreno largura 10 cm (conf. especif.do dop)</v>
          </cell>
          <cell r="C654" t="str">
            <v>ml</v>
          </cell>
          <cell r="D654">
            <v>3.1065</v>
          </cell>
        </row>
        <row r="655">
          <cell r="A655" t="str">
            <v>001.14.00895</v>
          </cell>
          <cell r="B655" t="str">
            <v>Demarcação de faixa com tinta acrílica especial - largura 10.00 cm</v>
          </cell>
          <cell r="C655" t="str">
            <v>ml</v>
          </cell>
          <cell r="D655">
            <v>5.4360999999999997</v>
          </cell>
        </row>
        <row r="656">
          <cell r="A656" t="str">
            <v>001.14.00900</v>
          </cell>
          <cell r="B656" t="str">
            <v>Resina aplicada a duas demaos em pisos diversos</v>
          </cell>
          <cell r="C656" t="str">
            <v>M2</v>
          </cell>
          <cell r="D656">
            <v>1.9628000000000001</v>
          </cell>
        </row>
        <row r="657">
          <cell r="A657" t="str">
            <v>001.14.00920</v>
          </cell>
          <cell r="B657" t="str">
            <v>Raspagem, lixamento e aplicacao de sinteco fosco e semi-fosco</v>
          </cell>
          <cell r="C657" t="str">
            <v>M2</v>
          </cell>
          <cell r="D657">
            <v>6.0039999999999996</v>
          </cell>
        </row>
        <row r="658">
          <cell r="A658" t="str">
            <v>001.14.00940</v>
          </cell>
          <cell r="B658" t="str">
            <v>Pintura em concreto aparente com silicone aplicado a duas demãos</v>
          </cell>
          <cell r="C658" t="str">
            <v>m2</v>
          </cell>
          <cell r="D658">
            <v>5.9654999999999996</v>
          </cell>
        </row>
        <row r="659">
          <cell r="A659" t="str">
            <v>001.14.00960</v>
          </cell>
          <cell r="B659" t="str">
            <v>Pintura do nome do estado e da atividade</v>
          </cell>
          <cell r="C659" t="str">
            <v>UN</v>
          </cell>
          <cell r="D659">
            <v>188.68</v>
          </cell>
        </row>
        <row r="660">
          <cell r="A660" t="str">
            <v>001.14.00990</v>
          </cell>
          <cell r="B660" t="str">
            <v>Pintura Epóxi em Piso a Duas Demãos Sobre Superfície Rebocada, incl Limpeza da superfície</v>
          </cell>
          <cell r="C660" t="str">
            <v>m2</v>
          </cell>
          <cell r="D660">
            <v>9.5902999999999992</v>
          </cell>
        </row>
        <row r="661">
          <cell r="A661" t="str">
            <v>001.14.00995</v>
          </cell>
          <cell r="B661" t="str">
            <v>Pintura Epóxi em Piscina ou Área Molhada à Duas Demãos Sobre Superfície Rebocada, incl preparação da superfície</v>
          </cell>
          <cell r="C661" t="str">
            <v>m2</v>
          </cell>
          <cell r="D661">
            <v>11.5015</v>
          </cell>
        </row>
        <row r="662">
          <cell r="A662" t="str">
            <v>001.14.00996</v>
          </cell>
          <cell r="B662" t="str">
            <v>Demarcação de Faixa Com Tinta Epóxi em Pisos, à Duas Demãos, Incl. Preparo da Superfície</v>
          </cell>
          <cell r="C662" t="str">
            <v>ml</v>
          </cell>
          <cell r="D662">
            <v>4.1375999999999999</v>
          </cell>
        </row>
        <row r="663">
          <cell r="A663" t="str">
            <v>001.14.00997</v>
          </cell>
          <cell r="B663" t="str">
            <v>Demarcação de Faixa Com Tinta Epóxi em Piscinas ou Áreas Molhadas, à Duas Demãos, Incl. Preparo da Superfície</v>
          </cell>
          <cell r="C663" t="str">
            <v>ml</v>
          </cell>
          <cell r="D663">
            <v>4.1375999999999999</v>
          </cell>
        </row>
        <row r="664">
          <cell r="A664" t="str">
            <v>001.14.01020</v>
          </cell>
          <cell r="B664" t="str">
            <v>Pintura de conservação de parede ou teto sem retoque de massa,com látex pva(1ª Linha Renner ou Suvinil) à uma demão, incl. aplicação fundo preparador base solvente</v>
          </cell>
          <cell r="C664" t="str">
            <v>m2</v>
          </cell>
          <cell r="D664">
            <v>3.2517999999999998</v>
          </cell>
        </row>
        <row r="665">
          <cell r="A665" t="str">
            <v>001.14.01040</v>
          </cell>
          <cell r="B665" t="str">
            <v>Pintura de conservação de parede ou teto sem retoque de massa,com látex pva(1ª Linha Renner ou Suvinil)  a duas demãos, incl.  aplicação fundo preparador base solvente</v>
          </cell>
          <cell r="C665" t="str">
            <v>m2</v>
          </cell>
          <cell r="D665">
            <v>4.0791000000000004</v>
          </cell>
        </row>
        <row r="666">
          <cell r="A666" t="str">
            <v>001.14.01060</v>
          </cell>
          <cell r="B666" t="str">
            <v>Pintura de conservação de parede ou teto sem retoque de massa,com tinta a oleo  à uma demão, incl. aplicação fundo preparador base solvente</v>
          </cell>
          <cell r="C666" t="str">
            <v>m2</v>
          </cell>
          <cell r="D666">
            <v>3.8188</v>
          </cell>
        </row>
        <row r="667">
          <cell r="A667" t="str">
            <v>001.14.01080</v>
          </cell>
          <cell r="B667" t="str">
            <v>Pintura de conservação de parede ou teto sem retoque de massa,com tinta a oleo a duas demãos, incl. aplicação fundo preparador base solvente</v>
          </cell>
          <cell r="C667" t="str">
            <v>m2</v>
          </cell>
          <cell r="D667">
            <v>5.5712000000000002</v>
          </cell>
        </row>
        <row r="668">
          <cell r="A668" t="str">
            <v>001.14.01100</v>
          </cell>
          <cell r="B668" t="str">
            <v>Pintura de conservação de parede ou teto sem retoque de massa,com tinta látex acrilico(1ª Linha Renner ou Suvinil) à uma demão, incl. aplicação fundo preparador base solvente</v>
          </cell>
          <cell r="C668" t="str">
            <v>m2</v>
          </cell>
          <cell r="D668">
            <v>3.3854000000000002</v>
          </cell>
        </row>
        <row r="669">
          <cell r="A669" t="str">
            <v>001.14.01120</v>
          </cell>
          <cell r="B669" t="str">
            <v>Pintura de conservação de parede ou teto sem retoque de massa,com tinta látex acrilico(1ª Linha Renner ou Suvinil) a duas demãos, incl. aplicação fundo preparador base solvente</v>
          </cell>
          <cell r="C669" t="str">
            <v>m2</v>
          </cell>
          <cell r="D669">
            <v>4.2451999999999996</v>
          </cell>
        </row>
        <row r="670">
          <cell r="A670" t="str">
            <v>001.14.01140</v>
          </cell>
          <cell r="B670" t="str">
            <v>Pintura de conservação em parede ou teto com retoque de massa, com látex pva(1ª Linha Renner ou Suvinil)  à duas demãos, incl. aplicação fundo preparador base solvente</v>
          </cell>
          <cell r="C670" t="str">
            <v>m2</v>
          </cell>
          <cell r="D670">
            <v>5.0374999999999996</v>
          </cell>
        </row>
        <row r="671">
          <cell r="A671" t="str">
            <v>001.14.01160</v>
          </cell>
          <cell r="B671" t="str">
            <v>Pintura de conservação em parede ou teto com retoque de massa, com tinta a óleo  à duas demãos incl. aplicação fundo preparador base solvente</v>
          </cell>
          <cell r="C671" t="str">
            <v>m2</v>
          </cell>
          <cell r="D671">
            <v>6.0312000000000001</v>
          </cell>
        </row>
        <row r="672">
          <cell r="A672" t="str">
            <v>001.14.01180</v>
          </cell>
          <cell r="B672" t="str">
            <v>Pintura de conservação em parede ou teto com retoque de massa, com tinta latéx acrilílico(1ª Linha Renner ou Suvinil) à duas demãos, incl. aplicação fundo preparador base solvente</v>
          </cell>
          <cell r="C672" t="str">
            <v>m2</v>
          </cell>
          <cell r="D672">
            <v>5.2035999999999998</v>
          </cell>
        </row>
        <row r="673">
          <cell r="A673" t="str">
            <v>001.14.01200</v>
          </cell>
          <cell r="B673" t="str">
            <v>Pintura de conservação em esquadria metálica com tinta a oleo à uma demão com retoque da pintura de base (zarcão ou grafite)</v>
          </cell>
          <cell r="C673" t="str">
            <v>M2</v>
          </cell>
          <cell r="D673">
            <v>3.3538000000000001</v>
          </cell>
        </row>
        <row r="674">
          <cell r="A674" t="str">
            <v>001.14.01220</v>
          </cell>
          <cell r="B674" t="str">
            <v>Pintura de conservação em esquadria metálica com tinta a oleo a duas demãos com retoque da pintura de base (zarcão ou grafite)</v>
          </cell>
          <cell r="C674" t="str">
            <v>M2</v>
          </cell>
          <cell r="D674">
            <v>5.1830999999999996</v>
          </cell>
        </row>
        <row r="675">
          <cell r="A675" t="str">
            <v>001.14.01240</v>
          </cell>
          <cell r="B675" t="str">
            <v>Pintura de conservação em esquadria metálica com tinta grafite à uma demão com retoque da pintura de base (zarcão ou grafite)</v>
          </cell>
          <cell r="C675" t="str">
            <v>M2</v>
          </cell>
          <cell r="D675">
            <v>3.5670000000000002</v>
          </cell>
        </row>
        <row r="676">
          <cell r="A676" t="str">
            <v>001.14.01260</v>
          </cell>
          <cell r="B676" t="str">
            <v>Pintura de conservação em esquadria metálica com tinta grafite a duas demãos com retoque da pintura de base (zarcão ou grafite)</v>
          </cell>
          <cell r="C676" t="str">
            <v>M2</v>
          </cell>
          <cell r="D676">
            <v>5.5922999999999998</v>
          </cell>
        </row>
        <row r="677">
          <cell r="A677" t="str">
            <v>001.14.01280</v>
          </cell>
          <cell r="B677" t="str">
            <v>Pintura de conservação em esquadria metálica com tinta esmalte à uma demão com retoque da pintura de base (zarcão ou grafite)</v>
          </cell>
          <cell r="C677" t="str">
            <v>M2</v>
          </cell>
          <cell r="D677">
            <v>3.5670000000000002</v>
          </cell>
        </row>
        <row r="678">
          <cell r="A678" t="str">
            <v>001.14.01300</v>
          </cell>
          <cell r="B678" t="str">
            <v>Pintura de conservação em esquadria metálica com tinta esmalte a duas demãos com retoque da pintura de base (zarcão ou grafite)</v>
          </cell>
          <cell r="C678" t="str">
            <v>M2</v>
          </cell>
          <cell r="D678">
            <v>5.5922999999999998</v>
          </cell>
        </row>
        <row r="679">
          <cell r="A679" t="str">
            <v>001.15</v>
          </cell>
          <cell r="B679" t="str">
            <v>SERVIÇOS COMPLEMENTARES</v>
          </cell>
          <cell r="D679">
            <v>12847.773999999999</v>
          </cell>
        </row>
        <row r="680">
          <cell r="A680" t="str">
            <v>001.15.00020</v>
          </cell>
          <cell r="B680" t="str">
            <v>Fornecimento de quadro negro conforme detalhe do dop de 4.00x1.20m executado na obra. após chapisco prévio será executado o emboço com argamassa 1:4:8 e reboco com argamassa 1:2 ;12 de granulação fina com superfície cuidadosamente desempenada. pintura p</v>
          </cell>
          <cell r="C680" t="str">
            <v>UN</v>
          </cell>
          <cell r="D680">
            <v>118.06019999999999</v>
          </cell>
        </row>
        <row r="681">
          <cell r="A681" t="str">
            <v>001.15.00040</v>
          </cell>
          <cell r="B681" t="str">
            <v>Fornecimento de quadro negro conforme detalhe do dop de 4.00x1.20 m executado na obra, a 80 cm do piso acabado. após chapisco prévio será executado o emboço 1:4:8 e reboco com argamassa 1:4:12 de granulação fina com a superfície cuidadosamente desempena</v>
          </cell>
          <cell r="C681" t="str">
            <v>UN</v>
          </cell>
          <cell r="D681">
            <v>110.9093</v>
          </cell>
        </row>
        <row r="682">
          <cell r="A682" t="str">
            <v>001.15.00060</v>
          </cell>
          <cell r="B682" t="str">
            <v>Recuperação de quadro negro com retoque de massa (base de óleo) lixamento e polimento com lixa de água e pintura com duas demãos de tinta verde opaca especial</v>
          </cell>
          <cell r="C682" t="str">
            <v>UN</v>
          </cell>
          <cell r="D682">
            <v>52.200299999999999</v>
          </cell>
        </row>
        <row r="683">
          <cell r="A683" t="str">
            <v>001.15.00080</v>
          </cell>
          <cell r="B683" t="str">
            <v>Fornecimento e instalação de quadro negro de madeira compensada 6 mm de espessura incl.moldura e porta giz</v>
          </cell>
          <cell r="C683" t="str">
            <v>M2</v>
          </cell>
          <cell r="D683">
            <v>39.831699999999998</v>
          </cell>
        </row>
        <row r="684">
          <cell r="A684" t="str">
            <v>001.15.00100</v>
          </cell>
          <cell r="B684" t="str">
            <v>Fornecimento e instalação de porta giz de madeira c/guarnição</v>
          </cell>
          <cell r="C684" t="str">
            <v>ML</v>
          </cell>
          <cell r="D684">
            <v>3.6802000000000001</v>
          </cell>
        </row>
        <row r="685">
          <cell r="A685" t="str">
            <v>001.15.00120</v>
          </cell>
          <cell r="B685" t="str">
            <v>Fornecimento e instalação de placa de inauguração para grupo escolar (25.00x40.00) cm</v>
          </cell>
          <cell r="C685" t="str">
            <v>UN</v>
          </cell>
          <cell r="D685">
            <v>154.75360000000001</v>
          </cell>
        </row>
        <row r="686">
          <cell r="A686" t="str">
            <v>001.15.00140</v>
          </cell>
          <cell r="B686" t="str">
            <v>Fornecimento e instalação de placa de inauguração para cadeias públicas (36.50x47.00) cm</v>
          </cell>
          <cell r="C686" t="str">
            <v>UN</v>
          </cell>
          <cell r="D686">
            <v>204.75360000000001</v>
          </cell>
        </row>
        <row r="687">
          <cell r="A687" t="str">
            <v>001.15.00160</v>
          </cell>
          <cell r="B687" t="str">
            <v>Fornecimento e instalação de placa de inauguração p/ escritório regional urbano da prodeagro - 25x40cm</v>
          </cell>
          <cell r="C687" t="str">
            <v>UN</v>
          </cell>
          <cell r="D687">
            <v>1354.7536</v>
          </cell>
        </row>
        <row r="688">
          <cell r="A688" t="str">
            <v>001.15.00180</v>
          </cell>
          <cell r="B688" t="str">
            <v>Fornecimento e instalação de placa de inauguração em alumínio fundido 65.00x75.00cm</v>
          </cell>
          <cell r="C688" t="str">
            <v>UN</v>
          </cell>
          <cell r="D688">
            <v>403.83240000000001</v>
          </cell>
        </row>
        <row r="689">
          <cell r="A689" t="str">
            <v>001.15.00220</v>
          </cell>
          <cell r="B689" t="str">
            <v>Fornecimento e instalação de mastro p/bandeira em poste cônico inclusive pintura e pertences altura livre 5.00 m</v>
          </cell>
          <cell r="C689" t="str">
            <v>UN</v>
          </cell>
          <cell r="D689">
            <v>202.20920000000001</v>
          </cell>
        </row>
        <row r="690">
          <cell r="A690" t="str">
            <v>001.15.00240</v>
          </cell>
          <cell r="B690" t="str">
            <v>Fornecimento e instalação de mastro p/bandeira em cano galvanizado diâmetro 3 pol inclusive pintura e pertences altura livre 5 m</v>
          </cell>
          <cell r="C690" t="str">
            <v>UN</v>
          </cell>
          <cell r="D690">
            <v>371.83190000000002</v>
          </cell>
        </row>
        <row r="691">
          <cell r="A691" t="str">
            <v>001.15.00260</v>
          </cell>
          <cell r="B691" t="str">
            <v>Fornecimento e instalação de mastro p/bandeira constituído de 3 postes de cano galvanizado diâmetro 3 pol conforme detalhe do dop</v>
          </cell>
          <cell r="C691" t="str">
            <v>CJ</v>
          </cell>
          <cell r="D691">
            <v>1926.1723</v>
          </cell>
        </row>
        <row r="692">
          <cell r="A692" t="str">
            <v>001.15.00280</v>
          </cell>
          <cell r="B692" t="str">
            <v>Fornecimento e instalação de trave p/futebol de salão incluindo pintura, rede de nylon conforme detalhe dop</v>
          </cell>
          <cell r="C692" t="str">
            <v>CJ</v>
          </cell>
          <cell r="D692">
            <v>733.02239999999995</v>
          </cell>
        </row>
        <row r="693">
          <cell r="A693" t="str">
            <v>001.15.00320</v>
          </cell>
          <cell r="B693" t="str">
            <v>Fornecimento e instalação de suporte p/tabela de basquete em treliçado inclusive pilares de concreto armado (aparente), fundação, pintura (treliças) conforme det. do dop</v>
          </cell>
          <cell r="C693" t="str">
            <v>UN</v>
          </cell>
          <cell r="D693">
            <v>2321.2620000000002</v>
          </cell>
        </row>
        <row r="694">
          <cell r="A694" t="str">
            <v>001.15.00360</v>
          </cell>
          <cell r="B694" t="str">
            <v>Fornecimento e instalação de suporte p/voley em cano galvanizado diâmetro 3 pol inclusive pintura dos mastros, catraca, rede e demais pertences ( 02 postes)</v>
          </cell>
          <cell r="C694" t="str">
            <v>CJ</v>
          </cell>
          <cell r="D694">
            <v>454.94439999999997</v>
          </cell>
        </row>
        <row r="695">
          <cell r="A695" t="str">
            <v>001.15.00370</v>
          </cell>
          <cell r="B695" t="str">
            <v>Execução de Arquibancada Com 03 degraus em Estrutura Mista de Concreto Armado e Alvenaria, Conf. Det. SINFRA</v>
          </cell>
          <cell r="C695" t="str">
            <v>ml</v>
          </cell>
          <cell r="D695">
            <v>1287.9147</v>
          </cell>
        </row>
        <row r="696">
          <cell r="A696" t="str">
            <v>001.15.00720</v>
          </cell>
          <cell r="B696" t="str">
            <v>Fornecimento e instalação de bancada seca em ardósia polida  1.50 x 0.80</v>
          </cell>
          <cell r="C696" t="str">
            <v>UN</v>
          </cell>
          <cell r="D696">
            <v>180.38390000000001</v>
          </cell>
        </row>
        <row r="697">
          <cell r="A697" t="str">
            <v>001.15.00760</v>
          </cell>
          <cell r="B697" t="str">
            <v>Fornecimento e instalação de bancada seca em granito polido</v>
          </cell>
          <cell r="C697" t="str">
            <v>M2</v>
          </cell>
          <cell r="D697">
            <v>213.06979999999999</v>
          </cell>
        </row>
        <row r="698">
          <cell r="A698" t="str">
            <v>001.15.00860</v>
          </cell>
          <cell r="B698" t="str">
            <v>Fornecimento e assentamento de revestimento externo com retalhos de pedra de mao</v>
          </cell>
          <cell r="C698" t="str">
            <v>M2</v>
          </cell>
          <cell r="D698">
            <v>10.0808</v>
          </cell>
        </row>
        <row r="699">
          <cell r="A699" t="str">
            <v>001.15.00940</v>
          </cell>
          <cell r="B699" t="str">
            <v>Fornecimento e instalação de armário sob pia em fórmica</v>
          </cell>
          <cell r="C699" t="str">
            <v>M2</v>
          </cell>
          <cell r="D699">
            <v>225</v>
          </cell>
        </row>
        <row r="700">
          <cell r="A700" t="str">
            <v>001.15.00960</v>
          </cell>
          <cell r="B700" t="str">
            <v>Fornecimento e instalação de armário em madeira aparente aparelhada e tratada</v>
          </cell>
          <cell r="C700" t="str">
            <v>M2</v>
          </cell>
          <cell r="D700">
            <v>114.4205</v>
          </cell>
        </row>
        <row r="701">
          <cell r="A701" t="str">
            <v>001.15.00980</v>
          </cell>
          <cell r="B701" t="str">
            <v>Fornecimento e instalação de armário em alvenaria com prateleiras de madeira aparelhada (2,40x0,60x3,00)m</v>
          </cell>
          <cell r="C701" t="str">
            <v>UN</v>
          </cell>
          <cell r="D701">
            <v>287.95139999999998</v>
          </cell>
        </row>
        <row r="702">
          <cell r="A702" t="str">
            <v>001.15.01000</v>
          </cell>
          <cell r="B702" t="str">
            <v>Fornecimento e instalação de balcão de madeira conf. projeto 12.20 x 0.60 x 1.00 m</v>
          </cell>
          <cell r="C702" t="str">
            <v>UN</v>
          </cell>
          <cell r="D702">
            <v>969.9</v>
          </cell>
        </row>
        <row r="703">
          <cell r="A703" t="str">
            <v>001.15.01080</v>
          </cell>
          <cell r="B703" t="str">
            <v>Fornecimento e instalação de exaustor elétrico com d=50cm 1cv</v>
          </cell>
          <cell r="C703" t="str">
            <v>UN</v>
          </cell>
          <cell r="D703">
            <v>161.83240000000001</v>
          </cell>
        </row>
        <row r="704">
          <cell r="A704" t="str">
            <v>001.15.01140</v>
          </cell>
          <cell r="B704" t="str">
            <v>Fornecimento e instalação de mola p/ porta tipo vai-vem</v>
          </cell>
          <cell r="C704" t="str">
            <v>UN</v>
          </cell>
          <cell r="D704">
            <v>33.307000000000002</v>
          </cell>
        </row>
        <row r="705">
          <cell r="A705" t="str">
            <v>001.15.01220</v>
          </cell>
          <cell r="B705" t="str">
            <v>Fornecimento e instalação  de banca ou tampo de ardósia natural cor preta tipo on c/ resinex</v>
          </cell>
          <cell r="C705" t="str">
            <v>M2</v>
          </cell>
          <cell r="D705">
            <v>109.943</v>
          </cell>
        </row>
        <row r="706">
          <cell r="A706" t="str">
            <v>001.15.01240</v>
          </cell>
          <cell r="B706" t="str">
            <v>Fornecimento e instalação de banca ou tampo em ardósia polida esp. 3cm</v>
          </cell>
          <cell r="C706" t="str">
            <v>M2</v>
          </cell>
          <cell r="D706">
            <v>108.2216</v>
          </cell>
        </row>
        <row r="707">
          <cell r="A707" t="str">
            <v>001.15.01320</v>
          </cell>
          <cell r="B707" t="str">
            <v>Fornecimento e instalação de portão em cano galvanizado 2 pol e tela galvanizada malha 2cm</v>
          </cell>
          <cell r="C707" t="str">
            <v>M2</v>
          </cell>
          <cell r="D707">
            <v>100.0842</v>
          </cell>
        </row>
        <row r="708">
          <cell r="A708" t="str">
            <v>001.15.01400</v>
          </cell>
          <cell r="B708" t="str">
            <v>Fornecimento e instalação de bancada, tampo ou balcão em granito cinza polido, espessura 2.00 cm</v>
          </cell>
          <cell r="C708" t="str">
            <v>M2</v>
          </cell>
          <cell r="D708">
            <v>135.2216</v>
          </cell>
        </row>
        <row r="709">
          <cell r="A709" t="str">
            <v>001.15.01460</v>
          </cell>
          <cell r="B709" t="str">
            <v>Fornecimento e instalação de caixa de concreto pré-moldado para ar condicionado de 10.000 btu</v>
          </cell>
          <cell r="C709" t="str">
            <v>UN</v>
          </cell>
          <cell r="D709">
            <v>54.443199999999997</v>
          </cell>
        </row>
        <row r="710">
          <cell r="A710" t="str">
            <v>001.15.01560</v>
          </cell>
          <cell r="B710" t="str">
            <v>Fornecimento e instalação de bancada em granito cinza polido l=0,60m sobre alvenaria revestida de azulejo branco, exceto cubas (quantificada e orçada na parte hidráulica)</v>
          </cell>
          <cell r="C710" t="str">
            <v>ML</v>
          </cell>
          <cell r="D710">
            <v>140.9074</v>
          </cell>
        </row>
        <row r="711">
          <cell r="A711" t="str">
            <v>001.15.01600</v>
          </cell>
          <cell r="B711" t="str">
            <v>Fornecimento e instalação de balcão de atendimento em madeira l=0,40m e=0,05m apoiado sobre alvenaria aparente de tijolo cerâmico de 21 furos, inclusive passagem pelo balcão</v>
          </cell>
          <cell r="C711" t="str">
            <v>M</v>
          </cell>
          <cell r="D711">
            <v>108.1168</v>
          </cell>
        </row>
        <row r="712">
          <cell r="A712" t="str">
            <v>001.15.01620</v>
          </cell>
          <cell r="B712" t="str">
            <v>Fornecimento e instalação de corrimao em tubo galvanizado 1"""" chumbado no piso h=1,00m pintado com tinta à óleo 02 demãos</v>
          </cell>
          <cell r="C712" t="str">
            <v>M</v>
          </cell>
          <cell r="D712">
            <v>55.084299999999999</v>
          </cell>
        </row>
        <row r="713">
          <cell r="A713" t="str">
            <v>001.15.01640</v>
          </cell>
          <cell r="B713" t="str">
            <v>Fornecimento e instalação de corrimão em tubo galvanizado 2"""" chumbado no piso h=1.00 m pintado com tinta à óleo 02 demãos</v>
          </cell>
          <cell r="C713" t="str">
            <v>ML</v>
          </cell>
          <cell r="D713">
            <v>99.674300000000002</v>
          </cell>
        </row>
        <row r="714">
          <cell r="A714" t="str">
            <v>***</v>
          </cell>
          <cell r="B714" t="str">
            <v>Fornecimento e instalação de quadro negro, abaulado, c=5.00 m, h=1.30 m, apoiado em pedra de ardósia com moldura em madeira, conforme detalhe</v>
          </cell>
          <cell r="C714" t="str">
            <v>un</v>
          </cell>
          <cell r="D714">
            <v>541.83000000000004</v>
          </cell>
        </row>
        <row r="715">
          <cell r="A715" t="str">
            <v>001.16</v>
          </cell>
          <cell r="B715" t="str">
            <v>URBANIZAÇÃO</v>
          </cell>
          <cell r="D715">
            <v>2312.7172</v>
          </cell>
        </row>
        <row r="716">
          <cell r="A716" t="str">
            <v>001.16.00241</v>
          </cell>
          <cell r="B716" t="str">
            <v>Fornecimento e Plantio de Agave Comum (pequena), com manutenção por 60 dias com irrigação, pulverização, poda e substituição de mudas mortas</v>
          </cell>
          <cell r="C716" t="str">
            <v>un</v>
          </cell>
          <cell r="D716">
            <v>7.3754</v>
          </cell>
        </row>
        <row r="717">
          <cell r="A717" t="str">
            <v>001.16.00242</v>
          </cell>
          <cell r="B717" t="str">
            <v>Fornecimento e Plantio de Agave Comum (média), com manutenção por 60 dias com irrigação, pulverização, poda e substituição de mudas mortas</v>
          </cell>
          <cell r="C717" t="str">
            <v>un</v>
          </cell>
          <cell r="D717">
            <v>14.278</v>
          </cell>
        </row>
        <row r="718">
          <cell r="A718" t="str">
            <v>001.16.00243</v>
          </cell>
          <cell r="B718" t="str">
            <v>Fornecimento e Plantio de Agave Comum (grande), com manutenção por 60 dias com irrigação, pulverização, poda e substituição de mudas mortas</v>
          </cell>
          <cell r="C718" t="str">
            <v>un</v>
          </cell>
          <cell r="D718">
            <v>20.0794</v>
          </cell>
        </row>
        <row r="719">
          <cell r="A719" t="str">
            <v>001.16.00244</v>
          </cell>
          <cell r="B719" t="str">
            <v>Fornecimento e Plantio de Areca (pequena), com manutenção por 60 dias com irrigação, pulverização, poda e substituição de mudas mortas</v>
          </cell>
          <cell r="C719" t="str">
            <v>un</v>
          </cell>
          <cell r="D719">
            <v>10.375400000000001</v>
          </cell>
        </row>
        <row r="720">
          <cell r="A720" t="str">
            <v>001.16.00245</v>
          </cell>
          <cell r="B720" t="str">
            <v>Fornecimento e Plantio de Areca (média), com manutenção por 60 dias com irrigação, pulverização, poda e substituição de mudas mortas</v>
          </cell>
          <cell r="C720" t="str">
            <v>un</v>
          </cell>
          <cell r="D720">
            <v>19.277999999999999</v>
          </cell>
        </row>
        <row r="721">
          <cell r="A721" t="str">
            <v>001.16.00246</v>
          </cell>
          <cell r="B721" t="str">
            <v>Fornecimento e Plantio de Areca (grande), com manutenção por 60 dias com irrigação, pulverização, poda e substituição de mudas mortas</v>
          </cell>
          <cell r="C721" t="str">
            <v>un</v>
          </cell>
          <cell r="D721">
            <v>30.0794</v>
          </cell>
        </row>
        <row r="722">
          <cell r="A722" t="str">
            <v>001.16.00247</v>
          </cell>
          <cell r="B722" t="str">
            <v>Fornecimento e Plantio de Bauhínia Rosa (pequeno), com manutenção por 60 dias com irrigação, pulverização, poda e substituição de mudas mortas</v>
          </cell>
          <cell r="C722" t="str">
            <v>un</v>
          </cell>
          <cell r="D722">
            <v>6.0031999999999996</v>
          </cell>
        </row>
        <row r="723">
          <cell r="A723" t="str">
            <v>001.16.00248</v>
          </cell>
          <cell r="B723" t="str">
            <v>Fornecimento e Plantio de Bauhínia Rosa (médio), com manutenção por 60 dias com irrigação, pulverização, poda e substituição de mudas mortas</v>
          </cell>
          <cell r="C723" t="str">
            <v>un</v>
          </cell>
          <cell r="D723">
            <v>17.375399999999999</v>
          </cell>
        </row>
        <row r="724">
          <cell r="A724" t="str">
            <v>001.16.00249</v>
          </cell>
          <cell r="B724" t="str">
            <v>Fornecimento e Plantio de Bahuínia Rosa (grande), com manutenção por 60 dias com irrigação, pulverização, poda e substituição de mudas mortas</v>
          </cell>
          <cell r="C724" t="str">
            <v>un</v>
          </cell>
          <cell r="D724">
            <v>31.7027</v>
          </cell>
        </row>
        <row r="725">
          <cell r="A725" t="str">
            <v>001.16.00250</v>
          </cell>
          <cell r="B725" t="str">
            <v>Fornecimento e Plantio de Biri, com manutenção por 60 dias com irrigação, pulverização, poda e substituição de mudas mortas</v>
          </cell>
          <cell r="C725" t="str">
            <v>un</v>
          </cell>
          <cell r="D725">
            <v>7.5031999999999996</v>
          </cell>
        </row>
        <row r="726">
          <cell r="A726" t="str">
            <v>001.16.00251</v>
          </cell>
          <cell r="B726" t="str">
            <v>Fornecimento e Plantio de Chuva de Ouro (pequena), com manutenção por 60 dias com irrigação, pulverização, poda e substituição de mudas mortas</v>
          </cell>
          <cell r="C726" t="str">
            <v>un</v>
          </cell>
          <cell r="D726">
            <v>7.5031999999999996</v>
          </cell>
        </row>
        <row r="727">
          <cell r="A727" t="str">
            <v>001.16.00252</v>
          </cell>
          <cell r="B727" t="str">
            <v>Fornecimento e Plantio de Chuva de Ouro (média), com manutenção por 60 dias com irrigação, pulverização, poda e substituição de mudas mortas</v>
          </cell>
          <cell r="C727" t="str">
            <v>un</v>
          </cell>
          <cell r="D727">
            <v>13.3637</v>
          </cell>
        </row>
        <row r="728">
          <cell r="A728" t="str">
            <v>001.16.00253</v>
          </cell>
          <cell r="B728" t="str">
            <v>Fornecimento e Plantio de Chuva de Ouro (grande), com manutenção por 60 dias com irrigação, pulverização, poda e substituição de mudas mortas</v>
          </cell>
          <cell r="C728" t="str">
            <v>un</v>
          </cell>
          <cell r="D728">
            <v>17.375399999999999</v>
          </cell>
        </row>
        <row r="729">
          <cell r="A729" t="str">
            <v>001.16.00254</v>
          </cell>
          <cell r="B729" t="str">
            <v>Fornecimento e Plantio de Croton (pequena), com manutenção por 60 dias com irrigação, pulverização, poda e substituição de mudas mortas</v>
          </cell>
          <cell r="C729" t="str">
            <v>un</v>
          </cell>
          <cell r="D729">
            <v>3.5032000000000001</v>
          </cell>
        </row>
        <row r="730">
          <cell r="A730" t="str">
            <v>001.16.00255</v>
          </cell>
          <cell r="B730" t="str">
            <v>Fornecimento e Plantio de Croton (média), com manutenção por 60 dias com irrigação, pulverização, poda e substituição de mudas mortas</v>
          </cell>
          <cell r="C730" t="str">
            <v>un</v>
          </cell>
          <cell r="D730">
            <v>5.3636999999999997</v>
          </cell>
        </row>
        <row r="731">
          <cell r="A731" t="str">
            <v>001.16.00256</v>
          </cell>
          <cell r="B731" t="str">
            <v>Fornecimento e Plantio de Croton (grande), com manutenção por 60 dias com irrigação, pulverização, poda e substituição de mudas mortas</v>
          </cell>
          <cell r="C731" t="str">
            <v>un</v>
          </cell>
          <cell r="D731">
            <v>10.375400000000001</v>
          </cell>
        </row>
        <row r="732">
          <cell r="A732" t="str">
            <v>001.16.00257</v>
          </cell>
          <cell r="B732" t="str">
            <v>Fornecimento e Plantio de Dracena Marginata (pequena), com manutenção por 60 dias com irrigação, pulverização, poda e substituição de mudas mortas</v>
          </cell>
          <cell r="C732" t="str">
            <v>un</v>
          </cell>
          <cell r="D732">
            <v>8.8754000000000008</v>
          </cell>
        </row>
        <row r="733">
          <cell r="A733" t="str">
            <v>001.16.00258</v>
          </cell>
          <cell r="B733" t="str">
            <v>Fornecimento e Plantio de Dracena Marginata (média), com manutenção por 60 dias com irrigação, pulverização, poda e substituição de mudas mortas</v>
          </cell>
          <cell r="C733" t="str">
            <v>un</v>
          </cell>
          <cell r="D733">
            <v>17.375399999999999</v>
          </cell>
        </row>
        <row r="734">
          <cell r="A734" t="str">
            <v>001.16.00259</v>
          </cell>
          <cell r="B734" t="str">
            <v>Fornecimento e Plantio de Dracena Marginata (grande), com manutenção por 60 dias com irrigação, pulverização, poda e substituição de mudas mortas</v>
          </cell>
          <cell r="C734" t="str">
            <v>un</v>
          </cell>
          <cell r="D734">
            <v>29.277999999999999</v>
          </cell>
        </row>
        <row r="735">
          <cell r="A735" t="str">
            <v>001.16.00260</v>
          </cell>
          <cell r="B735" t="str">
            <v>Fornecimento e Plantio de Era Forrageira, com manutenção por 60 dias com irrigação, pulverização, poda e substituição de mudas mortas</v>
          </cell>
          <cell r="C735" t="str">
            <v>un</v>
          </cell>
          <cell r="D735">
            <v>2.0032000000000001</v>
          </cell>
        </row>
        <row r="736">
          <cell r="A736" t="str">
            <v>001.16.00261</v>
          </cell>
          <cell r="B736" t="str">
            <v>Fornecimento e Plantio de Eretrina (média), com manutenção por 60 dias com irrigação, pulverização, poda e substituição de mudas mortas</v>
          </cell>
          <cell r="C736" t="str">
            <v>un</v>
          </cell>
          <cell r="D736">
            <v>16.363700000000001</v>
          </cell>
        </row>
        <row r="737">
          <cell r="A737" t="str">
            <v>001.16.00262</v>
          </cell>
          <cell r="B737" t="str">
            <v>Fornecimento e Plantio de Hemigrafis Forrageira , com manutenção por 60 dias com irrigação, pulverização, poda e substituição de mudas mortas</v>
          </cell>
          <cell r="C737" t="str">
            <v>un</v>
          </cell>
          <cell r="D737">
            <v>1.5032000000000001</v>
          </cell>
        </row>
        <row r="738">
          <cell r="A738" t="str">
            <v>001.16.00263</v>
          </cell>
          <cell r="B738" t="str">
            <v>Fornecimento e Plantio de Hibisco Bicolor (pequena), com manutenção por 60 dias com irrigação, pulverização, poda e substituição de mudas mortas</v>
          </cell>
          <cell r="C738" t="str">
            <v>un</v>
          </cell>
          <cell r="D738">
            <v>3.5032000000000001</v>
          </cell>
        </row>
        <row r="739">
          <cell r="A739" t="str">
            <v>001.16.00264</v>
          </cell>
          <cell r="B739" t="str">
            <v>Fornecimento e Plantio de Hibisco Bicolor (média), com manutenção por 60 dias com irrigação, pulverização, poda e substituição de mudas mortas</v>
          </cell>
          <cell r="C739" t="str">
            <v>un</v>
          </cell>
          <cell r="D739">
            <v>5.3636999999999997</v>
          </cell>
        </row>
        <row r="740">
          <cell r="A740" t="str">
            <v>001.16.00265</v>
          </cell>
          <cell r="B740" t="str">
            <v>Fornecimento e Plantio de Hibisco Bicolor (grande), com manutenção por 60 dias com irrigação, pulverização, poda e substituição de mudas mortas</v>
          </cell>
          <cell r="C740" t="str">
            <v>un</v>
          </cell>
          <cell r="D740">
            <v>10.375400000000001</v>
          </cell>
        </row>
        <row r="741">
          <cell r="A741" t="str">
            <v>001.16.00266</v>
          </cell>
          <cell r="B741" t="str">
            <v>Fornecimento e Plantio de Ipê Amarelo (pequeno), com manutenção por 60 dias com irrigação, pulverização, poda e substituição de mudas mortas</v>
          </cell>
          <cell r="C741" t="str">
            <v>un</v>
          </cell>
          <cell r="D741">
            <v>9.3636999999999997</v>
          </cell>
        </row>
        <row r="742">
          <cell r="A742" t="str">
            <v>001.16.00267</v>
          </cell>
          <cell r="B742" t="str">
            <v>Fornecimento e Plantio de Ipê Amarelo (médio), com manutenção por 60 dias com irrigação, pulverização, poda e substituição de mudas mortas</v>
          </cell>
          <cell r="C742" t="str">
            <v>un</v>
          </cell>
          <cell r="D742">
            <v>14.375400000000001</v>
          </cell>
        </row>
        <row r="743">
          <cell r="A743" t="str">
            <v>001.16.00268</v>
          </cell>
          <cell r="B743" t="str">
            <v>Fornecimento e Plantio de Ipê Amarelo (grande), com manutenção por 60 dias com irrigação, pulverização, poda e substituição de mudas mortas</v>
          </cell>
          <cell r="C743" t="str">
            <v>un</v>
          </cell>
          <cell r="D743">
            <v>25.0794</v>
          </cell>
        </row>
        <row r="744">
          <cell r="A744" t="str">
            <v>001.16.00269</v>
          </cell>
          <cell r="B744" t="str">
            <v>Fornecimento e Plantio de Ipê Rosa (pequeno), com manutenção por 60 dias com irrigação, pulverização, poda e substituição de mudas mortas</v>
          </cell>
          <cell r="C744" t="str">
            <v>un</v>
          </cell>
          <cell r="D744">
            <v>10.375400000000001</v>
          </cell>
        </row>
        <row r="745">
          <cell r="A745" t="str">
            <v>001.16.00270</v>
          </cell>
          <cell r="B745" t="str">
            <v>Fornecimento e Plantio de Ipê Rosa (médio), com manutenção por 60 dias com irrigação, pulverização, poda e substituição de mudas mortas</v>
          </cell>
          <cell r="C745" t="str">
            <v>un</v>
          </cell>
          <cell r="D745">
            <v>16.277999999999999</v>
          </cell>
        </row>
        <row r="746">
          <cell r="A746" t="str">
            <v>001.16.00271</v>
          </cell>
          <cell r="B746" t="str">
            <v>Fornecimento e Plantio de Ipê Rosa (grande), com manutenção por 60 dias com irrigação, pulverização, poda e substituição de mudas mortas</v>
          </cell>
          <cell r="C746" t="str">
            <v>un</v>
          </cell>
          <cell r="D746">
            <v>24.406700000000001</v>
          </cell>
        </row>
        <row r="747">
          <cell r="A747" t="str">
            <v>001.16.00272</v>
          </cell>
          <cell r="B747" t="str">
            <v>Fornecimento e Plantio de Ipê Roxo (pequeno), com manutenção por 60 dias com irrigação, pulverização, poda e substituição de mudas mortas</v>
          </cell>
          <cell r="C747" t="str">
            <v>un</v>
          </cell>
          <cell r="D747">
            <v>10.375400000000001</v>
          </cell>
        </row>
        <row r="748">
          <cell r="A748" t="str">
            <v>001.16.00273</v>
          </cell>
          <cell r="B748" t="str">
            <v>Fornecimento e Plantio de Ipê Roxo (médio), com manutenção por 60 dias com irrigação, pulverização, poda e substituição de mudas mortas</v>
          </cell>
          <cell r="C748" t="str">
            <v>un</v>
          </cell>
          <cell r="D748">
            <v>17.0794</v>
          </cell>
        </row>
        <row r="749">
          <cell r="A749" t="str">
            <v>001.16.00274</v>
          </cell>
          <cell r="B749" t="str">
            <v>Fornecimento e Plantio de Ipê Roxo (grande), com manutenção por 60 dias com irrigação, pulverização, poda e substituição de mudas mortas</v>
          </cell>
          <cell r="C749" t="str">
            <v>un</v>
          </cell>
          <cell r="D749">
            <v>25.0794</v>
          </cell>
        </row>
        <row r="750">
          <cell r="A750" t="str">
            <v>001.16.00275</v>
          </cell>
          <cell r="B750" t="str">
            <v>Fornecimento e Plantio de Ixória Híbrida Amarela (pequena), com manutenção por 60 dias com irrigação, pulverização, poda e substituição de mudas mortas</v>
          </cell>
          <cell r="C750" t="str">
            <v>un</v>
          </cell>
          <cell r="D750">
            <v>3.5032000000000001</v>
          </cell>
        </row>
        <row r="751">
          <cell r="A751" t="str">
            <v>001.16.00276</v>
          </cell>
          <cell r="B751" t="str">
            <v>Fornecimento e Plantio de Ixória Híbrida Amarela (média), com manutenção por 60 dias com irrigação, pulverização, poda e substituição de mudas mortas</v>
          </cell>
          <cell r="C751" t="str">
            <v>un</v>
          </cell>
          <cell r="D751">
            <v>5.3636999999999997</v>
          </cell>
        </row>
        <row r="752">
          <cell r="A752" t="str">
            <v>001.16.00277</v>
          </cell>
          <cell r="B752" t="str">
            <v>Fornecimento e Plantio de Ixória Híbrida Amarela (grande), com manutenção por 60 dias com irrigação, pulverização, poda e substituição de mudas mortas</v>
          </cell>
          <cell r="C752" t="str">
            <v>un</v>
          </cell>
          <cell r="D752">
            <v>9.3636999999999997</v>
          </cell>
        </row>
        <row r="753">
          <cell r="A753" t="str">
            <v>001.16.00278</v>
          </cell>
          <cell r="B753" t="str">
            <v>Fornecimento e Plantio de Ixória Híbrida Vermelha (pequena), com manutenção por 60 dias com irrigação, pulverização, poda e substituição de mudas mortas</v>
          </cell>
          <cell r="C753" t="str">
            <v>un</v>
          </cell>
          <cell r="D753">
            <v>3.5032000000000001</v>
          </cell>
        </row>
        <row r="754">
          <cell r="A754" t="str">
            <v>001.16.00279</v>
          </cell>
          <cell r="B754" t="str">
            <v>Fornecimento e Plantio de Ixória Híbrida Vermelha (média), com manutenção por 60 dias com irrigação, pulverização, poda e substituição de mudas mortas</v>
          </cell>
          <cell r="C754" t="str">
            <v>un</v>
          </cell>
          <cell r="D754">
            <v>5.3636999999999997</v>
          </cell>
        </row>
        <row r="755">
          <cell r="A755" t="str">
            <v>001.16.00280</v>
          </cell>
          <cell r="B755" t="str">
            <v>Fornecimento e Plantio de Ixória Híbrida Vermelha (grande), com manutenção por 60 dias com irrigação, pulverização, poda e substituição de mudas mortas</v>
          </cell>
          <cell r="C755" t="str">
            <v>un</v>
          </cell>
          <cell r="D755">
            <v>9.3636999999999997</v>
          </cell>
        </row>
        <row r="756">
          <cell r="A756" t="str">
            <v>001.16.00281</v>
          </cell>
          <cell r="B756" t="str">
            <v>Fornecimento e Plantio de Jacarandá Mimoso (pequeno), com manutenção por 60 dias com irrigação, pulverização, poda e substituição de mudas mortas</v>
          </cell>
          <cell r="C756" t="str">
            <v>un</v>
          </cell>
          <cell r="D756">
            <v>4.8636999999999997</v>
          </cell>
        </row>
        <row r="757">
          <cell r="A757" t="str">
            <v>001.16.00282</v>
          </cell>
          <cell r="B757" t="str">
            <v>Fornecimento e Plantio de Jacarandá Mimoso (médio), com manutenção por 60 dias com irrigação, pulverização, poda e substituição de mudas mortas</v>
          </cell>
          <cell r="C757" t="str">
            <v>un</v>
          </cell>
          <cell r="D757">
            <v>16.277999999999999</v>
          </cell>
        </row>
        <row r="758">
          <cell r="A758" t="str">
            <v>001.16.00283</v>
          </cell>
          <cell r="B758" t="str">
            <v>Fornecimento e Plantio de Jacarandá Mimoso (grande), com manutenção por 60 dias com irrigação, pulverização, poda e substituição de mudas mortas</v>
          </cell>
          <cell r="C758" t="str">
            <v>un</v>
          </cell>
          <cell r="D758">
            <v>23.0794</v>
          </cell>
        </row>
        <row r="759">
          <cell r="A759" t="str">
            <v>001.16.00284</v>
          </cell>
          <cell r="B759" t="str">
            <v>Fornecimento e Plantio de Mini Flamboyant (pequena), com manutenção por 60 dias com irrigação, pulverização, poda e substituição de mudas mortas</v>
          </cell>
          <cell r="C759" t="str">
            <v>un</v>
          </cell>
          <cell r="D759">
            <v>4.8636999999999997</v>
          </cell>
        </row>
        <row r="760">
          <cell r="A760" t="str">
            <v>001.16.00285</v>
          </cell>
          <cell r="B760" t="str">
            <v>Fornecimento e Plantio de Mini Flamboyant (média), com manutenção por 60 dias com irrigação, pulverização, poda e substituição de mudas mortas</v>
          </cell>
          <cell r="C760" t="str">
            <v>un</v>
          </cell>
          <cell r="D760">
            <v>7.3754</v>
          </cell>
        </row>
        <row r="761">
          <cell r="A761" t="str">
            <v>001.16.00286</v>
          </cell>
          <cell r="B761" t="str">
            <v>Fornecimento e Plantio de Mini Ixória (pequena), com manutenção por 60 dias com irrigação, pulverização, poda e substituição de mudas mortas</v>
          </cell>
          <cell r="C761" t="str">
            <v>un</v>
          </cell>
          <cell r="D761">
            <v>1.6032</v>
          </cell>
        </row>
        <row r="762">
          <cell r="A762" t="str">
            <v>001.16.00287</v>
          </cell>
          <cell r="B762" t="str">
            <v>Fornecimento e Plantio de Mini Ixória (média), com manutenção por 60 dias com irrigação, pulverização, poda e substituição de mudas mortas</v>
          </cell>
          <cell r="C762" t="str">
            <v>un</v>
          </cell>
          <cell r="D762">
            <v>4.3636999999999997</v>
          </cell>
        </row>
        <row r="763">
          <cell r="A763" t="str">
            <v>001.16.00288</v>
          </cell>
          <cell r="B763" t="str">
            <v>Fornecimento e Plantio de Mini Ixória (grande), com manutenção por 60 dias com irrigação, pulverização, poda e substituição de mudas mortas</v>
          </cell>
          <cell r="C763" t="str">
            <v>un</v>
          </cell>
          <cell r="D763">
            <v>7.3754</v>
          </cell>
        </row>
        <row r="764">
          <cell r="A764" t="str">
            <v>001.16.00289</v>
          </cell>
          <cell r="B764" t="str">
            <v>Fornecimento e Plantio de Musaendra (pequena), com manutenção por 60 dias com irrigação, pulverização, poda e substituição de mudas mortas</v>
          </cell>
          <cell r="C764" t="str">
            <v>un</v>
          </cell>
          <cell r="D764">
            <v>5.3636999999999997</v>
          </cell>
        </row>
        <row r="765">
          <cell r="A765" t="str">
            <v>001.16.00290</v>
          </cell>
          <cell r="B765" t="str">
            <v>Fornecimento e Plantio de Musaendra (média), com manutenção por 60 dias com irrigação, pulverização, poda e substituição de mudas mortas</v>
          </cell>
          <cell r="C765" t="str">
            <v>un</v>
          </cell>
          <cell r="D765">
            <v>12.278</v>
          </cell>
        </row>
        <row r="766">
          <cell r="A766" t="str">
            <v>001.16.00291</v>
          </cell>
          <cell r="B766" t="str">
            <v>Fornecimento e Plantio de Oiti (pequena), com manutenção por 60 dias com irrigação, pulverização, poda e substituição de mudas mortas</v>
          </cell>
          <cell r="C766" t="str">
            <v>un</v>
          </cell>
          <cell r="D766">
            <v>10.0794</v>
          </cell>
        </row>
        <row r="767">
          <cell r="A767" t="str">
            <v>001.16.00292</v>
          </cell>
          <cell r="B767" t="str">
            <v>Fornecimento e Plantio de Oiti (média), com manutenção por 60 dias com irrigação, pulverização, poda e substituição de mudas mortas</v>
          </cell>
          <cell r="C767" t="str">
            <v>un</v>
          </cell>
          <cell r="D767">
            <v>22.4833</v>
          </cell>
        </row>
        <row r="768">
          <cell r="A768" t="str">
            <v>001.16.00293</v>
          </cell>
          <cell r="B768" t="str">
            <v>Fornecimento e Plantio de Oiti (grande), com manutenção por 60 dias com irrigação, pulverização, poda e substituição de mudas mortas</v>
          </cell>
          <cell r="C768" t="str">
            <v>un</v>
          </cell>
          <cell r="D768">
            <v>39.588700000000003</v>
          </cell>
        </row>
        <row r="769">
          <cell r="A769" t="str">
            <v>001.16.00294</v>
          </cell>
          <cell r="B769" t="str">
            <v>Fornecimento e Plantio de Paineira (grande), com manutenção por 60 dias com irrigação, pulverização, poda e substituição de mudas mortas</v>
          </cell>
          <cell r="C769" t="str">
            <v>un</v>
          </cell>
          <cell r="D769">
            <v>32.4833</v>
          </cell>
        </row>
        <row r="770">
          <cell r="A770" t="str">
            <v>001.16.00295</v>
          </cell>
          <cell r="B770" t="str">
            <v>Fornecimento e Plantio de Palmeira Fênix ( 2.00 mts), com manutenção por 60 dias com irrigação, pulverização, poda e substituição de mudas mortas</v>
          </cell>
          <cell r="C770" t="str">
            <v>un</v>
          </cell>
          <cell r="D770">
            <v>32.4833</v>
          </cell>
        </row>
        <row r="771">
          <cell r="A771" t="str">
            <v>001.16.00296</v>
          </cell>
          <cell r="B771" t="str">
            <v>Fornecimento e Plantio de Palmeira Fênix ( 3.00 mts), com manutenção por 60 dias com irrigação, pulverização, poda e substituição de mudas mortas</v>
          </cell>
          <cell r="C771" t="str">
            <v>un</v>
          </cell>
          <cell r="D771">
            <v>54.588700000000003</v>
          </cell>
        </row>
        <row r="772">
          <cell r="A772" t="str">
            <v>001.16.00297</v>
          </cell>
          <cell r="B772" t="str">
            <v>Fornecimento e Plantio de Palmeira Fênix ( 4.00 mts), com manutenção por 60 dias com irrigação, pulverização, poda e substituição de mudas mortas</v>
          </cell>
          <cell r="C772" t="str">
            <v>un</v>
          </cell>
          <cell r="D772">
            <v>77.793999999999997</v>
          </cell>
        </row>
        <row r="773">
          <cell r="A773" t="str">
            <v>001.16.00298</v>
          </cell>
          <cell r="B773" t="str">
            <v>Fornecimento e Plantio de Palmeira Fênix ( 4.50 mts), com manutenção por 60 dias com irrigação, pulverização, poda e substituição de mudas mortas</v>
          </cell>
          <cell r="C773" t="str">
            <v>un</v>
          </cell>
          <cell r="D773">
            <v>109.39660000000001</v>
          </cell>
        </row>
        <row r="774">
          <cell r="A774" t="str">
            <v>001.16.00299</v>
          </cell>
          <cell r="B774" t="str">
            <v>Fornecimento e Plantio de Palmeira Imperial ( 1.20 mts), com manutenção por 60 dias com irrigação, pulverização, poda e substituição de mudas mortas</v>
          </cell>
          <cell r="C774" t="str">
            <v>un</v>
          </cell>
          <cell r="D774">
            <v>20.0794</v>
          </cell>
        </row>
        <row r="775">
          <cell r="A775" t="str">
            <v>001.16.00300</v>
          </cell>
          <cell r="B775" t="str">
            <v>Fornecimento e Plantio de Palmeira Imperial ( 2.00 mts), com manutenção por 60 dias com irrigação, pulverização, poda e substituição de mudas mortas</v>
          </cell>
          <cell r="C775" t="str">
            <v>un</v>
          </cell>
          <cell r="D775">
            <v>47.4833</v>
          </cell>
        </row>
        <row r="776">
          <cell r="A776" t="str">
            <v>001.16.00301</v>
          </cell>
          <cell r="B776" t="str">
            <v>Fornecimento e Plantio de Palmeira Imperial ( 3.00 mts), com manutenção por 60 dias com irrigação, pulverização, poda e substituição de mudas mortas</v>
          </cell>
          <cell r="C776" t="str">
            <v>un</v>
          </cell>
          <cell r="D776">
            <v>84.588700000000003</v>
          </cell>
        </row>
        <row r="777">
          <cell r="A777" t="str">
            <v>001.16.00302</v>
          </cell>
          <cell r="B777" t="str">
            <v>Fornecimento e Plantio de Palmeira Jerivá ( 2.00 mts), com manutenção por 60 dias com irrigação, pulverização, poda e substituição de mudas mortas</v>
          </cell>
          <cell r="C777" t="str">
            <v>un</v>
          </cell>
          <cell r="D777">
            <v>42.4833</v>
          </cell>
        </row>
        <row r="778">
          <cell r="A778" t="str">
            <v>001.16.00303</v>
          </cell>
          <cell r="B778" t="str">
            <v>Fornecimento e Plantio de Palmeira Jerivá (3.00 mts), com manutenção por 60 dias com irrigação, pulverização, poda e substituição de mudas mortas</v>
          </cell>
          <cell r="C778" t="str">
            <v>un</v>
          </cell>
          <cell r="D778">
            <v>59.588700000000003</v>
          </cell>
        </row>
        <row r="779">
          <cell r="A779" t="str">
            <v>001.16.00304</v>
          </cell>
          <cell r="B779" t="str">
            <v>Fornecimento e Plantio de Palmeira Jerivá (4.00 mts), com manutenção por 60 dias com irrigação, pulverização, poda e substituição de mudas mortas</v>
          </cell>
          <cell r="C779" t="str">
            <v>un</v>
          </cell>
          <cell r="D779">
            <v>77.793999999999997</v>
          </cell>
        </row>
        <row r="780">
          <cell r="A780" t="str">
            <v>001.16.00305</v>
          </cell>
          <cell r="B780" t="str">
            <v>Fornecimento e Plantio de Palmeira Jerivá (4.50 mts), com manutenção por 60 dias com irrigação, pulverização, poda e substituição de mudas mortas</v>
          </cell>
          <cell r="C780" t="str">
            <v>un</v>
          </cell>
          <cell r="D780">
            <v>98.7239</v>
          </cell>
        </row>
        <row r="781">
          <cell r="A781" t="str">
            <v>001.16.00306</v>
          </cell>
          <cell r="B781" t="str">
            <v>Fornecimento e Plantio de Papirus do Egito (pequeno), com manutenção por 60 dias com irrigação, pulverização, poda e substituição de mudas mortas</v>
          </cell>
          <cell r="C781" t="str">
            <v>un</v>
          </cell>
          <cell r="D781">
            <v>4.0031999999999996</v>
          </cell>
        </row>
        <row r="782">
          <cell r="A782" t="str">
            <v>001.16.00307</v>
          </cell>
          <cell r="B782" t="str">
            <v>Fornecimento e Plantio de Papirus do Egito (médio), com manutenção por 60 dias com irrigação, pulverização, poda e substituição de mudas mortas</v>
          </cell>
          <cell r="C782" t="str">
            <v>un</v>
          </cell>
          <cell r="D782">
            <v>4.0031999999999996</v>
          </cell>
        </row>
        <row r="783">
          <cell r="A783" t="str">
            <v>001.16.00308</v>
          </cell>
          <cell r="B783" t="str">
            <v>Fornecimento e Plantio de Pau Brasil (média), com manutenção por 60 dias com irrigação, pulverização, poda e substituição de mudas mortas</v>
          </cell>
          <cell r="C783" t="str">
            <v>un</v>
          </cell>
          <cell r="D783">
            <v>19.277999999999999</v>
          </cell>
        </row>
        <row r="784">
          <cell r="A784" t="str">
            <v>001.16.00309</v>
          </cell>
          <cell r="B784" t="str">
            <v>Fornecimento e Plantio de Pau Ferro (pequeno), com manutenção por 60 dias com irrigação, pulverização, poda e substituição de mudas mortas</v>
          </cell>
          <cell r="C784" t="str">
            <v>un</v>
          </cell>
          <cell r="D784">
            <v>6.3636999999999997</v>
          </cell>
        </row>
        <row r="785">
          <cell r="A785" t="str">
            <v>001.16.00310</v>
          </cell>
          <cell r="B785" t="str">
            <v>Fornecimento e Plantio de Pau Ferro (médio), com manutenção por 60 dias com irrigação, pulverização, poda e substituição de mudas mortas</v>
          </cell>
          <cell r="C785" t="str">
            <v>un</v>
          </cell>
          <cell r="D785">
            <v>6.3636999999999997</v>
          </cell>
        </row>
        <row r="786">
          <cell r="A786" t="str">
            <v>001.16.00311</v>
          </cell>
          <cell r="B786" t="str">
            <v>Fornecimento e Plantio de Pingo de Ouro (pequeno), com manutenção por 60 dias com irrigação, pulverização, poda e substituição de mudas mortas</v>
          </cell>
          <cell r="C786" t="str">
            <v>un</v>
          </cell>
          <cell r="D786">
            <v>1.5032000000000001</v>
          </cell>
        </row>
        <row r="787">
          <cell r="A787" t="str">
            <v>001.16.00312</v>
          </cell>
          <cell r="B787" t="str">
            <v>Fornecimento e Plantio de Pingo de Ouro (média), com manutenção por 60 dias com irrigação, pulverização, poda e substituição de mudas mortas</v>
          </cell>
          <cell r="C787" t="str">
            <v>un</v>
          </cell>
          <cell r="D787">
            <v>2.5032000000000001</v>
          </cell>
        </row>
        <row r="788">
          <cell r="A788" t="str">
            <v>001.16.00313</v>
          </cell>
          <cell r="B788" t="str">
            <v>Fornecimento e Plantio de Pingo de Ouro (grande), com manutenção por 60 dias com irrigação, pulverização, poda e substituição de mudas mortas</v>
          </cell>
          <cell r="C788" t="str">
            <v>un</v>
          </cell>
          <cell r="D788">
            <v>4.3636999999999997</v>
          </cell>
        </row>
        <row r="789">
          <cell r="A789" t="str">
            <v>001.16.00314</v>
          </cell>
          <cell r="B789" t="str">
            <v>Fornecimento e Plantio de Sansão do Campo (pequeno), com manutenção por 60 dias com irrigação, pulverização, poda e substituição de mudas mortas</v>
          </cell>
          <cell r="C789" t="str">
            <v>un</v>
          </cell>
          <cell r="D789">
            <v>1.4032</v>
          </cell>
        </row>
        <row r="790">
          <cell r="A790" t="str">
            <v>001.16.00320</v>
          </cell>
          <cell r="B790" t="str">
            <v>Grade de proteção para árvores h = 2.00 m</v>
          </cell>
          <cell r="C790" t="str">
            <v>un</v>
          </cell>
          <cell r="D790">
            <v>33.894199999999998</v>
          </cell>
        </row>
        <row r="791">
          <cell r="A791" t="str">
            <v>001.16.00321</v>
          </cell>
          <cell r="B791" t="str">
            <v>Fornecimento e espalhamento de terra vegetal</v>
          </cell>
          <cell r="C791" t="str">
            <v>m3</v>
          </cell>
          <cell r="D791">
            <v>70.227999999999994</v>
          </cell>
        </row>
        <row r="792">
          <cell r="A792" t="str">
            <v>001.16.00322</v>
          </cell>
          <cell r="B792" t="str">
            <v>Grama em Sementes - Plantio Manual de Semente de Grama incl. Irrigação de Área, Frequência 1 Vez Por Semana Pelo Período de 30 dias</v>
          </cell>
          <cell r="C792" t="str">
            <v>m2</v>
          </cell>
          <cell r="D792">
            <v>0.62280000000000002</v>
          </cell>
        </row>
        <row r="793">
          <cell r="A793" t="str">
            <v>001.16.00323</v>
          </cell>
          <cell r="B793" t="str">
            <v>Grama em mudas tipo (forquilha ou estrela) com manutenção por 60 dias  com irrigação diária, pulverização, adubação e substiuição de mudas mortas</v>
          </cell>
          <cell r="C793" t="str">
            <v>m2</v>
          </cell>
          <cell r="D793">
            <v>2.5028000000000001</v>
          </cell>
        </row>
        <row r="794">
          <cell r="A794" t="str">
            <v>001.16.00325</v>
          </cell>
          <cell r="B794" t="str">
            <v>Grama em placas com manutenção por 60 dias com irrigação diária, pulverização, adubação e substituição de mudas mortas</v>
          </cell>
          <cell r="C794" t="str">
            <v>m2</v>
          </cell>
          <cell r="D794">
            <v>4.5937999999999999</v>
          </cell>
        </row>
        <row r="795">
          <cell r="A795" t="str">
            <v>001.16.00337</v>
          </cell>
          <cell r="B795" t="str">
            <v>Cascalho lavado p/passeio</v>
          </cell>
          <cell r="C795" t="str">
            <v>m3</v>
          </cell>
          <cell r="D795">
            <v>36.814</v>
          </cell>
        </row>
        <row r="796">
          <cell r="A796" t="str">
            <v>001.16.00640</v>
          </cell>
          <cell r="B796" t="str">
            <v>Brita na área interna do prédio</v>
          </cell>
          <cell r="C796" t="str">
            <v>M3</v>
          </cell>
          <cell r="D796">
            <v>44.918399999999998</v>
          </cell>
        </row>
        <row r="797">
          <cell r="A797" t="str">
            <v>001.16.00660</v>
          </cell>
          <cell r="B797" t="str">
            <v>Brita na área interna do prédio - branca - (fins decorativos)</v>
          </cell>
          <cell r="C797" t="str">
            <v>M3</v>
          </cell>
          <cell r="D797">
            <v>49.228000000000002</v>
          </cell>
        </row>
        <row r="798">
          <cell r="A798" t="str">
            <v>001.16.00680</v>
          </cell>
          <cell r="B798" t="str">
            <v>Brita na área interna do prédio - escurinha - (fins decorativos)</v>
          </cell>
          <cell r="C798" t="str">
            <v>M3</v>
          </cell>
          <cell r="D798">
            <v>49.228000000000002</v>
          </cell>
        </row>
        <row r="799">
          <cell r="A799" t="str">
            <v>001.16.00760</v>
          </cell>
          <cell r="B799" t="str">
            <v>Execução de alambrado em tubo de ferro Galvanizado 2.1/2"" chapa 13 formando quadro de 3.00x3.00m e tela galvanizada fio 12 malha 2"" fixado com arame galvanizado n.14</v>
          </cell>
          <cell r="C799" t="str">
            <v>m2</v>
          </cell>
          <cell r="D799">
            <v>50.365400000000001</v>
          </cell>
        </row>
        <row r="800">
          <cell r="A800" t="str">
            <v>001.16.00770</v>
          </cell>
          <cell r="B800" t="str">
            <v>Alambrado c/ Tela Arame Galv. Losangular fio 12, malha 2"", altura da tela 1.50 m, fix. em pilarete de concreto pré moldado h= 2.60 m, espaçados a cada 2.50 m, com reforço arame galv. n.10, incl.mureta de alvenaria h=0.50 m chapiscada, rebocada e caiada</v>
          </cell>
          <cell r="C800" t="str">
            <v>ml</v>
          </cell>
          <cell r="D800">
            <v>69.436300000000003</v>
          </cell>
        </row>
        <row r="801">
          <cell r="A801" t="str">
            <v>001.16.00775</v>
          </cell>
          <cell r="B801" t="str">
            <v>Alambrado c/ Tela Arame Galv. Soldada 150x50 fio 12, altura da tela 1.50 m, fix. em pilarete de concreto pré moldado h= 2.80 m, espaçados a cada 2.50 m, com reforço arame galv. n.10, incl.mureta de alvenaria h=0.50 m chapiscada, rebocada e caiada</v>
          </cell>
          <cell r="C801" t="str">
            <v>ml</v>
          </cell>
          <cell r="D801">
            <v>76.352900000000005</v>
          </cell>
        </row>
        <row r="802">
          <cell r="A802" t="str">
            <v>001.16.00776</v>
          </cell>
          <cell r="B802" t="str">
            <v>Fornecimento e Instalação de Portão em Tubo Galvanizado 2"" e Tela Galvanizada Malha 2"", incl. Ferragens</v>
          </cell>
          <cell r="C802" t="str">
            <v>m2</v>
          </cell>
          <cell r="D802">
            <v>100.0842</v>
          </cell>
        </row>
        <row r="803">
          <cell r="A803" t="str">
            <v>001.16.00777</v>
          </cell>
          <cell r="B803" t="str">
            <v>Fornecimento e Instalação de Portão em Tubo Galvanizado 2"" em Tela Galvanizada Malha 2"", incl. Ferragens dim. 0.80 x 2.10 m Conf. Det. 04 SINFRA</v>
          </cell>
          <cell r="C803" t="str">
            <v>m2</v>
          </cell>
          <cell r="D803">
            <v>120.17749999999999</v>
          </cell>
        </row>
        <row r="804">
          <cell r="A804" t="str">
            <v>001.16.00778</v>
          </cell>
          <cell r="B804" t="str">
            <v>Pavimentação c/ lajotas pré-moldadas de concreto sextavado ( bloquete). deverão observar as mesmas especificações de ítens anteriores no que se refere a assentamento e rejuntamento. espessura de 5 cm para calcadas</v>
          </cell>
          <cell r="C804" t="str">
            <v>m2</v>
          </cell>
          <cell r="D804">
            <v>22.2544</v>
          </cell>
        </row>
        <row r="805">
          <cell r="A805" t="str">
            <v>001.16.00779</v>
          </cell>
          <cell r="B805" t="str">
            <v>Pavimentação c/ lajotas pré-moldadas de concreto sextavado ( bloquete). deverão observar as mesmas especificações de ítens anteriores no que se refere a assentamento e rejuntamento. espessura de 10 cm para tráfego</v>
          </cell>
          <cell r="C805" t="str">
            <v>m2</v>
          </cell>
          <cell r="D805">
            <v>32.5959</v>
          </cell>
        </row>
        <row r="806">
          <cell r="A806" t="str">
            <v>001.16.00880</v>
          </cell>
          <cell r="B806" t="str">
            <v>Fornecimento e assentamento de paralelepípedo</v>
          </cell>
          <cell r="C806" t="str">
            <v>m2</v>
          </cell>
          <cell r="D806">
            <v>27.15</v>
          </cell>
        </row>
        <row r="807">
          <cell r="A807" t="str">
            <v>001.16.00981</v>
          </cell>
          <cell r="B807" t="str">
            <v>Guias de concreto pré-moldados (concreto 300kg cimento/m3) de seção 15x30 cm (espessura 12.00 cm no topo)  o serviço inclui a abertura das valas, assentamento e rejuntamento das guias</v>
          </cell>
          <cell r="C807" t="str">
            <v>ml</v>
          </cell>
          <cell r="D807">
            <v>18.142399999999999</v>
          </cell>
        </row>
        <row r="808">
          <cell r="A808" t="str">
            <v>001.16.00982</v>
          </cell>
          <cell r="B808" t="str">
            <v>Guias curvas de concreto pré-moldados (concreto 300kg cimento/m3) de seção 15x30 cm (espessura 12.00 cm no topo)  o serviço inclui a abertura das valas, assentamento e rejuntamento das guias</v>
          </cell>
          <cell r="C808" t="str">
            <v>ml</v>
          </cell>
          <cell r="D808">
            <v>18.024899999999999</v>
          </cell>
        </row>
        <row r="809">
          <cell r="A809" t="str">
            <v>001.16.00984</v>
          </cell>
          <cell r="B809" t="str">
            <v>Sarjeta de concreto (300kg cim/m3) fundido no local seção 40.00 x 8.00 cm, o serviço inclui a abertura de vala, assentamento e rejuntamento</v>
          </cell>
          <cell r="C809" t="str">
            <v>ml</v>
          </cell>
          <cell r="D809">
            <v>16.5931</v>
          </cell>
        </row>
        <row r="810">
          <cell r="A810" t="str">
            <v>001.16.00985</v>
          </cell>
          <cell r="B810" t="str">
            <v>Retirada e reassentamento de meio-fio</v>
          </cell>
          <cell r="C810" t="str">
            <v>m</v>
          </cell>
          <cell r="D810">
            <v>17.592400000000001</v>
          </cell>
        </row>
        <row r="811">
          <cell r="A811" t="str">
            <v>001.17</v>
          </cell>
          <cell r="B811" t="str">
            <v>INSTALAÇÕES ELÉTRICAS - BAIXA TENSÃO</v>
          </cell>
          <cell r="D811">
            <v>40234.390099999997</v>
          </cell>
        </row>
        <row r="812">
          <cell r="A812" t="str">
            <v>001.17.00002</v>
          </cell>
          <cell r="B812" t="str">
            <v>Abertura e enchimento de rasgos na alvenaria para passagem de canalização diâmetro 1/2 à 1 pol</v>
          </cell>
          <cell r="C812" t="str">
            <v>ML</v>
          </cell>
          <cell r="D812">
            <v>2.0531000000000001</v>
          </cell>
        </row>
        <row r="813">
          <cell r="A813" t="str">
            <v>001.17.00004</v>
          </cell>
          <cell r="B813" t="str">
            <v>Abertura e enchimento de rasgos na alvenaria para passagem de canalização diâmetro 1 1/4 à 2 pol</v>
          </cell>
          <cell r="C813" t="str">
            <v>ML</v>
          </cell>
          <cell r="D813">
            <v>2.7353999999999998</v>
          </cell>
        </row>
        <row r="814">
          <cell r="A814" t="str">
            <v>001.17.00006</v>
          </cell>
          <cell r="B814" t="str">
            <v>Abertura e enchimento de rasgos na alvenaria para passagem de canalização diâmetro 2.5 à 4 pol</v>
          </cell>
          <cell r="C814" t="str">
            <v>ML</v>
          </cell>
          <cell r="D814">
            <v>3.8428</v>
          </cell>
        </row>
        <row r="815">
          <cell r="A815" t="str">
            <v>001.17.00010</v>
          </cell>
          <cell r="B815" t="str">
            <v>Abertura e enchimento de rasgos no concreto para passagem de canalização diâmetro de 1/2 à 1 pol</v>
          </cell>
          <cell r="C815" t="str">
            <v>ML</v>
          </cell>
          <cell r="D815">
            <v>4.4991000000000003</v>
          </cell>
        </row>
        <row r="816">
          <cell r="A816" t="str">
            <v>001.17.00020</v>
          </cell>
          <cell r="B816" t="str">
            <v>Envelope de concreto Fck=13,50 Mpa, para proteção de tubos enterrados, incl. escavação, acerto de vala e lançamento de concreto</v>
          </cell>
          <cell r="C816" t="str">
            <v>M3</v>
          </cell>
          <cell r="D816">
            <v>192.8115</v>
          </cell>
        </row>
        <row r="817">
          <cell r="A817" t="str">
            <v>001.17.00040</v>
          </cell>
          <cell r="B817" t="str">
            <v>Fornecimento e instalação de Padrão Monofásico Em Aço Galvanizado h= 5.00 mts Aéreo 40 A """"CP"""" s/ eletroduto - Conjunto completo incl aterramento</v>
          </cell>
          <cell r="C817" t="str">
            <v>UN</v>
          </cell>
          <cell r="D817">
            <v>228.0378</v>
          </cell>
        </row>
        <row r="818">
          <cell r="A818" t="str">
            <v>001.17.00060</v>
          </cell>
          <cell r="B818" t="str">
            <v>Fornecimento e instalação de Padrão Monofásico Em Aço Galvanizado h= 7.00 mts Aéreo 40 A """"CP"""" s/ eletroduto - Conjunto completo incl aterramento</v>
          </cell>
          <cell r="C818" t="str">
            <v>UN</v>
          </cell>
          <cell r="D818">
            <v>266.49779999999998</v>
          </cell>
        </row>
        <row r="819">
          <cell r="A819" t="str">
            <v>001.17.00080</v>
          </cell>
          <cell r="B819" t="str">
            <v>Fornecimento e Instalação de Padrão Bifásico  Em Aço Galvanizado h= 7.00 mts Aéreo 60 A """"CP"""" s/ eletroduto - Conjunto completo incl aterramento</v>
          </cell>
          <cell r="C819" t="str">
            <v>UN</v>
          </cell>
          <cell r="D819">
            <v>305.90170000000001</v>
          </cell>
        </row>
        <row r="820">
          <cell r="A820" t="str">
            <v>001.17.00100</v>
          </cell>
          <cell r="B820" t="str">
            <v>Fornecimento e instalação de Padrão Trifásico  Em Aço Galvanizado h= 7.00 mts Aéreo 60 A """"CP"""" s/ eletroduto - Conjunto completo incl aterramento</v>
          </cell>
          <cell r="C820" t="str">
            <v>UN</v>
          </cell>
          <cell r="D820">
            <v>629.08119999999997</v>
          </cell>
        </row>
        <row r="821">
          <cell r="A821" t="str">
            <v>001.17.00120</v>
          </cell>
          <cell r="B821" t="str">
            <v>Fornecimento e instalação de Padrão Trifásico  Em Aço Galvanizado h= 7.00 mts Aéreo 100 A """"CP"""" s/ eletroduto - Conjunto completo incl aterramento</v>
          </cell>
          <cell r="C821" t="str">
            <v>UN</v>
          </cell>
          <cell r="D821">
            <v>836.77120000000002</v>
          </cell>
        </row>
        <row r="822">
          <cell r="A822" t="str">
            <v>001.17.00140</v>
          </cell>
          <cell r="B822" t="str">
            <v>Fornecimento e instalação de Padrão Trifásico  Em Aço Galvanizado h= 7.00 mts Aéreo 125 A """"CP"""" s/ eletroduto, DJ T 04 - Conjunto completo incl aterramento</v>
          </cell>
          <cell r="C822" t="str">
            <v>CJ</v>
          </cell>
          <cell r="D822">
            <v>1771.3912</v>
          </cell>
        </row>
        <row r="823">
          <cell r="A823" t="str">
            <v>001.17.00160</v>
          </cell>
          <cell r="B823" t="str">
            <v>Fornecimento e instalação de Caixa Padrão """"CP"""" P/ Medidor Monofásico, Bifásico e Trifásico - Baixa Tensão</v>
          </cell>
          <cell r="C823" t="str">
            <v>UN</v>
          </cell>
          <cell r="D823">
            <v>46.717799999999997</v>
          </cell>
        </row>
        <row r="824">
          <cell r="A824" t="str">
            <v>001.17.00180</v>
          </cell>
          <cell r="B824" t="str">
            <v>Fornecimento e instalação de Caixa Padrão """"FP"""" P/ Medidor Bifásico e Trifásico - Baixa Tensão</v>
          </cell>
          <cell r="C824" t="str">
            <v>UN</v>
          </cell>
          <cell r="D824">
            <v>95.237799999999993</v>
          </cell>
        </row>
        <row r="825">
          <cell r="A825" t="str">
            <v>001.17.00200</v>
          </cell>
          <cell r="B825" t="str">
            <v>Fornecimento e instalação de Caixa Padrão """"FM"""" P/ Medidor Monofásico - Baixa Tensão</v>
          </cell>
          <cell r="C825" t="str">
            <v>UN</v>
          </cell>
          <cell r="D825">
            <v>81.090900000000005</v>
          </cell>
        </row>
        <row r="826">
          <cell r="A826" t="str">
            <v>001.17.00220</v>
          </cell>
          <cell r="B826" t="str">
            <v>Fornecimento e instalação de Isolador Roldana de Plástico C/ Parafuso P/ Fixar em Madeira de 1/2 pol.</v>
          </cell>
          <cell r="C826" t="str">
            <v>UN</v>
          </cell>
          <cell r="D826">
            <v>0.54479999999999995</v>
          </cell>
        </row>
        <row r="827">
          <cell r="A827" t="str">
            <v>001.17.00240</v>
          </cell>
          <cell r="B827" t="str">
            <v>Fornecimento e instalação de Isolador Roldana de Plástico C/ Parafuso P/ Fixar em Madeira de 3/4 pol.</v>
          </cell>
          <cell r="C827" t="str">
            <v>UN</v>
          </cell>
          <cell r="D827">
            <v>0.56679999999999997</v>
          </cell>
        </row>
        <row r="828">
          <cell r="A828" t="str">
            <v>001.17.00250</v>
          </cell>
          <cell r="B828" t="str">
            <v>Fornecimento e Instalação de Isolador Roldana de Porcelana 72x72 C/ Parafuso P/ Fixar Em Madeira</v>
          </cell>
          <cell r="C828" t="str">
            <v>UN</v>
          </cell>
          <cell r="D828">
            <v>2.4375</v>
          </cell>
        </row>
        <row r="829">
          <cell r="A829" t="str">
            <v>001.17.00260</v>
          </cell>
          <cell r="B829" t="str">
            <v>Fornecimento e instalação de Mangueira  Polietileno Marron  Linha Popular Diâmetro 1/2 Pol X 2,0 mm</v>
          </cell>
          <cell r="C829" t="str">
            <v>M</v>
          </cell>
          <cell r="D829">
            <v>1.0469999999999999</v>
          </cell>
        </row>
        <row r="830">
          <cell r="A830" t="str">
            <v>001.17.00280</v>
          </cell>
          <cell r="B830" t="str">
            <v>Fornecimento e instalação de Mangueira  Polietileno Marron  Linha Popular Diâmetro 3/4 Pol X 2,5 mm</v>
          </cell>
          <cell r="C830" t="str">
            <v>M</v>
          </cell>
          <cell r="D830">
            <v>1.304</v>
          </cell>
        </row>
        <row r="831">
          <cell r="A831" t="str">
            <v>001.17.00300</v>
          </cell>
          <cell r="B831" t="str">
            <v>Fornecimento e instalação de Mangueira  Polietileno Marron  Linha Popular Diâmetro 1 Pol X 2,5 mm</v>
          </cell>
          <cell r="C831" t="str">
            <v>M</v>
          </cell>
          <cell r="D831">
            <v>1.5761000000000001</v>
          </cell>
        </row>
        <row r="832">
          <cell r="A832" t="str">
            <v>001.17.00320</v>
          </cell>
          <cell r="B832" t="str">
            <v>Fornecimento e instalação de canaleta de pvc 110x20x2.200 mm ref. 300 46 sistema """"""""x"""""""" da pial</v>
          </cell>
          <cell r="C832" t="str">
            <v>UN</v>
          </cell>
          <cell r="D832">
            <v>5.7478999999999996</v>
          </cell>
        </row>
        <row r="833">
          <cell r="A833" t="str">
            <v>001.17.00340</v>
          </cell>
          <cell r="B833" t="str">
            <v>Fornecimento e instalação de eletroduto flexível  1/2"""""""" (20mm) corrugado de pvc</v>
          </cell>
          <cell r="C833" t="str">
            <v>M</v>
          </cell>
          <cell r="D833">
            <v>1.5539000000000001</v>
          </cell>
        </row>
        <row r="834">
          <cell r="A834" t="str">
            <v>001.17.00360</v>
          </cell>
          <cell r="B834" t="str">
            <v>Fornecimento e instalação de eletroduto flexível  3/4"""""""" (25mm) corrugado de pvc</v>
          </cell>
          <cell r="C834" t="str">
            <v>M</v>
          </cell>
          <cell r="D834">
            <v>1.9313</v>
          </cell>
        </row>
        <row r="835">
          <cell r="A835" t="str">
            <v>001.17.00380</v>
          </cell>
          <cell r="B835" t="str">
            <v>Fornecimento e instalação de eletroduto flexível  1"""""""" (32mm) corrugado de pvc</v>
          </cell>
          <cell r="C835" t="str">
            <v>M</v>
          </cell>
          <cell r="D835">
            <v>3.2338</v>
          </cell>
        </row>
        <row r="836">
          <cell r="A836" t="str">
            <v>001.17.00400</v>
          </cell>
          <cell r="B836" t="str">
            <v>Fornecimento e instalação de Caixa Retang. De Ferro  de Embutir C/Furos De 1/2 pol e 3/4pol 4x2pol</v>
          </cell>
          <cell r="C836" t="str">
            <v>UN</v>
          </cell>
          <cell r="D836">
            <v>3.0249000000000001</v>
          </cell>
        </row>
        <row r="837">
          <cell r="A837" t="str">
            <v>001.17.00440</v>
          </cell>
          <cell r="B837" t="str">
            <v>Fornecimento e instalação de Caixa Retang. De Ferro  de Embutir C/Furos De 1/2 pol e 3/4pol 4x4pol</v>
          </cell>
          <cell r="C837" t="str">
            <v>UN</v>
          </cell>
          <cell r="D837">
            <v>3.8159000000000001</v>
          </cell>
        </row>
        <row r="838">
          <cell r="A838" t="str">
            <v>001.17.00460</v>
          </cell>
          <cell r="B838" t="str">
            <v>Fornecimento e instalação de Caixa Retang. De Ferro  de Embutir C/Furos De 1/2 pol e 3/4pol 3x3pol</v>
          </cell>
          <cell r="C838" t="str">
            <v>UN</v>
          </cell>
          <cell r="D838">
            <v>3.3249</v>
          </cell>
        </row>
        <row r="839">
          <cell r="A839" t="str">
            <v>001.17.00480</v>
          </cell>
          <cell r="B839" t="str">
            <v>Fornecimento e instalação de Caixa  Octog. De Ferro de Embutir Fundo Movel C/Furos 1/2 pol e3/4pol 4x4 pol - FMD</v>
          </cell>
          <cell r="C839" t="str">
            <v>UN</v>
          </cell>
          <cell r="D839">
            <v>4.2039</v>
          </cell>
        </row>
        <row r="840">
          <cell r="A840" t="str">
            <v>001.17.00510</v>
          </cell>
          <cell r="B840" t="str">
            <v>Fornecimento e instalação de Caixa De Ligação P/Piso Em Liga De Alumínio 4x2pol</v>
          </cell>
          <cell r="C840" t="str">
            <v>UN</v>
          </cell>
          <cell r="D840">
            <v>8.4628999999999994</v>
          </cell>
        </row>
        <row r="841">
          <cell r="A841" t="str">
            <v>001.17.00540</v>
          </cell>
          <cell r="B841" t="str">
            <v>Fornecimento e instalação de fio de cobre seção 1.50 mm2, com isolamento para 750 v, com caract. não propagante ao fogo e auto extinguível, pirastic ou similar.</v>
          </cell>
          <cell r="C841" t="str">
            <v>ML</v>
          </cell>
          <cell r="D841">
            <v>0.61150000000000004</v>
          </cell>
        </row>
        <row r="842">
          <cell r="A842" t="str">
            <v>001.17.00560</v>
          </cell>
          <cell r="B842" t="str">
            <v>Fornecimento e instalação de fio de cobre seção 2.50 mm2, com isolamento para 750 v, com caract. não propagante ao fogo e auto extinguível, pirastic ou similar.</v>
          </cell>
          <cell r="C842" t="str">
            <v>ML</v>
          </cell>
          <cell r="D842">
            <v>0.71350000000000002</v>
          </cell>
        </row>
        <row r="843">
          <cell r="A843" t="str">
            <v>001.17.00580</v>
          </cell>
          <cell r="B843" t="str">
            <v>Fornecimento e instalação de fio de cobre seção 4.00 mm2, com isolamento para 750 v, com caract. não propagante ao fogo e auto extinguível, pirastic ou similar.</v>
          </cell>
          <cell r="C843" t="str">
            <v>ML</v>
          </cell>
          <cell r="D843">
            <v>1.3251999999999999</v>
          </cell>
        </row>
        <row r="844">
          <cell r="A844" t="str">
            <v>001.17.00600</v>
          </cell>
          <cell r="B844" t="str">
            <v>Fornecimento e instalação de fio de cobre seção 6.00 mm2, com isolamento para 750 v, com caract. não propagante ao fogo e auto extinguível, pirastic ou similar.</v>
          </cell>
          <cell r="C844" t="str">
            <v>ML</v>
          </cell>
          <cell r="D844">
            <v>1.8349</v>
          </cell>
        </row>
        <row r="845">
          <cell r="A845" t="str">
            <v>001.17.00620</v>
          </cell>
          <cell r="B845" t="str">
            <v>Fornecimento e instalação de fio de cobre seção 10.00 mm2, com isolamento para 750 v, com caract. não propagante ao fogo e auto extinguível, pirastic ou similar.</v>
          </cell>
          <cell r="C845" t="str">
            <v>ML</v>
          </cell>
          <cell r="D845">
            <v>3.0064000000000002</v>
          </cell>
        </row>
        <row r="846">
          <cell r="A846" t="str">
            <v>001.17.00640</v>
          </cell>
          <cell r="B846" t="str">
            <v>Fornecimento e instalação de cabo de cobre seção 2.50 mm2, com isolamento para 750 v, com caract. não propagante ao fogo e auto extinguível, pirastic flex ou similar.</v>
          </cell>
          <cell r="C846" t="str">
            <v>ML</v>
          </cell>
          <cell r="D846">
            <v>0.86650000000000005</v>
          </cell>
        </row>
        <row r="847">
          <cell r="A847" t="str">
            <v>001.17.00660</v>
          </cell>
          <cell r="B847" t="str">
            <v>Fornecimento e instalação de cabo de cobre seção 4.00 mm2, com isolamento para 750 v, com caract. não propagante ao fogo e auto extinguível, pirastic flex ou similar.</v>
          </cell>
          <cell r="C847" t="str">
            <v>ML</v>
          </cell>
          <cell r="D847">
            <v>1.4782</v>
          </cell>
        </row>
        <row r="848">
          <cell r="A848" t="str">
            <v>001.17.00680</v>
          </cell>
          <cell r="B848" t="str">
            <v>Fornecimento e instalação de cabo de cobre seção 6.00 mm2, com isolamento para 750 v, com caract. não propagante ao fogo e auto extinguível, pirastic flex ou similar.</v>
          </cell>
          <cell r="C848" t="str">
            <v>ML</v>
          </cell>
          <cell r="D848">
            <v>2.0388999999999999</v>
          </cell>
        </row>
        <row r="849">
          <cell r="A849" t="str">
            <v>001.17.00700</v>
          </cell>
          <cell r="B849" t="str">
            <v>Fornecimento e instalação de cabo de cobre seção 10.00 mm2, com isolamento para 750 v, com caract. não propagante ao fogo e auto extinguível, pirastic ou similar.</v>
          </cell>
          <cell r="C849" t="str">
            <v>ML</v>
          </cell>
          <cell r="D849">
            <v>3.7713999999999999</v>
          </cell>
        </row>
        <row r="850">
          <cell r="A850" t="str">
            <v>001.17.00720</v>
          </cell>
          <cell r="B850" t="str">
            <v>Fornecimento e instalação de cabo de cobre seção 16.00 mm2, com isolamento para 750 v, com caract. não propagante ao fogo e auto extinguível, pirastic ou similar.</v>
          </cell>
          <cell r="C850" t="str">
            <v>ML</v>
          </cell>
          <cell r="D850">
            <v>4.9938000000000002</v>
          </cell>
        </row>
        <row r="851">
          <cell r="A851" t="str">
            <v>001.17.00740</v>
          </cell>
          <cell r="B851" t="str">
            <v>Fornecimento e instalação de cabo de cobre seção 25.00 mm2, com isolamento para 750 v, com caract. não propagante ao fogo e auto extinguível, pirastic ou similar.</v>
          </cell>
          <cell r="C851" t="str">
            <v>ML</v>
          </cell>
          <cell r="D851">
            <v>8.0535999999999994</v>
          </cell>
        </row>
        <row r="852">
          <cell r="A852" t="str">
            <v>001.17.00760</v>
          </cell>
          <cell r="B852" t="str">
            <v>Fornecimento e instalação de cabo de cobre seção 35.00 mm2, com isolamento para 750 v, com caract. não propagante ao fogo e auto extinguível, pirastic ou similar.</v>
          </cell>
          <cell r="C852" t="str">
            <v>ML</v>
          </cell>
          <cell r="D852">
            <v>10.704499999999999</v>
          </cell>
        </row>
        <row r="853">
          <cell r="A853" t="str">
            <v>001.17.00780</v>
          </cell>
          <cell r="B853" t="str">
            <v>Fornecimento e instalação de cabo de cobre seção 50.00 mm2, com isolamento para 750 v, com caract. não propagante ao fogo e auto extinguível, pirastic ou similar.</v>
          </cell>
          <cell r="C853" t="str">
            <v>ML</v>
          </cell>
          <cell r="D853">
            <v>14.883900000000001</v>
          </cell>
        </row>
        <row r="854">
          <cell r="A854" t="str">
            <v>001.17.00800</v>
          </cell>
          <cell r="B854" t="str">
            <v>Fornecimento e instalação de cabo de cobre seção 70.00 mm2, com isolamento para 750 v, com caract. não propagante ao fogo e auto extinguível, pirastic ou similar.</v>
          </cell>
          <cell r="C854" t="str">
            <v>ML</v>
          </cell>
          <cell r="D854">
            <v>20.595099999999999</v>
          </cell>
        </row>
        <row r="855">
          <cell r="A855" t="str">
            <v>001.17.00820</v>
          </cell>
          <cell r="B855" t="str">
            <v>Fornecimento e instalação de cabo de cobre seção 95.00 mm2, com isolamento para 750 v, com caract. não propagante ao fogo e auto extinguível, pirastic ou similar.</v>
          </cell>
          <cell r="C855" t="str">
            <v>ML</v>
          </cell>
          <cell r="D855">
            <v>26.4086</v>
          </cell>
        </row>
        <row r="856">
          <cell r="A856" t="str">
            <v>001.17.00840</v>
          </cell>
          <cell r="B856" t="str">
            <v>Fornecimento e instalação de cabo de cobre seção 120.00 mm2, com isolamento para 750 v, com caract. não propagante ao fogo e auto extinguível, pirastic ou similar.</v>
          </cell>
          <cell r="C856" t="str">
            <v>ML</v>
          </cell>
          <cell r="D856">
            <v>33.341999999999999</v>
          </cell>
        </row>
        <row r="857">
          <cell r="A857" t="str">
            <v>001.17.00860</v>
          </cell>
          <cell r="B857" t="str">
            <v>Fornecimento e instalação de cabo de cobre seção 150.00 mm2, com isolamento para 750 v, com caract. não propagante ao fogo e auto extinguível, pirastic ou similar.</v>
          </cell>
          <cell r="C857" t="str">
            <v>ML</v>
          </cell>
          <cell r="D857">
            <v>40.428100000000001</v>
          </cell>
        </row>
        <row r="858">
          <cell r="A858" t="str">
            <v>001.17.00880</v>
          </cell>
          <cell r="B858" t="str">
            <v>Fornecimento e instalação de cabo de cobre seção 185.00 mm2, com isolamento para 750 v, com caract. não propagante ao fogo e auto extinguível, pirastic ou similar.</v>
          </cell>
          <cell r="C858" t="str">
            <v>ML</v>
          </cell>
          <cell r="D858">
            <v>51.388599999999997</v>
          </cell>
        </row>
        <row r="859">
          <cell r="A859" t="str">
            <v>001.17.00900</v>
          </cell>
          <cell r="B859" t="str">
            <v>Fornecimento e instalação de cabo de cobre seção 240.00 mm2, com isolamento para 750 v, com caract. não propagante ao fogo e auto extinguível, pirastic ou similar.</v>
          </cell>
          <cell r="C859" t="str">
            <v>ML</v>
          </cell>
          <cell r="D859">
            <v>67.194000000000003</v>
          </cell>
        </row>
        <row r="860">
          <cell r="A860" t="str">
            <v>001.17.00920</v>
          </cell>
          <cell r="B860" t="str">
            <v>Fornecimento e instalação de cabo de cobre seção 300.00 mm2, com isolamento para 750 v, com caract. não propagante ao fogo e auto extinguível, pirastic ou similar.</v>
          </cell>
          <cell r="C860" t="str">
            <v>ML</v>
          </cell>
          <cell r="D860">
            <v>86.567899999999995</v>
          </cell>
        </row>
        <row r="861">
          <cell r="A861" t="str">
            <v>001.17.00940</v>
          </cell>
          <cell r="B861" t="str">
            <v>Fornecimento e instalação de cabo de cobre seção 400.00 mm2, com isolamento para 750 v, com caract. não propagante ao fogo e auto extinguível, pirastic ou similar.</v>
          </cell>
          <cell r="C861" t="str">
            <v>ML</v>
          </cell>
          <cell r="D861">
            <v>128.47980000000001</v>
          </cell>
        </row>
        <row r="862">
          <cell r="A862" t="str">
            <v>001.17.00960</v>
          </cell>
          <cell r="B862" t="str">
            <v>Fornecimento e instalação de cabo de cobre seção 500.00 mm2, com isolamento para 750 v, com caract. não propagante ao fogo e auto extinguível, pirastic ou similar.</v>
          </cell>
          <cell r="C862" t="str">
            <v>ML</v>
          </cell>
          <cell r="D862">
            <v>132.3663</v>
          </cell>
        </row>
        <row r="863">
          <cell r="A863" t="str">
            <v>001.17.00980</v>
          </cell>
          <cell r="B863" t="str">
            <v>Fornecimento e instalação de cabo de cobre seção 2x2.50 mm2, com isolamento para 0.60 /1.00 Kv, com caract. não propagante ao fogo e auto extinguível, sintenax ou similar.</v>
          </cell>
          <cell r="C863" t="str">
            <v>ML</v>
          </cell>
          <cell r="D863">
            <v>2.3454999999999999</v>
          </cell>
        </row>
        <row r="864">
          <cell r="A864" t="str">
            <v>001.17.01000</v>
          </cell>
          <cell r="B864" t="str">
            <v>Fornecimento e instalação de cabo de cobre seção 2x4.00 mm2, com isolamento para 0.60 /1.00 Kv, com caract. não propagante ao fogo e auto extinguível, sintenax ou similar.</v>
          </cell>
          <cell r="C864" t="str">
            <v>ML</v>
          </cell>
          <cell r="D864">
            <v>3.5691999999999999</v>
          </cell>
        </row>
        <row r="865">
          <cell r="A865" t="str">
            <v>001.17.01020</v>
          </cell>
          <cell r="B865" t="str">
            <v>Fornecimento e instalação de cabo de cobre seção 2x6.00 mm2, com isolamento para 0.60 /1.00 Kv, com caract. não propagante ao fogo e auto extinguível, sintenax ou similar.</v>
          </cell>
          <cell r="C865" t="str">
            <v>ML</v>
          </cell>
          <cell r="D865">
            <v>5.2519</v>
          </cell>
        </row>
        <row r="866">
          <cell r="A866" t="str">
            <v>001.17.01040</v>
          </cell>
          <cell r="B866" t="str">
            <v>Fornecimento e instalação de cabo de cobre seção 2x10.00 mm2, com isolamento para 0.60 /1.00 Kv, com caract. não propagante ao fogo e auto extinguível, sintenax ou similar.</v>
          </cell>
          <cell r="C866" t="str">
            <v>ML</v>
          </cell>
          <cell r="D866">
            <v>8.5654000000000003</v>
          </cell>
        </row>
        <row r="867">
          <cell r="A867" t="str">
            <v>001.17.01060</v>
          </cell>
          <cell r="B867" t="str">
            <v>Fornecimento e instalação de cabo de cobre seção 3x2.50 mm2, com isolamento para 0.60 /1.00 Kv, com caract. não propagante ao fogo e auto extinguível, sintenax ou similar.</v>
          </cell>
          <cell r="C867" t="str">
            <v>ML</v>
          </cell>
          <cell r="D867">
            <v>3.1615000000000002</v>
          </cell>
        </row>
        <row r="868">
          <cell r="A868" t="str">
            <v>001.17.01080</v>
          </cell>
          <cell r="B868" t="str">
            <v>Fornecimento e instalação de cabo de cobre seção 3x4.00 mm2, com isolamento para 0.60 /1.00 Kv, com caract. não propagante ao fogo e auto extinguível, sintenax ou similar.</v>
          </cell>
          <cell r="C868" t="str">
            <v>ML</v>
          </cell>
          <cell r="D868">
            <v>4.7422000000000004</v>
          </cell>
        </row>
        <row r="869">
          <cell r="A869" t="str">
            <v>001.17.01100</v>
          </cell>
          <cell r="B869" t="str">
            <v>Fornecimento e instalação de cabo de cobre seção 3x6.00 mm2, com isolamento para 0.60 /1.00 Kv, com caract. não propagante ao fogo e auto extinguível, sintenax ou similar.</v>
          </cell>
          <cell r="C869" t="str">
            <v>ML</v>
          </cell>
          <cell r="D869">
            <v>6.5269000000000004</v>
          </cell>
        </row>
        <row r="870">
          <cell r="A870" t="str">
            <v>001.17.01120</v>
          </cell>
          <cell r="B870" t="str">
            <v>Fornecimento e instalação de cabo de cobre seção 3x10.00 mm2, com isolamento para 0.60 /1.00 Kv, com caract. não propagante ao fogo e auto extinguível, sintenax ou similar.</v>
          </cell>
          <cell r="C870" t="str">
            <v>ML</v>
          </cell>
          <cell r="D870">
            <v>11.2174</v>
          </cell>
        </row>
        <row r="871">
          <cell r="A871" t="str">
            <v>001.17.01140</v>
          </cell>
          <cell r="B871" t="str">
            <v>Fornecimento e instalação de cabos de cobre seção 4.00 mm2,para tensão de 1000 volts formado por condutor de fio de cobre isolado com material de característica não propagante ao fogo</v>
          </cell>
          <cell r="C871" t="str">
            <v>ML</v>
          </cell>
          <cell r="D871">
            <v>1.9363999999999999</v>
          </cell>
        </row>
        <row r="872">
          <cell r="A872" t="str">
            <v>001.17.01160</v>
          </cell>
          <cell r="B872" t="str">
            <v>Fornecimento e instalação de cabos de cobre seção 6.00 mm2,para tensão de 1000 volts formado por condutor de fio de cobre isolado com material de característica não propagante ao fogo</v>
          </cell>
          <cell r="C872" t="str">
            <v>ML</v>
          </cell>
          <cell r="D872">
            <v>2.5855999999999999</v>
          </cell>
        </row>
        <row r="873">
          <cell r="A873" t="str">
            <v>001.17.01180</v>
          </cell>
          <cell r="B873" t="str">
            <v>Fornecimento e instalação de cabos de cobre seção 10.00 mm2,para tensão de 1000 volts formado por condutor de fio de cobre isolado com material de característica não propagante ao fogo</v>
          </cell>
          <cell r="C873" t="str">
            <v>ML</v>
          </cell>
          <cell r="D873">
            <v>3.6796000000000002</v>
          </cell>
        </row>
        <row r="874">
          <cell r="A874" t="str">
            <v>001.17.01200</v>
          </cell>
          <cell r="B874" t="str">
            <v>Fornecimento e instalação de cabos de cobre seção 16.00 mm2,para tensão de 1000 volts formado por condutor de fio de cobre isolado com material de característica não propagante ao fogo</v>
          </cell>
          <cell r="C874" t="str">
            <v>ML</v>
          </cell>
          <cell r="D874">
            <v>5.5650000000000004</v>
          </cell>
        </row>
        <row r="875">
          <cell r="A875" t="str">
            <v>001.17.01220</v>
          </cell>
          <cell r="B875" t="str">
            <v>Fornecimento e instalação de cabos de cobre seção 25.00 mm2,para tensão de 1000 volts formado por condutor de fio de cobre isolado com material de característica não propagante ao fogo</v>
          </cell>
          <cell r="C875" t="str">
            <v>ML</v>
          </cell>
          <cell r="D875">
            <v>8.3596000000000004</v>
          </cell>
        </row>
        <row r="876">
          <cell r="A876" t="str">
            <v>001.17.01240</v>
          </cell>
          <cell r="B876" t="str">
            <v>Fornecimento e instalação de cabos de cobre seção 35.00 mm2,para tensão de 1000 volts formado por condutor de fio de cobre isolado com material de característica não propagante ao fogo</v>
          </cell>
          <cell r="C876" t="str">
            <v>ML</v>
          </cell>
          <cell r="D876">
            <v>10.2149</v>
          </cell>
        </row>
        <row r="877">
          <cell r="A877" t="str">
            <v>001.17.01260</v>
          </cell>
          <cell r="B877" t="str">
            <v>Fornecimento e instalação de cabos de cobre seção 50.00 mm2,para tensão de 1000 volts formado por condutor de fio de cobre isolado com material de característica não propagante ao fogo</v>
          </cell>
          <cell r="C877" t="str">
            <v>ML</v>
          </cell>
          <cell r="D877">
            <v>16.5669</v>
          </cell>
        </row>
        <row r="878">
          <cell r="A878" t="str">
            <v>001.17.01280</v>
          </cell>
          <cell r="B878" t="str">
            <v>Fornecimento e instalação de cabos de cobre seção 70.00 mm2,para tensão de 1000 volts formado por condutor de fio de cobre isolado com material de característica não propagante ao fogo</v>
          </cell>
          <cell r="C878" t="str">
            <v>ML</v>
          </cell>
          <cell r="D878">
            <v>18.7591</v>
          </cell>
        </row>
        <row r="879">
          <cell r="A879" t="str">
            <v>001.17.01300</v>
          </cell>
          <cell r="B879" t="str">
            <v>Fornecimento e instalação de cabos de cobre seção 95.00 mm2,para tensão de 1000 volts formado por condutor de fio de cobre isolado com material de característica não propagante ao fogo</v>
          </cell>
          <cell r="C879" t="str">
            <v>ML</v>
          </cell>
          <cell r="D879">
            <v>25.0928</v>
          </cell>
        </row>
        <row r="880">
          <cell r="A880" t="str">
            <v>001.17.01320</v>
          </cell>
          <cell r="B880" t="str">
            <v>Fornecimento e instalação de cabos de cobre seção 120.00 mm2,para tensão de 1000 volts formado por condutor de fio de cobre isolado com material de característica não propagante ao fogo 2</v>
          </cell>
          <cell r="C880" t="str">
            <v>ML</v>
          </cell>
          <cell r="D880">
            <v>31.516200000000001</v>
          </cell>
        </row>
        <row r="881">
          <cell r="A881" t="str">
            <v>001.17.01340</v>
          </cell>
          <cell r="B881" t="str">
            <v>Fornecimento e instalação de cabos de cobre seção 150 mm2,para tensão de 1000 volts formado por condutor de fio de cobre isolado com material de característica não propagante ao fogo</v>
          </cell>
          <cell r="C881" t="str">
            <v>ML</v>
          </cell>
          <cell r="D881">
            <v>38.112699999999997</v>
          </cell>
        </row>
        <row r="882">
          <cell r="A882" t="str">
            <v>001.17.01360</v>
          </cell>
          <cell r="B882" t="str">
            <v>Fornecimento e instalação de cabos de cobre seção 185 mm2,para tensão de 1000 volts formado por condutor de fio de cobre isolado com material de característica não propagante ao fogo</v>
          </cell>
          <cell r="C882" t="str">
            <v>ML</v>
          </cell>
          <cell r="D882">
            <v>48.614199999999997</v>
          </cell>
        </row>
        <row r="883">
          <cell r="A883" t="str">
            <v>001.17.01380</v>
          </cell>
          <cell r="B883" t="str">
            <v>Fornecimento e instalação de cabos de cobre seção 240 mm2,para tensão de 1000 volts formado por condutor de fio de cobre isolado com material de característica não propagante ao fogo</v>
          </cell>
          <cell r="C883" t="str">
            <v>ML</v>
          </cell>
          <cell r="D883">
            <v>62.348999999999997</v>
          </cell>
        </row>
        <row r="884">
          <cell r="A884" t="str">
            <v>001.17.01400</v>
          </cell>
          <cell r="B884" t="str">
            <v>Fornecimento e instalação de cabos de seção 300 mm2,para tensão de 1000 volts formado por condutor de fio de cobre isolado com material de característica não propagante ao fogo</v>
          </cell>
          <cell r="C884" t="str">
            <v>ML</v>
          </cell>
          <cell r="D884">
            <v>79.631900000000002</v>
          </cell>
        </row>
        <row r="885">
          <cell r="A885" t="str">
            <v>001.17.01420</v>
          </cell>
          <cell r="B885" t="str">
            <v>Fornecimento e instalação de cabo de cobre seção 25 mm2,com isolamento de 15 kv</v>
          </cell>
          <cell r="C885" t="str">
            <v>ML</v>
          </cell>
          <cell r="D885">
            <v>37.429600000000001</v>
          </cell>
        </row>
        <row r="886">
          <cell r="A886" t="str">
            <v>001.17.01440</v>
          </cell>
          <cell r="B886" t="str">
            <v>Fornecimento e instalação de eletroduto de pvc 1 1/4"""""""" corrugado tipo kanaflex</v>
          </cell>
          <cell r="C886" t="str">
            <v>ML</v>
          </cell>
          <cell r="D886">
            <v>4.6773999999999996</v>
          </cell>
        </row>
        <row r="887">
          <cell r="A887" t="str">
            <v>001.17.01460</v>
          </cell>
          <cell r="B887" t="str">
            <v>Fornecimento e instalação de eletroduto de pvc 1 1/2"""""""" corrugado tipo kanaflex</v>
          </cell>
          <cell r="C887" t="str">
            <v>ML</v>
          </cell>
          <cell r="D887">
            <v>5.5545999999999998</v>
          </cell>
        </row>
        <row r="888">
          <cell r="A888" t="str">
            <v>001.17.01500</v>
          </cell>
          <cell r="B888" t="str">
            <v>Fornecimento e instalação de eletroduto rígido de ferro galvanizado  1/2"""" c/ rosca nas duas pontas em barra de 3 metros - Médio</v>
          </cell>
          <cell r="C888" t="str">
            <v>UN</v>
          </cell>
          <cell r="D888">
            <v>19.233899999999998</v>
          </cell>
        </row>
        <row r="889">
          <cell r="A889" t="str">
            <v>001.17.01520</v>
          </cell>
          <cell r="B889" t="str">
            <v>Fornecimento e instalação de eletroduto rígido de ferro galvanizado  3/4"""" c/ rosca nas duas pontas em barra de 3 metros - Médio</v>
          </cell>
          <cell r="C889" t="str">
            <v>UN</v>
          </cell>
          <cell r="D889">
            <v>22.9299</v>
          </cell>
        </row>
        <row r="890">
          <cell r="A890" t="str">
            <v>001.17.01540</v>
          </cell>
          <cell r="B890" t="str">
            <v>Fornecimento e instalação de eletroduto rígido de ferro galvanizado 1"""" c/ rosca nas duas pontas em barra de 3 metros - Médio</v>
          </cell>
          <cell r="C890" t="str">
            <v>UN</v>
          </cell>
          <cell r="D890">
            <v>26.741399999999999</v>
          </cell>
        </row>
        <row r="891">
          <cell r="A891" t="str">
            <v>001.17.01560</v>
          </cell>
          <cell r="B891" t="str">
            <v>Fornecimento e instalação de eletroduto rígido de ferro galvanizado 1 1/4"""" c/ rosca nas duas pontas em barra de 3 metros - Médio</v>
          </cell>
          <cell r="C891" t="str">
            <v>UN</v>
          </cell>
          <cell r="D891">
            <v>37.051299999999998</v>
          </cell>
        </row>
        <row r="892">
          <cell r="A892" t="str">
            <v>001.17.01580</v>
          </cell>
          <cell r="B892" t="str">
            <v>Fornecimento e instalação de eletroduto rígido de ferro galvanizado 1 1/2"""" c/ rosca nas duas pontas em barra de 3 metros - Médio</v>
          </cell>
          <cell r="C892" t="str">
            <v>UN</v>
          </cell>
          <cell r="D892">
            <v>49.987299999999998</v>
          </cell>
        </row>
        <row r="893">
          <cell r="A893" t="str">
            <v>001.17.01600</v>
          </cell>
          <cell r="B893" t="str">
            <v>Fornecimento e instalação de eletroduto rígido de ferro galvanizado 2"""" c/ rosca nas duas pontas em barra de 3 metros - Médio</v>
          </cell>
          <cell r="C893" t="str">
            <v>UN</v>
          </cell>
          <cell r="D893">
            <v>66.619299999999996</v>
          </cell>
        </row>
        <row r="894">
          <cell r="A894" t="str">
            <v>001.17.01620</v>
          </cell>
          <cell r="B894" t="str">
            <v>Fornecimento e instalação de eletroduto rígido de ferro galvanizado 2 1/2"""" c/ rosca nas duas pontas em barra de 3 metros - Médio</v>
          </cell>
          <cell r="C894" t="str">
            <v>UN</v>
          </cell>
          <cell r="D894">
            <v>69.936300000000003</v>
          </cell>
        </row>
        <row r="895">
          <cell r="A895" t="str">
            <v>001.17.01640</v>
          </cell>
          <cell r="B895" t="str">
            <v>Fornecimento e instalação de eletroduto rígido de ferro galvanizado 3"""" c/ rosca nas duas pontas em barra de 3 metros - Médio</v>
          </cell>
          <cell r="C895" t="str">
            <v>UN</v>
          </cell>
          <cell r="D895">
            <v>117.46980000000001</v>
          </cell>
        </row>
        <row r="896">
          <cell r="A896" t="str">
            <v>001.17.01660</v>
          </cell>
          <cell r="B896" t="str">
            <v>Fornecimento e instalação de eletroduto rígido de ferro galvanizado 4"""" c/ rosca nas duas pontas em barra de 3 metros - Médio</v>
          </cell>
          <cell r="C896" t="str">
            <v>UN</v>
          </cell>
          <cell r="D896">
            <v>149.5788</v>
          </cell>
        </row>
        <row r="897">
          <cell r="A897" t="str">
            <v>001.17.01680</v>
          </cell>
          <cell r="B897" t="str">
            <v>Fornecimento e instalação de eletroduto de pvc  1/2"""""""" roscável anti-chama em barra de 3 m</v>
          </cell>
          <cell r="C897" t="str">
            <v>UN</v>
          </cell>
          <cell r="D897">
            <v>5.6475999999999997</v>
          </cell>
        </row>
        <row r="898">
          <cell r="A898" t="str">
            <v>001.17.01700</v>
          </cell>
          <cell r="B898" t="str">
            <v>Fornecimento e instalação de eletroduto de pvc  3/4"""""""" roscável anti-chama em barra de 3 m</v>
          </cell>
          <cell r="C898" t="str">
            <v>UN</v>
          </cell>
          <cell r="D898">
            <v>6.4875999999999996</v>
          </cell>
        </row>
        <row r="899">
          <cell r="A899" t="str">
            <v>001.17.01720</v>
          </cell>
          <cell r="B899" t="str">
            <v>Fornecimento e instalação de eletroduto de pvc  1"""""""" roscável anti-chama em barra de 3 m</v>
          </cell>
          <cell r="C899" t="str">
            <v>UN</v>
          </cell>
          <cell r="D899">
            <v>8.5876000000000001</v>
          </cell>
        </row>
        <row r="900">
          <cell r="A900" t="str">
            <v>001.17.01740</v>
          </cell>
          <cell r="B900" t="str">
            <v>Fornecimento e instalação de eletroduto de pvc  1 1/4"""""""" roscável anti-chama em barra de 3 m</v>
          </cell>
          <cell r="C900" t="str">
            <v>UN</v>
          </cell>
          <cell r="D900">
            <v>12.9339</v>
          </cell>
        </row>
        <row r="901">
          <cell r="A901" t="str">
            <v>001.17.01760</v>
          </cell>
          <cell r="B901" t="str">
            <v>Fornecimento e instalação de eletroduto de pvc  1 1/2"""""""" roscável anti-chama em barra de 3 m</v>
          </cell>
          <cell r="C901" t="str">
            <v>UN</v>
          </cell>
          <cell r="D901">
            <v>14.4039</v>
          </cell>
        </row>
        <row r="902">
          <cell r="A902" t="str">
            <v>001.17.01780</v>
          </cell>
          <cell r="B902" t="str">
            <v>Fornecimento e instalação de eletroduto de pvc  2"""""""" roscável anti-chama em barra de 3 m</v>
          </cell>
          <cell r="C902" t="str">
            <v>UN</v>
          </cell>
          <cell r="D902">
            <v>18.498899999999999</v>
          </cell>
        </row>
        <row r="903">
          <cell r="A903" t="str">
            <v>001.17.01800</v>
          </cell>
          <cell r="B903" t="str">
            <v>Fornecimento e instalação de eletroduto de pvc  2 1/2"""""""" roscável anti-chama em barra de 3 m</v>
          </cell>
          <cell r="C903" t="str">
            <v>UN</v>
          </cell>
          <cell r="D903">
            <v>31.560199999999998</v>
          </cell>
        </row>
        <row r="904">
          <cell r="A904" t="str">
            <v>001.17.01820</v>
          </cell>
          <cell r="B904" t="str">
            <v>Fornecimento e instalação de eletroduto de pvc  3"""""""" roscável anti-chama em barra de 3 m</v>
          </cell>
          <cell r="C904" t="str">
            <v>UN</v>
          </cell>
          <cell r="D904">
            <v>33.240200000000002</v>
          </cell>
        </row>
        <row r="905">
          <cell r="A905" t="str">
            <v>001.17.01840</v>
          </cell>
          <cell r="B905" t="str">
            <v>Fornecimento e instalação de eletroduto de pvc  4"""""""" roscável anti-chama em barra de 3 m</v>
          </cell>
          <cell r="C905" t="str">
            <v>UN</v>
          </cell>
          <cell r="D905">
            <v>41.955199999999998</v>
          </cell>
        </row>
        <row r="906">
          <cell r="A906" t="str">
            <v>001.17.01850</v>
          </cell>
          <cell r="B906" t="str">
            <v>Fornecimento e instalação de conjunto bucha e arruela 1/2"""" de pvc para eletroduto roscável</v>
          </cell>
          <cell r="C906" t="str">
            <v>CJ</v>
          </cell>
          <cell r="D906">
            <v>0.4975</v>
          </cell>
        </row>
        <row r="907">
          <cell r="A907" t="str">
            <v>001.17.01860</v>
          </cell>
          <cell r="B907" t="str">
            <v>Fornecimento e instalação de conjunto bucha e arruela 3/4"""""""" de pvc para eletroduto roscáve</v>
          </cell>
          <cell r="C907" t="str">
            <v>CJ</v>
          </cell>
          <cell r="D907">
            <v>0.52749999999999997</v>
          </cell>
        </row>
        <row r="908">
          <cell r="A908" t="str">
            <v>001.17.01880</v>
          </cell>
          <cell r="B908" t="str">
            <v>Fornecimento e instalação de conjunto bucha e arruela 1"""""""" de pvc para eletroduto roscável</v>
          </cell>
          <cell r="C908" t="str">
            <v>CJ</v>
          </cell>
          <cell r="D908">
            <v>0.6875</v>
          </cell>
        </row>
        <row r="909">
          <cell r="A909" t="str">
            <v>001.17.01900</v>
          </cell>
          <cell r="B909" t="str">
            <v>Fornecimento e instalação de conjunto bucha e arruela 1 1/4"""""""" de pvc para eletroduto roscável</v>
          </cell>
          <cell r="C909" t="str">
            <v>CJ</v>
          </cell>
          <cell r="D909">
            <v>1.2450000000000001</v>
          </cell>
        </row>
        <row r="910">
          <cell r="A910" t="str">
            <v>001.17.01920</v>
          </cell>
          <cell r="B910" t="str">
            <v>Fornecimento e instalação de conjunto bucha e arruela 1 1/2"""""""",de pvc para eletroduto roscável</v>
          </cell>
          <cell r="C910" t="str">
            <v>CJ</v>
          </cell>
          <cell r="D910">
            <v>1.425</v>
          </cell>
        </row>
        <row r="911">
          <cell r="A911" t="str">
            <v>001.17.01940</v>
          </cell>
          <cell r="B911" t="str">
            <v>Fornecimento e instalação de conjunto bucha e arruela 2"""""""", de pvc para eletroduto roscável</v>
          </cell>
          <cell r="C911" t="str">
            <v>CJ</v>
          </cell>
          <cell r="D911">
            <v>1.915</v>
          </cell>
        </row>
        <row r="912">
          <cell r="A912" t="str">
            <v>001.17.01960</v>
          </cell>
          <cell r="B912" t="str">
            <v>Fornecimento e instalação de conjunto bucha e arruela 2 1/2"""""""", de pvc para eletroduto roscável</v>
          </cell>
          <cell r="C912" t="str">
            <v>CJ</v>
          </cell>
          <cell r="D912">
            <v>3.3275000000000001</v>
          </cell>
        </row>
        <row r="913">
          <cell r="A913" t="str">
            <v>001.17.01980</v>
          </cell>
          <cell r="B913" t="str">
            <v>Fornecimento e instalação de conjunto bucha e arruela 3"""""""", de pvc para eletroduto roscável</v>
          </cell>
          <cell r="C913" t="str">
            <v>CJ</v>
          </cell>
          <cell r="D913">
            <v>3.9775</v>
          </cell>
        </row>
        <row r="914">
          <cell r="A914" t="str">
            <v>001.17.02000</v>
          </cell>
          <cell r="B914" t="str">
            <v>Fornecimento e instalação de conjunto bucha e arruela 4"""""""" de pvc para eletroduto roscável</v>
          </cell>
          <cell r="C914" t="str">
            <v>CJ</v>
          </cell>
          <cell r="D914">
            <v>5.3075000000000001</v>
          </cell>
        </row>
        <row r="915">
          <cell r="A915" t="str">
            <v>001.17.02020</v>
          </cell>
          <cell r="B915" t="str">
            <v>Fornecimento e instalação de curva 90º de pvc 1/2"""""""" para eletroduto roscável</v>
          </cell>
          <cell r="C915" t="str">
            <v>UN</v>
          </cell>
          <cell r="D915">
            <v>1.3501000000000001</v>
          </cell>
        </row>
        <row r="916">
          <cell r="A916" t="str">
            <v>001.17.02040</v>
          </cell>
          <cell r="B916" t="str">
            <v>Fornecimento e instalação de curva 90º de pvc 3/4"""""""" para eletroduto roscável</v>
          </cell>
          <cell r="C916" t="str">
            <v>UN</v>
          </cell>
          <cell r="D916">
            <v>1.7375</v>
          </cell>
        </row>
        <row r="917">
          <cell r="A917" t="str">
            <v>001.17.02060</v>
          </cell>
          <cell r="B917" t="str">
            <v>Fornecimento e instalação de curva 90º de pvc 1"""""""" para eletroduto roscável</v>
          </cell>
          <cell r="C917" t="str">
            <v>UN</v>
          </cell>
          <cell r="D917">
            <v>2.2374999999999998</v>
          </cell>
        </row>
        <row r="918">
          <cell r="A918" t="str">
            <v>001.17.02080</v>
          </cell>
          <cell r="B918" t="str">
            <v>Fornecimento e instalação de curva 90º de pvc 1 1/4"""""""" para eletroduto roscável</v>
          </cell>
          <cell r="C918" t="str">
            <v>UN</v>
          </cell>
          <cell r="D918">
            <v>2.9249999999999998</v>
          </cell>
        </row>
        <row r="919">
          <cell r="A919" t="str">
            <v>001.17.02100</v>
          </cell>
          <cell r="B919" t="str">
            <v>Fornecimento e instalação de curva 90º de pvc 1 1/2"""""""" para eletroduto roscável</v>
          </cell>
          <cell r="C919" t="str">
            <v>UN</v>
          </cell>
          <cell r="D919">
            <v>3.3250000000000002</v>
          </cell>
        </row>
        <row r="920">
          <cell r="A920" t="str">
            <v>001.17.02120</v>
          </cell>
          <cell r="B920" t="str">
            <v>Fornecimento e instalação de curva 90º de pvc 2"""""""" para eletroduto roscável</v>
          </cell>
          <cell r="C920" t="str">
            <v>UN</v>
          </cell>
          <cell r="D920">
            <v>4.625</v>
          </cell>
        </row>
        <row r="921">
          <cell r="A921" t="str">
            <v>001.17.02140</v>
          </cell>
          <cell r="B921" t="str">
            <v>Fornecimento e instalação de curva 90º de pvc 2 1/2"""""""" para eletroduto roscável</v>
          </cell>
          <cell r="C921" t="str">
            <v>UN</v>
          </cell>
          <cell r="D921">
            <v>8.8063000000000002</v>
          </cell>
        </row>
        <row r="922">
          <cell r="A922" t="str">
            <v>001.17.02160</v>
          </cell>
          <cell r="B922" t="str">
            <v>Fornecimento e instalação de curva 90º de pvc 3"""""""" para eletroduto roscável</v>
          </cell>
          <cell r="C922" t="str">
            <v>UN</v>
          </cell>
          <cell r="D922">
            <v>9.0062999999999995</v>
          </cell>
        </row>
        <row r="923">
          <cell r="A923" t="str">
            <v>001.17.02180</v>
          </cell>
          <cell r="B923" t="str">
            <v>Fornecimento e instalação de curva 90º de pvc 4"""""""" para eletroduto roscável</v>
          </cell>
          <cell r="C923" t="str">
            <v>UN</v>
          </cell>
          <cell r="D923">
            <v>16.906300000000002</v>
          </cell>
        </row>
        <row r="924">
          <cell r="A924" t="str">
            <v>001.17.02200</v>
          </cell>
          <cell r="B924" t="str">
            <v>Fornecimento e instalação de curva 135° de pvc 3/4"""""""" para eletroduto roscável</v>
          </cell>
          <cell r="C924" t="str">
            <v>UN</v>
          </cell>
          <cell r="D924">
            <v>2.1375000000000002</v>
          </cell>
        </row>
        <row r="925">
          <cell r="A925" t="str">
            <v>001.17.02220</v>
          </cell>
          <cell r="B925" t="str">
            <v>Fornecimento e instalação de curva 135° de pvc 1"""""""" para eletroduto roscável</v>
          </cell>
          <cell r="C925" t="str">
            <v>UN</v>
          </cell>
          <cell r="D925">
            <v>3.4575</v>
          </cell>
        </row>
        <row r="926">
          <cell r="A926" t="str">
            <v>001.17.02240</v>
          </cell>
          <cell r="B926" t="str">
            <v>Fornecimento e instalação de curva 135° de pvc 1 1/4"""""""" para eletroduto roscável</v>
          </cell>
          <cell r="C926" t="str">
            <v>UN</v>
          </cell>
          <cell r="D926">
            <v>7.3250000000000002</v>
          </cell>
        </row>
        <row r="927">
          <cell r="A927" t="str">
            <v>001.17.02260</v>
          </cell>
          <cell r="B927" t="str">
            <v>Fornecimento e instalação de curva 135° de pvc 1 1/2"""""""" para eletroduto roscável</v>
          </cell>
          <cell r="C927" t="str">
            <v>UN</v>
          </cell>
          <cell r="D927">
            <v>9.625</v>
          </cell>
        </row>
        <row r="928">
          <cell r="A928" t="str">
            <v>001.17.02280</v>
          </cell>
          <cell r="B928" t="str">
            <v>Fornecimento e instalação de curva 135° de pvc 2"""""""" para eletroduto roscável</v>
          </cell>
          <cell r="C928" t="str">
            <v>UN</v>
          </cell>
          <cell r="D928">
            <v>13.625</v>
          </cell>
        </row>
        <row r="929">
          <cell r="A929" t="str">
            <v>001.17.02300</v>
          </cell>
          <cell r="B929" t="str">
            <v>Fornecimento e instalação de luva pvc 1/2"""""""" p/ eletroduto roscável</v>
          </cell>
          <cell r="C929" t="str">
            <v>UN</v>
          </cell>
          <cell r="D929">
            <v>0.76880000000000004</v>
          </cell>
        </row>
        <row r="930">
          <cell r="A930" t="str">
            <v>001.17.02320</v>
          </cell>
          <cell r="B930" t="str">
            <v>Fornecimento e instalação de luva pvc 3/4"""""""" p/ eletroduto roscável</v>
          </cell>
          <cell r="C930" t="str">
            <v>UN</v>
          </cell>
          <cell r="D930">
            <v>0.86880000000000002</v>
          </cell>
        </row>
        <row r="931">
          <cell r="A931" t="str">
            <v>001.17.02340</v>
          </cell>
          <cell r="B931" t="str">
            <v>Fornecimento e instalação de luva pvc 1"""""""" p/ eletruduto roscável</v>
          </cell>
          <cell r="C931" t="str">
            <v>UN</v>
          </cell>
          <cell r="D931">
            <v>1.0688</v>
          </cell>
        </row>
        <row r="932">
          <cell r="A932" t="str">
            <v>001.17.02360</v>
          </cell>
          <cell r="B932" t="str">
            <v>Fornecimento e instalação de luva pvc 1 1/4"""""""" p/ eletroduto roscável</v>
          </cell>
          <cell r="C932" t="str">
            <v>UN</v>
          </cell>
          <cell r="D932">
            <v>1.4562999999999999</v>
          </cell>
        </row>
        <row r="933">
          <cell r="A933" t="str">
            <v>001.17.02380</v>
          </cell>
          <cell r="B933" t="str">
            <v>Fornecimento e instalação de luva pvc 1 1/2"""""""" p/ eletroduto roscável</v>
          </cell>
          <cell r="C933" t="str">
            <v>UN</v>
          </cell>
          <cell r="D933">
            <v>1.6563000000000001</v>
          </cell>
        </row>
        <row r="934">
          <cell r="A934" t="str">
            <v>001.17.02400</v>
          </cell>
          <cell r="B934" t="str">
            <v>Fornecimento e instalação de luva pvc 2"""""""" p/ eletroduto roscável</v>
          </cell>
          <cell r="C934" t="str">
            <v>UN</v>
          </cell>
          <cell r="D934">
            <v>2.5063</v>
          </cell>
        </row>
        <row r="935">
          <cell r="A935" t="str">
            <v>001.17.02420</v>
          </cell>
          <cell r="B935" t="str">
            <v>Fornecimento e instalação de luva pvc 2 1/2"""""""" p/ eletroduto roscável</v>
          </cell>
          <cell r="C935" t="str">
            <v>UN</v>
          </cell>
          <cell r="D935">
            <v>6.0575000000000001</v>
          </cell>
        </row>
        <row r="936">
          <cell r="A936" t="str">
            <v>001.17.02440</v>
          </cell>
          <cell r="B936" t="str">
            <v>Fornecimento e instalação de luva pvc 3"""""""" p/ eletroduto roscável</v>
          </cell>
          <cell r="C936" t="str">
            <v>UN</v>
          </cell>
          <cell r="D936">
            <v>6.1375000000000002</v>
          </cell>
        </row>
        <row r="937">
          <cell r="A937" t="str">
            <v>001.17.02460</v>
          </cell>
          <cell r="B937" t="str">
            <v>Fornecimento e instalação de luva pvc 4"""""""" p/ eletroduto roscável</v>
          </cell>
          <cell r="C937" t="str">
            <v>UN</v>
          </cell>
          <cell r="D937">
            <v>14.9375</v>
          </cell>
        </row>
        <row r="938">
          <cell r="A938" t="str">
            <v>001.17.02480</v>
          </cell>
          <cell r="B938" t="str">
            <v>Fornecimento e instalação de braçadeira 3/4"""""""" p/ eletroduto</v>
          </cell>
          <cell r="C938" t="str">
            <v>UN</v>
          </cell>
          <cell r="D938">
            <v>1.5174000000000001</v>
          </cell>
        </row>
        <row r="939">
          <cell r="A939" t="str">
            <v>001.17.02500</v>
          </cell>
          <cell r="B939" t="str">
            <v>Fornecimento e instalação de braçadeira 1"""""""" p/ eletroduto</v>
          </cell>
          <cell r="C939" t="str">
            <v>UN</v>
          </cell>
          <cell r="D939">
            <v>2.0760000000000001</v>
          </cell>
        </row>
        <row r="940">
          <cell r="A940" t="str">
            <v>001.17.02520</v>
          </cell>
          <cell r="B940" t="str">
            <v>Fornecimento e instalação de braçadeira 1/2"""""""" p/ eletroduto</v>
          </cell>
          <cell r="C940" t="str">
            <v>UN</v>
          </cell>
          <cell r="D940">
            <v>1.0873999999999999</v>
          </cell>
        </row>
        <row r="941">
          <cell r="A941" t="str">
            <v>001.17.02540</v>
          </cell>
          <cell r="B941" t="str">
            <v>Fornecimento e instalação de braçadeira 2"""""""" p/ eletroduto</v>
          </cell>
          <cell r="C941" t="str">
            <v>UN</v>
          </cell>
          <cell r="D941">
            <v>3.4148000000000001</v>
          </cell>
        </row>
        <row r="942">
          <cell r="A942" t="str">
            <v>001.17.02560</v>
          </cell>
          <cell r="B942" t="str">
            <v>Fornecimento e instalação de braçadeira p/ eletroduto tipo unha de pvc, c/01 parafuso de d=25 mm (3/4"""""""")</v>
          </cell>
          <cell r="C942" t="str">
            <v>UN</v>
          </cell>
          <cell r="D942">
            <v>1.5174000000000001</v>
          </cell>
        </row>
        <row r="943">
          <cell r="A943" t="str">
            <v>001.17.02580</v>
          </cell>
          <cell r="B943" t="str">
            <v>Fornecimento e instalação de curva de ferro galvanizado de 135º diâm. 4""""""""</v>
          </cell>
          <cell r="C943" t="str">
            <v>UN</v>
          </cell>
          <cell r="D943">
            <v>82.183000000000007</v>
          </cell>
        </row>
        <row r="944">
          <cell r="A944" t="str">
            <v>001.17.02600</v>
          </cell>
          <cell r="B944" t="str">
            <v>Fornecimento e instalação de curva de ferro galvanizado de 135º diâm. 3""""""""</v>
          </cell>
          <cell r="C944" t="str">
            <v>UN</v>
          </cell>
          <cell r="D944">
            <v>47.240900000000003</v>
          </cell>
        </row>
        <row r="945">
          <cell r="A945" t="str">
            <v>001.17.02620</v>
          </cell>
          <cell r="B945" t="str">
            <v>Fornecimento e instalação de curva de ferro galvanizado de 135º diâm. 2 1/2""""""""</v>
          </cell>
          <cell r="C945" t="str">
            <v>UN</v>
          </cell>
          <cell r="D945">
            <v>35.663899999999998</v>
          </cell>
        </row>
        <row r="946">
          <cell r="A946" t="str">
            <v>001.17.02640</v>
          </cell>
          <cell r="B946" t="str">
            <v>Fornecimento e instalação de curva de ferro galvanizado de 135º diâm. 2""""""""</v>
          </cell>
          <cell r="C946" t="str">
            <v>UN</v>
          </cell>
          <cell r="D946">
            <v>23.131699999999999</v>
          </cell>
        </row>
        <row r="947">
          <cell r="A947" t="str">
            <v>001.17.02660</v>
          </cell>
          <cell r="B947" t="str">
            <v>Fornecimento e instalação de curva de ferro galvanizado de 135º diâm. 1 1/2""""""""</v>
          </cell>
          <cell r="C947" t="str">
            <v>UN</v>
          </cell>
          <cell r="D947">
            <v>15.5609</v>
          </cell>
        </row>
        <row r="948">
          <cell r="A948" t="str">
            <v>001.17.02680</v>
          </cell>
          <cell r="B948" t="str">
            <v>Fornecimento e instalação de curva de ferro galvanizado de 135º diâm. 1 1/4'</v>
          </cell>
          <cell r="C948" t="str">
            <v>UN</v>
          </cell>
          <cell r="D948">
            <v>8.7721999999999998</v>
          </cell>
        </row>
        <row r="949">
          <cell r="A949" t="str">
            <v>001.17.02700</v>
          </cell>
          <cell r="B949" t="str">
            <v>Fornecimento e instalação de curva de ferro galvanizado de 135º diâm. 1""""""""</v>
          </cell>
          <cell r="C949" t="str">
            <v>UN</v>
          </cell>
          <cell r="D949">
            <v>5.2544000000000004</v>
          </cell>
        </row>
        <row r="950">
          <cell r="A950" t="str">
            <v>001.17.02720</v>
          </cell>
          <cell r="B950" t="str">
            <v>Fornecimento e instalação de curva de ferro galvanizado de 135º diâm. 3/4'</v>
          </cell>
          <cell r="C950" t="str">
            <v>UN</v>
          </cell>
          <cell r="D950">
            <v>3.3826000000000001</v>
          </cell>
        </row>
        <row r="951">
          <cell r="A951" t="str">
            <v>001.17.02740</v>
          </cell>
          <cell r="B951" t="str">
            <v>Fornecimento e instalação de curva de ferro galvanizado de 90º diâm. 3""""""""</v>
          </cell>
          <cell r="C951" t="str">
            <v>UN</v>
          </cell>
          <cell r="D951">
            <v>48.075099999999999</v>
          </cell>
        </row>
        <row r="952">
          <cell r="A952" t="str">
            <v>001.17.02760</v>
          </cell>
          <cell r="B952" t="str">
            <v>Fornecimento e instalação de curva de ferro galvanizado de 90º diâm. 2 1/2""""""""</v>
          </cell>
          <cell r="C952" t="str">
            <v>UN</v>
          </cell>
          <cell r="D952">
            <v>23.665099999999999</v>
          </cell>
        </row>
        <row r="953">
          <cell r="A953" t="str">
            <v>001.17.02780</v>
          </cell>
          <cell r="B953" t="str">
            <v>Fornecimento e instalação de curva de ferro galvanizado de 90º diâm. 2""""""""</v>
          </cell>
          <cell r="C953" t="str">
            <v>UN</v>
          </cell>
          <cell r="D953">
            <v>18.676300000000001</v>
          </cell>
        </row>
        <row r="954">
          <cell r="A954" t="str">
            <v>001.17.02800</v>
          </cell>
          <cell r="B954" t="str">
            <v>Fornecimento e instalação de curva de ferro galvanizado de 90º diâm. 1 1/2""""""""</v>
          </cell>
          <cell r="C954" t="str">
            <v>UN</v>
          </cell>
          <cell r="D954">
            <v>10.206300000000001</v>
          </cell>
        </row>
        <row r="955">
          <cell r="A955" t="str">
            <v>001.17.02820</v>
          </cell>
          <cell r="B955" t="str">
            <v>Fornecimento e instalação de curva de ferro galvanizado de 90º diâm. 1 1/4""""""""</v>
          </cell>
          <cell r="C955" t="str">
            <v>UN</v>
          </cell>
          <cell r="D955">
            <v>8.1163000000000007</v>
          </cell>
        </row>
        <row r="956">
          <cell r="A956" t="str">
            <v>001.17.02840</v>
          </cell>
          <cell r="B956" t="str">
            <v>Fornecimento e instalação de curva de ferro galvanizado de 90º diâm. 1""""""""</v>
          </cell>
          <cell r="C956" t="str">
            <v>UN</v>
          </cell>
          <cell r="D956">
            <v>4.3475000000000001</v>
          </cell>
        </row>
        <row r="957">
          <cell r="A957" t="str">
            <v>001.17.02860</v>
          </cell>
          <cell r="B957" t="str">
            <v>Fornecimento e instalação de curva de ferro galvanizado de 90º diâm. 3/4""""""""</v>
          </cell>
          <cell r="C957" t="str">
            <v>UN</v>
          </cell>
          <cell r="D957">
            <v>3.4674999999999998</v>
          </cell>
        </row>
        <row r="958">
          <cell r="A958" t="str">
            <v>001.17.02880</v>
          </cell>
          <cell r="B958" t="str">
            <v>Fornecimento e instalação de curva de ferro galvanizado de 90º diâm. 1/2""""""""</v>
          </cell>
          <cell r="C958" t="str">
            <v>UN</v>
          </cell>
          <cell r="D958">
            <v>2.8075000000000001</v>
          </cell>
        </row>
        <row r="959">
          <cell r="A959" t="str">
            <v>001.17.02940</v>
          </cell>
          <cell r="B959" t="str">
            <v>Fornecimento e instalação de luva de ferro galvanizado  1/2""""""""</v>
          </cell>
          <cell r="C959" t="str">
            <v>UN</v>
          </cell>
          <cell r="D959">
            <v>1.4588000000000001</v>
          </cell>
        </row>
        <row r="960">
          <cell r="A960" t="str">
            <v>001.17.02960</v>
          </cell>
          <cell r="B960" t="str">
            <v>Fornecimento e instalação de luva de ferro galvanizado  3/4""""""""</v>
          </cell>
          <cell r="C960" t="str">
            <v>UN</v>
          </cell>
          <cell r="D960">
            <v>1.5688</v>
          </cell>
        </row>
        <row r="961">
          <cell r="A961" t="str">
            <v>001.17.02980</v>
          </cell>
          <cell r="B961" t="str">
            <v>Fornecimento e instalação de luva de ferro galvanizado  1""""""""</v>
          </cell>
          <cell r="C961" t="str">
            <v>UN</v>
          </cell>
          <cell r="D961">
            <v>1.8988</v>
          </cell>
        </row>
        <row r="962">
          <cell r="A962" t="str">
            <v>001.17.03000</v>
          </cell>
          <cell r="B962" t="str">
            <v>Fornecimento e instalação de luva de ferro galvanizado  1 1/4""""""""</v>
          </cell>
          <cell r="C962" t="str">
            <v>UN</v>
          </cell>
          <cell r="D962">
            <v>2.9662999999999999</v>
          </cell>
        </row>
        <row r="963">
          <cell r="A963" t="str">
            <v>001.17.03020</v>
          </cell>
          <cell r="B963" t="str">
            <v>Fornecimento e instalação de luva de ferro galvanizado  1 1/2</v>
          </cell>
          <cell r="C963" t="str">
            <v>UN</v>
          </cell>
          <cell r="D963">
            <v>3.5163000000000002</v>
          </cell>
        </row>
        <row r="964">
          <cell r="A964" t="str">
            <v>001.17.03040</v>
          </cell>
          <cell r="B964" t="str">
            <v>Fornecimento e instalação de luva de ferro galvanizado  2""""""""</v>
          </cell>
          <cell r="C964" t="str">
            <v>UN</v>
          </cell>
          <cell r="D964">
            <v>5.8262999999999998</v>
          </cell>
        </row>
        <row r="965">
          <cell r="A965" t="str">
            <v>001.17.03060</v>
          </cell>
          <cell r="B965" t="str">
            <v>Fornecimento e instalação de luva de ferro galvanizado  2 1/2""""""""</v>
          </cell>
          <cell r="C965" t="str">
            <v>UN</v>
          </cell>
          <cell r="D965">
            <v>5.8174999999999999</v>
          </cell>
        </row>
        <row r="966">
          <cell r="A966" t="str">
            <v>001.17.03080</v>
          </cell>
          <cell r="B966" t="str">
            <v>Fornecimento e instalação de luva de ferro galvanizado  3""""""""</v>
          </cell>
          <cell r="C966" t="str">
            <v>UN</v>
          </cell>
          <cell r="D966">
            <v>7.7575000000000003</v>
          </cell>
        </row>
        <row r="967">
          <cell r="A967" t="str">
            <v>001.17.03100</v>
          </cell>
          <cell r="B967" t="str">
            <v>Fornecimento e instalação de luva de ferro galvanizado  4""""""""</v>
          </cell>
          <cell r="C967" t="str">
            <v>UN</v>
          </cell>
          <cell r="D967">
            <v>10.8375</v>
          </cell>
        </row>
        <row r="968">
          <cell r="A968" t="str">
            <v>001.17.03103</v>
          </cell>
          <cell r="B968" t="str">
            <v>Fornecimento e Instalação de Bucha e Arruela D.1/2 pol p/ Eletroduto - Alumínio</v>
          </cell>
          <cell r="C968" t="str">
            <v>UN</v>
          </cell>
          <cell r="D968">
            <v>0.57350000000000001</v>
          </cell>
        </row>
        <row r="969">
          <cell r="A969" t="str">
            <v>001.17.03104</v>
          </cell>
          <cell r="B969" t="str">
            <v>Fornecimento e Instalação de Bucha e Arruela D.3/4pol p/ Eletroduto - Alumínio</v>
          </cell>
          <cell r="C969" t="str">
            <v>UN</v>
          </cell>
          <cell r="D969">
            <v>0.60750000000000004</v>
          </cell>
        </row>
        <row r="970">
          <cell r="A970" t="str">
            <v>001.17.03105</v>
          </cell>
          <cell r="B970" t="str">
            <v>Fornecimento e Instalação de Bucha e Arruela D.1pol p/ Eletroduto - Alumínio</v>
          </cell>
          <cell r="C970" t="str">
            <v>UN</v>
          </cell>
          <cell r="D970">
            <v>0.84750000000000003</v>
          </cell>
        </row>
        <row r="971">
          <cell r="A971" t="str">
            <v>001.17.03106</v>
          </cell>
          <cell r="B971" t="str">
            <v>Fornecimento e Instalação de Bucha e Arruela D 1.5pol p/ Eletroduto - Alumínio</v>
          </cell>
          <cell r="C971" t="str">
            <v>UN</v>
          </cell>
          <cell r="D971">
            <v>1.5149999999999999</v>
          </cell>
        </row>
        <row r="972">
          <cell r="A972" t="str">
            <v>001.17.03107</v>
          </cell>
          <cell r="B972" t="str">
            <v>Fornecimento e Instalação de Bucha e Arruela D.2pol p/ Eletroduto - Alumínio</v>
          </cell>
          <cell r="C972" t="str">
            <v>UN</v>
          </cell>
          <cell r="D972">
            <v>2.0550000000000002</v>
          </cell>
        </row>
        <row r="973">
          <cell r="A973" t="str">
            <v>001.17.03108</v>
          </cell>
          <cell r="B973" t="str">
            <v>Fornecimento e Instalação de Bucha e Arruela D.2.5pol p/ Eletroduto - Alumínio</v>
          </cell>
          <cell r="C973" t="str">
            <v>UN</v>
          </cell>
          <cell r="D973">
            <v>3.7174999999999998</v>
          </cell>
        </row>
        <row r="974">
          <cell r="A974" t="str">
            <v>001.17.03109</v>
          </cell>
          <cell r="B974" t="str">
            <v>Fornecimento e Instalação de Bucha e Arruela D.3pol p/ Eletroduto - Alumínio</v>
          </cell>
          <cell r="C974" t="str">
            <v>UN</v>
          </cell>
          <cell r="D974">
            <v>4.0575000000000001</v>
          </cell>
        </row>
        <row r="975">
          <cell r="A975" t="str">
            <v>001.17.03110</v>
          </cell>
          <cell r="B975" t="str">
            <v>Fornecimento e Instalação de Bucha e Arruela D.4pol p/ Eletroduto - Alumínio</v>
          </cell>
          <cell r="C975" t="str">
            <v>UN</v>
          </cell>
          <cell r="D975">
            <v>6.4574999999999996</v>
          </cell>
        </row>
        <row r="976">
          <cell r="A976" t="str">
            <v>001.17.03115</v>
          </cell>
          <cell r="B976" t="str">
            <v>Fornecimento e Instalação de Condulete de Alumínio Tipo """"C"""", S/ Tampa, 1/2""""</v>
          </cell>
          <cell r="C976" t="str">
            <v>UN</v>
          </cell>
          <cell r="D976">
            <v>5.7950999999999997</v>
          </cell>
        </row>
        <row r="977">
          <cell r="A977" t="str">
            <v>001.17.03117</v>
          </cell>
          <cell r="B977" t="str">
            <v>Fornecimento e Instalação de Condulete de Alumínio Tipo """"C"""", S/ Tampa, 3/4""""</v>
          </cell>
          <cell r="C977" t="str">
            <v>UN</v>
          </cell>
          <cell r="D977">
            <v>5.7950999999999997</v>
          </cell>
        </row>
        <row r="978">
          <cell r="A978" t="str">
            <v>001.17.03119</v>
          </cell>
          <cell r="B978" t="str">
            <v>Fornecimento e Instalação de Condulete de Alumínio Tipo """"C"""", S/ Tampa, 1""""</v>
          </cell>
          <cell r="C978" t="str">
            <v>UN</v>
          </cell>
          <cell r="D978">
            <v>8.5251000000000001</v>
          </cell>
        </row>
        <row r="979">
          <cell r="A979" t="str">
            <v>001.17.03121</v>
          </cell>
          <cell r="B979" t="str">
            <v>Fornecimento e Instalação de Condulete de Alumínio Tipo """"C"""", C/ Tampa, 1 1/4""""</v>
          </cell>
          <cell r="C979" t="str">
            <v>UN</v>
          </cell>
          <cell r="D979">
            <v>14.661300000000001</v>
          </cell>
        </row>
        <row r="980">
          <cell r="A980" t="str">
            <v>001.17.03123</v>
          </cell>
          <cell r="B980" t="str">
            <v>Fornecimento e Instalação de Condulete de Alumínio Tipo """"C"""", C/ Tampa, 1 1/2""""</v>
          </cell>
          <cell r="C980" t="str">
            <v>UN</v>
          </cell>
          <cell r="D980">
            <v>19.691299999999998</v>
          </cell>
        </row>
        <row r="981">
          <cell r="A981" t="str">
            <v>001.17.03125</v>
          </cell>
          <cell r="B981" t="str">
            <v>Fornecimento e Instalação de Condulete de Alumínio Tipo """"C"""", C/ Tampa, 2""""</v>
          </cell>
          <cell r="C981" t="str">
            <v>UN</v>
          </cell>
          <cell r="D981">
            <v>27.211300000000001</v>
          </cell>
        </row>
        <row r="982">
          <cell r="A982" t="str">
            <v>001.17.03127</v>
          </cell>
          <cell r="B982" t="str">
            <v>Fornecimento e Instalação de Condulete de Alumínio Tipo """"C"""", C/ Tampa, 2  1/2""""</v>
          </cell>
          <cell r="C982" t="str">
            <v>UN</v>
          </cell>
          <cell r="D982">
            <v>55.011299999999999</v>
          </cell>
        </row>
        <row r="983">
          <cell r="A983" t="str">
            <v>001.17.03129</v>
          </cell>
          <cell r="B983" t="str">
            <v>Fornecimento e Instalação de Condulete de Alumínio Tipo """"E"""", S/ Tampa, 1/2""""</v>
          </cell>
          <cell r="C983" t="str">
            <v>UN</v>
          </cell>
          <cell r="D983">
            <v>5.4451000000000001</v>
          </cell>
        </row>
        <row r="984">
          <cell r="A984" t="str">
            <v>001.17.03131</v>
          </cell>
          <cell r="B984" t="str">
            <v>Fornecimento e Instalação de Condulete de Alumínio Tipo """"E"""", S/ Tampa, 3/4""""</v>
          </cell>
          <cell r="C984" t="str">
            <v>UN</v>
          </cell>
          <cell r="D984">
            <v>5.4451000000000001</v>
          </cell>
        </row>
        <row r="985">
          <cell r="A985" t="str">
            <v>001.17.03133</v>
          </cell>
          <cell r="B985" t="str">
            <v>Fornecimento e Instalação de Condulete de Alumínio Tipo """"E"""", S/ Tampa, 1""""</v>
          </cell>
          <cell r="C985" t="str">
            <v>UN</v>
          </cell>
          <cell r="D985">
            <v>7.5951000000000004</v>
          </cell>
        </row>
        <row r="986">
          <cell r="A986" t="str">
            <v>001.17.03135</v>
          </cell>
          <cell r="B986" t="str">
            <v>Fornecimento e Instalação de Condulete de Alumínio Tipo """"E"""", C/ Tampa, 1 1/4""""</v>
          </cell>
          <cell r="C986" t="str">
            <v>UN</v>
          </cell>
          <cell r="D986">
            <v>13.6313</v>
          </cell>
        </row>
        <row r="987">
          <cell r="A987" t="str">
            <v>001.17.03137</v>
          </cell>
          <cell r="B987" t="str">
            <v>Fornecimento e Instalação de Condulete de Alumínio Tipo """"E"""", C/ Tampa, 1 1/2""""</v>
          </cell>
          <cell r="C987" t="str">
            <v>UN</v>
          </cell>
          <cell r="D987">
            <v>18.641300000000001</v>
          </cell>
        </row>
        <row r="988">
          <cell r="A988" t="str">
            <v>001.17.03139</v>
          </cell>
          <cell r="B988" t="str">
            <v>Fornecimento e Instalação de Condulete de Alumínio Tipo """"E"""", C/ Tampa, 2""""</v>
          </cell>
          <cell r="C988" t="str">
            <v>UN</v>
          </cell>
          <cell r="D988">
            <v>26.311299999999999</v>
          </cell>
        </row>
        <row r="989">
          <cell r="A989" t="str">
            <v>001.17.03141</v>
          </cell>
          <cell r="B989" t="str">
            <v>Fornecimento e Instalação de Condulete de Alumínio Tipo """"E"""", C/ Tampa, 2  1/2""""</v>
          </cell>
          <cell r="C989" t="str">
            <v>UN</v>
          </cell>
          <cell r="D989">
            <v>55.011299999999999</v>
          </cell>
        </row>
        <row r="990">
          <cell r="A990" t="str">
            <v>001.17.03143</v>
          </cell>
          <cell r="B990" t="str">
            <v>Fornecimento e Instalação de Condulete de Alumínio Tipo """"LL"""",""""LB"""", """"LR"""", S/ Tampa, 1/2""""</v>
          </cell>
          <cell r="C990" t="str">
            <v>UN</v>
          </cell>
          <cell r="D990">
            <v>5.7950999999999997</v>
          </cell>
        </row>
        <row r="991">
          <cell r="A991" t="str">
            <v>001.17.03145</v>
          </cell>
          <cell r="B991" t="str">
            <v>Fornecimento e Instalação de Condulete de Alumínio Tipo """"LL"""",""""LB"""", """"LR"""", S/ Tampa, 3/4""""</v>
          </cell>
          <cell r="C991" t="str">
            <v>UN</v>
          </cell>
          <cell r="D991">
            <v>5.7950999999999997</v>
          </cell>
        </row>
        <row r="992">
          <cell r="A992" t="str">
            <v>001.17.03147</v>
          </cell>
          <cell r="B992" t="str">
            <v>Fornecimento e Instalação de Condulete de Alumínio Tipo  """"LL"""",""""LB"""", """"LR"""", S/ Tampa, 1""""</v>
          </cell>
          <cell r="C992" t="str">
            <v>UN</v>
          </cell>
          <cell r="D992">
            <v>8.5251000000000001</v>
          </cell>
        </row>
        <row r="993">
          <cell r="A993" t="str">
            <v>001.17.03149</v>
          </cell>
          <cell r="B993" t="str">
            <v>Fornecimento e Instalação de Condulete de Alumínio Tipo """"LL"""",""""LB"""", """"LR"""", C/ Tampa, 1 1/4""""</v>
          </cell>
          <cell r="C993" t="str">
            <v>UN</v>
          </cell>
          <cell r="D993">
            <v>14.661300000000001</v>
          </cell>
        </row>
        <row r="994">
          <cell r="A994" t="str">
            <v>001.17.03151</v>
          </cell>
          <cell r="B994" t="str">
            <v>Fornecimento e Instalação de Condulete de Alumínio Tipo  """"LL"""",""""LB"""", """"LR"""", C/ Tampa, 1 1/2""""</v>
          </cell>
          <cell r="C994" t="str">
            <v>UN</v>
          </cell>
          <cell r="D994">
            <v>19.691299999999998</v>
          </cell>
        </row>
        <row r="995">
          <cell r="A995" t="str">
            <v>001.17.03153</v>
          </cell>
          <cell r="B995" t="str">
            <v>Fornecimento e Instalação de Condulete de Alumínio Tipo  """"LL"""",""""LB"""", """"LR"""", C/ Tampa, 2""""</v>
          </cell>
          <cell r="C995" t="str">
            <v>UN</v>
          </cell>
          <cell r="D995">
            <v>27.211300000000001</v>
          </cell>
        </row>
        <row r="996">
          <cell r="A996" t="str">
            <v>001.17.03155</v>
          </cell>
          <cell r="B996" t="str">
            <v>Fornecimento e Instalação de Condulete de Alumínio Tipo  """"LL"""",""""LB"""", """"LR"""", C/ Tampa, 2  1/2""""</v>
          </cell>
          <cell r="C996" t="str">
            <v>UN</v>
          </cell>
          <cell r="D996">
            <v>55.271299999999997</v>
          </cell>
        </row>
        <row r="997">
          <cell r="A997" t="str">
            <v>001.17.03157</v>
          </cell>
          <cell r="B997" t="str">
            <v>Fornecimento e Instalação de Condulete de Alumínio Tipo """"TB"""", S/ Tampa, 1/2""""</v>
          </cell>
          <cell r="C997" t="str">
            <v>UN</v>
          </cell>
          <cell r="D997">
            <v>6.4939</v>
          </cell>
        </row>
        <row r="998">
          <cell r="A998" t="str">
            <v>001.17.03159</v>
          </cell>
          <cell r="B998" t="str">
            <v>Fornecimento e Instalação de Condulete de Alumínio Tipo """"TB"""", S/ Tampa, 3/4""""</v>
          </cell>
          <cell r="C998" t="str">
            <v>UN</v>
          </cell>
          <cell r="D998">
            <v>6.4939</v>
          </cell>
        </row>
        <row r="999">
          <cell r="A999" t="str">
            <v>001.17.03161</v>
          </cell>
          <cell r="B999" t="str">
            <v>Fornecimento e Instalação de Condulete de Alumínio Tipo """"TB"""", S/ Tampa, 1""""</v>
          </cell>
          <cell r="C999" t="str">
            <v>UN</v>
          </cell>
          <cell r="D999">
            <v>9.5439000000000007</v>
          </cell>
        </row>
        <row r="1000">
          <cell r="A1000" t="str">
            <v>001.17.03163</v>
          </cell>
          <cell r="B1000" t="str">
            <v>Fornecimento e Instalação de Condulete de Alumínio Tipo """"TB"""", C/ Tampa, 1 1/4""""</v>
          </cell>
          <cell r="C1000" t="str">
            <v>UN</v>
          </cell>
          <cell r="D1000">
            <v>16.330100000000002</v>
          </cell>
        </row>
        <row r="1001">
          <cell r="A1001" t="str">
            <v>001.17.03165</v>
          </cell>
          <cell r="B1001" t="str">
            <v>Fornecimento e Instalação de Condulete de Alumínio Tipo """"TB"""", C/ Tampa, 1 1/2""""</v>
          </cell>
          <cell r="C1001" t="str">
            <v>UN</v>
          </cell>
          <cell r="D1001">
            <v>22.030100000000001</v>
          </cell>
        </row>
        <row r="1002">
          <cell r="A1002" t="str">
            <v>001.17.03166</v>
          </cell>
          <cell r="B1002" t="str">
            <v>Fornecimento e Instalação de Condulete de Alumínio Tipo """"TB"""", C/ Tampa, 2""""</v>
          </cell>
          <cell r="C1002" t="str">
            <v>UN</v>
          </cell>
          <cell r="D1002">
            <v>29.5501</v>
          </cell>
        </row>
        <row r="1003">
          <cell r="A1003" t="str">
            <v>001.17.03167</v>
          </cell>
          <cell r="B1003" t="str">
            <v>Fornecimento e Instalação de Condulete de Alumínio Tipo """"TB"""", C/ Tampa, 2  1/2""""</v>
          </cell>
          <cell r="C1003" t="str">
            <v>UN</v>
          </cell>
          <cell r="D1003">
            <v>59.510100000000001</v>
          </cell>
        </row>
        <row r="1004">
          <cell r="A1004" t="str">
            <v>001.17.03168</v>
          </cell>
          <cell r="B1004" t="str">
            <v>Fornecimento e Instalação de Condulete de Alumínio Tipo """"X"""", S/ Tampa, 1/2""""</v>
          </cell>
          <cell r="C1004" t="str">
            <v>UN</v>
          </cell>
          <cell r="D1004">
            <v>6.3350999999999997</v>
          </cell>
        </row>
        <row r="1005">
          <cell r="A1005" t="str">
            <v>001.17.03169</v>
          </cell>
          <cell r="B1005" t="str">
            <v>Fornecimento e Instalação de Condulete de Alumínio Tipo """"X"""", S/ Tampa, 3/4""""</v>
          </cell>
          <cell r="C1005" t="str">
            <v>UN</v>
          </cell>
          <cell r="D1005">
            <v>6.3350999999999997</v>
          </cell>
        </row>
        <row r="1006">
          <cell r="A1006" t="str">
            <v>001.17.03170</v>
          </cell>
          <cell r="B1006" t="str">
            <v>Fornecimento e Instalação de Condulete de Alumínio Tipo """"X"""", S/ Tampa, 1""""</v>
          </cell>
          <cell r="C1006" t="str">
            <v>UN</v>
          </cell>
          <cell r="D1006">
            <v>9.3651</v>
          </cell>
        </row>
        <row r="1007">
          <cell r="A1007" t="str">
            <v>001.17.03171</v>
          </cell>
          <cell r="B1007" t="str">
            <v>Fornecimento e Instalação de Condulete de Alumínio Tipo """"X"""", C/ Tampa, 1 1/4""""</v>
          </cell>
          <cell r="C1007" t="str">
            <v>UN</v>
          </cell>
          <cell r="D1007">
            <v>16.421299999999999</v>
          </cell>
        </row>
        <row r="1008">
          <cell r="A1008" t="str">
            <v>001.17.03172</v>
          </cell>
          <cell r="B1008" t="str">
            <v>Fornecimento e Instalação de Condulete de Alumínio Tipo """"X"""", C/ Tampa, 1 1/2""""</v>
          </cell>
          <cell r="C1008" t="str">
            <v>UN</v>
          </cell>
          <cell r="D1008">
            <v>23.3813</v>
          </cell>
        </row>
        <row r="1009">
          <cell r="A1009" t="str">
            <v>001.17.03173</v>
          </cell>
          <cell r="B1009" t="str">
            <v>Fornecimento e Instalação de Condulete de Alumínio Tipo """"X"""", C/ Tampa, 2""""</v>
          </cell>
          <cell r="C1009" t="str">
            <v>UN</v>
          </cell>
          <cell r="D1009">
            <v>31.321300000000001</v>
          </cell>
        </row>
        <row r="1010">
          <cell r="A1010" t="str">
            <v>001.17.03174</v>
          </cell>
          <cell r="B1010" t="str">
            <v>Fornecimento e Instalação de Condulete de Alumínio Tipo """"X"""", C/ Tampa, 2  1/2""""</v>
          </cell>
          <cell r="C1010" t="str">
            <v>UN</v>
          </cell>
          <cell r="D1010">
            <v>59.0413</v>
          </cell>
        </row>
        <row r="1011">
          <cell r="A1011" t="str">
            <v>001.17.03175</v>
          </cell>
          <cell r="B1011" t="str">
            <v>Fornecimento e Instalação de Tampa de Alumínio 1/2"""" e 3/4"""" 1 P</v>
          </cell>
          <cell r="C1011" t="str">
            <v>UN</v>
          </cell>
          <cell r="D1011">
            <v>1.7963</v>
          </cell>
        </row>
        <row r="1012">
          <cell r="A1012" t="str">
            <v>001.17.03176</v>
          </cell>
          <cell r="B1012" t="str">
            <v>Fornecimento e Instalação de Tampa de Alumínio 1/2"""" e 3/4"""" 1 P Red.</v>
          </cell>
          <cell r="C1012" t="str">
            <v>UN</v>
          </cell>
          <cell r="D1012">
            <v>1.7963</v>
          </cell>
        </row>
        <row r="1013">
          <cell r="A1013" t="str">
            <v>001.17.03177</v>
          </cell>
          <cell r="B1013" t="str">
            <v>Fornecimento e Instalação de Tampa de Alumínio 1/2"""" e 3/4"""" 1 P RJ 45</v>
          </cell>
          <cell r="C1013" t="str">
            <v>UN</v>
          </cell>
          <cell r="D1013">
            <v>1.7963</v>
          </cell>
        </row>
        <row r="1014">
          <cell r="A1014" t="str">
            <v>001.17.03178</v>
          </cell>
          <cell r="B1014" t="str">
            <v>Fornecimento e Instalação de Tampa de Alumínio 1/2"""" e 3/4"""" 2 P</v>
          </cell>
          <cell r="C1014" t="str">
            <v>UN</v>
          </cell>
          <cell r="D1014">
            <v>1.7963</v>
          </cell>
        </row>
        <row r="1015">
          <cell r="A1015" t="str">
            <v>001.17.03179</v>
          </cell>
          <cell r="B1015" t="str">
            <v>Fornecimento e Instalação de Tampa de Alumínio 1/2"""" e 3/4"""" 2 P Sep.</v>
          </cell>
          <cell r="C1015" t="str">
            <v>UN</v>
          </cell>
          <cell r="D1015">
            <v>1.7963</v>
          </cell>
        </row>
        <row r="1016">
          <cell r="A1016" t="str">
            <v>001.17.03181</v>
          </cell>
          <cell r="B1016" t="str">
            <v>Fornecimento e Instalação de Tampa de Alumínio 1/2"""" e 3/4"""" 2 P RJ 45</v>
          </cell>
          <cell r="C1016" t="str">
            <v>UN</v>
          </cell>
          <cell r="D1016">
            <v>1.7963</v>
          </cell>
        </row>
        <row r="1017">
          <cell r="A1017" t="str">
            <v>001.17.03183</v>
          </cell>
          <cell r="B1017" t="str">
            <v>Fornecimento e Instalação de Tampa de Alumínio 1/2"""" e 3/4"""" 3 P</v>
          </cell>
          <cell r="C1017" t="str">
            <v>UN</v>
          </cell>
          <cell r="D1017">
            <v>1.7963</v>
          </cell>
        </row>
        <row r="1018">
          <cell r="A1018" t="str">
            <v>001.17.03185</v>
          </cell>
          <cell r="B1018" t="str">
            <v>Fornecimento e Instalação de Tampa de Alumínio 1/2"""" e 3/4"""" Cega</v>
          </cell>
          <cell r="C1018" t="str">
            <v>UN</v>
          </cell>
          <cell r="D1018">
            <v>1.7963</v>
          </cell>
        </row>
        <row r="1019">
          <cell r="A1019" t="str">
            <v>001.17.03187</v>
          </cell>
          <cell r="B1019" t="str">
            <v>Fornecimento e Instalação de Tampa de Alumínio 1"""" 1 P</v>
          </cell>
          <cell r="C1019" t="str">
            <v>UN</v>
          </cell>
          <cell r="D1019">
            <v>2.2763</v>
          </cell>
        </row>
        <row r="1020">
          <cell r="A1020" t="str">
            <v>001.17.03189</v>
          </cell>
          <cell r="B1020" t="str">
            <v>Fornecimento e Instalação de Tampa de Alumínio 1"""" 1 P Red.</v>
          </cell>
          <cell r="C1020" t="str">
            <v>UN</v>
          </cell>
          <cell r="D1020">
            <v>2.2763</v>
          </cell>
        </row>
        <row r="1021">
          <cell r="A1021" t="str">
            <v>001.17.03191</v>
          </cell>
          <cell r="B1021" t="str">
            <v>Fornecimento e Instalação de Tampa de Alumínio 1"""" 1 P RJ 45</v>
          </cell>
          <cell r="C1021" t="str">
            <v>UN</v>
          </cell>
          <cell r="D1021">
            <v>2.2763</v>
          </cell>
        </row>
        <row r="1022">
          <cell r="A1022" t="str">
            <v>001.17.03193</v>
          </cell>
          <cell r="B1022" t="str">
            <v>Fornecimento e Instalação de Tampa de Alumínio 1"""" 2 P</v>
          </cell>
          <cell r="C1022" t="str">
            <v>UN</v>
          </cell>
          <cell r="D1022">
            <v>2.2763</v>
          </cell>
        </row>
        <row r="1023">
          <cell r="A1023" t="str">
            <v>001.17.03195</v>
          </cell>
          <cell r="B1023" t="str">
            <v>Fornecimento e Instalação de Tampa de Alumínio 1"""" 2 P Sep.</v>
          </cell>
          <cell r="C1023" t="str">
            <v>UN</v>
          </cell>
          <cell r="D1023">
            <v>2.2763</v>
          </cell>
        </row>
        <row r="1024">
          <cell r="A1024" t="str">
            <v>001.17.03197</v>
          </cell>
          <cell r="B1024" t="str">
            <v>Fornecimento e Instalação de Tampa de Alumínio 1"""" 2 P RJ 45</v>
          </cell>
          <cell r="C1024" t="str">
            <v>UN</v>
          </cell>
          <cell r="D1024">
            <v>2.2763</v>
          </cell>
        </row>
        <row r="1025">
          <cell r="A1025" t="str">
            <v>001.17.03199</v>
          </cell>
          <cell r="B1025" t="str">
            <v>Fornecimento e Instalação de Tampa de Alumínio 1"""" 3 P</v>
          </cell>
          <cell r="C1025" t="str">
            <v>UN</v>
          </cell>
          <cell r="D1025">
            <v>2.2763</v>
          </cell>
        </row>
        <row r="1026">
          <cell r="A1026" t="str">
            <v>001.17.03201</v>
          </cell>
          <cell r="B1026" t="str">
            <v>Fornecimento e Instalação de Tampa de Alumínio 1"""" Cega</v>
          </cell>
          <cell r="C1026" t="str">
            <v>UN</v>
          </cell>
          <cell r="D1026">
            <v>2.2763</v>
          </cell>
        </row>
        <row r="1027">
          <cell r="A1027" t="str">
            <v>001.17.03600</v>
          </cell>
          <cell r="B1027" t="str">
            <v>Fornecimento e instalação de caixa metálica com tampa parafusada de Embutir de 20.00x20.00x10.00 cm</v>
          </cell>
          <cell r="C1027" t="str">
            <v>UN</v>
          </cell>
          <cell r="D1027">
            <v>27.677399999999999</v>
          </cell>
        </row>
        <row r="1028">
          <cell r="A1028" t="str">
            <v>001.17.03620</v>
          </cell>
          <cell r="B1028" t="str">
            <v>Fornecimento e instalação de caixa metálica com tampa parafusada de Embutir de 25.00x25.00x12.00 cm</v>
          </cell>
          <cell r="C1028" t="str">
            <v>UN</v>
          </cell>
          <cell r="D1028">
            <v>34.0961</v>
          </cell>
        </row>
        <row r="1029">
          <cell r="A1029" t="str">
            <v>001.17.03640</v>
          </cell>
          <cell r="B1029" t="str">
            <v>Fornecimento e instalação de caixa metálica com tampa parafusada de Embutir 30.00x30.00x15.00 cm</v>
          </cell>
          <cell r="C1029" t="str">
            <v>UN</v>
          </cell>
          <cell r="D1029">
            <v>47.6509</v>
          </cell>
        </row>
        <row r="1030">
          <cell r="A1030" t="str">
            <v>001.17.03660</v>
          </cell>
          <cell r="B1030" t="str">
            <v>Fornecimento e instalação de caixa metálica com tampa parafusada de Embutir 40.00x40.00x15.00 cm</v>
          </cell>
          <cell r="C1030" t="str">
            <v>UN</v>
          </cell>
          <cell r="D1030">
            <v>71.347800000000007</v>
          </cell>
        </row>
        <row r="1031">
          <cell r="A1031" t="str">
            <v>001.17.03680</v>
          </cell>
          <cell r="B1031" t="str">
            <v>Fornecimento e instalação de caixa metálica com tampa parafusada de Embutir 50.00x50.00x15.00 cm</v>
          </cell>
          <cell r="C1031" t="str">
            <v>UN</v>
          </cell>
          <cell r="D1031">
            <v>91.437799999999996</v>
          </cell>
        </row>
        <row r="1032">
          <cell r="A1032" t="str">
            <v>001.17.03820</v>
          </cell>
          <cell r="B1032" t="str">
            <v>Fornecimento e instalação de Quadro Metálico De  80 x 60 x 25 cm C/Porta P/ Comando</v>
          </cell>
          <cell r="C1032" t="str">
            <v>UN</v>
          </cell>
          <cell r="D1032">
            <v>285.25560000000002</v>
          </cell>
        </row>
        <row r="1033">
          <cell r="A1033" t="str">
            <v>001.17.03840</v>
          </cell>
          <cell r="B1033" t="str">
            <v>Fornecimento e instalação de Quadro Metálico De  60x 60x20 cm C/Porta P/ Comando</v>
          </cell>
          <cell r="C1033" t="str">
            <v>UN</v>
          </cell>
          <cell r="D1033">
            <v>290.11869999999999</v>
          </cell>
        </row>
        <row r="1034">
          <cell r="A1034" t="str">
            <v>001.17.03850</v>
          </cell>
          <cell r="B1034" t="str">
            <v>Fornecimento e instalação de Quadro De Distribuicao P/ 01- 03 Circuitos De Sobrepor, Pvc, Eletromar ou Mesmo Padrão</v>
          </cell>
          <cell r="C1034" t="str">
            <v>UN</v>
          </cell>
          <cell r="D1034">
            <v>33.127800000000001</v>
          </cell>
        </row>
        <row r="1035">
          <cell r="A1035" t="str">
            <v>001.17.03855</v>
          </cell>
          <cell r="B1035" t="str">
            <v>Fornecimento e instalação de Quadro De Distribuicao P/ 04 - 06 Circuitos De Sobrepor, Pvc, Eletromar ou Mesmo Padrão</v>
          </cell>
          <cell r="C1035" t="str">
            <v>UN</v>
          </cell>
          <cell r="D1035">
            <v>42.2378</v>
          </cell>
        </row>
        <row r="1036">
          <cell r="A1036" t="str">
            <v>001.17.03860</v>
          </cell>
          <cell r="B1036" t="str">
            <v>Fornecimento e instalação de Quadro De Dist Embutir Metálico Com Porta P/ 06 Circuitos</v>
          </cell>
          <cell r="C1036" t="str">
            <v>UN</v>
          </cell>
          <cell r="D1036">
            <v>36.1678</v>
          </cell>
        </row>
        <row r="1037">
          <cell r="A1037" t="str">
            <v>001.17.03880</v>
          </cell>
          <cell r="B1037" t="str">
            <v>Fornecimento e instalação de Quadro De Dist Embutir Metálico Com Porta P/ 12 Circuitos</v>
          </cell>
          <cell r="C1037" t="str">
            <v>UN</v>
          </cell>
          <cell r="D1037">
            <v>46.957799999999999</v>
          </cell>
        </row>
        <row r="1038">
          <cell r="A1038" t="str">
            <v>001.17.03900</v>
          </cell>
          <cell r="B1038" t="str">
            <v>Fornecimento e instalação de Quadro De Dist Embutir Metálico Com Porta P/ 18 Circuitos</v>
          </cell>
          <cell r="C1038" t="str">
            <v>UN</v>
          </cell>
          <cell r="D1038">
            <v>85.844800000000006</v>
          </cell>
        </row>
        <row r="1039">
          <cell r="A1039" t="str">
            <v>001.17.03920</v>
          </cell>
          <cell r="B1039" t="str">
            <v>Fornecimento e instalação de Quadro De Dist Tripolar Embutir C/ Barramento Com Porta 20 Circuitos 100 A</v>
          </cell>
          <cell r="C1039" t="str">
            <v>UN</v>
          </cell>
          <cell r="D1039">
            <v>134.12479999999999</v>
          </cell>
        </row>
        <row r="1040">
          <cell r="A1040" t="str">
            <v>001.17.03980</v>
          </cell>
          <cell r="B1040" t="str">
            <v>Fornecimento e instalação de Quadro De Dist Tripolar Embutir C/ Barramento Com Porta 24 Circuitos 100 A</v>
          </cell>
          <cell r="C1040" t="str">
            <v>UN</v>
          </cell>
          <cell r="D1040">
            <v>183.55170000000001</v>
          </cell>
        </row>
        <row r="1041">
          <cell r="A1041" t="str">
            <v>001.17.04000</v>
          </cell>
          <cell r="B1041" t="str">
            <v>Fornecimento e instalação de Quadro De Dist Tripolar Embutir C/ Barramento Com Porta 40 Circuitos 100 A</v>
          </cell>
          <cell r="C1041" t="str">
            <v>UN</v>
          </cell>
          <cell r="D1041">
            <v>418.18869999999998</v>
          </cell>
        </row>
        <row r="1042">
          <cell r="A1042" t="str">
            <v>001.17.04020</v>
          </cell>
          <cell r="B1042" t="str">
            <v>Fornecimento e instalação de Quadro De Dist Tripolar Embutir C/ Barramento Com Porta 50 Circuitos 100 A</v>
          </cell>
          <cell r="C1042" t="str">
            <v>UN</v>
          </cell>
          <cell r="D1042">
            <v>570.69560000000001</v>
          </cell>
        </row>
        <row r="1043">
          <cell r="A1043" t="str">
            <v>001.17.04060</v>
          </cell>
          <cell r="B1043" t="str">
            <v>Fornecimento e instalação de Quadro De Dist Tripolar Embutir C/ Barramento Com Porta 32 Circuitos 100 A</v>
          </cell>
          <cell r="C1043" t="str">
            <v>UN</v>
          </cell>
          <cell r="D1043">
            <v>197.90170000000001</v>
          </cell>
        </row>
        <row r="1044">
          <cell r="A1044" t="str">
            <v>001.17.04200</v>
          </cell>
          <cell r="B1044" t="str">
            <v>Fornecimento e Instalação de Disjuntor monofásico EL 10A da marca Eletromar ou Mesmo Padrão (UL)</v>
          </cell>
          <cell r="C1044" t="str">
            <v>UN</v>
          </cell>
          <cell r="D1044">
            <v>6.3827999999999996</v>
          </cell>
        </row>
        <row r="1045">
          <cell r="A1045" t="str">
            <v>001.17.04202</v>
          </cell>
          <cell r="B1045" t="str">
            <v>Fornecimento e Instalação de Disjuntor monofásico EL 15A da marca Eletromar ou Mesmo Padrão (UL)</v>
          </cell>
          <cell r="C1045" t="str">
            <v>UN</v>
          </cell>
          <cell r="D1045">
            <v>6.5027999999999997</v>
          </cell>
        </row>
        <row r="1046">
          <cell r="A1046" t="str">
            <v>001.17.04203</v>
          </cell>
          <cell r="B1046" t="str">
            <v>Fornecimento e Instalação de Disjuntor monofásico EL 20A da marca Eletromar ou Mesmo Padrão (UL)</v>
          </cell>
          <cell r="C1046" t="str">
            <v>UN</v>
          </cell>
          <cell r="D1046">
            <v>6.4518000000000004</v>
          </cell>
        </row>
        <row r="1047">
          <cell r="A1047" t="str">
            <v>001.17.04204</v>
          </cell>
          <cell r="B1047" t="str">
            <v>Fornecimento e Instalação de Disjuntor monofásico EL 25A da marca Eletromar ou Mesmo Padrão (UL)</v>
          </cell>
          <cell r="C1047" t="str">
            <v>UN</v>
          </cell>
          <cell r="D1047">
            <v>6.4518000000000004</v>
          </cell>
        </row>
        <row r="1048">
          <cell r="A1048" t="str">
            <v>001.17.04205</v>
          </cell>
          <cell r="B1048" t="str">
            <v>Fornecimento e Instalação de Disjuntor monofásico EL 30A da marca Eletromar ou Mesmo Padrão (UL)</v>
          </cell>
          <cell r="C1048" t="str">
            <v>UN</v>
          </cell>
          <cell r="D1048">
            <v>6.4428000000000001</v>
          </cell>
        </row>
        <row r="1049">
          <cell r="A1049" t="str">
            <v>001.17.04206</v>
          </cell>
          <cell r="B1049" t="str">
            <v>Fornecimento e Instalação de Disjuntor monofásico EL 35A da marca Eletromar ou Mesmo Padrão (UL)</v>
          </cell>
          <cell r="C1049" t="str">
            <v>UN</v>
          </cell>
          <cell r="D1049">
            <v>9.8287999999999993</v>
          </cell>
        </row>
        <row r="1050">
          <cell r="A1050" t="str">
            <v>001.17.04207</v>
          </cell>
          <cell r="B1050" t="str">
            <v>Fornecimento e Instalação de Disjuntor monofásico EL 40A da marca Eletromar ou Mesmo Padrão (UL)</v>
          </cell>
          <cell r="C1050" t="str">
            <v>UN</v>
          </cell>
          <cell r="D1050">
            <v>9.7338000000000005</v>
          </cell>
        </row>
        <row r="1051">
          <cell r="A1051" t="str">
            <v>001.17.04208</v>
          </cell>
          <cell r="B1051" t="str">
            <v>Fornecimento e Instalação de Disjuntor monofásico EL 50A da marca Eletromar ou Mesmo Padrão (UL)</v>
          </cell>
          <cell r="C1051" t="str">
            <v>UN</v>
          </cell>
          <cell r="D1051">
            <v>9.0527999999999995</v>
          </cell>
        </row>
        <row r="1052">
          <cell r="A1052" t="str">
            <v>001.17.04210</v>
          </cell>
          <cell r="B1052" t="str">
            <v>Fornecimento e Instalação de Disjuntor monofásico EL 60A da marca Eletromar ou Mesmo Padrão (UL)</v>
          </cell>
          <cell r="C1052" t="str">
            <v>UN</v>
          </cell>
          <cell r="D1052">
            <v>14.152799999999999</v>
          </cell>
        </row>
        <row r="1053">
          <cell r="A1053" t="str">
            <v>001.17.04212</v>
          </cell>
          <cell r="B1053" t="str">
            <v>Fornecimento e Instalação de Disjuntor monofásico EL 70A da marca Eletromar ou Mesmo Padrão (UL)</v>
          </cell>
          <cell r="C1053" t="str">
            <v>UN</v>
          </cell>
          <cell r="D1053">
            <v>14.152799999999999</v>
          </cell>
        </row>
        <row r="1054">
          <cell r="A1054" t="str">
            <v>001.17.04214</v>
          </cell>
          <cell r="B1054" t="str">
            <v>Fornecimento e Instalação de Disjuntor bifásico EL 10A da marca Eletromar ou Mesmo Padrão (UL)</v>
          </cell>
          <cell r="C1054" t="str">
            <v>UN</v>
          </cell>
          <cell r="D1054">
            <v>32.344799999999999</v>
          </cell>
        </row>
        <row r="1055">
          <cell r="A1055" t="str">
            <v>001.17.04216</v>
          </cell>
          <cell r="B1055" t="str">
            <v>Fornecimento e Instalação de Disjuntor bifásico EL 15A da marca Eletromar ou Mesmo Padrão (UL)</v>
          </cell>
          <cell r="C1055" t="str">
            <v>UN</v>
          </cell>
          <cell r="D1055">
            <v>30.945799999999998</v>
          </cell>
        </row>
        <row r="1056">
          <cell r="A1056" t="str">
            <v>001.17.04218</v>
          </cell>
          <cell r="B1056" t="str">
            <v>Fornecimento e Instalação de Disjuntor bifásico EL 20A da marca Eletromar ou Mesmo Padrão (UL)</v>
          </cell>
          <cell r="C1056" t="str">
            <v>UN</v>
          </cell>
          <cell r="D1056">
            <v>30.945799999999998</v>
          </cell>
        </row>
        <row r="1057">
          <cell r="A1057" t="str">
            <v>001.17.04220</v>
          </cell>
          <cell r="B1057" t="str">
            <v>Fornecimento e Instalação de Disjuntor bifásico EL 25A da marca Eletromar ou Mesmo Padrão (UL)</v>
          </cell>
          <cell r="C1057" t="str">
            <v>UN</v>
          </cell>
          <cell r="D1057">
            <v>30.945799999999998</v>
          </cell>
        </row>
        <row r="1058">
          <cell r="A1058" t="str">
            <v>001.17.04222</v>
          </cell>
          <cell r="B1058" t="str">
            <v>Fornecimento e Instalação de Disjuntor bifásico EL 30A da marca Eletromar ou Mesmo Padrão (UL)</v>
          </cell>
          <cell r="C1058" t="str">
            <v>UN</v>
          </cell>
          <cell r="D1058">
            <v>30.945799999999998</v>
          </cell>
        </row>
        <row r="1059">
          <cell r="A1059" t="str">
            <v>001.17.04224</v>
          </cell>
          <cell r="B1059" t="str">
            <v>Fornecimento e Instalação de Disjuntor bifásico EL 35A da marca Eletromar ou Mesmo Padrão (UL)</v>
          </cell>
          <cell r="C1059" t="str">
            <v>UN</v>
          </cell>
          <cell r="D1059">
            <v>32.344799999999999</v>
          </cell>
        </row>
        <row r="1060">
          <cell r="A1060" t="str">
            <v>001.17.04226</v>
          </cell>
          <cell r="B1060" t="str">
            <v>Fornecimento e Instalação de Disjuntor bifásico EL 40A da marca Eletromar ou Mesmo Padrão (UL)</v>
          </cell>
          <cell r="C1060" t="str">
            <v>UN</v>
          </cell>
          <cell r="D1060">
            <v>32.344799999999999</v>
          </cell>
        </row>
        <row r="1061">
          <cell r="A1061" t="str">
            <v>001.17.04228</v>
          </cell>
          <cell r="B1061" t="str">
            <v>Fornecimento e Instalação de Disjuntor bifásico EL 50A da marca Eletromar ou Mesmo Padrão (UL))</v>
          </cell>
          <cell r="C1061" t="str">
            <v>UN</v>
          </cell>
          <cell r="D1061">
            <v>32.344799999999999</v>
          </cell>
        </row>
        <row r="1062">
          <cell r="A1062" t="str">
            <v>001.17.04230</v>
          </cell>
          <cell r="B1062" t="str">
            <v>Fornecimento e Instalação de Disjuntor bifásico EL 60A da marca Eletromar ou Mesmo Padrão (UL)</v>
          </cell>
          <cell r="C1062" t="str">
            <v>UN</v>
          </cell>
          <cell r="D1062">
            <v>46.3628</v>
          </cell>
        </row>
        <row r="1063">
          <cell r="A1063" t="str">
            <v>001.17.04231</v>
          </cell>
          <cell r="B1063" t="str">
            <v>Fornecimento e Instalação de Disjuntor bifásico EL 70A da marca Eletromar ou Mesmo Padrão (UL)</v>
          </cell>
          <cell r="C1063" t="str">
            <v>UN</v>
          </cell>
          <cell r="D1063">
            <v>47.0608</v>
          </cell>
        </row>
        <row r="1064">
          <cell r="A1064" t="str">
            <v>001.17.04232</v>
          </cell>
          <cell r="B1064" t="str">
            <v>Fornecimento e Instalação de Disjuntor bifásico EL 90A da marca Eletromar ou Mesmo Padrão (UL)</v>
          </cell>
          <cell r="C1064" t="str">
            <v>UN</v>
          </cell>
          <cell r="D1064">
            <v>47.0608</v>
          </cell>
        </row>
        <row r="1065">
          <cell r="A1065" t="str">
            <v>001.17.04233</v>
          </cell>
          <cell r="B1065" t="str">
            <v>Fornecimento e Instalação de Disjuntor bifásico EL 100A da marca Eletromar ou Mesmo Padrão (UL)</v>
          </cell>
          <cell r="C1065" t="str">
            <v>UN</v>
          </cell>
          <cell r="D1065">
            <v>46.3628</v>
          </cell>
        </row>
        <row r="1066">
          <cell r="A1066" t="str">
            <v>001.17.04234</v>
          </cell>
          <cell r="B1066" t="str">
            <v>Fornecimento e Instalação de Disjuntor trifásico EL 10A  C da marca Eletromar ou Mesmo Padrão (UL)</v>
          </cell>
          <cell r="C1066" t="str">
            <v>UN</v>
          </cell>
          <cell r="D1066">
            <v>37.5886</v>
          </cell>
        </row>
        <row r="1067">
          <cell r="A1067" t="str">
            <v>001.17.04235</v>
          </cell>
          <cell r="B1067" t="str">
            <v>Fornecimento e Instalação de Disjuntor trifásico EL 15A  C da marca Eletromar ou Mesmo Padrão (UL)</v>
          </cell>
          <cell r="C1067" t="str">
            <v>UN</v>
          </cell>
          <cell r="D1067">
            <v>38.156599999999997</v>
          </cell>
        </row>
        <row r="1068">
          <cell r="A1068" t="str">
            <v>001.17.04236</v>
          </cell>
          <cell r="B1068" t="str">
            <v>Fornecimento e Instalação de Disjuntor trifásico EL 20A  C da marca Eletromar ou Mesmo Padrão (UL)</v>
          </cell>
          <cell r="C1068" t="str">
            <v>UN</v>
          </cell>
          <cell r="D1068">
            <v>36.9026</v>
          </cell>
        </row>
        <row r="1069">
          <cell r="A1069" t="str">
            <v>001.17.04237</v>
          </cell>
          <cell r="B1069" t="str">
            <v>Fornecimento e Instalação de Disjuntor trifásico EL 25A  C da marca Eletromar ou Mesmo Padrão (UL)</v>
          </cell>
          <cell r="C1069" t="str">
            <v>UN</v>
          </cell>
          <cell r="D1069">
            <v>37.0396</v>
          </cell>
        </row>
        <row r="1070">
          <cell r="A1070" t="str">
            <v>001.17.04238</v>
          </cell>
          <cell r="B1070" t="str">
            <v>Fornecimento e Instalação de Disjuntor trifásico EL 30A  C da marca Eletromar ou Mesmo Padrão (UL)</v>
          </cell>
          <cell r="C1070" t="str">
            <v>UN</v>
          </cell>
          <cell r="D1070">
            <v>37.459600000000002</v>
          </cell>
        </row>
        <row r="1071">
          <cell r="A1071" t="str">
            <v>001.17.04239</v>
          </cell>
          <cell r="B1071" t="str">
            <v>Fornecimento e Instalação de Disjuntor trifásico EL 35A  C da marca Eletromar ou Mesmo Padrão (UL)</v>
          </cell>
          <cell r="C1071" t="str">
            <v>UN</v>
          </cell>
          <cell r="D1071">
            <v>36.9026</v>
          </cell>
        </row>
        <row r="1072">
          <cell r="A1072" t="str">
            <v>001.17.04240</v>
          </cell>
          <cell r="B1072" t="str">
            <v>Fornecimento e Instalação de Disjuntor trifásico EL 40A  C da marca Eletromar ou Mesmo Padrão (UL)</v>
          </cell>
          <cell r="C1072" t="str">
            <v>UN</v>
          </cell>
          <cell r="D1072">
            <v>38.098599999999998</v>
          </cell>
        </row>
        <row r="1073">
          <cell r="A1073" t="str">
            <v>001.17.04241</v>
          </cell>
          <cell r="B1073" t="str">
            <v>Fornecimento e Instalação de Disjuntor trifásico EL 50A  C da marca Eletromar ou Mesmo Padrão (UL)</v>
          </cell>
          <cell r="C1073" t="str">
            <v>UN</v>
          </cell>
          <cell r="D1073">
            <v>38.818600000000004</v>
          </cell>
        </row>
        <row r="1074">
          <cell r="A1074" t="str">
            <v>001.17.04242</v>
          </cell>
          <cell r="B1074" t="str">
            <v>Fornecimento e Instalação de Disjuntor trifásico EL 60A  C da marca Eletromar ou Mesmo Padrão (UL)</v>
          </cell>
          <cell r="C1074" t="str">
            <v>UN</v>
          </cell>
          <cell r="D1074">
            <v>56.241599999999998</v>
          </cell>
        </row>
        <row r="1075">
          <cell r="A1075" t="str">
            <v>001.17.04243</v>
          </cell>
          <cell r="B1075" t="str">
            <v>Fornecimento e Instalação de Disjuntor trifásico EL 70A  C da marca Eletromar ou Mesmo Padrão (UL)</v>
          </cell>
          <cell r="C1075" t="str">
            <v>UN</v>
          </cell>
          <cell r="D1075">
            <v>56.241599999999998</v>
          </cell>
        </row>
        <row r="1076">
          <cell r="A1076" t="str">
            <v>001.17.04244</v>
          </cell>
          <cell r="B1076" t="str">
            <v>Fornecimento e Instalação de Disjuntor trifásico EL 90A  C da marca Eletromar ou Mesmo Padrão (UL)</v>
          </cell>
          <cell r="C1076" t="str">
            <v>UN</v>
          </cell>
          <cell r="D1076">
            <v>56.241599999999998</v>
          </cell>
        </row>
        <row r="1077">
          <cell r="A1077" t="str">
            <v>001.17.04245</v>
          </cell>
          <cell r="B1077" t="str">
            <v>Fornecimento e Instalação de Disjuntor trifásico EL 100A  C da marca Eletromar ou Mesmo Padrão (UL)</v>
          </cell>
          <cell r="C1077" t="str">
            <v>UN</v>
          </cell>
          <cell r="D1077">
            <v>56.241599999999998</v>
          </cell>
        </row>
        <row r="1078">
          <cell r="A1078" t="str">
            <v>001.17.04246</v>
          </cell>
          <cell r="B1078" t="str">
            <v>Fornecimento e Instalação de Disjuntor trifásico EL 120A  CA da marca Eletromar ou Mesmo Padrão (UL)</v>
          </cell>
          <cell r="C1078" t="str">
            <v>UN</v>
          </cell>
          <cell r="D1078">
            <v>168.3416</v>
          </cell>
        </row>
        <row r="1079">
          <cell r="A1079" t="str">
            <v>001.17.04247</v>
          </cell>
          <cell r="B1079" t="str">
            <v>Fornecimento e Instalação de Disjuntor trifásico EL 125A  CA da marca Eletromar ou Mesmo Padrão (UL)</v>
          </cell>
          <cell r="C1079" t="str">
            <v>UN</v>
          </cell>
          <cell r="D1079">
            <v>166.66159999999999</v>
          </cell>
        </row>
        <row r="1080">
          <cell r="A1080" t="str">
            <v>001.17.04248</v>
          </cell>
          <cell r="B1080" t="str">
            <v>Fornecimento e Instalação de Disjuntor trifásico EL 150A  CA da marca Eletromar ou Mesmo Padrão (UL)</v>
          </cell>
          <cell r="C1080" t="str">
            <v>UN</v>
          </cell>
          <cell r="D1080">
            <v>157.05160000000001</v>
          </cell>
        </row>
        <row r="1081">
          <cell r="A1081" t="str">
            <v>001.17.04249</v>
          </cell>
          <cell r="B1081" t="str">
            <v>Fornecimento e Instalação de Disjuntor trifásico EL 175A  CA da marca Eletromar ou Mesmo Padrão (UL)</v>
          </cell>
          <cell r="C1081" t="str">
            <v>UN</v>
          </cell>
          <cell r="D1081">
            <v>157.05160000000001</v>
          </cell>
        </row>
        <row r="1082">
          <cell r="A1082" t="str">
            <v>001.17.04250</v>
          </cell>
          <cell r="B1082" t="str">
            <v>Fornecimento e Instalação de Disjuntor trifásico EL 200A  CA da marca Eletromar ou Mesmo Padrão (UL)</v>
          </cell>
          <cell r="C1082" t="str">
            <v>UN</v>
          </cell>
          <cell r="D1082">
            <v>157.05160000000001</v>
          </cell>
        </row>
        <row r="1083">
          <cell r="A1083" t="str">
            <v>001.17.04251</v>
          </cell>
          <cell r="B1083" t="str">
            <v>Fornecimento e Instalação de Disjuntor trifásico EL 225A  CA da marca Eletromar ou Mesmo Padrão (UL)</v>
          </cell>
          <cell r="C1083" t="str">
            <v>UN</v>
          </cell>
          <cell r="D1083">
            <v>166.66159999999999</v>
          </cell>
        </row>
        <row r="1084">
          <cell r="A1084" t="str">
            <v>001.17.04252</v>
          </cell>
          <cell r="B1084" t="str">
            <v>Fornecimento e Instalação de Disjuntor trifásico EL 250A  CA da marca Eletromar ou Mesmo Padrão (UL)</v>
          </cell>
          <cell r="C1084" t="str">
            <v>UN</v>
          </cell>
          <cell r="D1084">
            <v>435.9076</v>
          </cell>
        </row>
        <row r="1085">
          <cell r="A1085" t="str">
            <v>001.17.04253</v>
          </cell>
          <cell r="B1085" t="str">
            <v>Fornecimento e Instalação de Disjuntor trifásico EL 300A  KI da marca Eletromar ou Mesmo Padrão (UL)</v>
          </cell>
          <cell r="C1085" t="str">
            <v>UN</v>
          </cell>
          <cell r="D1085">
            <v>1739.0686000000001</v>
          </cell>
        </row>
        <row r="1086">
          <cell r="A1086" t="str">
            <v>001.17.04254</v>
          </cell>
          <cell r="B1086" t="str">
            <v>Fornecimento e Instalação de Disjuntor trifásico EL 350A  KI da marca Eletromar ou Mesmo Padrão (UL)</v>
          </cell>
          <cell r="C1086" t="str">
            <v>UN</v>
          </cell>
          <cell r="D1086">
            <v>1739.0686000000001</v>
          </cell>
        </row>
        <row r="1087">
          <cell r="A1087" t="str">
            <v>001.17.04255</v>
          </cell>
          <cell r="B1087" t="str">
            <v>Fornecimento e Instalação de Disjuntor trifásico EL 400A  KI da marca Eletromar ou Mesmo Padrão (UL)</v>
          </cell>
          <cell r="C1087" t="str">
            <v>UN</v>
          </cell>
          <cell r="D1087">
            <v>1657.1786</v>
          </cell>
        </row>
        <row r="1088">
          <cell r="A1088" t="str">
            <v>001.17.04256</v>
          </cell>
          <cell r="B1088" t="str">
            <v>Fornecimento e Instalação de Disjuntor trifásico EL 500A  LI da marca Eletromar ou Mesmo Padrão (UL)</v>
          </cell>
          <cell r="C1088" t="str">
            <v>UN</v>
          </cell>
          <cell r="D1088">
            <v>2994.7356</v>
          </cell>
        </row>
        <row r="1089">
          <cell r="A1089" t="str">
            <v>001.17.04257</v>
          </cell>
          <cell r="B1089" t="str">
            <v>Fornecimento e Instalação de Disjuntor trifásico EL 600A  LI da marca Eletromar ou Mesmo Padrão (UL)</v>
          </cell>
          <cell r="C1089" t="str">
            <v>UN</v>
          </cell>
          <cell r="D1089">
            <v>2994.7356</v>
          </cell>
        </row>
        <row r="1090">
          <cell r="A1090" t="str">
            <v>001.17.04258</v>
          </cell>
          <cell r="B1090" t="str">
            <v>Fornecimento e Instalação de Disjuntor trifásico EL 630A  LI da marca Eletromar ou Mesmo Padrão (UL)</v>
          </cell>
          <cell r="C1090" t="str">
            <v>UN</v>
          </cell>
          <cell r="D1090">
            <v>2994.7356</v>
          </cell>
        </row>
        <row r="1091">
          <cell r="A1091" t="str">
            <v>001.17.04259</v>
          </cell>
          <cell r="B1091" t="str">
            <v>Fornecimento e Instalação de Disjuntor trifásico EL 700A  LI da marca Eletromar ou Mesmo Padrão (UL)</v>
          </cell>
          <cell r="C1091" t="str">
            <v>UN</v>
          </cell>
          <cell r="D1091">
            <v>5358.4516000000003</v>
          </cell>
        </row>
        <row r="1092">
          <cell r="A1092" t="str">
            <v>001.17.04260</v>
          </cell>
          <cell r="B1092" t="str">
            <v>Fornecimento e Instalação de Disjuntor trifásico EL 800A  LI da marca Eletromar ou Mesmo Padrão (UL)</v>
          </cell>
          <cell r="C1092" t="str">
            <v>UN</v>
          </cell>
          <cell r="D1092">
            <v>5358.4516000000003</v>
          </cell>
        </row>
        <row r="1093">
          <cell r="A1093" t="str">
            <v>001.17.04261</v>
          </cell>
          <cell r="B1093" t="str">
            <v>Fornecimento e Instalação de Disjuntor mini monopolar 6A B da marca Siemens ou Mesmo Padrão (DIN)</v>
          </cell>
          <cell r="C1093" t="str">
            <v>UN</v>
          </cell>
          <cell r="D1093">
            <v>24.9558</v>
          </cell>
        </row>
        <row r="1094">
          <cell r="A1094" t="str">
            <v>001.17.04263</v>
          </cell>
          <cell r="B1094" t="str">
            <v>Fornecimento e Instalação de Disjuntor mini monopolar 25A B da marca Siemens ou Mesmo Padrão (DIN)</v>
          </cell>
          <cell r="C1094" t="str">
            <v>UN</v>
          </cell>
          <cell r="D1094">
            <v>8.4428000000000001</v>
          </cell>
        </row>
        <row r="1095">
          <cell r="A1095" t="str">
            <v>001.17.04265</v>
          </cell>
          <cell r="B1095" t="str">
            <v>Fornecimento e Instalação de Disjuntor mini monopolar 32A B da marca Siemens ou Mesmo Padrão (DIN)</v>
          </cell>
          <cell r="C1095" t="str">
            <v>UN</v>
          </cell>
          <cell r="D1095">
            <v>8.5578000000000003</v>
          </cell>
        </row>
        <row r="1096">
          <cell r="A1096" t="str">
            <v>001.17.04267</v>
          </cell>
          <cell r="B1096" t="str">
            <v>Fornecimento e Instalação de Disjuntor mini bipolar 6A C da marca Siemens ou Mesmo Padrão (DIN)</v>
          </cell>
          <cell r="C1096" t="str">
            <v>UN</v>
          </cell>
          <cell r="D1096">
            <v>97.156800000000004</v>
          </cell>
        </row>
        <row r="1097">
          <cell r="A1097" t="str">
            <v>001.17.04269</v>
          </cell>
          <cell r="B1097" t="str">
            <v>Fornecimento e Instalação de Disjuntor mini bipolar 10A C da marca Siemens ou Mesmo Padrão (DIN)</v>
          </cell>
          <cell r="C1097" t="str">
            <v>UN</v>
          </cell>
          <cell r="D1097">
            <v>54.020800000000001</v>
          </cell>
        </row>
        <row r="1098">
          <cell r="A1098" t="str">
            <v>001.17.04271</v>
          </cell>
          <cell r="B1098" t="str">
            <v>Fornecimento e Instalação de Disjuntor mini bipolar 16A C da marca Siemens ou Mesmo Padrão (DIN)</v>
          </cell>
          <cell r="C1098" t="str">
            <v>UN</v>
          </cell>
          <cell r="D1098">
            <v>53.877800000000001</v>
          </cell>
        </row>
        <row r="1099">
          <cell r="A1099" t="str">
            <v>001.17.04273</v>
          </cell>
          <cell r="B1099" t="str">
            <v>Fornecimento e Instalação de Disjuntor mini bipolar 20A C da marca Siemens ou Mesmo Padrão (DIN)</v>
          </cell>
          <cell r="C1099" t="str">
            <v>UN</v>
          </cell>
          <cell r="D1099">
            <v>54.020800000000001</v>
          </cell>
        </row>
        <row r="1100">
          <cell r="A1100" t="str">
            <v>001.17.04275</v>
          </cell>
          <cell r="B1100" t="str">
            <v>Fornecimento e Instalação de Disjuntor mini bipolar 32A C da marca Siemens ou Mesmo Padrão (DIN)</v>
          </cell>
          <cell r="C1100" t="str">
            <v>UN</v>
          </cell>
          <cell r="D1100">
            <v>54.020800000000001</v>
          </cell>
        </row>
        <row r="1101">
          <cell r="A1101" t="str">
            <v>001.17.04277</v>
          </cell>
          <cell r="B1101" t="str">
            <v>Fornecimento e Instalação de Disjuntor mini bipolar 63A C da marca Siemens ou Mesmo Padrão (DIN)</v>
          </cell>
          <cell r="C1101" t="str">
            <v>UN</v>
          </cell>
          <cell r="D1101">
            <v>75.750799999999998</v>
          </cell>
        </row>
        <row r="1102">
          <cell r="A1102" t="str">
            <v>001.17.04279</v>
          </cell>
          <cell r="B1102" t="str">
            <v>Fornecimento e Instalação de Disjuntor mini bipolar 80A C da marca Siemens ou Mesmo Padrão (DIN)</v>
          </cell>
          <cell r="C1102" t="str">
            <v>UN</v>
          </cell>
          <cell r="D1102">
            <v>75.750799999999998</v>
          </cell>
        </row>
        <row r="1103">
          <cell r="A1103" t="str">
            <v>001.17.04281</v>
          </cell>
          <cell r="B1103" t="str">
            <v>Fornecimento e Instalação de Disjuntor mini bipolar 2A C da marca Siemens ou Mesmo Padrão (DIN)</v>
          </cell>
          <cell r="C1103" t="str">
            <v>UN</v>
          </cell>
          <cell r="D1103">
            <v>97.156800000000004</v>
          </cell>
        </row>
        <row r="1104">
          <cell r="A1104" t="str">
            <v>001.17.04283</v>
          </cell>
          <cell r="B1104" t="str">
            <v>Fornecimento e Instalação de Disjuntor mini tripolar G 13A C da marca Siemens ou Mesmo Padrão (DIN)</v>
          </cell>
          <cell r="C1104" t="str">
            <v>UN</v>
          </cell>
          <cell r="D1104">
            <v>60.380600000000001</v>
          </cell>
        </row>
        <row r="1105">
          <cell r="A1105" t="str">
            <v>001.17.04285</v>
          </cell>
          <cell r="B1105" t="str">
            <v>Fornecimento e Instalação de Disjuntor mini tripolar G 25A C da marca Siemens ou Mesmo Padrão (DIN)</v>
          </cell>
          <cell r="C1105" t="str">
            <v>UN</v>
          </cell>
          <cell r="D1105">
            <v>60.380600000000001</v>
          </cell>
        </row>
        <row r="1106">
          <cell r="A1106" t="str">
            <v>001.17.04287</v>
          </cell>
          <cell r="B1106" t="str">
            <v>Fornecimento e Instalação de Disjuntor mini tripolar G 32A C da marca Siemens ou Mesmo Padrão (DIN)</v>
          </cell>
          <cell r="C1106" t="str">
            <v>UN</v>
          </cell>
          <cell r="D1106">
            <v>60.380600000000001</v>
          </cell>
        </row>
        <row r="1107">
          <cell r="A1107" t="str">
            <v>001.17.04289</v>
          </cell>
          <cell r="B1107" t="str">
            <v>Fornecimento e Instalação de Disjuntor mini tripolar G 40A C da marca Siemens ou Mesmo Padrão (DIN)</v>
          </cell>
          <cell r="C1107" t="str">
            <v>UN</v>
          </cell>
          <cell r="D1107">
            <v>60.380600000000001</v>
          </cell>
        </row>
        <row r="1108">
          <cell r="A1108" t="str">
            <v>001.17.04291</v>
          </cell>
          <cell r="B1108" t="str">
            <v>Fornecimento e Instalação de Disjuntor mini tripolar G 70A C da marca Siemens ou Mesmo Padrão (DIN)</v>
          </cell>
          <cell r="C1108" t="str">
            <v>UN</v>
          </cell>
          <cell r="D1108">
            <v>86.239599999999996</v>
          </cell>
        </row>
        <row r="1109">
          <cell r="A1109" t="str">
            <v>001.17.04293</v>
          </cell>
          <cell r="B1109" t="str">
            <v>Fornecimento e Instalação de Disjuntor mini tripolar G 80A C da marca Siemens ou Mesmo Padrão (DIN)</v>
          </cell>
          <cell r="C1109" t="str">
            <v>UN</v>
          </cell>
          <cell r="D1109">
            <v>86.239599999999996</v>
          </cell>
        </row>
        <row r="1110">
          <cell r="A1110" t="str">
            <v>001.17.04300</v>
          </cell>
          <cell r="B1110" t="str">
            <v>Fornecimento e Instalação de Interruptor Simples de embutir 1 tecla 10 A - 250V com espelho para caixa 4x2"""""""", Linha Popular</v>
          </cell>
          <cell r="C1110" t="str">
            <v>CJ</v>
          </cell>
          <cell r="D1110">
            <v>4.8750999999999998</v>
          </cell>
        </row>
        <row r="1111">
          <cell r="A1111" t="str">
            <v>001.17.04302</v>
          </cell>
          <cell r="B1111" t="str">
            <v>Fornecimento e Instalação de Interruptor Simples de Embutir 2 teclas 10 A - 250V com espelho para caixa 4x2"""""""", Linha Popular</v>
          </cell>
          <cell r="C1111" t="str">
            <v>CJ</v>
          </cell>
          <cell r="D1111">
            <v>7.0251000000000001</v>
          </cell>
        </row>
        <row r="1112">
          <cell r="A1112" t="str">
            <v>001.17.04304</v>
          </cell>
          <cell r="B1112" t="str">
            <v>Fornecimento e Instalação de Interruptor Simples de Embutir 3 teclas 10 A - 250V com espelho para caixa 4x2"""""""", Linha Popular</v>
          </cell>
          <cell r="C1112" t="str">
            <v>CJ</v>
          </cell>
          <cell r="D1112">
            <v>9.1651000000000007</v>
          </cell>
        </row>
        <row r="1113">
          <cell r="A1113" t="str">
            <v>001.17.04310</v>
          </cell>
          <cell r="B1113" t="str">
            <v>Fornecimento e Instalação de Interruptor Paralelo de Embutir 1 tecla 10 A - 250V com espelho para caixa 4x2"""""""", Linha Popular</v>
          </cell>
          <cell r="C1113" t="str">
            <v>CJ</v>
          </cell>
          <cell r="D1113">
            <v>5.6051000000000002</v>
          </cell>
        </row>
        <row r="1114">
          <cell r="A1114" t="str">
            <v>001.17.04312</v>
          </cell>
          <cell r="B1114" t="str">
            <v>Fornecimento e Instalação de Interruptor Paralelo de Embutir 2 teclas 10 A - 250V com espelho para caixa 4x2"""""""", Linha Popular</v>
          </cell>
          <cell r="C1114" t="str">
            <v>CJ</v>
          </cell>
          <cell r="D1114">
            <v>8.4750999999999994</v>
          </cell>
        </row>
        <row r="1115">
          <cell r="A1115" t="str">
            <v>001.17.04314</v>
          </cell>
          <cell r="B1115" t="str">
            <v>Fornecimento e Instalação de Interruptor Paralelo 3 teclas de Embutir 10 A - 250V com espelho para caixa 4x2"""""""", Linha Popular</v>
          </cell>
          <cell r="C1115" t="str">
            <v>CJ</v>
          </cell>
          <cell r="D1115">
            <v>11.805099999999999</v>
          </cell>
        </row>
        <row r="1116">
          <cell r="A1116" t="str">
            <v>001.17.04316</v>
          </cell>
          <cell r="B1116" t="str">
            <v>Fornecimento e Instalação de Conjunto de Interruptor Simples e Tomada 2P universal de Embutir 10 A - 250V com espelho para caixa 4x2"""""""", Linha Popular</v>
          </cell>
          <cell r="C1116" t="str">
            <v>CJ</v>
          </cell>
          <cell r="D1116">
            <v>7.2651000000000003</v>
          </cell>
        </row>
        <row r="1117">
          <cell r="A1117" t="str">
            <v>001.17.04320</v>
          </cell>
          <cell r="B1117" t="str">
            <v>Fornecimento e Instalação de Conjunto de Interruptor Paralelo e Tomada 2P universal de Embutir 10 A - 250V com espelho para caixa 4x2"""""""", Linha Popular</v>
          </cell>
          <cell r="C1117" t="str">
            <v>CJ</v>
          </cell>
          <cell r="D1117">
            <v>8.0650999999999993</v>
          </cell>
        </row>
        <row r="1118">
          <cell r="A1118" t="str">
            <v>001.17.04324</v>
          </cell>
          <cell r="B1118" t="str">
            <v>Fornecimento e Instalação de Interruptor Bipolar de Embutir 25 A - 250V com espelho para caixa 4x2"""""""", Linha Popular</v>
          </cell>
          <cell r="C1118" t="str">
            <v>CJ</v>
          </cell>
          <cell r="D1118">
            <v>35.7851</v>
          </cell>
        </row>
        <row r="1119">
          <cell r="A1119" t="str">
            <v>001.17.04326</v>
          </cell>
          <cell r="B1119" t="str">
            <v>Fornecimento e Instalação de Tomada  2P universal de Embutir 10 A - 250V com espelho para caixa 4x2"""""""", Linha Popular</v>
          </cell>
          <cell r="C1119" t="str">
            <v>CJ</v>
          </cell>
          <cell r="D1119">
            <v>4.8750999999999998</v>
          </cell>
        </row>
        <row r="1120">
          <cell r="A1120" t="str">
            <v>001.17.04328</v>
          </cell>
          <cell r="B1120" t="str">
            <v>Fornecimento e Instalação de Tomada  2P+T universal de Embutir 10 A - 250V com espelho para caixa 4x2"""""""", Linha Popular</v>
          </cell>
          <cell r="C1120" t="str">
            <v>CJ</v>
          </cell>
          <cell r="D1120">
            <v>6.4250999999999996</v>
          </cell>
        </row>
        <row r="1121">
          <cell r="A1121" t="str">
            <v>001.17.04330</v>
          </cell>
          <cell r="B1121" t="str">
            <v>Fornecimento e Instalação de Tomada  2P+T universal de Embutir 15 A - 250V para informática com espelho para caixa 4x2"""""""", Linha Popular</v>
          </cell>
          <cell r="C1121" t="str">
            <v>CJ</v>
          </cell>
          <cell r="D1121">
            <v>6.4250999999999996</v>
          </cell>
        </row>
        <row r="1122">
          <cell r="A1122" t="str">
            <v>001.17.04332</v>
          </cell>
          <cell r="B1122" t="str">
            <v>Fornecimento e Instalação de Tomada 3P de Embutir 20 A - 250V para Ar Condicionado, Linha Popular</v>
          </cell>
          <cell r="C1122" t="str">
            <v>CJ</v>
          </cell>
          <cell r="D1122">
            <v>6.5050999999999997</v>
          </cell>
        </row>
        <row r="1123">
          <cell r="A1123" t="str">
            <v>001.17.04338</v>
          </cell>
          <cell r="B1123" t="str">
            <v>Fornecimento e Instalação de Tomada  2P+T universal 15 A - 250V para informática de Embutir no piso com espelho para latão em caixa 4x2"""""""", Linha Popular</v>
          </cell>
          <cell r="C1123" t="str">
            <v>CJ</v>
          </cell>
          <cell r="D1123">
            <v>17.275099999999998</v>
          </cell>
        </row>
        <row r="1124">
          <cell r="A1124" t="str">
            <v>001.17.04346</v>
          </cell>
          <cell r="B1124" t="str">
            <v>Interruptor Simples de embutir 1 tecla 10 A - 250V com espelho para caixa 4x2"""""""", Linha Pratis ou Mesmo Padrão</v>
          </cell>
          <cell r="C1124" t="str">
            <v>CJ</v>
          </cell>
          <cell r="D1124">
            <v>5.6951000000000001</v>
          </cell>
        </row>
        <row r="1125">
          <cell r="A1125" t="str">
            <v>001.17.04440</v>
          </cell>
          <cell r="B1125" t="str">
            <v>Fornecimento e instalação de conjunto arstrop com tomada bipolar mais polo terra e disjuntor termomagnético Bipolar de 30A/250v para embutir UL, em caixa metálica de 4"""" x 4"""" x 2""""</v>
          </cell>
          <cell r="C1125" t="str">
            <v>CJ</v>
          </cell>
          <cell r="D1125">
            <v>66.710400000000007</v>
          </cell>
        </row>
        <row r="1126">
          <cell r="A1126" t="str">
            <v>001.17.04480</v>
          </cell>
          <cell r="B1126" t="str">
            <v>Fornecimento e instalação de conjunto arstop para computador com disjuntor bipolar de 10A/250v e tomada 2P+T em caixa de 10 x 10 x 5 cm, cor marfim</v>
          </cell>
          <cell r="C1126" t="str">
            <v>CJ</v>
          </cell>
          <cell r="D1126">
            <v>36.090400000000002</v>
          </cell>
        </row>
        <row r="1127">
          <cell r="A1127" t="str">
            <v>001.17.05440</v>
          </cell>
          <cell r="B1127" t="str">
            <v>Fornecimento e instalação de campainha de timbre tipo residencial 50/60hz para embutir com caixa metálica 4""""""""x2""""""""</v>
          </cell>
          <cell r="C1127" t="str">
            <v>CJ</v>
          </cell>
          <cell r="D1127">
            <v>17.657599999999999</v>
          </cell>
        </row>
        <row r="1128">
          <cell r="A1128" t="str">
            <v>001.17.05460</v>
          </cell>
          <cell r="B1128" t="str">
            <v>Fornecimento e instalação de campainha de timbre tipo residencial 50/60hz para embutir sem caixa metálica 4""""""""x2""""""""</v>
          </cell>
          <cell r="C1128" t="str">
            <v>UN</v>
          </cell>
          <cell r="D1128">
            <v>15.4504</v>
          </cell>
        </row>
        <row r="1129">
          <cell r="A1129" t="str">
            <v>001.17.05480</v>
          </cell>
          <cell r="B1129" t="str">
            <v>Fornecimento e instalação de campainha de alta potência 50/60hz 110 v com timbre de diâm. 150.00mm 100db</v>
          </cell>
          <cell r="C1129" t="str">
            <v>UN</v>
          </cell>
          <cell r="D1129">
            <v>160.1044</v>
          </cell>
        </row>
        <row r="1130">
          <cell r="A1130" t="str">
            <v>001.17.05500</v>
          </cell>
          <cell r="B1130" t="str">
            <v>Fornecimento e instalação de campainha de alta potência 50/60hz 110 v com timbre de diâm. 250.00mm 104db</v>
          </cell>
          <cell r="C1130" t="str">
            <v>UN</v>
          </cell>
          <cell r="D1130">
            <v>217.1044</v>
          </cell>
        </row>
        <row r="1131">
          <cell r="A1131" t="str">
            <v>001.17.05520</v>
          </cell>
          <cell r="B1131" t="str">
            <v>Fornecimento e instalação de ventilador de teto c/rot em sentido dir/inverso c/4 pas de Madeira 60hz 110v c/ interuptor tipo reostado p/2 setores e com capacitor</v>
          </cell>
          <cell r="C1131" t="str">
            <v>CJ</v>
          </cell>
          <cell r="D1131">
            <v>136.4348</v>
          </cell>
        </row>
        <row r="1132">
          <cell r="A1132" t="str">
            <v>001.17.05602</v>
          </cell>
          <cell r="B1132" t="str">
            <v>Fornecimento e instalação de luminária tipo calha industrial e comercial com lâmpada fluorescente 2 x 20w, reator alto fator de potência partida rápida e acessórios</v>
          </cell>
          <cell r="C1132" t="str">
            <v>CJ</v>
          </cell>
          <cell r="D1132">
            <v>49.6113</v>
          </cell>
        </row>
        <row r="1133">
          <cell r="A1133" t="str">
            <v>001.17.05604</v>
          </cell>
          <cell r="B1133" t="str">
            <v>Fornecimento e instalação de luminária tipo calha industrial e comercial com lâmpada fluorescente 2 x 40w, reator alto fator de potência partida rápida e acessórios</v>
          </cell>
          <cell r="C1133" t="str">
            <v>CJ</v>
          </cell>
          <cell r="D1133">
            <v>54.011299999999999</v>
          </cell>
        </row>
        <row r="1134">
          <cell r="A1134" t="str">
            <v>001.17.05606</v>
          </cell>
          <cell r="B1134" t="str">
            <v>Fornecimento e instalação de luminária tipo arandela em ferro pintado para uso externo com lâmapada incandescente 1x60w/127v (Tipo Tartaruga)</v>
          </cell>
          <cell r="C1134" t="str">
            <v>CJ</v>
          </cell>
          <cell r="D1134">
            <v>21.4391</v>
          </cell>
        </row>
        <row r="1135">
          <cell r="A1135" t="str">
            <v>001.17.05608</v>
          </cell>
          <cell r="B1135" t="str">
            <v>Fornecimento e instalação de luminária bloco autônomo de iluminação de emergência com 2 projetores</v>
          </cell>
          <cell r="C1135" t="str">
            <v>UN</v>
          </cell>
          <cell r="D1135">
            <v>153.58699999999999</v>
          </cell>
        </row>
        <row r="1136">
          <cell r="A1136" t="str">
            <v>001.17.05620</v>
          </cell>
          <cell r="B1136" t="str">
            <v>Fornecimento e instalação de chuveiro elétrico Maxi-Banho 2500w-110/220v</v>
          </cell>
          <cell r="C1136" t="str">
            <v>CJ</v>
          </cell>
          <cell r="D1136">
            <v>32.261800000000001</v>
          </cell>
        </row>
        <row r="1137">
          <cell r="A1137" t="str">
            <v>001.17.05660</v>
          </cell>
          <cell r="B1137" t="str">
            <v>Fornecimento e instalação de baquelite s/ chave p/ lâmpada incandescente</v>
          </cell>
          <cell r="C1137" t="str">
            <v>UN</v>
          </cell>
          <cell r="D1137">
            <v>1.9875</v>
          </cell>
        </row>
        <row r="1138">
          <cell r="A1138" t="str">
            <v>001.17.05680</v>
          </cell>
          <cell r="B1138" t="str">
            <v>Fornecimento e instalação de baquelite c/ chave p/ lâmpada incandescente</v>
          </cell>
          <cell r="C1138" t="str">
            <v>UN</v>
          </cell>
          <cell r="D1138">
            <v>2.9375</v>
          </cell>
        </row>
        <row r="1139">
          <cell r="A1139" t="str">
            <v>001.17.05700</v>
          </cell>
          <cell r="B1139" t="str">
            <v>Fornecimento e instalação de soquete p/ lâmpada fluorescente</v>
          </cell>
          <cell r="C1139" t="str">
            <v>UN</v>
          </cell>
          <cell r="D1139">
            <v>1.1301000000000001</v>
          </cell>
        </row>
        <row r="1140">
          <cell r="A1140" t="str">
            <v>001.17.05740</v>
          </cell>
          <cell r="B1140" t="str">
            <v>Fornecimento e instalação de Soquete De Porcelana P/ Lâmpada Comum  E 27</v>
          </cell>
          <cell r="C1140" t="str">
            <v>UN</v>
          </cell>
          <cell r="D1140">
            <v>3.3273999999999999</v>
          </cell>
        </row>
        <row r="1141">
          <cell r="A1141" t="str">
            <v>001.17.05760</v>
          </cell>
          <cell r="B1141" t="str">
            <v>Fornecimento e instalação de Soquete De Porcelana P/ Lâmpada Comum  E 40</v>
          </cell>
          <cell r="C1141" t="str">
            <v>UN</v>
          </cell>
          <cell r="D1141">
            <v>7.5263</v>
          </cell>
        </row>
        <row r="1142">
          <cell r="A1142" t="str">
            <v>001.17.05780</v>
          </cell>
          <cell r="B1142" t="str">
            <v>Fornecimento e instalação de lâmpada vapor de sódio 250w</v>
          </cell>
          <cell r="C1142" t="str">
            <v>UN</v>
          </cell>
          <cell r="D1142">
            <v>32.656300000000002</v>
          </cell>
        </row>
        <row r="1143">
          <cell r="A1143" t="str">
            <v>001.17.05800</v>
          </cell>
          <cell r="B1143" t="str">
            <v>Fornecimento e instalação de lâmpada fluorescente pl com reator - 25w/127v</v>
          </cell>
          <cell r="C1143" t="str">
            <v>UN</v>
          </cell>
          <cell r="D1143">
            <v>13.1663</v>
          </cell>
        </row>
        <row r="1144">
          <cell r="A1144" t="str">
            <v>001.17.05820</v>
          </cell>
          <cell r="B1144" t="str">
            <v>Fornecimento e instalação de lâmpada mista 160w/220v</v>
          </cell>
          <cell r="C1144" t="str">
            <v>UN</v>
          </cell>
          <cell r="D1144">
            <v>9.1163000000000007</v>
          </cell>
        </row>
        <row r="1145">
          <cell r="A1145" t="str">
            <v>001.17.05840</v>
          </cell>
          <cell r="B1145" t="str">
            <v>Fornecimento e instalação de lâmpada mista 250w/220v</v>
          </cell>
          <cell r="C1145" t="str">
            <v>UN</v>
          </cell>
          <cell r="D1145">
            <v>12.6563</v>
          </cell>
        </row>
        <row r="1146">
          <cell r="A1146" t="str">
            <v>001.17.05860</v>
          </cell>
          <cell r="B1146" t="str">
            <v>Fornecimento e instalação de lâmpada mista 500w/220v</v>
          </cell>
          <cell r="C1146" t="str">
            <v>UN</v>
          </cell>
          <cell r="D1146">
            <v>28.0063</v>
          </cell>
        </row>
        <row r="1147">
          <cell r="A1147" t="str">
            <v>001.17.05880</v>
          </cell>
          <cell r="B1147" t="str">
            <v>Fornecimento e instalação de lâmpada hospitalar p/ sala cirurgica """"""""seyalitica"""""""" 250w/220v</v>
          </cell>
          <cell r="C1147" t="str">
            <v>UN</v>
          </cell>
          <cell r="D1147">
            <v>83.666300000000007</v>
          </cell>
        </row>
        <row r="1148">
          <cell r="A1148" t="str">
            <v>001.17.05900</v>
          </cell>
          <cell r="B1148" t="str">
            <v>Fornecimento e instalação de lâmpada a vapor de mercúrio de alta pressão 400 w</v>
          </cell>
          <cell r="C1148" t="str">
            <v>UN</v>
          </cell>
          <cell r="D1148">
            <v>30.656300000000002</v>
          </cell>
        </row>
        <row r="1149">
          <cell r="A1149" t="str">
            <v>001.17.05920</v>
          </cell>
          <cell r="B1149" t="str">
            <v>Fornecimento e instalação de lâmpada incandescente 60 w</v>
          </cell>
          <cell r="C1149" t="str">
            <v>UN</v>
          </cell>
          <cell r="D1149">
            <v>1.5063</v>
          </cell>
        </row>
        <row r="1150">
          <cell r="A1150" t="str">
            <v>001.17.05940</v>
          </cell>
          <cell r="B1150" t="str">
            <v>Fornecimento e instalação de lâmpada incandescente 100 w</v>
          </cell>
          <cell r="C1150" t="str">
            <v>UN</v>
          </cell>
          <cell r="D1150">
            <v>1.8463000000000001</v>
          </cell>
        </row>
        <row r="1151">
          <cell r="A1151" t="str">
            <v>001.17.05960</v>
          </cell>
          <cell r="B1151" t="str">
            <v>Fornecimento e instalação de lâmpada incandescente 150 w</v>
          </cell>
          <cell r="C1151" t="str">
            <v>UN</v>
          </cell>
          <cell r="D1151">
            <v>2.3963000000000001</v>
          </cell>
        </row>
        <row r="1152">
          <cell r="A1152" t="str">
            <v>001.17.05980</v>
          </cell>
          <cell r="B1152" t="str">
            <v>Fornecimento e instalação de lâmpada incandescente 200 w</v>
          </cell>
          <cell r="C1152" t="str">
            <v>UN</v>
          </cell>
          <cell r="D1152">
            <v>2.8763000000000001</v>
          </cell>
        </row>
        <row r="1153">
          <cell r="A1153" t="str">
            <v>001.17.06000</v>
          </cell>
          <cell r="B1153" t="str">
            <v>Fornecimento e instalação de lâmpada incandescente 20 w</v>
          </cell>
          <cell r="C1153" t="str">
            <v>UN</v>
          </cell>
          <cell r="D1153">
            <v>3.6362999999999999</v>
          </cell>
        </row>
        <row r="1154">
          <cell r="A1154" t="str">
            <v>001.17.06020</v>
          </cell>
          <cell r="B1154" t="str">
            <v>Fornecimento e instalação de lâmpada incandescente 40 w</v>
          </cell>
          <cell r="C1154" t="str">
            <v>UN</v>
          </cell>
          <cell r="D1154">
            <v>3.6362999999999999</v>
          </cell>
        </row>
        <row r="1155">
          <cell r="A1155" t="str">
            <v>001.17.06080</v>
          </cell>
          <cell r="B1155" t="str">
            <v>Fornecimento e instalação de reator convencional 20w</v>
          </cell>
          <cell r="C1155" t="str">
            <v>UN</v>
          </cell>
          <cell r="D1155">
            <v>7.4062999999999999</v>
          </cell>
        </row>
        <row r="1156">
          <cell r="A1156" t="str">
            <v>001.17.06100</v>
          </cell>
          <cell r="B1156" t="str">
            <v>Fornecimento e instalação de reator convencional 40w</v>
          </cell>
          <cell r="C1156" t="str">
            <v>UN</v>
          </cell>
          <cell r="D1156">
            <v>13.5863</v>
          </cell>
        </row>
        <row r="1157">
          <cell r="A1157" t="str">
            <v>001.17.06160</v>
          </cell>
          <cell r="B1157" t="str">
            <v>Fornecimento e instalação de reator rvm para lampada vapor de mercurio 250 w</v>
          </cell>
          <cell r="C1157" t="str">
            <v>UN</v>
          </cell>
          <cell r="D1157">
            <v>45.296300000000002</v>
          </cell>
        </row>
        <row r="1158">
          <cell r="A1158" t="str">
            <v>001.17.06180</v>
          </cell>
          <cell r="B1158" t="str">
            <v>Fornecimento e instalação de reator rvm 400b26 da philips</v>
          </cell>
          <cell r="C1158" t="str">
            <v>UN</v>
          </cell>
          <cell r="D1158">
            <v>51.346299999999999</v>
          </cell>
        </row>
        <row r="1159">
          <cell r="A1159" t="str">
            <v>001.17.06200</v>
          </cell>
          <cell r="B1159" t="str">
            <v>Fornecimento e instalação de reator simples partida rápida 20w/110v</v>
          </cell>
          <cell r="C1159" t="str">
            <v>UN</v>
          </cell>
          <cell r="D1159">
            <v>17.684799999999999</v>
          </cell>
        </row>
        <row r="1160">
          <cell r="A1160" t="str">
            <v>001.17.06220</v>
          </cell>
          <cell r="B1160" t="str">
            <v>Fornecimento e instalação de reator simples partida rápida 40w/110v</v>
          </cell>
          <cell r="C1160" t="str">
            <v>UN</v>
          </cell>
          <cell r="D1160">
            <v>17.406300000000002</v>
          </cell>
        </row>
        <row r="1161">
          <cell r="A1161" t="str">
            <v>001.17.06240</v>
          </cell>
          <cell r="B1161" t="str">
            <v>Fornecimento e instalação de reator duplo partida rápida 20w/110v</v>
          </cell>
          <cell r="C1161" t="str">
            <v>UN</v>
          </cell>
          <cell r="D1161">
            <v>27.0139</v>
          </cell>
        </row>
        <row r="1162">
          <cell r="A1162" t="str">
            <v>001.17.06260</v>
          </cell>
          <cell r="B1162" t="str">
            <v>Fornecimento e instalação de reator duplo partida rápida 40w/110v para lampada fluorescente</v>
          </cell>
          <cell r="C1162" t="str">
            <v>UN</v>
          </cell>
          <cell r="D1162">
            <v>28.343900000000001</v>
          </cell>
        </row>
        <row r="1163">
          <cell r="A1163" t="str">
            <v>001.17.06280</v>
          </cell>
          <cell r="B1163" t="str">
            <v>Fornecimento e instalação de reator simples partida rápida 20w/220v</v>
          </cell>
          <cell r="C1163" t="str">
            <v>UN</v>
          </cell>
          <cell r="D1163">
            <v>16.8063</v>
          </cell>
        </row>
        <row r="1164">
          <cell r="A1164" t="str">
            <v>001.17.06300</v>
          </cell>
          <cell r="B1164" t="str">
            <v>Fornecimento e instalaçao de reator simples partida rápida 40w/220v</v>
          </cell>
          <cell r="C1164" t="str">
            <v>UN</v>
          </cell>
          <cell r="D1164">
            <v>17.096299999999999</v>
          </cell>
        </row>
        <row r="1165">
          <cell r="A1165" t="str">
            <v>001.17.06320</v>
          </cell>
          <cell r="B1165" t="str">
            <v>Fornecimento e instalação de reator duplo partida rápida 20w/220v</v>
          </cell>
          <cell r="C1165" t="str">
            <v>UN</v>
          </cell>
          <cell r="D1165">
            <v>27.9239</v>
          </cell>
        </row>
        <row r="1166">
          <cell r="A1166" t="str">
            <v>001.17.06340</v>
          </cell>
          <cell r="B1166" t="str">
            <v>Fornecimento e instalação de reator duplo partida rápida 40w/220v</v>
          </cell>
          <cell r="C1166" t="str">
            <v>UN</v>
          </cell>
          <cell r="D1166">
            <v>27.9239</v>
          </cell>
        </row>
        <row r="1167">
          <cell r="A1167" t="str">
            <v>001.17.06350</v>
          </cell>
          <cell r="B1167" t="str">
            <v>Fornecimento e instalação de  rolo de fita isolante plástica, de 20.00 m</v>
          </cell>
          <cell r="C1167" t="str">
            <v>UN</v>
          </cell>
          <cell r="D1167">
            <v>12.693300000000001</v>
          </cell>
        </row>
        <row r="1168">
          <cell r="A1168" t="str">
            <v>001.17.06355</v>
          </cell>
          <cell r="B1168" t="str">
            <v>Fornecimento e instalação de  rolo de fita isolante plástica, de 10.00 m</v>
          </cell>
          <cell r="C1168" t="str">
            <v>UN</v>
          </cell>
          <cell r="D1168">
            <v>12.1243</v>
          </cell>
        </row>
        <row r="1169">
          <cell r="A1169" t="str">
            <v>001.17.06360</v>
          </cell>
          <cell r="B1169" t="str">
            <v>Fornecimento e instalação de  rolo de fita isolante plástica, de 05.00 m</v>
          </cell>
          <cell r="C1169" t="str">
            <v>UN</v>
          </cell>
          <cell r="D1169">
            <v>5.7667000000000002</v>
          </cell>
        </row>
        <row r="1170">
          <cell r="A1170" t="str">
            <v>001.17.06365</v>
          </cell>
          <cell r="B1170" t="str">
            <v>Fornecimento e instalação de rolo de fita isolante de alta fusão, de 10.00 m</v>
          </cell>
          <cell r="C1170" t="str">
            <v>UN</v>
          </cell>
          <cell r="D1170">
            <v>20.225300000000001</v>
          </cell>
        </row>
        <row r="1171">
          <cell r="A1171" t="str">
            <v>001.18</v>
          </cell>
          <cell r="B1171" t="str">
            <v>INSTALAÇÕES ELÉTRICAS - LÓGICA E TELEFONIA</v>
          </cell>
          <cell r="D1171">
            <v>3704.7485999999999</v>
          </cell>
        </row>
        <row r="1172">
          <cell r="A1172" t="str">
            <v>001.18.00020</v>
          </cell>
          <cell r="B1172" t="str">
            <v>Fornecimento e instalação de fio para telefone 2x22 awg</v>
          </cell>
          <cell r="C1172" t="str">
            <v>M</v>
          </cell>
          <cell r="D1172">
            <v>0.92349999999999999</v>
          </cell>
        </row>
        <row r="1173">
          <cell r="A1173" t="str">
            <v>001.18.00040</v>
          </cell>
          <cell r="B1173" t="str">
            <v>Fornecimento e instalação de cabo tipo UTP , categoria 5 E Azul</v>
          </cell>
          <cell r="C1173" t="str">
            <v>M</v>
          </cell>
          <cell r="D1173">
            <v>1.3346</v>
          </cell>
        </row>
        <row r="1174">
          <cell r="A1174" t="str">
            <v>001.18.00080</v>
          </cell>
          <cell r="B1174" t="str">
            <v>Fornecimento e instalação de terminal rj-45</v>
          </cell>
          <cell r="C1174" t="str">
            <v>UN</v>
          </cell>
          <cell r="D1174">
            <v>2.8348</v>
          </cell>
        </row>
        <row r="1175">
          <cell r="A1175" t="str">
            <v>001.18.00100</v>
          </cell>
          <cell r="B1175" t="str">
            <v>Fornecimento e instalação de tomada tipo rj45</v>
          </cell>
          <cell r="C1175" t="str">
            <v>UN</v>
          </cell>
          <cell r="D1175">
            <v>11.8522</v>
          </cell>
        </row>
        <row r="1176">
          <cell r="A1176" t="str">
            <v>001.18.00101</v>
          </cell>
          <cell r="B1176" t="str">
            <v>Fornecimento e Instalação de Bandeja  Normal 19''X1UX290 MM Bege ou Preto</v>
          </cell>
          <cell r="C1176" t="str">
            <v>un</v>
          </cell>
          <cell r="D1176">
            <v>62.450600000000001</v>
          </cell>
        </row>
        <row r="1177">
          <cell r="A1177" t="str">
            <v>001.18.00102</v>
          </cell>
          <cell r="B1177" t="str">
            <v>Certificação De Ponto</v>
          </cell>
          <cell r="C1177" t="str">
            <v>un</v>
          </cell>
          <cell r="D1177">
            <v>25</v>
          </cell>
        </row>
        <row r="1178">
          <cell r="A1178" t="str">
            <v>001.18.00103</v>
          </cell>
          <cell r="B1178" t="str">
            <v>Fornecimento e Instalação de Conector RJ45 Femea Cat. 5E - Bege ou Preto</v>
          </cell>
          <cell r="C1178" t="str">
            <v>un</v>
          </cell>
          <cell r="D1178">
            <v>20.0839</v>
          </cell>
        </row>
        <row r="1179">
          <cell r="A1179" t="str">
            <v>001.18.00104</v>
          </cell>
          <cell r="B1179" t="str">
            <v>Fornecimento e Instalação de Guia De Cabo Fechado Horizontal 1U Bege ou Preto</v>
          </cell>
          <cell r="C1179" t="str">
            <v>un</v>
          </cell>
          <cell r="D1179">
            <v>28.5502</v>
          </cell>
        </row>
        <row r="1180">
          <cell r="A1180" t="str">
            <v>001.18.00105</v>
          </cell>
          <cell r="B1180" t="str">
            <v>Fornecimento e Instalação de Kit De Identificação Elétrica Anilha + Fita</v>
          </cell>
          <cell r="C1180" t="str">
            <v>CJ</v>
          </cell>
          <cell r="D1180">
            <v>3.2063000000000001</v>
          </cell>
        </row>
        <row r="1181">
          <cell r="A1181" t="str">
            <v>001.18.00106</v>
          </cell>
          <cell r="B1181" t="str">
            <v>Fornecimento e Instalação de Kit De Identificação Lógica ( Anilha + Fita)</v>
          </cell>
          <cell r="C1181" t="str">
            <v>CJ</v>
          </cell>
          <cell r="D1181">
            <v>3.2063000000000001</v>
          </cell>
        </row>
        <row r="1182">
          <cell r="A1182" t="str">
            <v>001.18.00107</v>
          </cell>
          <cell r="B1182" t="str">
            <v>Fornecimento e Instalação de Painel Frontal 19''X1U Bege ou Preto</v>
          </cell>
          <cell r="C1182" t="str">
            <v>un</v>
          </cell>
          <cell r="D1182">
            <v>15.2102</v>
          </cell>
        </row>
        <row r="1183">
          <cell r="A1183" t="str">
            <v>001.18.00108</v>
          </cell>
          <cell r="B1183" t="str">
            <v>Fornecimento e Instalação de Patch Cord  CAT. 5E RIGIDO 2.5M C/ CAPA</v>
          </cell>
          <cell r="C1183" t="str">
            <v>un</v>
          </cell>
          <cell r="D1183">
            <v>11.6814</v>
          </cell>
        </row>
        <row r="1184">
          <cell r="A1184" t="str">
            <v>001.18.00109</v>
          </cell>
          <cell r="B1184" t="str">
            <v>Fornecimento e Instalação de Patch Cord Cat. 5E Flex. 1.5M  Azul S/ Capa</v>
          </cell>
          <cell r="C1184" t="str">
            <v>un</v>
          </cell>
          <cell r="D1184">
            <v>11.381399999999999</v>
          </cell>
        </row>
        <row r="1185">
          <cell r="A1185" t="str">
            <v>001.18.00110</v>
          </cell>
          <cell r="B1185" t="str">
            <v>Fornecimento e Instalação de Patch Painel 24 Portas Categoria 5E</v>
          </cell>
          <cell r="C1185" t="str">
            <v>un</v>
          </cell>
          <cell r="D1185">
            <v>518.56119999999999</v>
          </cell>
        </row>
        <row r="1186">
          <cell r="A1186" t="str">
            <v>001.18.00111</v>
          </cell>
          <cell r="B1186" t="str">
            <v>Fornecimento e Instalação de Porca Gaiola 5MM Fechado Com 02 Ventilador</v>
          </cell>
          <cell r="C1186" t="str">
            <v>un</v>
          </cell>
          <cell r="D1186">
            <v>1.9175</v>
          </cell>
        </row>
        <row r="1187">
          <cell r="A1187" t="str">
            <v>001.18.00112</v>
          </cell>
          <cell r="B1187" t="str">
            <v>Fornecimento e Instalação de Rack 19''X12UX550MM Fechado Com 02 Ventilador</v>
          </cell>
          <cell r="C1187" t="str">
            <v>un</v>
          </cell>
          <cell r="D1187">
            <v>857.90239999999994</v>
          </cell>
        </row>
        <row r="1188">
          <cell r="A1188" t="str">
            <v>001.18.00113</v>
          </cell>
          <cell r="B1188" t="str">
            <v>Fornecimento e Instalação de Régua 19'' Com 6 Tomadas 2P+T</v>
          </cell>
          <cell r="C1188" t="str">
            <v>un</v>
          </cell>
          <cell r="D1188">
            <v>87.990200000000002</v>
          </cell>
        </row>
        <row r="1189">
          <cell r="A1189" t="str">
            <v>001.18.00114</v>
          </cell>
          <cell r="B1189" t="str">
            <v>Fornecimento e Instalação de Switch 24P AT - FS724I 10/100</v>
          </cell>
          <cell r="C1189" t="str">
            <v>un</v>
          </cell>
          <cell r="D1189">
            <v>1089.0812000000001</v>
          </cell>
        </row>
        <row r="1190">
          <cell r="A1190" t="str">
            <v>001.18.00117</v>
          </cell>
          <cell r="B1190" t="str">
            <v>Fornecimento e Instalação de Tampa Encaixe  50 x 50 x 300 mm</v>
          </cell>
          <cell r="C1190" t="str">
            <v>br</v>
          </cell>
          <cell r="D1190">
            <v>10.8339</v>
          </cell>
        </row>
        <row r="1191">
          <cell r="A1191" t="str">
            <v>001.18.00118</v>
          </cell>
          <cell r="B1191" t="str">
            <v>Fornecimento e Instalação de Calha Lisa 50 x 50 x 300 mm Tipo U</v>
          </cell>
          <cell r="C1191" t="str">
            <v>br</v>
          </cell>
          <cell r="D1191">
            <v>43.610599999999998</v>
          </cell>
        </row>
        <row r="1192">
          <cell r="A1192" t="str">
            <v>001.18.00120</v>
          </cell>
          <cell r="B1192" t="str">
            <v>Fornecimento e Instalação de Tomada para Telefone tipo Telebrás de Embutir com espelho para caixa 4x2"", Linha Popular</v>
          </cell>
          <cell r="C1192" t="str">
            <v>CJ</v>
          </cell>
          <cell r="D1192">
            <v>6.2751000000000001</v>
          </cell>
        </row>
        <row r="1193">
          <cell r="A1193" t="str">
            <v>001.18.00121</v>
          </cell>
          <cell r="B1193" t="str">
            <v>Fornecimento e Instalação de Tomada para Telefone RJ 11 de Embutir com espelho para caixa 4x2"", Linha Popular</v>
          </cell>
          <cell r="C1193" t="str">
            <v>CJ</v>
          </cell>
          <cell r="D1193">
            <v>5.8350999999999997</v>
          </cell>
        </row>
        <row r="1194">
          <cell r="A1194" t="str">
            <v>001.18.00122</v>
          </cell>
          <cell r="B1194" t="str">
            <v>Fornecimento e Instalação de Tomada para Rede de Informática RJ 45 de Embutir com espelho para caixa 4x2"", Linha Popular</v>
          </cell>
          <cell r="C1194" t="str">
            <v>CJ</v>
          </cell>
          <cell r="D1194">
            <v>21.145099999999999</v>
          </cell>
        </row>
        <row r="1195">
          <cell r="A1195" t="str">
            <v>001.18.00123</v>
          </cell>
          <cell r="B1195" t="str">
            <v>Fornecimento e Instalação de Tomada para Rede de Informática com 2 RJ 45 de Embutir com espelho para caixa 4x4"", Linha Popular</v>
          </cell>
          <cell r="C1195" t="str">
            <v>CJ</v>
          </cell>
          <cell r="D1195">
            <v>2.8751000000000002</v>
          </cell>
        </row>
        <row r="1196">
          <cell r="A1196" t="str">
            <v>001.18.00124</v>
          </cell>
          <cell r="B1196" t="str">
            <v>Fornecimento e Instalação de Tomada para Telefone tipo Telebrás de Embutir para piso com espelho em latão para caixa 4x2""</v>
          </cell>
          <cell r="C1196" t="str">
            <v>CJ</v>
          </cell>
          <cell r="D1196">
            <v>18.145099999999999</v>
          </cell>
        </row>
        <row r="1197">
          <cell r="A1197" t="str">
            <v>001.18.00125</v>
          </cell>
          <cell r="B1197" t="str">
            <v>Fornecimento e Instalação de Tomada para Telefone RJ 11 de Embutir para piso com espelho em latão para caixa 4x2""</v>
          </cell>
          <cell r="C1197" t="str">
            <v>CJ</v>
          </cell>
          <cell r="D1197">
            <v>12.495100000000001</v>
          </cell>
        </row>
        <row r="1198">
          <cell r="A1198" t="str">
            <v>001.18.00127</v>
          </cell>
          <cell r="B1198" t="str">
            <v>Fornecimento e Instalação de Tomada para Rede de Informática RJ 45 de Embutir para piso com espelho para latão em caixa 4x2""</v>
          </cell>
          <cell r="C1198" t="str">
            <v>CJ</v>
          </cell>
          <cell r="D1198">
            <v>11.6251</v>
          </cell>
        </row>
        <row r="1199">
          <cell r="A1199" t="str">
            <v>001.18.00128</v>
          </cell>
          <cell r="B1199" t="str">
            <v>Fornecimento e Instalação de Tomada para Rede de Informática com 2 RJ 45 de Embutir para piso com espelho em latão para caixa 4x2""</v>
          </cell>
          <cell r="C1199" t="str">
            <v>CJ</v>
          </cell>
          <cell r="D1199">
            <v>8.1051000000000002</v>
          </cell>
        </row>
        <row r="1200">
          <cell r="A1200" t="str">
            <v>001.18.00201</v>
          </cell>
          <cell r="B1200" t="str">
            <v>Fornecimento e instalação de caixa metálica p/ telefone n.1 10.00x10.00x5.00 cm</v>
          </cell>
          <cell r="C1200" t="str">
            <v>UN</v>
          </cell>
          <cell r="D1200">
            <v>1.726</v>
          </cell>
        </row>
        <row r="1201">
          <cell r="A1201" t="str">
            <v>001.18.00221</v>
          </cell>
          <cell r="B1201" t="str">
            <v>Fornecimento e instalação de caixa metálica p/ telefone n.2 20.00x20.00x12.00 cm</v>
          </cell>
          <cell r="C1201" t="str">
            <v>UN</v>
          </cell>
          <cell r="D1201">
            <v>32.087400000000002</v>
          </cell>
        </row>
        <row r="1202">
          <cell r="A1202" t="str">
            <v>001.18.00241</v>
          </cell>
          <cell r="B1202" t="str">
            <v>Fornecimento e instalação de caixa metálica p/ telefone n.3 40.00x40.00x12.00 cm</v>
          </cell>
          <cell r="C1202" t="str">
            <v>UN</v>
          </cell>
          <cell r="D1202">
            <v>65.377799999999993</v>
          </cell>
        </row>
        <row r="1203">
          <cell r="A1203" t="str">
            <v>001.18.00261</v>
          </cell>
          <cell r="B1203" t="str">
            <v>Fornecimento e instalação de caixa metálica p/ telefone n.4 60.00x60.00x12.00 cm</v>
          </cell>
          <cell r="C1203" t="str">
            <v>UN</v>
          </cell>
          <cell r="D1203">
            <v>113.2948</v>
          </cell>
        </row>
        <row r="1204">
          <cell r="A1204" t="str">
            <v>001.18.00281</v>
          </cell>
          <cell r="B1204" t="str">
            <v>Fornecimento e instalação de caixa metálica p/ telefone n.5 80.00x80.00x12.00 cm</v>
          </cell>
          <cell r="C1204" t="str">
            <v>UN</v>
          </cell>
          <cell r="D1204">
            <v>198.24379999999999</v>
          </cell>
        </row>
        <row r="1205">
          <cell r="A1205" t="str">
            <v>001.18.00301</v>
          </cell>
          <cell r="B1205" t="str">
            <v>Fornecimento e instalação de caixa metálica p/ telefone n.6 120.00x120.00x12.00 cm</v>
          </cell>
          <cell r="C1205" t="str">
            <v>UN</v>
          </cell>
          <cell r="D1205">
            <v>399.90559999999999</v>
          </cell>
        </row>
        <row r="1206">
          <cell r="A1206" t="str">
            <v>001.18.00321</v>
          </cell>
          <cell r="B1206" t="str">
            <v>Execução de caixa de entrada em alvenaria c/ tampa metálica conf. padrão telemat r1 (60x35x50)cm</v>
          </cell>
          <cell r="C1206" t="str">
            <v>UN</v>
          </cell>
          <cell r="D1206">
            <v>0</v>
          </cell>
        </row>
        <row r="1207">
          <cell r="A1207" t="str">
            <v>001.18.00341</v>
          </cell>
          <cell r="B1207" t="str">
            <v>Execução de caixa de entrada em alvenaria c/ tampa metálica conf. padrão telemat r2 (107x52x50) cm</v>
          </cell>
          <cell r="C1207" t="str">
            <v>UN</v>
          </cell>
          <cell r="D1207">
            <v>0</v>
          </cell>
        </row>
        <row r="1208">
          <cell r="A1208" t="str">
            <v>001.19</v>
          </cell>
          <cell r="B1208" t="str">
            <v>INSTALAÇÕES ELÉTRICAS - PREVENÇÃO CONTRA DESCARGAS ATMOSFÉRICAS E INCÊNDIO</v>
          </cell>
          <cell r="D1208">
            <v>3654.4434999999999</v>
          </cell>
        </row>
        <row r="1209">
          <cell r="A1209" t="str">
            <v>001.19.00120</v>
          </cell>
          <cell r="B1209" t="str">
            <v>Fornecimento e Instalação de Cabo de cobre nú seção 10.00 mm2</v>
          </cell>
          <cell r="C1209" t="str">
            <v>ml</v>
          </cell>
          <cell r="D1209">
            <v>4.0815000000000001</v>
          </cell>
        </row>
        <row r="1210">
          <cell r="A1210" t="str">
            <v>001.19.00140</v>
          </cell>
          <cell r="B1210" t="str">
            <v>Fornecimento e Instalação de Cabo de cobre nú seção 16.00 mm2</v>
          </cell>
          <cell r="C1210" t="str">
            <v>ml</v>
          </cell>
          <cell r="D1210">
            <v>6.4927000000000001</v>
          </cell>
        </row>
        <row r="1211">
          <cell r="A1211" t="str">
            <v>001.19.00160</v>
          </cell>
          <cell r="B1211" t="str">
            <v>Fornecimento e Instalação de Cabo de cobre nú seção 25.00 mm2</v>
          </cell>
          <cell r="C1211" t="str">
            <v>ml</v>
          </cell>
          <cell r="D1211">
            <v>6.4927000000000001</v>
          </cell>
        </row>
        <row r="1212">
          <cell r="A1212" t="str">
            <v>001.19.00165</v>
          </cell>
          <cell r="B1212" t="str">
            <v>Fornecimento e Instalação de Cabo de cobre nú seção 35.00 mm2</v>
          </cell>
          <cell r="C1212" t="str">
            <v>ml</v>
          </cell>
          <cell r="D1212">
            <v>8.6486999999999998</v>
          </cell>
        </row>
        <row r="1213">
          <cell r="A1213" t="str">
            <v>001.19.00166</v>
          </cell>
          <cell r="B1213" t="str">
            <v>Fornecimento e Instalação de Cabo de cobre nú seção 50.00 mm2</v>
          </cell>
          <cell r="C1213" t="str">
            <v>ml</v>
          </cell>
          <cell r="D1213">
            <v>13.034700000000001</v>
          </cell>
        </row>
        <row r="1214">
          <cell r="A1214" t="str">
            <v>001.19.00170</v>
          </cell>
          <cell r="B1214" t="str">
            <v>Fornecimento e Instalação de Cabo de cobre nú seção 70.00 mm2</v>
          </cell>
          <cell r="C1214" t="str">
            <v>ml</v>
          </cell>
          <cell r="D1214">
            <v>16.818899999999999</v>
          </cell>
        </row>
        <row r="1215">
          <cell r="A1215" t="str">
            <v>001.19.00180</v>
          </cell>
          <cell r="B1215" t="str">
            <v>Fornecimento e Instalação de Cabo de cobre nú seção 95.00 mm2</v>
          </cell>
          <cell r="C1215" t="str">
            <v>ml</v>
          </cell>
          <cell r="D1215">
            <v>22.8918</v>
          </cell>
        </row>
        <row r="1216">
          <cell r="A1216" t="str">
            <v>001.19.01200</v>
          </cell>
          <cell r="B1216" t="str">
            <v>Fornecimento e Instalação de Relee fotoelétrico para comando automático de iluminação 110V/220V, incl. Base</v>
          </cell>
          <cell r="C1216" t="str">
            <v>un</v>
          </cell>
          <cell r="D1216">
            <v>23.947700000000001</v>
          </cell>
        </row>
        <row r="1217">
          <cell r="A1217" t="str">
            <v>001.19.01300</v>
          </cell>
          <cell r="B1217" t="str">
            <v>Execução de caixa de concreto 40x40x60cm com tampa de concreto armado</v>
          </cell>
          <cell r="C1217" t="str">
            <v>UN</v>
          </cell>
          <cell r="D1217">
            <v>49.377099999999999</v>
          </cell>
        </row>
        <row r="1218">
          <cell r="A1218" t="str">
            <v>001.19.01340</v>
          </cell>
          <cell r="B1218" t="str">
            <v>Fornecimento e Instalação de Solda Exotérmica 25</v>
          </cell>
          <cell r="C1218" t="str">
            <v>un</v>
          </cell>
          <cell r="D1218">
            <v>6.7877000000000001</v>
          </cell>
        </row>
        <row r="1219">
          <cell r="A1219" t="str">
            <v>001.19.01360</v>
          </cell>
          <cell r="B1219" t="str">
            <v>Fornecimento e Instalação de Solda Exotérmica 32</v>
          </cell>
          <cell r="C1219" t="str">
            <v>un</v>
          </cell>
          <cell r="D1219">
            <v>7.3876999999999997</v>
          </cell>
        </row>
        <row r="1220">
          <cell r="A1220" t="str">
            <v>001.19.01380</v>
          </cell>
          <cell r="B1220" t="str">
            <v>Fornecimento e Instalação de Solda Exotérmica 45</v>
          </cell>
          <cell r="C1220" t="str">
            <v>un</v>
          </cell>
          <cell r="D1220">
            <v>7.7877000000000001</v>
          </cell>
        </row>
        <row r="1221">
          <cell r="A1221" t="str">
            <v>001.19.01400</v>
          </cell>
          <cell r="B1221" t="str">
            <v>Fornecimento e Instalação de Solda Exotérmica 65</v>
          </cell>
          <cell r="C1221" t="str">
            <v>un</v>
          </cell>
          <cell r="D1221">
            <v>8.1876999999999995</v>
          </cell>
        </row>
        <row r="1222">
          <cell r="A1222" t="str">
            <v>001.19.01420</v>
          </cell>
          <cell r="B1222" t="str">
            <v>Fornecimento e Instalação de Solda Exotérmica 90</v>
          </cell>
          <cell r="C1222" t="str">
            <v>un</v>
          </cell>
          <cell r="D1222">
            <v>9.2876999999999992</v>
          </cell>
        </row>
        <row r="1223">
          <cell r="A1223" t="str">
            <v>001.19.01440</v>
          </cell>
          <cell r="B1223" t="str">
            <v>Fornecimento e Instalação de Solda Exotérmica 115</v>
          </cell>
          <cell r="C1223" t="str">
            <v>un</v>
          </cell>
          <cell r="D1223">
            <v>10.1877</v>
          </cell>
        </row>
        <row r="1224">
          <cell r="A1224" t="str">
            <v>001.19.01460</v>
          </cell>
          <cell r="B1224" t="str">
            <v>Fornecimento e Instalação de Solda Exotérmica 150</v>
          </cell>
          <cell r="C1224" t="str">
            <v>un</v>
          </cell>
          <cell r="D1224">
            <v>11.387700000000001</v>
          </cell>
        </row>
        <row r="1225">
          <cell r="A1225" t="str">
            <v>001.19.01480</v>
          </cell>
          <cell r="B1225" t="str">
            <v>Fornecimento e Instalação de Solda Exotérmica 200</v>
          </cell>
          <cell r="C1225" t="str">
            <v>un</v>
          </cell>
          <cell r="D1225">
            <v>13.0877</v>
          </cell>
        </row>
        <row r="1226">
          <cell r="A1226" t="str">
            <v>001.19.02000</v>
          </cell>
          <cell r="B1226" t="str">
            <v>Fornecimento E Instalação De Captor Tipo Franklin - Latão Niquelado De 300mm 1 Descida</v>
          </cell>
          <cell r="C1226" t="str">
            <v>un</v>
          </cell>
          <cell r="D1226">
            <v>28.450199999999999</v>
          </cell>
        </row>
        <row r="1227">
          <cell r="A1227" t="str">
            <v>001.19.02020</v>
          </cell>
          <cell r="B1227" t="str">
            <v>Fornecimento E Instalação De Captor Tipo Franklin - Latão Niquelado De 350mm 1 Descida</v>
          </cell>
          <cell r="C1227" t="str">
            <v>un</v>
          </cell>
          <cell r="D1227">
            <v>53.720199999999998</v>
          </cell>
        </row>
        <row r="1228">
          <cell r="A1228" t="str">
            <v>001.19.02040</v>
          </cell>
          <cell r="B1228" t="str">
            <v>Fornecimento E Instalação De Captor Tipo Franklin - Latão Niquelado De 300 Mm 2 Descidas</v>
          </cell>
          <cell r="C1228" t="str">
            <v>un</v>
          </cell>
          <cell r="D1228">
            <v>36.970199999999998</v>
          </cell>
        </row>
        <row r="1229">
          <cell r="A1229" t="str">
            <v>001.19.02060</v>
          </cell>
          <cell r="B1229" t="str">
            <v>Fornecimento E Instalação De Captor Tipo Franklin - Latão Niquelado De 350 Mm 2 Descidas</v>
          </cell>
          <cell r="C1229" t="str">
            <v>un</v>
          </cell>
          <cell r="D1229">
            <v>57.190199999999997</v>
          </cell>
        </row>
        <row r="1230">
          <cell r="A1230" t="str">
            <v>001.19.02080</v>
          </cell>
          <cell r="B1230" t="str">
            <v>Fornecimento E Instalação De Captor Tipo Franklin - Inox De 300 Mm 1 Descida</v>
          </cell>
          <cell r="C1230" t="str">
            <v>un</v>
          </cell>
          <cell r="D1230">
            <v>85.720200000000006</v>
          </cell>
        </row>
        <row r="1231">
          <cell r="A1231" t="str">
            <v>001.19.02100</v>
          </cell>
          <cell r="B1231" t="str">
            <v>Fornecimento E Instalação De Captor Tipo Franklin - Inox De 300 Mm 2 Descidas</v>
          </cell>
          <cell r="C1231" t="str">
            <v>un</v>
          </cell>
          <cell r="D1231">
            <v>97.920199999999994</v>
          </cell>
        </row>
        <row r="1232">
          <cell r="A1232" t="str">
            <v>001.19.02120</v>
          </cell>
          <cell r="B1232" t="str">
            <v>Fornecimento E Instalação De Terminais Aéreos - Fixação Horizontal De 300 Mm S/ Abraçadeira</v>
          </cell>
          <cell r="C1232" t="str">
            <v>un</v>
          </cell>
          <cell r="D1232">
            <v>6.8788999999999998</v>
          </cell>
        </row>
        <row r="1233">
          <cell r="A1233" t="str">
            <v>001.19.02140</v>
          </cell>
          <cell r="B1233" t="str">
            <v>Fornecimento E Instalação De Terminais Aéreos - Fixação Horizontal De 300 Mm C/ Abraçadeira</v>
          </cell>
          <cell r="C1233" t="str">
            <v>un</v>
          </cell>
          <cell r="D1233">
            <v>7.9889000000000001</v>
          </cell>
        </row>
        <row r="1234">
          <cell r="A1234" t="str">
            <v>001.19.02160</v>
          </cell>
          <cell r="B1234" t="str">
            <v>Fornecimento E Instalação De Terminais Aéreos - Fixação Horizontal De 600 Mm S/ Abraçadeira</v>
          </cell>
          <cell r="C1234" t="str">
            <v>un</v>
          </cell>
          <cell r="D1234">
            <v>8.0488999999999997</v>
          </cell>
        </row>
        <row r="1235">
          <cell r="A1235" t="str">
            <v>001.19.02180</v>
          </cell>
          <cell r="B1235" t="str">
            <v>Fornecimento e Instalação de Terminais aéreos - Fixação Horizontal de 600 mm C/ Abraçadeira</v>
          </cell>
          <cell r="C1235" t="str">
            <v>un</v>
          </cell>
          <cell r="D1235">
            <v>9.1288999999999998</v>
          </cell>
        </row>
        <row r="1236">
          <cell r="A1236" t="str">
            <v>001.19.02200</v>
          </cell>
          <cell r="B1236" t="str">
            <v>Fornecimento E Instalação De Terminais Aéreos - Fixação Vertical De 300 Mm S/ Abraçadeira</v>
          </cell>
          <cell r="C1236" t="str">
            <v>un</v>
          </cell>
          <cell r="D1236">
            <v>6.8788999999999998</v>
          </cell>
        </row>
        <row r="1237">
          <cell r="A1237" t="str">
            <v>001.19.02220</v>
          </cell>
          <cell r="B1237" t="str">
            <v>Fornecimento e Instalação de Terminais Aéreos -Fixação Vertical de 300 mm C/ Abraçadeira</v>
          </cell>
          <cell r="C1237" t="str">
            <v>un</v>
          </cell>
          <cell r="D1237">
            <v>7.9889000000000001</v>
          </cell>
        </row>
        <row r="1238">
          <cell r="A1238" t="str">
            <v>001.19.02240</v>
          </cell>
          <cell r="B1238" t="str">
            <v>Fornecimento E Instalação De Terminais Aéreos - Fixação Vertical De 600 Mm S/ Abraçadeira</v>
          </cell>
          <cell r="C1238" t="str">
            <v>un</v>
          </cell>
          <cell r="D1238">
            <v>8.0488999999999997</v>
          </cell>
        </row>
        <row r="1239">
          <cell r="A1239" t="str">
            <v>001.19.02260</v>
          </cell>
          <cell r="B1239" t="str">
            <v>Fornecimento E Instalação De Treminais Aéreos - Fixação Vertical De 600 Mm C/ Abraçadeira</v>
          </cell>
          <cell r="C1239" t="str">
            <v>un</v>
          </cell>
          <cell r="D1239">
            <v>9.1288999999999998</v>
          </cell>
        </row>
        <row r="1240">
          <cell r="A1240" t="str">
            <v>001.19.02280</v>
          </cell>
          <cell r="B1240" t="str">
            <v>Fornecimento E Instalção De Isolador De Uso Geral - Fixação Horizontal Simples</v>
          </cell>
          <cell r="C1240" t="str">
            <v>un</v>
          </cell>
          <cell r="D1240">
            <v>5.5701000000000001</v>
          </cell>
        </row>
        <row r="1241">
          <cell r="A1241" t="str">
            <v>001.19.02300</v>
          </cell>
          <cell r="B1241" t="str">
            <v>Fornecimento E Instalação De Isolador De Uso Geral - Fixação Horizontal Simples C/ 100 Mm</v>
          </cell>
          <cell r="C1241" t="str">
            <v>un</v>
          </cell>
          <cell r="D1241">
            <v>4.7500999999999998</v>
          </cell>
        </row>
        <row r="1242">
          <cell r="A1242" t="str">
            <v>001.19.02320</v>
          </cell>
          <cell r="B1242" t="str">
            <v>Fornecimento E Instalação De Isolador De Uso Geral - Fixação Horizontal Reforçado</v>
          </cell>
          <cell r="C1242" t="str">
            <v>un</v>
          </cell>
          <cell r="D1242">
            <v>5.3101000000000003</v>
          </cell>
        </row>
        <row r="1243">
          <cell r="A1243" t="str">
            <v>001.19.02340</v>
          </cell>
          <cell r="B1243" t="str">
            <v>Fornecimento E Instalação De Isolador De Uso Geral - Fixação Horizontal  Reforçado C/ 100 Mm</v>
          </cell>
          <cell r="C1243" t="str">
            <v>un</v>
          </cell>
          <cell r="D1243">
            <v>6.4100999999999999</v>
          </cell>
        </row>
        <row r="1244">
          <cell r="A1244" t="str">
            <v>001.19.02360</v>
          </cell>
          <cell r="B1244" t="str">
            <v>Fornecimento e Instalação de Isolador de Uso Geral - Fixação em 90º Reforçado 90º</v>
          </cell>
          <cell r="C1244" t="str">
            <v>un</v>
          </cell>
          <cell r="D1244">
            <v>9.4100999999999999</v>
          </cell>
        </row>
        <row r="1245">
          <cell r="A1245" t="str">
            <v>001.19.02380</v>
          </cell>
          <cell r="B1245" t="str">
            <v>Fornecimento E Instalação De Isolador De Uso Geral - Fixação Em 90º Reforçado 90º C/ 100 Mm</v>
          </cell>
          <cell r="C1245" t="str">
            <v>un</v>
          </cell>
          <cell r="D1245">
            <v>9.4100999999999999</v>
          </cell>
        </row>
        <row r="1246">
          <cell r="A1246" t="str">
            <v>001.19.02400</v>
          </cell>
          <cell r="B1246" t="str">
            <v>Fornecimento E Instalação De Mastro H De 2,00 M X 1. 1/2''</v>
          </cell>
          <cell r="C1246" t="str">
            <v>un</v>
          </cell>
          <cell r="D1246">
            <v>45.065199999999997</v>
          </cell>
        </row>
        <row r="1247">
          <cell r="A1247" t="str">
            <v>001.19.02420</v>
          </cell>
          <cell r="B1247" t="str">
            <v>Fornecimento E Instalação De Mastro H De 3,00m X 1. 1/2''</v>
          </cell>
          <cell r="C1247" t="str">
            <v>un</v>
          </cell>
          <cell r="D1247">
            <v>64.845200000000006</v>
          </cell>
        </row>
        <row r="1248">
          <cell r="A1248" t="str">
            <v>001.19.02440</v>
          </cell>
          <cell r="B1248" t="str">
            <v>Fornecimento E Instalação De Mastro H De 4,00 M X 1. 1/2''</v>
          </cell>
          <cell r="C1248" t="str">
            <v>un</v>
          </cell>
          <cell r="D1248">
            <v>88.975200000000001</v>
          </cell>
        </row>
        <row r="1249">
          <cell r="A1249" t="str">
            <v>001.19.02460</v>
          </cell>
          <cell r="B1249" t="str">
            <v>Fornecimento E Instalação de Mastro H de 5,00 m x 1. 1/2''</v>
          </cell>
          <cell r="C1249" t="str">
            <v>un</v>
          </cell>
          <cell r="D1249">
            <v>104.4252</v>
          </cell>
        </row>
        <row r="1250">
          <cell r="A1250" t="str">
            <v>001.19.02480</v>
          </cell>
          <cell r="B1250" t="str">
            <v>Fornecimento E Instalação De Mastro H De 6,00 M X 1. 1/2''</v>
          </cell>
          <cell r="C1250" t="str">
            <v>un</v>
          </cell>
          <cell r="D1250">
            <v>124.0752</v>
          </cell>
        </row>
        <row r="1251">
          <cell r="A1251" t="str">
            <v>001.19.02500</v>
          </cell>
          <cell r="B1251" t="str">
            <v>Fornecimento E Instalação De Mastro H De 2,00 M X 2''</v>
          </cell>
          <cell r="C1251" t="str">
            <v>un</v>
          </cell>
          <cell r="D1251">
            <v>54.0152</v>
          </cell>
        </row>
        <row r="1252">
          <cell r="A1252" t="str">
            <v>001.19.02520</v>
          </cell>
          <cell r="B1252" t="str">
            <v>Fornecimento E Instalação De Mastro H De 3,00 M X 2''</v>
          </cell>
          <cell r="C1252" t="str">
            <v>un</v>
          </cell>
          <cell r="D1252">
            <v>77.845200000000006</v>
          </cell>
        </row>
        <row r="1253">
          <cell r="A1253" t="str">
            <v>001.19.02540</v>
          </cell>
          <cell r="B1253" t="str">
            <v>Fornecimento E Instalação De Masto H De 4,00 M X 2''</v>
          </cell>
          <cell r="C1253" t="str">
            <v>un</v>
          </cell>
          <cell r="D1253">
            <v>103.5652</v>
          </cell>
        </row>
        <row r="1254">
          <cell r="A1254" t="str">
            <v>001.19.02560</v>
          </cell>
          <cell r="B1254" t="str">
            <v>Fornecimento E Instalação De Mastro H De 5,00 M X 2''</v>
          </cell>
          <cell r="C1254" t="str">
            <v>un</v>
          </cell>
          <cell r="D1254">
            <v>126.23520000000001</v>
          </cell>
        </row>
        <row r="1255">
          <cell r="A1255" t="str">
            <v>001.19.02580</v>
          </cell>
          <cell r="B1255" t="str">
            <v>Fornecimento E Instalação De Mastro H De 6,00 M X 2''</v>
          </cell>
          <cell r="C1255" t="str">
            <v>un</v>
          </cell>
          <cell r="D1255">
            <v>150.0752</v>
          </cell>
        </row>
        <row r="1256">
          <cell r="A1256" t="str">
            <v>001.19.02600</v>
          </cell>
          <cell r="B1256" t="str">
            <v>Fornecimento E Instalação De Mastro Telescópico H De 5,00 M X 1. 1/2'' E 2''</v>
          </cell>
          <cell r="C1256" t="str">
            <v>un</v>
          </cell>
          <cell r="D1256">
            <v>159.3152</v>
          </cell>
        </row>
        <row r="1257">
          <cell r="A1257" t="str">
            <v>001.19.02620</v>
          </cell>
          <cell r="B1257" t="str">
            <v>Fornecimento E Instalação De Mastro Telescópico H De 7,00 M X 1. 1/2'' E 2''</v>
          </cell>
          <cell r="C1257" t="str">
            <v>un</v>
          </cell>
          <cell r="D1257">
            <v>220.84520000000001</v>
          </cell>
        </row>
        <row r="1258">
          <cell r="A1258" t="str">
            <v>001.19.02640</v>
          </cell>
          <cell r="B1258" t="str">
            <v>Fornecimento E Instalação De Mastro Telescópico H De 9,00 M X 1. 1/2'' E 2''</v>
          </cell>
          <cell r="C1258" t="str">
            <v>un</v>
          </cell>
          <cell r="D1258">
            <v>281.51519999999999</v>
          </cell>
        </row>
        <row r="1259">
          <cell r="A1259" t="str">
            <v>001.19.02660</v>
          </cell>
          <cell r="B1259" t="str">
            <v>Fornecimento E Instalação De Isolador P/ Mastro - Simples 1 Descida De 3/4''</v>
          </cell>
          <cell r="C1259" t="str">
            <v>un</v>
          </cell>
          <cell r="D1259">
            <v>6.6101000000000001</v>
          </cell>
        </row>
        <row r="1260">
          <cell r="A1260" t="str">
            <v>001.19.02680</v>
          </cell>
          <cell r="B1260" t="str">
            <v>Fornecimento E Instalação De Isolador P/ Mastro - Simples 1 Descida De 1''</v>
          </cell>
          <cell r="C1260" t="str">
            <v>un</v>
          </cell>
          <cell r="D1260">
            <v>6.7401</v>
          </cell>
        </row>
        <row r="1261">
          <cell r="A1261" t="str">
            <v>001.19.02700</v>
          </cell>
          <cell r="B1261" t="str">
            <v>Fornecimento E Instalação De Isolador P/ Mastro - Simples 1 Descida De 1. 1/4''</v>
          </cell>
          <cell r="C1261" t="str">
            <v>un</v>
          </cell>
          <cell r="D1261">
            <v>7.2201000000000004</v>
          </cell>
        </row>
        <row r="1262">
          <cell r="A1262" t="str">
            <v>001.19.02720</v>
          </cell>
          <cell r="B1262" t="str">
            <v>Fornecimento E Instalação De Isolador P/ Mastro - Simples 1 Descida De 1. 1/2''</v>
          </cell>
          <cell r="C1262" t="str">
            <v>un</v>
          </cell>
          <cell r="D1262">
            <v>7.3601000000000001</v>
          </cell>
        </row>
        <row r="1263">
          <cell r="A1263" t="str">
            <v>001.19.02740</v>
          </cell>
          <cell r="B1263" t="str">
            <v>Fornecimento E Instalação De Isolador P/ Mastro - Simples 1 Descida De 2''</v>
          </cell>
          <cell r="C1263" t="str">
            <v>un</v>
          </cell>
          <cell r="D1263">
            <v>7.5900999999999996</v>
          </cell>
        </row>
        <row r="1264">
          <cell r="A1264" t="str">
            <v>001.19.02760</v>
          </cell>
          <cell r="B1264" t="str">
            <v>Fornecimento E Instalação De Isolador P/ Mastro - Simples 2 Descidas De 3/4''</v>
          </cell>
          <cell r="C1264" t="str">
            <v>un</v>
          </cell>
          <cell r="D1264">
            <v>7.1300999999999997</v>
          </cell>
        </row>
        <row r="1265">
          <cell r="A1265" t="str">
            <v>001.19.02780</v>
          </cell>
          <cell r="B1265" t="str">
            <v>Fornecimento E Instalação De Isolador P/ Mastro - Simples 2 Descidas De 1''</v>
          </cell>
          <cell r="C1265" t="str">
            <v>un</v>
          </cell>
          <cell r="D1265">
            <v>7.2900999999999998</v>
          </cell>
        </row>
        <row r="1266">
          <cell r="A1266" t="str">
            <v>001.19.02800</v>
          </cell>
          <cell r="B1266" t="str">
            <v>Fornecimento E Instalação De Isolador P/ Mastro - Simples 2 Descidas De 1. 1/4''</v>
          </cell>
          <cell r="C1266" t="str">
            <v>un</v>
          </cell>
          <cell r="D1266">
            <v>7.9100999999999999</v>
          </cell>
        </row>
        <row r="1267">
          <cell r="A1267" t="str">
            <v>001.19.02820</v>
          </cell>
          <cell r="B1267" t="str">
            <v>Fornecimento E Instalação De Isolador P/ Mastro - Simples 2 Descidas De 1. 1/2''</v>
          </cell>
          <cell r="C1267" t="str">
            <v>un</v>
          </cell>
          <cell r="D1267">
            <v>8.4300999999999995</v>
          </cell>
        </row>
        <row r="1268">
          <cell r="A1268" t="str">
            <v>001.19.02840</v>
          </cell>
          <cell r="B1268" t="str">
            <v>Fornecimento E Instalação De Isolador P/ Mastro - Simples 2 Descidas De 2''</v>
          </cell>
          <cell r="C1268" t="str">
            <v>un</v>
          </cell>
          <cell r="D1268">
            <v>8.7500999999999998</v>
          </cell>
        </row>
        <row r="1269">
          <cell r="A1269" t="str">
            <v>001.19.02860</v>
          </cell>
          <cell r="B1269" t="str">
            <v>Fornecimento E Instalação De Isolador P/ Mastro - Reforçado 1 Descida De 3/4''</v>
          </cell>
          <cell r="C1269" t="str">
            <v>un</v>
          </cell>
          <cell r="D1269">
            <v>8.5900999999999996</v>
          </cell>
        </row>
        <row r="1270">
          <cell r="A1270" t="str">
            <v>001.19.02880</v>
          </cell>
          <cell r="B1270" t="str">
            <v>Fornecimento E Instalação De Isolador P/ Mastro - Reforçado 1 Descida De 1''</v>
          </cell>
          <cell r="C1270" t="str">
            <v>un</v>
          </cell>
          <cell r="D1270">
            <v>8.5900999999999996</v>
          </cell>
        </row>
        <row r="1271">
          <cell r="A1271" t="str">
            <v>001.19.02900</v>
          </cell>
          <cell r="B1271" t="str">
            <v>Fornecimento E Instalação De Isolador P/ Mastro - Reforçado 1 Descida De 1. 1/4''</v>
          </cell>
          <cell r="C1271" t="str">
            <v>un</v>
          </cell>
          <cell r="D1271">
            <v>9.0100999999999996</v>
          </cell>
        </row>
        <row r="1272">
          <cell r="A1272" t="str">
            <v>001.19.02920</v>
          </cell>
          <cell r="B1272" t="str">
            <v>Fornecimento E Instalação De Isolador P/ Mastro - Reforçado 1 Descida De 1. 1/2''</v>
          </cell>
          <cell r="C1272" t="str">
            <v>un</v>
          </cell>
          <cell r="D1272">
            <v>9.7500999999999998</v>
          </cell>
        </row>
        <row r="1273">
          <cell r="A1273" t="str">
            <v>001.19.02940</v>
          </cell>
          <cell r="B1273" t="str">
            <v>Fornecimento E Instalação De Isolador P/ Mastro - Reforçado 1 Descida De 2''</v>
          </cell>
          <cell r="C1273" t="str">
            <v>un</v>
          </cell>
          <cell r="D1273">
            <v>10.4001</v>
          </cell>
        </row>
        <row r="1274">
          <cell r="A1274" t="str">
            <v>001.19.02960</v>
          </cell>
          <cell r="B1274" t="str">
            <v>Fornecimento E Instalação De Isolador P/ Mastro - Reforçado 2 Descidas De 3/4''</v>
          </cell>
          <cell r="C1274" t="str">
            <v>un</v>
          </cell>
          <cell r="D1274">
            <v>9.5300999999999991</v>
          </cell>
        </row>
        <row r="1275">
          <cell r="A1275" t="str">
            <v>001.19.02980</v>
          </cell>
          <cell r="B1275" t="str">
            <v>Fornecimento E Instalação De Isolador P/ Mastro - Reforçado 2 Descidas De 1''</v>
          </cell>
          <cell r="C1275" t="str">
            <v>un</v>
          </cell>
          <cell r="D1275">
            <v>9.5300999999999991</v>
          </cell>
        </row>
        <row r="1276">
          <cell r="A1276" t="str">
            <v>001.19.03000</v>
          </cell>
          <cell r="B1276" t="str">
            <v>Fornecimento E Instalação De Isolador P/ Mastro - Reforçado 2 Descidas De 1. 1/4''</v>
          </cell>
          <cell r="C1276" t="str">
            <v>un</v>
          </cell>
          <cell r="D1276">
            <v>9.7301000000000002</v>
          </cell>
        </row>
        <row r="1277">
          <cell r="A1277" t="str">
            <v>001.19.03020</v>
          </cell>
          <cell r="B1277" t="str">
            <v>Fornecimento E Instalação De Isolador P/ Mastro - Reforçado 2 Descidas De 1. 1/2''</v>
          </cell>
          <cell r="C1277" t="str">
            <v>un</v>
          </cell>
          <cell r="D1277">
            <v>10.2201</v>
          </cell>
        </row>
        <row r="1278">
          <cell r="A1278" t="str">
            <v>001.19.03040</v>
          </cell>
          <cell r="B1278" t="str">
            <v>Fornecimento E Instalação De Isolador P/ Mastro - Reforçado 2 Descidas De 2''</v>
          </cell>
          <cell r="C1278" t="str">
            <v>un</v>
          </cell>
          <cell r="D1278">
            <v>10.690099999999999</v>
          </cell>
        </row>
        <row r="1279">
          <cell r="A1279" t="str">
            <v>001.19.03060</v>
          </cell>
          <cell r="B1279" t="str">
            <v>Fornecimento E Instalação De Fixadores P/ Mastro - Base P/ Mastro H De 1. ¹/²''</v>
          </cell>
          <cell r="C1279" t="str">
            <v>un</v>
          </cell>
          <cell r="D1279">
            <v>34.003</v>
          </cell>
        </row>
        <row r="1280">
          <cell r="A1280" t="str">
            <v>001.19.03080</v>
          </cell>
          <cell r="B1280" t="str">
            <v>Fornecimento E Instalação De Fixadores P/ Mastro - Base P/ Mastro H De 2''</v>
          </cell>
          <cell r="C1280" t="str">
            <v>un</v>
          </cell>
          <cell r="D1280">
            <v>34.863</v>
          </cell>
        </row>
        <row r="1281">
          <cell r="A1281" t="str">
            <v>001.19.03100</v>
          </cell>
          <cell r="B1281" t="str">
            <v>Fornecimento E Instalação De Conectores De Uso Geral - Emenda E Medição P/ Cabo Até Ø50mm² 2P</v>
          </cell>
          <cell r="C1281" t="str">
            <v>un</v>
          </cell>
          <cell r="D1281">
            <v>9.5326000000000004</v>
          </cell>
        </row>
        <row r="1282">
          <cell r="A1282" t="str">
            <v>001.19.03120</v>
          </cell>
          <cell r="B1282" t="str">
            <v>Fornecimento E Instalação De Conectores De Uso Geral - Emenda E Medição P/ Cabo Até Ø120mm² 2P</v>
          </cell>
          <cell r="C1282" t="str">
            <v>un</v>
          </cell>
          <cell r="D1282">
            <v>13.8826</v>
          </cell>
        </row>
        <row r="1283">
          <cell r="A1283" t="str">
            <v>001.19.03140</v>
          </cell>
          <cell r="B1283" t="str">
            <v>Fornecimento E Instalação De Conector De Uso Geral - Emenda E Medição P/ Cabo Até  Ø50mm² 4P</v>
          </cell>
          <cell r="C1283" t="str">
            <v>un</v>
          </cell>
          <cell r="D1283">
            <v>16.772600000000001</v>
          </cell>
        </row>
        <row r="1284">
          <cell r="A1284" t="str">
            <v>001.19.03160</v>
          </cell>
          <cell r="B1284" t="str">
            <v>Fornecimento E Instalação De Conector De Uso Geral - Emenda E Medição P/ Cabo Até Ø 120 Mm² 4P</v>
          </cell>
          <cell r="C1284" t="str">
            <v>un</v>
          </cell>
          <cell r="D1284">
            <v>23.7926</v>
          </cell>
        </row>
        <row r="1285">
          <cell r="A1285" t="str">
            <v>001.19.03180</v>
          </cell>
          <cell r="B1285" t="str">
            <v>Fornecimento E Instalação De Conector De Uso Geral - Split Bolt P/ Cabo Ø 16mm²</v>
          </cell>
          <cell r="C1285" t="str">
            <v>un</v>
          </cell>
          <cell r="D1285">
            <v>5.5625999999999998</v>
          </cell>
        </row>
        <row r="1286">
          <cell r="A1286" t="str">
            <v>001.19.03200</v>
          </cell>
          <cell r="B1286" t="str">
            <v>Fornecimento E Instalação De Conector De Uso Geral - Split Bolt P/ Cabo Ø 25 Mm²</v>
          </cell>
          <cell r="C1286" t="str">
            <v>un</v>
          </cell>
          <cell r="D1286">
            <v>5.8525999999999998</v>
          </cell>
        </row>
        <row r="1287">
          <cell r="A1287" t="str">
            <v>001.19.03220</v>
          </cell>
          <cell r="B1287" t="str">
            <v>Fornecimento E Instalação De Conector De Uso Geral - Split Bolt P/ Cabo Ø 35 Mm²</v>
          </cell>
          <cell r="C1287" t="str">
            <v>un</v>
          </cell>
          <cell r="D1287">
            <v>6.4226000000000001</v>
          </cell>
        </row>
        <row r="1288">
          <cell r="A1288" t="str">
            <v>001.19.03240</v>
          </cell>
          <cell r="B1288" t="str">
            <v>Fornecimento E Instalação De Conector De Uso Gera - Split Bolt P/ Cabo Ø 50 Mm²</v>
          </cell>
          <cell r="C1288" t="str">
            <v>un</v>
          </cell>
          <cell r="D1288">
            <v>7.2926000000000002</v>
          </cell>
        </row>
        <row r="1289">
          <cell r="A1289" t="str">
            <v>001.19.03260</v>
          </cell>
          <cell r="B1289" t="str">
            <v>Fornecimento E Instalação De Conector De Uso Geral - Split Bolt P/ Cabo Ø 70 Mm²</v>
          </cell>
          <cell r="C1289" t="str">
            <v>un</v>
          </cell>
          <cell r="D1289">
            <v>9.0226000000000006</v>
          </cell>
        </row>
        <row r="1290">
          <cell r="A1290" t="str">
            <v>001.19.03280</v>
          </cell>
          <cell r="B1290" t="str">
            <v>Fornecimento E Instalação De Conector De Uso Geral - Split Bolt P/ Cabo Até Ø 70 Mm²</v>
          </cell>
          <cell r="C1290" t="str">
            <v>un</v>
          </cell>
          <cell r="D1290">
            <v>11.332599999999999</v>
          </cell>
        </row>
        <row r="1291">
          <cell r="A1291" t="str">
            <v>001.19.03300</v>
          </cell>
          <cell r="B1291" t="str">
            <v>Fornecimento E Instalação De Conector De Uso Geral - Split Bolt C/ Pino E Porca P/ Cabo Ø 16 Mm²</v>
          </cell>
          <cell r="C1291" t="str">
            <v>un</v>
          </cell>
          <cell r="D1291">
            <v>7.2926000000000002</v>
          </cell>
        </row>
        <row r="1292">
          <cell r="A1292" t="str">
            <v>001.19.03320</v>
          </cell>
          <cell r="B1292" t="str">
            <v>Fornecimento E Instalação De Conector De Uso Geral - Split Bolt C/ Pino E Porca P/ Cabo Ø 25 Mm²</v>
          </cell>
          <cell r="C1292" t="str">
            <v>un</v>
          </cell>
          <cell r="D1292">
            <v>6.8625999999999996</v>
          </cell>
        </row>
        <row r="1293">
          <cell r="A1293" t="str">
            <v>001.19.03340</v>
          </cell>
          <cell r="B1293" t="str">
            <v>Fornecimento E Instalação De Conector De Uso Geral - Split Bolt C/ Pino E Porca P/ Cabo Ø 35 Mm²</v>
          </cell>
          <cell r="C1293" t="str">
            <v>un</v>
          </cell>
          <cell r="D1293">
            <v>7.3026</v>
          </cell>
        </row>
        <row r="1294">
          <cell r="A1294" t="str">
            <v>001.19.03360</v>
          </cell>
          <cell r="B1294" t="str">
            <v>Fornecimento E Instalação De Conector De Uso Geral - Split Bolt C/ Pino E Porca P/ Cabo Ø 50 Mm²</v>
          </cell>
          <cell r="C1294" t="str">
            <v>un</v>
          </cell>
          <cell r="D1294">
            <v>8.2726000000000006</v>
          </cell>
        </row>
        <row r="1295">
          <cell r="A1295" t="str">
            <v>001.19.03380</v>
          </cell>
          <cell r="B1295" t="str">
            <v>Fornecimento E Instalação De Conector De Uso Geral - Split Bolt C/ Pino E Porca P/ Cabo Ø 70 Mm²</v>
          </cell>
          <cell r="C1295" t="str">
            <v>un</v>
          </cell>
          <cell r="D1295">
            <v>11.442600000000001</v>
          </cell>
        </row>
        <row r="1296">
          <cell r="A1296" t="str">
            <v>001.19.03400</v>
          </cell>
          <cell r="B1296" t="str">
            <v>Fornecimento E Instalação De Conector De Uso Geral - Terminal De Pressão C/ Passagem Frontal P/ Cabo Ø 16 Mm²</v>
          </cell>
          <cell r="C1296" t="str">
            <v>un</v>
          </cell>
          <cell r="D1296">
            <v>10.4626</v>
          </cell>
        </row>
        <row r="1297">
          <cell r="A1297" t="str">
            <v>001.19.03420</v>
          </cell>
          <cell r="B1297" t="str">
            <v>Fornecimento E Instalação De Conector De Uso Gera - Terminal De Pressão C/ Passagem Frontal P/ Cabo Ø 25 Mm²</v>
          </cell>
          <cell r="C1297" t="str">
            <v>un</v>
          </cell>
          <cell r="D1297">
            <v>4.7926000000000002</v>
          </cell>
        </row>
        <row r="1298">
          <cell r="A1298" t="str">
            <v>001.19.03440</v>
          </cell>
          <cell r="B1298" t="str">
            <v>Fornecimento E Instalação De Conector De Uso Geral - Terminal De Pressão C/ Passagem Frontal P/ Cabo Ø 35 Mm²</v>
          </cell>
          <cell r="C1298" t="str">
            <v>un</v>
          </cell>
          <cell r="D1298">
            <v>5.0826000000000002</v>
          </cell>
        </row>
        <row r="1299">
          <cell r="A1299" t="str">
            <v>001.19.03460</v>
          </cell>
          <cell r="B1299" t="str">
            <v>Fornecimento E Instalação De Conector De Uso Geral - Terminal De Pressão C/ Passagem Frontal P/ Cabo Ø 50 Mm²</v>
          </cell>
          <cell r="C1299" t="str">
            <v>un</v>
          </cell>
          <cell r="D1299">
            <v>5.4626000000000001</v>
          </cell>
        </row>
        <row r="1300">
          <cell r="A1300" t="str">
            <v>001.19.03480</v>
          </cell>
          <cell r="B1300" t="str">
            <v>Fornecimento E Instalação De Conector De Uso Geral - Terminal De Pressão C/ Passagem Frontal P/ Cabo Ø 70 Mm²</v>
          </cell>
          <cell r="C1300" t="str">
            <v>un</v>
          </cell>
          <cell r="D1300">
            <v>6.1125999999999996</v>
          </cell>
        </row>
        <row r="1301">
          <cell r="A1301" t="str">
            <v>001.19.03500</v>
          </cell>
          <cell r="B1301" t="str">
            <v>Fornecimento E Instalação De Conector De Uso Geral - Terminal De Pressão C/ Passagem Lateral P/ Cabo Ø 16 Mm²</v>
          </cell>
          <cell r="C1301" t="str">
            <v>un</v>
          </cell>
          <cell r="D1301">
            <v>7.5125999999999999</v>
          </cell>
        </row>
        <row r="1302">
          <cell r="A1302" t="str">
            <v>001.19.03520</v>
          </cell>
          <cell r="B1302" t="str">
            <v>Fornecimento E Instalação De Conector De Uso Geral - Terminal De Pressão C/ Passagem Lateral P/ Cabo Ø 25 Mm²</v>
          </cell>
          <cell r="C1302" t="str">
            <v>un</v>
          </cell>
          <cell r="D1302">
            <v>7.5125999999999999</v>
          </cell>
        </row>
        <row r="1303">
          <cell r="A1303" t="str">
            <v>001.19.03540</v>
          </cell>
          <cell r="B1303" t="str">
            <v>Fornecimento E Instalação De Conector De Uso Geral - Terminal De Pressão C/ Passagem Lateral P/ Cabo Ø 35 Mm²</v>
          </cell>
          <cell r="C1303" t="str">
            <v>un</v>
          </cell>
          <cell r="D1303">
            <v>7.5125999999999999</v>
          </cell>
        </row>
        <row r="1304">
          <cell r="A1304" t="str">
            <v>001.19.03560</v>
          </cell>
          <cell r="B1304" t="str">
            <v>Fornecimento E Instalação De Conector De Uso Geral - Terminal De Pressão C/ Passagem Lateral P/ Cabo Ø 50 Mm²</v>
          </cell>
          <cell r="C1304" t="str">
            <v>un</v>
          </cell>
          <cell r="D1304">
            <v>10.762600000000001</v>
          </cell>
        </row>
        <row r="1305">
          <cell r="A1305" t="str">
            <v>001.19.03580</v>
          </cell>
          <cell r="B1305" t="str">
            <v>Fornecimento E Instalação De Conector De Uso Geral - Terminal De Pressão C/ Passagem Lateral P/ Cabo Ø 70 Mm²</v>
          </cell>
          <cell r="C1305" t="str">
            <v>un</v>
          </cell>
          <cell r="D1305">
            <v>10.762600000000001</v>
          </cell>
        </row>
        <row r="1306">
          <cell r="A1306" t="str">
            <v>001.19.03600</v>
          </cell>
          <cell r="B1306" t="str">
            <v>Fornecimento E Instalação De Conector De Uso Geral - Tensionador P/ Cabo Cobre Até Ø95 Mm²</v>
          </cell>
          <cell r="C1306" t="str">
            <v>un</v>
          </cell>
          <cell r="D1306">
            <v>9.2826000000000004</v>
          </cell>
        </row>
        <row r="1307">
          <cell r="A1307" t="str">
            <v>001.19.03620</v>
          </cell>
          <cell r="B1307" t="str">
            <v>Fornecimento E Instalação De Conector De Uso Geral - Terminal De Pressão C/ 4 Parafusos P/ Cabo Ø 16/35 Mm²</v>
          </cell>
          <cell r="C1307" t="str">
            <v>un</v>
          </cell>
          <cell r="D1307">
            <v>10.4626</v>
          </cell>
        </row>
        <row r="1308">
          <cell r="A1308" t="str">
            <v>001.19.03640</v>
          </cell>
          <cell r="B1308" t="str">
            <v>Fornecimento E Instalação De Conector De Uso Geral - Terminal De Pressão C/ 4 Parafusos P/ Cabo Ø35/70 Mm²</v>
          </cell>
          <cell r="C1308" t="str">
            <v>un</v>
          </cell>
          <cell r="D1308">
            <v>13.5726</v>
          </cell>
        </row>
        <row r="1309">
          <cell r="A1309" t="str">
            <v>001.19.03660</v>
          </cell>
          <cell r="B1309" t="str">
            <v>Fornecimento E Instalação De Conector De Uso Geral - Terminal Tipo X De Latão P/ Cabo Até Ø50 Mm²</v>
          </cell>
          <cell r="C1309" t="str">
            <v>un</v>
          </cell>
          <cell r="D1309">
            <v>8.0126000000000008</v>
          </cell>
        </row>
        <row r="1310">
          <cell r="A1310" t="str">
            <v>001.19.03680</v>
          </cell>
          <cell r="B1310" t="str">
            <v>Fornecimento E Instalação De Conector De Uso Geral - Abraçadeira Tipo Ômega P/ Cabo Ø 16 Mm²</v>
          </cell>
          <cell r="C1310" t="str">
            <v>un</v>
          </cell>
          <cell r="D1310">
            <v>5.9325999999999999</v>
          </cell>
        </row>
        <row r="1311">
          <cell r="A1311" t="str">
            <v>001.19.03700</v>
          </cell>
          <cell r="B1311" t="str">
            <v>Fornecimento E Instalação De Conector De Uso Geral - Abraçadeira Tipo Ômega P/ Cabo Ø35 Mm²</v>
          </cell>
          <cell r="C1311" t="str">
            <v>un</v>
          </cell>
          <cell r="D1311">
            <v>5.9325999999999999</v>
          </cell>
        </row>
        <row r="1312">
          <cell r="A1312" t="str">
            <v>001.19.03720</v>
          </cell>
          <cell r="B1312" t="str">
            <v>Fornecimento e instalação de componentes de fixação - chapa de fixação tipo unha</v>
          </cell>
          <cell r="C1312" t="str">
            <v>un</v>
          </cell>
          <cell r="D1312">
            <v>2.9350999999999998</v>
          </cell>
        </row>
        <row r="1313">
          <cell r="A1313" t="str">
            <v>001.19.03740</v>
          </cell>
          <cell r="B1313" t="str">
            <v>Fornecimento E Instalação De Componentes De Fixação - Abraçadeira 3 Estais P/ Mastro De 1. ¹/²''</v>
          </cell>
          <cell r="C1313" t="str">
            <v>un</v>
          </cell>
          <cell r="D1313">
            <v>5.9250999999999996</v>
          </cell>
        </row>
        <row r="1314">
          <cell r="A1314" t="str">
            <v>001.19.03760</v>
          </cell>
          <cell r="B1314" t="str">
            <v>Fornecimento E Instalação De Componentes De Fixação - Abraçadeira 3 Estais  P/ Mastro 2''</v>
          </cell>
          <cell r="C1314" t="str">
            <v>un</v>
          </cell>
          <cell r="D1314">
            <v>5.9250999999999996</v>
          </cell>
        </row>
        <row r="1315">
          <cell r="A1315" t="str">
            <v>001.19.03780</v>
          </cell>
          <cell r="B1315" t="str">
            <v>Fornecimento E Instalação De Componentes De Fixação - Abraçadeira 4 Estais P/ Mastro De 1. ¹/²''</v>
          </cell>
          <cell r="C1315" t="str">
            <v>un</v>
          </cell>
          <cell r="D1315">
            <v>7.1451000000000002</v>
          </cell>
        </row>
        <row r="1316">
          <cell r="A1316" t="str">
            <v>001.19.03800</v>
          </cell>
          <cell r="B1316" t="str">
            <v>Fornecimento E Instalação De Componentes De Fixação - Abraçadeira 4 Estais P/ Mastro De 2''</v>
          </cell>
          <cell r="C1316" t="str">
            <v>un</v>
          </cell>
          <cell r="D1316">
            <v>7.1451000000000002</v>
          </cell>
        </row>
        <row r="1317">
          <cell r="A1317" t="str">
            <v>001.19.03820</v>
          </cell>
          <cell r="B1317" t="str">
            <v>Fornecimento E Instalação De Componentes De Fixação - Fixador De Estais P/ Tubo</v>
          </cell>
          <cell r="C1317" t="str">
            <v>un</v>
          </cell>
          <cell r="D1317">
            <v>3.6551</v>
          </cell>
        </row>
        <row r="1318">
          <cell r="A1318" t="str">
            <v>001.19.03840</v>
          </cell>
          <cell r="B1318" t="str">
            <v>Fornecimento E Instalação De Componentes De Fixação - Fixador De Estais P/ Cabo</v>
          </cell>
          <cell r="C1318" t="str">
            <v>un</v>
          </cell>
          <cell r="D1318">
            <v>3.1751</v>
          </cell>
        </row>
        <row r="1319">
          <cell r="A1319" t="str">
            <v>001.19.03860</v>
          </cell>
          <cell r="B1319" t="str">
            <v>Fornecimento E Instalação De Componentes De Fixação - Manilha De 1/4''</v>
          </cell>
          <cell r="C1319" t="str">
            <v>un</v>
          </cell>
          <cell r="D1319">
            <v>9.4451000000000001</v>
          </cell>
        </row>
        <row r="1320">
          <cell r="A1320" t="str">
            <v>001.19.03880</v>
          </cell>
          <cell r="B1320" t="str">
            <v>Fornecimento E Instalação De Componentes De Fixação - Esticador P/ Cabo De Aço De 3/16''</v>
          </cell>
          <cell r="C1320" t="str">
            <v>un</v>
          </cell>
          <cell r="D1320">
            <v>7.6551</v>
          </cell>
        </row>
        <row r="1321">
          <cell r="A1321" t="str">
            <v>001.19.03900</v>
          </cell>
          <cell r="B1321" t="str">
            <v>Fornecimento E Instalação De Componentes De Fixação - Esticador P/ Cabo De Aço De 1/4''</v>
          </cell>
          <cell r="C1321" t="str">
            <v>un</v>
          </cell>
          <cell r="D1321">
            <v>8.8551000000000002</v>
          </cell>
        </row>
        <row r="1322">
          <cell r="A1322" t="str">
            <v>001.19.03920</v>
          </cell>
          <cell r="B1322" t="str">
            <v>Fornecimento E Instalação De Componentes De Fixação - Sapatilha De 3/16''</v>
          </cell>
          <cell r="C1322" t="str">
            <v>un</v>
          </cell>
          <cell r="D1322">
            <v>3.0750999999999999</v>
          </cell>
        </row>
        <row r="1323">
          <cell r="A1323" t="str">
            <v>001.19.03940</v>
          </cell>
          <cell r="B1323" t="str">
            <v>Fornecimento E Instalação De Componentes De Fixação - Sapatilha De 1/4''</v>
          </cell>
          <cell r="C1323" t="str">
            <v>un</v>
          </cell>
          <cell r="D1323">
            <v>3.4051</v>
          </cell>
        </row>
        <row r="1324">
          <cell r="A1324" t="str">
            <v>001.19.03960</v>
          </cell>
          <cell r="B1324" t="str">
            <v>Fornecimeto E Instalação De Componentes De Fixação - Grampo Crosby De 3/16''</v>
          </cell>
          <cell r="C1324" t="str">
            <v>un</v>
          </cell>
          <cell r="D1324">
            <v>3.0251000000000001</v>
          </cell>
        </row>
        <row r="1325">
          <cell r="A1325" t="str">
            <v>001.19.03980</v>
          </cell>
          <cell r="B1325" t="str">
            <v>Fornecimento E Instalação De Componentes De Fixação - Grampo Crosby De 1/4''</v>
          </cell>
          <cell r="C1325" t="str">
            <v>un</v>
          </cell>
          <cell r="D1325">
            <v>3.0750999999999999</v>
          </cell>
        </row>
        <row r="1326">
          <cell r="A1326" t="str">
            <v>001.19.04000</v>
          </cell>
          <cell r="B1326" t="str">
            <v>Fornecimento E Instalação De Componentes De Fixação - Abraçadeira Tipo ""D"" C/ Cunha De 3/4''</v>
          </cell>
          <cell r="C1326" t="str">
            <v>un</v>
          </cell>
          <cell r="D1326">
            <v>2.6751</v>
          </cell>
        </row>
        <row r="1327">
          <cell r="A1327" t="str">
            <v>001.19.04020</v>
          </cell>
          <cell r="B1327" t="str">
            <v>Fornecimento  Instalação De Componentes De Fixação - Abraçadeira Tipo ""D"" C/ Cunha De 1''</v>
          </cell>
          <cell r="C1327" t="str">
            <v>un</v>
          </cell>
          <cell r="D1327">
            <v>2.8451</v>
          </cell>
        </row>
        <row r="1328">
          <cell r="A1328" t="str">
            <v>001.19.04040</v>
          </cell>
          <cell r="B1328" t="str">
            <v>Fornecimento E Instalação De Componentes De Fixação - Abraçadeira Tipo ""D"" C/ Cunha De 1.¹/4''</v>
          </cell>
          <cell r="C1328" t="str">
            <v>un</v>
          </cell>
          <cell r="D1328">
            <v>3.4950999999999999</v>
          </cell>
        </row>
        <row r="1329">
          <cell r="A1329" t="str">
            <v>001.19.04060</v>
          </cell>
          <cell r="B1329" t="str">
            <v>Fornecimento E Instalação De Componentes De Fixação - Abraçadeira Tipo ""D"" C/ Cunha De 1.¹/²''</v>
          </cell>
          <cell r="C1329" t="str">
            <v>un</v>
          </cell>
          <cell r="D1329">
            <v>3.4950999999999999</v>
          </cell>
        </row>
        <row r="1330">
          <cell r="A1330" t="str">
            <v>001.19.04080</v>
          </cell>
          <cell r="B1330" t="str">
            <v>Fornecimento E Instalação De Componentes De Fixação - Abraçadeira Tipo ""D"" C/ Cunha De 2''</v>
          </cell>
          <cell r="C1330" t="str">
            <v>un</v>
          </cell>
          <cell r="D1330">
            <v>3.7951000000000001</v>
          </cell>
        </row>
        <row r="1331">
          <cell r="A1331" t="str">
            <v>001.19.04100</v>
          </cell>
          <cell r="B1331" t="str">
            <v>Fornecimento E Instalação De Componentes De Fixação - Parafuso Sextavado C/ Bucha De Pvc Rosca Sob. 1/4'' X 1. ¹/²'' DZ</v>
          </cell>
          <cell r="C1331" t="str">
            <v>ct</v>
          </cell>
          <cell r="D1331">
            <v>2.1650999999999998</v>
          </cell>
        </row>
        <row r="1332">
          <cell r="A1332" t="str">
            <v>001.19.04120</v>
          </cell>
          <cell r="B1332" t="str">
            <v>Fornecimento E Instalação De Componentes De Fixação - Parafuso Sextavado C/ Bucha De Pvc Rosca Sob. 5/16'' X 1. ¹/²''DZ</v>
          </cell>
          <cell r="C1332" t="str">
            <v>ct</v>
          </cell>
          <cell r="D1332">
            <v>2.2951000000000001</v>
          </cell>
        </row>
        <row r="1333">
          <cell r="A1333" t="str">
            <v>001.19.04140</v>
          </cell>
          <cell r="B1333" t="str">
            <v>Fornecimento E Instalação De Componentes De Fixação - Parafuso Sextavado C/ Bucha De Pvc Rosca Sob. 5/16'' X 2'' DZ</v>
          </cell>
          <cell r="C1333" t="str">
            <v>ct</v>
          </cell>
          <cell r="D1333">
            <v>2.3351000000000002</v>
          </cell>
        </row>
        <row r="1334">
          <cell r="A1334" t="str">
            <v>001.19.04160</v>
          </cell>
          <cell r="B1334" t="str">
            <v>Fornecimento E Instalação De Conj. De Contraventegem Com Cabo P/ Mastro 1. ¹/²''</v>
          </cell>
          <cell r="C1334" t="str">
            <v>cj</v>
          </cell>
          <cell r="D1334">
            <v>109.0183</v>
          </cell>
        </row>
        <row r="1335">
          <cell r="A1335" t="str">
            <v>001.19.04180</v>
          </cell>
          <cell r="B1335" t="str">
            <v>Fornecimento E Instalação De Conj. De Contraventagem Com Cabo P/ Mastro 2''</v>
          </cell>
          <cell r="C1335" t="str">
            <v>cj</v>
          </cell>
          <cell r="D1335">
            <v>109.2383</v>
          </cell>
        </row>
        <row r="1336">
          <cell r="A1336" t="str">
            <v>001.19.04200</v>
          </cell>
          <cell r="B1336" t="str">
            <v>Fornecimento E Instalação De Componentes P/ Aterramento - Conector Cabo/Haste Tipo Olhal Reforçado 3/4''</v>
          </cell>
          <cell r="C1336" t="str">
            <v>un</v>
          </cell>
          <cell r="D1336">
            <v>5.9263000000000003</v>
          </cell>
        </row>
        <row r="1337">
          <cell r="A1337" t="str">
            <v>001.19.04220</v>
          </cell>
          <cell r="B1337" t="str">
            <v>Fornecimento E Instalação De Componentes P/ Aterramento - Conector Cabo/Haste Tipo Olhal Reforçado 5/8''</v>
          </cell>
          <cell r="C1337" t="str">
            <v>un</v>
          </cell>
          <cell r="D1337">
            <v>4.6763000000000003</v>
          </cell>
        </row>
        <row r="1338">
          <cell r="A1338" t="str">
            <v>001.19.04240</v>
          </cell>
          <cell r="B1338" t="str">
            <v>Fornecimento E Instalação De Componentes P/ Aterramento Cabo/Haste Tipo Olhal Leve 5/8''</v>
          </cell>
          <cell r="C1338" t="str">
            <v>un</v>
          </cell>
          <cell r="D1338">
            <v>8.3163</v>
          </cell>
        </row>
        <row r="1339">
          <cell r="A1339" t="str">
            <v>001.19.04260</v>
          </cell>
          <cell r="B1339" t="str">
            <v>Fornecimento E Instalação De Componentes P/ Aterramento - Luva De Emenda P/ Haste De 5/8''</v>
          </cell>
          <cell r="C1339" t="str">
            <v>un</v>
          </cell>
          <cell r="D1339">
            <v>7.7563000000000004</v>
          </cell>
        </row>
        <row r="1340">
          <cell r="A1340" t="str">
            <v>001.19.04280</v>
          </cell>
          <cell r="B1340" t="str">
            <v>Fornecimento E Instalação De Componentes P/ Aterramento - Luva De Emenda P/ Haste De 3/4''</v>
          </cell>
          <cell r="C1340" t="str">
            <v>un</v>
          </cell>
          <cell r="D1340">
            <v>7.7563000000000004</v>
          </cell>
        </row>
        <row r="1341">
          <cell r="A1341" t="str">
            <v>001.19.04300</v>
          </cell>
          <cell r="B1341" t="str">
            <v>Fornecimento e Instalação de Componentes  p/ Aterramento - Conector Cabo/Haste Tipo Grampo</v>
          </cell>
          <cell r="C1341" t="str">
            <v>un</v>
          </cell>
          <cell r="D1341">
            <v>4.6763000000000003</v>
          </cell>
        </row>
        <row r="1342">
          <cell r="A1342" t="str">
            <v>001.19.04320</v>
          </cell>
          <cell r="B1342" t="str">
            <v>Fornecimento E Inwstalação De Componentes P/ Aterramento - Haste Aterramento AC De 5/8'' X 2,40m</v>
          </cell>
          <cell r="C1342" t="str">
            <v>un</v>
          </cell>
          <cell r="D1342">
            <v>32.567700000000002</v>
          </cell>
        </row>
        <row r="1343">
          <cell r="A1343" t="str">
            <v>001.19.04340</v>
          </cell>
          <cell r="B1343" t="str">
            <v>Fornecimento E Instalação De Componentes P/ Aterramento - Haste Aterramento  AC De 5/8'' X 3,00 M</v>
          </cell>
          <cell r="C1343" t="str">
            <v>un</v>
          </cell>
          <cell r="D1343">
            <v>38.967700000000001</v>
          </cell>
        </row>
        <row r="1344">
          <cell r="A1344" t="str">
            <v>001.19.04360</v>
          </cell>
          <cell r="B1344" t="str">
            <v>Fornecimento E Instalação De Componentes P/ Aterramento - Haste Aterramento AC De 3/4'' X 2,40 M</v>
          </cell>
          <cell r="C1344" t="str">
            <v>un</v>
          </cell>
          <cell r="D1344">
            <v>43.447699999999998</v>
          </cell>
        </row>
        <row r="1345">
          <cell r="A1345" t="str">
            <v>001.19.04380</v>
          </cell>
          <cell r="B1345" t="str">
            <v>Fornecimento E Instalação De Componentes P/ Aterramento - Haste Aterramento AC De 3/4'' X 300 M</v>
          </cell>
          <cell r="C1345" t="str">
            <v>un</v>
          </cell>
          <cell r="D1345">
            <v>52.9377</v>
          </cell>
        </row>
        <row r="1346">
          <cell r="A1346" t="str">
            <v>001.19.04400</v>
          </cell>
          <cell r="B1346" t="str">
            <v>Forecimento E Instalação De Componentes P/ Aterramento - Haste Aterramento BC De 5/8'' X 2,40 M</v>
          </cell>
          <cell r="C1346" t="str">
            <v>un</v>
          </cell>
          <cell r="D1346">
            <v>20.247699999999998</v>
          </cell>
        </row>
        <row r="1347">
          <cell r="A1347" t="str">
            <v>001.19.04420</v>
          </cell>
          <cell r="B1347" t="str">
            <v>Fornecimento E Instalação De Componentes P/ Aterramento - Haste Aterramento BC De 5/8'' X 3,00 M</v>
          </cell>
          <cell r="C1347" t="str">
            <v>un</v>
          </cell>
          <cell r="D1347">
            <v>29.607700000000001</v>
          </cell>
        </row>
        <row r="1348">
          <cell r="A1348" t="str">
            <v>001.19.04440</v>
          </cell>
          <cell r="B1348" t="str">
            <v>Fornecimento E Instalação De Componentes P/ Aterramento - Haste Aterramento BC De 3/4'' X 2,40 M</v>
          </cell>
          <cell r="C1348" t="str">
            <v>un</v>
          </cell>
          <cell r="D1348">
            <v>36.6877</v>
          </cell>
        </row>
        <row r="1349">
          <cell r="A1349" t="str">
            <v>001.19.04460</v>
          </cell>
          <cell r="B1349" t="str">
            <v>Fornecimento E Instalação De Componentes P/ Aterramento - Haste Aterramento BC De 3/4'' X 3,00 M</v>
          </cell>
          <cell r="C1349" t="str">
            <v>un</v>
          </cell>
          <cell r="D1349">
            <v>39.9377</v>
          </cell>
        </row>
        <row r="1350">
          <cell r="A1350" t="str">
            <v>001.19.04480</v>
          </cell>
          <cell r="B1350" t="str">
            <v>Fornecimento E Instalação De Sinalizadores - Aparelhos Sinalizadores Simples S/ Célula</v>
          </cell>
          <cell r="C1350" t="str">
            <v>un</v>
          </cell>
          <cell r="D1350">
            <v>22.027699999999999</v>
          </cell>
        </row>
        <row r="1351">
          <cell r="A1351" t="str">
            <v>001.19.04500</v>
          </cell>
          <cell r="B1351" t="str">
            <v>Fornecimento E Instalação De Sinalizadores - Aparelhos Sinalizadores Simples C/ Célula</v>
          </cell>
          <cell r="C1351" t="str">
            <v>un</v>
          </cell>
          <cell r="D1351">
            <v>35.887700000000002</v>
          </cell>
        </row>
        <row r="1352">
          <cell r="A1352" t="str">
            <v>001.19.04520</v>
          </cell>
          <cell r="B1352" t="str">
            <v>Fornecimento E Instalação De Sinalizadores - Aparelhos Sinalizadores Duplo S/ Célula</v>
          </cell>
          <cell r="C1352" t="str">
            <v>un</v>
          </cell>
          <cell r="D1352">
            <v>41.237699999999997</v>
          </cell>
        </row>
        <row r="1353">
          <cell r="A1353" t="str">
            <v>001.19.04540</v>
          </cell>
          <cell r="B1353" t="str">
            <v>Fornecimento E Instalação De Sinalizadores - Aparelhos Sinalizadores Duplo C/ Célula</v>
          </cell>
          <cell r="C1353" t="str">
            <v>un</v>
          </cell>
          <cell r="D1353">
            <v>74.887699999999995</v>
          </cell>
        </row>
        <row r="1354">
          <cell r="A1354" t="str">
            <v>001.19.04560</v>
          </cell>
          <cell r="B1354" t="str">
            <v>Fornecimento E Instalação De Abraçadeira P/ Sinalizador De 1. ¹/²''</v>
          </cell>
          <cell r="C1354" t="str">
            <v>un</v>
          </cell>
          <cell r="D1354">
            <v>5.4851000000000001</v>
          </cell>
        </row>
        <row r="1355">
          <cell r="A1355" t="str">
            <v>001.19.04580</v>
          </cell>
          <cell r="B1355" t="str">
            <v>Fornecimento E Instalação De Abraçadeira P/ Sinalizador De 2''</v>
          </cell>
          <cell r="C1355" t="str">
            <v>un</v>
          </cell>
          <cell r="D1355">
            <v>5.6250999999999998</v>
          </cell>
        </row>
        <row r="1356">
          <cell r="A1356" t="str">
            <v>001.20</v>
          </cell>
          <cell r="B1356" t="str">
            <v>INSTALAÇÕES ELÉTRICAS - EQUIPAMENTOS</v>
          </cell>
          <cell r="D1356">
            <v>73781.902000000002</v>
          </cell>
        </row>
        <row r="1357">
          <cell r="A1357" t="str">
            <v>001.20.00020</v>
          </cell>
          <cell r="B1357" t="str">
            <v>Conjunto motor bomba centrífuga trifásica 50 a 60 hz para sucção até 6m pot. 1/2 hp</v>
          </cell>
          <cell r="C1357" t="str">
            <v>CJ</v>
          </cell>
          <cell r="D1357">
            <v>288.70030000000003</v>
          </cell>
        </row>
        <row r="1358">
          <cell r="A1358" t="str">
            <v>001.20.00040</v>
          </cell>
          <cell r="B1358" t="str">
            <v>Conjunto motor bomba centrífuga trifásica 50 a 60 hz para sucção até 6m pot. 3/4 hp</v>
          </cell>
          <cell r="C1358" t="str">
            <v>CJ</v>
          </cell>
          <cell r="D1358">
            <v>299.70030000000003</v>
          </cell>
        </row>
        <row r="1359">
          <cell r="A1359" t="str">
            <v>001.20.00060</v>
          </cell>
          <cell r="B1359" t="str">
            <v>Conjunto motor bomba centrífuga trifásica 50 a 60 hz para sucção até 6m pot. 1 hp</v>
          </cell>
          <cell r="C1359" t="str">
            <v>CJ</v>
          </cell>
          <cell r="D1359">
            <v>389.57139999999998</v>
          </cell>
        </row>
        <row r="1360">
          <cell r="A1360" t="str">
            <v>001.20.00080</v>
          </cell>
          <cell r="B1360" t="str">
            <v>Conjunto motor bomba centrífuga trifásica 50 a 60 hz para sucção até 6m pot. 1 1/2"""""""" hp</v>
          </cell>
          <cell r="C1360" t="str">
            <v>CJ</v>
          </cell>
          <cell r="D1360">
            <v>466.57139999999998</v>
          </cell>
        </row>
        <row r="1361">
          <cell r="A1361" t="str">
            <v>001.20.00100</v>
          </cell>
          <cell r="B1361" t="str">
            <v>Conjunto motor bomba centrífuga trifásica 50 a 60 hz para sucção até 6m pot. 2"""""""" hp</v>
          </cell>
          <cell r="C1361" t="str">
            <v>CJ</v>
          </cell>
          <cell r="D1361">
            <v>499.4425</v>
          </cell>
        </row>
        <row r="1362">
          <cell r="A1362" t="str">
            <v>001.20.00120</v>
          </cell>
          <cell r="B1362" t="str">
            <v>Conjunto motor bomba centrifuga monoestagio com bocais flangeados - cf-7 mark ou similar - 03 cv</v>
          </cell>
          <cell r="C1362" t="str">
            <v>UN</v>
          </cell>
          <cell r="D1362">
            <v>276.4425</v>
          </cell>
        </row>
        <row r="1363">
          <cell r="A1363" t="str">
            <v>001.20.00140</v>
          </cell>
          <cell r="B1363" t="str">
            <v>Fornecimento e Instalação de Ar Condicionado Tipo Split 9 000 BTUS, Linha Tempstar ou Mesmo Padrão</v>
          </cell>
          <cell r="C1363" t="str">
            <v>CJ</v>
          </cell>
          <cell r="D1363">
            <v>2150</v>
          </cell>
        </row>
        <row r="1364">
          <cell r="A1364" t="str">
            <v>001.20.00160</v>
          </cell>
          <cell r="B1364" t="str">
            <v>Fornecimento e Instalação de Ar Condicionado Tipo Split 12 000 BTUS, Linha Tempstar ou Mesmo Padrão</v>
          </cell>
          <cell r="C1364" t="str">
            <v>CJ</v>
          </cell>
          <cell r="D1364">
            <v>2520</v>
          </cell>
        </row>
        <row r="1365">
          <cell r="A1365" t="str">
            <v>001.20.00165</v>
          </cell>
          <cell r="B1365" t="str">
            <v>Fornecimento e Instalação de Ar Condicionado Tipo Split 18 000 BTUS, Linha Tempstar ou Mesmo Padrão</v>
          </cell>
          <cell r="C1365" t="str">
            <v>CJ</v>
          </cell>
          <cell r="D1365">
            <v>2960</v>
          </cell>
        </row>
        <row r="1366">
          <cell r="A1366" t="str">
            <v>001.20.00170</v>
          </cell>
          <cell r="B1366" t="str">
            <v>Fornecimento e Instalação de Ar Condicionado Tipo Split 22 000 BTUS, Linha Tempstar ou Mesmo Padrão</v>
          </cell>
          <cell r="C1366" t="str">
            <v>CJ</v>
          </cell>
          <cell r="D1366">
            <v>4090</v>
          </cell>
        </row>
        <row r="1367">
          <cell r="A1367" t="str">
            <v>001.20.00175</v>
          </cell>
          <cell r="B1367" t="str">
            <v>Fornecimento e Instalação de Ar Condicionado Tipo Split 36 000 BTUS, Linha Tempstar ou Mesmo Padrão</v>
          </cell>
          <cell r="C1367" t="str">
            <v>CJ</v>
          </cell>
          <cell r="D1367">
            <v>5960</v>
          </cell>
        </row>
        <row r="1368">
          <cell r="A1368" t="str">
            <v>001.20.00180</v>
          </cell>
          <cell r="B1368" t="str">
            <v>Fornecimento e Instalação de Ar Condicionado Tipo Split 48 000 BTUS, Linha Tempstar ou Mesmo Padrão</v>
          </cell>
          <cell r="C1368" t="str">
            <v>CJ</v>
          </cell>
          <cell r="D1368">
            <v>7000</v>
          </cell>
        </row>
        <row r="1369">
          <cell r="A1369" t="str">
            <v>001.20.00200</v>
          </cell>
          <cell r="B1369" t="str">
            <v>Fornecimento e Instalação de Ar Condicionado Tipo Split 60 000 BTUS, Linha Tempstar ou Mesmo Padrão</v>
          </cell>
          <cell r="C1369" t="str">
            <v>CJ</v>
          </cell>
          <cell r="D1369">
            <v>7630</v>
          </cell>
        </row>
        <row r="1370">
          <cell r="A1370" t="str">
            <v>001.20.00220</v>
          </cell>
          <cell r="B1370" t="str">
            <v>Fornecimento e Instalação de Ar Condicionado Tipo Split 7 000 BTUS, Linha Silence ou Mesmo Padrão</v>
          </cell>
          <cell r="C1370" t="str">
            <v>CJ</v>
          </cell>
          <cell r="D1370">
            <v>2205</v>
          </cell>
        </row>
        <row r="1371">
          <cell r="A1371" t="str">
            <v>001.20.00240</v>
          </cell>
          <cell r="B1371" t="str">
            <v>Fornecimento e Instalação de Ar Condicionado Tipo Split 9 000 BTUS, Linha Silence ou Mesmo Padrão</v>
          </cell>
          <cell r="C1371" t="str">
            <v>CJ</v>
          </cell>
          <cell r="D1371">
            <v>2510</v>
          </cell>
        </row>
        <row r="1372">
          <cell r="A1372" t="str">
            <v>001.20.00260</v>
          </cell>
          <cell r="B1372" t="str">
            <v>Fornecimento e Instalação de Ar Condicionado Tipo Split 12 000 BTUS, Linha Silence ou Mesmo Padrão</v>
          </cell>
          <cell r="C1372" t="str">
            <v>CJ</v>
          </cell>
          <cell r="D1372">
            <v>2980</v>
          </cell>
        </row>
        <row r="1373">
          <cell r="A1373" t="str">
            <v>001.20.00265</v>
          </cell>
          <cell r="B1373" t="str">
            <v>Fornecimento e Instalação de Ar Condicionado Tipo Split 18 000 BTUS, Linha Silence ou Mesmo Padrão</v>
          </cell>
          <cell r="C1373" t="str">
            <v>CJ</v>
          </cell>
          <cell r="D1373">
            <v>4000</v>
          </cell>
        </row>
        <row r="1374">
          <cell r="A1374" t="str">
            <v>001.20.00270</v>
          </cell>
          <cell r="B1374" t="str">
            <v>Fornecimento e Instalação de Ar Condicionado Tipo Split 24 000 BTUS, Linha Silence ou Mesmo Padrão</v>
          </cell>
          <cell r="C1374" t="str">
            <v>CJ</v>
          </cell>
          <cell r="D1374">
            <v>4420</v>
          </cell>
        </row>
        <row r="1375">
          <cell r="A1375" t="str">
            <v>001.20.00275</v>
          </cell>
          <cell r="B1375" t="str">
            <v>Fornecimento e Instalação de Ar Condicionado Tipo Split 36 000 BTUS, Linha Modernitá ou Mesmo Padrão</v>
          </cell>
          <cell r="C1375" t="str">
            <v>CJ</v>
          </cell>
          <cell r="D1375">
            <v>6250</v>
          </cell>
        </row>
        <row r="1376">
          <cell r="A1376" t="str">
            <v>001.20.00280</v>
          </cell>
          <cell r="B1376" t="str">
            <v>Fornecimento e Instalação de Ar Condicionado Tipo Split 48 000 BTUS, Linha Silence ou Mesmo Padrão</v>
          </cell>
          <cell r="C1376" t="str">
            <v>CJ</v>
          </cell>
          <cell r="D1376">
            <v>8000</v>
          </cell>
        </row>
        <row r="1377">
          <cell r="A1377" t="str">
            <v>001.20.00300</v>
          </cell>
          <cell r="B1377" t="str">
            <v>Fornecimento e Instalação de Ar Condicionado Tipo Split 60 000 BTUS, Linha Silence ou Mesmo Padrão</v>
          </cell>
          <cell r="C1377" t="str">
            <v>CJ</v>
          </cell>
          <cell r="D1377">
            <v>8700</v>
          </cell>
        </row>
        <row r="1378">
          <cell r="A1378" t="str">
            <v>001.20.00320</v>
          </cell>
          <cell r="B1378" t="str">
            <v>Fornecimento e Instalação de Rede Figorígena (Tubo de Cobre 3/8"" e 1/4""; Cabo PP 4x1.50; Isolante Térmico em Espuma Para Tubulação 5/8"" e Fita Aluminizada) Para Aparelho Ar Cond. Split até 10.000 BTU'S</v>
          </cell>
          <cell r="C1378" t="str">
            <v>ml</v>
          </cell>
          <cell r="D1378">
            <v>30.718499999999999</v>
          </cell>
        </row>
        <row r="1379">
          <cell r="A1379" t="str">
            <v>001.20.00340</v>
          </cell>
          <cell r="B1379" t="str">
            <v>Fornecimento e Instalação de Rede Figorígena (Tubo de Cobre 1/2"" e 1/4""; Cabo PP 4x1.50; Isolante Térmico em Espuma Para Tubulação 3/4"" e Fita Aluminizada) Para Aparelho Ar Cond. Split de 12.000 BTU'S</v>
          </cell>
          <cell r="C1379" t="str">
            <v>ml</v>
          </cell>
          <cell r="D1379">
            <v>31.688700000000001</v>
          </cell>
        </row>
        <row r="1380">
          <cell r="A1380" t="str">
            <v>001.20.00360</v>
          </cell>
          <cell r="B1380" t="str">
            <v>Fornecimento e Instalação de Rede Figorígena (Tubo de Cobre 3/8"" e 5/8""; Cabo PP 4x1.50; Isolante Térmico em Espuma Para Tubulação 7/8"" e Fita Aluminizada) Para Aparelho Ar Cond. Split de 24.000 BTU'S</v>
          </cell>
          <cell r="C1380" t="str">
            <v>ml</v>
          </cell>
          <cell r="D1380">
            <v>38.580199999999998</v>
          </cell>
        </row>
        <row r="1381">
          <cell r="A1381" t="str">
            <v>001.20.00380</v>
          </cell>
          <cell r="B1381" t="str">
            <v>Fornecimento e Instalação de Rede Figorígena (Tubo de Cobre 1/2"" e 7/8""; Cabo PP 4x1.50; Isolante Térmico em Espuma Para Tubulação 1"" e Fita Aluminizada) Para Aparelho Ar Cond. Split de 48.000 BTU'S</v>
          </cell>
          <cell r="C1381" t="str">
            <v>ml</v>
          </cell>
          <cell r="D1381">
            <v>42.743099999999998</v>
          </cell>
        </row>
        <row r="1382">
          <cell r="A1382" t="str">
            <v>001.20.00400</v>
          </cell>
          <cell r="B1382" t="str">
            <v>Fornecimento e Instalação de Rede Figorígena (Tubo de Cobre 1/2"" e 7/8""; Cabo PP 4x1.50; Isolante Térmico em Espuma Para Tubulação 1"" e Fita Aluminizada) Para Aparelho Ar Cond. Split de 60.000 BTU'S</v>
          </cell>
          <cell r="C1382" t="str">
            <v>ml</v>
          </cell>
          <cell r="D1382">
            <v>42.743099999999998</v>
          </cell>
        </row>
        <row r="1383">
          <cell r="A1383" t="str">
            <v>001.21</v>
          </cell>
          <cell r="B1383" t="str">
            <v>INSTALAÇÕES ELÉTRICAS - CAIXAS DE INSPEÇÃO E PASSAGEM</v>
          </cell>
          <cell r="D1383">
            <v>1816.068</v>
          </cell>
        </row>
        <row r="1384">
          <cell r="A1384" t="str">
            <v>001.21.00020</v>
          </cell>
          <cell r="B1384" t="str">
            <v>Execução de caixa de passagem de concreto de 5 cm espessura e tampa de concreto impermeabilizada de 30.00 x 30.00 x 30.00 cm</v>
          </cell>
          <cell r="C1384" t="str">
            <v>CJ</v>
          </cell>
          <cell r="D1384">
            <v>29.3675</v>
          </cell>
        </row>
        <row r="1385">
          <cell r="A1385" t="str">
            <v>001.21.00040</v>
          </cell>
          <cell r="B1385" t="str">
            <v>Execução de caixa de passagem de concreto de 5 cm espessura e tampa de concreto impermeabilizada de 30.00 x 30.00 x 40.00 cm</v>
          </cell>
          <cell r="C1385" t="str">
            <v>CJ</v>
          </cell>
          <cell r="D1385">
            <v>33.421199999999999</v>
          </cell>
        </row>
        <row r="1386">
          <cell r="A1386" t="str">
            <v>001.21.00060</v>
          </cell>
          <cell r="B1386" t="str">
            <v>Execução de caixa de passagem de concreto de 5 cm espessura e tampa de concreto impermeabilizada de 40.00 x 40.00 x 40.00 cm</v>
          </cell>
          <cell r="C1386" t="str">
            <v>CJ</v>
          </cell>
          <cell r="D1386">
            <v>49.469099999999997</v>
          </cell>
        </row>
        <row r="1387">
          <cell r="A1387" t="str">
            <v>001.21.00080</v>
          </cell>
          <cell r="B1387" t="str">
            <v>Execução de caixa de passagem de concreto de 5 cm espessura e tampa de concreto impermeabilizada de 40.00 x 40.00 x 50.00 cm</v>
          </cell>
          <cell r="C1387" t="str">
            <v>CJ</v>
          </cell>
          <cell r="D1387">
            <v>56.373899999999999</v>
          </cell>
        </row>
        <row r="1388">
          <cell r="A1388" t="str">
            <v>001.21.00100</v>
          </cell>
          <cell r="B1388" t="str">
            <v>Execução de caixa de passagem de concreto de 5 cm espessura e tampa de concreto impermeabilizada de 50.00 x 50.00 x 50.00 cm</v>
          </cell>
          <cell r="C1388" t="str">
            <v>CJ</v>
          </cell>
          <cell r="D1388">
            <v>74.656300000000002</v>
          </cell>
        </row>
        <row r="1389">
          <cell r="A1389" t="str">
            <v>001.21.00120</v>
          </cell>
          <cell r="B1389" t="str">
            <v>Execução de caixa de passagem de concreto de 5 cm espessura e tampa de concreto impermeabilizada de 50.00 x 50.00 x 60.00 cm</v>
          </cell>
          <cell r="C1389" t="str">
            <v>CJ</v>
          </cell>
          <cell r="D1389">
            <v>83.427599999999998</v>
          </cell>
        </row>
        <row r="1390">
          <cell r="A1390" t="str">
            <v>001.21.00140</v>
          </cell>
          <cell r="B1390" t="str">
            <v>Execução de caixa de passagem de concreto de 5 cm espessura e tampa de concreto impermeabilizada de 60.00 x 60.00 x 60.00 cm</v>
          </cell>
          <cell r="C1390" t="str">
            <v>CJ</v>
          </cell>
          <cell r="D1390">
            <v>105.6909</v>
          </cell>
        </row>
        <row r="1391">
          <cell r="A1391" t="str">
            <v>001.21.00160</v>
          </cell>
          <cell r="B1391" t="str">
            <v>Execução de caixa de passagem de concreto de 5 cm espessura e tampa de concreto impermeabilizada de 80.00 x 80.00 x 80.00 cm</v>
          </cell>
          <cell r="C1391" t="str">
            <v>CJ</v>
          </cell>
          <cell r="D1391">
            <v>184.7371</v>
          </cell>
        </row>
        <row r="1392">
          <cell r="A1392" t="str">
            <v>001.21.00180</v>
          </cell>
          <cell r="B1392" t="str">
            <v>Execução de caixa de passagem de concreto de 5 cm espessura e tampa de concreto impermeabilizada de 80.00 x 80.00 x 100.00 cm</v>
          </cell>
          <cell r="C1392" t="str">
            <v>CJ</v>
          </cell>
          <cell r="D1392">
            <v>214.36359999999999</v>
          </cell>
        </row>
        <row r="1393">
          <cell r="A1393" t="str">
            <v>001.21.00200</v>
          </cell>
          <cell r="B1393" t="str">
            <v>Execução de caixa de passagem de alvenaria de 1/2 vez c/ tampa de concreto impermeabilizada 30.00 x 30.00 x 30.00 cm</v>
          </cell>
          <cell r="C1393" t="str">
            <v>CJ</v>
          </cell>
          <cell r="D1393">
            <v>42.596299999999999</v>
          </cell>
        </row>
        <row r="1394">
          <cell r="A1394" t="str">
            <v>001.21.00220</v>
          </cell>
          <cell r="B1394" t="str">
            <v>Execução de caixa de passagem de alvenaria de 1/2 vez c/ tampa de concreto impermeabilizada 30.00 x 30.00 x 40.00 cm</v>
          </cell>
          <cell r="C1394" t="str">
            <v>CJ</v>
          </cell>
          <cell r="D1394">
            <v>49.892099999999999</v>
          </cell>
        </row>
        <row r="1395">
          <cell r="A1395" t="str">
            <v>001.21.00240</v>
          </cell>
          <cell r="B1395" t="str">
            <v>Execução de caixa de passagem de alvenaria de 1/2 vez c/ tampa de concreto impermeabilizada 40.00 x 40.00 x 40.00 cm</v>
          </cell>
          <cell r="C1395" t="str">
            <v>CJ</v>
          </cell>
          <cell r="D1395">
            <v>62.007599999999996</v>
          </cell>
        </row>
        <row r="1396">
          <cell r="A1396" t="str">
            <v>001.21.00260</v>
          </cell>
          <cell r="B1396" t="str">
            <v>Execução de caixa de passagem de alvenaria de 1/2 vez c/ tampa de concreto impermeabilizada 40.00 x 40.00 x 50.00 cm</v>
          </cell>
          <cell r="C1396" t="str">
            <v>CJ</v>
          </cell>
          <cell r="D1396">
            <v>73.315600000000003</v>
          </cell>
        </row>
        <row r="1397">
          <cell r="A1397" t="str">
            <v>001.21.00280</v>
          </cell>
          <cell r="B1397" t="str">
            <v>Execução de caixa de passagem de alvenaria de 1/2 vez c/ tampa de concreto impermeabiliada 50.00 x 50.00 x 50.00 cm</v>
          </cell>
          <cell r="C1397" t="str">
            <v>CJ</v>
          </cell>
          <cell r="D1397">
            <v>90.509</v>
          </cell>
        </row>
        <row r="1398">
          <cell r="A1398" t="str">
            <v>001.21.00300</v>
          </cell>
          <cell r="B1398" t="str">
            <v>Exeucução de caixa de passagem de alvenaria de 1/2 vez c/ tampa de concreto impermeabilizada 50.00 x 50.00 x 60.0 cm</v>
          </cell>
          <cell r="C1398" t="str">
            <v>CJ</v>
          </cell>
          <cell r="D1398">
            <v>100.90900000000001</v>
          </cell>
        </row>
        <row r="1399">
          <cell r="A1399" t="str">
            <v>001.21.00320</v>
          </cell>
          <cell r="B1399" t="str">
            <v>Execuçãoo de caixa de passagem de alvenaria de 1/2 vez c/ tampa de concreto impermeabilizada 60.00 x 60.00 x 60.00 cm</v>
          </cell>
          <cell r="C1399" t="str">
            <v>CJ</v>
          </cell>
          <cell r="D1399">
            <v>123.2679</v>
          </cell>
        </row>
        <row r="1400">
          <cell r="A1400" t="str">
            <v>001.21.00340</v>
          </cell>
          <cell r="B1400" t="str">
            <v>Execução de caixa de passagem de alvenaria de 1/2 vez c/ tampa de concreto impermeabilizada 80.00 x 80.00 x 80.00 cm</v>
          </cell>
          <cell r="C1400" t="str">
            <v>CJ</v>
          </cell>
          <cell r="D1400">
            <v>202.98230000000001</v>
          </cell>
        </row>
        <row r="1401">
          <cell r="A1401" t="str">
            <v>001.21.00360</v>
          </cell>
          <cell r="B1401" t="str">
            <v>Execução de caixa de passagem de alvenaria de 1/2 vez c/ tampa de concreto impermeabilizada 80.00 x 80.00 x 100.00 cm</v>
          </cell>
          <cell r="C1401" t="str">
            <v>CJ</v>
          </cell>
          <cell r="D1401">
            <v>239.08099999999999</v>
          </cell>
        </row>
        <row r="1402">
          <cell r="A1402" t="str">
            <v>001.22</v>
          </cell>
          <cell r="B1402" t="str">
            <v>INSTALAÇÕES ELÉTRICAS - ALTA TENSÃO</v>
          </cell>
          <cell r="D1402">
            <v>102058.2659</v>
          </cell>
        </row>
        <row r="1403">
          <cell r="A1403" t="str">
            <v>001.22.00020</v>
          </cell>
          <cell r="B1403" t="str">
            <v>Fornecimento e Instalação de Fusível NH 63 A, 500 V</v>
          </cell>
          <cell r="C1403" t="str">
            <v>UN</v>
          </cell>
          <cell r="D1403">
            <v>14.727399999999999</v>
          </cell>
        </row>
        <row r="1404">
          <cell r="A1404" t="str">
            <v>001.22.00040</v>
          </cell>
          <cell r="B1404" t="str">
            <v>Fornecimento e Instalação de Fusível NH 80 A, 500 V</v>
          </cell>
          <cell r="C1404" t="str">
            <v>UN</v>
          </cell>
          <cell r="D1404">
            <v>5.1574</v>
          </cell>
        </row>
        <row r="1405">
          <cell r="A1405" t="str">
            <v>001.22.00060</v>
          </cell>
          <cell r="B1405" t="str">
            <v>Fornecimento e Instalação de Fusível NH 100 A, 500 V</v>
          </cell>
          <cell r="C1405" t="str">
            <v>UN</v>
          </cell>
          <cell r="D1405">
            <v>14.727399999999999</v>
          </cell>
        </row>
        <row r="1406">
          <cell r="A1406" t="str">
            <v>001.22.00080</v>
          </cell>
          <cell r="B1406" t="str">
            <v>Fornecimento e Instalação de Fusível NH 160 A, 500 V</v>
          </cell>
          <cell r="C1406" t="str">
            <v>UN</v>
          </cell>
          <cell r="D1406">
            <v>14.727399999999999</v>
          </cell>
        </row>
        <row r="1407">
          <cell r="A1407" t="str">
            <v>001.22.00100</v>
          </cell>
          <cell r="B1407" t="str">
            <v>Fornecimento e Instalação de Fusível NH 200 A, 500 V</v>
          </cell>
          <cell r="C1407" t="str">
            <v>UN</v>
          </cell>
          <cell r="D1407">
            <v>31.236000000000001</v>
          </cell>
        </row>
        <row r="1408">
          <cell r="A1408" t="str">
            <v>001.22.00120</v>
          </cell>
          <cell r="B1408" t="str">
            <v>Fornecimento e Instalação de Fusível NH 315 A, 500 V</v>
          </cell>
          <cell r="C1408" t="str">
            <v>UN</v>
          </cell>
          <cell r="D1408">
            <v>45.926000000000002</v>
          </cell>
        </row>
        <row r="1409">
          <cell r="A1409" t="str">
            <v>001.22.00140</v>
          </cell>
          <cell r="B1409" t="str">
            <v>Fornecimento e Instalação de Fusível NH 400 A, 500 V</v>
          </cell>
          <cell r="C1409" t="str">
            <v>UN</v>
          </cell>
          <cell r="D1409">
            <v>20.795999999999999</v>
          </cell>
        </row>
        <row r="1410">
          <cell r="A1410" t="str">
            <v>001.22.00160</v>
          </cell>
          <cell r="B1410" t="str">
            <v>Fornecimento e Instalação de Fusível NH 630 A, 500 V</v>
          </cell>
          <cell r="C1410" t="str">
            <v>UN</v>
          </cell>
          <cell r="D1410">
            <v>29.936</v>
          </cell>
        </row>
        <row r="1411">
          <cell r="A1411" t="str">
            <v>001.22.00180</v>
          </cell>
          <cell r="B1411" t="str">
            <v>Fornecimento e instalação de chave blindada triplar 3x125amp/500v</v>
          </cell>
          <cell r="C1411" t="str">
            <v>CJ</v>
          </cell>
          <cell r="D1411">
            <v>322.31909999999999</v>
          </cell>
        </row>
        <row r="1412">
          <cell r="A1412" t="str">
            <v>001.22.00190</v>
          </cell>
          <cell r="B1412" t="str">
            <v>Execução de mureta em alvenaria de 1.5 vez  de tijolo assente com argamassa mista 1:2:8 cimento cal hidratada e areia inclusive fundação em concreto ciclópico no traço 1:3;6 revestimento rústico e caiação - para instalação de medidor de luz e força</v>
          </cell>
          <cell r="C1412" t="str">
            <v>m2</v>
          </cell>
          <cell r="D1412">
            <v>142.69110000000001</v>
          </cell>
        </row>
        <row r="1413">
          <cell r="A1413" t="str">
            <v>001.22.00200</v>
          </cell>
          <cell r="B1413" t="str">
            <v>Fornecimento e instalação de placa de advertência com os dizeres ""perigo de morte alta tensão""</v>
          </cell>
          <cell r="C1413" t="str">
            <v>PC</v>
          </cell>
          <cell r="D1413">
            <v>36.087000000000003</v>
          </cell>
        </row>
        <row r="1414">
          <cell r="A1414" t="str">
            <v>001.22.00220</v>
          </cell>
          <cell r="B1414" t="str">
            <v>Fornecimento e instalação de arame de aço galvanizado nº 14bwg (27 2g/m)</v>
          </cell>
          <cell r="C1414" t="str">
            <v>KG</v>
          </cell>
          <cell r="D1414">
            <v>8.3422000000000001</v>
          </cell>
        </row>
        <row r="1415">
          <cell r="A1415" t="str">
            <v>001.22.00240</v>
          </cell>
          <cell r="B1415" t="str">
            <v>Fornecimento e instalação de cabo de aço 6.4mm 1/4""</v>
          </cell>
          <cell r="C1415" t="str">
            <v>ML</v>
          </cell>
          <cell r="D1415">
            <v>2.5790000000000002</v>
          </cell>
        </row>
        <row r="1416">
          <cell r="A1416" t="str">
            <v>001.22.00260</v>
          </cell>
          <cell r="B1416" t="str">
            <v>Esticador galvanizado de diâm. 1/2""</v>
          </cell>
          <cell r="C1416" t="str">
            <v>UN</v>
          </cell>
          <cell r="D1416">
            <v>13.026</v>
          </cell>
        </row>
        <row r="1417">
          <cell r="A1417" t="str">
            <v>001.22.00280</v>
          </cell>
          <cell r="B1417" t="str">
            <v>Fornecimento e instalação de sapatilha para cabo de aço ate 3/8</v>
          </cell>
          <cell r="C1417" t="str">
            <v>UN</v>
          </cell>
          <cell r="D1417">
            <v>1.5673999999999999</v>
          </cell>
        </row>
        <row r="1418">
          <cell r="A1418" t="str">
            <v>001.22.00300</v>
          </cell>
          <cell r="B1418" t="str">
            <v>Fornecimento e instalação de fita de alumínio para proteção de 1 x 10 mm</v>
          </cell>
          <cell r="C1418" t="str">
            <v>KG</v>
          </cell>
          <cell r="D1418">
            <v>34.2209</v>
          </cell>
        </row>
        <row r="1419">
          <cell r="A1419" t="str">
            <v>001.22.00320</v>
          </cell>
          <cell r="B1419" t="str">
            <v>Fornecimento e instalação de arruela redonda para parafuso diam. 16.00 mm (5/8"""")</v>
          </cell>
          <cell r="C1419" t="str">
            <v>UN</v>
          </cell>
          <cell r="D1419">
            <v>0.78869999999999996</v>
          </cell>
        </row>
        <row r="1420">
          <cell r="A1420" t="str">
            <v>001.22.00340</v>
          </cell>
          <cell r="B1420" t="str">
            <v>Fornecimento e instalação de porca quadrada para parafuso diâmetro 16.00mm</v>
          </cell>
          <cell r="C1420" t="str">
            <v>UN</v>
          </cell>
          <cell r="D1420">
            <v>1.2174</v>
          </cell>
        </row>
        <row r="1421">
          <cell r="A1421" t="str">
            <v>001.22.00360</v>
          </cell>
          <cell r="B1421" t="str">
            <v>Fornecimento e instalação de Cabo de Alumínio Nú 2 CAA AWG SPARROW</v>
          </cell>
          <cell r="C1421" t="str">
            <v>KG</v>
          </cell>
          <cell r="D1421">
            <v>16.043700000000001</v>
          </cell>
        </row>
        <row r="1422">
          <cell r="A1422" t="str">
            <v>001.22.00380</v>
          </cell>
          <cell r="B1422" t="str">
            <v>Fornecimento e Instalação de Cabo de Alumínio Multiplexado 3 x 1 x 35 mm2 + 35 mm2 - Fase CA, Isolamento com XLPE e Neutro Nú CAL</v>
          </cell>
          <cell r="C1422" t="str">
            <v>ML</v>
          </cell>
          <cell r="D1422">
            <v>12.3843</v>
          </cell>
        </row>
        <row r="1423">
          <cell r="A1423" t="str">
            <v>001.22.00400</v>
          </cell>
          <cell r="B1423" t="str">
            <v>Fornecimento e Instalação de Cabo de Alumínio Multiplexado 3 x 1 x 70 mm2 + 70 mm2 - Fase CA, Isolamento com XLPE e Neutro Nú CAL</v>
          </cell>
          <cell r="C1423" t="str">
            <v>ML</v>
          </cell>
          <cell r="D1423">
            <v>21.6357</v>
          </cell>
        </row>
        <row r="1424">
          <cell r="A1424" t="str">
            <v>001.22.00420</v>
          </cell>
          <cell r="B1424" t="str">
            <v>Fornecimento e Instalação de Cabo de Alumínio Multiplexado 3 x 1 x 120 mm2 + 70 mm2 - Fase CA, Isolamento com XLPE e Neutro Nú CAL</v>
          </cell>
          <cell r="C1424" t="str">
            <v>ML</v>
          </cell>
          <cell r="D1424">
            <v>32.845500000000001</v>
          </cell>
        </row>
        <row r="1425">
          <cell r="A1425" t="str">
            <v>001.22.00440</v>
          </cell>
          <cell r="B1425" t="str">
            <v>Fornecimento e instalação de Cruzeta de Concreto 90 x 90 x 2000 mm - 250 daN - Retangular</v>
          </cell>
          <cell r="C1425" t="str">
            <v>UN</v>
          </cell>
          <cell r="D1425">
            <v>63.160200000000003</v>
          </cell>
        </row>
        <row r="1426">
          <cell r="A1426" t="str">
            <v>001.22.00460</v>
          </cell>
          <cell r="B1426" t="str">
            <v>Fornecimento e Instalação de Mão Francesa Plana 3/16"""" x 32 x 619 mm</v>
          </cell>
          <cell r="C1426" t="str">
            <v>UN</v>
          </cell>
          <cell r="D1426">
            <v>7.4939</v>
          </cell>
        </row>
        <row r="1427">
          <cell r="A1427" t="str">
            <v>001.22.00480</v>
          </cell>
          <cell r="B1427" t="str">
            <v>Fornecimento e Instalação de Olhal Para Parafuso de Diam.16mm</v>
          </cell>
          <cell r="C1427" t="str">
            <v>UN</v>
          </cell>
          <cell r="D1427">
            <v>8.6938999999999993</v>
          </cell>
        </row>
        <row r="1428">
          <cell r="A1428" t="str">
            <v>001.22.00500</v>
          </cell>
          <cell r="B1428" t="str">
            <v>Fornecimento e Instalação de Isolador de Disco de 154.00 mm (6"""")</v>
          </cell>
          <cell r="C1428" t="str">
            <v>UN</v>
          </cell>
          <cell r="D1428">
            <v>25.343900000000001</v>
          </cell>
        </row>
        <row r="1429">
          <cell r="A1429" t="str">
            <v>001.22.00520</v>
          </cell>
          <cell r="B1429" t="str">
            <v>Fornecimento e instalação de Isolador de Pilar 15.00 Kv - 110 Kv</v>
          </cell>
          <cell r="C1429" t="str">
            <v>UN</v>
          </cell>
          <cell r="D1429">
            <v>59.335299999999997</v>
          </cell>
        </row>
        <row r="1430">
          <cell r="A1430" t="str">
            <v>001.22.00540</v>
          </cell>
          <cell r="B1430" t="str">
            <v>Fornecimento e instalação de Isolador de Pilar 34,50 Kv - 170 Kv</v>
          </cell>
          <cell r="C1430" t="str">
            <v>UN</v>
          </cell>
          <cell r="D1430">
            <v>56.075299999999999</v>
          </cell>
        </row>
        <row r="1431">
          <cell r="A1431" t="str">
            <v>001.22.00560</v>
          </cell>
          <cell r="B1431" t="str">
            <v>Fornecimento e Instalação de Pino Auto Travante 16.00 x 168.00 mm 15/34.5 KV</v>
          </cell>
          <cell r="C1431" t="str">
            <v>UN</v>
          </cell>
          <cell r="D1431">
            <v>8.9469999999999992</v>
          </cell>
        </row>
        <row r="1432">
          <cell r="A1432" t="str">
            <v>001.22.00580</v>
          </cell>
          <cell r="B1432" t="str">
            <v>Fornecimento e Instalação de Arruela Quadrada 16.00 de 38.00mm X 3.00 mm com Furo de 18.00 mm</v>
          </cell>
          <cell r="C1432" t="str">
            <v>UN</v>
          </cell>
          <cell r="D1432">
            <v>0.58520000000000005</v>
          </cell>
        </row>
        <row r="1433">
          <cell r="A1433" t="str">
            <v>001.22.00600</v>
          </cell>
          <cell r="B1433" t="str">
            <v>Fornecimento e Instalação de Gancho Olhal</v>
          </cell>
          <cell r="C1433" t="str">
            <v>UN</v>
          </cell>
          <cell r="D1433">
            <v>6.5651000000000002</v>
          </cell>
        </row>
        <row r="1434">
          <cell r="A1434" t="str">
            <v>001.22.00620</v>
          </cell>
          <cell r="B1434" t="str">
            <v>Fornecimento e instalação de chave fusível XS 15 Kv 300 A 10 KA Mod C</v>
          </cell>
          <cell r="C1434" t="str">
            <v>UN</v>
          </cell>
          <cell r="D1434">
            <v>140.35390000000001</v>
          </cell>
        </row>
        <row r="1435">
          <cell r="A1435" t="str">
            <v>001.22.00640</v>
          </cell>
          <cell r="B1435" t="str">
            <v>Fornecimento e Instalação de Chave Fusível XS 36,2 Kv 300 A 5 KA Mod C</v>
          </cell>
          <cell r="C1435" t="str">
            <v>UN</v>
          </cell>
          <cell r="D1435">
            <v>205.47389999999999</v>
          </cell>
        </row>
        <row r="1436">
          <cell r="A1436" t="str">
            <v>001.22.00660</v>
          </cell>
          <cell r="B1436" t="str">
            <v>Fornecimento e Instalação de Chave Seccionadora Unipolar 15 Kv 630 A 95 KV C/ Terminal</v>
          </cell>
          <cell r="C1436" t="str">
            <v>UN</v>
          </cell>
          <cell r="D1436">
            <v>236.5522</v>
          </cell>
        </row>
        <row r="1437">
          <cell r="A1437" t="str">
            <v>001.22.00680</v>
          </cell>
          <cell r="B1437" t="str">
            <v>Fornecimento e Instalação de Chave Seccionadora Unipolar 36,2 Kv 630 A 95 KV C/ Terminal</v>
          </cell>
          <cell r="C1437" t="str">
            <v>UN</v>
          </cell>
          <cell r="D1437">
            <v>405.08699999999999</v>
          </cell>
        </row>
        <row r="1438">
          <cell r="A1438" t="str">
            <v>001.22.00700</v>
          </cell>
          <cell r="B1438" t="str">
            <v>Fornecimento e Instalação de Protetor de Bucha A. T. de Trafo 15 KV</v>
          </cell>
          <cell r="C1438" t="str">
            <v>UN</v>
          </cell>
          <cell r="D1438">
            <v>15.6751</v>
          </cell>
        </row>
        <row r="1439">
          <cell r="A1439" t="str">
            <v>001.22.00720</v>
          </cell>
          <cell r="B1439" t="str">
            <v>Fornecimento e Instalação de Elo Fusível de Alta Tensão 1 H 500 mm</v>
          </cell>
          <cell r="C1439" t="str">
            <v>UN</v>
          </cell>
          <cell r="D1439">
            <v>4.0347999999999997</v>
          </cell>
        </row>
        <row r="1440">
          <cell r="A1440" t="str">
            <v>001.22.00740</v>
          </cell>
          <cell r="B1440" t="str">
            <v>Fornecimento e Instalação de Elo Fusível de Alta Tensão 2 H 500 mm</v>
          </cell>
          <cell r="C1440" t="str">
            <v>UN</v>
          </cell>
          <cell r="D1440">
            <v>4.0347999999999997</v>
          </cell>
        </row>
        <row r="1441">
          <cell r="A1441" t="str">
            <v>001.22.00760</v>
          </cell>
          <cell r="B1441" t="str">
            <v>Fornecimento e Instalação de Elo Fusível de Alta Tensão 3 H 500 mm</v>
          </cell>
          <cell r="C1441" t="str">
            <v>UN</v>
          </cell>
          <cell r="D1441">
            <v>4.0347999999999997</v>
          </cell>
        </row>
        <row r="1442">
          <cell r="A1442" t="str">
            <v>001.22.00780</v>
          </cell>
          <cell r="B1442" t="str">
            <v>Fornecimento e Instalação de Elo Fusível de Alta Tensão 5 H 500 mm</v>
          </cell>
          <cell r="C1442" t="str">
            <v>UN</v>
          </cell>
          <cell r="D1442">
            <v>4.0347999999999997</v>
          </cell>
        </row>
        <row r="1443">
          <cell r="A1443" t="str">
            <v>001.22.00800</v>
          </cell>
          <cell r="B1443" t="str">
            <v>Fornecimento e Instalação de Elo Fusível de Alta Tensão 6 K 500 mm</v>
          </cell>
          <cell r="C1443" t="str">
            <v>UN</v>
          </cell>
          <cell r="D1443">
            <v>4.0347999999999997</v>
          </cell>
        </row>
        <row r="1444">
          <cell r="A1444" t="str">
            <v>001.22.00820</v>
          </cell>
          <cell r="B1444" t="str">
            <v>Fornecimento e Instalação de Elo Fusível de Alta Tensão 15 K 500 mm</v>
          </cell>
          <cell r="C1444" t="str">
            <v>UN</v>
          </cell>
          <cell r="D1444">
            <v>4.5347999999999997</v>
          </cell>
        </row>
        <row r="1445">
          <cell r="A1445" t="str">
            <v>001.22.00840</v>
          </cell>
          <cell r="B1445" t="str">
            <v>Fornecimento e Instalação de Elo Fusível de Alta Tensão 25 K 500 mm</v>
          </cell>
          <cell r="C1445" t="str">
            <v>UN</v>
          </cell>
          <cell r="D1445">
            <v>4.8348000000000004</v>
          </cell>
        </row>
        <row r="1446">
          <cell r="A1446" t="str">
            <v>001.22.00860</v>
          </cell>
          <cell r="B1446" t="str">
            <v>Fornecimento e Instalação de Para Raios 12 KV 10 KA Polimérico ZQP</v>
          </cell>
          <cell r="C1446" t="str">
            <v>UN</v>
          </cell>
          <cell r="D1446">
            <v>151.76390000000001</v>
          </cell>
        </row>
        <row r="1447">
          <cell r="A1447" t="str">
            <v>001.22.00880</v>
          </cell>
          <cell r="B1447" t="str">
            <v>Fornecimento e Instalação de Para Raios 30 KV 10 KA Polimérico ZQP</v>
          </cell>
          <cell r="C1447" t="str">
            <v>UN</v>
          </cell>
          <cell r="D1447">
            <v>351.57389999999998</v>
          </cell>
        </row>
        <row r="1448">
          <cell r="A1448" t="str">
            <v>001.22.00900</v>
          </cell>
          <cell r="B1448" t="str">
            <v>Fornecimento e Instalação de Suporte Padronizado para Transformador Para Poste DT 195 X 100 mm</v>
          </cell>
          <cell r="C1448" t="str">
            <v>UN</v>
          </cell>
          <cell r="D1448">
            <v>70.433899999999994</v>
          </cell>
        </row>
        <row r="1449">
          <cell r="A1449" t="str">
            <v>001.22.00920</v>
          </cell>
          <cell r="B1449" t="str">
            <v>Fornecimento e Instalação de Suporte Para Transformador Em Poste Circular 210 mm</v>
          </cell>
          <cell r="C1449" t="str">
            <v>UN</v>
          </cell>
          <cell r="D1449">
            <v>66.173900000000003</v>
          </cell>
        </row>
        <row r="1450">
          <cell r="A1450" t="str">
            <v>001.22.00940</v>
          </cell>
          <cell r="B1450" t="str">
            <v>Fornecimento e Instalação de Suporte Para Transformador Em Poste Circular 230 mm</v>
          </cell>
          <cell r="C1450" t="str">
            <v>UN</v>
          </cell>
          <cell r="D1450">
            <v>71.173900000000003</v>
          </cell>
        </row>
        <row r="1451">
          <cell r="A1451" t="str">
            <v>001.22.00960</v>
          </cell>
          <cell r="B1451" t="str">
            <v>Fornecimento e instalação de transformador Monofásico - MRT - Tensão Secundária 245/127 V 34.5 KV - 15 KVA</v>
          </cell>
          <cell r="C1451" t="str">
            <v>UN</v>
          </cell>
          <cell r="D1451">
            <v>2085.2170000000001</v>
          </cell>
        </row>
        <row r="1452">
          <cell r="A1452" t="str">
            <v>001.22.00980</v>
          </cell>
          <cell r="B1452" t="str">
            <v>Forneciemnto e instalação de transformador trifásico 13 8 13 2 6 6kv/220v primário em triângulo secundário em estrela 30 kva</v>
          </cell>
          <cell r="C1452" t="str">
            <v>UN</v>
          </cell>
          <cell r="D1452">
            <v>3361.0868</v>
          </cell>
        </row>
        <row r="1453">
          <cell r="A1453" t="str">
            <v>001.22.01000</v>
          </cell>
          <cell r="B1453" t="str">
            <v>Forneciemnto e instalação de transformador trifásico 13 8 13 2 6 6kv/220v primário em triângulo secundário em estrela 45 kva</v>
          </cell>
          <cell r="C1453" t="str">
            <v>UN</v>
          </cell>
          <cell r="D1453">
            <v>4163.7824000000001</v>
          </cell>
        </row>
        <row r="1454">
          <cell r="A1454" t="str">
            <v>001.22.01020</v>
          </cell>
          <cell r="B1454" t="str">
            <v>Forneciemnto e instalação de transformador trifásico 13 8 13 2 6 6kv/220v primário em triângulo secundário em estrela 75 kva</v>
          </cell>
          <cell r="C1454" t="str">
            <v>UN</v>
          </cell>
          <cell r="D1454">
            <v>5813.4780000000001</v>
          </cell>
        </row>
        <row r="1455">
          <cell r="A1455" t="str">
            <v>001.22.01040</v>
          </cell>
          <cell r="B1455" t="str">
            <v>Forneciemnto e instalação de transformador trifásico 13 8 13 2 6 6kv/220v primário em triângulo secundário em estrela 112.5 kva</v>
          </cell>
          <cell r="C1455" t="str">
            <v>UN</v>
          </cell>
          <cell r="D1455">
            <v>7425.5169999999998</v>
          </cell>
        </row>
        <row r="1456">
          <cell r="A1456" t="str">
            <v>001.22.01060</v>
          </cell>
          <cell r="B1456" t="str">
            <v>Fornecimento e instalação de transformador trifásico 13 8 13 2 6 6kv/220v primário em triângulo secundário em estrela 150 kva</v>
          </cell>
          <cell r="C1456" t="str">
            <v>UN</v>
          </cell>
          <cell r="D1456">
            <v>9294.9560000000001</v>
          </cell>
        </row>
        <row r="1457">
          <cell r="A1457" t="str">
            <v>001.22.01080</v>
          </cell>
          <cell r="B1457" t="str">
            <v>Fornecimento e instalação de transformador trifásico 13 8 13 2 6 6kv/220v primário em triângulo secundário em estrela 15 kva</v>
          </cell>
          <cell r="C1457" t="str">
            <v>UN</v>
          </cell>
          <cell r="D1457">
            <v>2261.3912</v>
          </cell>
        </row>
        <row r="1458">
          <cell r="A1458" t="str">
            <v>001.22.01100</v>
          </cell>
          <cell r="B1458" t="str">
            <v>Fornecimento e instalação de transformador trifásico 13 8 13 2 6 6kv/220v primário em triângulo secundário em estrela 225 kva</v>
          </cell>
          <cell r="C1458" t="str">
            <v>UN</v>
          </cell>
          <cell r="D1458">
            <v>11986.138999999999</v>
          </cell>
        </row>
        <row r="1459">
          <cell r="A1459" t="str">
            <v>001.22.01120</v>
          </cell>
          <cell r="B1459" t="str">
            <v>Forneciemnto e instalação de transformador trifásico 13 8 13 2 6 6kv/220v primário em triângulo secundário em estrela 300 kva</v>
          </cell>
          <cell r="C1459" t="str">
            <v>UN</v>
          </cell>
          <cell r="D1459">
            <v>15607.834000000001</v>
          </cell>
        </row>
        <row r="1460">
          <cell r="A1460" t="str">
            <v>001.22.01140</v>
          </cell>
          <cell r="B1460" t="str">
            <v>Fornecimento e trasformação de trasformador de distribuição trifásico, com resfriamento em banho de óleo mineral, para uso interno, potência 500 kva - classe de tensão 15 kv, transprimários de 13.800, 13.200, 12.600 - ligação delta e 220-127v, ligação e</v>
          </cell>
          <cell r="C1460" t="str">
            <v>UN</v>
          </cell>
          <cell r="D1460">
            <v>21980.695</v>
          </cell>
        </row>
        <row r="1461">
          <cell r="A1461" t="str">
            <v>001.22.01160</v>
          </cell>
          <cell r="B1461" t="str">
            <v>Fornecimento e instalação de parafuso cabeça quadrada """"máquina"""", dim.16.00mm x 125.00mm, incl. Porca Quadrada Diam. Interno 16.00 mm</v>
          </cell>
          <cell r="C1461" t="str">
            <v>CJ</v>
          </cell>
          <cell r="D1461">
            <v>3.0575000000000001</v>
          </cell>
        </row>
        <row r="1462">
          <cell r="A1462" t="str">
            <v>001.22.01180</v>
          </cell>
          <cell r="B1462" t="str">
            <v>Fornecimento e instalação de parafuso cabeça quadrada """"máquina"""", dim.16.00mm x 150.00mm, incl. Porca Quadrada Diam. Interno 16.00 mm</v>
          </cell>
          <cell r="C1462" t="str">
            <v>CJ</v>
          </cell>
          <cell r="D1462">
            <v>3.4375</v>
          </cell>
        </row>
        <row r="1463">
          <cell r="A1463" t="str">
            <v>001.22.01200</v>
          </cell>
          <cell r="B1463" t="str">
            <v>Fornecimento e instalação de parafuso cabeça quadrada """"máquina"""", dim.16.00mm x 200.00mm, incl. Porca Quadrada Diam. Interno 16.00 mm</v>
          </cell>
          <cell r="C1463" t="str">
            <v>CJ</v>
          </cell>
          <cell r="D1463">
            <v>3.6074999999999999</v>
          </cell>
        </row>
        <row r="1464">
          <cell r="A1464" t="str">
            <v>001.22.01220</v>
          </cell>
          <cell r="B1464" t="str">
            <v>Fornecimento e instalação de parafuso cabeça quadrada """"máquina"""", dim.16.00mm x 250.00mm, incl. Porca Quadrada Diam. Interno 16.00 mm</v>
          </cell>
          <cell r="C1464" t="str">
            <v>CJ</v>
          </cell>
          <cell r="D1464">
            <v>4.0674999999999999</v>
          </cell>
        </row>
        <row r="1465">
          <cell r="A1465" t="str">
            <v>001.22.01240</v>
          </cell>
          <cell r="B1465" t="str">
            <v>Fornecimento e instalação de parafuso cabeça quadrada """"máquina"""", dim.16.00mm x 300.00mm, incl. Porca Quadrada Diam. Interno 16.00 mm</v>
          </cell>
          <cell r="C1465" t="str">
            <v>CJ</v>
          </cell>
          <cell r="D1465">
            <v>4.7074999999999996</v>
          </cell>
        </row>
        <row r="1466">
          <cell r="A1466" t="str">
            <v>001.22.01260</v>
          </cell>
          <cell r="B1466" t="str">
            <v>Fornecimento e instalação de parafuso cabeça quadrada """"máquina"""", dim.16.00mm x 350.00mm, incl. Porca Quadrada Diam. Interno 16.00 mm</v>
          </cell>
          <cell r="C1466" t="str">
            <v>CJ</v>
          </cell>
          <cell r="D1466">
            <v>5.6375000000000002</v>
          </cell>
        </row>
        <row r="1467">
          <cell r="A1467" t="str">
            <v>001.22.01280</v>
          </cell>
          <cell r="B1467" t="str">
            <v>Fornecimento e instalação de parafuso cabeça quadrada """"máquina"""", dim.16.00mm x 400.00mm, incl. Porca Quadrada Diam. Interno 16.00 mm</v>
          </cell>
          <cell r="C1467" t="str">
            <v>CJ</v>
          </cell>
          <cell r="D1467">
            <v>6.1375000000000002</v>
          </cell>
        </row>
        <row r="1468">
          <cell r="A1468" t="str">
            <v>001.22.01300</v>
          </cell>
          <cell r="B1468" t="str">
            <v>Fornecimento e instalação de parafuso cabeça quadrada """"máquina"""", dim.16.00mm x 450.00mm, incl. Porca Quadrada Diam. Interno 16.00 mm</v>
          </cell>
          <cell r="C1468" t="str">
            <v>CJ</v>
          </cell>
          <cell r="D1468">
            <v>6.5374999999999996</v>
          </cell>
        </row>
        <row r="1469">
          <cell r="A1469" t="str">
            <v>001.22.01320</v>
          </cell>
          <cell r="B1469" t="str">
            <v>Fornecimento e instalação de parafuso cabeça quadrada """"máquina"""", dim.16.00mm x 500.00mm, incl. Porca Quadrada Diam. Interno 16.00 mm</v>
          </cell>
          <cell r="C1469" t="str">
            <v>CJ</v>
          </cell>
          <cell r="D1469">
            <v>7.2374999999999998</v>
          </cell>
        </row>
        <row r="1470">
          <cell r="A1470" t="str">
            <v>001.22.01340</v>
          </cell>
          <cell r="B1470" t="str">
            <v>Fornecimento e instalação de cinta circular de aço galvanizado diam. 150.00 mm</v>
          </cell>
          <cell r="C1470" t="str">
            <v>UN</v>
          </cell>
          <cell r="D1470">
            <v>14.8439</v>
          </cell>
        </row>
        <row r="1471">
          <cell r="A1471" t="str">
            <v>001.22.01360</v>
          </cell>
          <cell r="B1471" t="str">
            <v>Fornecimento e instalação de cinta circular de aço galvanizado diam. 160.00 mm</v>
          </cell>
          <cell r="C1471" t="str">
            <v>UN</v>
          </cell>
          <cell r="D1471">
            <v>15.043900000000001</v>
          </cell>
        </row>
        <row r="1472">
          <cell r="A1472" t="str">
            <v>001.22.01380</v>
          </cell>
          <cell r="B1472" t="str">
            <v>Fornecimento e instalação de cinta circular de aço galvanizado diam. 170.00 mm</v>
          </cell>
          <cell r="C1472" t="str">
            <v>UN</v>
          </cell>
          <cell r="D1472">
            <v>15.2439</v>
          </cell>
        </row>
        <row r="1473">
          <cell r="A1473" t="str">
            <v>001.22.01400</v>
          </cell>
          <cell r="B1473" t="str">
            <v>Fornecimento e instalação de cinta circular de aço galvanizado diam. 180.00 mm</v>
          </cell>
          <cell r="C1473" t="str">
            <v>UN</v>
          </cell>
          <cell r="D1473">
            <v>15.6439</v>
          </cell>
        </row>
        <row r="1474">
          <cell r="A1474" t="str">
            <v>001.22.01420</v>
          </cell>
          <cell r="B1474" t="str">
            <v>Fornecimento e instalação de cinta circular de aço galvanizado diam. 190.00 mm</v>
          </cell>
          <cell r="C1474" t="str">
            <v>UN</v>
          </cell>
          <cell r="D1474">
            <v>17.260899999999999</v>
          </cell>
        </row>
        <row r="1475">
          <cell r="A1475" t="str">
            <v>001.22.01440</v>
          </cell>
          <cell r="B1475" t="str">
            <v>Fornecimento e instalação de cinta circular de aço galvanizado diam. 200.00 mm</v>
          </cell>
          <cell r="C1475" t="str">
            <v>UN</v>
          </cell>
          <cell r="D1475">
            <v>16.643899999999999</v>
          </cell>
        </row>
        <row r="1476">
          <cell r="A1476" t="str">
            <v>001.22.01460</v>
          </cell>
          <cell r="B1476" t="str">
            <v>Fornecimento e instalação de cinta circular de aço galvanizado diam. 210.00 mm</v>
          </cell>
          <cell r="C1476" t="str">
            <v>UN</v>
          </cell>
          <cell r="D1476">
            <v>16.943899999999999</v>
          </cell>
        </row>
        <row r="1477">
          <cell r="A1477" t="str">
            <v>001.22.01480</v>
          </cell>
          <cell r="B1477" t="str">
            <v>Fornecimento e instalação de cinta circular de aço galvanizado diam. 220.00 mm</v>
          </cell>
          <cell r="C1477" t="str">
            <v>UN</v>
          </cell>
          <cell r="D1477">
            <v>19.778199999999998</v>
          </cell>
        </row>
        <row r="1478">
          <cell r="A1478" t="str">
            <v>001.22.01500</v>
          </cell>
          <cell r="B1478" t="str">
            <v>Fornecimento e instalação de cinta circular de aço galvanizado diam. 230.00 mm</v>
          </cell>
          <cell r="C1478" t="str">
            <v>UN</v>
          </cell>
          <cell r="D1478">
            <v>18.2439</v>
          </cell>
        </row>
        <row r="1479">
          <cell r="A1479" t="str">
            <v>001.22.01520</v>
          </cell>
          <cell r="B1479" t="str">
            <v>Fornecimento e instalação de cinta circular de aço galvanizado diam. 240.00 mm</v>
          </cell>
          <cell r="C1479" t="str">
            <v>UN</v>
          </cell>
          <cell r="D1479">
            <v>18.543900000000001</v>
          </cell>
        </row>
        <row r="1480">
          <cell r="A1480" t="str">
            <v>001.22.01540</v>
          </cell>
          <cell r="B1480" t="str">
            <v>Fornecimento e instalação de cinta circular de aço galvanizado diam. 250.00 mm</v>
          </cell>
          <cell r="C1480" t="str">
            <v>UN</v>
          </cell>
          <cell r="D1480">
            <v>19.2439</v>
          </cell>
        </row>
        <row r="1481">
          <cell r="A1481" t="str">
            <v>001.22.01560</v>
          </cell>
          <cell r="B1481" t="str">
            <v>Fornecimento e instalação de parafuso rosca dupla """"passante"""" dim.16.00mm x 350.00mm, incl. Porca Quadrada Diam. Interno 16.00 mm</v>
          </cell>
          <cell r="C1481" t="str">
            <v>CJ</v>
          </cell>
          <cell r="D1481">
            <v>8.3750999999999998</v>
          </cell>
        </row>
        <row r="1482">
          <cell r="A1482" t="str">
            <v>001.22.01580</v>
          </cell>
          <cell r="B1482" t="str">
            <v>Fornecimento e instalação de parafuso rosca dupla """"passante"""" dim.16.00mm x 400.00mm, incl. Porca Quadrada Diam. Interno 16.00 mm</v>
          </cell>
          <cell r="C1482" t="str">
            <v>CJ</v>
          </cell>
          <cell r="D1482">
            <v>8.3150999999999993</v>
          </cell>
        </row>
        <row r="1483">
          <cell r="A1483" t="str">
            <v>001.22.01600</v>
          </cell>
          <cell r="B1483" t="str">
            <v>Fornecimento e instalação de parafuso rosca dupla """"passante"""" dim.16.00mm x 450.00mm, incl. Porca Quadrada Diam. Interno 16.00 mm</v>
          </cell>
          <cell r="C1483" t="str">
            <v>CJ</v>
          </cell>
          <cell r="D1483">
            <v>9.4750999999999994</v>
          </cell>
        </row>
        <row r="1484">
          <cell r="A1484" t="str">
            <v>001.22.01620</v>
          </cell>
          <cell r="B1484" t="str">
            <v>Fornecimento e instalação de parafuso rosca dupla """"passante"""" dim.16.00mm x 500.00mm, incl. Porca Quadrada Diam. Interno 16.00 mm</v>
          </cell>
          <cell r="C1484" t="str">
            <v>CJ</v>
          </cell>
          <cell r="D1484">
            <v>10.075100000000001</v>
          </cell>
        </row>
        <row r="1485">
          <cell r="A1485" t="str">
            <v>001.22.01640</v>
          </cell>
          <cell r="B1485" t="str">
            <v>Fornecimento e instalação de parafuso rosca dupla """"passante"""" dim.16.00mm x 550.00mm, incl. Porca Quadrada Diam. Interno 16.00 mm</v>
          </cell>
          <cell r="C1485" t="str">
            <v>CJ</v>
          </cell>
          <cell r="D1485">
            <v>10.3751</v>
          </cell>
        </row>
        <row r="1486">
          <cell r="A1486" t="str">
            <v>001.22.01660</v>
          </cell>
          <cell r="B1486" t="str">
            <v>Fornecimento e instalação de sela p/ cruzeta de concreto</v>
          </cell>
          <cell r="C1486" t="str">
            <v>UN</v>
          </cell>
          <cell r="D1486">
            <v>7.6238999999999999</v>
          </cell>
        </row>
        <row r="1487">
          <cell r="A1487" t="str">
            <v>001.22.01680</v>
          </cell>
          <cell r="B1487" t="str">
            <v>Fornecimento e instalação de parafuso francês (cabeça abaulada) 16.00 mm x 45.00 mm, incl. Porca Quadrada Diam. Interno 16.00 mm</v>
          </cell>
          <cell r="C1487" t="str">
            <v>CJ</v>
          </cell>
          <cell r="D1487">
            <v>2.5375000000000001</v>
          </cell>
        </row>
        <row r="1488">
          <cell r="A1488" t="str">
            <v>001.22.01700</v>
          </cell>
          <cell r="B1488" t="str">
            <v>Fornecimento e instalação de parafuso francês (cabeça abaulada) 16.00 mm x150.00 mm incl. Porca Quadrada Diam. Interno 16.00 mm</v>
          </cell>
          <cell r="C1488" t="str">
            <v>CJ</v>
          </cell>
          <cell r="D1488">
            <v>3.5375000000000001</v>
          </cell>
        </row>
        <row r="1489">
          <cell r="A1489" t="str">
            <v>001.22.01720</v>
          </cell>
          <cell r="B1489" t="str">
            <v>Fornecimento e Instalação de Laço de Topo Pref. Para Cabo 2 CAA - 15.00 KV</v>
          </cell>
          <cell r="C1489" t="str">
            <v>UN</v>
          </cell>
          <cell r="D1489">
            <v>4.2934999999999999</v>
          </cell>
        </row>
        <row r="1490">
          <cell r="A1490" t="str">
            <v>001.22.01740</v>
          </cell>
          <cell r="B1490" t="str">
            <v>Fornecimento e Instalação de Laço de Topo Pref. Para Cabo 2 CAA - 34.5 KV</v>
          </cell>
          <cell r="C1490" t="str">
            <v>UN</v>
          </cell>
          <cell r="D1490">
            <v>5.1435000000000004</v>
          </cell>
        </row>
        <row r="1491">
          <cell r="A1491" t="str">
            <v>001.22.01760</v>
          </cell>
          <cell r="B1491" t="str">
            <v>Fornecimento e Instalação de Manilha Sapatilha</v>
          </cell>
          <cell r="C1491" t="str">
            <v>UN</v>
          </cell>
          <cell r="D1491">
            <v>8.0974000000000004</v>
          </cell>
        </row>
        <row r="1492">
          <cell r="A1492" t="str">
            <v>001.22.01780</v>
          </cell>
          <cell r="B1492" t="str">
            <v>Fornecimento e Instalação de Alça Pré-Formada Cabo 2 AWG</v>
          </cell>
          <cell r="C1492" t="str">
            <v>UN</v>
          </cell>
          <cell r="D1492">
            <v>2.8675000000000002</v>
          </cell>
        </row>
        <row r="1493">
          <cell r="A1493" t="str">
            <v>001.22.01800</v>
          </cell>
          <cell r="B1493" t="str">
            <v>Fornecimento e instalação de Conector Derivação Cunha  Tipo Estribo Normal - 2 - 4</v>
          </cell>
          <cell r="C1493" t="str">
            <v>UN</v>
          </cell>
          <cell r="D1493">
            <v>12.614800000000001</v>
          </cell>
        </row>
        <row r="1494">
          <cell r="A1494" t="str">
            <v>001.22.01820</v>
          </cell>
          <cell r="B1494" t="str">
            <v>Fornecimento e Instalação de Conector Derivação Tipo Cunha - AMP - Tipo II ou Similar</v>
          </cell>
          <cell r="C1494" t="str">
            <v>UN</v>
          </cell>
          <cell r="D1494">
            <v>4.7948000000000004</v>
          </cell>
        </row>
        <row r="1495">
          <cell r="A1495" t="str">
            <v>001.22.01840</v>
          </cell>
          <cell r="B1495" t="str">
            <v>Fornecimento e Instalação de Conector Derivação Cunha 602380-2  336, 4 - 2</v>
          </cell>
          <cell r="C1495" t="str">
            <v>UN</v>
          </cell>
          <cell r="D1495">
            <v>17.134799999999998</v>
          </cell>
        </row>
        <row r="1496">
          <cell r="A1496" t="str">
            <v>001.22.01860</v>
          </cell>
          <cell r="B1496" t="str">
            <v>Fornecimento e Instalação de Conector Derivação p/Linha Viva 6 - 250</v>
          </cell>
          <cell r="C1496" t="str">
            <v>UN</v>
          </cell>
          <cell r="D1496">
            <v>12.2248</v>
          </cell>
        </row>
        <row r="1497">
          <cell r="A1497" t="str">
            <v>001.22.01880</v>
          </cell>
          <cell r="B1497" t="str">
            <v>Fornecimento e Instalação de Conector Transversal Tipo Cunha Para Aterramento 5/8"""" x ( 25 a 35 mm)</v>
          </cell>
          <cell r="C1497" t="str">
            <v>UN</v>
          </cell>
          <cell r="D1497">
            <v>16.5748</v>
          </cell>
        </row>
        <row r="1498">
          <cell r="A1498" t="str">
            <v>001.22.01900</v>
          </cell>
          <cell r="B1498" t="str">
            <v>Fornecimento e Instalação de Cabo de Cobre Isolado XLPE 15 KV 16 mm2</v>
          </cell>
          <cell r="C1498" t="str">
            <v>ML</v>
          </cell>
          <cell r="D1498">
            <v>9.1957000000000004</v>
          </cell>
        </row>
        <row r="1499">
          <cell r="A1499" t="str">
            <v>001.22.01920</v>
          </cell>
          <cell r="B1499" t="str">
            <v>Fornecimento e Instalação de Cartucho P/ Conector AMP Vermelho 444504-2</v>
          </cell>
          <cell r="C1499" t="str">
            <v>UN</v>
          </cell>
          <cell r="D1499">
            <v>5.0951000000000004</v>
          </cell>
        </row>
        <row r="1500">
          <cell r="A1500" t="str">
            <v>001.22.01940</v>
          </cell>
          <cell r="B1500" t="str">
            <v>Fornecimento e Instalação de Conector Terminal Tipo Espada P/ Chave Faca - Terminal - 336,4 MCM 34 KV</v>
          </cell>
          <cell r="C1500" t="str">
            <v>UN</v>
          </cell>
          <cell r="D1500">
            <v>32.534799999999997</v>
          </cell>
        </row>
        <row r="1501">
          <cell r="A1501" t="str">
            <v>001.22.01960</v>
          </cell>
          <cell r="B1501" t="str">
            <v>Fornecimento e Instalação de Poste Duplo T 7mts (150 kg), com Engastamento Simples, incl Escavação e Reaterro Apiloado, conf. Normatização Rede Cemat</v>
          </cell>
          <cell r="C1501" t="str">
            <v>UN</v>
          </cell>
          <cell r="D1501">
            <v>242.98140000000001</v>
          </cell>
        </row>
        <row r="1502">
          <cell r="A1502" t="str">
            <v>001.22.01980</v>
          </cell>
          <cell r="B1502" t="str">
            <v>Fornecimento e Instalação de Poste Duplo T 9mts (150 kg), com Engastamento Simples, incl Escavação e Reaterro Apiloado, conf. Normatização Rede Cemat</v>
          </cell>
          <cell r="C1502" t="str">
            <v>UN</v>
          </cell>
          <cell r="D1502">
            <v>244.20249999999999</v>
          </cell>
        </row>
        <row r="1503">
          <cell r="A1503" t="str">
            <v>001.22.02000</v>
          </cell>
          <cell r="B1503" t="str">
            <v>Fornecimento e Instalação de Poste Duplo T 10 mts (150 kg), com Engastamento Simples, incl Escavação e Reaterro Apiloado, conf. Normatização Rede Cemat</v>
          </cell>
          <cell r="C1503" t="str">
            <v>UN</v>
          </cell>
          <cell r="D1503">
            <v>255.8312</v>
          </cell>
        </row>
        <row r="1504">
          <cell r="A1504" t="str">
            <v>001.22.02020</v>
          </cell>
          <cell r="B1504" t="str">
            <v>Fornecimento e Instalação de Poste Duplo T 11 mts (200 kg), com Engastamento Simples, incl Escavação e Reaterro Apiloado, conf. Normatização Rede Cemat</v>
          </cell>
          <cell r="C1504" t="str">
            <v>UN</v>
          </cell>
          <cell r="D1504">
            <v>498.50170000000003</v>
          </cell>
        </row>
        <row r="1505">
          <cell r="A1505" t="str">
            <v>001.22.02040</v>
          </cell>
          <cell r="B1505" t="str">
            <v>Fornecimento e Instalação de Poste Duplo T 12 mts (300 kg), com Engastamento Simples, incl Escavação e Reaterro Apiloado, conf. Normatização Rede Cemat</v>
          </cell>
          <cell r="C1505" t="str">
            <v>UN</v>
          </cell>
          <cell r="D1505">
            <v>495.28809999999999</v>
          </cell>
        </row>
        <row r="1506">
          <cell r="A1506" t="str">
            <v>001.22.02060</v>
          </cell>
          <cell r="B1506" t="str">
            <v>Fornecimento e Instalação de Poste Duplo T 10mts (300 kg), com Engastamento Reforçado, incl Escavação e Reaterro Apiloado, conf. Normatização Rede Cemat</v>
          </cell>
          <cell r="C1506" t="str">
            <v>UN</v>
          </cell>
          <cell r="D1506">
            <v>422.85449999999997</v>
          </cell>
        </row>
        <row r="1507">
          <cell r="A1507" t="str">
            <v>001.22.02080</v>
          </cell>
          <cell r="B1507" t="str">
            <v>Fornecimento e Instalação de Poste Duplo T 11mts (300 kg), com Engastamento Reforçado, incl Escavação e Reaterro Apiloado, conf. Normatização Rede Cemat</v>
          </cell>
          <cell r="C1507" t="str">
            <v>UN</v>
          </cell>
          <cell r="D1507">
            <v>553.79449999999997</v>
          </cell>
        </row>
        <row r="1508">
          <cell r="A1508" t="str">
            <v>001.22.02100</v>
          </cell>
          <cell r="B1508" t="str">
            <v>Fornecimento e Instalação de Poste Duplo T 10 mts (150 kg), com Engastamento em Solo Cimento, incl Escavação e Reaterro Apiloado, conf. Normatização Rede Cemat</v>
          </cell>
          <cell r="C1508" t="str">
            <v>UN</v>
          </cell>
          <cell r="D1508">
            <v>270.33120000000002</v>
          </cell>
        </row>
        <row r="1509">
          <cell r="A1509" t="str">
            <v>001.22.02120</v>
          </cell>
          <cell r="B1509" t="str">
            <v>Fornecimento e Instalação de Poste Duplo T 10 mts (300 kg), com Engastamento em Solo Cimento, incl Escavação e Reaterro Apiloado, conf. Normatização Rede Cemat</v>
          </cell>
          <cell r="C1509" t="str">
            <v>UN</v>
          </cell>
          <cell r="D1509">
            <v>381.64120000000003</v>
          </cell>
        </row>
        <row r="1510">
          <cell r="A1510" t="str">
            <v>001.22.02140</v>
          </cell>
          <cell r="B1510" t="str">
            <v>Fornecimento e Instalação de Poste Duplo T 11 mts (200 kg), com Engastamento em Solo Cimento, incl Escavação e Reaterro Apiloado, conf. Normatização Rede Cemat</v>
          </cell>
          <cell r="C1510" t="str">
            <v>UN</v>
          </cell>
          <cell r="D1510">
            <v>513.00170000000003</v>
          </cell>
        </row>
        <row r="1511">
          <cell r="A1511" t="str">
            <v>001.22.02160</v>
          </cell>
          <cell r="B1511" t="str">
            <v>Fornecimento e Instalação de Poste Duplo T 11 mts (300 kg), com Engastamento em Solo Cimento, incl Escavação e Reaterro Apiloado, conf. Normatização Rede Cemat</v>
          </cell>
          <cell r="C1511" t="str">
            <v>UN</v>
          </cell>
          <cell r="D1511">
            <v>513.20169999999996</v>
          </cell>
        </row>
        <row r="1512">
          <cell r="A1512" t="str">
            <v>001.22.02180</v>
          </cell>
          <cell r="B1512" t="str">
            <v>Fornecimento e Instalação de Poste Duplo T 10 mts (600 kg), com Engastamento em Concreto Fck= 15 Mpa, incl Escavação e Reaterro Apiloado, conf. Normatização Rede Cemat</v>
          </cell>
          <cell r="C1512" t="str">
            <v>UN</v>
          </cell>
          <cell r="D1512">
            <v>538.46730000000002</v>
          </cell>
        </row>
        <row r="1513">
          <cell r="A1513" t="str">
            <v>001.22.02200</v>
          </cell>
          <cell r="B1513" t="str">
            <v>Fornecimento e Instalação de Poste Duplo T 10 mts (1000 kg), com Engastamento em Concreto Fck= 15 Mpa, incl Escavação e Reaterro Apiloado, conf. Normatização Rede Cemat</v>
          </cell>
          <cell r="C1513" t="str">
            <v>UN</v>
          </cell>
          <cell r="D1513">
            <v>645.46730000000002</v>
          </cell>
        </row>
        <row r="1514">
          <cell r="A1514" t="str">
            <v>001.22.02220</v>
          </cell>
          <cell r="B1514" t="str">
            <v>Fornecimento e Instalação de Poste Duplo T 11 mts (600 kg), com Engastamento em Concreto Fck= 15 Mpa, incl Escavação e Reaterro Apiloado, conf. Normatização Rede Cemat</v>
          </cell>
          <cell r="C1514" t="str">
            <v>UN</v>
          </cell>
          <cell r="D1514">
            <v>918.09780000000001</v>
          </cell>
        </row>
        <row r="1515">
          <cell r="A1515" t="str">
            <v>001.22.02240</v>
          </cell>
          <cell r="B1515" t="str">
            <v>Fornecimento e Instalação de Poste Duplo T 11 mts (1000 kg), com Engastamento em Concreto Fck= 15 Mpa, incl Escavação e Reaterro Apiloado, conf. Normatização Rede Cemat</v>
          </cell>
          <cell r="C1515" t="str">
            <v>UN</v>
          </cell>
          <cell r="D1515">
            <v>918.09780000000001</v>
          </cell>
        </row>
        <row r="1516">
          <cell r="A1516" t="str">
            <v>001.22.02260</v>
          </cell>
          <cell r="B1516" t="str">
            <v>Fornecimento e Instalação de Poste Circular 7 mts (150 kg), com Engastamento Simples, incl Escavação e Reaterro Apiloado, conf. Normatização Rede Cemat</v>
          </cell>
          <cell r="C1516" t="str">
            <v>UN</v>
          </cell>
          <cell r="D1516">
            <v>282.17140000000001</v>
          </cell>
        </row>
        <row r="1517">
          <cell r="A1517" t="str">
            <v>001.22.02280</v>
          </cell>
          <cell r="B1517" t="str">
            <v>Fornecimento e Instalação de Poste Circular 9 mts (150 kg), com Engastamento Simples, incl Escavação e Reaterro Apiloado, conf. Normatização Rede Cemat</v>
          </cell>
          <cell r="C1517" t="str">
            <v>UN</v>
          </cell>
          <cell r="D1517">
            <v>351.24250000000001</v>
          </cell>
        </row>
        <row r="1518">
          <cell r="A1518" t="str">
            <v>001.22.02300</v>
          </cell>
          <cell r="B1518" t="str">
            <v>Fornecimento e Instalação de Poste Circular 10 mts (150 kg), com Engastamento Simples, incl Escavação e Reaterro Apiloado, conf. Normatização Rede Cemat</v>
          </cell>
          <cell r="C1518" t="str">
            <v>UN</v>
          </cell>
          <cell r="D1518">
            <v>465.88119999999998</v>
          </cell>
        </row>
        <row r="1519">
          <cell r="A1519" t="str">
            <v>001.22.02320</v>
          </cell>
          <cell r="B1519" t="str">
            <v>Fornecimento e Instalação de Poste Circular 11 mts (200 kg), com Engastamento Simples, incl Escavação e Reaterro Apiloado, conf. Normatização Rede Cemat</v>
          </cell>
          <cell r="C1519" t="str">
            <v>UN</v>
          </cell>
          <cell r="D1519">
            <v>486.92169999999999</v>
          </cell>
        </row>
        <row r="1520">
          <cell r="A1520" t="str">
            <v>001.22.02340</v>
          </cell>
          <cell r="B1520" t="str">
            <v>Fornecimento e Instalação de Poste Circular 12 mts (300 kg), com Engastamento Simples, incl Escavação e Reaterro Apiloado, conf. Normatização Rede Cemat</v>
          </cell>
          <cell r="C1520" t="str">
            <v>UN</v>
          </cell>
          <cell r="D1520">
            <v>495.28809999999999</v>
          </cell>
        </row>
        <row r="1521">
          <cell r="A1521" t="str">
            <v>001.22.02360</v>
          </cell>
          <cell r="B1521" t="str">
            <v>Fornecimento e Instalação de Poste Circular 10 mts (300 kg), com Engastamento Reforçado, incl Escavação e Reaterro Apiloado, conf. Normatização Rede Cemat</v>
          </cell>
          <cell r="C1521" t="str">
            <v>UN</v>
          </cell>
          <cell r="D1521">
            <v>566.24450000000002</v>
          </cell>
        </row>
        <row r="1522">
          <cell r="A1522" t="str">
            <v>001.22.02380</v>
          </cell>
          <cell r="B1522" t="str">
            <v>Fornecimento e Instalação de Poste Circular 10 mts (150 kg), com Engastamento em Solo Cimento, incl Escavação e Reaterro Apiloado, conf. Normatização Rede Cemat</v>
          </cell>
          <cell r="C1522" t="str">
            <v>UN</v>
          </cell>
          <cell r="D1522">
            <v>480.38119999999998</v>
          </cell>
        </row>
        <row r="1523">
          <cell r="A1523" t="str">
            <v>001.22.02400</v>
          </cell>
          <cell r="B1523" t="str">
            <v>Fornecimento e Instalação de Poste Circular 10 mts (300 kg), com Engastamento em Solo Cimento, incl Escavação e Reaterro Apiloado, conf. Normatização Rede Cemat</v>
          </cell>
          <cell r="C1523" t="str">
            <v>UN</v>
          </cell>
          <cell r="D1523">
            <v>525.03120000000001</v>
          </cell>
        </row>
        <row r="1524">
          <cell r="A1524" t="str">
            <v>001.22.02420</v>
          </cell>
          <cell r="B1524" t="str">
            <v>Fornecimento e Instalação de Poste Circular 11 mts (200 kg), com Engastamento em Solo Cimento, incl Escavação e Reaterro Apiloado, conf. Normatização Rede Cemat</v>
          </cell>
          <cell r="C1524" t="str">
            <v>UN</v>
          </cell>
          <cell r="D1524">
            <v>501.42169999999999</v>
          </cell>
        </row>
        <row r="1525">
          <cell r="A1525" t="str">
            <v>001.22.02440</v>
          </cell>
          <cell r="B1525" t="str">
            <v>Fornecimento e Instalação de Poste Circular 11 mts (300 kg), com Engastamento em Solo Cimento, incl Escavação e Reaterro Apiloado, conf. Normatização Rede Cemat</v>
          </cell>
          <cell r="C1525" t="str">
            <v>UN</v>
          </cell>
          <cell r="D1525">
            <v>509.40170000000001</v>
          </cell>
        </row>
        <row r="1526">
          <cell r="A1526" t="str">
            <v>001.22.02460</v>
          </cell>
          <cell r="B1526" t="str">
            <v>Fornecimento e Instalação de Poste Circular 10 mts (600 kg), com Engastamento em Concreto Fck= 15 Mpa, incl Escavação e Reaterro Apiloado, conf. Normatização Rede Cemat</v>
          </cell>
          <cell r="C1526" t="str">
            <v>UN</v>
          </cell>
          <cell r="D1526">
            <v>513.6173</v>
          </cell>
        </row>
        <row r="1527">
          <cell r="A1527" t="str">
            <v>001.22.02480</v>
          </cell>
          <cell r="B1527" t="str">
            <v>Fornecimento e Instalação de Poste Circular 10 mts (1000 kg), com Engastamento em Concreto Fck= 15 Mpa, incl Escavação e Reaterro Apiloado, conf. Normatização Rede Cemat</v>
          </cell>
          <cell r="C1527" t="str">
            <v>UN</v>
          </cell>
          <cell r="D1527">
            <v>701.59730000000002</v>
          </cell>
        </row>
        <row r="1528">
          <cell r="A1528" t="str">
            <v>001.22.02500</v>
          </cell>
          <cell r="B1528" t="str">
            <v>Fornecimento e Instalação de Poste Circular 11 mts (600 kg), com Engastamento em Concreto Fck= 15 Mpa, incl Escavação e Reaterro Apiloado, conf. Normatização Rede Cemat</v>
          </cell>
          <cell r="C1528" t="str">
            <v>UN</v>
          </cell>
          <cell r="D1528">
            <v>574.3578</v>
          </cell>
        </row>
        <row r="1529">
          <cell r="A1529" t="str">
            <v>001.22.02520</v>
          </cell>
          <cell r="B1529" t="str">
            <v>Fornecimento e Instalação de Poste Circular 11 mts (1000 kg), com Engastamento em Concreto Fck= 15 Mpa, incl Escavação e Reaterro Apiloado, conf. Normatização Rede Cemat</v>
          </cell>
          <cell r="C1529" t="str">
            <v>UN</v>
          </cell>
          <cell r="D1529">
            <v>987.11779999999999</v>
          </cell>
        </row>
        <row r="1530">
          <cell r="A1530" t="str">
            <v>001.23</v>
          </cell>
          <cell r="B1530" t="str">
            <v>INSTALAÇÕES ELÉTRICAS - SERVIÇOS DE MANUTENÇÃO</v>
          </cell>
          <cell r="D1530">
            <v>734.33730000000003</v>
          </cell>
        </row>
        <row r="1531">
          <cell r="A1531" t="str">
            <v>001.23.00040</v>
          </cell>
          <cell r="B1531" t="str">
            <v>Revisão em ponto de energia c/ reaperto e substituição de fita isolante</v>
          </cell>
          <cell r="C1531" t="str">
            <v>PT</v>
          </cell>
          <cell r="D1531">
            <v>4.7134999999999998</v>
          </cell>
        </row>
        <row r="1532">
          <cell r="A1532" t="str">
            <v>001.23.00080</v>
          </cell>
          <cell r="B1532" t="str">
            <v>Fornecimento e substituição de espelho (ou placa) p/ tomada e/ou interruptor 4""""""""x2""""""""</v>
          </cell>
          <cell r="C1532" t="str">
            <v>UN</v>
          </cell>
          <cell r="D1532">
            <v>1.5708</v>
          </cell>
        </row>
        <row r="1533">
          <cell r="A1533" t="str">
            <v>001.23.00100</v>
          </cell>
          <cell r="B1533" t="str">
            <v>Fornecimento e substituição de espelho (ou placa) p/ tomada e/ou interruptor 4""""""""x4""""""""</v>
          </cell>
          <cell r="C1533" t="str">
            <v>UN</v>
          </cell>
          <cell r="D1533">
            <v>2.9007999999999998</v>
          </cell>
        </row>
        <row r="1534">
          <cell r="A1534" t="str">
            <v>001.23.00120</v>
          </cell>
          <cell r="B1534" t="str">
            <v>Fornecimento e substituição de tomada simples universal com espelho</v>
          </cell>
          <cell r="C1534" t="str">
            <v>UN</v>
          </cell>
          <cell r="D1534">
            <v>5.9904000000000002</v>
          </cell>
        </row>
        <row r="1535">
          <cell r="A1535" t="str">
            <v>001.23.00140</v>
          </cell>
          <cell r="B1535" t="str">
            <v>Fornecimento e substituição de interruptor c/ uma tecla simples c/ espelho</v>
          </cell>
          <cell r="C1535" t="str">
            <v>UN</v>
          </cell>
          <cell r="D1535">
            <v>6.3903999999999996</v>
          </cell>
        </row>
        <row r="1536">
          <cell r="A1536" t="str">
            <v>001.23.00160</v>
          </cell>
          <cell r="B1536" t="str">
            <v>Fornecimento e substituição de interruptor c/ duas teclas simples c/ espelho</v>
          </cell>
          <cell r="C1536" t="str">
            <v>UN</v>
          </cell>
          <cell r="D1536">
            <v>7.8316999999999997</v>
          </cell>
        </row>
        <row r="1537">
          <cell r="A1537" t="str">
            <v>001.23.00180</v>
          </cell>
          <cell r="B1537" t="str">
            <v>Forencimento e substituição de interruptor c/ tres teclas simples c/ espelho</v>
          </cell>
          <cell r="C1537" t="str">
            <v>UN</v>
          </cell>
          <cell r="D1537">
            <v>13.898999999999999</v>
          </cell>
        </row>
        <row r="1538">
          <cell r="A1538" t="str">
            <v>001.23.00200</v>
          </cell>
          <cell r="B1538" t="str">
            <v>Fornecimento e substituição de interruptor c/ uma tecla paralela e espelho</v>
          </cell>
          <cell r="C1538" t="str">
            <v>UN</v>
          </cell>
          <cell r="D1538">
            <v>13.613899999999999</v>
          </cell>
        </row>
        <row r="1539">
          <cell r="A1539" t="str">
            <v>001.23.00220</v>
          </cell>
          <cell r="B1539" t="str">
            <v>Fornecimento e substituição de reator simples a.f.p./p.r. - 1x20 w</v>
          </cell>
          <cell r="C1539" t="str">
            <v>UN</v>
          </cell>
          <cell r="D1539">
            <v>24.139099999999999</v>
          </cell>
        </row>
        <row r="1540">
          <cell r="A1540" t="str">
            <v>001.23.00240</v>
          </cell>
          <cell r="B1540" t="str">
            <v>Fornecimento e substituição de reator simples a.f.p./p.r. - 1x40 w</v>
          </cell>
          <cell r="C1540" t="str">
            <v>UN</v>
          </cell>
          <cell r="D1540">
            <v>34.139099999999999</v>
          </cell>
        </row>
        <row r="1541">
          <cell r="A1541" t="str">
            <v>001.23.00260</v>
          </cell>
          <cell r="B1541" t="str">
            <v>Fornecimento e substituição de reator duplo a.f.p./p.r. - 2x20 w</v>
          </cell>
          <cell r="C1541" t="str">
            <v>UN</v>
          </cell>
          <cell r="D1541">
            <v>34.736499999999999</v>
          </cell>
        </row>
        <row r="1542">
          <cell r="A1542" t="str">
            <v>001.23.00280</v>
          </cell>
          <cell r="B1542" t="str">
            <v>Fornecimento e substituição de reator duplo a.f.p./p.r. - 2x40 w</v>
          </cell>
          <cell r="C1542" t="str">
            <v>UN</v>
          </cell>
          <cell r="D1542">
            <v>34.736499999999999</v>
          </cell>
        </row>
        <row r="1543">
          <cell r="A1543" t="str">
            <v>001.23.00300</v>
          </cell>
          <cell r="B1543" t="str">
            <v>Fornecimento e substituição de lâmpada incandescente de 60 w</v>
          </cell>
          <cell r="C1543" t="str">
            <v>UN</v>
          </cell>
          <cell r="D1543">
            <v>1.8673999999999999</v>
          </cell>
        </row>
        <row r="1544">
          <cell r="A1544" t="str">
            <v>001.23.00320</v>
          </cell>
          <cell r="B1544" t="str">
            <v>Fornecimento e substituição de lâmpada incandescente de 100 w</v>
          </cell>
          <cell r="C1544" t="str">
            <v>UN</v>
          </cell>
          <cell r="D1544">
            <v>2.2073999999999998</v>
          </cell>
        </row>
        <row r="1545">
          <cell r="A1545" t="str">
            <v>001.23.00340</v>
          </cell>
          <cell r="B1545" t="str">
            <v>Fornecimento e substituição de lâmpada fluorescente de 20 w</v>
          </cell>
          <cell r="C1545" t="str">
            <v>UN</v>
          </cell>
          <cell r="D1545">
            <v>3.9973999999999998</v>
          </cell>
        </row>
        <row r="1546">
          <cell r="A1546" t="str">
            <v>001.23.00360</v>
          </cell>
          <cell r="B1546" t="str">
            <v>Fornecimento e substituição de lâmpada fluorescente de 40 w</v>
          </cell>
          <cell r="C1546" t="str">
            <v>UN</v>
          </cell>
          <cell r="D1546">
            <v>3.9973999999999998</v>
          </cell>
        </row>
        <row r="1547">
          <cell r="A1547" t="str">
            <v>001.23.00380</v>
          </cell>
          <cell r="B1547" t="str">
            <v>Fornecimento e substituição de disjuntor monopolar de 15 a</v>
          </cell>
          <cell r="C1547" t="str">
            <v>UN</v>
          </cell>
          <cell r="D1547">
            <v>8.6694999999999993</v>
          </cell>
        </row>
        <row r="1548">
          <cell r="A1548" t="str">
            <v>001.23.00400</v>
          </cell>
          <cell r="B1548" t="str">
            <v>Fornecimento e substituição de disjuntor monopolar de 20 a</v>
          </cell>
          <cell r="C1548" t="str">
            <v>UN</v>
          </cell>
          <cell r="D1548">
            <v>8.6694999999999993</v>
          </cell>
        </row>
        <row r="1549">
          <cell r="A1549" t="str">
            <v>001.23.00420</v>
          </cell>
          <cell r="B1549" t="str">
            <v>Fornecimento e substituição de disjuntor monopolar de 30 a</v>
          </cell>
          <cell r="C1549" t="str">
            <v>UN</v>
          </cell>
          <cell r="D1549">
            <v>8.6694999999999993</v>
          </cell>
        </row>
        <row r="1550">
          <cell r="A1550" t="str">
            <v>001.23.00440</v>
          </cell>
          <cell r="B1550" t="str">
            <v>Fornecimento e substituição de disjuntor monopolar de 40 a</v>
          </cell>
          <cell r="C1550" t="str">
            <v>UN</v>
          </cell>
          <cell r="D1550">
            <v>10.5695</v>
          </cell>
        </row>
        <row r="1551">
          <cell r="A1551" t="str">
            <v>001.23.00460</v>
          </cell>
          <cell r="B1551" t="str">
            <v>Fornecimento e substituição de disjuntor monopolar de 50 a</v>
          </cell>
          <cell r="C1551" t="str">
            <v>UN</v>
          </cell>
          <cell r="D1551">
            <v>10.5695</v>
          </cell>
        </row>
        <row r="1552">
          <cell r="A1552" t="str">
            <v>001.23.00480</v>
          </cell>
          <cell r="B1552" t="str">
            <v>Fornecimento e substituição de disjuntor bipolar de 15 a</v>
          </cell>
          <cell r="C1552" t="str">
            <v>UN</v>
          </cell>
          <cell r="D1552">
            <v>34.889099999999999</v>
          </cell>
        </row>
        <row r="1553">
          <cell r="A1553" t="str">
            <v>001.23.00500</v>
          </cell>
          <cell r="B1553" t="str">
            <v>Fornecimento e substituição de disjuntor bipolar de 20 a</v>
          </cell>
          <cell r="C1553" t="str">
            <v>UN</v>
          </cell>
          <cell r="D1553">
            <v>34.889099999999999</v>
          </cell>
        </row>
        <row r="1554">
          <cell r="A1554" t="str">
            <v>001.23.00520</v>
          </cell>
          <cell r="B1554" t="str">
            <v>Fornecimento e substituição de disjuntor bipolar de 30 a</v>
          </cell>
          <cell r="C1554" t="str">
            <v>UN</v>
          </cell>
          <cell r="D1554">
            <v>34.889099999999999</v>
          </cell>
        </row>
        <row r="1555">
          <cell r="A1555" t="str">
            <v>001.23.00540</v>
          </cell>
          <cell r="B1555" t="str">
            <v>Fornecimento e substituição de disjuntor bipolar de 40 a</v>
          </cell>
          <cell r="C1555" t="str">
            <v>UN</v>
          </cell>
          <cell r="D1555">
            <v>34.889099999999999</v>
          </cell>
        </row>
        <row r="1556">
          <cell r="A1556" t="str">
            <v>001.23.00560</v>
          </cell>
          <cell r="B1556" t="str">
            <v>Fornecimento e substituição de disjuntor bipolar de 50 a</v>
          </cell>
          <cell r="C1556" t="str">
            <v>UN</v>
          </cell>
          <cell r="D1556">
            <v>34.889099999999999</v>
          </cell>
        </row>
        <row r="1557">
          <cell r="A1557" t="str">
            <v>001.23.00580</v>
          </cell>
          <cell r="B1557" t="str">
            <v>Fornecimento e substituição de disjuntor tripolar de 15 a</v>
          </cell>
          <cell r="C1557" t="str">
            <v>UN</v>
          </cell>
          <cell r="D1557">
            <v>36.591299999999997</v>
          </cell>
        </row>
        <row r="1558">
          <cell r="A1558" t="str">
            <v>001.23.00600</v>
          </cell>
          <cell r="B1558" t="str">
            <v>Fornecimento e substituição de disjuntor tripolar de 20 a</v>
          </cell>
          <cell r="C1558" t="str">
            <v>UN</v>
          </cell>
          <cell r="D1558">
            <v>36.591299999999997</v>
          </cell>
        </row>
        <row r="1559">
          <cell r="A1559" t="str">
            <v>001.23.00620</v>
          </cell>
          <cell r="B1559" t="str">
            <v>Fornecimento e substituição de disjuntor tripolar de 30 a</v>
          </cell>
          <cell r="C1559" t="str">
            <v>UN</v>
          </cell>
          <cell r="D1559">
            <v>35.573900000000002</v>
          </cell>
        </row>
        <row r="1560">
          <cell r="A1560" t="str">
            <v>001.23.00640</v>
          </cell>
          <cell r="B1560" t="str">
            <v>Fornecimento e substituição de disjuntor tripolar de 40 a</v>
          </cell>
          <cell r="C1560" t="str">
            <v>UN</v>
          </cell>
          <cell r="D1560">
            <v>36.591299999999997</v>
          </cell>
        </row>
        <row r="1561">
          <cell r="A1561" t="str">
            <v>001.23.00660</v>
          </cell>
          <cell r="B1561" t="str">
            <v>Fornecimento e substituição de disjuntor tripolar de 50 a</v>
          </cell>
          <cell r="C1561" t="str">
            <v>UN</v>
          </cell>
          <cell r="D1561">
            <v>36.591299999999997</v>
          </cell>
        </row>
        <row r="1562">
          <cell r="A1562" t="str">
            <v>001.23.00680</v>
          </cell>
          <cell r="B1562" t="str">
            <v>Fornecimento e substituição de disjuntor tripolar de 70 a</v>
          </cell>
          <cell r="C1562" t="str">
            <v>UN</v>
          </cell>
          <cell r="D1562">
            <v>44.691299999999998</v>
          </cell>
        </row>
        <row r="1563">
          <cell r="A1563" t="str">
            <v>001.23.00700</v>
          </cell>
          <cell r="B1563" t="str">
            <v>Fornecimento e substituição de disjuntor tripolar de 90 a</v>
          </cell>
          <cell r="C1563" t="str">
            <v>UN</v>
          </cell>
          <cell r="D1563">
            <v>44.691299999999998</v>
          </cell>
        </row>
        <row r="1564">
          <cell r="A1564" t="str">
            <v>001.23.00720</v>
          </cell>
          <cell r="B1564" t="str">
            <v>Fornecimento e substituição de disjuntor tripolar de 100 a</v>
          </cell>
          <cell r="C1564" t="str">
            <v>UN</v>
          </cell>
          <cell r="D1564">
            <v>44.691299999999998</v>
          </cell>
        </row>
        <row r="1565">
          <cell r="A1565" t="str">
            <v>001.24</v>
          </cell>
          <cell r="B1565" t="str">
            <v>INSTALAÇÕES HIDRÁULICAS - PRELIMINARES</v>
          </cell>
          <cell r="D1565">
            <v>10772.4722</v>
          </cell>
        </row>
        <row r="1566">
          <cell r="A1566" t="str">
            <v>001.24.00020</v>
          </cell>
          <cell r="B1566" t="str">
            <v>Abertura e enchimento de rasgos na alvenaria para passagem de canalização diâmetro 1/2 à 1 pol</v>
          </cell>
          <cell r="C1566" t="str">
            <v>ML</v>
          </cell>
          <cell r="D1566">
            <v>2.0531000000000001</v>
          </cell>
        </row>
        <row r="1567">
          <cell r="A1567" t="str">
            <v>001.24.00040</v>
          </cell>
          <cell r="B1567" t="str">
            <v>Abertura e enchimento de rasgos na alvenaria para passagem de canalização diâmetro 1 1/4 à 2 pol</v>
          </cell>
          <cell r="C1567" t="str">
            <v>ML</v>
          </cell>
          <cell r="D1567">
            <v>2.7353999999999998</v>
          </cell>
        </row>
        <row r="1568">
          <cell r="A1568" t="str">
            <v>001.24.00060</v>
          </cell>
          <cell r="B1568" t="str">
            <v>Abertura e enchimento de rasgos na alvenaria para passagem de canalização diâmetro 2.5 à 4 pol</v>
          </cell>
          <cell r="C1568" t="str">
            <v>ML</v>
          </cell>
          <cell r="D1568">
            <v>3.8428</v>
          </cell>
        </row>
        <row r="1569">
          <cell r="A1569" t="str">
            <v>001.24.00080</v>
          </cell>
          <cell r="B1569" t="str">
            <v>Abertura e enchimento de rasgos no concreto para passagem de canalização diâmetro de 1/2 à 1 pol</v>
          </cell>
          <cell r="C1569" t="str">
            <v>ML</v>
          </cell>
          <cell r="D1569">
            <v>4.4991000000000003</v>
          </cell>
        </row>
        <row r="1570">
          <cell r="A1570" t="str">
            <v>001.24.00100</v>
          </cell>
          <cell r="B1570" t="str">
            <v>Fornecimento e instalação de entrada padrão de água através de cavalete completo em tubo de fºgº, padrão sanemat - 3/4""""""""""""""""""""""""""""""""</v>
          </cell>
          <cell r="C1570" t="str">
            <v>UN</v>
          </cell>
          <cell r="D1570">
            <v>34.4739</v>
          </cell>
        </row>
        <row r="1571">
          <cell r="A1571" t="str">
            <v>001.24.00120</v>
          </cell>
          <cell r="B1571" t="str">
            <v>Fornecimento e colocação de caixa de água de pvc, incl tampa de 1000 litros</v>
          </cell>
          <cell r="C1571" t="str">
            <v>UN</v>
          </cell>
          <cell r="D1571">
            <v>238.45779999999999</v>
          </cell>
        </row>
        <row r="1572">
          <cell r="A1572" t="str">
            <v>001.24.00140</v>
          </cell>
          <cell r="B1572" t="str">
            <v>Fornecimento e colocação de caixa de água de pvc, incl tampa de 500 litros</v>
          </cell>
          <cell r="C1572" t="str">
            <v>UN</v>
          </cell>
          <cell r="D1572">
            <v>141.7209</v>
          </cell>
        </row>
        <row r="1573">
          <cell r="A1573" t="str">
            <v>001.24.00160</v>
          </cell>
          <cell r="B1573" t="str">
            <v>Fornecimento e colocação de caixa de água de pvc, incl tampa de 310 litros</v>
          </cell>
          <cell r="C1573" t="str">
            <v>UN</v>
          </cell>
          <cell r="D1573">
            <v>138.6687</v>
          </cell>
        </row>
        <row r="1574">
          <cell r="A1574" t="str">
            <v>001.24.00180</v>
          </cell>
          <cell r="B1574" t="str">
            <v>Fornecimento e colocação de caixa de água de pvc, incl tampa de 100 litros</v>
          </cell>
          <cell r="C1574" t="str">
            <v>UN</v>
          </cell>
          <cell r="D1574">
            <v>136.63390000000001</v>
          </cell>
        </row>
        <row r="1575">
          <cell r="A1575" t="str">
            <v>001.24.00200</v>
          </cell>
          <cell r="B1575" t="str">
            <v>Fornecimento e  instalação de caixa de água metálica tipo taça com altura total de 6.00 m inclusive pintura (interna e externa)  base de fixação e instalação, de 5.000 litros</v>
          </cell>
          <cell r="C1575" t="str">
            <v>UN</v>
          </cell>
          <cell r="D1575">
            <v>9800</v>
          </cell>
        </row>
        <row r="1576">
          <cell r="A1576" t="str">
            <v>001.24.00220</v>
          </cell>
          <cell r="B1576" t="str">
            <v>Fornecimento e instalação de bóia interna tipo (são paulo) p/ caixa de água  amarelo bruto n.1350 marca deca 2 pol</v>
          </cell>
          <cell r="C1576" t="str">
            <v>UN</v>
          </cell>
          <cell r="D1576">
            <v>62.944299999999998</v>
          </cell>
        </row>
        <row r="1577">
          <cell r="A1577" t="str">
            <v>001.24.00240</v>
          </cell>
          <cell r="B1577" t="str">
            <v>Fornecimento e instalação de bóia interna tipo (são paulo) p/ caixa de água  amarelo bruto n.1350 marca deca 1 1/2 pol</v>
          </cell>
          <cell r="C1577" t="str">
            <v>UN</v>
          </cell>
          <cell r="D1577">
            <v>52.943399999999997</v>
          </cell>
        </row>
        <row r="1578">
          <cell r="A1578" t="str">
            <v>001.24.00260</v>
          </cell>
          <cell r="B1578" t="str">
            <v>Fornecimento e instalação de bóia interna tipo (são paulo) p/ caixa de água  amarelo bruto n.1350 marca deca 1 1/4 pol</v>
          </cell>
          <cell r="C1578" t="str">
            <v>UN</v>
          </cell>
          <cell r="D1578">
            <v>42.079500000000003</v>
          </cell>
        </row>
        <row r="1579">
          <cell r="A1579" t="str">
            <v>001.24.00280</v>
          </cell>
          <cell r="B1579" t="str">
            <v>Fornecimento e instalação de bóia interna tipo (são paulo) p/ caixa de água  amarelo bruto n.1350 marca deca 1 pol</v>
          </cell>
          <cell r="C1579" t="str">
            <v>UN</v>
          </cell>
          <cell r="D1579">
            <v>30.827100000000002</v>
          </cell>
        </row>
        <row r="1580">
          <cell r="A1580" t="str">
            <v>001.24.00300</v>
          </cell>
          <cell r="B1580" t="str">
            <v>Fornecimento e instalação de bóia interna tipo (são paulo) p/ caixa de água  amarelo bruto n.1350 marca deca 3/4 pol</v>
          </cell>
          <cell r="C1580" t="str">
            <v>UN</v>
          </cell>
          <cell r="D1580">
            <v>24.886299999999999</v>
          </cell>
        </row>
        <row r="1581">
          <cell r="A1581" t="str">
            <v>001.24.00320</v>
          </cell>
          <cell r="B1581" t="str">
            <v>Fornecimento e instalação de bóia interna tipo (são paulo) p/ caixa de água  amarelo bruto n.1350 marca deca 1/2 pol</v>
          </cell>
          <cell r="C1581" t="str">
            <v>UN</v>
          </cell>
          <cell r="D1581">
            <v>22.866299999999999</v>
          </cell>
        </row>
        <row r="1582">
          <cell r="A1582" t="str">
            <v>001.24.00340</v>
          </cell>
          <cell r="B1582" t="str">
            <v>Fornecimento e instalação de torneira bóia p/ caixa de água em pvc marca cipla 1 pol</v>
          </cell>
          <cell r="C1582" t="str">
            <v>UN</v>
          </cell>
          <cell r="D1582">
            <v>11.4071</v>
          </cell>
        </row>
        <row r="1583">
          <cell r="A1583" t="str">
            <v>001.24.00360</v>
          </cell>
          <cell r="B1583" t="str">
            <v>Fornecimento e instalação de torneira bóia p/ caixa de água em pvc marca cipla 3/4 pol</v>
          </cell>
          <cell r="C1583" t="str">
            <v>UN</v>
          </cell>
          <cell r="D1583">
            <v>10.7163</v>
          </cell>
        </row>
        <row r="1584">
          <cell r="A1584" t="str">
            <v>001.24.00380</v>
          </cell>
          <cell r="B1584" t="str">
            <v>Fornecimento e instalação de torneira bóia p/ caixa de água em pvc marca cipla 1/2 pol</v>
          </cell>
          <cell r="C1584" t="str">
            <v>UN</v>
          </cell>
          <cell r="D1584">
            <v>10.7163</v>
          </cell>
        </row>
        <row r="1585">
          <cell r="A1585" t="str">
            <v>001.25</v>
          </cell>
          <cell r="B1585" t="str">
            <v>INSTALAÇÕES HIDRÁULICAS - PVC SOLDÁVEL/ROSCÁVEL MARROM</v>
          </cell>
          <cell r="D1585">
            <v>2223.9286999999999</v>
          </cell>
        </row>
        <row r="1586">
          <cell r="A1586" t="str">
            <v>001.25.00020</v>
          </cell>
          <cell r="B1586" t="str">
            <v>Tubo de pvc rígido soldável marrom em barra de 6 m diâmetro 110mm (4) pol</v>
          </cell>
          <cell r="C1586" t="str">
            <v>M</v>
          </cell>
          <cell r="D1586">
            <v>28.8324</v>
          </cell>
        </row>
        <row r="1587">
          <cell r="A1587" t="str">
            <v>001.25.00040</v>
          </cell>
          <cell r="B1587" t="str">
            <v>Tubo de pvc rígido soldável marrom em barra de 6 m diâmetro 85mm (3) pol</v>
          </cell>
          <cell r="C1587" t="str">
            <v>M</v>
          </cell>
          <cell r="D1587">
            <v>24.287400000000002</v>
          </cell>
        </row>
        <row r="1588">
          <cell r="A1588" t="str">
            <v>001.25.00060</v>
          </cell>
          <cell r="B1588" t="str">
            <v>Tubo de pvc rígido soldável marrom em barra de 6 m diâmetro 75mm (2.5) pol</v>
          </cell>
          <cell r="C1588" t="str">
            <v>M</v>
          </cell>
          <cell r="D1588">
            <v>12.844099999999999</v>
          </cell>
        </row>
        <row r="1589">
          <cell r="A1589" t="str">
            <v>001.25.00080</v>
          </cell>
          <cell r="B1589" t="str">
            <v>Tubo de pvc rígido soldável marrom em barra de 6 m diâmetro 60mm (2) pl</v>
          </cell>
          <cell r="C1589" t="str">
            <v>M</v>
          </cell>
          <cell r="D1589">
            <v>8.5120000000000005</v>
          </cell>
        </row>
        <row r="1590">
          <cell r="A1590" t="str">
            <v>001.25.00100</v>
          </cell>
          <cell r="B1590" t="str">
            <v>Tubo de pvc rígido soldável marrom em barra de 6 m diâmetro 50mm (1.5) pol</v>
          </cell>
          <cell r="C1590" t="str">
            <v>M</v>
          </cell>
          <cell r="D1590">
            <v>5.1649000000000003</v>
          </cell>
        </row>
        <row r="1591">
          <cell r="A1591" t="str">
            <v>001.25.00120</v>
          </cell>
          <cell r="B1591" t="str">
            <v>Tubo de pvc rígido soldável marrom em barra de 6 m diâmetro 40mm (1.1/4) pol</v>
          </cell>
          <cell r="C1591" t="str">
            <v>M</v>
          </cell>
          <cell r="D1591">
            <v>6.1384999999999996</v>
          </cell>
        </row>
        <row r="1592">
          <cell r="A1592" t="str">
            <v>001.25.00140</v>
          </cell>
          <cell r="B1592" t="str">
            <v>Tubo de pvc rígido soldável marrom em barra de 6 m diâmetro 32mm (1) pol</v>
          </cell>
          <cell r="C1592" t="str">
            <v>M</v>
          </cell>
          <cell r="D1592">
            <v>4.7554999999999996</v>
          </cell>
        </row>
        <row r="1593">
          <cell r="A1593" t="str">
            <v>001.25.00160</v>
          </cell>
          <cell r="B1593" t="str">
            <v>Tubo de pvc rígido sodável marrom em barra de 6 m diâmetro 25mm (3/4) pol</v>
          </cell>
          <cell r="C1593" t="str">
            <v>M</v>
          </cell>
          <cell r="D1593">
            <v>1.7457</v>
          </cell>
        </row>
        <row r="1594">
          <cell r="A1594" t="str">
            <v>001.25.00180</v>
          </cell>
          <cell r="B1594" t="str">
            <v>Tubo de pvc rígido soldável marrom em barra de 6 m diâmetro 20mm (1/2) pol</v>
          </cell>
          <cell r="C1594" t="str">
            <v>M</v>
          </cell>
          <cell r="D1594">
            <v>1.7238</v>
          </cell>
        </row>
        <row r="1595">
          <cell r="A1595" t="str">
            <v>001.25.00200</v>
          </cell>
          <cell r="B1595" t="str">
            <v>Curva de 90º de pvc rígido para tubo soldável 110mm ( 4 pol )</v>
          </cell>
          <cell r="C1595" t="str">
            <v>UN</v>
          </cell>
          <cell r="D1595">
            <v>31.7151</v>
          </cell>
        </row>
        <row r="1596">
          <cell r="A1596" t="str">
            <v>001.25.00220</v>
          </cell>
          <cell r="B1596" t="str">
            <v>Curva de 90º de pvc rígido para tubo soldável 85mm ( 3 pol )</v>
          </cell>
          <cell r="C1596" t="str">
            <v>UN</v>
          </cell>
          <cell r="D1596">
            <v>15.64</v>
          </cell>
        </row>
        <row r="1597">
          <cell r="A1597" t="str">
            <v>001.25.00240</v>
          </cell>
          <cell r="B1597" t="str">
            <v>Curva de 90º de pvc rígido para tubo soldável 75mm (21/2 pol)</v>
          </cell>
          <cell r="C1597" t="str">
            <v>UN</v>
          </cell>
          <cell r="D1597">
            <v>16.07</v>
          </cell>
        </row>
        <row r="1598">
          <cell r="A1598" t="str">
            <v>001.25.00260</v>
          </cell>
          <cell r="B1598" t="str">
            <v>Curva de 90º de pvc rígido para tubo soldável 60mm (2 pol)</v>
          </cell>
          <cell r="C1598" t="str">
            <v>UN</v>
          </cell>
          <cell r="D1598">
            <v>13.555</v>
          </cell>
        </row>
        <row r="1599">
          <cell r="A1599" t="str">
            <v>001.25.00280</v>
          </cell>
          <cell r="B1599" t="str">
            <v>Curva de 90º de pvc rígido para tubo soldável 50mm (1 1/2 pol)</v>
          </cell>
          <cell r="C1599" t="str">
            <v>UN</v>
          </cell>
          <cell r="D1599">
            <v>6.5149999999999997</v>
          </cell>
        </row>
        <row r="1600">
          <cell r="A1600" t="str">
            <v>001.25.00300</v>
          </cell>
          <cell r="B1600" t="str">
            <v>Curva de 90º de pvc rígido para tubo soldável 40mm (1 1/4 pol)</v>
          </cell>
          <cell r="C1600" t="str">
            <v>UN</v>
          </cell>
          <cell r="D1600">
            <v>5.5049999999999999</v>
          </cell>
        </row>
        <row r="1601">
          <cell r="A1601" t="str">
            <v>001.25.00320</v>
          </cell>
          <cell r="B1601" t="str">
            <v>Curva de 90º de pvc rígido para tubo soldável 32mm (1 pol)</v>
          </cell>
          <cell r="C1601" t="str">
            <v>UN</v>
          </cell>
          <cell r="D1601">
            <v>5.3400999999999996</v>
          </cell>
        </row>
        <row r="1602">
          <cell r="A1602" t="str">
            <v>001.25.00340</v>
          </cell>
          <cell r="B1602" t="str">
            <v>Curva de 90º de pvc rígido para tubo soldável 25mm (3/4 pol)</v>
          </cell>
          <cell r="C1602" t="str">
            <v>UN</v>
          </cell>
          <cell r="D1602">
            <v>3.4701</v>
          </cell>
        </row>
        <row r="1603">
          <cell r="A1603" t="str">
            <v>001.25.00360</v>
          </cell>
          <cell r="B1603" t="str">
            <v>Curva de 90º de pvc rígido para tubo soldável 20mm (1/2 pol)</v>
          </cell>
          <cell r="C1603" t="str">
            <v>UN</v>
          </cell>
          <cell r="D1603">
            <v>2.6301000000000001</v>
          </cell>
        </row>
        <row r="1604">
          <cell r="A1604" t="str">
            <v>001.25.00380</v>
          </cell>
          <cell r="B1604" t="str">
            <v>Curva de 45º de pvc rígido para tubo soldável 110mm ( 4 pol )</v>
          </cell>
          <cell r="C1604" t="str">
            <v>UN</v>
          </cell>
          <cell r="D1604">
            <v>27.245100000000001</v>
          </cell>
        </row>
        <row r="1605">
          <cell r="A1605" t="str">
            <v>001.25.00400</v>
          </cell>
          <cell r="B1605" t="str">
            <v>Curva de 45º de pvc rígido para tubo soldável 85mm ( 3 pol )</v>
          </cell>
          <cell r="C1605" t="str">
            <v>UN</v>
          </cell>
          <cell r="D1605">
            <v>12.29</v>
          </cell>
        </row>
        <row r="1606">
          <cell r="A1606" t="str">
            <v>001.25.00420</v>
          </cell>
          <cell r="B1606" t="str">
            <v>Curva de 45º de pvc rígido para tubo soldável 75mm ( 2 1/2 pol )</v>
          </cell>
          <cell r="C1606" t="str">
            <v>UN</v>
          </cell>
          <cell r="D1606">
            <v>8.69</v>
          </cell>
        </row>
        <row r="1607">
          <cell r="A1607" t="str">
            <v>001.25.00440</v>
          </cell>
          <cell r="B1607" t="str">
            <v>Curva de 45º de pvc rígido para tubo soldável 60mm ( 2  pol )</v>
          </cell>
          <cell r="C1607" t="str">
            <v>UN</v>
          </cell>
          <cell r="D1607">
            <v>5.1150000000000002</v>
          </cell>
        </row>
        <row r="1608">
          <cell r="A1608" t="str">
            <v>001.25.00460</v>
          </cell>
          <cell r="B1608" t="str">
            <v>Curva de 45º de pvc rígido para tubo soldável 50mm ( 1 1/2  pol )</v>
          </cell>
          <cell r="C1608" t="str">
            <v>UN</v>
          </cell>
          <cell r="D1608">
            <v>3.5049999999999999</v>
          </cell>
        </row>
        <row r="1609">
          <cell r="A1609" t="str">
            <v>001.25.00480</v>
          </cell>
          <cell r="B1609" t="str">
            <v>Curva de 45º de pvc rígido para tubo soldável 50mm ( 1 1/4  pol )</v>
          </cell>
          <cell r="C1609" t="str">
            <v>UN</v>
          </cell>
          <cell r="D1609">
            <v>2.2850000000000001</v>
          </cell>
        </row>
        <row r="1610">
          <cell r="A1610" t="str">
            <v>001.25.00500</v>
          </cell>
          <cell r="B1610" t="str">
            <v>Curva de 45º de pvc rígido para tubo soldável 32mm ( 1  pol )</v>
          </cell>
          <cell r="C1610" t="str">
            <v>UN</v>
          </cell>
          <cell r="D1610">
            <v>1.3601000000000001</v>
          </cell>
        </row>
        <row r="1611">
          <cell r="A1611" t="str">
            <v>001.25.00520</v>
          </cell>
          <cell r="B1611" t="str">
            <v>Curva de 45º de pvc rígido para tubo soldável 25mm ( 3/4  pol )</v>
          </cell>
          <cell r="C1611" t="str">
            <v>UN</v>
          </cell>
          <cell r="D1611">
            <v>1.0901000000000001</v>
          </cell>
        </row>
        <row r="1612">
          <cell r="A1612" t="str">
            <v>001.25.00540</v>
          </cell>
          <cell r="B1612" t="str">
            <v>Curva de 45º de pvc rígido para tubo soldável 20mm ( 1/2  pol )</v>
          </cell>
          <cell r="C1612" t="str">
            <v>UN</v>
          </cell>
          <cell r="D1612">
            <v>1.2451000000000001</v>
          </cell>
        </row>
        <row r="1613">
          <cell r="A1613" t="str">
            <v>001.25.00560</v>
          </cell>
          <cell r="B1613" t="str">
            <v>Luva de pvc rígido para tubo soldável 110mm ( 4 pol )</v>
          </cell>
          <cell r="C1613" t="str">
            <v>UN</v>
          </cell>
          <cell r="D1613">
            <v>24.205100000000002</v>
          </cell>
        </row>
        <row r="1614">
          <cell r="A1614" t="str">
            <v>001.25.00580</v>
          </cell>
          <cell r="B1614" t="str">
            <v>Luva de pvc rígido para tubo soldável 85mm ( 3 pol )</v>
          </cell>
          <cell r="C1614" t="str">
            <v>UN</v>
          </cell>
          <cell r="D1614">
            <v>20.09</v>
          </cell>
        </row>
        <row r="1615">
          <cell r="A1615" t="str">
            <v>001.25.00600</v>
          </cell>
          <cell r="B1615" t="str">
            <v>Luva de pvc rígido para tubo soldável 75mm ( 2 1/2 pol )</v>
          </cell>
          <cell r="C1615" t="str">
            <v>UN</v>
          </cell>
          <cell r="D1615">
            <v>13.49</v>
          </cell>
        </row>
        <row r="1616">
          <cell r="A1616" t="str">
            <v>001.25.00620</v>
          </cell>
          <cell r="B1616" t="str">
            <v>Luva de pvc rígido para tubo soldável 60mm ( 2 pol )</v>
          </cell>
          <cell r="C1616" t="str">
            <v>UN</v>
          </cell>
          <cell r="D1616">
            <v>1.6950000000000001</v>
          </cell>
        </row>
        <row r="1617">
          <cell r="A1617" t="str">
            <v>001.25.00640</v>
          </cell>
          <cell r="B1617" t="str">
            <v>Luva de pvc rígido para tubo soldável 50mm ( 1 1/2 pol )</v>
          </cell>
          <cell r="C1617" t="str">
            <v>UN</v>
          </cell>
          <cell r="D1617">
            <v>2.9350000000000001</v>
          </cell>
        </row>
        <row r="1618">
          <cell r="A1618" t="str">
            <v>001.25.00660</v>
          </cell>
          <cell r="B1618" t="str">
            <v>Luva de pvc rígido para tubo soldável 40mm ( 1 1/4pol )</v>
          </cell>
          <cell r="C1618" t="str">
            <v>UN</v>
          </cell>
          <cell r="D1618">
            <v>2.585</v>
          </cell>
        </row>
        <row r="1619">
          <cell r="A1619" t="str">
            <v>001.25.00680</v>
          </cell>
          <cell r="B1619" t="str">
            <v>Luva de pvc rígido para tubo soldável 32mm ( 1 pol )</v>
          </cell>
          <cell r="C1619" t="str">
            <v>UN</v>
          </cell>
          <cell r="D1619">
            <v>1.4100999999999999</v>
          </cell>
        </row>
        <row r="1620">
          <cell r="A1620" t="str">
            <v>001.25.00700</v>
          </cell>
          <cell r="B1620" t="str">
            <v>Luva de pvc rígido para tubo soldável 25mm ( 3/4 pol )</v>
          </cell>
          <cell r="C1620" t="str">
            <v>UN</v>
          </cell>
          <cell r="D1620">
            <v>1.0501</v>
          </cell>
        </row>
        <row r="1621">
          <cell r="A1621" t="str">
            <v>001.25.00720</v>
          </cell>
          <cell r="B1621" t="str">
            <v>Luva de pvc rígido para tubo soldável 20mm ( 1/2 pol )</v>
          </cell>
          <cell r="C1621" t="str">
            <v>UN</v>
          </cell>
          <cell r="D1621">
            <v>1.0401</v>
          </cell>
        </row>
        <row r="1622">
          <cell r="A1622" t="str">
            <v>001.25.00740</v>
          </cell>
          <cell r="B1622" t="str">
            <v>Cotovelo de pvc rígido para tubo soldável 110 mm (4 pol)</v>
          </cell>
          <cell r="C1622" t="str">
            <v>UN</v>
          </cell>
          <cell r="D1622">
            <v>89.765100000000004</v>
          </cell>
        </row>
        <row r="1623">
          <cell r="A1623" t="str">
            <v>001.25.00760</v>
          </cell>
          <cell r="B1623" t="str">
            <v>Cotovelo de pvc rígido para tubo soldável 85 mm (3 pol)</v>
          </cell>
          <cell r="C1623" t="str">
            <v>UN</v>
          </cell>
          <cell r="D1623">
            <v>40.549999999999997</v>
          </cell>
        </row>
        <row r="1624">
          <cell r="A1624" t="str">
            <v>001.25.00780</v>
          </cell>
          <cell r="B1624" t="str">
            <v>Cotovelo de pvc rígido para tubo soldável 75 mm (2 1/2 pol)</v>
          </cell>
          <cell r="C1624" t="str">
            <v>UN</v>
          </cell>
          <cell r="D1624">
            <v>32.409999999999997</v>
          </cell>
        </row>
        <row r="1625">
          <cell r="A1625" t="str">
            <v>001.25.00800</v>
          </cell>
          <cell r="B1625" t="str">
            <v>Cotovelo de pvc rígido para tubo soldável 60 mm (2 pol)</v>
          </cell>
          <cell r="C1625" t="str">
            <v>UN</v>
          </cell>
          <cell r="D1625">
            <v>8.4250000000000007</v>
          </cell>
        </row>
        <row r="1626">
          <cell r="A1626" t="str">
            <v>001.25.00820</v>
          </cell>
          <cell r="B1626" t="str">
            <v>Cotovelo de pvc rígido para tubo soldável 50 mm ( 1 1/2 pol)</v>
          </cell>
          <cell r="C1626" t="str">
            <v>UN</v>
          </cell>
          <cell r="D1626">
            <v>3.5449999999999999</v>
          </cell>
        </row>
        <row r="1627">
          <cell r="A1627" t="str">
            <v>001.25.00840</v>
          </cell>
          <cell r="B1627" t="str">
            <v>Cotovelo de pvc rígido para tubo soldável 40 mm ( 1 1/4 pol)</v>
          </cell>
          <cell r="C1627" t="str">
            <v>UN</v>
          </cell>
          <cell r="D1627">
            <v>3.2650000000000001</v>
          </cell>
        </row>
        <row r="1628">
          <cell r="A1628" t="str">
            <v>001.25.00860</v>
          </cell>
          <cell r="B1628" t="str">
            <v>Cotovelo de pvc rígido para tubo soldável 32 mm ( 1 pol)</v>
          </cell>
          <cell r="C1628" t="str">
            <v>UN</v>
          </cell>
          <cell r="D1628">
            <v>1.5801000000000001</v>
          </cell>
        </row>
        <row r="1629">
          <cell r="A1629" t="str">
            <v>001.25.00880</v>
          </cell>
          <cell r="B1629" t="str">
            <v>Cotovelo de pvc rígido para tubo soldável 25 mm ( 3/4 pol)</v>
          </cell>
          <cell r="C1629" t="str">
            <v>UN</v>
          </cell>
          <cell r="D1629">
            <v>1.0501</v>
          </cell>
        </row>
        <row r="1630">
          <cell r="A1630" t="str">
            <v>001.25.00900</v>
          </cell>
          <cell r="B1630" t="str">
            <v>Cotovelo de pvc rígido para tubo soldável 20 mm ( 1/2 pol)</v>
          </cell>
          <cell r="C1630" t="str">
            <v>UN</v>
          </cell>
          <cell r="D1630">
            <v>0.98009999999999997</v>
          </cell>
        </row>
        <row r="1631">
          <cell r="A1631" t="str">
            <v>001.25.00920</v>
          </cell>
          <cell r="B1631" t="str">
            <v>Cotovelo 90º com redução de pvc rígido para tubo soldável 40 x 32mm ( 1.1/4 x 1 pol )</v>
          </cell>
          <cell r="C1631" t="str">
            <v>UN</v>
          </cell>
          <cell r="D1631">
            <v>2.335</v>
          </cell>
        </row>
        <row r="1632">
          <cell r="A1632" t="str">
            <v>001.25.00940</v>
          </cell>
          <cell r="B1632" t="str">
            <v>Cotovelo 90º com redução de pvc rígido para tubo soldável 32 x 25mm ( 1 x 3/4 pol )</v>
          </cell>
          <cell r="C1632" t="str">
            <v>UN</v>
          </cell>
          <cell r="D1632">
            <v>1.9601</v>
          </cell>
        </row>
        <row r="1633">
          <cell r="A1633" t="str">
            <v>001.25.00960</v>
          </cell>
          <cell r="B1633" t="str">
            <v>Cotovelo 90º com redução de pvc rígido para tubo soldável 25 x 20mm ( 3/4 x 1/2 pol )</v>
          </cell>
          <cell r="C1633" t="str">
            <v>UN</v>
          </cell>
          <cell r="D1633">
            <v>1.7401</v>
          </cell>
        </row>
        <row r="1634">
          <cell r="A1634" t="str">
            <v>001.25.00980</v>
          </cell>
          <cell r="B1634" t="str">
            <v>Cotovelo 45º de pvc rígido para tubo soldável 50mm ( 1.1/2 pol ).</v>
          </cell>
          <cell r="C1634" t="str">
            <v>UN</v>
          </cell>
          <cell r="D1634">
            <v>4.2549999999999999</v>
          </cell>
        </row>
        <row r="1635">
          <cell r="A1635" t="str">
            <v>001.25.01000</v>
          </cell>
          <cell r="B1635" t="str">
            <v>Cotovelo 45º de pvc rígido para tubo soldável 40 mm (1 1/4 pol)</v>
          </cell>
          <cell r="C1635" t="str">
            <v>UN</v>
          </cell>
          <cell r="D1635">
            <v>3.9849999999999999</v>
          </cell>
        </row>
        <row r="1636">
          <cell r="A1636" t="str">
            <v>001.25.01020</v>
          </cell>
          <cell r="B1636" t="str">
            <v>Cotovelo 45º de pvc rígido para tubo soldável 32 mm ( 1 pol)</v>
          </cell>
          <cell r="C1636" t="str">
            <v>UN</v>
          </cell>
          <cell r="D1636">
            <v>2.3401000000000001</v>
          </cell>
        </row>
        <row r="1637">
          <cell r="A1637" t="str">
            <v>001.25.01040</v>
          </cell>
          <cell r="B1637" t="str">
            <v>Cotovelo 45º de pvc rígido para tubo soldável 25 mm ( 3/4 pol)</v>
          </cell>
          <cell r="C1637" t="str">
            <v>UN</v>
          </cell>
          <cell r="D1637">
            <v>1.3801000000000001</v>
          </cell>
        </row>
        <row r="1638">
          <cell r="A1638" t="str">
            <v>001.25.01060</v>
          </cell>
          <cell r="B1638" t="str">
            <v>Cotovelo 45º de pvc rígido para tubo soldável 20 mm ( 1/2 pol)</v>
          </cell>
          <cell r="C1638" t="str">
            <v>UN</v>
          </cell>
          <cell r="D1638">
            <v>1.0801000000000001</v>
          </cell>
        </row>
        <row r="1639">
          <cell r="A1639" t="str">
            <v>001.25.01080</v>
          </cell>
          <cell r="B1639" t="str">
            <v>Tee 90º de pvc rígido para tubo soldável 110mm ( 4 pol )</v>
          </cell>
          <cell r="C1639" t="str">
            <v>UN</v>
          </cell>
          <cell r="D1639">
            <v>68.262600000000006</v>
          </cell>
        </row>
        <row r="1640">
          <cell r="A1640" t="str">
            <v>001.25.01100</v>
          </cell>
          <cell r="B1640" t="str">
            <v>Tee 90º de pvc rígido para tubo soldável 85mm ( 3 pol )</v>
          </cell>
          <cell r="C1640" t="str">
            <v>UN</v>
          </cell>
          <cell r="D1640">
            <v>34.040100000000002</v>
          </cell>
        </row>
        <row r="1641">
          <cell r="A1641" t="str">
            <v>001.25.01120</v>
          </cell>
          <cell r="B1641" t="str">
            <v>Tee 90º de pvc rígido para tubo soldável 75mm ( 2 1/2 pol )</v>
          </cell>
          <cell r="C1641" t="str">
            <v>UN</v>
          </cell>
          <cell r="D1641">
            <v>30.5001</v>
          </cell>
        </row>
        <row r="1642">
          <cell r="A1642" t="str">
            <v>001.25.01140</v>
          </cell>
          <cell r="B1642" t="str">
            <v>Tee 90º de pvc rígido para tubo soldável 60mm ( 2 pol )</v>
          </cell>
          <cell r="C1642" t="str">
            <v>UN</v>
          </cell>
          <cell r="D1642">
            <v>11.0176</v>
          </cell>
        </row>
        <row r="1643">
          <cell r="A1643" t="str">
            <v>001.25.01160</v>
          </cell>
          <cell r="B1643" t="str">
            <v>Tee 90º de pvc rígido para tubo soldável 50mm ( 11/2 pol )</v>
          </cell>
          <cell r="C1643" t="str">
            <v>UN</v>
          </cell>
          <cell r="D1643">
            <v>5.4775999999999998</v>
          </cell>
        </row>
        <row r="1644">
          <cell r="A1644" t="str">
            <v>001.25.01180</v>
          </cell>
          <cell r="B1644" t="str">
            <v>Tee 90º de pvc rígido para tubo soldável 40mm ( 11/4 pol )</v>
          </cell>
          <cell r="C1644" t="str">
            <v>UN</v>
          </cell>
          <cell r="D1644">
            <v>5.4276</v>
          </cell>
        </row>
        <row r="1645">
          <cell r="A1645" t="str">
            <v>001.25.01200</v>
          </cell>
          <cell r="B1645" t="str">
            <v>Tee 90º de pvc rígido para tubo soldável 32mm ( 1 pol )</v>
          </cell>
          <cell r="C1645" t="str">
            <v>UN</v>
          </cell>
          <cell r="D1645">
            <v>2.665</v>
          </cell>
        </row>
        <row r="1646">
          <cell r="A1646" t="str">
            <v>001.25.01220</v>
          </cell>
          <cell r="B1646" t="str">
            <v>Tee 90º de pvc rígido para tubo soldável 25mm ( 3/4 pol )</v>
          </cell>
          <cell r="C1646" t="str">
            <v>UN</v>
          </cell>
          <cell r="D1646">
            <v>1.425</v>
          </cell>
        </row>
        <row r="1647">
          <cell r="A1647" t="str">
            <v>001.25.01240</v>
          </cell>
          <cell r="B1647" t="str">
            <v>Tee 90º de pvc rígido para tubo soldável 20mm ( 1/2 pol )</v>
          </cell>
          <cell r="C1647" t="str">
            <v>UN</v>
          </cell>
          <cell r="D1647">
            <v>1.0901000000000001</v>
          </cell>
        </row>
        <row r="1648">
          <cell r="A1648" t="str">
            <v>001.25.01260</v>
          </cell>
          <cell r="B1648" t="str">
            <v>Tee de redução de pvc rígido part tubo soldável 110 x 85mm ( 4 x 3 pol )</v>
          </cell>
          <cell r="C1648" t="str">
            <v>UN</v>
          </cell>
          <cell r="D1648">
            <v>51.4026</v>
          </cell>
        </row>
        <row r="1649">
          <cell r="A1649" t="str">
            <v>001.25.01280</v>
          </cell>
          <cell r="B1649" t="str">
            <v>Tee de redução de pvc rígido para tubo soldável 110 x 75mm ( 4 x 2.1/2 pol )</v>
          </cell>
          <cell r="C1649" t="str">
            <v>UN</v>
          </cell>
          <cell r="D1649">
            <v>20.9726</v>
          </cell>
        </row>
        <row r="1650">
          <cell r="A1650" t="str">
            <v>001.25.01300</v>
          </cell>
          <cell r="B1650" t="str">
            <v>Tee de redução de pvc rígido para tubo soldável 110 x 60mm ( 4 x 2 pol )</v>
          </cell>
          <cell r="C1650" t="str">
            <v>UN</v>
          </cell>
          <cell r="D1650">
            <v>51.4026</v>
          </cell>
        </row>
        <row r="1651">
          <cell r="A1651" t="str">
            <v>001.25.01320</v>
          </cell>
          <cell r="B1651" t="str">
            <v>Tee de redução de pvc rígido para tubo soldável 85 x 75mm ( 3 x 2.1/2 pol )</v>
          </cell>
          <cell r="C1651" t="str">
            <v>UN</v>
          </cell>
          <cell r="D1651">
            <v>29.0701</v>
          </cell>
        </row>
        <row r="1652">
          <cell r="A1652" t="str">
            <v>001.25.01340</v>
          </cell>
          <cell r="B1652" t="str">
            <v>Tee de redução de pvc rígido para tubo soldável 85 x 60mm ( 3 x 2 pol )</v>
          </cell>
          <cell r="C1652" t="str">
            <v>UN</v>
          </cell>
          <cell r="D1652">
            <v>29.0701</v>
          </cell>
        </row>
        <row r="1653">
          <cell r="A1653" t="str">
            <v>001.25.01360</v>
          </cell>
          <cell r="B1653" t="str">
            <v>Tee de redução de pvc rígido para tubo soldável 75 x 60mm ( 2.1/2 x 2 pol )</v>
          </cell>
          <cell r="C1653" t="str">
            <v>UN</v>
          </cell>
          <cell r="D1653">
            <v>22.560099999999998</v>
          </cell>
        </row>
        <row r="1654">
          <cell r="A1654" t="str">
            <v>001.25.01380</v>
          </cell>
          <cell r="B1654" t="str">
            <v>Tee de redução de pvc rígido para tubo soldável 75 x 50mm ( 2.1/2 x 1.1/2 pol )</v>
          </cell>
          <cell r="C1654" t="str">
            <v>UN</v>
          </cell>
          <cell r="D1654">
            <v>25.740100000000002</v>
          </cell>
        </row>
        <row r="1655">
          <cell r="A1655" t="str">
            <v>001.25.01400</v>
          </cell>
          <cell r="B1655" t="str">
            <v>Tee de redução de pvc rígido para tubo soldável 50 x 40mm ( 1.1/2 x 1.1/4 pol )</v>
          </cell>
          <cell r="C1655" t="str">
            <v>UN</v>
          </cell>
          <cell r="D1655">
            <v>8.8376000000000001</v>
          </cell>
        </row>
        <row r="1656">
          <cell r="A1656" t="str">
            <v>001.25.01420</v>
          </cell>
          <cell r="B1656" t="str">
            <v>Tee de redução de pvc rígido para tubo soldável 50 x 32mm ( 1.1/2 x 1 pol )</v>
          </cell>
          <cell r="C1656" t="str">
            <v>UN</v>
          </cell>
          <cell r="D1656">
            <v>7.4576000000000002</v>
          </cell>
        </row>
        <row r="1657">
          <cell r="A1657" t="str">
            <v>001.25.01440</v>
          </cell>
          <cell r="B1657" t="str">
            <v>Tee de redução de pvc rígido para tubo soldável 50 x 25mm (1.1/2 x 3/4 pol )</v>
          </cell>
          <cell r="C1657" t="str">
            <v>UN</v>
          </cell>
          <cell r="D1657">
            <v>4.0575999999999999</v>
          </cell>
        </row>
        <row r="1658">
          <cell r="A1658" t="str">
            <v>001.25.01460</v>
          </cell>
          <cell r="B1658" t="str">
            <v>Tee de redução de pvc rígido para tubo soldável 50 x 20mm (1.1/2 x 1/2 pol )</v>
          </cell>
          <cell r="C1658" t="str">
            <v>UN</v>
          </cell>
          <cell r="D1658">
            <v>5.9176000000000002</v>
          </cell>
        </row>
        <row r="1659">
          <cell r="A1659" t="str">
            <v>001.25.01480</v>
          </cell>
          <cell r="B1659" t="str">
            <v>Tee de redução de pvc rígido para tubo soldável 40 x 32mm ( 1.1/4 x 1 pol )</v>
          </cell>
          <cell r="C1659" t="str">
            <v>UN</v>
          </cell>
          <cell r="D1659">
            <v>5.2076000000000002</v>
          </cell>
        </row>
        <row r="1660">
          <cell r="A1660" t="str">
            <v>001.25.01500</v>
          </cell>
          <cell r="B1660" t="str">
            <v>Tee de redução de pvc rígido para tubo soldável 32 x 25mm ( 1 x 3/4 pol )</v>
          </cell>
          <cell r="C1660" t="str">
            <v>UN</v>
          </cell>
          <cell r="D1660">
            <v>3.9849999999999999</v>
          </cell>
        </row>
        <row r="1661">
          <cell r="A1661" t="str">
            <v>001.25.01520</v>
          </cell>
          <cell r="B1661" t="str">
            <v>Tee de redução de pvc rígido para tubo soldável 25 x 20mm ( 3/4 x 1/2 pol )</v>
          </cell>
          <cell r="C1661" t="str">
            <v>UN</v>
          </cell>
          <cell r="D1661">
            <v>2.3849999999999998</v>
          </cell>
        </row>
        <row r="1662">
          <cell r="A1662" t="str">
            <v>001.25.01540</v>
          </cell>
          <cell r="B1662" t="str">
            <v>Bucha de redução de pvc rígido para tubo soldável 110 x 85mm ( 4 x 3 pol )</v>
          </cell>
          <cell r="C1662" t="str">
            <v>UN</v>
          </cell>
          <cell r="D1662">
            <v>21.585100000000001</v>
          </cell>
        </row>
        <row r="1663">
          <cell r="A1663" t="str">
            <v>001.25.01560</v>
          </cell>
          <cell r="B1663" t="str">
            <v>Bucha de redução de pvc rígido para tubo soldável 85 x 75mm ( 3 x 2.1/2 pol )</v>
          </cell>
          <cell r="C1663" t="str">
            <v>UN</v>
          </cell>
          <cell r="D1663">
            <v>8.43</v>
          </cell>
        </row>
        <row r="1664">
          <cell r="A1664" t="str">
            <v>001.25.01580</v>
          </cell>
          <cell r="B1664" t="str">
            <v>Bucha de redução de pvc rígido para tubo soldável 75 x 60mm (2.1/2 x 2 pol )</v>
          </cell>
          <cell r="C1664" t="str">
            <v>UN</v>
          </cell>
          <cell r="D1664">
            <v>7.85</v>
          </cell>
        </row>
        <row r="1665">
          <cell r="A1665" t="str">
            <v>001.25.01600</v>
          </cell>
          <cell r="B1665" t="str">
            <v>Bucha de redução de pvc rígido para tubo soldável 60 x 50mm ( 2 x 1.1/2 pol )</v>
          </cell>
          <cell r="C1665" t="str">
            <v>UN</v>
          </cell>
          <cell r="D1665">
            <v>2.7749999999999999</v>
          </cell>
        </row>
        <row r="1666">
          <cell r="A1666" t="str">
            <v>001.25.01620</v>
          </cell>
          <cell r="B1666" t="str">
            <v>Bucha de redução de pvc rígido para tubo soldável 50 x 40mm ( 1.1/2 x 1/1/4 pol )</v>
          </cell>
          <cell r="C1666" t="str">
            <v>UN</v>
          </cell>
          <cell r="D1666">
            <v>2.7749999999999999</v>
          </cell>
        </row>
        <row r="1667">
          <cell r="A1667" t="str">
            <v>001.25.01640</v>
          </cell>
          <cell r="B1667" t="str">
            <v>Bucha de redução de pvc rígido para tubo soldável 40 x 32mm ( 1.1/4 x 1 pol )</v>
          </cell>
          <cell r="C1667" t="str">
            <v>UN</v>
          </cell>
          <cell r="D1667">
            <v>2.0249999999999999</v>
          </cell>
        </row>
        <row r="1668">
          <cell r="A1668" t="str">
            <v>001.25.01660</v>
          </cell>
          <cell r="B1668" t="str">
            <v>Bucha de redução de pvc rígido para tubo soldável 32 x 25mm ( 1 x 3/4 pol )</v>
          </cell>
          <cell r="C1668" t="str">
            <v>UN</v>
          </cell>
          <cell r="D1668">
            <v>1.0801000000000001</v>
          </cell>
        </row>
        <row r="1669">
          <cell r="A1669" t="str">
            <v>001.25.01680</v>
          </cell>
          <cell r="B1669" t="str">
            <v>Bucha de redução de pvc rígido para tubo soldável 25 x 20mm ( 3/4 x 1/2 pol )</v>
          </cell>
          <cell r="C1669" t="str">
            <v>UN</v>
          </cell>
          <cell r="D1669">
            <v>1.0501</v>
          </cell>
        </row>
        <row r="1670">
          <cell r="A1670" t="str">
            <v>001.25.01700</v>
          </cell>
          <cell r="B1670" t="str">
            <v>União de pvc rígido para tubo soldável 110mm ( 4 pol )</v>
          </cell>
          <cell r="C1670" t="str">
            <v>UN</v>
          </cell>
          <cell r="D1670">
            <v>104.7851</v>
          </cell>
        </row>
        <row r="1671">
          <cell r="A1671" t="str">
            <v>001.25.01720</v>
          </cell>
          <cell r="B1671" t="str">
            <v>União de pvc rígido para tubo soldável 85mm ( 3 pol )</v>
          </cell>
          <cell r="C1671" t="str">
            <v>UN</v>
          </cell>
          <cell r="D1671">
            <v>81.400000000000006</v>
          </cell>
        </row>
        <row r="1672">
          <cell r="A1672" t="str">
            <v>001.25.01740</v>
          </cell>
          <cell r="B1672" t="str">
            <v>União de pvc rígido para tubo soldável 75mm ( 2 1/2 pol )</v>
          </cell>
          <cell r="C1672" t="str">
            <v>UN</v>
          </cell>
          <cell r="D1672">
            <v>73.989999999999995</v>
          </cell>
        </row>
        <row r="1673">
          <cell r="A1673" t="str">
            <v>001.25.01760</v>
          </cell>
          <cell r="B1673" t="str">
            <v>União de pvc rígido para tubo soldável 60mm ( 2 pol )</v>
          </cell>
          <cell r="C1673" t="str">
            <v>UN</v>
          </cell>
          <cell r="D1673">
            <v>25.594999999999999</v>
          </cell>
        </row>
        <row r="1674">
          <cell r="A1674" t="str">
            <v>001.25.01780</v>
          </cell>
          <cell r="B1674" t="str">
            <v>União de pvc rígido para tubo soldável 50mm ( 1 1/2 pol )</v>
          </cell>
          <cell r="C1674" t="str">
            <v>UN</v>
          </cell>
          <cell r="D1674">
            <v>12.895</v>
          </cell>
        </row>
        <row r="1675">
          <cell r="A1675" t="str">
            <v>001.25.01800</v>
          </cell>
          <cell r="B1675" t="str">
            <v>União de pvc rígido para tubo soldável 40mm ( 1 1/4 pol )</v>
          </cell>
          <cell r="C1675" t="str">
            <v>UN</v>
          </cell>
          <cell r="D1675">
            <v>13.365</v>
          </cell>
        </row>
        <row r="1676">
          <cell r="A1676" t="str">
            <v>001.25.01820</v>
          </cell>
          <cell r="B1676" t="str">
            <v>União de pvc rígido para tubo soldável 32mm ( 1 pol )</v>
          </cell>
          <cell r="C1676" t="str">
            <v>UN</v>
          </cell>
          <cell r="D1676">
            <v>6.5201000000000002</v>
          </cell>
        </row>
        <row r="1677">
          <cell r="A1677" t="str">
            <v>001.25.01840</v>
          </cell>
          <cell r="B1677" t="str">
            <v>União de pvc rígido para tubo soldável 25mm ( 3/4 pol )</v>
          </cell>
          <cell r="C1677" t="str">
            <v>UN</v>
          </cell>
          <cell r="D1677">
            <v>3.4801000000000002</v>
          </cell>
        </row>
        <row r="1678">
          <cell r="A1678" t="str">
            <v>001.25.01860</v>
          </cell>
          <cell r="B1678" t="str">
            <v>União de pvc rígido para tubo soldável 20mm ( 1/2 pol )</v>
          </cell>
          <cell r="C1678" t="str">
            <v>UN</v>
          </cell>
          <cell r="D1678">
            <v>3.2201</v>
          </cell>
        </row>
        <row r="1679">
          <cell r="A1679" t="str">
            <v>001.25.01880</v>
          </cell>
          <cell r="B1679" t="str">
            <v>Redução pvc soldável de pvc rígido para tubo soldável 110mm x 85mm (4 x 3 pol)</v>
          </cell>
          <cell r="C1679" t="str">
            <v>UN</v>
          </cell>
          <cell r="D1679">
            <v>21.9651</v>
          </cell>
        </row>
        <row r="1680">
          <cell r="A1680" t="str">
            <v>001.25.01900</v>
          </cell>
          <cell r="B1680" t="str">
            <v>Reduçao pvc soldável de pvc rígido para tubo soldável 110mm x 75mm (4 x 2.5 pol)</v>
          </cell>
          <cell r="C1680" t="str">
            <v>UN</v>
          </cell>
          <cell r="D1680">
            <v>19.985099999999999</v>
          </cell>
        </row>
        <row r="1681">
          <cell r="A1681" t="str">
            <v>001.25.01920</v>
          </cell>
          <cell r="B1681" t="str">
            <v>Redução pvc soldável de pvc rígido para tubo soldável 110mm x60mm (4 x 2 pol)</v>
          </cell>
          <cell r="C1681" t="str">
            <v>UN</v>
          </cell>
          <cell r="D1681">
            <v>19.1051</v>
          </cell>
        </row>
        <row r="1682">
          <cell r="A1682" t="str">
            <v>001.25.01940</v>
          </cell>
          <cell r="B1682" t="str">
            <v>Redução pvc soldável de pvc rígido para tubo soldável 85mm x 75mm (3 x 2.5 pol)</v>
          </cell>
          <cell r="C1682" t="str">
            <v>UN</v>
          </cell>
          <cell r="D1682">
            <v>12.3</v>
          </cell>
        </row>
        <row r="1683">
          <cell r="A1683" t="str">
            <v>001.25.01960</v>
          </cell>
          <cell r="B1683" t="str">
            <v>Redução pvc soldável de pvc rígido para tubo soldável 85mm x 60mm (3 x 2 pol)</v>
          </cell>
          <cell r="C1683" t="str">
            <v>UN</v>
          </cell>
          <cell r="D1683">
            <v>11.32</v>
          </cell>
        </row>
        <row r="1684">
          <cell r="A1684" t="str">
            <v>001.25.01980</v>
          </cell>
          <cell r="B1684" t="str">
            <v>Redução pvc soldável de pvc rígido para tubo soldável 75mm x 60mm (2.5 x 2 pol)</v>
          </cell>
          <cell r="C1684" t="str">
            <v>UN</v>
          </cell>
          <cell r="D1684">
            <v>8.7100000000000009</v>
          </cell>
        </row>
        <row r="1685">
          <cell r="A1685" t="str">
            <v>001.25.02000</v>
          </cell>
          <cell r="B1685" t="str">
            <v>Redução pvc soldável de pvc rígido para tubo soldável 60mm x 50mm (2 x 1.5 pol)</v>
          </cell>
          <cell r="C1685" t="str">
            <v>UN</v>
          </cell>
          <cell r="D1685">
            <v>4.74</v>
          </cell>
        </row>
        <row r="1686">
          <cell r="A1686" t="str">
            <v>001.25.02020</v>
          </cell>
          <cell r="B1686" t="str">
            <v>Redução pvc soldável de pvc rígido para tubo soldável 40mm x 32mm (1 1/4 x 1 pol)</v>
          </cell>
          <cell r="C1686" t="str">
            <v>UN</v>
          </cell>
          <cell r="D1686">
            <v>2.665</v>
          </cell>
        </row>
        <row r="1687">
          <cell r="A1687" t="str">
            <v>001.25.02040</v>
          </cell>
          <cell r="B1687" t="str">
            <v>Redução pvc soldável de pvc rígido para tubo soldável 32mm x 25mm (1 x 3/4 pol)</v>
          </cell>
          <cell r="C1687" t="str">
            <v>UN</v>
          </cell>
          <cell r="D1687">
            <v>1.7601</v>
          </cell>
        </row>
        <row r="1688">
          <cell r="A1688" t="str">
            <v>001.25.02060</v>
          </cell>
          <cell r="B1688" t="str">
            <v>Redução pvc soldável de pvc rígido para tubo soldável 25mm x 20mm (3/4 x 1/2 pol)</v>
          </cell>
          <cell r="C1688" t="str">
            <v>UN</v>
          </cell>
          <cell r="D1688">
            <v>1.2000999999999999</v>
          </cell>
        </row>
        <row r="1689">
          <cell r="A1689" t="str">
            <v>001.25.02080</v>
          </cell>
          <cell r="B1689" t="str">
            <v>Adaptador soldável com bolsa e rosca para registro de pvc rígido para tubo soldável 110m x 4 pol</v>
          </cell>
          <cell r="C1689" t="str">
            <v>UN</v>
          </cell>
          <cell r="D1689">
            <v>22.995100000000001</v>
          </cell>
        </row>
        <row r="1690">
          <cell r="A1690" t="str">
            <v>001.25.02100</v>
          </cell>
          <cell r="B1690" t="str">
            <v>Adaptador soldável com bolsa e rosca para registro de pvc rígido para tubo soldável 85mm x 3 pol</v>
          </cell>
          <cell r="C1690" t="str">
            <v>UN</v>
          </cell>
          <cell r="D1690">
            <v>13.49</v>
          </cell>
        </row>
        <row r="1691">
          <cell r="A1691" t="str">
            <v>001.25.02120</v>
          </cell>
          <cell r="B1691" t="str">
            <v>Adaptador soldável com bolsa e rosca para registro de pvc rígido para tubo soldável 75mm x 2.5 pol</v>
          </cell>
          <cell r="C1691" t="str">
            <v>UN</v>
          </cell>
          <cell r="D1691">
            <v>12.05</v>
          </cell>
        </row>
        <row r="1692">
          <cell r="A1692" t="str">
            <v>001.25.02140</v>
          </cell>
          <cell r="B1692" t="str">
            <v>Adaptador soldável com bolsa e rosca para registro de pvc rígido para tubo soldável 60mm x 2 pol</v>
          </cell>
          <cell r="C1692" t="str">
            <v>UN</v>
          </cell>
          <cell r="D1692">
            <v>4.58</v>
          </cell>
        </row>
        <row r="1693">
          <cell r="A1693" t="str">
            <v>001.25.02160</v>
          </cell>
          <cell r="B1693" t="str">
            <v>Adaptador soldável com bolsa e rosca para registro de pvc rígido para tubo soldável 50mm x 1.5 pol</v>
          </cell>
          <cell r="C1693" t="str">
            <v>UN</v>
          </cell>
          <cell r="D1693">
            <v>2.395</v>
          </cell>
        </row>
        <row r="1694">
          <cell r="A1694" t="str">
            <v>001.25.02180</v>
          </cell>
          <cell r="B1694" t="str">
            <v>Adaptador soldável com bolsa e rosca para registro de pvc rígido para tubo soldável 50mm x 1.1/4 pol</v>
          </cell>
          <cell r="C1694" t="str">
            <v>UN</v>
          </cell>
          <cell r="D1694">
            <v>2.665</v>
          </cell>
        </row>
        <row r="1695">
          <cell r="A1695" t="str">
            <v>001.25.02200</v>
          </cell>
          <cell r="B1695" t="str">
            <v>Adaptador soldável com bolsa e rosca para registro de pvc rígido para tubo soldável 40mm x 1.5 pol.</v>
          </cell>
          <cell r="C1695" t="str">
            <v>UN</v>
          </cell>
          <cell r="D1695">
            <v>4.2149999999999999</v>
          </cell>
        </row>
        <row r="1696">
          <cell r="A1696" t="str">
            <v>001.25.02220</v>
          </cell>
          <cell r="B1696" t="str">
            <v>Adaptador soldável com bolsa e rosca para registro de pvc rígido para tubo soldável 40mm x 1.1/4 pol</v>
          </cell>
          <cell r="C1696" t="str">
            <v>UN</v>
          </cell>
          <cell r="D1696">
            <v>2.665</v>
          </cell>
        </row>
        <row r="1697">
          <cell r="A1697" t="str">
            <v>001.25.02240</v>
          </cell>
          <cell r="B1697" t="str">
            <v>Adaptador soldável com bolsa e rosca para registro de pvc rígido para tubo soldável 32mm x 1 pol</v>
          </cell>
          <cell r="C1697" t="str">
            <v>UN</v>
          </cell>
          <cell r="D1697">
            <v>1.4601</v>
          </cell>
        </row>
        <row r="1698">
          <cell r="A1698" t="str">
            <v>001.25.02260</v>
          </cell>
          <cell r="B1698" t="str">
            <v>Adaptador soldável com bolsa e rosca para registro de pvc rígido para tubo soldável 25mm x 3/4 pol</v>
          </cell>
          <cell r="C1698" t="str">
            <v>UN</v>
          </cell>
          <cell r="D1698">
            <v>0.96009999999999995</v>
          </cell>
        </row>
        <row r="1699">
          <cell r="A1699" t="str">
            <v>001.25.02280</v>
          </cell>
          <cell r="B1699" t="str">
            <v>Adaptador soldável com bolsa e rosca para registro de pvc rígido para tubo soldável 20mm x 1/2 pol</v>
          </cell>
          <cell r="C1699" t="str">
            <v>UN</v>
          </cell>
          <cell r="D1699">
            <v>0.98009999999999997</v>
          </cell>
        </row>
        <row r="1700">
          <cell r="A1700" t="str">
            <v>001.25.02300</v>
          </cell>
          <cell r="B1700" t="str">
            <v>Adaptador soldável com flanges de pvc rígido para tubo soldável para caixa de água 110mm x 4 pol</v>
          </cell>
          <cell r="C1700" t="str">
            <v>UN</v>
          </cell>
          <cell r="D1700">
            <v>152.76089999999999</v>
          </cell>
        </row>
        <row r="1701">
          <cell r="A1701" t="str">
            <v>001.25.02320</v>
          </cell>
          <cell r="B1701" t="str">
            <v>Adaptador soldável com flanges de pvc rígido para tubo soldável para caixa de água  85mm x 3 pol</v>
          </cell>
          <cell r="C1701" t="str">
            <v>UN</v>
          </cell>
          <cell r="D1701">
            <v>99.639899999999997</v>
          </cell>
        </row>
        <row r="1702">
          <cell r="A1702" t="str">
            <v>001.25.02340</v>
          </cell>
          <cell r="B1702" t="str">
            <v>Adaptador soldável com flantes de pvc rígido para tubo soldável para caixa de água 75mm x 2.5 pol</v>
          </cell>
          <cell r="C1702" t="str">
            <v>UN</v>
          </cell>
          <cell r="D1702">
            <v>77.639899999999997</v>
          </cell>
        </row>
        <row r="1703">
          <cell r="A1703" t="str">
            <v>001.25.02360</v>
          </cell>
          <cell r="B1703" t="str">
            <v>Adaptador soldável com flanges de pvc rígido para tubo soldável para caixa de água 60mm x 2 pol</v>
          </cell>
          <cell r="C1703" t="str">
            <v>UN</v>
          </cell>
          <cell r="D1703">
            <v>26.187899999999999</v>
          </cell>
        </row>
        <row r="1704">
          <cell r="A1704" t="str">
            <v>001.25.02380</v>
          </cell>
          <cell r="B1704" t="str">
            <v>Adaptador soldável com flanges de pvc rígido para tubo soldável para caixa de água 50mm x 1.5 pol</v>
          </cell>
          <cell r="C1704" t="str">
            <v>UN</v>
          </cell>
          <cell r="D1704">
            <v>19.977900000000002</v>
          </cell>
        </row>
        <row r="1705">
          <cell r="A1705" t="str">
            <v>001.25.02400</v>
          </cell>
          <cell r="B1705" t="str">
            <v>Adaptador soldável com flanges de pvc rígido para tubo soldável para caixa de água 40mm x 1.1/4 pol</v>
          </cell>
          <cell r="C1705" t="str">
            <v>UN</v>
          </cell>
          <cell r="D1705">
            <v>15.1831</v>
          </cell>
        </row>
        <row r="1706">
          <cell r="A1706" t="str">
            <v>001.25.02420</v>
          </cell>
          <cell r="B1706" t="str">
            <v>Adaptador soldável com flanges de pvc rígido para tubo soldável para caixa de água 32mm x 1 pol</v>
          </cell>
          <cell r="C1706" t="str">
            <v>UN</v>
          </cell>
          <cell r="D1706">
            <v>13.752700000000001</v>
          </cell>
        </row>
        <row r="1707">
          <cell r="A1707" t="str">
            <v>001.25.02440</v>
          </cell>
          <cell r="B1707" t="str">
            <v>Adaptador soldável com flanges de pvc rígido para tubo soldável para caixa de água 25mm x 3/4</v>
          </cell>
          <cell r="C1707" t="str">
            <v>UN</v>
          </cell>
          <cell r="D1707">
            <v>10.0627</v>
          </cell>
        </row>
        <row r="1708">
          <cell r="A1708" t="str">
            <v>001.25.02460</v>
          </cell>
          <cell r="B1708" t="str">
            <v>Adaptador soldável com flanges de pvc rígido para tubo soldável para caixa de água 20mm x 1/2 pol</v>
          </cell>
          <cell r="C1708" t="str">
            <v>UN</v>
          </cell>
          <cell r="D1708">
            <v>8.4726999999999997</v>
          </cell>
        </row>
        <row r="1709">
          <cell r="A1709" t="str">
            <v>001.25.02480</v>
          </cell>
          <cell r="B1709" t="str">
            <v>Bucha de redução longa de pvc rígido para tubo soldável 110 x 75 mm ( 4 x 2.1/2 pol)</v>
          </cell>
          <cell r="C1709" t="str">
            <v>UN</v>
          </cell>
          <cell r="D1709">
            <v>21.585100000000001</v>
          </cell>
        </row>
        <row r="1710">
          <cell r="A1710" t="str">
            <v>001.25.02500</v>
          </cell>
          <cell r="B1710" t="str">
            <v>Bucha de redução longa de pvc rígido para tubo soldável 110 x 60 mm ( 4 x 2 pol)</v>
          </cell>
          <cell r="C1710" t="str">
            <v>UN</v>
          </cell>
          <cell r="D1710">
            <v>12.585100000000001</v>
          </cell>
        </row>
        <row r="1711">
          <cell r="A1711" t="str">
            <v>001.25.02520</v>
          </cell>
          <cell r="B1711" t="str">
            <v>Bucha de redução longa de pvc rígido para tubo soldável 85 x 60 mm (3 x 2 pol)</v>
          </cell>
          <cell r="C1711" t="str">
            <v>UN</v>
          </cell>
          <cell r="D1711">
            <v>6.36</v>
          </cell>
        </row>
        <row r="1712">
          <cell r="A1712" t="str">
            <v>001.25.02540</v>
          </cell>
          <cell r="B1712" t="str">
            <v>Bucha de redução longa de pvc rígido para tubo soldável 75 x 50 mm ( 2.1/2 x 1.1/2 pol)</v>
          </cell>
          <cell r="C1712" t="str">
            <v>UN</v>
          </cell>
          <cell r="D1712">
            <v>5.97</v>
          </cell>
        </row>
        <row r="1713">
          <cell r="A1713" t="str">
            <v>001.25.02560</v>
          </cell>
          <cell r="B1713" t="str">
            <v>Bucha de redução longa de pvc rígido para tubo soldável 60 x 50 mm (2 x 1.1/2 pol)</v>
          </cell>
          <cell r="C1713" t="str">
            <v>UN</v>
          </cell>
          <cell r="D1713">
            <v>5.64</v>
          </cell>
        </row>
        <row r="1714">
          <cell r="A1714" t="str">
            <v>001.25.02580</v>
          </cell>
          <cell r="B1714" t="str">
            <v>Bucha de redução longa de pvc rígido para tubo soldável 60 x 40 mm (2 x 1.1/4 pol)</v>
          </cell>
          <cell r="C1714" t="str">
            <v>UN</v>
          </cell>
          <cell r="D1714">
            <v>4.5250000000000004</v>
          </cell>
        </row>
        <row r="1715">
          <cell r="A1715" t="str">
            <v>001.25.02600</v>
          </cell>
          <cell r="B1715" t="str">
            <v>Bucha de redução longa de pvc rígido para tubo soldável 60 x 32 mm (2 x 1 pol)</v>
          </cell>
          <cell r="C1715" t="str">
            <v>UN</v>
          </cell>
          <cell r="D1715">
            <v>5.35</v>
          </cell>
        </row>
        <row r="1716">
          <cell r="A1716" t="str">
            <v>001.25.02620</v>
          </cell>
          <cell r="B1716" t="str">
            <v>Bucha de redução longa de pvc rígido para tubo soldável 60 x 25 mm ( 2 x 3/4 pol)</v>
          </cell>
          <cell r="C1716" t="str">
            <v>UN</v>
          </cell>
          <cell r="D1716">
            <v>1.81</v>
          </cell>
        </row>
        <row r="1717">
          <cell r="A1717" t="str">
            <v>001.25.02640</v>
          </cell>
          <cell r="B1717" t="str">
            <v>Bucha de redução longa de pvc rígido para tubo soldável 50 x 32 mm ( 1.1/2 x 1 pol)</v>
          </cell>
          <cell r="C1717" t="str">
            <v>UN</v>
          </cell>
          <cell r="D1717">
            <v>2.8849999999999998</v>
          </cell>
        </row>
        <row r="1718">
          <cell r="A1718" t="str">
            <v>001.25.02660</v>
          </cell>
          <cell r="B1718" t="str">
            <v>Bucha de redução longa de pvc rígido para tubo soldável 50 x 25 mm ( 1.1/2 x 3.4 pol)</v>
          </cell>
          <cell r="C1718" t="str">
            <v>UN</v>
          </cell>
          <cell r="D1718">
            <v>2.5550000000000002</v>
          </cell>
        </row>
        <row r="1719">
          <cell r="A1719" t="str">
            <v>001.25.02680</v>
          </cell>
          <cell r="B1719" t="str">
            <v>Bucha de redução longa de pvc rígido para tubo soldável 50 x 20 mm ( 1.1/2 x 1/2 pol)</v>
          </cell>
          <cell r="C1719" t="str">
            <v>UN</v>
          </cell>
          <cell r="D1719">
            <v>2.335</v>
          </cell>
        </row>
        <row r="1720">
          <cell r="A1720" t="str">
            <v>001.25.02700</v>
          </cell>
          <cell r="B1720" t="str">
            <v>Bucha de redução longa de pvc rígido para tubo soldável 40 x 25 mm ( 1.1/4 x 3/4 pol)</v>
          </cell>
          <cell r="C1720" t="str">
            <v>UN</v>
          </cell>
          <cell r="D1720">
            <v>2.605</v>
          </cell>
        </row>
        <row r="1721">
          <cell r="A1721" t="str">
            <v>001.25.02720</v>
          </cell>
          <cell r="B1721" t="str">
            <v>Bucha de redução longa de pvc rígido para tubo soldável 40 x 20 mm (1.1/4 x 1/2 pol)</v>
          </cell>
          <cell r="C1721" t="str">
            <v>UN</v>
          </cell>
          <cell r="D1721">
            <v>2.165</v>
          </cell>
        </row>
        <row r="1722">
          <cell r="A1722" t="str">
            <v>001.25.02740</v>
          </cell>
          <cell r="B1722" t="str">
            <v>Bucha de redução longa de pvc rígido para tubo soldável 32 x 20 mm (1 x 1/2 pol)</v>
          </cell>
          <cell r="C1722" t="str">
            <v>UN</v>
          </cell>
          <cell r="D1722">
            <v>1.6500999999999999</v>
          </cell>
        </row>
        <row r="1723">
          <cell r="A1723" t="str">
            <v>001.25.02760</v>
          </cell>
          <cell r="B1723" t="str">
            <v>Cap de pvc rígido para tubo soldável 50 mm ( 1.1/2 pol)</v>
          </cell>
          <cell r="C1723" t="str">
            <v>UN</v>
          </cell>
          <cell r="D1723">
            <v>3.3125</v>
          </cell>
        </row>
        <row r="1724">
          <cell r="A1724" t="str">
            <v>001.25.02780</v>
          </cell>
          <cell r="B1724" t="str">
            <v>Cap de pvc rígido para tubo soldável 40 mm (1.1/4 pol)</v>
          </cell>
          <cell r="C1724" t="str">
            <v>UN</v>
          </cell>
          <cell r="D1724">
            <v>1.9125000000000001</v>
          </cell>
        </row>
        <row r="1725">
          <cell r="A1725" t="str">
            <v>001.25.02800</v>
          </cell>
          <cell r="B1725" t="str">
            <v>Cap de pvc rígido para tubo soldável 32 mm (1 pol)</v>
          </cell>
          <cell r="C1725" t="str">
            <v>UN</v>
          </cell>
          <cell r="D1725">
            <v>1.0349999999999999</v>
          </cell>
        </row>
        <row r="1726">
          <cell r="A1726" t="str">
            <v>001.25.02820</v>
          </cell>
          <cell r="B1726" t="str">
            <v>Cap de pvc rígido para tubo soldável 25 mm (3/4 pol)</v>
          </cell>
          <cell r="C1726" t="str">
            <v>UN</v>
          </cell>
          <cell r="D1726">
            <v>1.0349999999999999</v>
          </cell>
        </row>
        <row r="1727">
          <cell r="A1727" t="str">
            <v>001.25.02840</v>
          </cell>
          <cell r="B1727" t="str">
            <v>Cap de pvc rígido para tubo soldável 20 mm (1/2 pol)</v>
          </cell>
          <cell r="C1727" t="str">
            <v>UN</v>
          </cell>
          <cell r="D1727">
            <v>0.89500000000000002</v>
          </cell>
        </row>
        <row r="1728">
          <cell r="A1728" t="str">
            <v>001.25.02860</v>
          </cell>
          <cell r="B1728" t="str">
            <v>Joelho 90º soldável/rosqueável  32mm x 1 pol</v>
          </cell>
          <cell r="C1728" t="str">
            <v>UN</v>
          </cell>
          <cell r="D1728">
            <v>3.0101</v>
          </cell>
        </row>
        <row r="1729">
          <cell r="A1729" t="str">
            <v>001.25.02880</v>
          </cell>
          <cell r="B1729" t="str">
            <v>Joelho 90º soldável/rosqueável 25mm x 3/4 pol</v>
          </cell>
          <cell r="C1729" t="str">
            <v>UN</v>
          </cell>
          <cell r="D1729">
            <v>2.1501000000000001</v>
          </cell>
        </row>
        <row r="1730">
          <cell r="A1730" t="str">
            <v>001.25.02900</v>
          </cell>
          <cell r="B1730" t="str">
            <v>Joelho 90º soldável/rosqueável  20mm x 1/2 pol</v>
          </cell>
          <cell r="C1730" t="str">
            <v>UN</v>
          </cell>
          <cell r="D1730">
            <v>1.5301</v>
          </cell>
        </row>
        <row r="1731">
          <cell r="A1731" t="str">
            <v>001.25.02920</v>
          </cell>
          <cell r="B1731" t="str">
            <v>Joelho de redução 90º soldável/rosqueável 32mm x 3/4 pol</v>
          </cell>
          <cell r="C1731" t="str">
            <v>UN</v>
          </cell>
          <cell r="D1731">
            <v>1.4701</v>
          </cell>
        </row>
        <row r="1732">
          <cell r="A1732" t="str">
            <v>001.25.02940</v>
          </cell>
          <cell r="B1732" t="str">
            <v>Joelho de redução 90º soldável/rosqueável 25mm x 1/2 pol</v>
          </cell>
          <cell r="C1732" t="str">
            <v>UN</v>
          </cell>
          <cell r="D1732">
            <v>1.5201</v>
          </cell>
        </row>
        <row r="1733">
          <cell r="A1733" t="str">
            <v>001.25.02960</v>
          </cell>
          <cell r="B1733" t="str">
            <v>Luva simples soldável/rosqueável 50mm x 1.5 pol</v>
          </cell>
          <cell r="C1733" t="str">
            <v>UN</v>
          </cell>
          <cell r="D1733">
            <v>12.565</v>
          </cell>
        </row>
        <row r="1734">
          <cell r="A1734" t="str">
            <v>001.25.02980</v>
          </cell>
          <cell r="B1734" t="str">
            <v>Luva simples soldável/rosqueável 40mm x 1.1/4 pol</v>
          </cell>
          <cell r="C1734" t="str">
            <v>UN</v>
          </cell>
          <cell r="D1734">
            <v>5.4649999999999999</v>
          </cell>
        </row>
        <row r="1735">
          <cell r="A1735" t="str">
            <v>001.25.03000</v>
          </cell>
          <cell r="B1735" t="str">
            <v>Luva simples soldável/rosqueável 32mm x 1 pol</v>
          </cell>
          <cell r="C1735" t="str">
            <v>UN</v>
          </cell>
          <cell r="D1735">
            <v>2.6200999999999999</v>
          </cell>
        </row>
        <row r="1736">
          <cell r="A1736" t="str">
            <v>001.25.03020</v>
          </cell>
          <cell r="B1736" t="str">
            <v>Luva simples soldável/rosqueável 25mm x 3/4 pol</v>
          </cell>
          <cell r="C1736" t="str">
            <v>UN</v>
          </cell>
          <cell r="D1736">
            <v>1.4100999999999999</v>
          </cell>
        </row>
        <row r="1737">
          <cell r="A1737" t="str">
            <v>001.25.03040</v>
          </cell>
          <cell r="B1737" t="str">
            <v>Luva simples soldável/rosqueável 20mm x 1/2 pol</v>
          </cell>
          <cell r="C1737" t="str">
            <v>UN</v>
          </cell>
          <cell r="D1737">
            <v>1.7401</v>
          </cell>
        </row>
        <row r="1738">
          <cell r="A1738" t="str">
            <v>001.25.03060</v>
          </cell>
          <cell r="B1738" t="str">
            <v>Luva de redução soldável/rosqueável 25mm x 1/2 pol</v>
          </cell>
          <cell r="C1738" t="str">
            <v>UN</v>
          </cell>
          <cell r="D1738">
            <v>1.5201</v>
          </cell>
        </row>
        <row r="1739">
          <cell r="A1739" t="str">
            <v>001.25.03080</v>
          </cell>
          <cell r="B1739" t="str">
            <v>Tee 90º com rosca na bolsa central soldável/rosqueável 32mm x 32mm x 1 pol</v>
          </cell>
          <cell r="C1739" t="str">
            <v>UN</v>
          </cell>
          <cell r="D1739">
            <v>2.9449999999999998</v>
          </cell>
        </row>
        <row r="1740">
          <cell r="A1740" t="str">
            <v>001.25.03100</v>
          </cell>
          <cell r="B1740" t="str">
            <v>Tee 90º com rosca na bolsa central soldável/rosqueável 25mm x 25mm 3/4 pol</v>
          </cell>
          <cell r="C1740" t="str">
            <v>UN</v>
          </cell>
          <cell r="D1740">
            <v>4.0250000000000004</v>
          </cell>
        </row>
        <row r="1741">
          <cell r="A1741" t="str">
            <v>001.25.03120</v>
          </cell>
          <cell r="B1741" t="str">
            <v>Tee 90º com rosca na bolsa central soldável/rosqueável 20mm x 20mm x 1/2 pol</v>
          </cell>
          <cell r="C1741" t="str">
            <v>UN</v>
          </cell>
          <cell r="D1741">
            <v>4.1500000000000004</v>
          </cell>
        </row>
        <row r="1742">
          <cell r="A1742" t="str">
            <v>001.25.03140</v>
          </cell>
          <cell r="B1742" t="str">
            <v>Tee 90º com rosca na bolsa central sodável/rosqueável 32mm x 32mm x 3/4 pol</v>
          </cell>
          <cell r="C1742" t="str">
            <v>UN</v>
          </cell>
          <cell r="D1742">
            <v>5.1950000000000003</v>
          </cell>
        </row>
        <row r="1743">
          <cell r="A1743" t="str">
            <v>001.25.03160</v>
          </cell>
          <cell r="B1743" t="str">
            <v>Tee 90º com rosca na bolsa central soldável/rosqueável 25mm x 25mm x 1/2 pol</v>
          </cell>
          <cell r="C1743" t="str">
            <v>UN</v>
          </cell>
          <cell r="D1743">
            <v>2.7149999999999999</v>
          </cell>
        </row>
        <row r="1744">
          <cell r="A1744" t="str">
            <v>001.25.03180</v>
          </cell>
          <cell r="B1744" t="str">
            <v>Joelho 90º soldável com bucha de latão 25mm x 3/4 pol</v>
          </cell>
          <cell r="C1744" t="str">
            <v>UN</v>
          </cell>
          <cell r="D1744">
            <v>5.0050999999999997</v>
          </cell>
        </row>
        <row r="1745">
          <cell r="A1745" t="str">
            <v>001.25.03200</v>
          </cell>
          <cell r="B1745" t="str">
            <v>Joelho 90º soldável com bucha de latão 20mm x 1/2 pol</v>
          </cell>
          <cell r="C1745" t="str">
            <v>UN</v>
          </cell>
          <cell r="D1745">
            <v>3.7850999999999999</v>
          </cell>
        </row>
        <row r="1746">
          <cell r="A1746" t="str">
            <v>001.25.03220</v>
          </cell>
          <cell r="B1746" t="str">
            <v>Joelho de redução 90º soldável com bucha de latão 32mm x 3/4 pol</v>
          </cell>
          <cell r="C1746" t="str">
            <v>UN</v>
          </cell>
          <cell r="D1746">
            <v>2.6551</v>
          </cell>
        </row>
        <row r="1747">
          <cell r="A1747" t="str">
            <v>001.25.03240</v>
          </cell>
          <cell r="B1747" t="str">
            <v>Joelho de redução 90º soldável com bucha de latão 25mm x 1/2 pol</v>
          </cell>
          <cell r="C1747" t="str">
            <v>UN</v>
          </cell>
          <cell r="D1747">
            <v>3.5550999999999999</v>
          </cell>
        </row>
        <row r="1748">
          <cell r="A1748" t="str">
            <v>001.25.03260</v>
          </cell>
          <cell r="B1748" t="str">
            <v>Luva simples soldável com bucha de latão 25mm x 3/4 pol</v>
          </cell>
          <cell r="C1748" t="str">
            <v>UN</v>
          </cell>
          <cell r="D1748">
            <v>4.5750999999999999</v>
          </cell>
        </row>
        <row r="1749">
          <cell r="A1749" t="str">
            <v>001.25.03280</v>
          </cell>
          <cell r="B1749" t="str">
            <v>Luva simples soldável com bucha de latão 20mm x 1/2 pol</v>
          </cell>
          <cell r="C1749" t="str">
            <v>UN</v>
          </cell>
          <cell r="D1749">
            <v>3.9651000000000001</v>
          </cell>
        </row>
        <row r="1750">
          <cell r="A1750" t="str">
            <v>001.25.03300</v>
          </cell>
          <cell r="B1750" t="str">
            <v>Luva de redução soldável com bucha de latão 25mm x 1/2 pol</v>
          </cell>
          <cell r="C1750" t="str">
            <v>UN</v>
          </cell>
          <cell r="D1750">
            <v>4.1750999999999996</v>
          </cell>
        </row>
        <row r="1751">
          <cell r="A1751" t="str">
            <v>001.25.03320</v>
          </cell>
          <cell r="B1751" t="str">
            <v>Tee 90º com bucha de latão central 25mm x 25mm x 3/4 pol</v>
          </cell>
          <cell r="C1751" t="str">
            <v>UN</v>
          </cell>
          <cell r="D1751">
            <v>4.7751000000000001</v>
          </cell>
        </row>
        <row r="1752">
          <cell r="A1752" t="str">
            <v>001.25.03340</v>
          </cell>
          <cell r="B1752" t="str">
            <v>Tee 90º com bucha de latão central 20mm x 20mm x 1/2 pol</v>
          </cell>
          <cell r="C1752" t="str">
            <v>UN</v>
          </cell>
          <cell r="D1752">
            <v>4.2651000000000003</v>
          </cell>
        </row>
        <row r="1753">
          <cell r="A1753" t="str">
            <v>001.25.03360</v>
          </cell>
          <cell r="B1753" t="str">
            <v>Tee redução 90º com bucha de latão na bolsa central 32mm x 32mm x 3/4 pol</v>
          </cell>
          <cell r="C1753" t="str">
            <v>UN</v>
          </cell>
          <cell r="D1753">
            <v>5.9451000000000001</v>
          </cell>
        </row>
        <row r="1754">
          <cell r="A1754" t="str">
            <v>001.25.03380</v>
          </cell>
          <cell r="B1754" t="str">
            <v>Tee reduçao 90º com bucha de latão na bolsa central 25mm x 25mm 1/2 pol</v>
          </cell>
          <cell r="C1754" t="str">
            <v>UN</v>
          </cell>
          <cell r="D1754">
            <v>3.4651000000000001</v>
          </cell>
        </row>
        <row r="1755">
          <cell r="A1755" t="str">
            <v>001.25.03400</v>
          </cell>
          <cell r="B1755" t="str">
            <v>Adaptador com rosca e flange para caixa de água de pvc inclusive assentamento 2 pol</v>
          </cell>
          <cell r="C1755" t="str">
            <v>UN</v>
          </cell>
          <cell r="D1755">
            <v>10.387700000000001</v>
          </cell>
        </row>
        <row r="1756">
          <cell r="A1756" t="str">
            <v>001.25.03420</v>
          </cell>
          <cell r="B1756" t="str">
            <v>Adaptador com rosca e flange para caixa de água de pvc inclusive assentamento 1 pol</v>
          </cell>
          <cell r="C1756" t="str">
            <v>UN</v>
          </cell>
          <cell r="D1756">
            <v>8.5825999999999993</v>
          </cell>
        </row>
        <row r="1757">
          <cell r="A1757" t="str">
            <v>001.25.03440</v>
          </cell>
          <cell r="B1757" t="str">
            <v>Adaptador com rosca e flange para caixa de água de pvc inclusive assentamento 3/4 pol</v>
          </cell>
          <cell r="C1757" t="str">
            <v>UN</v>
          </cell>
          <cell r="D1757">
            <v>6.7725999999999997</v>
          </cell>
        </row>
        <row r="1758">
          <cell r="A1758" t="str">
            <v>001.25.03460</v>
          </cell>
          <cell r="B1758" t="str">
            <v>Adaptador com rosca e flange para caixa de água de pvc inclusive assentamento 1/2 pol</v>
          </cell>
          <cell r="C1758" t="str">
            <v>UN</v>
          </cell>
          <cell r="D1758">
            <v>6.7725999999999997</v>
          </cell>
        </row>
        <row r="1759">
          <cell r="A1759" t="str">
            <v>001.25.03480</v>
          </cell>
          <cell r="B1759" t="str">
            <v>Adaptador com rosca e flange para caixa de água de pvc inclusive assentamento 3 pol</v>
          </cell>
          <cell r="C1759" t="str">
            <v>UN</v>
          </cell>
          <cell r="D1759">
            <v>57.185200000000002</v>
          </cell>
        </row>
        <row r="1760">
          <cell r="A1760" t="str">
            <v>001.25.03500</v>
          </cell>
          <cell r="B1760" t="str">
            <v>Plug ou bujão de 2"", de pvc rígido, para tubos de pvc rosqueável</v>
          </cell>
          <cell r="C1760" t="str">
            <v>UN</v>
          </cell>
          <cell r="D1760">
            <v>2.6625000000000001</v>
          </cell>
        </row>
        <row r="1761">
          <cell r="A1761" t="str">
            <v>001.25.03520</v>
          </cell>
          <cell r="B1761" t="str">
            <v>Plug ou bujão de 1 1/2"", de pvc rígido, para tubos de pvc rosqueável</v>
          </cell>
          <cell r="C1761" t="str">
            <v>UN</v>
          </cell>
          <cell r="D1761">
            <v>2.2524999999999999</v>
          </cell>
        </row>
        <row r="1762">
          <cell r="A1762" t="str">
            <v>001.25.03540</v>
          </cell>
          <cell r="B1762" t="str">
            <v>Plug ou bujão de 1 1/4"", de pvc rígido, para tubos de pvc rosqueável</v>
          </cell>
          <cell r="C1762" t="str">
            <v>UN</v>
          </cell>
          <cell r="D1762">
            <v>1.2625</v>
          </cell>
        </row>
        <row r="1763">
          <cell r="A1763" t="str">
            <v>001.25.03560</v>
          </cell>
          <cell r="B1763" t="str">
            <v>Plug ou bujão de 1"", de pvc rígido, para tubos de pvc rosqueável</v>
          </cell>
          <cell r="C1763" t="str">
            <v>UN</v>
          </cell>
          <cell r="D1763">
            <v>0.85499999999999998</v>
          </cell>
        </row>
        <row r="1764">
          <cell r="A1764" t="str">
            <v>001.25.03580</v>
          </cell>
          <cell r="B1764" t="str">
            <v>Plug ou bujão de 3/4"", de pvc rígido, para tubos de pvc rosqueável</v>
          </cell>
          <cell r="C1764" t="str">
            <v>UN</v>
          </cell>
          <cell r="D1764">
            <v>0.63900000000000001</v>
          </cell>
        </row>
        <row r="1765">
          <cell r="A1765" t="str">
            <v>001.25.03600</v>
          </cell>
          <cell r="B1765" t="str">
            <v>Plug ou bujão de 1/2"", de pvc rígido, para tubos de pvc rosqueável</v>
          </cell>
          <cell r="C1765" t="str">
            <v>UN</v>
          </cell>
          <cell r="D1765">
            <v>0.55500000000000005</v>
          </cell>
        </row>
        <row r="1766">
          <cell r="A1766" t="str">
            <v>001.25.03620</v>
          </cell>
          <cell r="B1766" t="str">
            <v>Fornecimento e instalação de mangueira marron de pvc para água de 3/4""x2,5 mm de espessura</v>
          </cell>
          <cell r="C1766" t="str">
            <v>ML</v>
          </cell>
          <cell r="D1766">
            <v>0.8367</v>
          </cell>
        </row>
        <row r="1767">
          <cell r="A1767" t="str">
            <v>001.25.03640</v>
          </cell>
          <cell r="B1767" t="str">
            <v>Fornecimento e instalação de mangueira marron de pvc para água de  1""x3,0 mm de espessura</v>
          </cell>
          <cell r="C1767" t="str">
            <v>ML</v>
          </cell>
          <cell r="D1767">
            <v>1.0891999999999999</v>
          </cell>
        </row>
        <row r="1768">
          <cell r="A1768" t="str">
            <v>001.25.03660</v>
          </cell>
          <cell r="B1768" t="str">
            <v>Fornecimento e instalação de joelho de polietileno - 3/4"" para mangueira de polietileno ou pvc marron</v>
          </cell>
          <cell r="C1768" t="str">
            <v>UN</v>
          </cell>
          <cell r="D1768">
            <v>1.2501</v>
          </cell>
        </row>
        <row r="1769">
          <cell r="A1769" t="str">
            <v>001.25.03680</v>
          </cell>
          <cell r="B1769" t="str">
            <v>Fornecimento e instalação de joelho de polietileno  - 1"" para mangueira de polietileno ou pvc marron</v>
          </cell>
          <cell r="C1769" t="str">
            <v>UN</v>
          </cell>
          <cell r="D1769">
            <v>1.7000999999999999</v>
          </cell>
        </row>
        <row r="1770">
          <cell r="A1770" t="str">
            <v>001.25.03700</v>
          </cell>
          <cell r="B1770" t="str">
            <v>Fornecimento e instalação de tee de polietileno - 3/4"" para mangueira de polietileno ou pvc marron</v>
          </cell>
          <cell r="C1770" t="str">
            <v>UN</v>
          </cell>
          <cell r="D1770">
            <v>1.9750000000000001</v>
          </cell>
        </row>
        <row r="1771">
          <cell r="A1771" t="str">
            <v>001.25.03720</v>
          </cell>
          <cell r="B1771" t="str">
            <v>Fornecimento e instalação de tee de polietileno  1""- para mangueira de polietileno ou pvc marron</v>
          </cell>
          <cell r="C1771" t="str">
            <v>UN</v>
          </cell>
          <cell r="D1771">
            <v>3.0501</v>
          </cell>
        </row>
        <row r="1772">
          <cell r="A1772" t="str">
            <v>001.25.03740</v>
          </cell>
          <cell r="B1772" t="str">
            <v>Fornecimento e instalação de uniao de polietileno - 3/4""- para mangueira de polietileno ou pvc marron</v>
          </cell>
          <cell r="C1772" t="str">
            <v>UN</v>
          </cell>
          <cell r="D1772">
            <v>1.4500999999999999</v>
          </cell>
        </row>
        <row r="1773">
          <cell r="A1773" t="str">
            <v>001.25.03760</v>
          </cell>
          <cell r="B1773" t="str">
            <v>Fornecimento e instalação de união de polietileno  - 1""-para mangueira de polietileno ou pvc marron</v>
          </cell>
          <cell r="C1773" t="str">
            <v>UN</v>
          </cell>
          <cell r="D1773">
            <v>1.8501000000000001</v>
          </cell>
        </row>
        <row r="1774">
          <cell r="A1774" t="str">
            <v>001.25.03780</v>
          </cell>
          <cell r="B1774" t="str">
            <v>Fornecimento e instalação de adaptador de polietileno  - 3/4""- para mangueira de polietileno ou pvc marron</v>
          </cell>
          <cell r="C1774" t="str">
            <v>UN</v>
          </cell>
          <cell r="D1774">
            <v>1.5501</v>
          </cell>
        </row>
        <row r="1775">
          <cell r="A1775" t="str">
            <v>001.25.03800</v>
          </cell>
          <cell r="B1775" t="str">
            <v>Fornecimento e instalação de adaptador de polietileno  - 1""- para mangueira de polietileno ou pvc marron</v>
          </cell>
          <cell r="C1775" t="str">
            <v>UN</v>
          </cell>
          <cell r="D1775">
            <v>1.7501</v>
          </cell>
        </row>
        <row r="1776">
          <cell r="A1776" t="str">
            <v>001.26</v>
          </cell>
          <cell r="B1776" t="str">
            <v>INSTALAÇÕES HIDRÁULICAS - TUBO GALVANIZADO</v>
          </cell>
          <cell r="D1776">
            <v>2510.4023999999999</v>
          </cell>
        </row>
        <row r="1777">
          <cell r="A1777" t="str">
            <v>001.26.00020</v>
          </cell>
          <cell r="B1777" t="str">
            <v>Fornecimento e Instalação de Tubo Ferro Galvanizado S/ Costura 4 Pol x  6.00 x 3.35mm</v>
          </cell>
          <cell r="C1777" t="str">
            <v>ML</v>
          </cell>
          <cell r="D1777">
            <v>87.686899999999994</v>
          </cell>
        </row>
        <row r="1778">
          <cell r="A1778" t="str">
            <v>001.26.00040</v>
          </cell>
          <cell r="B1778" t="str">
            <v>Fornecimento e Instalação de Tubo Ferro Galvanizado S/ Costura 3 Pol x  6.00 x 3.35mm</v>
          </cell>
          <cell r="C1778" t="str">
            <v>ML</v>
          </cell>
          <cell r="D1778">
            <v>61.173099999999998</v>
          </cell>
        </row>
        <row r="1779">
          <cell r="A1779" t="str">
            <v>001.26.00060</v>
          </cell>
          <cell r="B1779" t="str">
            <v>Fornecimento e Instalação de Tubo Ferro Galvanizado S/ Costura 2.5 Pol x  6.00 x 3.35mm</v>
          </cell>
          <cell r="C1779" t="str">
            <v>ML</v>
          </cell>
          <cell r="D1779">
            <v>51.073900000000002</v>
          </cell>
        </row>
        <row r="1780">
          <cell r="A1780" t="str">
            <v>001.26.00080</v>
          </cell>
          <cell r="B1780" t="str">
            <v>Fornecimento e Instalação de Tubo Ferro Galvanizado S/ Costura 2 Pol x  6.00 x 3.00mm</v>
          </cell>
          <cell r="C1780" t="str">
            <v>ML</v>
          </cell>
          <cell r="D1780">
            <v>36.705300000000001</v>
          </cell>
        </row>
        <row r="1781">
          <cell r="A1781" t="str">
            <v>001.26.00100</v>
          </cell>
          <cell r="B1781" t="str">
            <v>Fornecimento e Instalação de Tubo Ferro Galvanizado S/ Costura 1.5 Pol x  6.00 x 3.00mm</v>
          </cell>
          <cell r="C1781" t="str">
            <v>ML</v>
          </cell>
          <cell r="D1781">
            <v>28.337399999999999</v>
          </cell>
        </row>
        <row r="1782">
          <cell r="A1782" t="str">
            <v>001.26.00120</v>
          </cell>
          <cell r="B1782" t="str">
            <v>Fornecimento e Instalação de Tubo Ferro Galvanizado S/ Costura 1 1/4 Pol x 6.00 x 2.65mm</v>
          </cell>
          <cell r="C1782" t="str">
            <v>ML</v>
          </cell>
          <cell r="D1782">
            <v>23.322700000000001</v>
          </cell>
        </row>
        <row r="1783">
          <cell r="A1783" t="str">
            <v>001.26.00140</v>
          </cell>
          <cell r="B1783" t="str">
            <v>Fornecimento e Instalação de Tubo Ferro Galvanizado S/ Costura 1 Pol x 6.00 x 2.65mm</v>
          </cell>
          <cell r="C1783" t="str">
            <v>ML</v>
          </cell>
          <cell r="D1783">
            <v>18.498899999999999</v>
          </cell>
        </row>
        <row r="1784">
          <cell r="A1784" t="str">
            <v>001.26.00160</v>
          </cell>
          <cell r="B1784" t="str">
            <v>Fornecimento e Instalação de Tubo Ferro Galvanizado S/ Costura 3/4 Pol x 6.00 x 2.25mm</v>
          </cell>
          <cell r="C1784" t="str">
            <v>ML</v>
          </cell>
          <cell r="D1784">
            <v>12.9133</v>
          </cell>
        </row>
        <row r="1785">
          <cell r="A1785" t="str">
            <v>001.26.00180</v>
          </cell>
          <cell r="B1785" t="str">
            <v>Fornecimento e Instalação de Tubo Ferro Galvanizado S/ Costura 1/2 Pol x 6.00 x 2.25mm</v>
          </cell>
          <cell r="C1785" t="str">
            <v>ML</v>
          </cell>
          <cell r="D1785">
            <v>10.251899999999999</v>
          </cell>
        </row>
        <row r="1786">
          <cell r="A1786" t="str">
            <v>001.26.00200</v>
          </cell>
          <cell r="B1786" t="str">
            <v>Fornecimento e Instalação de Cotov.Redução de Ferro Galvanizado 90  2.5x2 Pol</v>
          </cell>
          <cell r="C1786" t="str">
            <v>UN</v>
          </cell>
          <cell r="D1786">
            <v>45.912599999999998</v>
          </cell>
        </row>
        <row r="1787">
          <cell r="A1787" t="str">
            <v>001.26.00220</v>
          </cell>
          <cell r="B1787" t="str">
            <v>Fornecimento e Instalação de Cotov.Redução de Ferro Galvanizado 90  2x1.5 Pol</v>
          </cell>
          <cell r="C1787" t="str">
            <v>UN</v>
          </cell>
          <cell r="D1787">
            <v>45.443899999999999</v>
          </cell>
        </row>
        <row r="1788">
          <cell r="A1788" t="str">
            <v>001.26.00240</v>
          </cell>
          <cell r="B1788" t="str">
            <v>Fornecimento e Instalação de Cotov.Redução de Ferro Galvanizado 90° 1.5x1 1/4 Pol</v>
          </cell>
          <cell r="C1788" t="str">
            <v>UN</v>
          </cell>
          <cell r="D1788">
            <v>21.543900000000001</v>
          </cell>
        </row>
        <row r="1789">
          <cell r="A1789" t="str">
            <v>001.26.00260</v>
          </cell>
          <cell r="B1789" t="str">
            <v>Fornecimento e Instalação de Cotov.Redução de Ferro Galvanizado 90° 1.5x1pol</v>
          </cell>
          <cell r="C1789" t="str">
            <v>UN</v>
          </cell>
          <cell r="D1789">
            <v>13.543900000000001</v>
          </cell>
        </row>
        <row r="1790">
          <cell r="A1790" t="str">
            <v>001.26.00280</v>
          </cell>
          <cell r="B1790" t="str">
            <v>Fornecimento e Instalação de Cotov.Redução de Ferro Galvanizado 90 1.5x3/4 Pol</v>
          </cell>
          <cell r="C1790" t="str">
            <v>UN</v>
          </cell>
          <cell r="D1790">
            <v>16.2439</v>
          </cell>
        </row>
        <row r="1791">
          <cell r="A1791" t="str">
            <v>001.26.00300</v>
          </cell>
          <cell r="B1791" t="str">
            <v>Fornecimento e Instalação de Cotov.Redução de Ferro Galvanizado 90° 1 1/4x1 Pol</v>
          </cell>
          <cell r="C1791" t="str">
            <v>UN</v>
          </cell>
          <cell r="D1791">
            <v>10.023899999999999</v>
          </cell>
        </row>
        <row r="1792">
          <cell r="A1792" t="str">
            <v>001.26.00320</v>
          </cell>
          <cell r="B1792" t="str">
            <v>Fornecimento e Instalação de Cotov.Redução de Ferro Galvanizado 90° 1 1/4x 3/4 Pol</v>
          </cell>
          <cell r="C1792" t="str">
            <v>UN</v>
          </cell>
          <cell r="D1792">
            <v>16.2439</v>
          </cell>
        </row>
        <row r="1793">
          <cell r="A1793" t="str">
            <v>001.26.00340</v>
          </cell>
          <cell r="B1793" t="str">
            <v>Fornecimento e Instalação de Cotov.Redução de Ferro Galvanizado 90° 1x3/4 Pol</v>
          </cell>
          <cell r="C1793" t="str">
            <v>UN</v>
          </cell>
          <cell r="D1793">
            <v>6.6851000000000003</v>
          </cell>
        </row>
        <row r="1794">
          <cell r="A1794" t="str">
            <v>001.26.00360</v>
          </cell>
          <cell r="B1794" t="str">
            <v>Fornecimento e Instalação de Cotov.Redução de Ferro Galvanizado 90° 1x1/2 Pol</v>
          </cell>
          <cell r="C1794" t="str">
            <v>UN</v>
          </cell>
          <cell r="D1794">
            <v>6.6851000000000003</v>
          </cell>
        </row>
        <row r="1795">
          <cell r="A1795" t="str">
            <v>001.26.00380</v>
          </cell>
          <cell r="B1795" t="str">
            <v>Fornecimento e Instalação de Cotov.Redução de Ferro Galvanizado 90° 3/4x1/2 Pol</v>
          </cell>
          <cell r="C1795" t="str">
            <v>UN</v>
          </cell>
          <cell r="D1795">
            <v>4.3851000000000004</v>
          </cell>
        </row>
        <row r="1796">
          <cell r="A1796" t="str">
            <v>001.26.00400</v>
          </cell>
          <cell r="B1796" t="str">
            <v>Fornecimento e Instalação de Bucha Redução Ferro Galvanizado 4x3 Pol</v>
          </cell>
          <cell r="C1796" t="str">
            <v>UN</v>
          </cell>
          <cell r="D1796">
            <v>31.4101</v>
          </cell>
        </row>
        <row r="1797">
          <cell r="A1797" t="str">
            <v>001.26.00420</v>
          </cell>
          <cell r="B1797" t="str">
            <v>Fornecimento e Instalação de Bucha Redução Ferro Galvanizado 4x2.5 Pol</v>
          </cell>
          <cell r="C1797" t="str">
            <v>UN</v>
          </cell>
          <cell r="D1797">
            <v>25.080100000000002</v>
          </cell>
        </row>
        <row r="1798">
          <cell r="A1798" t="str">
            <v>001.26.00440</v>
          </cell>
          <cell r="B1798" t="str">
            <v>Fornecimento e Instalação de Bucha Redução Ferro Galvanizado 4x2 Pol</v>
          </cell>
          <cell r="C1798" t="str">
            <v>UN</v>
          </cell>
          <cell r="D1798">
            <v>31.4101</v>
          </cell>
        </row>
        <row r="1799">
          <cell r="A1799" t="str">
            <v>001.26.00460</v>
          </cell>
          <cell r="B1799" t="str">
            <v>Fornecimento e Instalação de Bucha Redução Ferro Galvanizado 3x2.5 Pol</v>
          </cell>
          <cell r="C1799" t="str">
            <v>UN</v>
          </cell>
          <cell r="D1799">
            <v>18.921399999999998</v>
          </cell>
        </row>
        <row r="1800">
          <cell r="A1800" t="str">
            <v>001.26.00480</v>
          </cell>
          <cell r="B1800" t="str">
            <v>Forneicmento e Instalação de Bucha Redução Ferro Galvanizado 3x2 Pol</v>
          </cell>
          <cell r="C1800" t="str">
            <v>UN</v>
          </cell>
          <cell r="D1800">
            <v>18.921399999999998</v>
          </cell>
        </row>
        <row r="1801">
          <cell r="A1801" t="str">
            <v>001.26.00500</v>
          </cell>
          <cell r="B1801" t="str">
            <v>Fornecimento e Instalação de Bucha Redução Ferro Galvanizado 2.5x2 Pol</v>
          </cell>
          <cell r="C1801" t="str">
            <v>UN</v>
          </cell>
          <cell r="D1801">
            <v>12.5426</v>
          </cell>
        </row>
        <row r="1802">
          <cell r="A1802" t="str">
            <v>001.26.00520</v>
          </cell>
          <cell r="B1802" t="str">
            <v>Forneicmento e Instalação de Bucha Redução Ferro Galvanizado  2.5x1.5 Pol</v>
          </cell>
          <cell r="C1802" t="str">
            <v>UN</v>
          </cell>
          <cell r="D1802">
            <v>11.852600000000001</v>
          </cell>
        </row>
        <row r="1803">
          <cell r="A1803" t="str">
            <v>001.26.00540</v>
          </cell>
          <cell r="B1803" t="str">
            <v>Fornecimento e Instalação de Bucha Redução Ferro Galvanizado 2.5x1 1/4 Pol</v>
          </cell>
          <cell r="C1803" t="str">
            <v>UN</v>
          </cell>
          <cell r="D1803">
            <v>9.9925999999999995</v>
          </cell>
        </row>
        <row r="1804">
          <cell r="A1804" t="str">
            <v>001.26.00560</v>
          </cell>
          <cell r="B1804" t="str">
            <v>Fornecimento e Instalação de Bucha Redução Ferro Galvanizado. 2x1.5 Pol</v>
          </cell>
          <cell r="C1804" t="str">
            <v>UN</v>
          </cell>
          <cell r="D1804">
            <v>8.5938999999999997</v>
          </cell>
        </row>
        <row r="1805">
          <cell r="A1805" t="str">
            <v>001.26.00580</v>
          </cell>
          <cell r="B1805" t="str">
            <v>Fornecimento e Instalação de Bucha Redução Ferro Galvanizado 2x1 1/4 Pol</v>
          </cell>
          <cell r="C1805" t="str">
            <v>UN</v>
          </cell>
          <cell r="D1805">
            <v>8.2439</v>
          </cell>
        </row>
        <row r="1806">
          <cell r="A1806" t="str">
            <v>001.26.00600</v>
          </cell>
          <cell r="B1806" t="str">
            <v>Fornecimento e Instalação de Bucha Redução Ferro Galvanizado 2x1 Pol</v>
          </cell>
          <cell r="C1806" t="str">
            <v>UN</v>
          </cell>
          <cell r="D1806">
            <v>8.5338999999999992</v>
          </cell>
        </row>
        <row r="1807">
          <cell r="A1807" t="str">
            <v>001.26.00620</v>
          </cell>
          <cell r="B1807" t="str">
            <v>Fornecimento e Instalação de Bucha Redução Ferro Galvanizado 2x3/4 Pol</v>
          </cell>
          <cell r="C1807" t="str">
            <v>UN</v>
          </cell>
          <cell r="D1807">
            <v>8.5338999999999992</v>
          </cell>
        </row>
        <row r="1808">
          <cell r="A1808" t="str">
            <v>001.26.00640</v>
          </cell>
          <cell r="B1808" t="str">
            <v>Fornecimento e Instalação de Bucha Redução Ferro Galvanizado 1.5x1 1/4 Pol</v>
          </cell>
          <cell r="C1808" t="str">
            <v>UN</v>
          </cell>
          <cell r="D1808">
            <v>6.5739000000000001</v>
          </cell>
        </row>
        <row r="1809">
          <cell r="A1809" t="str">
            <v>001.26.00660</v>
          </cell>
          <cell r="B1809" t="str">
            <v>Fornecimento e Instalação de Bucha Redução Ferro Galvanizado 1.5x1 Pol</v>
          </cell>
          <cell r="C1809" t="str">
            <v>UN</v>
          </cell>
          <cell r="D1809">
            <v>6.2839</v>
          </cell>
        </row>
        <row r="1810">
          <cell r="A1810" t="str">
            <v>001.26.00680</v>
          </cell>
          <cell r="B1810" t="str">
            <v>Fornecimento e Instalação de Bucha Redução Ferro Galvanizado 1.5x3/4 Pol</v>
          </cell>
          <cell r="C1810" t="str">
            <v>UN</v>
          </cell>
          <cell r="D1810">
            <v>6.5538999999999996</v>
          </cell>
        </row>
        <row r="1811">
          <cell r="A1811" t="str">
            <v>001.26.00700</v>
          </cell>
          <cell r="B1811" t="str">
            <v>Fornecimento e Instalação de Bucha Redução Ferro Galvanizado 1 1/4x1 Pol</v>
          </cell>
          <cell r="C1811" t="str">
            <v>UN</v>
          </cell>
          <cell r="D1811">
            <v>5.8738999999999999</v>
          </cell>
        </row>
        <row r="1812">
          <cell r="A1812" t="str">
            <v>001.26.00720</v>
          </cell>
          <cell r="B1812" t="str">
            <v>Fornecimento e Instalação de Bucha Redução Ferro Galvanizado 1 1/4x3/4 Pol</v>
          </cell>
          <cell r="C1812" t="str">
            <v>UN</v>
          </cell>
          <cell r="D1812">
            <v>5.8838999999999997</v>
          </cell>
        </row>
        <row r="1813">
          <cell r="A1813" t="str">
            <v>001.26.00740</v>
          </cell>
          <cell r="B1813" t="str">
            <v>Fornecimento e Instalação de Bucha Redução Ferro Galvanizado 1 1/4x1/2 Pol</v>
          </cell>
          <cell r="C1813" t="str">
            <v>UN</v>
          </cell>
          <cell r="D1813">
            <v>5.5838999999999999</v>
          </cell>
        </row>
        <row r="1814">
          <cell r="A1814" t="str">
            <v>001.26.00760</v>
          </cell>
          <cell r="B1814" t="str">
            <v>Fornecimento e Instalação de Bucha Redução Ferro Galvanizado 1x3/4 Pol</v>
          </cell>
          <cell r="C1814" t="str">
            <v>UN</v>
          </cell>
          <cell r="D1814">
            <v>4.0850999999999997</v>
          </cell>
        </row>
        <row r="1815">
          <cell r="A1815" t="str">
            <v>001.26.00780</v>
          </cell>
          <cell r="B1815" t="str">
            <v>Fornecimento e Instalação de Bucha Redução Ferro Galvanizado 1x1/2 Pol</v>
          </cell>
          <cell r="C1815" t="str">
            <v>UN</v>
          </cell>
          <cell r="D1815">
            <v>4.0551000000000004</v>
          </cell>
        </row>
        <row r="1816">
          <cell r="A1816" t="str">
            <v>001.26.00800</v>
          </cell>
          <cell r="B1816" t="str">
            <v>Fornecimento e Instalação de Bucha Redução Ferro Galvanizado 3/4x1/2 Pol</v>
          </cell>
          <cell r="C1816" t="str">
            <v>UN</v>
          </cell>
          <cell r="D1816">
            <v>3.4350999999999998</v>
          </cell>
        </row>
        <row r="1817">
          <cell r="A1817" t="str">
            <v>001.26.00820</v>
          </cell>
          <cell r="B1817" t="str">
            <v>Fornecimento e Instalação de Luva De Redução De Ferro Galvanizado 4x3 Pol</v>
          </cell>
          <cell r="C1817" t="str">
            <v>UN</v>
          </cell>
          <cell r="D1817">
            <v>31.720099999999999</v>
          </cell>
        </row>
        <row r="1818">
          <cell r="A1818" t="str">
            <v>001.26.00840</v>
          </cell>
          <cell r="B1818" t="str">
            <v>Fornecimento e Instalação de Luva De Redução De Ferro Galvanizado 4x2.5 Pol</v>
          </cell>
          <cell r="C1818" t="str">
            <v>UN</v>
          </cell>
          <cell r="D1818">
            <v>23.440100000000001</v>
          </cell>
        </row>
        <row r="1819">
          <cell r="A1819" t="str">
            <v>001.26.00860</v>
          </cell>
          <cell r="B1819" t="str">
            <v>Fornecimento e Instalação de Luva De Redução De Ferro Galvanizado 4x2 Pol</v>
          </cell>
          <cell r="C1819" t="str">
            <v>UN</v>
          </cell>
          <cell r="D1819">
            <v>31.720099999999999</v>
          </cell>
        </row>
        <row r="1820">
          <cell r="A1820" t="str">
            <v>001.26.00880</v>
          </cell>
          <cell r="B1820" t="str">
            <v>Fornecimento e Instalação de Luva De Redução De Ferro Galvanizado 3x2.5 Pol</v>
          </cell>
          <cell r="C1820" t="str">
            <v>UN</v>
          </cell>
          <cell r="D1820">
            <v>22.481400000000001</v>
          </cell>
        </row>
        <row r="1821">
          <cell r="A1821" t="str">
            <v>001.26.00900</v>
          </cell>
          <cell r="B1821" t="str">
            <v>Fornecimento e Instalação de Luva De Redução De Ferro Galvanizado 3x2 Pol</v>
          </cell>
          <cell r="C1821" t="str">
            <v>UN</v>
          </cell>
          <cell r="D1821">
            <v>22.481400000000001</v>
          </cell>
        </row>
        <row r="1822">
          <cell r="A1822" t="str">
            <v>001.26.00920</v>
          </cell>
          <cell r="B1822" t="str">
            <v>Fornecimento e Instalação de Luva De Redução De Ferro Galvanizado 3x1.5 Pol</v>
          </cell>
          <cell r="C1822" t="str">
            <v>UN</v>
          </cell>
          <cell r="D1822">
            <v>22.481400000000001</v>
          </cell>
        </row>
        <row r="1823">
          <cell r="A1823" t="str">
            <v>001.26.00940</v>
          </cell>
          <cell r="B1823" t="str">
            <v>Fornecimento e Instalação de Luva De Redução De Ferro Galvanizado 2.5x2 Pol</v>
          </cell>
          <cell r="C1823" t="str">
            <v>UN</v>
          </cell>
          <cell r="D1823">
            <v>12.1126</v>
          </cell>
        </row>
        <row r="1824">
          <cell r="A1824" t="str">
            <v>001.26.00960</v>
          </cell>
          <cell r="B1824" t="str">
            <v>Fornecimento e Instalação de Luva De Redução De Ferro Galvanizado 2.5x1 1/4 Pol</v>
          </cell>
          <cell r="C1824" t="str">
            <v>UN</v>
          </cell>
          <cell r="D1824">
            <v>12.1126</v>
          </cell>
        </row>
        <row r="1825">
          <cell r="A1825" t="str">
            <v>001.26.00980</v>
          </cell>
          <cell r="B1825" t="str">
            <v>Fornecimento e Instalação de Luva De Redução De Ferro Galvanizado 2.5x1.5 Pol</v>
          </cell>
          <cell r="C1825" t="str">
            <v>UN</v>
          </cell>
          <cell r="D1825">
            <v>12.1126</v>
          </cell>
        </row>
        <row r="1826">
          <cell r="A1826" t="str">
            <v>001.26.01000</v>
          </cell>
          <cell r="B1826" t="str">
            <v>Fornecimento e Instalação de Luva De Redução De Ferro Galvanizado 2x1 1/4 Pol</v>
          </cell>
          <cell r="C1826" t="str">
            <v>UN</v>
          </cell>
          <cell r="D1826">
            <v>12.1126</v>
          </cell>
        </row>
        <row r="1827">
          <cell r="A1827" t="str">
            <v>001.26.01020</v>
          </cell>
          <cell r="B1827" t="str">
            <v>Fornecimento e Instalação de Luva De Redução De Ferro Galvanizado 2x1 Pol</v>
          </cell>
          <cell r="C1827" t="str">
            <v>UN</v>
          </cell>
          <cell r="D1827">
            <v>11.6439</v>
          </cell>
        </row>
        <row r="1828">
          <cell r="A1828" t="str">
            <v>001.26.01040</v>
          </cell>
          <cell r="B1828" t="str">
            <v>Fornecimento e Instalação de Luva De Redução De Ferro Galvanizado 1.5x1 Pol</v>
          </cell>
          <cell r="C1828" t="str">
            <v>UN</v>
          </cell>
          <cell r="D1828">
            <v>7.8438999999999997</v>
          </cell>
        </row>
        <row r="1829">
          <cell r="A1829" t="str">
            <v>001.26.01060</v>
          </cell>
          <cell r="B1829" t="str">
            <v>Fornecimento e Instalação de Luva De Redução De Ferro Galvanizado 11/4x1 Pol</v>
          </cell>
          <cell r="C1829" t="str">
            <v>UN</v>
          </cell>
          <cell r="D1829">
            <v>7.0438999999999998</v>
          </cell>
        </row>
        <row r="1830">
          <cell r="A1830" t="str">
            <v>001.26.01080</v>
          </cell>
          <cell r="B1830" t="str">
            <v>Fornecimento e Instalação de Luva De Redução De Ferro Galvanizado  1 1/4x3/4 Pol</v>
          </cell>
          <cell r="C1830" t="str">
            <v>UN</v>
          </cell>
          <cell r="D1830">
            <v>7.0438999999999998</v>
          </cell>
        </row>
        <row r="1831">
          <cell r="A1831" t="str">
            <v>001.26.01100</v>
          </cell>
          <cell r="B1831" t="str">
            <v>Fornecimento e Instalação de Luva De Redução De Ferro Galvanizado  1 1/4x1/2 Pol</v>
          </cell>
          <cell r="C1831" t="str">
            <v>UN</v>
          </cell>
          <cell r="D1831">
            <v>7.0438999999999998</v>
          </cell>
        </row>
        <row r="1832">
          <cell r="A1832" t="str">
            <v>001.26.01120</v>
          </cell>
          <cell r="B1832" t="str">
            <v>Fornecimento e Instalação de Luva De Redução De Ferro Galvanizado 1x3/4 Pol</v>
          </cell>
          <cell r="C1832" t="str">
            <v>UN</v>
          </cell>
          <cell r="D1832">
            <v>5.1750999999999996</v>
          </cell>
        </row>
        <row r="1833">
          <cell r="A1833" t="str">
            <v>001.26.01140</v>
          </cell>
          <cell r="B1833" t="str">
            <v>Fornecimento e Instalação de Luva De Redução De Ferro Galvanizado  1x1/2 Pol</v>
          </cell>
          <cell r="C1833" t="str">
            <v>UN</v>
          </cell>
          <cell r="D1833">
            <v>4.7751000000000001</v>
          </cell>
        </row>
        <row r="1834">
          <cell r="A1834" t="str">
            <v>001.26.01160</v>
          </cell>
          <cell r="B1834" t="str">
            <v>Fornecimento e Instalação de Luva De Redução De Ferro Galvanizado  3/4x1/2 Pol</v>
          </cell>
          <cell r="C1834" t="str">
            <v>UN</v>
          </cell>
          <cell r="D1834">
            <v>3.9750999999999999</v>
          </cell>
        </row>
        <row r="1835">
          <cell r="A1835" t="str">
            <v>001.26.01180</v>
          </cell>
          <cell r="B1835" t="str">
            <v>Fornecimento e Instalação de Cotov. De Ferro Galvanizado 90° 4 Pol</v>
          </cell>
          <cell r="C1835" t="str">
            <v>UN</v>
          </cell>
          <cell r="D1835">
            <v>50.440100000000001</v>
          </cell>
        </row>
        <row r="1836">
          <cell r="A1836" t="str">
            <v>001.26.01200</v>
          </cell>
          <cell r="B1836" t="str">
            <v>Fornecimento e Instalação de Cotov. De Ferro Galvanizado. 90° 3 Pol</v>
          </cell>
          <cell r="C1836" t="str">
            <v>UN</v>
          </cell>
          <cell r="D1836">
            <v>31.261399999999998</v>
          </cell>
        </row>
        <row r="1837">
          <cell r="A1837" t="str">
            <v>001.26.01220</v>
          </cell>
          <cell r="B1837" t="str">
            <v>Fornecimento e Instalação de Cotov. De Ferro Galvanizado 90° 2.5 Pol</v>
          </cell>
          <cell r="C1837" t="str">
            <v>UN</v>
          </cell>
          <cell r="D1837">
            <v>21.592600000000001</v>
          </cell>
        </row>
        <row r="1838">
          <cell r="A1838" t="str">
            <v>001.26.01240</v>
          </cell>
          <cell r="B1838" t="str">
            <v>Fornecimento e Instalação de Cotov. De Ferro Galvanizado 90° 2 Pol</v>
          </cell>
          <cell r="C1838" t="str">
            <v>UN</v>
          </cell>
          <cell r="D1838">
            <v>12.943899999999999</v>
          </cell>
        </row>
        <row r="1839">
          <cell r="A1839" t="str">
            <v>001.26.01260</v>
          </cell>
          <cell r="B1839" t="str">
            <v>Fornecimento e Instalação de Cotov. De Ferro Galvanizado 90° 1.5 Pol</v>
          </cell>
          <cell r="C1839" t="str">
            <v>UN</v>
          </cell>
          <cell r="D1839">
            <v>12.8439</v>
          </cell>
        </row>
        <row r="1840">
          <cell r="A1840" t="str">
            <v>001.26.01280</v>
          </cell>
          <cell r="B1840" t="str">
            <v>Fornecimento e Instalação de Cotov. De Ferro Galvanizado 90°  1 1/4 Pol</v>
          </cell>
          <cell r="C1840" t="str">
            <v>UN</v>
          </cell>
          <cell r="D1840">
            <v>10.023899999999999</v>
          </cell>
        </row>
        <row r="1841">
          <cell r="A1841" t="str">
            <v>001.26.01300</v>
          </cell>
          <cell r="B1841" t="str">
            <v>Fornecimento e Instalação de Cotov. De Ferro Galvanizado 90° 1 Pol</v>
          </cell>
          <cell r="C1841" t="str">
            <v>UN</v>
          </cell>
          <cell r="D1841">
            <v>6.6851000000000003</v>
          </cell>
        </row>
        <row r="1842">
          <cell r="A1842" t="str">
            <v>001.26.01320</v>
          </cell>
          <cell r="B1842" t="str">
            <v>Fornecimento e Instalação de Cotov. De Ferro Galvanizado 90°  3/4 Pol</v>
          </cell>
          <cell r="C1842" t="str">
            <v>UN</v>
          </cell>
          <cell r="D1842">
            <v>4.0850999999999997</v>
          </cell>
        </row>
        <row r="1843">
          <cell r="A1843" t="str">
            <v>001.26.01340</v>
          </cell>
          <cell r="B1843" t="str">
            <v>Fornecimento e Instalação de Cotov. De Ferro Galvanizado 90° 1/2 Pol</v>
          </cell>
          <cell r="C1843" t="str">
            <v>UN</v>
          </cell>
          <cell r="D1843">
            <v>3.5651000000000002</v>
          </cell>
        </row>
        <row r="1844">
          <cell r="A1844" t="str">
            <v>001.26.01360</v>
          </cell>
          <cell r="B1844" t="str">
            <v>Fornecimento e Instalação de Tee De Ferro Galvanizado 4 Pol</v>
          </cell>
          <cell r="C1844" t="str">
            <v>UN</v>
          </cell>
          <cell r="D1844">
            <v>54.587699999999998</v>
          </cell>
        </row>
        <row r="1845">
          <cell r="A1845" t="str">
            <v>001.26.01380</v>
          </cell>
          <cell r="B1845" t="str">
            <v>Fornecimento e Instalação de Tee De Ferro Galvanizado 3 Pol</v>
          </cell>
          <cell r="C1845" t="str">
            <v>UN</v>
          </cell>
          <cell r="D1845">
            <v>39.718899999999998</v>
          </cell>
        </row>
        <row r="1846">
          <cell r="A1846" t="str">
            <v>001.26.01400</v>
          </cell>
          <cell r="B1846" t="str">
            <v>Fornecimento e Instalação de Tee De Ferro Galvanizado 2.5 Pol</v>
          </cell>
          <cell r="C1846" t="str">
            <v>UN</v>
          </cell>
          <cell r="D1846">
            <v>30.2501</v>
          </cell>
        </row>
        <row r="1847">
          <cell r="A1847" t="str">
            <v>001.26.01420</v>
          </cell>
          <cell r="B1847" t="str">
            <v>Fornecimento e Instalação de Tee De Ferro Galvanizado 2 Pol</v>
          </cell>
          <cell r="C1847" t="str">
            <v>UN</v>
          </cell>
          <cell r="D1847">
            <v>17.303000000000001</v>
          </cell>
        </row>
        <row r="1848">
          <cell r="A1848" t="str">
            <v>001.26.01440</v>
          </cell>
          <cell r="B1848" t="str">
            <v>Fornecimento e Instalação de Tee De Ferro Galvanizado 1.5 Pol</v>
          </cell>
          <cell r="C1848" t="str">
            <v>UN</v>
          </cell>
          <cell r="D1848">
            <v>11.8314</v>
          </cell>
        </row>
        <row r="1849">
          <cell r="A1849" t="str">
            <v>001.26.01460</v>
          </cell>
          <cell r="B1849" t="str">
            <v>Fornecimento e Instalação de Tee De Ferro Galvanizado 1 1/4 Pol</v>
          </cell>
          <cell r="C1849" t="str">
            <v>UN</v>
          </cell>
          <cell r="D1849">
            <v>10.6814</v>
          </cell>
        </row>
        <row r="1850">
          <cell r="A1850" t="str">
            <v>001.26.01480</v>
          </cell>
          <cell r="B1850" t="str">
            <v>Fornecimento e Instalação de Tee De Ferro Galvanizado 1 Pol</v>
          </cell>
          <cell r="C1850" t="str">
            <v>UN</v>
          </cell>
          <cell r="D1850">
            <v>7.5625999999999998</v>
          </cell>
        </row>
        <row r="1851">
          <cell r="A1851" t="str">
            <v>001.26.01500</v>
          </cell>
          <cell r="B1851" t="str">
            <v>Fornecimento e Instalação de Tee De Ferro Galvanizado 3/4 Pol</v>
          </cell>
          <cell r="C1851" t="str">
            <v>UN</v>
          </cell>
          <cell r="D1851">
            <v>5.5125999999999999</v>
          </cell>
        </row>
        <row r="1852">
          <cell r="A1852" t="str">
            <v>001.26.01520</v>
          </cell>
          <cell r="B1852" t="str">
            <v>Fornecimento e Instalação de Tee De Ferro Galvanizado 1/2 Pol</v>
          </cell>
          <cell r="C1852" t="str">
            <v>UN</v>
          </cell>
          <cell r="D1852">
            <v>4.1525999999999996</v>
          </cell>
        </row>
        <row r="1853">
          <cell r="A1853" t="str">
            <v>001.26.01540</v>
          </cell>
          <cell r="B1853" t="str">
            <v>Fornecimento e Instalação de Tee Redução De Ferro Galvanizado 4x3 Pol</v>
          </cell>
          <cell r="C1853" t="str">
            <v>UN</v>
          </cell>
          <cell r="D1853">
            <v>90.187700000000007</v>
          </cell>
        </row>
        <row r="1854">
          <cell r="A1854" t="str">
            <v>001.26.01560</v>
          </cell>
          <cell r="B1854" t="str">
            <v>Fornecimento e Instalação de Tee Redução De Ferro Galvanizado 4x2 Pol</v>
          </cell>
          <cell r="C1854" t="str">
            <v>UN</v>
          </cell>
          <cell r="D1854">
            <v>90.187700000000007</v>
          </cell>
        </row>
        <row r="1855">
          <cell r="A1855" t="str">
            <v>001.26.01580</v>
          </cell>
          <cell r="B1855" t="str">
            <v>Fornecimento e Instalação de Tee Redução De Ferro Galvanizado 3x2.5 Pol</v>
          </cell>
          <cell r="C1855" t="str">
            <v>UN</v>
          </cell>
          <cell r="D1855">
            <v>49.218899999999998</v>
          </cell>
        </row>
        <row r="1856">
          <cell r="A1856" t="str">
            <v>001.26.01600</v>
          </cell>
          <cell r="B1856" t="str">
            <v>Fornecimento e Instalação de Tee Redução De Ferro Galvanizado 3x2 Pol</v>
          </cell>
          <cell r="C1856" t="str">
            <v>UN</v>
          </cell>
          <cell r="D1856">
            <v>31.6189</v>
          </cell>
        </row>
        <row r="1857">
          <cell r="A1857" t="str">
            <v>001.26.01620</v>
          </cell>
          <cell r="B1857" t="str">
            <v>Fornecimento e Instalação de Tee Redução De Ferro Galvanizado 3x1.5 Pol</v>
          </cell>
          <cell r="C1857" t="str">
            <v>UN</v>
          </cell>
          <cell r="D1857">
            <v>31.6189</v>
          </cell>
        </row>
        <row r="1858">
          <cell r="A1858" t="str">
            <v>001.26.01640</v>
          </cell>
          <cell r="B1858" t="str">
            <v>Fornecimento e Instalação de Tee Redução De Ferro Galvanizado 2.5x2 Pol</v>
          </cell>
          <cell r="C1858" t="str">
            <v>UN</v>
          </cell>
          <cell r="D1858">
            <v>38.190100000000001</v>
          </cell>
        </row>
        <row r="1859">
          <cell r="A1859" t="str">
            <v>001.26.01660</v>
          </cell>
          <cell r="B1859" t="str">
            <v>Fornecimento e Instalação de Tee Redução De Ferro Galvanizado 2.5x1 1/4 Pol</v>
          </cell>
          <cell r="C1859" t="str">
            <v>UN</v>
          </cell>
          <cell r="D1859">
            <v>26.2501</v>
          </cell>
        </row>
        <row r="1860">
          <cell r="A1860" t="str">
            <v>001.26.01680</v>
          </cell>
          <cell r="B1860" t="str">
            <v>Fornecimento e Instalação de Tee Redução De Ferro Galvanizado 2x11/2pol</v>
          </cell>
          <cell r="C1860" t="str">
            <v>UN</v>
          </cell>
          <cell r="D1860">
            <v>14.700100000000001</v>
          </cell>
        </row>
        <row r="1861">
          <cell r="A1861" t="str">
            <v>001.26.01700</v>
          </cell>
          <cell r="B1861" t="str">
            <v>Fornecimento e Instalação de Tee Redução De Ferro Galvanizado 2x11/4pol</v>
          </cell>
          <cell r="C1861" t="str">
            <v>UN</v>
          </cell>
          <cell r="D1861">
            <v>17.700099999999999</v>
          </cell>
        </row>
        <row r="1862">
          <cell r="A1862" t="str">
            <v>001.26.01720</v>
          </cell>
          <cell r="B1862" t="str">
            <v>Fornecimento e Instalação de Tee Redução De Ferro Galvanizado 2x1 Pol</v>
          </cell>
          <cell r="C1862" t="str">
            <v>UN</v>
          </cell>
          <cell r="D1862">
            <v>13.7814</v>
          </cell>
        </row>
        <row r="1863">
          <cell r="A1863" t="str">
            <v>001.26.01740</v>
          </cell>
          <cell r="B1863" t="str">
            <v>Fornecimento e Instalação de Tee Redução De Ferro Galvanizado 1.5 X 1.1/4 Pol</v>
          </cell>
          <cell r="C1863" t="str">
            <v>UN</v>
          </cell>
          <cell r="D1863">
            <v>9.8513999999999999</v>
          </cell>
        </row>
        <row r="1864">
          <cell r="A1864" t="str">
            <v>001.26.01760</v>
          </cell>
          <cell r="B1864" t="str">
            <v>Fornecimento e Instalação de Tee Redução De Ferro Galvanizado 1.5 X 1 Pol</v>
          </cell>
          <cell r="C1864" t="str">
            <v>UN</v>
          </cell>
          <cell r="D1864">
            <v>14.1014</v>
          </cell>
        </row>
        <row r="1865">
          <cell r="A1865" t="str">
            <v>001.26.01780</v>
          </cell>
          <cell r="B1865" t="str">
            <v>Fornecimento e Instalação de Tee Redução De Ferro Galvanizado 1.5x3/4 Pol</v>
          </cell>
          <cell r="C1865" t="str">
            <v>UN</v>
          </cell>
          <cell r="D1865">
            <v>10.571400000000001</v>
          </cell>
        </row>
        <row r="1866">
          <cell r="A1866" t="str">
            <v>001.26.01800</v>
          </cell>
          <cell r="B1866" t="str">
            <v>Fornecimento e Instalação de Tee Redução De Ferro Galvanizado 1 1/4x1 Pol</v>
          </cell>
          <cell r="C1866" t="str">
            <v>UN</v>
          </cell>
          <cell r="D1866">
            <v>9.4814000000000007</v>
          </cell>
        </row>
        <row r="1867">
          <cell r="A1867" t="str">
            <v>001.26.01820</v>
          </cell>
          <cell r="B1867" t="str">
            <v>Fornecimento e Instalação de Tee Redução De Ferro Galvanizado 1 1/4x3/4 Pol</v>
          </cell>
          <cell r="C1867" t="str">
            <v>UN</v>
          </cell>
          <cell r="D1867">
            <v>9.4814000000000007</v>
          </cell>
        </row>
        <row r="1868">
          <cell r="A1868" t="str">
            <v>001.26.01840</v>
          </cell>
          <cell r="B1868" t="str">
            <v>Fornecimento e Instalação de Tee Redução De Ferro Galvanizado 1 1/4x1/2 Pol</v>
          </cell>
          <cell r="C1868" t="str">
            <v>UN</v>
          </cell>
          <cell r="D1868">
            <v>8.5814000000000004</v>
          </cell>
        </row>
        <row r="1869">
          <cell r="A1869" t="str">
            <v>001.26.01860</v>
          </cell>
          <cell r="B1869" t="str">
            <v>Fornecimento e Instalação de Tee Redução De Ferro Galvanizado 1x3/4 Pol</v>
          </cell>
          <cell r="C1869" t="str">
            <v>UN</v>
          </cell>
          <cell r="D1869">
            <v>5.8525999999999998</v>
          </cell>
        </row>
        <row r="1870">
          <cell r="A1870" t="str">
            <v>001.26.01880</v>
          </cell>
          <cell r="B1870" t="str">
            <v>Fornecimento e Instalação de Tee Redução De Ferro Galvanizado 1x1/2 Pol</v>
          </cell>
          <cell r="C1870" t="str">
            <v>UN</v>
          </cell>
          <cell r="D1870">
            <v>8.6026000000000007</v>
          </cell>
        </row>
        <row r="1871">
          <cell r="A1871" t="str">
            <v>001.26.01900</v>
          </cell>
          <cell r="B1871" t="str">
            <v>Fornecimento e Instalação de Tee Redução De Ferro Galvanizado 3/4x1/2 Pol</v>
          </cell>
          <cell r="C1871" t="str">
            <v>UN</v>
          </cell>
          <cell r="D1871">
            <v>4.4526000000000003</v>
          </cell>
        </row>
        <row r="1872">
          <cell r="A1872" t="str">
            <v>001.26.01920</v>
          </cell>
          <cell r="B1872" t="str">
            <v>Fornecimento e Instalação de Luva Simples De Ferro Galvanizado 4 Pol</v>
          </cell>
          <cell r="C1872" t="str">
            <v>UN</v>
          </cell>
          <cell r="D1872">
            <v>33.700099999999999</v>
          </cell>
        </row>
        <row r="1873">
          <cell r="A1873" t="str">
            <v>001.26.01940</v>
          </cell>
          <cell r="B1873" t="str">
            <v>Fornecimento e Instalação de Luva Simples De Ferro Galvanizado 3 Pol</v>
          </cell>
          <cell r="C1873" t="str">
            <v>UN</v>
          </cell>
          <cell r="D1873">
            <v>26.1814</v>
          </cell>
        </row>
        <row r="1874">
          <cell r="A1874" t="str">
            <v>001.26.01960</v>
          </cell>
          <cell r="B1874" t="str">
            <v>Fornecimento e Instalação de Luva Simples De Ferro Galvanizado 2.5 Pol</v>
          </cell>
          <cell r="C1874" t="str">
            <v>UN</v>
          </cell>
          <cell r="D1874">
            <v>18.3126</v>
          </cell>
        </row>
        <row r="1875">
          <cell r="A1875" t="str">
            <v>001.26.01980</v>
          </cell>
          <cell r="B1875" t="str">
            <v>Fornecimento e Instalação de Luva Simples De Ferro Galvanizado 2 Pol</v>
          </cell>
          <cell r="C1875" t="str">
            <v>UN</v>
          </cell>
          <cell r="D1875">
            <v>10.443899999999999</v>
          </cell>
        </row>
        <row r="1876">
          <cell r="A1876" t="str">
            <v>001.26.02000</v>
          </cell>
          <cell r="B1876" t="str">
            <v>Fornecimento e Instalação de Luva Simples De Ferro Galvanizado 1.5 Pol</v>
          </cell>
          <cell r="C1876" t="str">
            <v>UN</v>
          </cell>
          <cell r="D1876">
            <v>7.8438999999999997</v>
          </cell>
        </row>
        <row r="1877">
          <cell r="A1877" t="str">
            <v>001.26.02020</v>
          </cell>
          <cell r="B1877" t="str">
            <v>Fornecimento e Instalação de Luva Simples De Ferro Galvanizado 1 1/4/Pol</v>
          </cell>
          <cell r="C1877" t="str">
            <v>UN</v>
          </cell>
          <cell r="D1877">
            <v>6.2938999999999998</v>
          </cell>
        </row>
        <row r="1878">
          <cell r="A1878" t="str">
            <v>001.26.02040</v>
          </cell>
          <cell r="B1878" t="str">
            <v>Fornecimento e Instalação de Luva Simples De Ferro Galvanizado 1 Pol</v>
          </cell>
          <cell r="C1878" t="str">
            <v>UN</v>
          </cell>
          <cell r="D1878">
            <v>5.0251000000000001</v>
          </cell>
        </row>
        <row r="1879">
          <cell r="A1879" t="str">
            <v>001.26.02060</v>
          </cell>
          <cell r="B1879" t="str">
            <v>Fornecimento e Instalação de Luva Simples De Ferro Galvanizado 3/4 Pol</v>
          </cell>
          <cell r="C1879" t="str">
            <v>UN</v>
          </cell>
          <cell r="D1879">
            <v>3.8250999999999999</v>
          </cell>
        </row>
        <row r="1880">
          <cell r="A1880" t="str">
            <v>001.26.02080</v>
          </cell>
          <cell r="B1880" t="str">
            <v>Fornecimento e Instalação de Luva Simples De Ferro Galvanizado 1/2 Pol</v>
          </cell>
          <cell r="C1880" t="str">
            <v>UN</v>
          </cell>
          <cell r="D1880">
            <v>3.1251000000000002</v>
          </cell>
        </row>
        <row r="1881">
          <cell r="A1881" t="str">
            <v>001.26.02100</v>
          </cell>
          <cell r="B1881" t="str">
            <v>Fornecimento e Instalação de União Assento Plano De Ferro Galvanizado 4 Pol</v>
          </cell>
          <cell r="C1881" t="str">
            <v>UN</v>
          </cell>
          <cell r="D1881">
            <v>56.250100000000003</v>
          </cell>
        </row>
        <row r="1882">
          <cell r="A1882" t="str">
            <v>001.26.02120</v>
          </cell>
          <cell r="B1882" t="str">
            <v>Fornecimento e Instalação de União Assento Plano De Ferro Galvanizado 3 Pol</v>
          </cell>
          <cell r="C1882" t="str">
            <v>UN</v>
          </cell>
          <cell r="D1882">
            <v>45.781399999999998</v>
          </cell>
        </row>
        <row r="1883">
          <cell r="A1883" t="str">
            <v>001.26.02140</v>
          </cell>
          <cell r="B1883" t="str">
            <v>Fornecimento e Instalação de União Assento Plano De Ferro Galvanizado 2.5 Pol</v>
          </cell>
          <cell r="C1883" t="str">
            <v>UN</v>
          </cell>
          <cell r="D1883">
            <v>37.231400000000001</v>
          </cell>
        </row>
        <row r="1884">
          <cell r="A1884" t="str">
            <v>001.26.02160</v>
          </cell>
          <cell r="B1884" t="str">
            <v>Fornecimento e Instalação de União Assento Plano De Ferro Galvanizado 2 Pol</v>
          </cell>
          <cell r="C1884" t="str">
            <v>UN</v>
          </cell>
          <cell r="D1884">
            <v>26.3126</v>
          </cell>
        </row>
        <row r="1885">
          <cell r="A1885" t="str">
            <v>001.26.02180</v>
          </cell>
          <cell r="B1885" t="str">
            <v>Fornecimento e Instalação de União Assento Plano De Ferro Galvanizado 1.5 Pol</v>
          </cell>
          <cell r="C1885" t="str">
            <v>UN</v>
          </cell>
          <cell r="D1885">
            <v>18.712599999999998</v>
          </cell>
        </row>
        <row r="1886">
          <cell r="A1886" t="str">
            <v>001.26.02200</v>
          </cell>
          <cell r="B1886" t="str">
            <v>Fornecimento e Instalação de União Assento Plano De Ferro Galvanizado 1 1/4 Pol</v>
          </cell>
          <cell r="C1886" t="str">
            <v>UN</v>
          </cell>
          <cell r="D1886">
            <v>15.7126</v>
          </cell>
        </row>
        <row r="1887">
          <cell r="A1887" t="str">
            <v>001.26.02220</v>
          </cell>
          <cell r="B1887" t="str">
            <v>Fornecimento e Instalação de União Assento Plano De Ferro Galvanizado 1 Pol</v>
          </cell>
          <cell r="C1887" t="str">
            <v>UN</v>
          </cell>
          <cell r="D1887">
            <v>10.8439</v>
          </cell>
        </row>
        <row r="1888">
          <cell r="A1888" t="str">
            <v>001.26.02240</v>
          </cell>
          <cell r="B1888" t="str">
            <v>Fornecimento e Instalação de União Assento Plano De Ferro Galvanizado 3/4 Pol</v>
          </cell>
          <cell r="C1888" t="str">
            <v>UN</v>
          </cell>
          <cell r="D1888">
            <v>10.2439</v>
          </cell>
        </row>
        <row r="1889">
          <cell r="A1889" t="str">
            <v>001.26.02260</v>
          </cell>
          <cell r="B1889" t="str">
            <v>Fornecimento e Instalação de União Assento Plano De Ferro Galvanizado 1/2 Pol</v>
          </cell>
          <cell r="C1889" t="str">
            <v>UN</v>
          </cell>
          <cell r="D1889">
            <v>7.8438999999999997</v>
          </cell>
        </row>
        <row r="1890">
          <cell r="A1890" t="str">
            <v>001.26.02280</v>
          </cell>
          <cell r="B1890" t="str">
            <v>Fornecimento e Instalação de Flanges C/Sextavados De Ferro Galvanizado 4 Pol</v>
          </cell>
          <cell r="C1890" t="str">
            <v>UN</v>
          </cell>
          <cell r="D1890">
            <v>44.067399999999999</v>
          </cell>
        </row>
        <row r="1891">
          <cell r="A1891" t="str">
            <v>001.26.02300</v>
          </cell>
          <cell r="B1891" t="str">
            <v>Fornecimento e Instalação de Flanges C/Sextavados De Ferro Galvanizado 3 Pol</v>
          </cell>
          <cell r="C1891" t="str">
            <v>UN</v>
          </cell>
          <cell r="D1891">
            <v>34.680100000000003</v>
          </cell>
        </row>
        <row r="1892">
          <cell r="A1892" t="str">
            <v>001.26.02320</v>
          </cell>
          <cell r="B1892" t="str">
            <v>Fornecimento e Instalação de Flanges C/Sextavados De Ferro Galvanizado  2.5 Pol</v>
          </cell>
          <cell r="C1892" t="str">
            <v>UN</v>
          </cell>
          <cell r="D1892">
            <v>23.7514</v>
          </cell>
        </row>
        <row r="1893">
          <cell r="A1893" t="str">
            <v>001.26.02340</v>
          </cell>
          <cell r="B1893" t="str">
            <v>Fornecimento e Instalação de Flanges C/Sextavados De Ferro Galvanizado 2 Pol</v>
          </cell>
          <cell r="C1893" t="str">
            <v>UN</v>
          </cell>
          <cell r="D1893">
            <v>17.262599999999999</v>
          </cell>
        </row>
        <row r="1894">
          <cell r="A1894" t="str">
            <v>001.26.02360</v>
          </cell>
          <cell r="B1894" t="str">
            <v>Fornecimento e Instalação de Flanges C/Sextavados De Ferro Galvanizado 1.5 Pol</v>
          </cell>
          <cell r="C1894" t="str">
            <v>UN</v>
          </cell>
          <cell r="D1894">
            <v>7.2938999999999998</v>
          </cell>
        </row>
        <row r="1895">
          <cell r="A1895" t="str">
            <v>001.26.02380</v>
          </cell>
          <cell r="B1895" t="str">
            <v>Fornecimento e Instalação de Flanges C/Sextavados De Ferro Galvanizado 1 1/4 Pol</v>
          </cell>
          <cell r="C1895" t="str">
            <v>UN</v>
          </cell>
          <cell r="D1895">
            <v>6.5438999999999998</v>
          </cell>
        </row>
        <row r="1896">
          <cell r="A1896" t="str">
            <v>001.26.02400</v>
          </cell>
          <cell r="B1896" t="str">
            <v>Fornecimento e Instalação de Flanges C/Sextavados De  Ferro Galvanizado 1 Pol</v>
          </cell>
          <cell r="C1896" t="str">
            <v>UN</v>
          </cell>
          <cell r="D1896">
            <v>5.6750999999999996</v>
          </cell>
        </row>
        <row r="1897">
          <cell r="A1897" t="str">
            <v>001.26.02420</v>
          </cell>
          <cell r="B1897" t="str">
            <v>Fornecimento e Instalação de Flanges C/Sextavados De Ferro Galvanizado  3/4 Pol</v>
          </cell>
          <cell r="C1897" t="str">
            <v>UN</v>
          </cell>
          <cell r="D1897">
            <v>7.0050999999999997</v>
          </cell>
        </row>
        <row r="1898">
          <cell r="A1898" t="str">
            <v>001.26.02440</v>
          </cell>
          <cell r="B1898" t="str">
            <v>Fornecimento e Instalação de Flanges C/Sextavados De Ferro Galvanizado 1/2 Pol</v>
          </cell>
          <cell r="C1898" t="str">
            <v>UN</v>
          </cell>
          <cell r="D1898">
            <v>6.0450999999999997</v>
          </cell>
        </row>
        <row r="1899">
          <cell r="A1899" t="str">
            <v>001.26.02460</v>
          </cell>
          <cell r="B1899" t="str">
            <v>Fornecimento e Instalação de Niples Duplos De Ferro Galvanizado 4 Pol</v>
          </cell>
          <cell r="C1899" t="str">
            <v>UN</v>
          </cell>
          <cell r="D1899">
            <v>35.250100000000003</v>
          </cell>
        </row>
        <row r="1900">
          <cell r="A1900" t="str">
            <v>001.26.02480</v>
          </cell>
          <cell r="B1900" t="str">
            <v>Fornecimento e Instalação de Niples Duplos De Ferro Galvanizado 3 Pol</v>
          </cell>
          <cell r="C1900" t="str">
            <v>UN</v>
          </cell>
          <cell r="D1900">
            <v>19.581399999999999</v>
          </cell>
        </row>
        <row r="1901">
          <cell r="A1901" t="str">
            <v>001.26.02500</v>
          </cell>
          <cell r="B1901" t="str">
            <v>Fornecimento e Instalação de Niples Duplos De Ferro Galvanizado 2.5 Pol</v>
          </cell>
          <cell r="C1901" t="str">
            <v>UN</v>
          </cell>
          <cell r="D1901">
            <v>13.762600000000001</v>
          </cell>
        </row>
        <row r="1902">
          <cell r="A1902" t="str">
            <v>001.26.02520</v>
          </cell>
          <cell r="B1902" t="str">
            <v>Fornecimento e Instalação de Niples Duplos De Ferro Galvanizado 2 Pol</v>
          </cell>
          <cell r="C1902" t="str">
            <v>UN</v>
          </cell>
          <cell r="D1902">
            <v>10.943899999999999</v>
          </cell>
        </row>
        <row r="1903">
          <cell r="A1903" t="str">
            <v>001.26.02540</v>
          </cell>
          <cell r="B1903" t="str">
            <v>Fornecimento e Instalação de Niples Duplos De Ferro Galvanizado 1.5 Pol</v>
          </cell>
          <cell r="C1903" t="str">
            <v>UN</v>
          </cell>
          <cell r="D1903">
            <v>6.2938999999999998</v>
          </cell>
        </row>
        <row r="1904">
          <cell r="A1904" t="str">
            <v>001.26.02560</v>
          </cell>
          <cell r="B1904" t="str">
            <v>Fornecimento e Instalação de Niples Duplos De Ferro Galvanizado 1 1/4 Pol</v>
          </cell>
          <cell r="C1904" t="str">
            <v>UN</v>
          </cell>
          <cell r="D1904">
            <v>5.8438999999999997</v>
          </cell>
        </row>
        <row r="1905">
          <cell r="A1905" t="str">
            <v>001.26.02580</v>
          </cell>
          <cell r="B1905" t="str">
            <v>Fornecimento e Instalação de Niples Duplos De Ferro Galvanizado 1 Pol</v>
          </cell>
          <cell r="C1905" t="str">
            <v>UN</v>
          </cell>
          <cell r="D1905">
            <v>4.4751000000000003</v>
          </cell>
        </row>
        <row r="1906">
          <cell r="A1906" t="str">
            <v>001.26.02600</v>
          </cell>
          <cell r="B1906" t="str">
            <v>Fornecimento e Instalação de Niples Duplos De Ferro Galvanizado 3/4 Pol</v>
          </cell>
          <cell r="C1906" t="str">
            <v>UN</v>
          </cell>
          <cell r="D1906">
            <v>3.4251</v>
          </cell>
        </row>
        <row r="1907">
          <cell r="A1907" t="str">
            <v>001.26.02620</v>
          </cell>
          <cell r="B1907" t="str">
            <v>Fornecimento e Instalação de Niples Duplos De Ferro Galvanizado 1/2 Pol</v>
          </cell>
          <cell r="C1907" t="str">
            <v>UN</v>
          </cell>
          <cell r="D1907">
            <v>2.9750999999999999</v>
          </cell>
        </row>
        <row r="1908">
          <cell r="A1908" t="str">
            <v>001.26.02640</v>
          </cell>
          <cell r="B1908" t="str">
            <v>Fornecimento e Instalação de Tampão Ou Cap De Ferro Galvanizado 4 Pol</v>
          </cell>
          <cell r="C1908" t="str">
            <v>UN</v>
          </cell>
          <cell r="D1908">
            <v>23.1814</v>
          </cell>
        </row>
        <row r="1909">
          <cell r="A1909" t="str">
            <v>001.26.02660</v>
          </cell>
          <cell r="B1909" t="str">
            <v>Fornecimento e Instalação de Tampão Ou Cap De Ferro Galvanizado 3 Pol</v>
          </cell>
          <cell r="C1909" t="str">
            <v>UN</v>
          </cell>
          <cell r="D1909">
            <v>16.512599999999999</v>
          </cell>
        </row>
        <row r="1910">
          <cell r="A1910" t="str">
            <v>001.26.02680</v>
          </cell>
          <cell r="B1910" t="str">
            <v>Fornecimento e Instalação de Tampão Ou Cap De Ferro Galvanizado 2.5 Pol</v>
          </cell>
          <cell r="C1910" t="str">
            <v>UN</v>
          </cell>
          <cell r="D1910">
            <v>9.4438999999999993</v>
          </cell>
        </row>
        <row r="1911">
          <cell r="A1911" t="str">
            <v>001.26.02700</v>
          </cell>
          <cell r="B1911" t="str">
            <v>Fornecimento e Instalação de Tampão Ou Cap De Ferro Galvanizado 2 Pol</v>
          </cell>
          <cell r="C1911" t="str">
            <v>UN</v>
          </cell>
          <cell r="D1911">
            <v>7.0251000000000001</v>
          </cell>
        </row>
        <row r="1912">
          <cell r="A1912" t="str">
            <v>001.26.02720</v>
          </cell>
          <cell r="B1912" t="str">
            <v>Fornecimento e Instalação de Tampão Ou Cap De Ferro Galvanizado 1.5 Pol</v>
          </cell>
          <cell r="C1912" t="str">
            <v>UN</v>
          </cell>
          <cell r="D1912">
            <v>5.4751000000000003</v>
          </cell>
        </row>
        <row r="1913">
          <cell r="A1913" t="str">
            <v>001.26.02740</v>
          </cell>
          <cell r="B1913" t="str">
            <v>Fornecimento e Instalação de Tampão Ou Cap De Ferro Galvanizado 1 1/4 Pol</v>
          </cell>
          <cell r="C1913" t="str">
            <v>UN</v>
          </cell>
          <cell r="D1913">
            <v>5.5251000000000001</v>
          </cell>
        </row>
        <row r="1914">
          <cell r="A1914" t="str">
            <v>001.26.02760</v>
          </cell>
          <cell r="B1914" t="str">
            <v>Fornecimento e Instalação de Tampão Ou Cap De Ferro Galvanizado 1 Pol</v>
          </cell>
          <cell r="C1914" t="str">
            <v>UN</v>
          </cell>
          <cell r="D1914">
            <v>3.6063000000000001</v>
          </cell>
        </row>
        <row r="1915">
          <cell r="A1915" t="str">
            <v>001.26.02780</v>
          </cell>
          <cell r="B1915" t="str">
            <v>Fornecimento e Instalação de Tampão Ou Cap De Ferro Galvanizado 3/4 Pol</v>
          </cell>
          <cell r="C1915" t="str">
            <v>UN</v>
          </cell>
          <cell r="D1915">
            <v>2.7363</v>
          </cell>
        </row>
        <row r="1916">
          <cell r="A1916" t="str">
            <v>001.26.02800</v>
          </cell>
          <cell r="B1916" t="str">
            <v>Fornecimento e Instalação de Tampão Ou Cap De Ferro Galvanizado 1/2 Pol</v>
          </cell>
          <cell r="C1916" t="str">
            <v>UN</v>
          </cell>
          <cell r="D1916">
            <v>2.5063</v>
          </cell>
        </row>
        <row r="1917">
          <cell r="A1917" t="str">
            <v>001.27</v>
          </cell>
          <cell r="B1917" t="str">
            <v>INSTALAÇÕES HIDRÁULICAS - VÁLVULAS E REGISTROS</v>
          </cell>
          <cell r="D1917">
            <v>3047.9119999999998</v>
          </cell>
        </row>
        <row r="1918">
          <cell r="A1918" t="str">
            <v>001.27.00020</v>
          </cell>
          <cell r="B1918" t="str">
            <v>Registro de gaveta em acabamento bruto (amarelo) s/ canopla n.1502 4 pol</v>
          </cell>
          <cell r="C1918" t="str">
            <v>UN</v>
          </cell>
          <cell r="D1918">
            <v>266.3886</v>
          </cell>
        </row>
        <row r="1919">
          <cell r="A1919" t="str">
            <v>001.27.00040</v>
          </cell>
          <cell r="B1919" t="str">
            <v>Registro de gaveta em acabamento bruto (amarelo) s/ canopla n.1502 3 pol</v>
          </cell>
          <cell r="C1919" t="str">
            <v>UN</v>
          </cell>
          <cell r="D1919">
            <v>160.45590000000001</v>
          </cell>
        </row>
        <row r="1920">
          <cell r="A1920" t="str">
            <v>001.27.00060</v>
          </cell>
          <cell r="B1920" t="str">
            <v>Registro de gaveta em acabamento bruto (amarelo) s/ canopla n.1502 2 1/2 pol</v>
          </cell>
          <cell r="C1920" t="str">
            <v>UN</v>
          </cell>
          <cell r="D1920">
            <v>144.72550000000001</v>
          </cell>
        </row>
        <row r="1921">
          <cell r="A1921" t="str">
            <v>001.27.00080</v>
          </cell>
          <cell r="B1921" t="str">
            <v>Registro de gaveta em acabamento bruto (amarelo) s/ canopla n.1502 2 pol</v>
          </cell>
          <cell r="C1921" t="str">
            <v>UN</v>
          </cell>
          <cell r="D1921">
            <v>50.418700000000001</v>
          </cell>
        </row>
        <row r="1922">
          <cell r="A1922" t="str">
            <v>001.27.00100</v>
          </cell>
          <cell r="B1922" t="str">
            <v>Registro de gaveta em acabamento bruto (amarelo) s/ canopla n.1502 1 1/2 pol</v>
          </cell>
          <cell r="C1922" t="str">
            <v>UN</v>
          </cell>
          <cell r="D1922">
            <v>33.988300000000002</v>
          </cell>
        </row>
        <row r="1923">
          <cell r="A1923" t="str">
            <v>001.27.00120</v>
          </cell>
          <cell r="B1923" t="str">
            <v>Registro de gaveta em acabamento bruto (amarelo) s/ canopla n.1502 1 1/4 pol</v>
          </cell>
          <cell r="C1923" t="str">
            <v>UN</v>
          </cell>
          <cell r="D1923">
            <v>29.117899999999999</v>
          </cell>
        </row>
        <row r="1924">
          <cell r="A1924" t="str">
            <v>001.27.00140</v>
          </cell>
          <cell r="B1924" t="str">
            <v>Registro de gaveta em acabamento bruto (amarelo) s/ canopla n.1502 1 pol</v>
          </cell>
          <cell r="C1924" t="str">
            <v>UN</v>
          </cell>
          <cell r="D1924">
            <v>21.979900000000001</v>
          </cell>
        </row>
        <row r="1925">
          <cell r="A1925" t="str">
            <v>001.27.00160</v>
          </cell>
          <cell r="B1925" t="str">
            <v>Registro de gaveta em acabamento bruto (amarelo) s/ canopla n.1502 3/4 pol</v>
          </cell>
          <cell r="C1925" t="str">
            <v>UN</v>
          </cell>
          <cell r="D1925">
            <v>16.5091</v>
          </cell>
        </row>
        <row r="1926">
          <cell r="A1926" t="str">
            <v>001.27.00180</v>
          </cell>
          <cell r="B1926" t="str">
            <v>Registro de gaveta em acabamento bruto (amarelo) s/ canopla n.1502 1/2 pol</v>
          </cell>
          <cell r="C1926" t="str">
            <v>UN</v>
          </cell>
          <cell r="D1926">
            <v>30.7287</v>
          </cell>
        </row>
        <row r="1927">
          <cell r="A1927" t="str">
            <v>001.27.00200</v>
          </cell>
          <cell r="B1927" t="str">
            <v>Registro de gaveta cromado linha gemini embutir c/ canopla mod 44 n. 1509 deca 1 1/4 pol</v>
          </cell>
          <cell r="C1927" t="str">
            <v>UN</v>
          </cell>
          <cell r="D1927">
            <v>57.767899999999997</v>
          </cell>
        </row>
        <row r="1928">
          <cell r="A1928" t="str">
            <v>001.27.00220</v>
          </cell>
          <cell r="B1928" t="str">
            <v>Registro de gaveta cromado linha gemini embutir c/ canopla mod 44 n. 1509 deca 1  pol</v>
          </cell>
          <cell r="C1928" t="str">
            <v>UN</v>
          </cell>
          <cell r="D1928">
            <v>47.5899</v>
          </cell>
        </row>
        <row r="1929">
          <cell r="A1929" t="str">
            <v>001.27.00240</v>
          </cell>
          <cell r="B1929" t="str">
            <v>Registro de gaveta cromado linha gemini embutir c/ canopla mod 44 n. 1509 deca 3/4 pol</v>
          </cell>
          <cell r="C1929" t="str">
            <v>UN</v>
          </cell>
          <cell r="D1929">
            <v>41.979100000000003</v>
          </cell>
        </row>
        <row r="1930">
          <cell r="A1930" t="str">
            <v>001.27.00260</v>
          </cell>
          <cell r="B1930" t="str">
            <v>Registro de gaveta cromado linha gemini embutir c/ canopla mod 44 n. 1509 deca  1/2 pol</v>
          </cell>
          <cell r="C1930" t="str">
            <v>UN</v>
          </cell>
          <cell r="D1930">
            <v>38.428699999999999</v>
          </cell>
        </row>
        <row r="1931">
          <cell r="A1931" t="str">
            <v>001.27.00280</v>
          </cell>
          <cell r="B1931" t="str">
            <v>Registro de gaveta cromado linha prata de embutir c/ canopla modelo 50 n 1509 deca 2 pol</v>
          </cell>
          <cell r="C1931" t="str">
            <v>UN</v>
          </cell>
          <cell r="D1931">
            <v>94.628699999999995</v>
          </cell>
        </row>
        <row r="1932">
          <cell r="A1932" t="str">
            <v>001.27.00300</v>
          </cell>
          <cell r="B1932" t="str">
            <v>Registro de gaveta cromado linha prata de embutir c/ canopla modelo 50 n 1509 deca 1 1/2 pol</v>
          </cell>
          <cell r="C1932" t="str">
            <v>UN</v>
          </cell>
          <cell r="D1932">
            <v>94.5959</v>
          </cell>
        </row>
        <row r="1933">
          <cell r="A1933" t="str">
            <v>001.27.00320</v>
          </cell>
          <cell r="B1933" t="str">
            <v>Registro de gaveta cromado linha prata de embutir c/ canopla modelo 50 n 1509 deca 1 1/4 pol</v>
          </cell>
          <cell r="C1933" t="str">
            <v>UN</v>
          </cell>
          <cell r="D1933">
            <v>45.107900000000001</v>
          </cell>
        </row>
        <row r="1934">
          <cell r="A1934" t="str">
            <v>001.27.00340</v>
          </cell>
          <cell r="B1934" t="str">
            <v>Registro de gaveta cromado linha prata de embutir c/ canopla modelo 50 n 1509 deca 1 pol</v>
          </cell>
          <cell r="C1934" t="str">
            <v>UN</v>
          </cell>
          <cell r="D1934">
            <v>31.379899999999999</v>
          </cell>
        </row>
        <row r="1935">
          <cell r="A1935" t="str">
            <v>001.27.00360</v>
          </cell>
          <cell r="B1935" t="str">
            <v>Registro de gaveta cromado linha prata de embutir c/ canopla modelo 50 n 1509 deca 3/4 pol</v>
          </cell>
          <cell r="C1935" t="str">
            <v>UN</v>
          </cell>
          <cell r="D1935">
            <v>52.4191</v>
          </cell>
        </row>
        <row r="1936">
          <cell r="A1936" t="str">
            <v>001.27.00380</v>
          </cell>
          <cell r="B1936" t="str">
            <v>Registro de gaveta cromado linha prata de embutir c/ canopla modelo 50 n 1509 deca 1/2 pol</v>
          </cell>
          <cell r="C1936" t="str">
            <v>UN</v>
          </cell>
          <cell r="D1936">
            <v>26.7987</v>
          </cell>
        </row>
        <row r="1937">
          <cell r="A1937" t="str">
            <v>001.27.00400</v>
          </cell>
          <cell r="B1937" t="str">
            <v>Registro de gaveta  cromado - c 39 - deca c/ canopla 1 1/2 pol</v>
          </cell>
          <cell r="C1937" t="str">
            <v>UN</v>
          </cell>
          <cell r="D1937">
            <v>57.418300000000002</v>
          </cell>
        </row>
        <row r="1938">
          <cell r="A1938" t="str">
            <v>001.27.00420</v>
          </cell>
          <cell r="B1938" t="str">
            <v>Registro de gaveta  cromado - c 39 - deca c/ canopla 1 pol</v>
          </cell>
          <cell r="C1938" t="str">
            <v>UN</v>
          </cell>
          <cell r="D1938">
            <v>34.5199</v>
          </cell>
        </row>
        <row r="1939">
          <cell r="A1939" t="str">
            <v>001.27.00440</v>
          </cell>
          <cell r="B1939" t="str">
            <v>Registro de gaveta  cromado - c 39 - deca c/ canopla 3/4 pol</v>
          </cell>
          <cell r="C1939" t="str">
            <v>UN</v>
          </cell>
          <cell r="D1939">
            <v>29.769100000000002</v>
          </cell>
        </row>
        <row r="1940">
          <cell r="A1940" t="str">
            <v>001.27.00460</v>
          </cell>
          <cell r="B1940" t="str">
            <v>Registro de gaveta c/ acabamento bruto (amarelo) sem canopla abnt - docol -3 pol</v>
          </cell>
          <cell r="C1940" t="str">
            <v>UN</v>
          </cell>
          <cell r="D1940">
            <v>102.6159</v>
          </cell>
        </row>
        <row r="1941">
          <cell r="A1941" t="str">
            <v>001.27.00480</v>
          </cell>
          <cell r="B1941" t="str">
            <v>Registro de gaveta c/ acabamento bruto (amarelo) sem canopla abnt - docol -2pol</v>
          </cell>
          <cell r="C1941" t="str">
            <v>UN</v>
          </cell>
          <cell r="D1941">
            <v>34.2087</v>
          </cell>
        </row>
        <row r="1942">
          <cell r="A1942" t="str">
            <v>001.27.00500</v>
          </cell>
          <cell r="B1942" t="str">
            <v>Registro de gaveta c/ acabamento bruto (amarelo) sem canopla abnt - docol -1 pol</v>
          </cell>
          <cell r="C1942" t="str">
            <v>UN</v>
          </cell>
          <cell r="D1942">
            <v>14.2599</v>
          </cell>
        </row>
        <row r="1943">
          <cell r="A1943" t="str">
            <v>001.27.00520</v>
          </cell>
          <cell r="B1943" t="str">
            <v>Registro de gaveta c/ acabamento bruto (amarelo) sem canopla abnt - docol -3/4 pol</v>
          </cell>
          <cell r="C1943" t="str">
            <v>UN</v>
          </cell>
          <cell r="D1943">
            <v>11.649100000000001</v>
          </cell>
        </row>
        <row r="1944">
          <cell r="A1944" t="str">
            <v>001.27.00540</v>
          </cell>
          <cell r="B1944" t="str">
            <v>Acabamento cromado - linha prata de embutir c/ canopla mod itapema - docol -2 pol</v>
          </cell>
          <cell r="C1944" t="str">
            <v>UN</v>
          </cell>
          <cell r="D1944">
            <v>36.328699999999998</v>
          </cell>
        </row>
        <row r="1945">
          <cell r="A1945" t="str">
            <v>001.27.00560</v>
          </cell>
          <cell r="B1945" t="str">
            <v>Acabamento cromado - linha prata de embutir c/ canopla mod itapema - docol -1 1/2 pol</v>
          </cell>
          <cell r="C1945" t="str">
            <v>UN</v>
          </cell>
          <cell r="D1945">
            <v>37.668700000000001</v>
          </cell>
        </row>
        <row r="1946">
          <cell r="A1946" t="str">
            <v>001.27.00580</v>
          </cell>
          <cell r="B1946" t="str">
            <v>Acabamento cromado - linha prata de embutir c/ canopla mod itapema - docol -1  pol</v>
          </cell>
          <cell r="C1946" t="str">
            <v>UN</v>
          </cell>
          <cell r="D1946">
            <v>28.1599</v>
          </cell>
        </row>
        <row r="1947">
          <cell r="A1947" t="str">
            <v>001.27.00600</v>
          </cell>
          <cell r="B1947" t="str">
            <v>Acabamento cromado - linha prata de embutir c/ canopla mod itapema - docol -3/4  pol</v>
          </cell>
          <cell r="C1947" t="str">
            <v>UN</v>
          </cell>
          <cell r="D1947">
            <v>25.679099999999998</v>
          </cell>
        </row>
        <row r="1948">
          <cell r="A1948" t="str">
            <v>001.27.00620</v>
          </cell>
          <cell r="B1948" t="str">
            <v>Acabamento bruto linha popular 3/4 pol</v>
          </cell>
          <cell r="C1948" t="str">
            <v>UN</v>
          </cell>
          <cell r="D1948">
            <v>15.069100000000001</v>
          </cell>
        </row>
        <row r="1949">
          <cell r="A1949" t="str">
            <v>001.27.00640</v>
          </cell>
          <cell r="B1949" t="str">
            <v>Acabamento bruto linha popular 1/2 pol</v>
          </cell>
          <cell r="C1949" t="str">
            <v>UN</v>
          </cell>
          <cell r="D1949">
            <v>13.469099999999999</v>
          </cell>
        </row>
        <row r="1950">
          <cell r="A1950" t="str">
            <v>001.27.00660</v>
          </cell>
          <cell r="B1950" t="str">
            <v>Registro de gaveta cromado linha italiana de embutir c/ canopla mod. 45 n.1509 1 1/2 pol</v>
          </cell>
          <cell r="C1950" t="str">
            <v>UN</v>
          </cell>
          <cell r="D1950">
            <v>87.9983</v>
          </cell>
        </row>
        <row r="1951">
          <cell r="A1951" t="str">
            <v>001.27.00680</v>
          </cell>
          <cell r="B1951" t="str">
            <v>Registro de gaveta cromado linha italiana de embutir c/ canopla mod. 45 n.1509 1 1/4 pol</v>
          </cell>
          <cell r="C1951" t="str">
            <v>UN</v>
          </cell>
          <cell r="D1951">
            <v>86.707899999999995</v>
          </cell>
        </row>
        <row r="1952">
          <cell r="A1952" t="str">
            <v>001.27.00700</v>
          </cell>
          <cell r="B1952" t="str">
            <v>Registro de gaveta cromado linha italiana de embutir c/ canopla mod. 45 n.1509 1 pol</v>
          </cell>
          <cell r="C1952" t="str">
            <v>UN</v>
          </cell>
          <cell r="D1952">
            <v>60.989899999999999</v>
          </cell>
        </row>
        <row r="1953">
          <cell r="A1953" t="str">
            <v>001.27.00720</v>
          </cell>
          <cell r="B1953" t="str">
            <v>Registro de gaveta cromado linha italiana de embutir c/ canopla mod. 45 n.1509 3/4 pol</v>
          </cell>
          <cell r="C1953" t="str">
            <v>UN</v>
          </cell>
          <cell r="D1953">
            <v>52.459099999999999</v>
          </cell>
        </row>
        <row r="1954">
          <cell r="A1954" t="str">
            <v>001.27.00740</v>
          </cell>
          <cell r="B1954" t="str">
            <v>Registro de gaveta cromado linha italiana de embutir c/ canopla mod. 45 n.1509  1/2 pol</v>
          </cell>
          <cell r="C1954" t="str">
            <v>UN</v>
          </cell>
          <cell r="D1954">
            <v>48.658700000000003</v>
          </cell>
        </row>
        <row r="1955">
          <cell r="A1955" t="str">
            <v>001.27.00760</v>
          </cell>
          <cell r="B1955" t="str">
            <v>Registro de pressão cromado linha gemini de embutir c/ canopla mod 44 n 1416 3/4 pol</v>
          </cell>
          <cell r="C1955" t="str">
            <v>UN</v>
          </cell>
          <cell r="D1955">
            <v>38.6691</v>
          </cell>
        </row>
        <row r="1956">
          <cell r="A1956" t="str">
            <v>001.27.00780</v>
          </cell>
          <cell r="B1956" t="str">
            <v>Registro de pressão cromado linha gemini de embutir c/ canopla mod 44 n 1416 1/2 pol</v>
          </cell>
          <cell r="C1956" t="str">
            <v>UN</v>
          </cell>
          <cell r="D1956">
            <v>37.748699999999999</v>
          </cell>
        </row>
        <row r="1957">
          <cell r="A1957" t="str">
            <v>001.27.00800</v>
          </cell>
          <cell r="B1957" t="str">
            <v>Registro de pressão cromado linha italiana de embutir c/ canopla mod 45 n 1416 deca 3/4 pol</v>
          </cell>
          <cell r="C1957" t="str">
            <v>UN</v>
          </cell>
          <cell r="D1957">
            <v>53.869100000000003</v>
          </cell>
        </row>
        <row r="1958">
          <cell r="A1958" t="str">
            <v>001.27.00820</v>
          </cell>
          <cell r="B1958" t="str">
            <v>Registro de pressão cromado linha italiana de embutir c/ canopla mod 45 n 1416 deca 1/2 pol</v>
          </cell>
          <cell r="C1958" t="str">
            <v>UN</v>
          </cell>
          <cell r="D1958">
            <v>48.238700000000001</v>
          </cell>
        </row>
        <row r="1959">
          <cell r="A1959" t="str">
            <v>001.27.00840</v>
          </cell>
          <cell r="B1959" t="str">
            <v>Registro de pressão cromado linha prata embutir c/ canopla mod 50 n 1416 deca 3/4 pol</v>
          </cell>
          <cell r="C1959" t="str">
            <v>UN</v>
          </cell>
          <cell r="D1959">
            <v>34.769100000000002</v>
          </cell>
        </row>
        <row r="1960">
          <cell r="A1960" t="str">
            <v>001.27.00860</v>
          </cell>
          <cell r="B1960" t="str">
            <v>Registro de pressão cromado linha prata embutir c/ canopla mod 50 n 1416 deca 1/2 pol</v>
          </cell>
          <cell r="C1960" t="str">
            <v>UN</v>
          </cell>
          <cell r="D1960">
            <v>26.0687</v>
          </cell>
        </row>
        <row r="1961">
          <cell r="A1961" t="str">
            <v>001.27.00880</v>
          </cell>
          <cell r="B1961" t="str">
            <v>Registro de pressão cromado de embutir c/ canopla 1193 - c 39 deca 3/4 pol</v>
          </cell>
          <cell r="C1961" t="str">
            <v>UN</v>
          </cell>
          <cell r="D1961">
            <v>38.459099999999999</v>
          </cell>
        </row>
        <row r="1962">
          <cell r="A1962" t="str">
            <v>001.27.00900</v>
          </cell>
          <cell r="B1962" t="str">
            <v>Registro de pressão cromado de embutir c/ canopla 1193 - c 39 deca 1/2 pol</v>
          </cell>
          <cell r="C1962" t="str">
            <v>UN</v>
          </cell>
          <cell r="D1962">
            <v>38.459099999999999</v>
          </cell>
        </row>
        <row r="1963">
          <cell r="A1963" t="str">
            <v>001.27.00920</v>
          </cell>
          <cell r="B1963" t="str">
            <v>Registro de pressão acabamento cromado - linha prata de embutir c/ canopla modelo itapema  - docol - 3/4 pol</v>
          </cell>
          <cell r="C1963" t="str">
            <v>UN</v>
          </cell>
          <cell r="D1963">
            <v>27.659099999999999</v>
          </cell>
        </row>
        <row r="1964">
          <cell r="A1964" t="str">
            <v>001.27.00940</v>
          </cell>
          <cell r="B1964" t="str">
            <v>Registro de pressão acabamento cromado - linha prata de embutir c/ canopla modelo itapema  - docol - 1/2 pol</v>
          </cell>
          <cell r="C1964" t="str">
            <v>UN</v>
          </cell>
          <cell r="D1964">
            <v>27.635100000000001</v>
          </cell>
        </row>
        <row r="1965">
          <cell r="A1965" t="str">
            <v>001.27.00960</v>
          </cell>
          <cell r="B1965" t="str">
            <v>Registro de pressão acabamento simples linha popular 1/2 pol</v>
          </cell>
          <cell r="C1965" t="str">
            <v>UN</v>
          </cell>
          <cell r="D1965">
            <v>20.569099999999999</v>
          </cell>
        </row>
        <row r="1966">
          <cell r="A1966" t="str">
            <v>001.27.00980</v>
          </cell>
          <cell r="B1966" t="str">
            <v>Registro de pressão de 1/2"""""""""""""""""""""""""""""""" (chuveiro) (mic)</v>
          </cell>
          <cell r="C1966" t="str">
            <v>UN</v>
          </cell>
          <cell r="D1966">
            <v>38.459099999999999</v>
          </cell>
        </row>
        <row r="1967">
          <cell r="A1967" t="str">
            <v>001.27.01000</v>
          </cell>
          <cell r="B1967" t="str">
            <v>Válvula de descarga hydra c/ embolo de bronze n.2515 canopla lisa cromada deca 1 1/2 pol</v>
          </cell>
          <cell r="C1967" t="str">
            <v>UN</v>
          </cell>
          <cell r="D1967">
            <v>91.990899999999996</v>
          </cell>
        </row>
        <row r="1968">
          <cell r="A1968" t="str">
            <v>001.27.01020</v>
          </cell>
          <cell r="B1968" t="str">
            <v>Válvula de descarga hydra c/ embolo de bronze n.2515 canopla lisa cromada deca 1 1/4 pol</v>
          </cell>
          <cell r="C1968" t="str">
            <v>UN</v>
          </cell>
          <cell r="D1968">
            <v>94.930899999999994</v>
          </cell>
        </row>
        <row r="1969">
          <cell r="A1969" t="str">
            <v>001.27.01040</v>
          </cell>
          <cell r="B1969" t="str">
            <v>Válvula de descarga hydra master n.2530 cromada deca 1 1/2 pol</v>
          </cell>
          <cell r="C1969" t="str">
            <v>UN</v>
          </cell>
          <cell r="D1969">
            <v>71.971299999999999</v>
          </cell>
        </row>
        <row r="1970">
          <cell r="A1970" t="str">
            <v>001.27.01060</v>
          </cell>
          <cell r="B1970" t="str">
            <v>Válvula de descarga hydra master n.2530 cromada deca 1 1/4 pol</v>
          </cell>
          <cell r="C1970" t="str">
            <v>UN</v>
          </cell>
          <cell r="D1970">
            <v>71.940899999999999</v>
          </cell>
        </row>
        <row r="1971">
          <cell r="A1971" t="str">
            <v>001.27.01080</v>
          </cell>
          <cell r="B1971" t="str">
            <v>Válvula de descarga docol-stander 1 1/2 pol</v>
          </cell>
          <cell r="C1971" t="str">
            <v>UN</v>
          </cell>
          <cell r="D1971">
            <v>60.031300000000002</v>
          </cell>
        </row>
        <row r="1972">
          <cell r="A1972" t="str">
            <v>001.27.01100</v>
          </cell>
          <cell r="B1972" t="str">
            <v>Válvula p/ pia cromada deca n.1600 p/ lav 1x2 pol</v>
          </cell>
          <cell r="C1972" t="str">
            <v>UN</v>
          </cell>
          <cell r="D1972">
            <v>32.618699999999997</v>
          </cell>
        </row>
        <row r="1973">
          <cell r="A1973" t="str">
            <v>001.27.01120</v>
          </cell>
          <cell r="B1973" t="str">
            <v>Valvula p/pia americana cromada n.1623 marca deca 1.5x3 3/4 pol</v>
          </cell>
          <cell r="C1973" t="str">
            <v>UN</v>
          </cell>
          <cell r="D1973">
            <v>58.818199999999997</v>
          </cell>
        </row>
        <row r="1974">
          <cell r="A1974" t="str">
            <v>001.27.01140</v>
          </cell>
          <cell r="B1974" t="str">
            <v>Válvula de pvc para pia</v>
          </cell>
          <cell r="C1974" t="str">
            <v>UN</v>
          </cell>
          <cell r="D1974">
            <v>5.9503000000000004</v>
          </cell>
        </row>
        <row r="1975">
          <cell r="A1975" t="str">
            <v>001.27.01160</v>
          </cell>
          <cell r="B1975" t="str">
            <v>Válvula para lavatorio</v>
          </cell>
          <cell r="C1975" t="str">
            <v>UN</v>
          </cell>
          <cell r="D1975">
            <v>6.4503000000000004</v>
          </cell>
        </row>
        <row r="1976">
          <cell r="A1976" t="str">
            <v>001.27.01180</v>
          </cell>
          <cell r="B1976" t="str">
            <v>Válvula para pia n. 1600 - steves 1 x 2 pol</v>
          </cell>
          <cell r="C1976" t="str">
            <v>UN</v>
          </cell>
          <cell r="D1976">
            <v>29.688700000000001</v>
          </cell>
        </row>
        <row r="1977">
          <cell r="A1977" t="str">
            <v>001.27.01200</v>
          </cell>
          <cell r="B1977" t="str">
            <v>Válvula para pia n. 1600 - steves 1 1/2 x 3.3/4</v>
          </cell>
          <cell r="C1977" t="str">
            <v>UN</v>
          </cell>
          <cell r="D1977">
            <v>30.278700000000001</v>
          </cell>
        </row>
        <row r="1978">
          <cell r="A1978" t="str">
            <v>001.28</v>
          </cell>
          <cell r="B1978" t="str">
            <v>INSTALAÇÕES HIDRÁULICAS - LOUÇAS E METAIS</v>
          </cell>
          <cell r="D1978">
            <v>7156.9705999999996</v>
          </cell>
        </row>
        <row r="1979">
          <cell r="A1979" t="str">
            <v>001.28.00020</v>
          </cell>
          <cell r="B1979" t="str">
            <v>Fornecimento e instalação de torneira de pressão para pia marca deca ref. c 1157 comprimento 210mm com arejador</v>
          </cell>
          <cell r="C1979" t="str">
            <v>UN</v>
          </cell>
          <cell r="D1979">
            <v>70.435400000000001</v>
          </cell>
        </row>
        <row r="1980">
          <cell r="A1980" t="str">
            <v>001.28.00040</v>
          </cell>
          <cell r="B1980" t="str">
            <v>Fornecimento e instalação de torneira de pressão para pia marca deca ref. 1158 c 39 de 1/2 pol</v>
          </cell>
          <cell r="C1980" t="str">
            <v>UN</v>
          </cell>
          <cell r="D1980">
            <v>44.525399999999998</v>
          </cell>
        </row>
        <row r="1981">
          <cell r="A1981" t="str">
            <v>001.28.00060</v>
          </cell>
          <cell r="B1981" t="str">
            <v>Fornecimento e instalação de torneira de pressão para pia marca deca ref. 1158 c 39 de 3/4 pol</v>
          </cell>
          <cell r="C1981" t="str">
            <v>UN</v>
          </cell>
          <cell r="D1981">
            <v>50.575400000000002</v>
          </cell>
        </row>
        <row r="1982">
          <cell r="A1982" t="str">
            <v>001.28.00080</v>
          </cell>
          <cell r="B1982" t="str">
            <v>Fornecimento e instalação de torneira de pressão para pia marca deca ref. 1159 c 39 de 1/2 pol com arejador</v>
          </cell>
          <cell r="C1982" t="str">
            <v>UN</v>
          </cell>
          <cell r="D1982">
            <v>58.635399999999997</v>
          </cell>
        </row>
        <row r="1983">
          <cell r="A1983" t="str">
            <v>001.28.00100</v>
          </cell>
          <cell r="B1983" t="str">
            <v>Fornecimento e instalação de torneira de pressão para pia marca deca ref. 1159 c 39 de 3/4 pol com arejador</v>
          </cell>
          <cell r="C1983" t="str">
            <v>UN</v>
          </cell>
          <cell r="D1983">
            <v>58.635399999999997</v>
          </cell>
        </row>
        <row r="1984">
          <cell r="A1984" t="str">
            <v>001.28.00120</v>
          </cell>
          <cell r="B1984" t="str">
            <v>Fornecimento e instalação de torneira de pressão para pia marca deca ref. 1167 c 40 tip mesa bica móvel</v>
          </cell>
          <cell r="C1984" t="str">
            <v>UN</v>
          </cell>
          <cell r="D1984">
            <v>82.535399999999996</v>
          </cell>
        </row>
        <row r="1985">
          <cell r="A1985" t="str">
            <v>001.28.00140</v>
          </cell>
          <cell r="B1985" t="str">
            <v>Fornecimento e instalação de torneira de pressão para pia marca deca cromada - tipo parede - bica móvelc 50 1168</v>
          </cell>
          <cell r="C1985" t="str">
            <v>UN</v>
          </cell>
          <cell r="D1985">
            <v>81.635400000000004</v>
          </cell>
        </row>
        <row r="1986">
          <cell r="A1986" t="str">
            <v>001.28.00160</v>
          </cell>
          <cell r="B1986" t="str">
            <v>Fornecimento e instalação de torneira de pressao p/ pia de cozinha - tipo parede - c 39 - bica móvel de 3/4 pol</v>
          </cell>
          <cell r="C1986" t="str">
            <v>UN</v>
          </cell>
          <cell r="D1986">
            <v>51.5154</v>
          </cell>
        </row>
        <row r="1987">
          <cell r="A1987" t="str">
            <v>001.28.00180</v>
          </cell>
          <cell r="B1987" t="str">
            <v>Fornecmento e instalação de torneira de pressão para pia de cozinha - docol mod. 1158 - 1/2 pol</v>
          </cell>
          <cell r="C1987" t="str">
            <v>UN</v>
          </cell>
          <cell r="D1987">
            <v>37.7254</v>
          </cell>
        </row>
        <row r="1988">
          <cell r="A1988" t="str">
            <v>001.28.00200</v>
          </cell>
          <cell r="B1988" t="str">
            <v>Fornecimento e instalação de torneira de pressão para pia de cozinha mod. 1544 - tipo parede - bica movel</v>
          </cell>
          <cell r="C1988" t="str">
            <v>UN</v>
          </cell>
          <cell r="D1988">
            <v>84.735399999999998</v>
          </cell>
        </row>
        <row r="1989">
          <cell r="A1989" t="str">
            <v>001.28.00220</v>
          </cell>
          <cell r="B1989" t="str">
            <v>Fornecimento e instalação de torneira de pressão para pia de cozinha - marca docol mod. 1158 - 3/4 pol</v>
          </cell>
          <cell r="C1989" t="str">
            <v>UN</v>
          </cell>
          <cell r="D1989">
            <v>37.675400000000003</v>
          </cell>
        </row>
        <row r="1990">
          <cell r="A1990" t="str">
            <v>001.28.00240</v>
          </cell>
          <cell r="B1990" t="str">
            <v>Fornecimento e instalação de torneira de pressão para pia de cozinha  - marca docol  mod. 1542 - tipo misturador p/ pia</v>
          </cell>
          <cell r="C1990" t="str">
            <v>UN</v>
          </cell>
          <cell r="D1990">
            <v>382.75689999999997</v>
          </cell>
        </row>
        <row r="1991">
          <cell r="A1991" t="str">
            <v>001.28.00260</v>
          </cell>
          <cell r="B1991" t="str">
            <v>Fornecimento e instalação de torneira de pvc para pia</v>
          </cell>
          <cell r="C1991" t="str">
            <v>UN</v>
          </cell>
          <cell r="D1991">
            <v>4.8796999999999997</v>
          </cell>
        </row>
        <row r="1992">
          <cell r="A1992" t="str">
            <v>001.28.00280</v>
          </cell>
          <cell r="B1992" t="str">
            <v>Fornecimento e instalação de torneira de pressão para lavatório marca deca ref. 1193 c 39 de 1/2 pol</v>
          </cell>
          <cell r="C1992" t="str">
            <v>UN</v>
          </cell>
          <cell r="D1992">
            <v>85.535399999999996</v>
          </cell>
        </row>
        <row r="1993">
          <cell r="A1993" t="str">
            <v>001.28.00300</v>
          </cell>
          <cell r="B1993" t="str">
            <v>Fornecimento e instalação de torneira de pressão para lavatório marca deca ref. 1194 c 45 de 1/2 pol</v>
          </cell>
          <cell r="C1993" t="str">
            <v>UN</v>
          </cell>
          <cell r="D1993">
            <v>117.1254</v>
          </cell>
        </row>
        <row r="1994">
          <cell r="A1994" t="str">
            <v>001.28.00320</v>
          </cell>
          <cell r="B1994" t="str">
            <v>Fornecimento e instalação de torneira de pressão para lavatório marca deca ref. 1199 c 50 de 1/2 pol</v>
          </cell>
          <cell r="C1994" t="str">
            <v>UN</v>
          </cell>
          <cell r="D1994">
            <v>62.145400000000002</v>
          </cell>
        </row>
        <row r="1995">
          <cell r="A1995" t="str">
            <v>001.28.00340</v>
          </cell>
          <cell r="B1995" t="str">
            <v>Fornecimento e instalação de torneira de pressão para lavatório 1/2 pol - mod. itapema - docol</v>
          </cell>
          <cell r="C1995" t="str">
            <v>UN</v>
          </cell>
          <cell r="D1995">
            <v>37.935400000000001</v>
          </cell>
        </row>
        <row r="1996">
          <cell r="A1996" t="str">
            <v>001.28.00360</v>
          </cell>
          <cell r="B1996" t="str">
            <v>Fornecimento e instalação de torneira de pvc para lavatorio</v>
          </cell>
          <cell r="C1996" t="str">
            <v>UN</v>
          </cell>
          <cell r="D1996">
            <v>7.2797000000000001</v>
          </cell>
        </row>
        <row r="1997">
          <cell r="A1997" t="str">
            <v>001.28.00380</v>
          </cell>
          <cell r="B1997" t="str">
            <v>Fornecimento e instalação de torneira para uso geral marca deca ref. 1152 c 39 de 1/2 pol</v>
          </cell>
          <cell r="C1997" t="str">
            <v>UN</v>
          </cell>
          <cell r="D1997">
            <v>37.255400000000002</v>
          </cell>
        </row>
        <row r="1998">
          <cell r="A1998" t="str">
            <v>001.28.00400</v>
          </cell>
          <cell r="B1998" t="str">
            <v>Fornecimento e instalação de torneira para uso geral marca deca ref. 1152 c 39 de 3/4 pol</v>
          </cell>
          <cell r="C1998" t="str">
            <v>UN</v>
          </cell>
          <cell r="D1998">
            <v>40.315399999999997</v>
          </cell>
        </row>
        <row r="1999">
          <cell r="A1999" t="str">
            <v>001.28.00420</v>
          </cell>
          <cell r="B1999" t="str">
            <v>Fornecimento e instalação de torneira para uso geral marca deca ref. 1154 c 39 de 1/2 pol com arejador</v>
          </cell>
          <cell r="C1999" t="str">
            <v>UN</v>
          </cell>
          <cell r="D1999">
            <v>43.685400000000001</v>
          </cell>
        </row>
        <row r="2000">
          <cell r="A2000" t="str">
            <v>001.28.00440</v>
          </cell>
          <cell r="B2000" t="str">
            <v>Fornecimento e instalação de torneira para uso geral marca deca ref. 1154 c 39 de 3/4 pol com arejador</v>
          </cell>
          <cell r="C2000" t="str">
            <v>UN</v>
          </cell>
          <cell r="D2000">
            <v>43.685400000000001</v>
          </cell>
        </row>
        <row r="2001">
          <cell r="A2001" t="str">
            <v>001.28.00460</v>
          </cell>
          <cell r="B2001" t="str">
            <v>Fornecimento e instalação de torneira para uso geral marca deca metalica para jardim com adaptador para mangueira</v>
          </cell>
          <cell r="C2001" t="str">
            <v>UN</v>
          </cell>
          <cell r="D2001">
            <v>29.885400000000001</v>
          </cell>
        </row>
        <row r="2002">
          <cell r="A2002" t="str">
            <v>001.28.00480</v>
          </cell>
          <cell r="B2002" t="str">
            <v>Fornecimento e instalação de torneira para uso geral marca deca ref. 1153 c 39 com adaptador para mangueira</v>
          </cell>
          <cell r="C2002" t="str">
            <v>UN</v>
          </cell>
          <cell r="D2002">
            <v>47.367600000000003</v>
          </cell>
        </row>
        <row r="2003">
          <cell r="A2003" t="str">
            <v>001.28.00500</v>
          </cell>
          <cell r="B2003" t="str">
            <v>Fornecimento e instalação de torneira para uso geral marca deca ref. 1153 c 39 de 1/2 pol (maq tauque)</v>
          </cell>
          <cell r="C2003" t="str">
            <v>UN</v>
          </cell>
          <cell r="D2003">
            <v>40.645400000000002</v>
          </cell>
        </row>
        <row r="2004">
          <cell r="A2004" t="str">
            <v>001.28.00520</v>
          </cell>
          <cell r="B2004" t="str">
            <v>Fornecimento e instalação de torneira p/ uso geral metálica p/ jardim c/ adaptador p/ mangueira mod.1130 -</v>
          </cell>
          <cell r="C2004" t="str">
            <v>UN</v>
          </cell>
          <cell r="D2004">
            <v>39.525399999999998</v>
          </cell>
        </row>
        <row r="2005">
          <cell r="A2005" t="str">
            <v>001.28.00540</v>
          </cell>
          <cell r="B2005" t="str">
            <v>Fornecimento e instalação de torneira p/ uso geral  metálica p/ tanque mod. 1130</v>
          </cell>
          <cell r="C2005" t="str">
            <v>UN</v>
          </cell>
          <cell r="D2005">
            <v>39.525399999999998</v>
          </cell>
        </row>
        <row r="2006">
          <cell r="A2006" t="str">
            <v>001.28.00560</v>
          </cell>
          <cell r="B2006" t="str">
            <v>Fornecimento e instalação de torneira de pvc para uso geral</v>
          </cell>
          <cell r="C2006" t="str">
            <v>UN</v>
          </cell>
          <cell r="D2006">
            <v>4.8796999999999997</v>
          </cell>
        </row>
        <row r="2007">
          <cell r="A2007" t="str">
            <v>001.28.00580</v>
          </cell>
          <cell r="B2007" t="str">
            <v>Fornecimento e instalação de torneira de pvc para tanque</v>
          </cell>
          <cell r="C2007" t="str">
            <v>UN</v>
          </cell>
          <cell r="D2007">
            <v>5.2797000000000001</v>
          </cell>
        </row>
        <row r="2008">
          <cell r="A2008" t="str">
            <v>001.28.00600</v>
          </cell>
          <cell r="B2008" t="str">
            <v>Fornecimento e instalação de ducha manual linha prata mod. c-50</v>
          </cell>
          <cell r="C2008" t="str">
            <v>UN</v>
          </cell>
          <cell r="D2008">
            <v>77.6554</v>
          </cell>
        </row>
        <row r="2009">
          <cell r="A2009" t="str">
            <v>001.28.00620</v>
          </cell>
          <cell r="B2009" t="str">
            <v>Fornecimento e instalação de lavatório c/ coluna mondiale - azalia - celite</v>
          </cell>
          <cell r="C2009" t="str">
            <v>UN</v>
          </cell>
          <cell r="D2009">
            <v>142.24780000000001</v>
          </cell>
        </row>
        <row r="2010">
          <cell r="A2010" t="str">
            <v>001.28.00640</v>
          </cell>
          <cell r="B2010" t="str">
            <v>Fornecimento e instalação de lavatório de plastico</v>
          </cell>
          <cell r="C2010" t="str">
            <v>UN</v>
          </cell>
          <cell r="D2010">
            <v>38.297800000000002</v>
          </cell>
        </row>
        <row r="2011">
          <cell r="A2011" t="str">
            <v>001.28.00660</v>
          </cell>
          <cell r="B2011" t="str">
            <v>Fornecimento e instalação de lavatório de louça l. ravena deca ou similar c/ col. na cor normal inclusive acessórios de fixação</v>
          </cell>
          <cell r="C2011" t="str">
            <v>UN</v>
          </cell>
          <cell r="D2011">
            <v>94.047799999999995</v>
          </cell>
        </row>
        <row r="2012">
          <cell r="A2012" t="str">
            <v>001.28.00680</v>
          </cell>
          <cell r="B2012" t="str">
            <v>Fornecimento e instalação de lavatório de louça ravena deca ou similar s/ coluna na cor normal inclusive acessorios de fixacao</v>
          </cell>
          <cell r="C2012" t="str">
            <v>UN</v>
          </cell>
          <cell r="D2012">
            <v>69.517799999999994</v>
          </cell>
        </row>
        <row r="2013">
          <cell r="A2013" t="str">
            <v>001.28.00700</v>
          </cell>
          <cell r="B2013" t="str">
            <v>Fornecimento e instalação de lavatório de louça branca com coluna de primeira inclusive acessórios de fixação</v>
          </cell>
          <cell r="C2013" t="str">
            <v>UN</v>
          </cell>
          <cell r="D2013">
            <v>75.647800000000004</v>
          </cell>
        </row>
        <row r="2014">
          <cell r="A2014" t="str">
            <v>001.28.00720</v>
          </cell>
          <cell r="B2014" t="str">
            <v>Fornecimento e instalação de lavatório de louça branca sem coluna de primeira inclusive acessórios de fixação</v>
          </cell>
          <cell r="C2014" t="str">
            <v>UN</v>
          </cell>
          <cell r="D2014">
            <v>52.437800000000003</v>
          </cell>
        </row>
        <row r="2015">
          <cell r="A2015" t="str">
            <v>001.28.00740</v>
          </cell>
          <cell r="B2015" t="str">
            <v>Fornecimento e instalação de cuba de sobrepor mod. l 35 da deca</v>
          </cell>
          <cell r="C2015" t="str">
            <v>UN</v>
          </cell>
          <cell r="D2015">
            <v>87.887799999999999</v>
          </cell>
        </row>
        <row r="2016">
          <cell r="A2016" t="str">
            <v>001.28.00760</v>
          </cell>
          <cell r="B2016" t="str">
            <v>Fornecimento e instalação de cuba de embutir(oval)mod.l.33</v>
          </cell>
          <cell r="C2016" t="str">
            <v>UN</v>
          </cell>
          <cell r="D2016">
            <v>53.590899999999998</v>
          </cell>
        </row>
        <row r="2017">
          <cell r="A2017" t="str">
            <v>001.28.00780</v>
          </cell>
          <cell r="B2017" t="str">
            <v>Fornecimento e instalação de cuba de louça para bancadas e lavatório de embutir oval 49.00 x 36.00 cm</v>
          </cell>
          <cell r="C2017" t="str">
            <v>UN</v>
          </cell>
          <cell r="D2017">
            <v>50.102400000000003</v>
          </cell>
        </row>
        <row r="2018">
          <cell r="A2018" t="str">
            <v>001.28.00800</v>
          </cell>
          <cell r="B2018" t="str">
            <v>Fornecimento e instalação de louça sanitária composto por bacia, lavatório com coluna da linha ravena deca ou similar inclusive assento ap oo nas cores normais</v>
          </cell>
          <cell r="C2018" t="str">
            <v>CJ</v>
          </cell>
          <cell r="D2018">
            <v>284.02440000000001</v>
          </cell>
        </row>
        <row r="2019">
          <cell r="A2019" t="str">
            <v>001.28.00820</v>
          </cell>
          <cell r="B2019" t="str">
            <v>Fornecimento e instalação de bacia santária de louça ravena deca ou similar na cor normal inclusive acessorios de fixacao</v>
          </cell>
          <cell r="C2019" t="str">
            <v>UN</v>
          </cell>
          <cell r="D2019">
            <v>102.68980000000001</v>
          </cell>
        </row>
        <row r="2020">
          <cell r="A2020" t="str">
            <v>001.28.00840</v>
          </cell>
          <cell r="B2020" t="str">
            <v>Fornecimento e instalação de bacia sanitária modelo ravena com cx. acoplada</v>
          </cell>
          <cell r="C2020" t="str">
            <v>UN</v>
          </cell>
          <cell r="D2020">
            <v>179.29169999999999</v>
          </cell>
        </row>
        <row r="2021">
          <cell r="A2021" t="str">
            <v>001.28.00860</v>
          </cell>
          <cell r="B2021" t="str">
            <v>Fornecimento e instalação de bacia sanitária modelo vogue  com cx. acoplada</v>
          </cell>
          <cell r="C2021" t="str">
            <v>UN</v>
          </cell>
          <cell r="D2021">
            <v>179.29169999999999</v>
          </cell>
        </row>
        <row r="2022">
          <cell r="A2022" t="str">
            <v>001.28.00880</v>
          </cell>
          <cell r="B2022" t="str">
            <v>Fornecimento e instalação de bacia sanitária de louça - celite mondiale marfim - incl. acessório para fixação</v>
          </cell>
          <cell r="C2022" t="str">
            <v>UN</v>
          </cell>
          <cell r="D2022">
            <v>124.48480000000001</v>
          </cell>
        </row>
        <row r="2023">
          <cell r="A2023" t="str">
            <v>001.28.00900</v>
          </cell>
          <cell r="B2023" t="str">
            <v>Fornecimento e instalação de bacia sanitária de louça - celite azalia com acessórios</v>
          </cell>
          <cell r="C2023" t="str">
            <v>UN</v>
          </cell>
          <cell r="D2023">
            <v>96.204800000000006</v>
          </cell>
        </row>
        <row r="2024">
          <cell r="A2024" t="str">
            <v>001.28.00920</v>
          </cell>
          <cell r="B2024" t="str">
            <v>Fornecimento e instalação de caixa de descarga para acoplar em bacia sanitaria</v>
          </cell>
          <cell r="C2024" t="str">
            <v>UN</v>
          </cell>
          <cell r="D2024">
            <v>110.5909</v>
          </cell>
        </row>
        <row r="2025">
          <cell r="A2025" t="str">
            <v>001.28.00940</v>
          </cell>
          <cell r="B2025" t="str">
            <v>Fornecimento e instalação de assento plastico p/ vaso sanitario, """"""""""""""""""""""""""""""""astra"""""""""""""""""""""""""""""""" ou similar</v>
          </cell>
          <cell r="C2025" t="str">
            <v>UN</v>
          </cell>
          <cell r="D2025">
            <v>15.052199999999999</v>
          </cell>
        </row>
        <row r="2026">
          <cell r="A2026" t="str">
            <v>001.28.00960</v>
          </cell>
          <cell r="B2026" t="str">
            <v>Fornecimento e instalação de assento celite mondiale - 090 gelo polar</v>
          </cell>
          <cell r="C2026" t="str">
            <v>UN</v>
          </cell>
          <cell r="D2026">
            <v>118.7522</v>
          </cell>
        </row>
        <row r="2027">
          <cell r="A2027" t="str">
            <v>001.28.00980</v>
          </cell>
          <cell r="B2027" t="str">
            <v>Fornecimento e instalação de assento azalia - celite</v>
          </cell>
          <cell r="C2027" t="str">
            <v>UN</v>
          </cell>
          <cell r="D2027">
            <v>28.0822</v>
          </cell>
        </row>
        <row r="2028">
          <cell r="A2028" t="str">
            <v>001.28.01000</v>
          </cell>
          <cell r="B2028" t="str">
            <v>Fornecimento e instalação de bidê de louça linha ravena deca ou similar na cor normal inclusive acessórios de fixação</v>
          </cell>
          <cell r="C2028" t="str">
            <v>UN</v>
          </cell>
          <cell r="D2028">
            <v>83.797799999999995</v>
          </cell>
        </row>
        <row r="2029">
          <cell r="A2029" t="str">
            <v>001.28.01020</v>
          </cell>
          <cell r="B2029" t="str">
            <v>Fornecimento e instalação de bidê de louça branca inclusive acessórios de fixação</v>
          </cell>
          <cell r="C2029" t="str">
            <v>UN</v>
          </cell>
          <cell r="D2029">
            <v>75.947800000000001</v>
          </cell>
        </row>
        <row r="2030">
          <cell r="A2030" t="str">
            <v>001.28.01040</v>
          </cell>
          <cell r="B2030" t="str">
            <v>Fornecimento e instalação de mictório de aço inoxidável de 1.20 m inclusive acessórios de fixação</v>
          </cell>
          <cell r="C2030" t="str">
            <v>UN</v>
          </cell>
          <cell r="D2030">
            <v>380.52390000000003</v>
          </cell>
        </row>
        <row r="2031">
          <cell r="A2031" t="str">
            <v>001.28.01060</v>
          </cell>
          <cell r="B2031" t="str">
            <v>Fornecimento e instalação de sifão de metal cromado de 1 x 1.5 pol para lavatório ou pia</v>
          </cell>
          <cell r="C2031" t="str">
            <v>UN</v>
          </cell>
          <cell r="D2031">
            <v>75.429100000000005</v>
          </cell>
        </row>
        <row r="2032">
          <cell r="A2032" t="str">
            <v>001.28.01080</v>
          </cell>
          <cell r="B2032" t="str">
            <v>Fornecimento e instalação de sifão de metal cromado de 1.5 x 1.5 pol para pia americana</v>
          </cell>
          <cell r="C2032" t="str">
            <v>UN</v>
          </cell>
          <cell r="D2032">
            <v>79.639099999999999</v>
          </cell>
        </row>
        <row r="2033">
          <cell r="A2033" t="str">
            <v>001.28.01100</v>
          </cell>
          <cell r="B2033" t="str">
            <v>Fornecimento e instalação de sifão de metal cromado de 2 x 1 pol para mictorio</v>
          </cell>
          <cell r="C2033" t="str">
            <v>UN</v>
          </cell>
          <cell r="D2033">
            <v>85.339100000000002</v>
          </cell>
        </row>
        <row r="2034">
          <cell r="A2034" t="str">
            <v>001.28.01120</v>
          </cell>
          <cell r="B2034" t="str">
            <v>Fornecimento e instalação de sifão de metal cromado de 1.1/4 x 1.5 pol para tanque</v>
          </cell>
          <cell r="C2034" t="str">
            <v>UN</v>
          </cell>
          <cell r="D2034">
            <v>79.909099999999995</v>
          </cell>
        </row>
        <row r="2035">
          <cell r="A2035" t="str">
            <v>001.28.01140</v>
          </cell>
          <cell r="B2035" t="str">
            <v>Fornecimento e instalação de sifão de pvc cromado de 1 x 1.5 pol para pia ou lavatorio</v>
          </cell>
          <cell r="C2035" t="str">
            <v>UN</v>
          </cell>
          <cell r="D2035">
            <v>8.9870000000000001</v>
          </cell>
        </row>
        <row r="2036">
          <cell r="A2036" t="str">
            <v>001.28.01160</v>
          </cell>
          <cell r="B2036" t="str">
            <v>Fornecimento e instalação de porta papel de louça  com rolete</v>
          </cell>
          <cell r="C2036" t="str">
            <v>UN</v>
          </cell>
          <cell r="D2036">
            <v>20.046299999999999</v>
          </cell>
        </row>
        <row r="2037">
          <cell r="A2037" t="str">
            <v>001.28.01180</v>
          </cell>
          <cell r="B2037" t="str">
            <v>Fornecimento e instalação de porta papel de metal cromado, fixado com bucha e parafuso</v>
          </cell>
          <cell r="C2037" t="str">
            <v>UN</v>
          </cell>
          <cell r="D2037">
            <v>13.391400000000001</v>
          </cell>
        </row>
        <row r="2038">
          <cell r="A2038" t="str">
            <v>001.28.01200</v>
          </cell>
          <cell r="B2038" t="str">
            <v>Fornecimento e instalação de porta papel de louça c/ rolete - celite</v>
          </cell>
          <cell r="C2038" t="str">
            <v>UN</v>
          </cell>
          <cell r="D2038">
            <v>28.372499999999999</v>
          </cell>
        </row>
        <row r="2039">
          <cell r="A2039" t="str">
            <v>001.28.01220</v>
          </cell>
          <cell r="B2039" t="str">
            <v>Fornecimento e instalação de porta papel de louça c/ rolete elegant - celite</v>
          </cell>
          <cell r="C2039" t="str">
            <v>UN</v>
          </cell>
          <cell r="D2039">
            <v>34.762500000000003</v>
          </cell>
        </row>
        <row r="2040">
          <cell r="A2040" t="str">
            <v>001.28.01240</v>
          </cell>
          <cell r="B2040" t="str">
            <v>Fornecimento e instalação de saboneteira de louça de primeira sem alça</v>
          </cell>
          <cell r="C2040" t="str">
            <v>UN</v>
          </cell>
          <cell r="D2040">
            <v>19.878499999999999</v>
          </cell>
        </row>
        <row r="2041">
          <cell r="A2041" t="str">
            <v>001.28.01260</v>
          </cell>
          <cell r="B2041" t="str">
            <v>Fornecimento e instalação de saboneteira para sabão líquido marca lalekla ou similar</v>
          </cell>
          <cell r="C2041" t="str">
            <v>UN</v>
          </cell>
          <cell r="D2041">
            <v>24.893899999999999</v>
          </cell>
        </row>
        <row r="2042">
          <cell r="A2042" t="str">
            <v>001.28.01280</v>
          </cell>
          <cell r="B2042" t="str">
            <v>Fornecimento e instalação de saboneteira de metal cromado, fixada com bucha e parafuso</v>
          </cell>
          <cell r="C2042" t="str">
            <v>UN</v>
          </cell>
          <cell r="D2042">
            <v>10.0814</v>
          </cell>
        </row>
        <row r="2043">
          <cell r="A2043" t="str">
            <v>001.28.01300</v>
          </cell>
          <cell r="B2043" t="str">
            <v>Fornecimento e instalação de porta toalha de louça tipo cabide simples</v>
          </cell>
          <cell r="C2043" t="str">
            <v>UN</v>
          </cell>
          <cell r="D2043">
            <v>13.7563</v>
          </cell>
        </row>
        <row r="2044">
          <cell r="A2044" t="str">
            <v>001.28.01320</v>
          </cell>
          <cell r="B2044" t="str">
            <v>Fornecimento e instalação de porta toalha de louça c/ barra de plástico</v>
          </cell>
          <cell r="C2044" t="str">
            <v>UN</v>
          </cell>
          <cell r="D2044">
            <v>28.372499999999999</v>
          </cell>
        </row>
        <row r="2045">
          <cell r="A2045" t="str">
            <v>001.28.01340</v>
          </cell>
          <cell r="B2045" t="str">
            <v>Fornecimento e instalação de porta toalha metálica para papel marca lalekla ou similar</v>
          </cell>
          <cell r="C2045" t="str">
            <v>UN</v>
          </cell>
          <cell r="D2045">
            <v>31.863900000000001</v>
          </cell>
        </row>
        <row r="2046">
          <cell r="A2046" t="str">
            <v>001.28.01360</v>
          </cell>
          <cell r="B2046" t="str">
            <v>Fornecimento e instalação de toalheiro - celite - argola</v>
          </cell>
          <cell r="C2046" t="str">
            <v>UN</v>
          </cell>
          <cell r="D2046">
            <v>26.036300000000001</v>
          </cell>
        </row>
        <row r="2047">
          <cell r="A2047" t="str">
            <v>001.28.01380</v>
          </cell>
          <cell r="B2047" t="str">
            <v>Fornecimento e instalação de cabide de louça simples - celite</v>
          </cell>
          <cell r="C2047" t="str">
            <v>UND</v>
          </cell>
          <cell r="D2047">
            <v>33.214799999999997</v>
          </cell>
        </row>
        <row r="2048">
          <cell r="A2048" t="str">
            <v>001.28.01400</v>
          </cell>
          <cell r="B2048" t="str">
            <v>Fornecimento e instalação de cabide de metal cromado, fixado com bucha e parafuso</v>
          </cell>
          <cell r="C2048" t="str">
            <v>UN</v>
          </cell>
          <cell r="D2048">
            <v>16.1614</v>
          </cell>
        </row>
        <row r="2049">
          <cell r="A2049" t="str">
            <v>001.28.01420</v>
          </cell>
          <cell r="B2049" t="str">
            <v>Fornecimento e instalação  de espelho para lavatorio com moldura simples e proteção de madeira na parte não espelhada dimensão 0.50 x 0.60 m</v>
          </cell>
          <cell r="C2049" t="str">
            <v>UN</v>
          </cell>
          <cell r="D2049">
            <v>37.372799999999998</v>
          </cell>
        </row>
        <row r="2050">
          <cell r="A2050" t="str">
            <v>001.28.01440</v>
          </cell>
          <cell r="B2050" t="str">
            <v>Fornecimento e instalação de espelho  para lavatório com moldura simples e proteção de madeira na parte não espelhada dim. 1.50 x 0.60 m</v>
          </cell>
          <cell r="C2050" t="str">
            <v>UN</v>
          </cell>
          <cell r="D2050">
            <v>50.115600000000001</v>
          </cell>
        </row>
        <row r="2051">
          <cell r="A2051" t="str">
            <v>001.28.01460</v>
          </cell>
          <cell r="B2051" t="str">
            <v>Fornecimento e instalação de chuveiro de pvc branco n. 1 da cipla ou similar</v>
          </cell>
          <cell r="C2051" t="str">
            <v>UN</v>
          </cell>
          <cell r="D2051">
            <v>7.3869999999999996</v>
          </cell>
        </row>
        <row r="2052">
          <cell r="A2052" t="str">
            <v>001.28.01480</v>
          </cell>
          <cell r="B2052" t="str">
            <v>Fornecimento e instalação de chuveiro de pvc cromado n. 2 da cipla ou similar</v>
          </cell>
          <cell r="C2052" t="str">
            <v>UN</v>
          </cell>
          <cell r="D2052">
            <v>15.077</v>
          </cell>
        </row>
        <row r="2053">
          <cell r="A2053" t="str">
            <v>001.28.01500</v>
          </cell>
          <cell r="B2053" t="str">
            <v>Fornecimento e instalação de chuveiro de luxo com articulacao cromada ref. 1994 deca ou similar 1/2 pol</v>
          </cell>
          <cell r="C2053" t="str">
            <v>UN</v>
          </cell>
          <cell r="D2053">
            <v>147.99430000000001</v>
          </cell>
        </row>
        <row r="2054">
          <cell r="A2054" t="str">
            <v>001.28.01520</v>
          </cell>
          <cell r="B2054" t="str">
            <v>Fornecimento e instalação de chuveiro simples com articulacao cromada ref. 1995 deca ou similar 1/2 pol</v>
          </cell>
          <cell r="C2054" t="str">
            <v>UN</v>
          </cell>
          <cell r="D2054">
            <v>108.9943</v>
          </cell>
        </row>
        <row r="2055">
          <cell r="A2055" t="str">
            <v>001.28.01540</v>
          </cell>
          <cell r="B2055" t="str">
            <v>Fornecimento e instalação de chuveiro eletrico para 2500 w / 220 v lorenzetti ou similar</v>
          </cell>
          <cell r="C2055" t="str">
            <v>UN</v>
          </cell>
          <cell r="D2055">
            <v>98.631799999999998</v>
          </cell>
        </row>
        <row r="2056">
          <cell r="A2056" t="str">
            <v>001.28.01560</v>
          </cell>
          <cell r="B2056" t="str">
            <v>Fornecimento e instalação sistema conjugado chuveiro lava olhos acionamento instantãneo ref. wl-1cl5 da mont lab ou similar</v>
          </cell>
          <cell r="C2056" t="str">
            <v>UN</v>
          </cell>
          <cell r="D2056">
            <v>1422.635</v>
          </cell>
        </row>
        <row r="2057">
          <cell r="A2057" t="str">
            <v>001.28.01580</v>
          </cell>
          <cell r="B2057" t="str">
            <v>Fornecimento e instalação de ducha de pvc cromado articulavel 1/2 pol cipla ou similar</v>
          </cell>
          <cell r="C2057" t="str">
            <v>UN</v>
          </cell>
          <cell r="D2057">
            <v>7.3869999999999996</v>
          </cell>
        </row>
        <row r="2058">
          <cell r="A2058" t="str">
            <v>001.28.01600</v>
          </cell>
          <cell r="B2058" t="str">
            <v>Fornecimento e instalação de ducha ss corona com 3 temperaturas</v>
          </cell>
          <cell r="C2058" t="str">
            <v>UN</v>
          </cell>
          <cell r="D2058">
            <v>27.681799999999999</v>
          </cell>
        </row>
        <row r="2059">
          <cell r="A2059" t="str">
            <v>001.28.01620</v>
          </cell>
          <cell r="B2059" t="str">
            <v>Fornecimento e instalação de tubo de descida para vávula de descarga de 1 1/2 pol de pvc rigido</v>
          </cell>
          <cell r="C2059" t="str">
            <v>UN</v>
          </cell>
          <cell r="D2059">
            <v>8.3670000000000009</v>
          </cell>
        </row>
        <row r="2060">
          <cell r="A2060" t="str">
            <v>001.28.01640</v>
          </cell>
          <cell r="B2060" t="str">
            <v>Fornecimento e instalação de ligação  para bacia sanitária em tubo em pvc rigido branco de 40mm</v>
          </cell>
          <cell r="C2060" t="str">
            <v>UN</v>
          </cell>
          <cell r="D2060">
            <v>7.2195</v>
          </cell>
        </row>
        <row r="2061">
          <cell r="A2061" t="str">
            <v>001.28.01660</v>
          </cell>
          <cell r="B2061" t="str">
            <v>Fornecimento e instalação de ligação para bacia sanitária tubo em pvc rigido cromado de 40mm</v>
          </cell>
          <cell r="C2061" t="str">
            <v>UN</v>
          </cell>
          <cell r="D2061">
            <v>11.269500000000001</v>
          </cell>
        </row>
        <row r="2062">
          <cell r="A2062" t="str">
            <v>001.28.01680</v>
          </cell>
          <cell r="B2062" t="str">
            <v>Fornecimento e instalação de ligação para bacia sanitária tubo em metal cromado de 40mm</v>
          </cell>
          <cell r="C2062" t="str">
            <v>UN</v>
          </cell>
          <cell r="D2062">
            <v>15.2195</v>
          </cell>
        </row>
        <row r="2063">
          <cell r="A2063" t="str">
            <v>001.28.01700</v>
          </cell>
          <cell r="B2063" t="str">
            <v>Fornecimento e instalação de ligação para bacia sanitária em bolsa de borracha</v>
          </cell>
          <cell r="C2063" t="str">
            <v>UN</v>
          </cell>
          <cell r="D2063">
            <v>2.9904999999999999</v>
          </cell>
        </row>
        <row r="2064">
          <cell r="A2064" t="str">
            <v>001.28.01720</v>
          </cell>
          <cell r="B2064" t="str">
            <v>Fornecimento e instalação de caixa de descarga externa inclusive tubo de descarga e acessórios</v>
          </cell>
          <cell r="C2064" t="str">
            <v>CJ</v>
          </cell>
          <cell r="D2064">
            <v>79.4739</v>
          </cell>
        </row>
        <row r="2065">
          <cell r="A2065" t="str">
            <v>001.28.01740</v>
          </cell>
          <cell r="B2065" t="str">
            <v>Fornecimento e instalação de caixa de descarga de emb. inclusive tubo de descarga e acessórios</v>
          </cell>
          <cell r="C2065" t="str">
            <v>CJ</v>
          </cell>
          <cell r="D2065">
            <v>79.4739</v>
          </cell>
        </row>
        <row r="2066">
          <cell r="A2066" t="str">
            <v>001.28.01760</v>
          </cell>
          <cell r="B2066" t="str">
            <v>Fornecimento e instalação de caixa de descarga para acoplar em bacia sanitária</v>
          </cell>
          <cell r="C2066" t="str">
            <v>UN</v>
          </cell>
          <cell r="D2066">
            <v>110.5909</v>
          </cell>
        </row>
        <row r="2067">
          <cell r="A2067" t="str">
            <v>001.28.01780</v>
          </cell>
          <cell r="B2067" t="str">
            <v>Fornecimento e instalação de engate no. 3 com terminais de 1/2 pol e mangueira flexíel branca, de 30 cm,</v>
          </cell>
          <cell r="C2067" t="str">
            <v>UN</v>
          </cell>
          <cell r="D2067">
            <v>3.9535</v>
          </cell>
        </row>
        <row r="2068">
          <cell r="A2068" t="str">
            <v>001.28.01800</v>
          </cell>
          <cell r="B2068" t="str">
            <v>Fornecimento e colocação de engate no. 5 com terminais cromados de 1/2 pol e mangueira flexível, de 40 cm,</v>
          </cell>
          <cell r="C2068" t="str">
            <v>UN</v>
          </cell>
          <cell r="D2068">
            <v>15.0435</v>
          </cell>
        </row>
        <row r="2069">
          <cell r="A2069" t="str">
            <v>001.28.01820</v>
          </cell>
          <cell r="B2069" t="str">
            <v>Fornecimento e instalação de ligação para saída de vaso sanitário pvc branco  diam.100 mm</v>
          </cell>
          <cell r="C2069" t="str">
            <v>UN</v>
          </cell>
          <cell r="D2069">
            <v>21.452200000000001</v>
          </cell>
        </row>
        <row r="2070">
          <cell r="A2070" t="str">
            <v>001.29</v>
          </cell>
          <cell r="B2070" t="str">
            <v>INSTALAÇÕES HIDRÁULICAS - CUBAS E TANQUE</v>
          </cell>
          <cell r="D2070">
            <v>6835.7408999999998</v>
          </cell>
        </row>
        <row r="2071">
          <cell r="A2071" t="str">
            <v>001.29.00020</v>
          </cell>
          <cell r="B2071" t="str">
            <v>Fornecimento e instalação de cuba de aço inox inclusive válvula americana n.1 - 46.5 x 31 x 15 cm</v>
          </cell>
          <cell r="C2071" t="str">
            <v>UN</v>
          </cell>
          <cell r="D2071">
            <v>102.02630000000001</v>
          </cell>
        </row>
        <row r="2072">
          <cell r="A2072" t="str">
            <v>001.29.00040</v>
          </cell>
          <cell r="B2072" t="str">
            <v>Fornecimento e instalação de cuba de aço inox inclusive válvula americana n.2 - 56.0 x 33.5 x 15 cm</v>
          </cell>
          <cell r="C2072" t="str">
            <v>UN</v>
          </cell>
          <cell r="D2072">
            <v>118.02630000000001</v>
          </cell>
        </row>
        <row r="2073">
          <cell r="A2073" t="str">
            <v>001.29.00060</v>
          </cell>
          <cell r="B2073" t="str">
            <v>Forneicmento e instalação de cuba de aço inox inclusive válvula americana - 40x40x20 cm</v>
          </cell>
          <cell r="C2073" t="str">
            <v>UN</v>
          </cell>
          <cell r="D2073">
            <v>45.988100000000003</v>
          </cell>
        </row>
        <row r="2074">
          <cell r="A2074" t="str">
            <v>001.29.00080</v>
          </cell>
          <cell r="B2074" t="str">
            <v>Fornecimento e instalação de cuba de aço inox inclusive válvula americana dupla 82 x 34 x 15 cm</v>
          </cell>
          <cell r="C2074" t="str">
            <v>UN</v>
          </cell>
          <cell r="D2074">
            <v>114.7409</v>
          </cell>
        </row>
        <row r="2075">
          <cell r="A2075" t="str">
            <v>001.29.00100</v>
          </cell>
          <cell r="B2075" t="str">
            <v>Fornecimento e instalação de banca ou tampo em aço inoxidável n.o de 1.20x0.60m com 1 cuba</v>
          </cell>
          <cell r="C2075" t="str">
            <v>UN</v>
          </cell>
          <cell r="D2075">
            <v>277.16820000000001</v>
          </cell>
        </row>
        <row r="2076">
          <cell r="A2076" t="str">
            <v>001.29.00120</v>
          </cell>
          <cell r="B2076" t="str">
            <v>Fornecimento e instalação de banca ou tampo em aço inoxidável n.2 de 1.50x0.60m com 1 cuba</v>
          </cell>
          <cell r="C2076" t="str">
            <v>UN</v>
          </cell>
          <cell r="D2076">
            <v>162.47819999999999</v>
          </cell>
        </row>
        <row r="2077">
          <cell r="A2077" t="str">
            <v>001.29.00140</v>
          </cell>
          <cell r="B2077" t="str">
            <v>Fornecimento e instalação de banca ou tampo em aço inoxidável n.2 de 1.80x0.60m com 1 cuba</v>
          </cell>
          <cell r="C2077" t="str">
            <v>UN</v>
          </cell>
          <cell r="D2077">
            <v>256.21820000000002</v>
          </cell>
        </row>
        <row r="2078">
          <cell r="A2078" t="str">
            <v>001.29.00160</v>
          </cell>
          <cell r="B2078" t="str">
            <v>Fornecimento e instalação de banca ou tampo em aço inoxidável n.2 de 2.00x0.60m com 1 cuba</v>
          </cell>
          <cell r="C2078" t="str">
            <v>UN</v>
          </cell>
          <cell r="D2078">
            <v>293.85820000000001</v>
          </cell>
        </row>
        <row r="2079">
          <cell r="A2079" t="str">
            <v>001.29.00180</v>
          </cell>
          <cell r="B2079" t="str">
            <v>Fornecimento e instalação de banca ou tampo em aço inoxidável n.334 de 2.00x0.60m com 2 cubas p/ ud</v>
          </cell>
          <cell r="C2079" t="str">
            <v>UN</v>
          </cell>
          <cell r="D2079">
            <v>355.21820000000002</v>
          </cell>
        </row>
        <row r="2080">
          <cell r="A2080" t="str">
            <v>001.29.00200</v>
          </cell>
          <cell r="B2080" t="str">
            <v>Fornecimento e instalação de banca ou tampo em aço inoxidável da eternox revestida d1800mb c/ 1 cuba no centro, de 1,80m</v>
          </cell>
          <cell r="C2080" t="str">
            <v>UN</v>
          </cell>
          <cell r="D2080">
            <v>276.8682</v>
          </cell>
        </row>
        <row r="2081">
          <cell r="A2081" t="str">
            <v>001.29.00220</v>
          </cell>
          <cell r="B2081" t="str">
            <v>Fornecimento e instalação de banca ou tampo em aço inoxidável da eternox revestida e1800mb c/ 1 cuba no centro, de 1,80m</v>
          </cell>
          <cell r="C2081" t="str">
            <v>UN</v>
          </cell>
          <cell r="D2081">
            <v>277.16820000000001</v>
          </cell>
        </row>
        <row r="2082">
          <cell r="A2082" t="str">
            <v>001.29.00240</v>
          </cell>
          <cell r="B2082" t="str">
            <v>Fornecimento e instalação de banca ou tampo em aço inoxidável da eternox revestida 2000mb 2c c/ 2 cubas no centro, de 2,00m</v>
          </cell>
          <cell r="C2082" t="str">
            <v>UN</v>
          </cell>
          <cell r="D2082">
            <v>331.21820000000002</v>
          </cell>
        </row>
        <row r="2083">
          <cell r="A2083" t="str">
            <v>001.29.00260</v>
          </cell>
          <cell r="B2083" t="str">
            <v>Fornecimento e instalação de banca ou tampo em aço inoxidável da eternox revestida d1600mb c/ 1 cuba no centro</v>
          </cell>
          <cell r="C2083" t="str">
            <v>UN</v>
          </cell>
          <cell r="D2083">
            <v>162.47819999999999</v>
          </cell>
        </row>
        <row r="2084">
          <cell r="A2084" t="str">
            <v>001.29.00280</v>
          </cell>
          <cell r="B2084" t="str">
            <v>Fornecimento e instalação de banca ou tampo em aço inoxidável da eternox revestida 1800mb 2c c/ 2 cubas no centro</v>
          </cell>
          <cell r="C2084" t="str">
            <v>UN</v>
          </cell>
          <cell r="D2084">
            <v>313.25819999999999</v>
          </cell>
        </row>
        <row r="2085">
          <cell r="A2085" t="str">
            <v>001.29.00300</v>
          </cell>
          <cell r="B2085" t="str">
            <v>Fornecimento e instalação de banca ou tampo em aço inoxidável da eternox revestida cuba dupla de 82x34x14cm</v>
          </cell>
          <cell r="C2085" t="str">
            <v>UN</v>
          </cell>
          <cell r="D2085">
            <v>106.1982</v>
          </cell>
        </row>
        <row r="2086">
          <cell r="A2086" t="str">
            <v>001.29.00320</v>
          </cell>
          <cell r="B2086" t="str">
            <v>Fornecimento e instalação de banca ou tampo em aço inoxidável da eternox revestido e1800mb com 2 cubas lado direito</v>
          </cell>
          <cell r="C2086" t="str">
            <v>UN</v>
          </cell>
          <cell r="D2086">
            <v>313.25819999999999</v>
          </cell>
        </row>
        <row r="2087">
          <cell r="A2087" t="str">
            <v>001.29.00340</v>
          </cell>
          <cell r="B2087" t="str">
            <v>Fornecimento e instalação de banca ou tampo em aço inoxidável da eternox revestido e1800mb com 2 cubas lado direito</v>
          </cell>
          <cell r="C2087" t="str">
            <v>UN</v>
          </cell>
          <cell r="D2087">
            <v>313.25819999999999</v>
          </cell>
        </row>
        <row r="2088">
          <cell r="A2088" t="str">
            <v>001.29.00360</v>
          </cell>
          <cell r="B2088" t="str">
            <v>Fornecimento e instalação de banca ou tampo em aço inoxidável da eternox revestida de 2.60 x 0.55 m c/ 1 cuba e valvula</v>
          </cell>
          <cell r="C2088" t="str">
            <v>UN</v>
          </cell>
          <cell r="D2088">
            <v>162.47819999999999</v>
          </cell>
        </row>
        <row r="2089">
          <cell r="A2089" t="str">
            <v>001.29.00380</v>
          </cell>
          <cell r="B2089" t="str">
            <v>Fornecimento e instalação de banca de granilite fundida na obra com espessura de 0.05 m</v>
          </cell>
          <cell r="C2089" t="str">
            <v>M2</v>
          </cell>
          <cell r="D2089">
            <v>79.511399999999995</v>
          </cell>
        </row>
        <row r="2090">
          <cell r="A2090" t="str">
            <v>001.29.00400</v>
          </cell>
          <cell r="B2090" t="str">
            <v>Fornecimento e instalação de bancada em ardósia polida 1.50 x 0.60 com 1 cuba inox 40.00x40.00x15.00</v>
          </cell>
          <cell r="C2090" t="str">
            <v>UN</v>
          </cell>
          <cell r="D2090">
            <v>178.5839</v>
          </cell>
        </row>
        <row r="2091">
          <cell r="A2091" t="str">
            <v>001.29.00420</v>
          </cell>
          <cell r="B2091" t="str">
            <v>Fornecimento e instalação de banca de mármore sintético c/ 01 cuba no centro , de 1.80m</v>
          </cell>
          <cell r="C2091" t="str">
            <v>UN</v>
          </cell>
          <cell r="D2091">
            <v>76.8416</v>
          </cell>
        </row>
        <row r="2092">
          <cell r="A2092" t="str">
            <v>001.29.00440</v>
          </cell>
          <cell r="B2092" t="str">
            <v>Forneicmento e instalação de banca de mármore sintético c/ 02 cubas no centro , de 1.80m</v>
          </cell>
          <cell r="C2092" t="str">
            <v>UN</v>
          </cell>
          <cell r="D2092">
            <v>76.8416</v>
          </cell>
        </row>
        <row r="2093">
          <cell r="A2093" t="str">
            <v>001.29.00460</v>
          </cell>
          <cell r="B2093" t="str">
            <v>Fornecimento e instalação de banca de mármore sintético com uma cuba - 120.00x54.00cm</v>
          </cell>
          <cell r="C2093" t="str">
            <v>UN</v>
          </cell>
          <cell r="D2093">
            <v>47.221600000000002</v>
          </cell>
        </row>
        <row r="2094">
          <cell r="A2094" t="str">
            <v>001.29.00480</v>
          </cell>
          <cell r="B2094" t="str">
            <v>Fornecimento e instalação de bancada em aço inox 316 1.90 x 0.80 formado por peças estampadas sem emendas visíveis, com 2 cubas em aço inox 316 estampado sem cantos vivos, nas dimensões (40x60x40)cm</v>
          </cell>
          <cell r="C2094" t="str">
            <v>UN</v>
          </cell>
          <cell r="D2094">
            <v>349.62389999999999</v>
          </cell>
        </row>
        <row r="2095">
          <cell r="A2095" t="str">
            <v>001.29.00500</v>
          </cell>
          <cell r="B2095" t="str">
            <v>Fornecimento e instalação de bancada em aço inox 316 2.20 x 0.80 formado por peças estampadas sem emendas visíveis, com 2 cubas em aço inox 316 estampado sem cantos vivos, nas dimensões (40x60x40)cm</v>
          </cell>
          <cell r="C2095" t="str">
            <v>UN</v>
          </cell>
          <cell r="D2095">
            <v>368.09390000000002</v>
          </cell>
        </row>
        <row r="2096">
          <cell r="A2096" t="str">
            <v>001.29.00520</v>
          </cell>
          <cell r="B2096" t="str">
            <v>Fornecimento e instalação de bancada seca em aço inox 316 1.80 x 0.80 formado por peças estampadas sem emendas visíveis</v>
          </cell>
          <cell r="C2096" t="str">
            <v>UN</v>
          </cell>
          <cell r="D2096">
            <v>313.23390000000001</v>
          </cell>
        </row>
        <row r="2097">
          <cell r="A2097" t="str">
            <v>001.29.00540</v>
          </cell>
          <cell r="B2097" t="str">
            <v>Fornecimento e instalação de cuba dupla com válvula, 82x34x14 cm</v>
          </cell>
          <cell r="C2097" t="str">
            <v>UN</v>
          </cell>
          <cell r="D2097">
            <v>112.8124</v>
          </cell>
        </row>
        <row r="2098">
          <cell r="A2098" t="str">
            <v>001.29.00560</v>
          </cell>
          <cell r="B2098" t="str">
            <v>Fornecimento e instalação de cuba simples de 400.00mmx340.00mmx140.00mm (p) , aco inox eternox</v>
          </cell>
          <cell r="C2098" t="str">
            <v>UN</v>
          </cell>
          <cell r="D2098">
            <v>92.621600000000001</v>
          </cell>
        </row>
        <row r="2099">
          <cell r="A2099" t="str">
            <v>001.29.00580</v>
          </cell>
          <cell r="B2099" t="str">
            <v>Fornecimento e instalação de cuba de aço inox, inclusive válvula americana nº 1 - 46.50 x 31.00 x 15.00 cm</v>
          </cell>
          <cell r="C2099" t="str">
            <v>UN</v>
          </cell>
          <cell r="D2099">
            <v>100.9881</v>
          </cell>
        </row>
        <row r="2100">
          <cell r="A2100" t="str">
            <v>001.29.00600</v>
          </cell>
          <cell r="B2100" t="str">
            <v>Fornecimento e instalação de cuba de aço inox, inclusive válvula americana nº 2 - 56.00 x 33.50 x 15.00 cm</v>
          </cell>
          <cell r="C2100" t="str">
            <v>UN</v>
          </cell>
          <cell r="D2100">
            <v>116.9881</v>
          </cell>
        </row>
        <row r="2101">
          <cell r="A2101" t="str">
            <v>001.29.00620</v>
          </cell>
          <cell r="B2101" t="str">
            <v>Fornecimento e instalação de cuba dupla 82.00 x 34.00 x 15.00 cm</v>
          </cell>
          <cell r="C2101" t="str">
            <v>UN</v>
          </cell>
          <cell r="D2101">
            <v>116.9881</v>
          </cell>
        </row>
        <row r="2102">
          <cell r="A2102" t="str">
            <v>001.29.00640</v>
          </cell>
          <cell r="B2102" t="str">
            <v>Fornecimento e instalação de tanque para lavar roupa pré-moldado de concreto modelo simples dim. 60 x 60 cm</v>
          </cell>
          <cell r="C2102" t="str">
            <v>UN</v>
          </cell>
          <cell r="D2102">
            <v>37.030299999999997</v>
          </cell>
        </row>
        <row r="2103">
          <cell r="A2103" t="str">
            <v>001.29.00660</v>
          </cell>
          <cell r="B2103" t="str">
            <v>Fornecimento e instalação de tanque para lavar roupa pre-moldado de concreto, 3 cubas, dim. 0,60x1,80m</v>
          </cell>
          <cell r="C2103" t="str">
            <v>UN</v>
          </cell>
          <cell r="D2103">
            <v>62.443199999999997</v>
          </cell>
        </row>
        <row r="2104">
          <cell r="A2104" t="str">
            <v>001.29.00680</v>
          </cell>
          <cell r="B2104" t="str">
            <v>Fornecimento e instalação de tanque para lavar roupa de louca branca tamanho médio com coluna</v>
          </cell>
          <cell r="C2104" t="str">
            <v>UN</v>
          </cell>
          <cell r="D2104">
            <v>186.5102</v>
          </cell>
        </row>
        <row r="2105">
          <cell r="A2105" t="str">
            <v>001.29.00700</v>
          </cell>
          <cell r="B2105" t="str">
            <v>Fornecimento e instalação de tanque para lavar roupa de louca branca tamanho médio sem coluna</v>
          </cell>
          <cell r="C2105" t="str">
            <v>UN</v>
          </cell>
          <cell r="D2105">
            <v>155.9102</v>
          </cell>
        </row>
        <row r="2106">
          <cell r="A2106" t="str">
            <v>001.29.00720</v>
          </cell>
          <cell r="B2106" t="str">
            <v>Fornecimento e instalação de tanque - celite - medio branco - c/ coluna r-002.05 c/ válvula</v>
          </cell>
          <cell r="C2106" t="str">
            <v>UN</v>
          </cell>
          <cell r="D2106">
            <v>157.33029999999999</v>
          </cell>
        </row>
        <row r="2107">
          <cell r="A2107" t="str">
            <v>001.29.00740</v>
          </cell>
          <cell r="B2107" t="str">
            <v>Fornecimento e instalação de tanque decoralite simples - tam-03 - c/ valvula</v>
          </cell>
          <cell r="C2107" t="str">
            <v>UN</v>
          </cell>
          <cell r="D2107">
            <v>188.3124</v>
          </cell>
        </row>
        <row r="2108">
          <cell r="A2108" t="str">
            <v>001.29.00760</v>
          </cell>
          <cell r="B2108" t="str">
            <v>Fornecimento e instalação de tanque de plástico - pequeno</v>
          </cell>
          <cell r="C2108" t="str">
            <v>UN</v>
          </cell>
          <cell r="D2108">
            <v>35.947800000000001</v>
          </cell>
        </row>
        <row r="2109">
          <cell r="A2109" t="str">
            <v>001.30</v>
          </cell>
          <cell r="B2109" t="str">
            <v>INSTALAÇÕES SANITÁRIAS - PRIMÁRIO E SECUNDÁRIO</v>
          </cell>
          <cell r="D2109">
            <v>35716.085599999999</v>
          </cell>
        </row>
        <row r="2110">
          <cell r="A2110" t="str">
            <v>001.30.00020</v>
          </cell>
          <cell r="B2110" t="str">
            <v>Fornecimento e instalação de tubo leve de pvc rígido branco c/ ponta e bolsa lisa em barra 6 m diâmetro 450 mm</v>
          </cell>
          <cell r="C2110" t="str">
            <v>ML</v>
          </cell>
          <cell r="D2110">
            <v>78.284999999999997</v>
          </cell>
        </row>
        <row r="2111">
          <cell r="A2111" t="str">
            <v>001.30.00040</v>
          </cell>
          <cell r="B2111" t="str">
            <v>Fornecimento e instalação de tubo leve de pvc rígido branco c/ ponta e bolsa lisa em barra 6 m diâmetro 400 mm</v>
          </cell>
          <cell r="C2111" t="str">
            <v>ML</v>
          </cell>
          <cell r="D2111">
            <v>79.056600000000003</v>
          </cell>
        </row>
        <row r="2112">
          <cell r="A2112" t="str">
            <v>001.30.00060</v>
          </cell>
          <cell r="B2112" t="str">
            <v>Fornecimento e instalação de tubo leve de pvc rígido branco c/ ponta e bolsa lisa em barra 6 m diâmetro 300 mm</v>
          </cell>
          <cell r="C2112" t="str">
            <v>ML</v>
          </cell>
          <cell r="D2112">
            <v>52.088000000000001</v>
          </cell>
        </row>
        <row r="2113">
          <cell r="A2113" t="str">
            <v>001.30.00080</v>
          </cell>
          <cell r="B2113" t="str">
            <v>Fornecimento e instalaçao de tubo leve de pvc rígido branco c/ ponta e bolsa lisa em barra 6 m diâmetro 250 mm</v>
          </cell>
          <cell r="C2113" t="str">
            <v>ML</v>
          </cell>
          <cell r="D2113">
            <v>31.425000000000001</v>
          </cell>
        </row>
        <row r="2114">
          <cell r="A2114" t="str">
            <v>001.30.00100</v>
          </cell>
          <cell r="B2114" t="str">
            <v>Fornecimento e instalação de tubo leve de pvc rígido branco c/ ponta e bolsa lisa em barra 6 m diâmetro 200 mm</v>
          </cell>
          <cell r="C2114" t="str">
            <v>ML</v>
          </cell>
          <cell r="D2114">
            <v>21.375499999999999</v>
          </cell>
        </row>
        <row r="2115">
          <cell r="A2115" t="str">
            <v>001.30.00120</v>
          </cell>
          <cell r="B2115" t="str">
            <v>Fornecimento e instalação de tubo leve de pvc rígido branco c/ ponta e bolsa lisa em barra 6 m diâmetro 150 mm</v>
          </cell>
          <cell r="C2115" t="str">
            <v>ML</v>
          </cell>
          <cell r="D2115">
            <v>20.812200000000001</v>
          </cell>
        </row>
        <row r="2116">
          <cell r="A2116" t="str">
            <v>001.30.00140</v>
          </cell>
          <cell r="B2116" t="str">
            <v>Fornecimento e instalação de tubo leve de pvc rígido branco c/ ponta e bolsa lisa em barra 6 m diâmetro 125 mm</v>
          </cell>
          <cell r="C2116" t="str">
            <v>ML</v>
          </cell>
          <cell r="D2116">
            <v>18.3781</v>
          </cell>
        </row>
        <row r="2117">
          <cell r="A2117" t="str">
            <v>001.30.00160</v>
          </cell>
          <cell r="B2117" t="str">
            <v>Fornecimento e instalação de tubo de pvc rígido cor branca com ponta e bolsa em barra de 6 m diâmetro 100 mm</v>
          </cell>
          <cell r="C2117" t="str">
            <v>ML</v>
          </cell>
          <cell r="D2117">
            <v>5.6124999999999998</v>
          </cell>
        </row>
        <row r="2118">
          <cell r="A2118" t="str">
            <v>001.30.00180</v>
          </cell>
          <cell r="B2118" t="str">
            <v>Fornecimento e instalação de tubo de pvc rígido cor branca com ponta e bolsa em barra de 6 m diâmetro 75 mm</v>
          </cell>
          <cell r="C2118" t="str">
            <v>ML</v>
          </cell>
          <cell r="D2118">
            <v>6.5316000000000001</v>
          </cell>
        </row>
        <row r="2119">
          <cell r="A2119" t="str">
            <v>001.30.00200</v>
          </cell>
          <cell r="B2119" t="str">
            <v>Fornecimento e instalação de tubo de pvc rígido cor branca com ponta e bolsa em barra de 6 m diâmetro 50 mm</v>
          </cell>
          <cell r="C2119" t="str">
            <v>ML</v>
          </cell>
          <cell r="D2119">
            <v>5.0678999999999998</v>
          </cell>
        </row>
        <row r="2120">
          <cell r="A2120" t="str">
            <v>001.30.00220</v>
          </cell>
          <cell r="B2120" t="str">
            <v>Fornecimento e instalação de tubo de pvc rígido cor branca com ponta e bolsa em barra de 6m diâmetro 40 mm</v>
          </cell>
          <cell r="C2120" t="str">
            <v>ML</v>
          </cell>
          <cell r="D2120">
            <v>3.0478999999999998</v>
          </cell>
        </row>
        <row r="2121">
          <cell r="A2121" t="str">
            <v>001.30.00240</v>
          </cell>
          <cell r="B2121" t="str">
            <v>Fornecimento e instalação de curva 90º de pvc rígido cor branca  diam.100 mm</v>
          </cell>
          <cell r="C2121" t="str">
            <v>UN</v>
          </cell>
          <cell r="D2121">
            <v>12.165100000000001</v>
          </cell>
        </row>
        <row r="2122">
          <cell r="A2122" t="str">
            <v>001.30.00260</v>
          </cell>
          <cell r="B2122" t="str">
            <v>Fornecimento e instalação de curva 90º de pvc rígido cor branca  diam. 75 mm</v>
          </cell>
          <cell r="C2122" t="str">
            <v>UN</v>
          </cell>
          <cell r="D2122">
            <v>18</v>
          </cell>
        </row>
        <row r="2123">
          <cell r="A2123" t="str">
            <v>001.30.00280</v>
          </cell>
          <cell r="B2123" t="str">
            <v>Fornecimento e instalação de curva 90º de pvc rígido cor branca   diam. 50 mm</v>
          </cell>
          <cell r="C2123" t="str">
            <v>UN</v>
          </cell>
          <cell r="D2123">
            <v>4.9749999999999996</v>
          </cell>
        </row>
        <row r="2124">
          <cell r="A2124" t="str">
            <v>001.30.00300</v>
          </cell>
          <cell r="B2124" t="str">
            <v>Fornecimento e instalação de curva 90º de pvc rígido cor branca   diam. 150 mm</v>
          </cell>
          <cell r="C2124" t="str">
            <v>UN</v>
          </cell>
          <cell r="D2124">
            <v>52.0501</v>
          </cell>
        </row>
        <row r="2125">
          <cell r="A2125" t="str">
            <v>001.30.00320</v>
          </cell>
          <cell r="B2125" t="str">
            <v>Fornecimento e instalação de curva 45º de pvc rígido cor branca   diam.100 mm</v>
          </cell>
          <cell r="C2125" t="str">
            <v>UN</v>
          </cell>
          <cell r="D2125">
            <v>14.555099999999999</v>
          </cell>
        </row>
        <row r="2126">
          <cell r="A2126" t="str">
            <v>001.30.00340</v>
          </cell>
          <cell r="B2126" t="str">
            <v>Fornecimento e instalação de curva 45º de pvc rígido cor branca   diam. 75 mm</v>
          </cell>
          <cell r="C2126" t="str">
            <v>UN</v>
          </cell>
          <cell r="D2126">
            <v>12.6</v>
          </cell>
        </row>
        <row r="2127">
          <cell r="A2127" t="str">
            <v>001.30.00360</v>
          </cell>
          <cell r="B2127" t="str">
            <v>Fornecimento e instalação de curva 45º de pvc rígido cor branca   diam. 50 mm</v>
          </cell>
          <cell r="C2127" t="str">
            <v>UN</v>
          </cell>
          <cell r="D2127">
            <v>6.1150000000000002</v>
          </cell>
        </row>
        <row r="2128">
          <cell r="A2128" t="str">
            <v>001.30.00380</v>
          </cell>
          <cell r="B2128" t="str">
            <v>Fornecimento e instalação de joelho 90º com anel de borracha, de pvc rígido cor branca   diam. 50 mm</v>
          </cell>
          <cell r="C2128" t="str">
            <v>UN</v>
          </cell>
          <cell r="D2128">
            <v>2.0049999999999999</v>
          </cell>
        </row>
        <row r="2129">
          <cell r="A2129" t="str">
            <v>001.30.00400</v>
          </cell>
          <cell r="B2129" t="str">
            <v>Fornecimento e instalação de cap de pvc rígido cor branca   diam.100 mm</v>
          </cell>
          <cell r="C2129" t="str">
            <v>UN</v>
          </cell>
          <cell r="D2129">
            <v>7.7575000000000003</v>
          </cell>
        </row>
        <row r="2130">
          <cell r="A2130" t="str">
            <v>001.30.00420</v>
          </cell>
          <cell r="B2130" t="str">
            <v>Fornecimento e instalação de cap de pvc rígido cor branca  diam. 75 mm</v>
          </cell>
          <cell r="C2130" t="str">
            <v>UN</v>
          </cell>
          <cell r="D2130">
            <v>5.9200999999999997</v>
          </cell>
        </row>
        <row r="2131">
          <cell r="A2131" t="str">
            <v>001.30.00440</v>
          </cell>
          <cell r="B2131" t="str">
            <v>Fornecimento e instalação de cap de pvc rígido cor branca   diam. 50 mm</v>
          </cell>
          <cell r="C2131" t="str">
            <v>UN</v>
          </cell>
          <cell r="D2131">
            <v>3.6425000000000001</v>
          </cell>
        </row>
        <row r="2132">
          <cell r="A2132" t="str">
            <v>001.30.00460</v>
          </cell>
          <cell r="B2132" t="str">
            <v>Fornecimento e instalação de joelho 45º de pvc rígido cor branca  diam.100 mm</v>
          </cell>
          <cell r="C2132" t="str">
            <v>UN</v>
          </cell>
          <cell r="D2132">
            <v>6.1451000000000002</v>
          </cell>
        </row>
        <row r="2133">
          <cell r="A2133" t="str">
            <v>001.30.00480</v>
          </cell>
          <cell r="B2133" t="str">
            <v>Fornecimento e instalação de joelho 45º de pvc rígido cor branca   diam. 75 mm</v>
          </cell>
          <cell r="C2133" t="str">
            <v>UN</v>
          </cell>
          <cell r="D2133">
            <v>2.95</v>
          </cell>
        </row>
        <row r="2134">
          <cell r="A2134" t="str">
            <v>001.30.00500</v>
          </cell>
          <cell r="B2134" t="str">
            <v>Fornecimento e instalação de joelho 45º de pvc rígido cor branca   diam. 50 mm</v>
          </cell>
          <cell r="C2134" t="str">
            <v>UN</v>
          </cell>
          <cell r="D2134">
            <v>2.4750000000000001</v>
          </cell>
        </row>
        <row r="2135">
          <cell r="A2135" t="str">
            <v>001.30.00520</v>
          </cell>
          <cell r="B2135" t="str">
            <v>Fornecimento e instalação de junção invertida de pvc rígido branca para estoto primário diam. 50x50mm</v>
          </cell>
          <cell r="C2135" t="str">
            <v>UN</v>
          </cell>
          <cell r="D2135">
            <v>7.8875999999999999</v>
          </cell>
        </row>
        <row r="2136">
          <cell r="A2136" t="str">
            <v>001.30.00540</v>
          </cell>
          <cell r="B2136" t="str">
            <v>Fornecimento e instalação de junção dupla invertida de pvc rígido branca para esgoto primário diam. 100 x 50 mm</v>
          </cell>
          <cell r="C2136" t="str">
            <v>UN</v>
          </cell>
          <cell r="D2136">
            <v>11.172599999999999</v>
          </cell>
        </row>
        <row r="2137">
          <cell r="A2137" t="str">
            <v>001.30.00560</v>
          </cell>
          <cell r="B2137" t="str">
            <v>Fornecimento e instalação de junção simples de pvc rígido branca  diam. 100x100 mm</v>
          </cell>
          <cell r="C2137" t="str">
            <v>UN</v>
          </cell>
          <cell r="D2137">
            <v>13.762600000000001</v>
          </cell>
        </row>
        <row r="2138">
          <cell r="A2138" t="str">
            <v>001.30.00580</v>
          </cell>
          <cell r="B2138" t="str">
            <v>Fornecimento e instalação de junção simples de pvc rígido branca  diam. 100x75 mm</v>
          </cell>
          <cell r="C2138" t="str">
            <v>UN</v>
          </cell>
          <cell r="D2138">
            <v>9.7026000000000003</v>
          </cell>
        </row>
        <row r="2139">
          <cell r="A2139" t="str">
            <v>001.30.00600</v>
          </cell>
          <cell r="B2139" t="str">
            <v>Fornecimento e instalação de junção simples de pvc rígido branca  diam. 100x50 mm</v>
          </cell>
          <cell r="C2139" t="str">
            <v>UN</v>
          </cell>
          <cell r="D2139">
            <v>11.172599999999999</v>
          </cell>
        </row>
        <row r="2140">
          <cell r="A2140" t="str">
            <v>001.30.00620</v>
          </cell>
          <cell r="B2140" t="str">
            <v>Fornecimento e instalação de junção simples de pvc rígido branca  diam. 75x75 mm</v>
          </cell>
          <cell r="C2140" t="str">
            <v>UN</v>
          </cell>
          <cell r="D2140">
            <v>8.1576000000000004</v>
          </cell>
        </row>
        <row r="2141">
          <cell r="A2141" t="str">
            <v>001.30.00640</v>
          </cell>
          <cell r="B2141" t="str">
            <v>Fornecimento e instalação de junção simples de pvc rígido branca  diam. 75x50 mm</v>
          </cell>
          <cell r="C2141" t="str">
            <v>UN</v>
          </cell>
          <cell r="D2141">
            <v>6.2375999999999996</v>
          </cell>
        </row>
        <row r="2142">
          <cell r="A2142" t="str">
            <v>001.30.00660</v>
          </cell>
          <cell r="B2142" t="str">
            <v>Fornecimento e instalação de junção simples de pvc rígido branca  diam. 50x50 mm</v>
          </cell>
          <cell r="C2142" t="str">
            <v>UN</v>
          </cell>
          <cell r="D2142">
            <v>5.7976000000000001</v>
          </cell>
        </row>
        <row r="2143">
          <cell r="A2143" t="str">
            <v>001.30.00680</v>
          </cell>
          <cell r="B2143" t="str">
            <v>Fornecimento e instalação de joelho 90º de pvc rígido branco  diam.75 mm</v>
          </cell>
          <cell r="C2143" t="str">
            <v>UN</v>
          </cell>
          <cell r="D2143">
            <v>5.33</v>
          </cell>
        </row>
        <row r="2144">
          <cell r="A2144" t="str">
            <v>001.30.00700</v>
          </cell>
          <cell r="B2144" t="str">
            <v>Fornecimento e instalação de joelho 90º de pvc rígido branco  diam.50 mm</v>
          </cell>
          <cell r="C2144" t="str">
            <v>UN</v>
          </cell>
          <cell r="D2144">
            <v>3.2549999999999999</v>
          </cell>
        </row>
        <row r="2145">
          <cell r="A2145" t="str">
            <v>001.30.00720</v>
          </cell>
          <cell r="B2145" t="str">
            <v>Fornecimento e instalação de joelho 90º de pvc rígido branco  diam.100 mm</v>
          </cell>
          <cell r="C2145" t="str">
            <v>UN</v>
          </cell>
          <cell r="D2145">
            <v>6.8750999999999998</v>
          </cell>
        </row>
        <row r="2146">
          <cell r="A2146" t="str">
            <v>001.30.00740</v>
          </cell>
          <cell r="B2146" t="str">
            <v>Fornecimento e instalação de joelho 90º curto com visita pvc branco para esgoto primário diam.100x75 mm</v>
          </cell>
          <cell r="C2146" t="str">
            <v>UN</v>
          </cell>
          <cell r="D2146">
            <v>9.0251000000000001</v>
          </cell>
        </row>
        <row r="2147">
          <cell r="A2147" t="str">
            <v>001.30.00760</v>
          </cell>
          <cell r="B2147" t="str">
            <v>Fornecimento e instalação de joelho 90º curto com visita pvc branco para esgoto primário diam.100x50 mm</v>
          </cell>
          <cell r="C2147" t="str">
            <v>UN</v>
          </cell>
          <cell r="D2147">
            <v>8.4750999999999994</v>
          </cell>
        </row>
        <row r="2148">
          <cell r="A2148" t="str">
            <v>001.30.00780</v>
          </cell>
          <cell r="B2148" t="str">
            <v>Fornecimento e instalação de joelho 90º curto com visita pvc branco para esgoto primário diam. 75x50 mm</v>
          </cell>
          <cell r="C2148" t="str">
            <v>UN</v>
          </cell>
          <cell r="D2148">
            <v>6</v>
          </cell>
        </row>
        <row r="2149">
          <cell r="A2149" t="str">
            <v>001.30.00800</v>
          </cell>
          <cell r="B2149" t="str">
            <v>Fornecimento e instalação de tee sanitário curto com visita pvc branco  diam.100x100 mm</v>
          </cell>
          <cell r="C2149" t="str">
            <v>UN</v>
          </cell>
          <cell r="D2149">
            <v>8.4626000000000001</v>
          </cell>
        </row>
        <row r="2150">
          <cell r="A2150" t="str">
            <v>001.30.00820</v>
          </cell>
          <cell r="B2150" t="str">
            <v>Fornecimento e instalação de tee sanitário curto com visita pvc branco  diam. 100x75 mm</v>
          </cell>
          <cell r="C2150" t="str">
            <v>UN</v>
          </cell>
          <cell r="D2150">
            <v>17.442599999999999</v>
          </cell>
        </row>
        <row r="2151">
          <cell r="A2151" t="str">
            <v>001.30.00840</v>
          </cell>
          <cell r="B2151" t="str">
            <v>Fornecimento e instalação de tee sanitário curto com visita pvc branco  diam. 100x50 mm</v>
          </cell>
          <cell r="C2151" t="str">
            <v>UN</v>
          </cell>
          <cell r="D2151">
            <v>8.1984999999999992</v>
          </cell>
        </row>
        <row r="2152">
          <cell r="A2152" t="str">
            <v>001.30.00860</v>
          </cell>
          <cell r="B2152" t="str">
            <v>Fornecimento e instalação de tee sanitário curto com visita pvc branco  diam. 75x75 mm</v>
          </cell>
          <cell r="C2152" t="str">
            <v>UN</v>
          </cell>
          <cell r="D2152">
            <v>6.9500999999999999</v>
          </cell>
        </row>
        <row r="2153">
          <cell r="A2153" t="str">
            <v>001.30.00880</v>
          </cell>
          <cell r="B2153" t="str">
            <v>Fornecimento e instalação de tee sanitário curto com visita pvc branco  diam. 75x50 mm</v>
          </cell>
          <cell r="C2153" t="str">
            <v>UN</v>
          </cell>
          <cell r="D2153">
            <v>6.4401000000000002</v>
          </cell>
        </row>
        <row r="2154">
          <cell r="A2154" t="str">
            <v>001.30.00900</v>
          </cell>
          <cell r="B2154" t="str">
            <v>Fornecimento e instalação de tee sanitário curto com visita pvc branco  diam. 50x50 mm</v>
          </cell>
          <cell r="C2154" t="str">
            <v>UN</v>
          </cell>
          <cell r="D2154">
            <v>4.3875999999999999</v>
          </cell>
        </row>
        <row r="2155">
          <cell r="A2155" t="str">
            <v>001.30.00920</v>
          </cell>
          <cell r="B2155" t="str">
            <v>Fornecimento e instalação de tee sanitário curto com visita pvc branco para esgoto primário diam.150mm</v>
          </cell>
          <cell r="C2155" t="str">
            <v>UN</v>
          </cell>
          <cell r="D2155">
            <v>39.6676</v>
          </cell>
        </row>
        <row r="2156">
          <cell r="A2156" t="str">
            <v>001.30.00940</v>
          </cell>
          <cell r="B2156" t="str">
            <v>Fornecimento e instalação de luva simpels pvc branco  diam.100 mm</v>
          </cell>
          <cell r="C2156" t="str">
            <v>UN</v>
          </cell>
          <cell r="D2156">
            <v>5.2150999999999996</v>
          </cell>
        </row>
        <row r="2157">
          <cell r="A2157" t="str">
            <v>001.30.00960</v>
          </cell>
          <cell r="B2157" t="str">
            <v>Fornecimento e instalação de luva simpels pvc branco  diam.75 mm</v>
          </cell>
          <cell r="C2157" t="str">
            <v>UN</v>
          </cell>
          <cell r="D2157">
            <v>3.51</v>
          </cell>
        </row>
        <row r="2158">
          <cell r="A2158" t="str">
            <v>001.30.00980</v>
          </cell>
          <cell r="B2158" t="str">
            <v>Fornecimento e instalação de luva simpels pvc branco  diam. 50 mm</v>
          </cell>
          <cell r="C2158" t="str">
            <v>UN</v>
          </cell>
          <cell r="D2158">
            <v>2.7050000000000001</v>
          </cell>
        </row>
        <row r="2159">
          <cell r="A2159" t="str">
            <v>001.30.01000</v>
          </cell>
          <cell r="B2159" t="str">
            <v>Fornecimento e instalação de luva simpels pvc branco  diam.150 mm</v>
          </cell>
          <cell r="C2159" t="str">
            <v>UN</v>
          </cell>
          <cell r="D2159">
            <v>23.420100000000001</v>
          </cell>
        </row>
        <row r="2160">
          <cell r="A2160" t="str">
            <v>001.30.01020</v>
          </cell>
          <cell r="B2160" t="str">
            <v>Fornecimento e instalação de luva dupla pvc branco  diam.100 mm</v>
          </cell>
          <cell r="C2160" t="str">
            <v>UN</v>
          </cell>
          <cell r="D2160">
            <v>3.7050999999999998</v>
          </cell>
        </row>
        <row r="2161">
          <cell r="A2161" t="str">
            <v>001.30.01040</v>
          </cell>
          <cell r="B2161" t="str">
            <v>Fornecimento e instalação de luva dupla pvc branco  diam.50 mm</v>
          </cell>
          <cell r="C2161" t="str">
            <v>UN</v>
          </cell>
          <cell r="D2161">
            <v>1.9650000000000001</v>
          </cell>
        </row>
        <row r="2162">
          <cell r="A2162" t="str">
            <v>001.30.01060</v>
          </cell>
          <cell r="B2162" t="str">
            <v>Fornecimento e instalação de luva dupla pvc branco  diam.75 mm</v>
          </cell>
          <cell r="C2162" t="str">
            <v>UN</v>
          </cell>
          <cell r="D2162">
            <v>3.03</v>
          </cell>
        </row>
        <row r="2163">
          <cell r="A2163" t="str">
            <v>001.30.01080</v>
          </cell>
          <cell r="B2163" t="str">
            <v>Fornecimento e instalação de luva dupla pvc branco  diam.150 mm</v>
          </cell>
          <cell r="C2163" t="str">
            <v>UN</v>
          </cell>
          <cell r="D2163">
            <v>2.2501000000000002</v>
          </cell>
        </row>
        <row r="2164">
          <cell r="A2164" t="str">
            <v>001.30.01100</v>
          </cell>
          <cell r="B2164" t="str">
            <v>Fornecimento e instalação de luva de correr pvc branco  diam.100 mm</v>
          </cell>
          <cell r="C2164" t="str">
            <v>UN</v>
          </cell>
          <cell r="D2164">
            <v>1.8751</v>
          </cell>
        </row>
        <row r="2165">
          <cell r="A2165" t="str">
            <v>001.30.01120</v>
          </cell>
          <cell r="B2165" t="str">
            <v>Fornecimento e instalação de luva de correr pvc branco  diam. 75 mm</v>
          </cell>
          <cell r="C2165" t="str">
            <v>UN</v>
          </cell>
          <cell r="D2165">
            <v>6.45</v>
          </cell>
        </row>
        <row r="2166">
          <cell r="A2166" t="str">
            <v>001.30.01140</v>
          </cell>
          <cell r="B2166" t="str">
            <v>Fornecimento e instalação de luva de correr pvc branco  diam. 50 mm</v>
          </cell>
          <cell r="C2166" t="str">
            <v>UN</v>
          </cell>
          <cell r="D2166">
            <v>5.0750000000000002</v>
          </cell>
        </row>
        <row r="2167">
          <cell r="A2167" t="str">
            <v>001.30.01160</v>
          </cell>
          <cell r="B2167" t="str">
            <v>Fornecimento e instalação de plug pvc diam. 100 mm</v>
          </cell>
          <cell r="C2167" t="str">
            <v>UN</v>
          </cell>
          <cell r="D2167">
            <v>3.1875</v>
          </cell>
        </row>
        <row r="2168">
          <cell r="A2168" t="str">
            <v>001.30.01180</v>
          </cell>
          <cell r="B2168" t="str">
            <v>Fornecimento e instalação de plug de pvc diam.75 mm</v>
          </cell>
          <cell r="C2168" t="str">
            <v>UN</v>
          </cell>
          <cell r="D2168">
            <v>2.4601000000000002</v>
          </cell>
        </row>
        <row r="2169">
          <cell r="A2169" t="str">
            <v>001.30.01200</v>
          </cell>
          <cell r="B2169" t="str">
            <v>Fornecimento e instalação de plug de pvc branco diam. 50 mm</v>
          </cell>
          <cell r="C2169" t="str">
            <v>UN</v>
          </cell>
          <cell r="D2169">
            <v>1.5325</v>
          </cell>
        </row>
        <row r="2170">
          <cell r="A2170" t="str">
            <v>001.30.01220</v>
          </cell>
          <cell r="B2170" t="str">
            <v>Fornecimento e instalação de redução excêntrica pvc branco  diam.100x75 mm</v>
          </cell>
          <cell r="C2170" t="str">
            <v>UN</v>
          </cell>
          <cell r="D2170">
            <v>6.2701000000000002</v>
          </cell>
        </row>
        <row r="2171">
          <cell r="A2171" t="str">
            <v>001.30.01240</v>
          </cell>
          <cell r="B2171" t="str">
            <v>Fornecimento e instalação de redução excêntrica pvc branco  diam.100x50 mm</v>
          </cell>
          <cell r="C2171" t="str">
            <v>UN</v>
          </cell>
          <cell r="D2171">
            <v>5.7100999999999997</v>
          </cell>
        </row>
        <row r="2172">
          <cell r="A2172" t="str">
            <v>001.30.01260</v>
          </cell>
          <cell r="B2172" t="str">
            <v>Fornecimento e instalação de redução excêntrica pvc branco  diam.75x50 mm</v>
          </cell>
          <cell r="C2172" t="str">
            <v>UN</v>
          </cell>
          <cell r="D2172">
            <v>3.5649999999999999</v>
          </cell>
        </row>
        <row r="2173">
          <cell r="A2173" t="str">
            <v>001.30.01280</v>
          </cell>
          <cell r="B2173" t="str">
            <v>Fornecimento e instalação de vedação de saída de vaso sanitário pvc branco  diam.100 mm</v>
          </cell>
          <cell r="C2173" t="str">
            <v>UN</v>
          </cell>
          <cell r="D2173">
            <v>4.7750000000000004</v>
          </cell>
        </row>
        <row r="2174">
          <cell r="A2174" t="str">
            <v>001.30.01300</v>
          </cell>
          <cell r="B2174" t="str">
            <v>Fornecimento e instalação de terminal de ventilação pvc branco  diam.50 mm</v>
          </cell>
          <cell r="C2174" t="str">
            <v>UN</v>
          </cell>
          <cell r="D2174">
            <v>5.4649999999999999</v>
          </cell>
        </row>
        <row r="2175">
          <cell r="A2175" t="str">
            <v>001.30.01320</v>
          </cell>
          <cell r="B2175" t="str">
            <v>Fornecimento e instalação de curva 90º de pvc rígido cor branca diam.40 mm</v>
          </cell>
          <cell r="C2175" t="str">
            <v>UN</v>
          </cell>
          <cell r="D2175">
            <v>2.7749999999999999</v>
          </cell>
        </row>
        <row r="2176">
          <cell r="A2176" t="str">
            <v>001.30.01340</v>
          </cell>
          <cell r="B2176" t="str">
            <v>Fornecimento e instalação de curva 45º de pvc rígido cor branca  diam.40 mm</v>
          </cell>
          <cell r="C2176" t="str">
            <v>UN</v>
          </cell>
          <cell r="D2176">
            <v>2.7749999999999999</v>
          </cell>
        </row>
        <row r="2177">
          <cell r="A2177" t="str">
            <v>001.30.01360</v>
          </cell>
          <cell r="B2177" t="str">
            <v>Fornecimento e instalação de joelho 90º pvc rígido cor branca  diam.40 mm</v>
          </cell>
          <cell r="C2177" t="str">
            <v>UN</v>
          </cell>
          <cell r="D2177">
            <v>2.2450000000000001</v>
          </cell>
        </row>
        <row r="2178">
          <cell r="A2178" t="str">
            <v>001.30.01380</v>
          </cell>
          <cell r="B2178" t="str">
            <v>Fornecimento e instalação de joelho 45º pvc rígido cor branca  diam.40 mm</v>
          </cell>
          <cell r="C2178" t="str">
            <v>UN</v>
          </cell>
          <cell r="D2178">
            <v>2.4649999999999999</v>
          </cell>
        </row>
        <row r="2179">
          <cell r="A2179" t="str">
            <v>001.30.01400</v>
          </cell>
          <cell r="B2179" t="str">
            <v>Fornecimento e instalação de tee 90º pvc rígido cor branca diam.40 mm</v>
          </cell>
          <cell r="C2179" t="str">
            <v>UN</v>
          </cell>
          <cell r="D2179">
            <v>2.8875999999999999</v>
          </cell>
        </row>
        <row r="2180">
          <cell r="A2180" t="str">
            <v>001.30.01420</v>
          </cell>
          <cell r="B2180" t="str">
            <v>Fornecimento e instalação de junção 45º pvc rígido cor branca  diam.40 mm</v>
          </cell>
          <cell r="C2180" t="str">
            <v>UN</v>
          </cell>
          <cell r="D2180">
            <v>3.7475999999999998</v>
          </cell>
        </row>
        <row r="2181">
          <cell r="A2181" t="str">
            <v>001.30.01440</v>
          </cell>
          <cell r="B2181" t="str">
            <v>Fornecimento e instalação de bucha de redução pvc rígido cor branca para esgoto secundário diam.50 mm x 40 mm</v>
          </cell>
          <cell r="C2181" t="str">
            <v>UN</v>
          </cell>
          <cell r="D2181">
            <v>2.0550000000000002</v>
          </cell>
        </row>
        <row r="2182">
          <cell r="A2182" t="str">
            <v>001.30.01460</v>
          </cell>
          <cell r="B2182" t="str">
            <v>Fornecimento e instalação de joelho 90º soldável e com rosca cor branca para esgoto secundário diam.40 mm x 1.1/4 pol</v>
          </cell>
          <cell r="C2182" t="str">
            <v>UN</v>
          </cell>
          <cell r="D2182">
            <v>2.1549999999999998</v>
          </cell>
        </row>
        <row r="2183">
          <cell r="A2183" t="str">
            <v>001.30.01480</v>
          </cell>
          <cell r="B2183" t="str">
            <v>Fornecimento e instalação de joelho 90º soldável e com rosca cor branca para esgoto sedundário diam.40 mm x 1 pol</v>
          </cell>
          <cell r="C2183" t="str">
            <v>UN</v>
          </cell>
          <cell r="D2183">
            <v>2.5049999999999999</v>
          </cell>
        </row>
        <row r="2184">
          <cell r="A2184" t="str">
            <v>001.30.01500</v>
          </cell>
          <cell r="B2184" t="str">
            <v>Fornecimento e instalação de adaptador para sifão soldável pvc rígido cor branca para esgoto secundário diam.1.1/4 x 40 mm</v>
          </cell>
          <cell r="C2184" t="str">
            <v>UN</v>
          </cell>
          <cell r="D2184">
            <v>1.635</v>
          </cell>
        </row>
        <row r="2185">
          <cell r="A2185" t="str">
            <v>001.30.01520</v>
          </cell>
          <cell r="B2185" t="str">
            <v>Fornecimento e instalação de adaptador para junta elástica para sifão metálico pvc rígido cor branca para esgoto secundário diam.1 1/2 x 40 mm</v>
          </cell>
          <cell r="C2185" t="str">
            <v>UN</v>
          </cell>
          <cell r="D2185">
            <v>1.835</v>
          </cell>
        </row>
        <row r="2186">
          <cell r="A2186" t="str">
            <v>001.30.01540</v>
          </cell>
          <cell r="B2186" t="str">
            <v>Fornecimento e instalação de luva pvc rígido cor branca para estogo secundário diam.40 mm</v>
          </cell>
          <cell r="C2186" t="str">
            <v>UN</v>
          </cell>
          <cell r="D2186">
            <v>1.625</v>
          </cell>
        </row>
        <row r="2187">
          <cell r="A2187" t="str">
            <v>001.30.01560</v>
          </cell>
          <cell r="B2187" t="str">
            <v>Fornecimento e instalação de caixa sifonada de de pvc rígido branco para esgoto secundário  com saída de 50 mm e grelha quadrada simples n.101 150x150x50 mm</v>
          </cell>
          <cell r="C2187" t="str">
            <v>UN</v>
          </cell>
          <cell r="D2187">
            <v>40.3339</v>
          </cell>
        </row>
        <row r="2188">
          <cell r="A2188" t="str">
            <v>001.30.01580</v>
          </cell>
          <cell r="B2188" t="str">
            <v>Fornecimento e instalação de caixa sifonada de de pvc rígido branco para esgoto secundário  com grelha quadrada e porta grelha cromados n.103 150x150x50 mm</v>
          </cell>
          <cell r="C2188" t="str">
            <v>UN</v>
          </cell>
          <cell r="D2188">
            <v>19.783899999999999</v>
          </cell>
        </row>
        <row r="2189">
          <cell r="A2189" t="str">
            <v>001.30.01600</v>
          </cell>
          <cell r="B2189" t="str">
            <v>Fornecimento e instalação de caixa sifonada de de pvc rígido branco para esgoto secundário  com grelha quadrada cromada e porta grelha cinza n.105 150x150x50 mm</v>
          </cell>
          <cell r="C2189" t="str">
            <v>UN</v>
          </cell>
          <cell r="D2189">
            <v>19.783899999999999</v>
          </cell>
        </row>
        <row r="2190">
          <cell r="A2190" t="str">
            <v>001.30.01620</v>
          </cell>
          <cell r="B2190" t="str">
            <v>Fornecimento e instalação de caixa sifonada de de pvc rígido branco para esgoto secundário  com grelha redonda simples n.102 150x150x50 mm</v>
          </cell>
          <cell r="C2190" t="str">
            <v>UN</v>
          </cell>
          <cell r="D2190">
            <v>18.793900000000001</v>
          </cell>
        </row>
        <row r="2191">
          <cell r="A2191" t="str">
            <v>001.30.01640</v>
          </cell>
          <cell r="B2191" t="str">
            <v>Fornecimento e instalação de caixa sifonada de de pvc rígido branco para esgoto secundário  com grelha redonda cromada e porta grelha cromados n.104 150x150x50 mm</v>
          </cell>
          <cell r="C2191" t="str">
            <v>UN</v>
          </cell>
          <cell r="D2191">
            <v>18.793900000000001</v>
          </cell>
        </row>
        <row r="2192">
          <cell r="A2192" t="str">
            <v>001.30.01660</v>
          </cell>
          <cell r="B2192" t="str">
            <v>Fornecimento e instalação de caixa sifonada de de pvc rígido branco para esgoto secundário  com grelha redonda cromada e porta grelha cromados n.106 150x150x50 mm</v>
          </cell>
          <cell r="C2192" t="str">
            <v>UN</v>
          </cell>
          <cell r="D2192">
            <v>18.793900000000001</v>
          </cell>
        </row>
        <row r="2193">
          <cell r="A2193" t="str">
            <v>001.30.01680</v>
          </cell>
          <cell r="B2193" t="str">
            <v>Fornecimento e instalações de caixa sifonada de de pvc rígido branco para esgoto secundário  com grelha redonda cromada e porta grelha cromados n.104 150x185x75 mm</v>
          </cell>
          <cell r="C2193" t="str">
            <v>UN</v>
          </cell>
          <cell r="D2193">
            <v>19.713899999999999</v>
          </cell>
        </row>
        <row r="2194">
          <cell r="A2194" t="str">
            <v>001.30.01700</v>
          </cell>
          <cell r="B2194" t="str">
            <v>Fornecimento e instalação de caixa sifonada de de pvc rígido branco para esgoto secundário  com saída de 40 mm e uma só entrada com grelha redonda simples n.31 100x100x40 mm</v>
          </cell>
          <cell r="C2194" t="str">
            <v>UN</v>
          </cell>
          <cell r="D2194">
            <v>14.2439</v>
          </cell>
        </row>
        <row r="2195">
          <cell r="A2195" t="str">
            <v>001.30.01720</v>
          </cell>
          <cell r="B2195" t="str">
            <v>Fornecimento e instalação de caixa sifonada de de pvc rígido branco para esgoto secundário  com grelha redonda e porta grelha cromados n.34 100x100x40 mm</v>
          </cell>
          <cell r="C2195" t="str">
            <v>UN</v>
          </cell>
          <cell r="D2195">
            <v>14.2439</v>
          </cell>
        </row>
        <row r="2196">
          <cell r="A2196" t="str">
            <v>001.30.01740</v>
          </cell>
          <cell r="B2196" t="str">
            <v>Fornecimento e instalação de caixa sifonada de de pvc rígido branco para esgoto secundário  com grelha redonda e porta grelha cromados n.64 100x100x40 mm</v>
          </cell>
          <cell r="C2196" t="str">
            <v>UN</v>
          </cell>
          <cell r="D2196">
            <v>16.1739</v>
          </cell>
        </row>
        <row r="2197">
          <cell r="A2197" t="str">
            <v>001.30.01760</v>
          </cell>
          <cell r="B2197" t="str">
            <v>Fornecimento e instalação de caixa  seca de pvc rígido branco e cinza p/ esgoto secundário de altura regulável para cozinha, box, terraço redonda c/grelha simples n 142 100x100x40 mm</v>
          </cell>
          <cell r="C2197" t="str">
            <v>UN</v>
          </cell>
          <cell r="D2197">
            <v>20.093900000000001</v>
          </cell>
        </row>
        <row r="2198">
          <cell r="A2198" t="str">
            <v>001.30.01780</v>
          </cell>
          <cell r="B2198" t="str">
            <v>Fornecimento e instalação de caixa seca de pvc rígido branco e cinza p/ esgoto secundário de altura regulável para cozinha, box, terraço redonda c/grelha e porta grelha cromados n 144 100x100x40 mm</v>
          </cell>
          <cell r="C2198" t="str">
            <v>UN</v>
          </cell>
          <cell r="D2198">
            <v>16.1739</v>
          </cell>
        </row>
        <row r="2199">
          <cell r="A2199" t="str">
            <v>001.30.01800</v>
          </cell>
          <cell r="B2199" t="str">
            <v>Fornecimento e instalação de caixa seca de pvc rígido branco e cinza p/ esgoto secundário de altura regulável para cozinha, box, terraço redonda c/grelha cromada e porta grelha cinza n.146 100x100x40 mm</v>
          </cell>
          <cell r="C2199" t="str">
            <v>UN</v>
          </cell>
          <cell r="D2199">
            <v>16.1739</v>
          </cell>
        </row>
        <row r="2200">
          <cell r="A2200" t="str">
            <v>001.30.01820</v>
          </cell>
          <cell r="B2200" t="str">
            <v>Fornecimento e instalação de ralo seco pvc branco e cinza rígido p/ esgoto secundário,para terraço, quadrado c/grelha simples n 211 100x53x40 mm</v>
          </cell>
          <cell r="C2200" t="str">
            <v>UN</v>
          </cell>
          <cell r="D2200">
            <v>12.453900000000001</v>
          </cell>
        </row>
        <row r="2201">
          <cell r="A2201" t="str">
            <v>001.30.01840</v>
          </cell>
          <cell r="B2201" t="str">
            <v>Fornecimento e instalação de ralo seco pvc branco e cinza rígido p/ esgoto secundário,para terraço, quadrado c/grelha cromada n 215 100x53x40 mm</v>
          </cell>
          <cell r="C2201" t="str">
            <v>UN</v>
          </cell>
          <cell r="D2201">
            <v>12.453900000000001</v>
          </cell>
        </row>
        <row r="2202">
          <cell r="A2202" t="str">
            <v>001.30.01860</v>
          </cell>
          <cell r="B2202" t="str">
            <v>Fornecimento e instalação de ralo seco pvc branco e cinza rígido p/ esgoto secundário, c/ saída soldável, c/ grelha simples n.5 100x40 mm</v>
          </cell>
          <cell r="C2202" t="str">
            <v>UN</v>
          </cell>
          <cell r="D2202">
            <v>11.2239</v>
          </cell>
        </row>
        <row r="2203">
          <cell r="A2203" t="str">
            <v>001.30.01880</v>
          </cell>
          <cell r="B2203" t="str">
            <v>Fornecimento e instalação de ralo seco pvc branco e cinza rígido p/ esgoto secundário,c/ saída soldável  c/ grelha cromada n.6 100x40 mm</v>
          </cell>
          <cell r="C2203" t="str">
            <v>UN</v>
          </cell>
          <cell r="D2203">
            <v>12.4839</v>
          </cell>
        </row>
        <row r="2204">
          <cell r="A2204" t="str">
            <v>001.30.01900</v>
          </cell>
          <cell r="B2204" t="str">
            <v>Fornecimento e instalação de ralo sifonado cônico pvc branco e cinza rígido p/ esgoto secundário, de altura regulável c/grelha simples n 212 100x40 mm</v>
          </cell>
          <cell r="C2204" t="str">
            <v>UN</v>
          </cell>
          <cell r="D2204">
            <v>16.823899999999998</v>
          </cell>
        </row>
        <row r="2205">
          <cell r="A2205" t="str">
            <v>001.30.01920</v>
          </cell>
          <cell r="B2205" t="str">
            <v>Fornecimento e instalação de ralo sifonado cônico pvc branco e cinza rígido p/ esgoto secundário, de altura regulável c/grelha cromada n 216 100x40 mm</v>
          </cell>
          <cell r="C2205" t="str">
            <v>UN</v>
          </cell>
          <cell r="D2205">
            <v>12.4839</v>
          </cell>
        </row>
        <row r="2206">
          <cell r="A2206" t="str">
            <v>001.30.01940</v>
          </cell>
          <cell r="B2206" t="str">
            <v>Fornecimento e instalaçao de ralo sifonado pvc branco e cinza rígido p/ esgoto secundário, para terraço, quadrado com grelha simples n. 201 100 x 53 x 40 mm</v>
          </cell>
          <cell r="C2206" t="str">
            <v>UN</v>
          </cell>
          <cell r="D2206">
            <v>11.603899999999999</v>
          </cell>
        </row>
        <row r="2207">
          <cell r="A2207" t="str">
            <v>001.30.01960</v>
          </cell>
          <cell r="B2207" t="str">
            <v>Fornecimento e instalação de ralo sifonado pvc branco e cinza rígido p/ esgoto secundário, para terraço, quadrado com grelha cromada n. 205 100 x 53 x 40 mm</v>
          </cell>
          <cell r="C2207" t="str">
            <v>UN</v>
          </cell>
          <cell r="D2207">
            <v>12.4839</v>
          </cell>
        </row>
        <row r="2208">
          <cell r="A2208" t="str">
            <v>001.30.01980</v>
          </cell>
          <cell r="B2208" t="str">
            <v>Execução de caixa de inspeção em alvenaria de tijolos maciço de 1/2 vez revestida com argamassa de cimento e areia 1:3 com impermeabilizante e tampa de concreto armado (e=0.07 m) conf. det. n. 15 dop 20 x 20 x 20 cm</v>
          </cell>
          <cell r="C2208" t="str">
            <v>UN</v>
          </cell>
          <cell r="D2208">
            <v>23.147200000000002</v>
          </cell>
        </row>
        <row r="2209">
          <cell r="A2209" t="str">
            <v>001.30.02000</v>
          </cell>
          <cell r="B2209" t="str">
            <v>Execução de caixa de inspeção em alvenaria de tijolos maciço de 1/2 vez revestida com argamassa de cimento e areia 1:3 com impermeabilizante e tampa de concreto armado (e=0.07 m) conf. det. n. 15 dop 30 x 30 x 20 cm</v>
          </cell>
          <cell r="C2209" t="str">
            <v>UN</v>
          </cell>
          <cell r="D2209">
            <v>39.912100000000002</v>
          </cell>
        </row>
        <row r="2210">
          <cell r="A2210" t="str">
            <v>001.30.02020</v>
          </cell>
          <cell r="B2210" t="str">
            <v>Execução de caixa de inspeção em alvenaria de tijolos maciço de 1/2 vez revestida com argamassa de cimento e areia 1:3 com impermeabilizante e tampa de concreto armado (e=0.07 m) conf. det. n. 15 dop 40 x 40 x 30 cm</v>
          </cell>
          <cell r="C2210" t="str">
            <v>UN</v>
          </cell>
          <cell r="D2210">
            <v>54.694499999999998</v>
          </cell>
        </row>
        <row r="2211">
          <cell r="A2211" t="str">
            <v>001.30.02040</v>
          </cell>
          <cell r="B2211" t="str">
            <v>Execução de caixa de inspeção em alvenaria de tijolos maciço de 1/2 vez revestida com argamassa de cimento e areia 1:3 com impermeabilizante e tampa de concreto armado (e=0.07 m) conf. det. n. 15 dop 50 x 50 x 30 cm</v>
          </cell>
          <cell r="C2211" t="str">
            <v>UN</v>
          </cell>
          <cell r="D2211">
            <v>66.542299999999997</v>
          </cell>
        </row>
        <row r="2212">
          <cell r="A2212" t="str">
            <v>001.30.02060</v>
          </cell>
          <cell r="B2212" t="str">
            <v>Execução de caixa de inspeção em alvenaria de tijolos maciço de 1/2 vez revestida com argamassa de cimento e areia 1:3 com impermeabilizante e tampa de concreto armado (e=0.07 m) conf. det. n. 15 dop 50 x 50 x 40 cm</v>
          </cell>
          <cell r="C2212" t="str">
            <v>UN</v>
          </cell>
          <cell r="D2212">
            <v>71.517099999999999</v>
          </cell>
        </row>
        <row r="2213">
          <cell r="A2213" t="str">
            <v>001.30.02080</v>
          </cell>
          <cell r="B2213" t="str">
            <v>Execução de caixa de inspeção em alvenaria de tijolos maciço de 1/2 vez revestida com argamassa de cimento e areia 1:3 com impermeabilizante e tampa de concreto armado (e=0.07 m) conf. det. n. 15 dop 60 x 60 x 50 cm</v>
          </cell>
          <cell r="C2213" t="str">
            <v>UN</v>
          </cell>
          <cell r="D2213">
            <v>97.740899999999996</v>
          </cell>
        </row>
        <row r="2214">
          <cell r="A2214" t="str">
            <v>001.30.02100</v>
          </cell>
          <cell r="B2214" t="str">
            <v>Execução de caixa de inspeção em alvenaria de tijolos maciço de 1/2 vez revestida com argamassa de cimento e areia 1:3 com impermeabilizante e tampa de concreto armado (e=0.07 m) conf. det. n. 15 dop 70 x 70 x 50 cm</v>
          </cell>
          <cell r="C2214" t="str">
            <v>UN</v>
          </cell>
          <cell r="D2214">
            <v>113.5551</v>
          </cell>
        </row>
        <row r="2215">
          <cell r="A2215" t="str">
            <v>001.30.02120</v>
          </cell>
          <cell r="B2215" t="str">
            <v>Execução de caixa de inspeção em alvenaria de tijolos maciço de 1/2 vez revestida com argamassa de cimento e areia 1:3 com impermeabilizante e tampa de concreto armado (e=0.07 m) conf. det. n. 15 dop 80 x 80 x 60 cm</v>
          </cell>
          <cell r="C2215" t="str">
            <v>UN</v>
          </cell>
          <cell r="D2215">
            <v>144.86179999999999</v>
          </cell>
        </row>
        <row r="2216">
          <cell r="A2216" t="str">
            <v>001.30.02140</v>
          </cell>
          <cell r="B2216" t="str">
            <v>Execução de caixa de inspeção em alvenaria de tijolos maciço de 1/2 vez revestida com argamassa de cimento e areia 1:3 com impermeabilizante e tampa de concreto armado (e=0.07 m) conf. det. n. 15 dop 100 x 100 x 100 cm</v>
          </cell>
          <cell r="C2216" t="str">
            <v>UN</v>
          </cell>
          <cell r="D2216">
            <v>241.42449999999999</v>
          </cell>
        </row>
        <row r="2217">
          <cell r="A2217" t="str">
            <v>001.30.02160</v>
          </cell>
          <cell r="B2217" t="str">
            <v>Execução de caixa de gordura de pvc (cx43)c/tampa de pvc 250x230x75mm</v>
          </cell>
          <cell r="C2217" t="str">
            <v>UN</v>
          </cell>
          <cell r="D2217">
            <v>21.7239</v>
          </cell>
        </row>
        <row r="2218">
          <cell r="A2218" t="str">
            <v>001.30.02180</v>
          </cell>
          <cell r="B2218" t="str">
            <v>Execução de fossa séptica conf. det. n. 8 dop 1.60 x 0.80 x 1.50 m</v>
          </cell>
          <cell r="C2218" t="str">
            <v>UN</v>
          </cell>
          <cell r="D2218">
            <v>945.83799999999997</v>
          </cell>
        </row>
        <row r="2219">
          <cell r="A2219" t="str">
            <v>001.30.02200</v>
          </cell>
          <cell r="B2219" t="str">
            <v>Execução de fossa séptica conf. det. n. 2.50 x 1.15 x 1.50 m</v>
          </cell>
          <cell r="C2219" t="str">
            <v>UN</v>
          </cell>
          <cell r="D2219">
            <v>1505.8289</v>
          </cell>
        </row>
        <row r="2220">
          <cell r="A2220" t="str">
            <v>001.30.02220</v>
          </cell>
          <cell r="B2220" t="str">
            <v>Execução de fossa séptica conf. det. n. 2.80 x 1.40 x 1.50 m</v>
          </cell>
          <cell r="C2220" t="str">
            <v>UN</v>
          </cell>
          <cell r="D2220">
            <v>1730.8420000000001</v>
          </cell>
        </row>
        <row r="2221">
          <cell r="A2221" t="str">
            <v>001.30.02240</v>
          </cell>
          <cell r="B2221" t="str">
            <v>Execução de fossa séptica conf. det. n. 3.20 x 1.60 x 1.80 m</v>
          </cell>
          <cell r="C2221" t="str">
            <v>UN</v>
          </cell>
          <cell r="D2221">
            <v>2305.0391</v>
          </cell>
        </row>
        <row r="2222">
          <cell r="A2222" t="str">
            <v>001.30.02260</v>
          </cell>
          <cell r="B2222" t="str">
            <v>Execução de fossa séptica conf. det. n. 3.50 x 1.75 x 1.80 m</v>
          </cell>
          <cell r="C2222" t="str">
            <v>UN</v>
          </cell>
          <cell r="D2222">
            <v>2623.4263000000001</v>
          </cell>
        </row>
        <row r="2223">
          <cell r="A2223" t="str">
            <v>001.30.02280</v>
          </cell>
          <cell r="B2223" t="str">
            <v>Execução de fossa séptica conf. det. n. 3.80 x 1.90 x 1.80 m</v>
          </cell>
          <cell r="C2223" t="str">
            <v>UN</v>
          </cell>
          <cell r="D2223">
            <v>2828.1091999999999</v>
          </cell>
        </row>
        <row r="2224">
          <cell r="A2224" t="str">
            <v>001.30.02300</v>
          </cell>
          <cell r="B2224" t="str">
            <v>Execução de fossa séptica conf. det. n. 4.00 x 2.00 x 1.80 m</v>
          </cell>
          <cell r="C2224" t="str">
            <v>UN</v>
          </cell>
          <cell r="D2224">
            <v>3054.4863999999998</v>
          </cell>
        </row>
        <row r="2225">
          <cell r="A2225" t="str">
            <v>001.30.02320</v>
          </cell>
          <cell r="B2225" t="str">
            <v>Execução de sumidouro conf. det. n. 12 dop diâmetro 1.50 m e profundidade 1.50 m</v>
          </cell>
          <cell r="C2225" t="str">
            <v>UN</v>
          </cell>
          <cell r="D2225">
            <v>560.08249999999998</v>
          </cell>
        </row>
        <row r="2226">
          <cell r="A2226" t="str">
            <v>001.30.02340</v>
          </cell>
          <cell r="B2226" t="str">
            <v>Execução de sumidouro conf. det. n. 12 dop diâmetro 1.50 e prof. 2.00 m</v>
          </cell>
          <cell r="C2226" t="str">
            <v>UN</v>
          </cell>
          <cell r="D2226">
            <v>642.35990000000004</v>
          </cell>
        </row>
        <row r="2227">
          <cell r="A2227" t="str">
            <v>001.30.02360</v>
          </cell>
          <cell r="B2227" t="str">
            <v>Execução de sumidouro conf. det. n. 12 dop diâmetro 1.50 e prof. 3.00 m</v>
          </cell>
          <cell r="C2227" t="str">
            <v>UN</v>
          </cell>
          <cell r="D2227">
            <v>820.81230000000005</v>
          </cell>
        </row>
        <row r="2228">
          <cell r="A2228" t="str">
            <v>001.30.02380</v>
          </cell>
          <cell r="B2228" t="str">
            <v>Execução de sumidouro conf. det. n. 12 dop diâmetro 2.00 m e prof. 2.00 m</v>
          </cell>
          <cell r="C2228" t="str">
            <v>UN</v>
          </cell>
          <cell r="D2228">
            <v>950.78189999999995</v>
          </cell>
        </row>
        <row r="2229">
          <cell r="A2229" t="str">
            <v>001.30.02400</v>
          </cell>
          <cell r="B2229" t="str">
            <v>Execução de sumidouro conf. det. n. 12 dop diâmetro 2.00 m e prof. 3.00m</v>
          </cell>
          <cell r="C2229" t="str">
            <v>UN</v>
          </cell>
          <cell r="D2229">
            <v>1198.4297999999999</v>
          </cell>
        </row>
        <row r="2230">
          <cell r="A2230" t="str">
            <v>001.30.02420</v>
          </cell>
          <cell r="B2230" t="str">
            <v>Execução de sumidouro conf. det. n. 12 dop diâmetro 2.00 e prof. 3.20 m</v>
          </cell>
          <cell r="C2230" t="str">
            <v>UN</v>
          </cell>
          <cell r="D2230">
            <v>1248.3798999999999</v>
          </cell>
        </row>
        <row r="2231">
          <cell r="A2231" t="str">
            <v>001.30.02440</v>
          </cell>
          <cell r="B2231" t="str">
            <v>Execução de sumidouro conf. det. n. 12 dop diâmetro 2.00 m e prof. 4.15 m</v>
          </cell>
          <cell r="C2231" t="str">
            <v>UN</v>
          </cell>
          <cell r="D2231">
            <v>1483.9576</v>
          </cell>
        </row>
        <row r="2232">
          <cell r="A2232" t="str">
            <v>001.30.02460</v>
          </cell>
          <cell r="B2232" t="str">
            <v>Execução de sumidouro conf. det. n. 12 dop diâmetro 2.00 m e prof. 4.50 m</v>
          </cell>
          <cell r="C2232" t="str">
            <v>UN</v>
          </cell>
          <cell r="D2232">
            <v>1570.9905000000001</v>
          </cell>
        </row>
        <row r="2233">
          <cell r="A2233" t="str">
            <v>001.30.02480</v>
          </cell>
          <cell r="B2233" t="str">
            <v>Execução de sumidouro conf. det. n. 12 dop diâmetro 3.00 m e prof. 3.30 m</v>
          </cell>
          <cell r="C2233" t="str">
            <v>UN</v>
          </cell>
          <cell r="D2233">
            <v>2263.4780000000001</v>
          </cell>
        </row>
        <row r="2234">
          <cell r="A2234" t="str">
            <v>001.30.02500</v>
          </cell>
          <cell r="B2234" t="str">
            <v>Execução de filtro anaeróbico d = 2,20 m, conforme detalhe do dvop</v>
          </cell>
          <cell r="C2234" t="str">
            <v>UN</v>
          </cell>
          <cell r="D2234">
            <v>7683.4363999999996</v>
          </cell>
        </row>
        <row r="2235">
          <cell r="A2235" t="str">
            <v>001.30.02520</v>
          </cell>
          <cell r="B2235" t="str">
            <v>Fornecimento e aplicação de brita nr. 4</v>
          </cell>
          <cell r="C2235" t="str">
            <v>M3</v>
          </cell>
          <cell r="D2235">
            <v>64.165499999999994</v>
          </cell>
        </row>
        <row r="2236">
          <cell r="A2236" t="str">
            <v>001.30.02540</v>
          </cell>
          <cell r="B2236" t="str">
            <v>Execução de vala de infiltração com seção trapezoidal (base menor=0,50 m, base maior = 1,00 m), contendo camadas de brita nº 04 (0,20 m e 0,30 m) areia grossa( 0,50 m) e aterro ( 0,50m), inclusive 2 (dois) tubos de pvc perfurados p/ dreno - 100 mm, conf</v>
          </cell>
          <cell r="C2236" t="str">
            <v>ML</v>
          </cell>
          <cell r="D2236">
            <v>68.803700000000006</v>
          </cell>
        </row>
        <row r="2237">
          <cell r="A2237" t="str">
            <v>001.30.02560</v>
          </cell>
          <cell r="B2237" t="str">
            <v>Fornecimento de camada filtrante de areia 0.30 m e pedra 0.60 m (seixo rolado) apiloado s/ escavação</v>
          </cell>
          <cell r="C2237" t="str">
            <v>ML</v>
          </cell>
          <cell r="D2237">
            <v>49.424999999999997</v>
          </cell>
        </row>
        <row r="2238">
          <cell r="A2238" t="str">
            <v>001.30.02580</v>
          </cell>
          <cell r="B2238" t="str">
            <v>Fornecimento de dreno em pedra (cascalho) seccao trapezoidal base maior 60 cm base menor 30 cm e altura 50 cm incl escavação</v>
          </cell>
          <cell r="C2238" t="str">
            <v>ML</v>
          </cell>
          <cell r="D2238">
            <v>8.6821000000000002</v>
          </cell>
        </row>
        <row r="2239">
          <cell r="A2239" t="str">
            <v>001.30.02600</v>
          </cell>
          <cell r="B2239" t="str">
            <v>Fornecimento de dreno com secao trapezoidal (base menor = 0,50m, base maior = 1,0m e altura de 1,50m), em camadas de brita nº 2 e 4 e areia grossa inclusive tubo de pvc perfurado d=1,50 mm, conf. det. do dvop</v>
          </cell>
          <cell r="C2239" t="str">
            <v>ML</v>
          </cell>
          <cell r="D2239">
            <v>80.192300000000003</v>
          </cell>
        </row>
        <row r="2240">
          <cell r="A2240" t="str">
            <v>001.31</v>
          </cell>
          <cell r="B2240" t="str">
            <v>INSTALAÇÕES HIDRÁULICAS - 'INSTALAÇÕES PREVENÇÃO E COMBATE A INCÊNDIO</v>
          </cell>
          <cell r="D2240">
            <v>2851.2635</v>
          </cell>
        </row>
        <row r="2241">
          <cell r="A2241" t="str">
            <v>001.31.00020</v>
          </cell>
          <cell r="B2241" t="str">
            <v>Fornecimento e instalação de extintor de incêndio tipo manual com suporte de parede, água pressurizada 10 litros</v>
          </cell>
          <cell r="C2241" t="str">
            <v>UN</v>
          </cell>
          <cell r="D2241">
            <v>53</v>
          </cell>
        </row>
        <row r="2242">
          <cell r="A2242" t="str">
            <v>001.31.00040</v>
          </cell>
          <cell r="B2242" t="str">
            <v>Fornecimento e instalação de extintor de incêndio tipo manual com suporte de parede, co2 - gas carbonico 6 kg</v>
          </cell>
          <cell r="C2242" t="str">
            <v>UN</v>
          </cell>
          <cell r="D2242">
            <v>178</v>
          </cell>
        </row>
        <row r="2243">
          <cell r="A2243" t="str">
            <v>001.31.00060</v>
          </cell>
          <cell r="B2243" t="str">
            <v>Fornecimento e instalação de extintor de incêndio tipo manual com suporte de parede, pó químico seco 4 kg</v>
          </cell>
          <cell r="C2243" t="str">
            <v>UN</v>
          </cell>
          <cell r="D2243">
            <v>55</v>
          </cell>
        </row>
        <row r="2244">
          <cell r="A2244" t="str">
            <v>001.31.00080</v>
          </cell>
          <cell r="B2244" t="str">
            <v>Fornecimento e instalação de tubo de aço galvanizado - classe média - tipo manesmann diâm. 63 mm</v>
          </cell>
          <cell r="C2244" t="str">
            <v>M</v>
          </cell>
          <cell r="D2244">
            <v>36.810600000000001</v>
          </cell>
        </row>
        <row r="2245">
          <cell r="A2245" t="str">
            <v>001.31.00100</v>
          </cell>
          <cell r="B2245" t="str">
            <v>Fornecimento e instalação de tubo de aço galvanizado - classe média - tipo manesmann diâm. 75 mm</v>
          </cell>
          <cell r="C2245" t="str">
            <v>M</v>
          </cell>
          <cell r="D2245">
            <v>41.1601</v>
          </cell>
        </row>
        <row r="2246">
          <cell r="A2246" t="str">
            <v>001.31.00120</v>
          </cell>
          <cell r="B2246" t="str">
            <v>Fornecimento e instalação de luva c/ rosca - classe 10 - tipo tupyou similar diâm. 63 mm</v>
          </cell>
          <cell r="C2246" t="str">
            <v>UN</v>
          </cell>
          <cell r="D2246">
            <v>19.0609</v>
          </cell>
        </row>
        <row r="2247">
          <cell r="A2247" t="str">
            <v>001.31.00140</v>
          </cell>
          <cell r="B2247" t="str">
            <v>Fornecimento e instalação de luva c/ rosca - classe 10 - tipo tupyou similar diâm. 75 mm</v>
          </cell>
          <cell r="C2247" t="str">
            <v>UN</v>
          </cell>
          <cell r="D2247">
            <v>26.9695</v>
          </cell>
        </row>
        <row r="2248">
          <cell r="A2248" t="str">
            <v>001.31.00160</v>
          </cell>
          <cell r="B2248" t="str">
            <v>Fornecimento e instalação de joelho 90º aço galvanizado - tupy ou similar diâm. 63 mm</v>
          </cell>
          <cell r="C2248" t="str">
            <v>UN</v>
          </cell>
          <cell r="D2248">
            <v>30.510899999999999</v>
          </cell>
        </row>
        <row r="2249">
          <cell r="A2249" t="str">
            <v>001.31.00180</v>
          </cell>
          <cell r="B2249" t="str">
            <v>Fornecimento e instalação de joelho 90º aço galvanizado - tupy ou similar diâm. 75 mm</v>
          </cell>
          <cell r="C2249" t="str">
            <v>UN</v>
          </cell>
          <cell r="D2249">
            <v>34.019500000000001</v>
          </cell>
        </row>
        <row r="2250">
          <cell r="A2250" t="str">
            <v>001.31.00200</v>
          </cell>
          <cell r="B2250" t="str">
            <v>Fornecimento e instalação de tee aço galvanizado - tupyou similar diâm. 63 mm</v>
          </cell>
          <cell r="C2250" t="str">
            <v>UN</v>
          </cell>
          <cell r="D2250">
            <v>30.569500000000001</v>
          </cell>
        </row>
        <row r="2251">
          <cell r="A2251" t="str">
            <v>001.31.00220</v>
          </cell>
          <cell r="B2251" t="str">
            <v>Fornecimento e instalação de flanges aço galvanizado - tupy ou similar diâm. 75 mm</v>
          </cell>
          <cell r="C2251" t="str">
            <v>UN</v>
          </cell>
          <cell r="D2251">
            <v>24.5395</v>
          </cell>
        </row>
        <row r="2252">
          <cell r="A2252" t="str">
            <v>001.31.00240</v>
          </cell>
          <cell r="B2252" t="str">
            <v>Fornecimento e instalação de niple duplo de aço galvanizado - tupy ou similar diâm. 63 mm</v>
          </cell>
          <cell r="C2252" t="str">
            <v>UN</v>
          </cell>
          <cell r="D2252">
            <v>14.510899999999999</v>
          </cell>
        </row>
        <row r="2253">
          <cell r="A2253" t="str">
            <v>001.31.00260</v>
          </cell>
          <cell r="B2253" t="str">
            <v>Fornecimento e instalação de niple duplo de aço galvanizado - tupy ou similar diâm. 75 mm</v>
          </cell>
          <cell r="C2253" t="str">
            <v>UN</v>
          </cell>
          <cell r="D2253">
            <v>20.369499999999999</v>
          </cell>
        </row>
        <row r="2254">
          <cell r="A2254" t="str">
            <v>001.31.00280</v>
          </cell>
          <cell r="B2254" t="str">
            <v>Fornecimento e instalação de luva de união c/ assento em bronze - tupy ou similar diâm. 63 mm</v>
          </cell>
          <cell r="C2254" t="str">
            <v>UN</v>
          </cell>
          <cell r="D2254">
            <v>38.019500000000001</v>
          </cell>
        </row>
        <row r="2255">
          <cell r="A2255" t="str">
            <v>001.31.00300</v>
          </cell>
          <cell r="B2255" t="str">
            <v>Fornecimento e instalação de luva de união c/ assento em bronze - tupy ou similar diâm. 75 mm</v>
          </cell>
          <cell r="C2255" t="str">
            <v>UN</v>
          </cell>
          <cell r="D2255">
            <v>47.078200000000002</v>
          </cell>
        </row>
        <row r="2256">
          <cell r="A2256" t="str">
            <v>001.31.00320</v>
          </cell>
          <cell r="B2256" t="str">
            <v>Fornecimento e instalação de registro de gaveta em bronze - acabamento bruto - niágara  ou similar diâm.63 mm</v>
          </cell>
          <cell r="C2256" t="str">
            <v>UN</v>
          </cell>
          <cell r="D2256">
            <v>93.778700000000001</v>
          </cell>
        </row>
        <row r="2257">
          <cell r="A2257" t="str">
            <v>001.31.00340</v>
          </cell>
          <cell r="B2257" t="str">
            <v>Fornecimento e instalação de registro de gaveta em bronze - acabamento bruto - niágara  ou similar diâm.75 mm</v>
          </cell>
          <cell r="C2257" t="str">
            <v>UN</v>
          </cell>
          <cell r="D2257">
            <v>147.45590000000001</v>
          </cell>
        </row>
        <row r="2258">
          <cell r="A2258" t="str">
            <v>001.31.00360</v>
          </cell>
          <cell r="B2258" t="str">
            <v>Fornecimento e instalação de válvula de retenção - aço galvanizado tupy classe 150 4 portinhola diâm.63 mm</v>
          </cell>
          <cell r="C2258" t="str">
            <v>UN</v>
          </cell>
          <cell r="D2258">
            <v>116.59869999999999</v>
          </cell>
        </row>
        <row r="2259">
          <cell r="A2259" t="str">
            <v>001.31.00380</v>
          </cell>
          <cell r="B2259" t="str">
            <v>Fornecimento e instalação de válvula globo angular  - classe 150  diâm. 63 mm</v>
          </cell>
          <cell r="C2259" t="str">
            <v>UN</v>
          </cell>
          <cell r="D2259">
            <v>72.828699999999998</v>
          </cell>
        </row>
        <row r="2260">
          <cell r="A2260" t="str">
            <v>001.31.00400</v>
          </cell>
          <cell r="B2260" t="str">
            <v>Fornecimento e instalação de engate rápido """"""""""""""""""""""""""""""""store"""""""""""""""""""""""""""""""" c/ red. ferro galvanizado diâm. 63 mm x 35 mm</v>
          </cell>
          <cell r="C2260" t="str">
            <v>UN</v>
          </cell>
          <cell r="D2260">
            <v>10.872199999999999</v>
          </cell>
        </row>
        <row r="2261">
          <cell r="A2261" t="str">
            <v>001.31.00420</v>
          </cell>
          <cell r="B2261" t="str">
            <v>Fornecimento e instalaçao de hidrante de recalque composto de caixa da alvenaria, registro globo angular 45º - 2 1/2"""""""""""""""""""""""""""""""" e tampa de fºfº 40 x 60 cm</v>
          </cell>
          <cell r="C2261" t="str">
            <v>UN</v>
          </cell>
          <cell r="D2261">
            <v>203.1936</v>
          </cell>
        </row>
        <row r="2262">
          <cell r="A2262" t="str">
            <v>001.31.00440</v>
          </cell>
          <cell r="B2262" t="str">
            <v>Fornecimento e instalação de hidrante de recalque composto de caixa de alvenaria, registro globo angular 45º - 1 1/2"""""""""""""""""""""""""""""""" e tampa de fºfº 80x60 cm</v>
          </cell>
          <cell r="C2262" t="str">
            <v>UN</v>
          </cell>
          <cell r="D2262">
            <v>327.75049999999999</v>
          </cell>
        </row>
        <row r="2263">
          <cell r="A2263" t="str">
            <v>001.31.00460</v>
          </cell>
          <cell r="B2263" t="str">
            <v>Fornecimento e instalação de mangueira fibra sintética pura tipo i graud - tipo parsh ou similar com adaptador para esguicho diâm. 1 1/2 pol</v>
          </cell>
          <cell r="C2263" t="str">
            <v>UN</v>
          </cell>
          <cell r="D2263">
            <v>180.34780000000001</v>
          </cell>
        </row>
        <row r="2264">
          <cell r="A2264" t="str">
            <v>001.31.00480</v>
          </cell>
          <cell r="B2264" t="str">
            <v xml:space="preserve">Fornecimento e instalação de armário em chapa de aço-com ventilação adequada - visor c/ inspeção c/ inscrição incêndio, cesto interno p/ abrigo da mangueira e esguicho tipo """"""""""""""""""""""""""""""""bucha spiero"""""""""""""""""""""""""""""""" ou </v>
          </cell>
          <cell r="C2264" t="str">
            <v>UN</v>
          </cell>
          <cell r="D2264">
            <v>109.34780000000001</v>
          </cell>
        </row>
        <row r="2265">
          <cell r="A2265" t="str">
            <v>001.31.00500</v>
          </cell>
          <cell r="B2265" t="str">
            <v>Fornecimento e instalação de bomba de incêndio - 4 cv/220v -1.800 rpm/60 hz - hm = 20 mca q=600l/min</v>
          </cell>
          <cell r="C2265" t="str">
            <v>UN</v>
          </cell>
          <cell r="D2265">
            <v>862.69560000000001</v>
          </cell>
        </row>
        <row r="2266">
          <cell r="A2266" t="str">
            <v>001.31.00520</v>
          </cell>
          <cell r="B2266" t="str">
            <v>Válvula  de pé com crivo de pvc tipo rosqueável 3/4 pol</v>
          </cell>
          <cell r="C2266" t="str">
            <v>UN</v>
          </cell>
          <cell r="D2266">
            <v>14.979100000000001</v>
          </cell>
        </row>
        <row r="2267">
          <cell r="A2267" t="str">
            <v>001.31.00540</v>
          </cell>
          <cell r="B2267" t="str">
            <v>Válvula  de pé com crivo de pvc tipo rosqueável 1 pol</v>
          </cell>
          <cell r="C2267" t="str">
            <v>UN</v>
          </cell>
          <cell r="D2267">
            <v>17.349900000000002</v>
          </cell>
        </row>
        <row r="2268">
          <cell r="A2268" t="str">
            <v>001.31.00560</v>
          </cell>
          <cell r="B2268" t="str">
            <v>Válvula  de pé com crivo de pvc tipo rosqueável 1 1/4 pol</v>
          </cell>
          <cell r="C2268" t="str">
            <v>UN</v>
          </cell>
          <cell r="D2268">
            <v>22.407900000000001</v>
          </cell>
        </row>
        <row r="2269">
          <cell r="A2269" t="str">
            <v>001.31.00580</v>
          </cell>
          <cell r="B2269" t="str">
            <v>Válvula de pé com crivo de pvc tipo rosqueável 1 1/2 pol</v>
          </cell>
          <cell r="C2269" t="str">
            <v>UN</v>
          </cell>
          <cell r="D2269">
            <v>22.038499999999999</v>
          </cell>
        </row>
        <row r="2270">
          <cell r="A2270" t="str">
            <v>001.32</v>
          </cell>
          <cell r="B2270" t="str">
            <v>INSTALAÇÕES HIDRÁULICA -  DRENAGEM</v>
          </cell>
          <cell r="D2270">
            <v>9055.3881000000001</v>
          </cell>
        </row>
        <row r="2271">
          <cell r="A2271" t="str">
            <v>001.32.00020</v>
          </cell>
          <cell r="B2271" t="str">
            <v>Fornecimento, assentamento e rejuntamento de tubos de concreto com armação simples 1000 mm</v>
          </cell>
          <cell r="C2271" t="str">
            <v>ML</v>
          </cell>
          <cell r="D2271">
            <v>152.85589999999999</v>
          </cell>
        </row>
        <row r="2272">
          <cell r="A2272" t="str">
            <v>001.32.00040</v>
          </cell>
          <cell r="B2272" t="str">
            <v>Fornecimento, assentamento e rejuntamento de tubos de concreto com armação simples  800 mm</v>
          </cell>
          <cell r="C2272" t="str">
            <v>ML</v>
          </cell>
          <cell r="D2272">
            <v>111.66160000000001</v>
          </cell>
        </row>
        <row r="2273">
          <cell r="A2273" t="str">
            <v>001.32.00060</v>
          </cell>
          <cell r="B2273" t="str">
            <v>Fornecimento, assentamento e rejuntamento de tubos de concreto com armação simples  600 mm</v>
          </cell>
          <cell r="C2273" t="str">
            <v>ML</v>
          </cell>
          <cell r="D2273">
            <v>84.84</v>
          </cell>
        </row>
        <row r="2274">
          <cell r="A2274" t="str">
            <v>001.32.00080</v>
          </cell>
          <cell r="B2274" t="str">
            <v>Fornecimento, assentamento e rejuntamento de tubos de concreto com armação simples  400 mm</v>
          </cell>
          <cell r="C2274" t="str">
            <v>ML</v>
          </cell>
          <cell r="D2274">
            <v>44.761699999999998</v>
          </cell>
        </row>
        <row r="2275">
          <cell r="A2275" t="str">
            <v>001.32.00100</v>
          </cell>
          <cell r="B2275" t="str">
            <v>Fornecimento, assentamento e rejuntamento de tubos de concreto com armação dupla 1000 mm</v>
          </cell>
          <cell r="C2275" t="str">
            <v>ML</v>
          </cell>
          <cell r="D2275">
            <v>187.85589999999999</v>
          </cell>
        </row>
        <row r="2276">
          <cell r="A2276" t="str">
            <v>001.32.00120</v>
          </cell>
          <cell r="B2276" t="str">
            <v>Fornecimento, assentamento e rejuntamento de tubos de concreto com armação dupla  800 mm</v>
          </cell>
          <cell r="C2276" t="str">
            <v>ML</v>
          </cell>
          <cell r="D2276">
            <v>135.66159999999999</v>
          </cell>
        </row>
        <row r="2277">
          <cell r="A2277" t="str">
            <v>001.32.00140</v>
          </cell>
          <cell r="B2277" t="str">
            <v>Fornecimento, assentamento e rejuntamento de tubos de concreto sem armação  600 mm</v>
          </cell>
          <cell r="C2277" t="str">
            <v>ML</v>
          </cell>
          <cell r="D2277">
            <v>66.078599999999994</v>
          </cell>
        </row>
        <row r="2278">
          <cell r="A2278" t="str">
            <v>001.32.00160</v>
          </cell>
          <cell r="B2278" t="str">
            <v>Fornecimento, assentamento e rejuntamento de tubos de concreto sem armação  500 mm</v>
          </cell>
          <cell r="C2278" t="str">
            <v>ML</v>
          </cell>
          <cell r="D2278">
            <v>48.900599999999997</v>
          </cell>
        </row>
        <row r="2279">
          <cell r="A2279" t="str">
            <v>001.32.00180</v>
          </cell>
          <cell r="B2279" t="str">
            <v>Fornecimento, assentamento e rejuntamento de tubos de concreto sem armação  400 mm</v>
          </cell>
          <cell r="C2279" t="str">
            <v>ML</v>
          </cell>
          <cell r="D2279">
            <v>34.761699999999998</v>
          </cell>
        </row>
        <row r="2280">
          <cell r="A2280" t="str">
            <v>001.32.00200</v>
          </cell>
          <cell r="B2280" t="str">
            <v>Fornecimento, assentamento e rejuntamento de tubos de concreto sem armação  350 mm</v>
          </cell>
          <cell r="C2280" t="str">
            <v>ML</v>
          </cell>
          <cell r="D2280">
            <v>26.261700000000001</v>
          </cell>
        </row>
        <row r="2281">
          <cell r="A2281" t="str">
            <v>001.32.00220</v>
          </cell>
          <cell r="B2281" t="str">
            <v>Fornecimento, assentamento e rejuntamento de tubos de concreto sem armação  300 mm</v>
          </cell>
          <cell r="C2281" t="str">
            <v>ML</v>
          </cell>
          <cell r="D2281">
            <v>21.886700000000001</v>
          </cell>
        </row>
        <row r="2282">
          <cell r="A2282" t="str">
            <v>001.32.00240</v>
          </cell>
          <cell r="B2282" t="str">
            <v>Fornecimento, assentamento e rejuntamento de tubos de concreto sem armação  250 mm</v>
          </cell>
          <cell r="C2282" t="str">
            <v>ML</v>
          </cell>
          <cell r="D2282">
            <v>20.886700000000001</v>
          </cell>
        </row>
        <row r="2283">
          <cell r="A2283" t="str">
            <v>001.32.00260</v>
          </cell>
          <cell r="B2283" t="str">
            <v>Fornecimento, assentamento e rejuntamento de tubos de concreto sem armação  200 mm</v>
          </cell>
          <cell r="C2283" t="str">
            <v>ML</v>
          </cell>
          <cell r="D2283">
            <v>16.670000000000002</v>
          </cell>
        </row>
        <row r="2284">
          <cell r="A2284" t="str">
            <v>001.32.00280</v>
          </cell>
          <cell r="B2284" t="str">
            <v>Fornecimento, assentamento e rejuntamento de tubos de concreto sem armação  150 mm</v>
          </cell>
          <cell r="C2284" t="str">
            <v>ML</v>
          </cell>
          <cell r="D2284">
            <v>14.67</v>
          </cell>
        </row>
        <row r="2285">
          <cell r="A2285" t="str">
            <v>001.32.00300</v>
          </cell>
          <cell r="B2285" t="str">
            <v>Fornecimento, assentamento e rejuntamento de tubos de concreto sem armação  100 mm</v>
          </cell>
          <cell r="C2285" t="str">
            <v>ML</v>
          </cell>
          <cell r="D2285">
            <v>11.6266</v>
          </cell>
        </row>
        <row r="2286">
          <cell r="A2286" t="str">
            <v>001.32.00320</v>
          </cell>
          <cell r="B2286" t="str">
            <v>Fornecimento, assentamento e rejuntamento de tubo de concreto poroso mf 400 mm</v>
          </cell>
          <cell r="C2286" t="str">
            <v>ML</v>
          </cell>
          <cell r="D2286">
            <v>38.261699999999998</v>
          </cell>
        </row>
        <row r="2287">
          <cell r="A2287" t="str">
            <v>001.32.00340</v>
          </cell>
          <cell r="B2287" t="str">
            <v>Fornecimento, assentamento e rejuntamento de tubo de concreto poroso mf 350 mm</v>
          </cell>
          <cell r="C2287" t="str">
            <v>ML</v>
          </cell>
          <cell r="D2287">
            <v>28.261700000000001</v>
          </cell>
        </row>
        <row r="2288">
          <cell r="A2288" t="str">
            <v>001.32.00360</v>
          </cell>
          <cell r="B2288" t="str">
            <v>Fornecimento, assentamento e rejuntamento de tubo de concreto poroso mf 300 mm</v>
          </cell>
          <cell r="C2288" t="str">
            <v>ML</v>
          </cell>
          <cell r="D2288">
            <v>19.161899999999999</v>
          </cell>
        </row>
        <row r="2289">
          <cell r="A2289" t="str">
            <v>001.32.00380</v>
          </cell>
          <cell r="B2289" t="str">
            <v>Fornecimento, assentamento e rejuntamento de tubo de concreto poroso mf 250 mm</v>
          </cell>
          <cell r="C2289" t="str">
            <v>ML</v>
          </cell>
          <cell r="D2289">
            <v>22.386700000000001</v>
          </cell>
        </row>
        <row r="2290">
          <cell r="A2290" t="str">
            <v>001.32.00400</v>
          </cell>
          <cell r="B2290" t="str">
            <v>Fornecimento, assentamento e rejuntamento de tubo de concreto poroso mf 200 mm</v>
          </cell>
          <cell r="C2290" t="str">
            <v>ML</v>
          </cell>
          <cell r="D2290">
            <v>16.87</v>
          </cell>
        </row>
        <row r="2291">
          <cell r="A2291" t="str">
            <v>001.32.00420</v>
          </cell>
          <cell r="B2291" t="str">
            <v>Fornecimento, assentamento e rejuntamento de tubo de concreto poroso mf 150 mm</v>
          </cell>
          <cell r="C2291" t="str">
            <v>ML</v>
          </cell>
          <cell r="D2291">
            <v>16.87</v>
          </cell>
        </row>
        <row r="2292">
          <cell r="A2292" t="str">
            <v>001.32.00440</v>
          </cell>
          <cell r="B2292" t="str">
            <v>Fornecimento, assentamento e rejuntamento de tubo de concreto poroso mf 100 mm</v>
          </cell>
          <cell r="C2292" t="str">
            <v>ML</v>
          </cell>
          <cell r="D2292">
            <v>20.426600000000001</v>
          </cell>
        </row>
        <row r="2293">
          <cell r="A2293" t="str">
            <v>001.32.00460</v>
          </cell>
          <cell r="B2293" t="str">
            <v>Execução de poço de visita conf. det. do dop n.4 120x120x50 cm</v>
          </cell>
          <cell r="C2293" t="str">
            <v>UN</v>
          </cell>
          <cell r="D2293">
            <v>713.39660000000003</v>
          </cell>
        </row>
        <row r="2294">
          <cell r="A2294" t="str">
            <v>001.32.00480</v>
          </cell>
          <cell r="B2294" t="str">
            <v>Execução de poço de visita conf. det. do dop n.4 120x120x70 cm</v>
          </cell>
          <cell r="C2294" t="str">
            <v>UN</v>
          </cell>
          <cell r="D2294">
            <v>802.01900000000001</v>
          </cell>
        </row>
        <row r="2295">
          <cell r="A2295" t="str">
            <v>001.32.00500</v>
          </cell>
          <cell r="B2295" t="str">
            <v>Execução de poço de visita conf. det. do dop n.4 120x120x105 cm</v>
          </cell>
          <cell r="C2295" t="str">
            <v>UN</v>
          </cell>
          <cell r="D2295">
            <v>962.78200000000004</v>
          </cell>
        </row>
        <row r="2296">
          <cell r="A2296" t="str">
            <v>001.32.00520</v>
          </cell>
          <cell r="B2296" t="str">
            <v>Execução de poço de visita conf. det. do dop n.4 120x120x120 cm</v>
          </cell>
          <cell r="C2296" t="str">
            <v>UN</v>
          </cell>
          <cell r="D2296">
            <v>1017.7448000000001</v>
          </cell>
        </row>
        <row r="2297">
          <cell r="A2297" t="str">
            <v>001.32.00540</v>
          </cell>
          <cell r="B2297" t="str">
            <v>Execução de poço de visita conf. det. do dop n.4 120x120x140 cm</v>
          </cell>
          <cell r="C2297" t="str">
            <v>UN</v>
          </cell>
          <cell r="D2297">
            <v>1466.7221999999999</v>
          </cell>
        </row>
        <row r="2298">
          <cell r="A2298" t="str">
            <v>001.32.00560</v>
          </cell>
          <cell r="B2298" t="str">
            <v>Execução de poço de visita conf. det. do dop n.4 120x120x190 cm</v>
          </cell>
          <cell r="C2298" t="str">
            <v>UN</v>
          </cell>
          <cell r="D2298">
            <v>1379.7886000000001</v>
          </cell>
        </row>
        <row r="2299">
          <cell r="A2299" t="str">
            <v>001.32.00580</v>
          </cell>
          <cell r="B2299" t="str">
            <v>Execução de caixa de passagem conf. det. n7 do dop 30 x 30 x 30 cm</v>
          </cell>
          <cell r="C2299" t="str">
            <v>UN</v>
          </cell>
          <cell r="D2299">
            <v>38.521000000000001</v>
          </cell>
        </row>
        <row r="2300">
          <cell r="A2300" t="str">
            <v>001.32.00600</v>
          </cell>
          <cell r="B2300" t="str">
            <v>Execução de caixa de passagem conf. det. n7 do dop 40 x 40 x 40 cm</v>
          </cell>
          <cell r="C2300" t="str">
            <v>UN</v>
          </cell>
          <cell r="D2300">
            <v>58.170699999999997</v>
          </cell>
        </row>
        <row r="2301">
          <cell r="A2301" t="str">
            <v>001.32.00620</v>
          </cell>
          <cell r="B2301" t="str">
            <v>Execução de caixa de passagem conf. det. n7 do dop 50 x 50 x 50 cm</v>
          </cell>
          <cell r="C2301" t="str">
            <v>UN</v>
          </cell>
          <cell r="D2301">
            <v>83.568399999999997</v>
          </cell>
        </row>
        <row r="2302">
          <cell r="A2302" t="str">
            <v>001.32.00640</v>
          </cell>
          <cell r="B2302" t="str">
            <v>Execução de caixa de passagem conf. det. n7 do dop 60 x 60 x 60 cm</v>
          </cell>
          <cell r="C2302" t="str">
            <v>UN</v>
          </cell>
          <cell r="D2302">
            <v>111.22369999999999</v>
          </cell>
        </row>
        <row r="2303">
          <cell r="A2303" t="str">
            <v>001.32.00660</v>
          </cell>
          <cell r="B2303" t="str">
            <v>Execução de caixa de passagem conf. det. n7 do dop 70 x 70 x 70 cm</v>
          </cell>
          <cell r="C2303" t="str">
            <v>UN</v>
          </cell>
          <cell r="D2303">
            <v>114.01609999999999</v>
          </cell>
        </row>
        <row r="2304">
          <cell r="A2304" t="str">
            <v>001.32.00680</v>
          </cell>
          <cell r="B2304" t="str">
            <v>Execução de caixa de passagem conf. det. n7 do dop 80 x 80 x 80 cm</v>
          </cell>
          <cell r="C2304" t="str">
            <v>UN</v>
          </cell>
          <cell r="D2304">
            <v>144.916</v>
          </cell>
        </row>
        <row r="2305">
          <cell r="A2305" t="str">
            <v>001.32.00700</v>
          </cell>
          <cell r="B2305" t="str">
            <v>Execução de caixa de passagem conf. det. n7 do dop 90 x 90 x 90 cm</v>
          </cell>
          <cell r="C2305" t="str">
            <v>UN</v>
          </cell>
          <cell r="D2305">
            <v>240.52289999999999</v>
          </cell>
        </row>
        <row r="2306">
          <cell r="A2306" t="str">
            <v>001.32.00720</v>
          </cell>
          <cell r="B2306" t="str">
            <v>Execução de caixa de passagem conf. det. n7 do dop 100 x 100 x 100 cm</v>
          </cell>
          <cell r="C2306" t="str">
            <v>UN</v>
          </cell>
          <cell r="D2306">
            <v>241.42449999999999</v>
          </cell>
        </row>
        <row r="2307">
          <cell r="A2307" t="str">
            <v>001.32.00740</v>
          </cell>
          <cell r="B2307" t="str">
            <v>Execução de caixa de passagem conf. det. n7 do dop 100 x 100 x 120 cm</v>
          </cell>
          <cell r="C2307" t="str">
            <v>UND</v>
          </cell>
          <cell r="D2307">
            <v>328.23200000000003</v>
          </cell>
        </row>
        <row r="2308">
          <cell r="A2308" t="str">
            <v>001.32.00760</v>
          </cell>
          <cell r="B2308" t="str">
            <v>Execução de caixa de passagem conf. det. n7 do dop 110 x 0.60 x 0.60 cm</v>
          </cell>
          <cell r="C2308" t="str">
            <v>UN</v>
          </cell>
          <cell r="D2308">
            <v>10.446400000000001</v>
          </cell>
        </row>
        <row r="2309">
          <cell r="A2309" t="str">
            <v>001.32.00780</v>
          </cell>
          <cell r="B2309" t="str">
            <v>Execução de caixa de areia dimensões 50 x 50 x 50 cm</v>
          </cell>
          <cell r="C2309" t="str">
            <v>UN</v>
          </cell>
          <cell r="D2309">
            <v>83.568399999999997</v>
          </cell>
        </row>
        <row r="2310">
          <cell r="A2310" t="str">
            <v>001.32.00800</v>
          </cell>
          <cell r="B2310" t="str">
            <v>Execução de canaleta para talude em concreto simples traço 1:4:8 com 8 cm espessura conf. det. n.32 e 33</v>
          </cell>
          <cell r="C2310" t="str">
            <v>ML</v>
          </cell>
          <cell r="D2310">
            <v>27.137599999999999</v>
          </cell>
        </row>
        <row r="2311">
          <cell r="A2311" t="str">
            <v>001.32.00820</v>
          </cell>
          <cell r="B2311" t="str">
            <v>Execução de canaleta de tijolo maciço 1/2 vez l=0,30 m inclusive grelha de ferro</v>
          </cell>
          <cell r="C2311" t="str">
            <v>ML</v>
          </cell>
          <cell r="D2311">
            <v>74.569299999999998</v>
          </cell>
        </row>
        <row r="2312">
          <cell r="A2312" t="str">
            <v>001.32.00840</v>
          </cell>
          <cell r="B2312" t="str">
            <v>Fornecimento e instalação de aspersor ou irrigador para jardim de metal - diamentro 3/4"</v>
          </cell>
          <cell r="C2312" t="str">
            <v>UN</v>
          </cell>
          <cell r="D2312">
            <v>15</v>
          </cell>
        </row>
        <row r="2313">
          <cell r="A2313" t="str">
            <v>001.33</v>
          </cell>
          <cell r="B2313" t="str">
            <v>LIMPEZA</v>
          </cell>
          <cell r="D2313">
            <v>20.2258</v>
          </cell>
        </row>
        <row r="2314">
          <cell r="A2314" t="str">
            <v>001.33.00020</v>
          </cell>
          <cell r="B2314" t="str">
            <v>Limpeza geral da obra</v>
          </cell>
          <cell r="C2314" t="str">
            <v>M2</v>
          </cell>
          <cell r="D2314">
            <v>1.9035</v>
          </cell>
        </row>
        <row r="2315">
          <cell r="A2315" t="str">
            <v>001.33.00040</v>
          </cell>
          <cell r="B2315" t="str">
            <v>Execução de limpeza geral da obra com retirada de entulhos</v>
          </cell>
          <cell r="C2315" t="str">
            <v>M2</v>
          </cell>
          <cell r="D2315">
            <v>1.9035</v>
          </cell>
        </row>
        <row r="2316">
          <cell r="A2316" t="str">
            <v>001.33.00060</v>
          </cell>
          <cell r="B2316" t="str">
            <v>Execução de Retirada de entulho em Caçamba inclusive Carga Manual distância até 30 mts</v>
          </cell>
          <cell r="C2316" t="str">
            <v>M3</v>
          </cell>
          <cell r="D2316">
            <v>16.418800000000001</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Cronograma anterior"/>
      <sheetName val="Físico_med"/>
      <sheetName val="Ofício"/>
      <sheetName val="RELATÓRIO"/>
      <sheetName val="RESUMO-DVOP_JBS"/>
      <sheetName val="RESUMO-DVOP_JBS (2)"/>
      <sheetName val="RESUMO-DVOP MOD SEET"/>
      <sheetName val="Crono Físico-Financeiro"/>
      <sheetName val="Mat Asf "/>
      <sheetName val="RESUMO-DVOP_AGRIMAT"/>
      <sheetName val="REAJU (2)"/>
      <sheetName val="Mat Asf"/>
      <sheetName val="Meio fio"/>
      <sheetName val="Desmatamento "/>
      <sheetName val="Limpeza da faixa de domínio"/>
      <sheetName val="Remoção"/>
      <sheetName val="OAC"/>
      <sheetName val="Regula"/>
      <sheetName val="Sub-base"/>
      <sheetName val="Base"/>
      <sheetName val="Imprimação"/>
      <sheetName val="TSD-FOG"/>
      <sheetName val="AGREGADOS"/>
      <sheetName val="Dreno"/>
      <sheetName val="Cerca"/>
      <sheetName val="Valeta"/>
      <sheetName val="Enleivamento"/>
      <sheetName val="Valeta (3)"/>
      <sheetName val="DMT modelo"/>
      <sheetName val="DMT modelo (2)"/>
      <sheetName val="Aterro"/>
      <sheetName val="Aterro 100%"/>
      <sheetName val="Aterro 95%"/>
      <sheetName val="Defensa"/>
      <sheetName val="Placas"/>
      <sheetName val="Grama"/>
      <sheetName val="Pintura"/>
      <sheetName val="REAJU"/>
      <sheetName val="2ª medição Agrimat"/>
      <sheetName val="RESUMO"/>
      <sheetName val="RESUMO-Medição"/>
      <sheetName val="RESUMO_DVOP_JBS"/>
      <sheetName val="plan"/>
      <sheetName val="Corte DMT 50 a 200"/>
      <sheetName val="indice de reajuste"/>
      <sheetName val="Orçamento"/>
    </sheetNames>
    <sheetDataSet>
      <sheetData sheetId="0">
        <row r="12">
          <cell r="B12" t="str">
            <v>Firma: AGRIMAT ENGª INDUSTRIA E COMÉRCIO LTDA</v>
          </cell>
        </row>
      </sheetData>
      <sheetData sheetId="1">
        <row r="12">
          <cell r="B12" t="str">
            <v>Firma: AGRIMAT ENGª INDUSTRIA E COMÉRCIO LTDA</v>
          </cell>
        </row>
      </sheetData>
      <sheetData sheetId="2">
        <row r="12">
          <cell r="B12" t="str">
            <v>Firma: AGRIMAT ENGª INDUSTRIA E COMÉRCIO LTDA</v>
          </cell>
        </row>
      </sheetData>
      <sheetData sheetId="3">
        <row r="12">
          <cell r="B12" t="str">
            <v>Firma: AGRIMAT ENGª INDUSTRIA E COMÉRCIO LTDA</v>
          </cell>
        </row>
      </sheetData>
      <sheetData sheetId="4">
        <row r="12">
          <cell r="B12" t="str">
            <v>Firma: AGRIMAT ENGª INDUSTRIA E COMÉRCIO LTDA</v>
          </cell>
        </row>
      </sheetData>
      <sheetData sheetId="5">
        <row r="12">
          <cell r="B12" t="str">
            <v>Firma: AGRIMAT ENGª INDUSTRIA E COMÉRCIO LTDA</v>
          </cell>
        </row>
      </sheetData>
      <sheetData sheetId="6">
        <row r="138">
          <cell r="C138" t="str">
            <v xml:space="preserve"> Local e Data:  Brasnorte/MT, 01 de abril de 2004</v>
          </cell>
        </row>
      </sheetData>
      <sheetData sheetId="7">
        <row r="138">
          <cell r="C138" t="str">
            <v xml:space="preserve"> Local e Data:  Brasnorte/MT, 01 de abril de 2004</v>
          </cell>
        </row>
      </sheetData>
      <sheetData sheetId="8">
        <row r="138">
          <cell r="C138" t="str">
            <v xml:space="preserve"> Local e Data:  Brasnorte/MT, 01 de abril de 2004</v>
          </cell>
        </row>
      </sheetData>
      <sheetData sheetId="9">
        <row r="138">
          <cell r="C138" t="str">
            <v xml:space="preserve"> Local e Data:  Brasnorte/MT, 01 de abril de 2004</v>
          </cell>
        </row>
      </sheetData>
      <sheetData sheetId="10"/>
      <sheetData sheetId="11"/>
      <sheetData sheetId="12"/>
      <sheetData sheetId="13"/>
      <sheetData sheetId="14">
        <row r="27">
          <cell r="J27">
            <v>32400</v>
          </cell>
        </row>
      </sheetData>
      <sheetData sheetId="15">
        <row r="27">
          <cell r="J27">
            <v>32400</v>
          </cell>
        </row>
      </sheetData>
      <sheetData sheetId="16">
        <row r="27">
          <cell r="J27">
            <v>32400</v>
          </cell>
        </row>
      </sheetData>
      <sheetData sheetId="17">
        <row r="27">
          <cell r="J27">
            <v>32400</v>
          </cell>
        </row>
      </sheetData>
      <sheetData sheetId="18">
        <row r="27">
          <cell r="J27">
            <v>32400</v>
          </cell>
        </row>
      </sheetData>
      <sheetData sheetId="19">
        <row r="27">
          <cell r="J27">
            <v>32400</v>
          </cell>
        </row>
      </sheetData>
      <sheetData sheetId="20">
        <row r="27">
          <cell r="J27">
            <v>32400</v>
          </cell>
        </row>
      </sheetData>
      <sheetData sheetId="21">
        <row r="30">
          <cell r="S30">
            <v>0</v>
          </cell>
        </row>
      </sheetData>
      <sheetData sheetId="22">
        <row r="30">
          <cell r="S30">
            <v>0</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2">
          <cell r="B12" t="str">
            <v>Firma: AGRIMAT ENGª INDUSTRIA E COMÉRCIO LTDA</v>
          </cell>
        </row>
      </sheetData>
      <sheetData sheetId="37">
        <row r="12">
          <cell r="B12" t="str">
            <v>Firma: AGRIMAT ENGª INDUSTRIA E COMÉRCIO LTDA</v>
          </cell>
        </row>
      </sheetData>
      <sheetData sheetId="38" refreshError="1"/>
      <sheetData sheetId="39" refreshError="1"/>
      <sheetData sheetId="40" refreshError="1"/>
      <sheetData sheetId="41">
        <row r="12">
          <cell r="B12" t="str">
            <v>Firma: AGRIMAT ENGª INDUSTRIA E COMÉRCIO LTDA</v>
          </cell>
        </row>
      </sheetData>
      <sheetData sheetId="42" refreshError="1"/>
      <sheetData sheetId="43" refreshError="1"/>
      <sheetData sheetId="44" refreshError="1"/>
      <sheetData sheetId="45"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Serviços"/>
      <sheetName val="Orçamento"/>
      <sheetName val="TRANSPORTE"/>
      <sheetName val="DRENAGEM"/>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Ofício"/>
      <sheetName val="RESUMO-DVOP"/>
      <sheetName val="REAJU"/>
      <sheetName val="Crono Físico-Financeiro"/>
      <sheetName val="Mat Asf"/>
      <sheetName val="Meio fio"/>
      <sheetName val="Limpeza da faixa de domínio"/>
      <sheetName val="Remoção"/>
      <sheetName val="Compac alas"/>
      <sheetName val="OAC (2)"/>
      <sheetName val="OAC"/>
      <sheetName val="Regula"/>
      <sheetName val="Sub e base"/>
      <sheetName val="Imprimação"/>
      <sheetName val="TSD-FOG"/>
      <sheetName val="AGREGADOS"/>
      <sheetName val="Dreno"/>
      <sheetName val="Cerca"/>
      <sheetName val="Valeta"/>
      <sheetName val="Valeta (2)"/>
      <sheetName val="Valeta (3)"/>
      <sheetName val="DMT modelo (1)"/>
      <sheetName val="DMT modelo"/>
      <sheetName val="DMT_EV"/>
      <sheetName val="CÁLC.DMT-T"/>
      <sheetName val="DIST.MAT-T"/>
      <sheetName val="Croqui terra"/>
      <sheetName val="Aterro"/>
      <sheetName val="Defensa"/>
      <sheetName val="Grama"/>
      <sheetName val="Concreto "/>
      <sheetName val="Crono Físico-Financeiro "/>
      <sheetName val="P A T O 99 B"/>
      <sheetName val="Desmat 0,15"/>
      <sheetName val="Indice de Reajuste"/>
      <sheetName val="RELATÓRIO"/>
      <sheetName val="Orçamento"/>
      <sheetName val="RESUMO MED"/>
      <sheetName val="REBAIXO DE CORTE"/>
      <sheetName val="Desmatamento "/>
      <sheetName val="PROTOTIPO DE MEDIÇÃO"/>
      <sheetName val="aux"/>
      <sheetName val="Planilha1"/>
    </sheetNames>
    <sheetDataSet>
      <sheetData sheetId="0">
        <row r="36">
          <cell r="C36" t="str">
            <v>Engº. ??????????????</v>
          </cell>
        </row>
      </sheetData>
      <sheetData sheetId="1">
        <row r="36">
          <cell r="C36" t="str">
            <v>Engº. ??????????????</v>
          </cell>
        </row>
      </sheetData>
      <sheetData sheetId="2">
        <row r="36">
          <cell r="C36" t="str">
            <v>Engº. ??????????????</v>
          </cell>
        </row>
      </sheetData>
      <sheetData sheetId="3">
        <row r="36">
          <cell r="C36" t="str">
            <v>Engº. ??????????????</v>
          </cell>
        </row>
      </sheetData>
      <sheetData sheetId="4">
        <row r="36">
          <cell r="C36" t="str">
            <v>Engº. ??????????????</v>
          </cell>
        </row>
        <row r="37">
          <cell r="C37" t="str">
            <v xml:space="preserve"> Membro Port. GP Nº. ??????????????</v>
          </cell>
          <cell r="H37" t="str">
            <v>Fiscal Port. GP Nº. ????????????</v>
          </cell>
        </row>
      </sheetData>
      <sheetData sheetId="5"/>
      <sheetData sheetId="6"/>
      <sheetData sheetId="7"/>
      <sheetData sheetId="8"/>
      <sheetData sheetId="9"/>
      <sheetData sheetId="10"/>
      <sheetData sheetId="11"/>
      <sheetData sheetId="12">
        <row r="27">
          <cell r="U27">
            <v>0</v>
          </cell>
        </row>
      </sheetData>
      <sheetData sheetId="13"/>
      <sheetData sheetId="14">
        <row r="31">
          <cell r="Q31">
            <v>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entrada"/>
      <sheetName val="aux"/>
      <sheetName val="graficos"/>
      <sheetName val="graficos (2)"/>
      <sheetName val="TSD-FOG"/>
      <sheetName val="Dados"/>
      <sheetName val="Serviços Rodoviários"/>
      <sheetName val="relatório"/>
      <sheetName val="Mat Asf"/>
      <sheetName val="Ficha"/>
      <sheetName val="Orçamento"/>
      <sheetName val="Bruno"/>
      <sheetName val="Cabeçalho"/>
      <sheetName val="capa documentação"/>
      <sheetName val="capa anexo iii"/>
      <sheetName val="capa anexo iv"/>
      <sheetName val="RESUMO-DVOP"/>
      <sheetName val="rel-19ª med."/>
    </sheetNames>
    <sheetDataSet>
      <sheetData sheetId="0" refreshError="1"/>
      <sheetData sheetId="1">
        <row r="6">
          <cell r="B6">
            <v>32.307692307692307</v>
          </cell>
          <cell r="C6">
            <v>28.846153846153843</v>
          </cell>
          <cell r="D6">
            <v>14.615384615384617</v>
          </cell>
          <cell r="E6">
            <v>6.9230769230769234</v>
          </cell>
          <cell r="F6">
            <v>17.307692307692307</v>
          </cell>
          <cell r="I6">
            <v>1.68</v>
          </cell>
          <cell r="J6">
            <v>1.5</v>
          </cell>
          <cell r="K6">
            <v>0.76</v>
          </cell>
          <cell r="L6">
            <v>0.36</v>
          </cell>
          <cell r="M6">
            <v>0.9</v>
          </cell>
        </row>
        <row r="7">
          <cell r="B7" t="str">
            <v>0 - 10</v>
          </cell>
          <cell r="C7" t="str">
            <v>10 - 20</v>
          </cell>
          <cell r="D7" t="str">
            <v>20 - 40</v>
          </cell>
          <cell r="E7" t="str">
            <v>40 - 60</v>
          </cell>
          <cell r="F7" t="str">
            <v>&gt; 60</v>
          </cell>
        </row>
        <row r="8">
          <cell r="B8">
            <v>97.307692307692307</v>
          </cell>
          <cell r="C8">
            <v>2.6923076923076925</v>
          </cell>
          <cell r="D8">
            <v>0</v>
          </cell>
          <cell r="E8">
            <v>0</v>
          </cell>
          <cell r="F8">
            <v>0</v>
          </cell>
          <cell r="I8">
            <v>5.0600000000000005</v>
          </cell>
          <cell r="J8">
            <v>0.14000000000000001</v>
          </cell>
          <cell r="K8">
            <v>0</v>
          </cell>
          <cell r="L8">
            <v>0</v>
          </cell>
          <cell r="M8">
            <v>0</v>
          </cell>
        </row>
        <row r="9">
          <cell r="B9" t="str">
            <v>0 -  10</v>
          </cell>
          <cell r="C9" t="str">
            <v>10 - 20</v>
          </cell>
          <cell r="D9" t="str">
            <v>20 - 40</v>
          </cell>
          <cell r="E9" t="str">
            <v>40 - 60</v>
          </cell>
          <cell r="F9" t="str">
            <v>&gt; 60</v>
          </cell>
        </row>
        <row r="10">
          <cell r="B10">
            <v>29.615384615384617</v>
          </cell>
          <cell r="C10">
            <v>31.538461538461537</v>
          </cell>
          <cell r="D10">
            <v>14.615384615384617</v>
          </cell>
          <cell r="E10">
            <v>6.9230769230769234</v>
          </cell>
          <cell r="F10">
            <v>17.307692307692307</v>
          </cell>
          <cell r="I10">
            <v>1.54</v>
          </cell>
          <cell r="J10">
            <v>1.6400000000000001</v>
          </cell>
          <cell r="K10">
            <v>0.76</v>
          </cell>
          <cell r="L10">
            <v>0.36</v>
          </cell>
          <cell r="M10">
            <v>0.9</v>
          </cell>
        </row>
        <row r="11">
          <cell r="B11" t="str">
            <v>0 - 10</v>
          </cell>
          <cell r="C11" t="str">
            <v>10 - 20</v>
          </cell>
          <cell r="D11" t="str">
            <v>20 - 40</v>
          </cell>
          <cell r="E11" t="str">
            <v>40 - 60</v>
          </cell>
          <cell r="F11" t="str">
            <v>&gt; 60</v>
          </cell>
        </row>
        <row r="12">
          <cell r="B12">
            <v>9.2307692307692317</v>
          </cell>
          <cell r="C12">
            <v>61.53846153846154</v>
          </cell>
          <cell r="D12">
            <v>21.153846153846153</v>
          </cell>
          <cell r="E12">
            <v>8.0769230769230766</v>
          </cell>
          <cell r="F12">
            <v>0</v>
          </cell>
          <cell r="I12">
            <v>0.48</v>
          </cell>
          <cell r="J12">
            <v>3.2</v>
          </cell>
          <cell r="K12">
            <v>1.1000000000000001</v>
          </cell>
          <cell r="L12">
            <v>0.42</v>
          </cell>
          <cell r="M12">
            <v>0</v>
          </cell>
        </row>
        <row r="13">
          <cell r="B13" t="str">
            <v>0 - 20</v>
          </cell>
          <cell r="C13" t="str">
            <v>20 - 40</v>
          </cell>
          <cell r="D13" t="str">
            <v>40 -  80</v>
          </cell>
          <cell r="E13" t="str">
            <v xml:space="preserve"> 80 - 150</v>
          </cell>
          <cell r="F13" t="str">
            <v>&gt; 150</v>
          </cell>
        </row>
        <row r="14">
          <cell r="B14">
            <v>9.2307692307692317</v>
          </cell>
          <cell r="C14">
            <v>63.84615384615384</v>
          </cell>
          <cell r="D14">
            <v>18.846153846153847</v>
          </cell>
          <cell r="E14">
            <v>8.0769230769230766</v>
          </cell>
          <cell r="F14">
            <v>0</v>
          </cell>
          <cell r="I14">
            <v>0.48</v>
          </cell>
          <cell r="J14">
            <v>3.3200000000000003</v>
          </cell>
          <cell r="K14">
            <v>0.98</v>
          </cell>
          <cell r="L14">
            <v>0.42</v>
          </cell>
          <cell r="M14">
            <v>0</v>
          </cell>
        </row>
        <row r="15">
          <cell r="B15" t="str">
            <v xml:space="preserve">  4 - 5</v>
          </cell>
          <cell r="C15" t="str">
            <v xml:space="preserve">  3 -   4</v>
          </cell>
          <cell r="D15" t="str">
            <v xml:space="preserve">  2 -   3</v>
          </cell>
          <cell r="E15" t="str">
            <v xml:space="preserve">  1 -   2</v>
          </cell>
          <cell r="F15" t="str">
            <v>0 -  1</v>
          </cell>
        </row>
        <row r="16">
          <cell r="B16">
            <v>69.230769230769226</v>
          </cell>
          <cell r="C16">
            <v>16.923076923076923</v>
          </cell>
          <cell r="D16">
            <v>13.846153846153847</v>
          </cell>
          <cell r="E16">
            <v>0</v>
          </cell>
          <cell r="F16">
            <v>0</v>
          </cell>
          <cell r="I16">
            <v>3.6</v>
          </cell>
          <cell r="J16">
            <v>0.88</v>
          </cell>
          <cell r="K16">
            <v>0.72</v>
          </cell>
          <cell r="L16">
            <v>0</v>
          </cell>
          <cell r="M16">
            <v>0</v>
          </cell>
        </row>
        <row r="17">
          <cell r="B17" t="str">
            <v>0 -  5</v>
          </cell>
          <cell r="C17" t="str">
            <v xml:space="preserve"> 5 - 10</v>
          </cell>
          <cell r="D17" t="str">
            <v>10 - 15</v>
          </cell>
          <cell r="E17" t="str">
            <v>15 - 20</v>
          </cell>
          <cell r="F17" t="str">
            <v>&gt; 20</v>
          </cell>
        </row>
        <row r="18">
          <cell r="B18">
            <v>0.76923076923076927</v>
          </cell>
          <cell r="C18">
            <v>59.615384615384613</v>
          </cell>
          <cell r="D18">
            <v>26.923076923076923</v>
          </cell>
          <cell r="E18">
            <v>12.692307692307692</v>
          </cell>
          <cell r="F18">
            <v>0</v>
          </cell>
          <cell r="I18">
            <v>0.04</v>
          </cell>
          <cell r="J18">
            <v>3.1</v>
          </cell>
          <cell r="K18">
            <v>1.4000000000000001</v>
          </cell>
          <cell r="L18">
            <v>0.66</v>
          </cell>
          <cell r="M18">
            <v>0</v>
          </cell>
        </row>
        <row r="19">
          <cell r="B19" t="str">
            <v>0 - 20</v>
          </cell>
          <cell r="C19" t="str">
            <v>20 - 40</v>
          </cell>
          <cell r="D19" t="str">
            <v>40 - 60</v>
          </cell>
          <cell r="E19" t="str">
            <v>60 - 80</v>
          </cell>
          <cell r="F19" t="str">
            <v>&gt; 80</v>
          </cell>
        </row>
        <row r="20">
          <cell r="B20">
            <v>0</v>
          </cell>
          <cell r="C20">
            <v>7.6923076923076925</v>
          </cell>
          <cell r="D20">
            <v>92.307692307692307</v>
          </cell>
          <cell r="E20">
            <v>0</v>
          </cell>
          <cell r="F20">
            <v>0</v>
          </cell>
          <cell r="I20">
            <v>0</v>
          </cell>
          <cell r="J20">
            <v>0.4</v>
          </cell>
          <cell r="K20">
            <v>4.8</v>
          </cell>
          <cell r="L20">
            <v>0</v>
          </cell>
          <cell r="M20">
            <v>0</v>
          </cell>
        </row>
        <row r="21">
          <cell r="B21" t="str">
            <v>0 - 20</v>
          </cell>
          <cell r="C21" t="str">
            <v>20 - 40</v>
          </cell>
          <cell r="D21" t="str">
            <v>40 - 80</v>
          </cell>
          <cell r="E21" t="str">
            <v>80 - 120</v>
          </cell>
          <cell r="F21" t="str">
            <v>&gt; 120</v>
          </cell>
        </row>
        <row r="22">
          <cell r="B22">
            <v>0</v>
          </cell>
          <cell r="C22">
            <v>93.07692307692308</v>
          </cell>
          <cell r="D22">
            <v>6.9230769230769234</v>
          </cell>
          <cell r="E22">
            <v>0</v>
          </cell>
          <cell r="F22">
            <v>0</v>
          </cell>
          <cell r="I22">
            <v>0</v>
          </cell>
          <cell r="J22">
            <v>4.84</v>
          </cell>
          <cell r="K22">
            <v>0.36</v>
          </cell>
          <cell r="L22">
            <v>0</v>
          </cell>
          <cell r="M22">
            <v>0</v>
          </cell>
        </row>
        <row r="23">
          <cell r="B23" t="str">
            <v xml:space="preserve">  4 - 5</v>
          </cell>
          <cell r="C23" t="str">
            <v xml:space="preserve">  3 -   4</v>
          </cell>
          <cell r="D23" t="str">
            <v xml:space="preserve">  2 -   3</v>
          </cell>
          <cell r="E23" t="str">
            <v xml:space="preserve">  1 -   2</v>
          </cell>
          <cell r="F23" t="str">
            <v>0 -  1</v>
          </cell>
        </row>
        <row r="24">
          <cell r="B24">
            <v>81.92307692307692</v>
          </cell>
          <cell r="C24">
            <v>18.076923076923077</v>
          </cell>
          <cell r="D24">
            <v>0</v>
          </cell>
          <cell r="E24">
            <v>0</v>
          </cell>
          <cell r="F24">
            <v>0</v>
          </cell>
          <cell r="I24">
            <v>4.26</v>
          </cell>
          <cell r="J24">
            <v>0.94000000000000006</v>
          </cell>
          <cell r="K24">
            <v>0</v>
          </cell>
          <cell r="L24">
            <v>0</v>
          </cell>
          <cell r="M24">
            <v>0</v>
          </cell>
        </row>
        <row r="25">
          <cell r="B25" t="str">
            <v xml:space="preserve">  4 - 5</v>
          </cell>
          <cell r="C25" t="str">
            <v xml:space="preserve">  3 -   4</v>
          </cell>
          <cell r="D25" t="str">
            <v xml:space="preserve">  2 -   3</v>
          </cell>
          <cell r="E25" t="str">
            <v xml:space="preserve">  1 -   2</v>
          </cell>
          <cell r="F25" t="str">
            <v>0 -  1</v>
          </cell>
        </row>
        <row r="26">
          <cell r="B26">
            <v>36.538461538461533</v>
          </cell>
          <cell r="C26">
            <v>55.769230769230774</v>
          </cell>
          <cell r="D26">
            <v>7.6923076923076925</v>
          </cell>
          <cell r="E26">
            <v>0</v>
          </cell>
          <cell r="F26">
            <v>0</v>
          </cell>
          <cell r="I26">
            <v>1.9000000000000001</v>
          </cell>
          <cell r="J26">
            <v>2.9</v>
          </cell>
          <cell r="K26">
            <v>0.4</v>
          </cell>
          <cell r="L26">
            <v>0</v>
          </cell>
          <cell r="M26">
            <v>0</v>
          </cell>
        </row>
        <row r="27">
          <cell r="B27" t="str">
            <v xml:space="preserve">  4 - 5</v>
          </cell>
          <cell r="C27" t="str">
            <v xml:space="preserve">  3 -   4</v>
          </cell>
          <cell r="D27" t="str">
            <v xml:space="preserve">  2 -   3</v>
          </cell>
          <cell r="E27" t="str">
            <v xml:space="preserve">  1 -   2</v>
          </cell>
          <cell r="F27" t="str">
            <v>0 -  1</v>
          </cell>
        </row>
        <row r="28">
          <cell r="B28">
            <v>0</v>
          </cell>
          <cell r="C28">
            <v>45.384615384615387</v>
          </cell>
          <cell r="D28">
            <v>54.615384615384613</v>
          </cell>
          <cell r="E28">
            <v>0</v>
          </cell>
          <cell r="F28">
            <v>0</v>
          </cell>
          <cell r="I28">
            <v>0</v>
          </cell>
          <cell r="J28">
            <v>2.36</v>
          </cell>
          <cell r="K28">
            <v>2.84</v>
          </cell>
          <cell r="L28">
            <v>0</v>
          </cell>
          <cell r="M28">
            <v>0</v>
          </cell>
        </row>
        <row r="29">
          <cell r="B29" t="str">
            <v xml:space="preserve">  4 - 5</v>
          </cell>
          <cell r="C29" t="str">
            <v xml:space="preserve">  3 -   4</v>
          </cell>
          <cell r="D29" t="str">
            <v xml:space="preserve">  2 -   3</v>
          </cell>
          <cell r="E29" t="str">
            <v xml:space="preserve">  1 -   2</v>
          </cell>
          <cell r="F29" t="str">
            <v>0 -  1</v>
          </cell>
        </row>
      </sheetData>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Orçamento"/>
      <sheetName val="Mat Asf"/>
      <sheetName val="aux"/>
      <sheetName val="coord. g rc"/>
      <sheetName val="PLE"/>
      <sheetName val="capa resumo"/>
      <sheetName val="capa documentação"/>
      <sheetName val="capa anexo i"/>
      <sheetName val="capa anexo ii"/>
      <sheetName val="capa anexo iii"/>
      <sheetName val="capa anexo iv"/>
      <sheetName val="CRONFISFIN_"/>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1.1"/>
      <sheetName val="1.2"/>
      <sheetName val="1.3"/>
      <sheetName val="1.4"/>
      <sheetName val="1.5"/>
      <sheetName val="1.6"/>
      <sheetName val="1.7"/>
      <sheetName val="1.8"/>
      <sheetName val="1.9"/>
      <sheetName val="1.10"/>
      <sheetName val="1.11"/>
      <sheetName val="1.12"/>
      <sheetName val="1,13"/>
      <sheetName val="1,14"/>
      <sheetName val="1.15"/>
      <sheetName val="1,16"/>
      <sheetName val="1,17"/>
      <sheetName val="aux1"/>
      <sheetName val="1,19"/>
      <sheetName val="1,20"/>
      <sheetName val="1,21"/>
      <sheetName val="1,22"/>
      <sheetName val="1,23"/>
      <sheetName val="1.24"/>
      <sheetName val="1.25"/>
      <sheetName val="1.26"/>
      <sheetName val="1.28"/>
      <sheetName val="1.29"/>
      <sheetName val="3.4"/>
      <sheetName val="D"/>
      <sheetName val="2.1"/>
      <sheetName val="H"/>
      <sheetName val="I"/>
      <sheetName val="J"/>
      <sheetName val="K"/>
      <sheetName val="L"/>
      <sheetName val="M"/>
      <sheetName val="N"/>
      <sheetName val="O"/>
      <sheetName val="aux. 2"/>
      <sheetName val="Q"/>
      <sheetName val="R"/>
      <sheetName val="S"/>
      <sheetName val="T"/>
      <sheetName val="U"/>
      <sheetName val="B"/>
      <sheetName val="G"/>
      <sheetName val="P"/>
      <sheetName val="RESUMO"/>
      <sheetName val="REAJU"/>
      <sheetName val="TSD-FOG"/>
      <sheetName val="Sub e base"/>
      <sheetName val="AGREGADOS"/>
      <sheetName val="DMT modelo"/>
      <sheetName val="Quadro Resumo"/>
      <sheetName val="RELATÓRIO"/>
      <sheetName val="aux"/>
      <sheetName val="Página 16"/>
      <sheetName val="Recuperação da Pista"/>
      <sheetName val="estgg"/>
      <sheetName val="Anual"/>
      <sheetName val="compos1"/>
      <sheetName val="orcID nº1"/>
      <sheetName val="orc ID nº 15"/>
      <sheetName val="orc ID nº17"/>
      <sheetName val="orc ID nº 18"/>
      <sheetName val="orc ID nº19"/>
      <sheetName val="orc ID nº2 "/>
      <sheetName val="orc ID nº3"/>
      <sheetName val="orcID nº4"/>
      <sheetName val="orcID nº5"/>
      <sheetName val="orcID nº6"/>
      <sheetName val="orcID nº7"/>
      <sheetName val="orc ID nº8"/>
      <sheetName val="orc ID nº9"/>
      <sheetName val="orc ID nº12"/>
      <sheetName val="orc ID nº13"/>
      <sheetName val="orc ID nº 14"/>
      <sheetName val="orc ID nº16"/>
      <sheetName val="Rel-15ª med."/>
      <sheetName val="PMF"/>
      <sheetName val="Regula"/>
      <sheetName val="serviços"/>
      <sheetName val="tlmb"/>
      <sheetName val="Orçamento"/>
      <sheetName val="Dados"/>
      <sheetName val="eq"/>
      <sheetName val="mo"/>
      <sheetName val="reg_mec_fx_dm_"/>
      <sheetName val="Custo horário de Equip"/>
      <sheetName val="Custo Mão-de-Obra"/>
      <sheetName val="Res. dos Materias - Atividade"/>
      <sheetName val="E"/>
      <sheetName val="F"/>
      <sheetName val="1. Cadastro da LM"/>
      <sheetName val="4. Orçamento FD"/>
      <sheetName val="aterro"/>
      <sheetName val="tsd"/>
    </sheetNames>
    <sheetDataSet>
      <sheetData sheetId="0"/>
      <sheetData sheetId="1"/>
      <sheetData sheetId="2"/>
      <sheetData sheetId="3"/>
      <sheetData sheetId="4"/>
      <sheetData sheetId="5" refreshError="1">
        <row r="11">
          <cell r="A11" t="str">
            <v>a</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refreshError="1"/>
      <sheetData sheetId="86"/>
      <sheetData sheetId="87"/>
      <sheetData sheetId="88" refreshError="1"/>
      <sheetData sheetId="89" refreshError="1"/>
      <sheetData sheetId="90" refreshError="1"/>
      <sheetData sheetId="91" refreshError="1"/>
      <sheetData sheetId="92"/>
      <sheetData sheetId="93"/>
      <sheetData sheetId="94" refreshError="1"/>
      <sheetData sheetId="95" refreshError="1"/>
      <sheetData sheetId="96" refreshError="1"/>
      <sheetData sheetId="97"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Tabela abril 2000"/>
      <sheetName val="RELATÓRIO"/>
      <sheetName val="RESUMO-DVOP"/>
      <sheetName val="REAJU"/>
      <sheetName val="Cronograma Físico-Financeiro"/>
      <sheetName val="Desmatamento"/>
      <sheetName val="Aterro"/>
      <sheetName val="Aterro (2)"/>
      <sheetName val="Cortes"/>
      <sheetName val="Compac.95%"/>
      <sheetName val="Compac.100%"/>
      <sheetName val="DMT Terrap."/>
      <sheetName val="O.A.C."/>
      <sheetName val="Regularização"/>
      <sheetName val="Croquis"/>
      <sheetName val="Base"/>
      <sheetName val="Solo-Cimento"/>
      <sheetName val="Imprimação"/>
      <sheetName val="Concreto "/>
      <sheetName val="D.M.T. Brita"/>
      <sheetName val="T.S.D."/>
      <sheetName val="Meio-fio"/>
      <sheetName val="Dren. Superf."/>
      <sheetName val="GRAMA"/>
      <sheetName val="Sinal. Horizont."/>
      <sheetName val="DMT DIGITAÇÃO"/>
      <sheetName val="CUSTO HORÁRIO"/>
      <sheetName val="Mão de obra"/>
      <sheetName val="Material"/>
      <sheetName val="PLANILH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DADOS DE ENTRADA CONCORRÊNCIA"/>
      <sheetName val="QUADRO 10 - PESSOAL"/>
      <sheetName val="quadro 09 - Equipamentos"/>
      <sheetName val="QUADRO 08 - COMPOSIÇÕES"/>
      <sheetName val="QUADRO 07 - PREÇO UNITÁRIOS"/>
      <sheetName val="QUADRO 06"/>
      <sheetName val="COMPOSIÇÃO BDI"/>
      <sheetName val="LEIS SOCIAIS"/>
      <sheetName val="TESTE PARA VALOR"/>
      <sheetName val="ANEXO 01"/>
      <sheetName val="SERVIÇOS NÃO DIRETAMENTE REMUNE"/>
      <sheetName val="CRONOGRAMA FÍSICO"/>
      <sheetName val="CÁLCULO DO VALOR PROPOSTA"/>
      <sheetName val="Transporte"/>
      <sheetName val="Sub-base"/>
    </sheetNames>
    <sheetDataSet>
      <sheetData sheetId="0" refreshError="1">
        <row r="8">
          <cell r="B8" t="str">
            <v xml:space="preserve">Rondonópolis/MT, 14 de Abril de 1.998 </v>
          </cell>
        </row>
        <row r="15">
          <cell r="B15" t="str">
            <v>RODOVIA: BR-262/MS</v>
          </cell>
        </row>
        <row r="16">
          <cell r="B16" t="str">
            <v>TRECHO: DIV. SP/MS - DIV. Brasil/Bolívia</v>
          </cell>
        </row>
        <row r="19">
          <cell r="B19" t="str">
            <v>SEGMENTO: Na Altura do Km 141,0</v>
          </cell>
        </row>
        <row r="22">
          <cell r="B22" t="str">
            <v>BR-262/MS</v>
          </cell>
        </row>
        <row r="23">
          <cell r="B23" t="str">
            <v>DIV. SP/MS - DIV. Brasil/Bolívia</v>
          </cell>
        </row>
        <row r="25">
          <cell r="B25" t="str">
            <v>Altura do Km 141,0</v>
          </cell>
        </row>
      </sheetData>
      <sheetData sheetId="1"/>
      <sheetData sheetId="2"/>
      <sheetData sheetId="3" refreshError="1">
        <row r="129">
          <cell r="H129">
            <v>132.72</v>
          </cell>
        </row>
        <row r="569">
          <cell r="H569">
            <v>7.8</v>
          </cell>
        </row>
        <row r="713">
          <cell r="H713">
            <v>51.84</v>
          </cell>
        </row>
        <row r="715">
          <cell r="H715">
            <v>70.39</v>
          </cell>
        </row>
        <row r="786">
          <cell r="H786">
            <v>1.83</v>
          </cell>
        </row>
      </sheetData>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0.xml"/><Relationship Id="rId1" Type="http://schemas.openxmlformats.org/officeDocument/2006/relationships/printerSettings" Target="../printerSettings/printerSettings20.bin"/><Relationship Id="rId4" Type="http://schemas.openxmlformats.org/officeDocument/2006/relationships/oleObject" Target="../embeddings/oleObject2.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FFCCFF"/>
  </sheetPr>
  <dimension ref="A1:V145"/>
  <sheetViews>
    <sheetView view="pageBreakPreview" topLeftCell="A112" zoomScale="80" zoomScaleSheetLayoutView="80" workbookViewId="0">
      <selection activeCell="E150" sqref="E150"/>
    </sheetView>
  </sheetViews>
  <sheetFormatPr defaultRowHeight="15"/>
  <cols>
    <col min="1" max="1" width="4" style="893" customWidth="1"/>
    <col min="2" max="2" width="3.5703125" style="893" customWidth="1"/>
    <col min="3" max="3" width="13.42578125" style="861" customWidth="1"/>
    <col min="4" max="5" width="16" style="861" customWidth="1"/>
    <col min="6" max="6" width="22.85546875" style="861" customWidth="1"/>
    <col min="7" max="7" width="26.5703125" style="861" customWidth="1"/>
    <col min="8" max="8" width="18.42578125" style="861" customWidth="1"/>
    <col min="9" max="9" width="18.85546875" style="862" customWidth="1"/>
    <col min="10" max="10" width="22.28515625" style="862" customWidth="1"/>
    <col min="11" max="11" width="21.85546875" style="862" customWidth="1"/>
    <col min="12" max="12" width="16" style="861" customWidth="1"/>
    <col min="13" max="13" width="13.5703125" style="861" customWidth="1"/>
    <col min="14" max="14" width="26.140625" customWidth="1"/>
    <col min="15" max="15" width="44.28515625" customWidth="1"/>
    <col min="16" max="16" width="13.140625" customWidth="1"/>
  </cols>
  <sheetData>
    <row r="1" spans="3:13" ht="15.75" thickBot="1"/>
    <row r="2" spans="3:13" ht="32.25" customHeight="1">
      <c r="C2" s="863"/>
      <c r="D2" s="1527" t="s">
        <v>2996</v>
      </c>
      <c r="E2" s="1527"/>
      <c r="F2" s="1527"/>
      <c r="G2" s="1527"/>
      <c r="H2" s="1527"/>
      <c r="I2" s="1527"/>
      <c r="J2" s="1527"/>
      <c r="K2" s="1527"/>
      <c r="L2" s="1527"/>
      <c r="M2" s="864"/>
    </row>
    <row r="3" spans="3:13">
      <c r="C3" s="865"/>
      <c r="D3" s="1528" t="s">
        <v>6894</v>
      </c>
      <c r="E3" s="1528"/>
      <c r="F3" s="1528"/>
      <c r="G3" s="1528"/>
      <c r="H3" s="1528"/>
      <c r="I3" s="1528"/>
      <c r="J3" s="1528"/>
      <c r="K3" s="1528"/>
      <c r="L3" s="1528"/>
      <c r="M3" s="866"/>
    </row>
    <row r="4" spans="3:13">
      <c r="C4" s="865"/>
      <c r="D4" s="1529" t="s">
        <v>3063</v>
      </c>
      <c r="E4" s="1529"/>
      <c r="F4" s="1529"/>
      <c r="G4" s="1529"/>
      <c r="H4" s="1529"/>
      <c r="I4" s="1529"/>
      <c r="J4" s="1529"/>
      <c r="K4" s="1529"/>
      <c r="L4" s="1529"/>
      <c r="M4" s="867"/>
    </row>
    <row r="5" spans="3:13" ht="15.75" thickBot="1">
      <c r="C5" s="865"/>
      <c r="D5" s="1529" t="s">
        <v>2999</v>
      </c>
      <c r="E5" s="1529"/>
      <c r="F5" s="1529"/>
      <c r="G5" s="1529"/>
      <c r="H5" s="1529"/>
      <c r="I5" s="1529"/>
      <c r="J5" s="1529"/>
      <c r="K5" s="1529"/>
      <c r="L5" s="1529"/>
      <c r="M5" s="867"/>
    </row>
    <row r="6" spans="3:13" ht="16.5" thickBot="1">
      <c r="C6" s="1530" t="s">
        <v>467</v>
      </c>
      <c r="D6" s="1531"/>
      <c r="E6" s="1531"/>
      <c r="F6" s="1531"/>
      <c r="G6" s="1531"/>
      <c r="H6" s="1531"/>
      <c r="I6" s="1531"/>
      <c r="J6" s="1531"/>
      <c r="K6" s="1531"/>
      <c r="L6" s="1531"/>
      <c r="M6" s="1532"/>
    </row>
    <row r="7" spans="3:13" ht="16.5" thickBot="1">
      <c r="C7" s="868"/>
      <c r="D7" s="1524" t="s">
        <v>6895</v>
      </c>
      <c r="E7" s="1524"/>
      <c r="F7" s="1524"/>
      <c r="G7" s="1524"/>
      <c r="H7" s="1524"/>
      <c r="I7" s="1524"/>
      <c r="J7" s="1524"/>
      <c r="K7" s="1524"/>
      <c r="L7" s="1524"/>
      <c r="M7" s="869"/>
    </row>
    <row r="8" spans="3:13" ht="6.75" customHeight="1">
      <c r="C8" s="870"/>
      <c r="D8" s="871"/>
      <c r="E8" s="871"/>
      <c r="F8" s="872"/>
      <c r="G8" s="872"/>
      <c r="H8" s="872"/>
      <c r="I8" s="871"/>
      <c r="J8" s="871"/>
      <c r="K8" s="871"/>
      <c r="L8" s="873"/>
      <c r="M8" s="874"/>
    </row>
    <row r="9" spans="3:13">
      <c r="C9" s="875" t="s">
        <v>6896</v>
      </c>
      <c r="D9" s="876" t="str">
        <f>'ORÇAMENTO '!G11</f>
        <v xml:space="preserve">SISTEMA DE ABASTECIMENTO DE ÁGUA </v>
      </c>
      <c r="E9" s="877"/>
      <c r="F9" s="877"/>
      <c r="G9" s="877"/>
      <c r="H9" s="877"/>
      <c r="I9" s="877"/>
      <c r="J9" s="877"/>
      <c r="K9" s="877"/>
      <c r="L9" s="877"/>
      <c r="M9" s="878"/>
    </row>
    <row r="10" spans="3:13">
      <c r="C10" s="875" t="s">
        <v>6897</v>
      </c>
      <c r="D10" s="879" t="str">
        <f>'ORÇAMENTO '!G12</f>
        <v>SETOR PIONEIRO - MUNICÍPIO DE APIACÁS</v>
      </c>
      <c r="E10" s="880"/>
      <c r="F10" s="881"/>
      <c r="G10" s="881"/>
      <c r="H10" s="881"/>
      <c r="I10" s="882"/>
      <c r="J10" s="882"/>
      <c r="K10" s="882"/>
      <c r="L10" s="883"/>
      <c r="M10" s="866"/>
    </row>
    <row r="11" spans="3:13">
      <c r="C11" s="875" t="s">
        <v>7</v>
      </c>
      <c r="D11" s="884">
        <f ca="1">TODAY()</f>
        <v>45167</v>
      </c>
      <c r="E11" s="879"/>
      <c r="F11" s="881"/>
      <c r="G11" s="881"/>
      <c r="H11" s="881"/>
      <c r="I11" s="882"/>
      <c r="J11" s="882"/>
      <c r="K11" s="882"/>
      <c r="L11" s="883"/>
      <c r="M11" s="866"/>
    </row>
    <row r="12" spans="3:13" ht="6.75" customHeight="1" thickBot="1">
      <c r="C12" s="885"/>
      <c r="D12" s="886"/>
      <c r="E12" s="886"/>
      <c r="F12" s="887"/>
      <c r="G12" s="887"/>
      <c r="H12" s="887"/>
      <c r="I12" s="888"/>
      <c r="J12" s="888"/>
      <c r="K12" s="888"/>
      <c r="L12" s="889"/>
      <c r="M12" s="890"/>
    </row>
    <row r="13" spans="3:13" ht="15.75" thickBot="1"/>
    <row r="14" spans="3:13" ht="16.5" thickBot="1">
      <c r="C14" s="1506" t="s">
        <v>6898</v>
      </c>
      <c r="D14" s="1507"/>
      <c r="E14" s="1507"/>
      <c r="F14" s="1507"/>
      <c r="G14" s="1507"/>
      <c r="H14" s="1507"/>
      <c r="I14" s="1507"/>
      <c r="J14" s="1507"/>
      <c r="K14" s="1507"/>
      <c r="L14" s="1507"/>
      <c r="M14" s="1508"/>
    </row>
    <row r="15" spans="3:13" ht="16.5" thickBot="1">
      <c r="C15" s="891"/>
      <c r="D15" s="891"/>
      <c r="E15" s="891"/>
      <c r="F15" s="891"/>
      <c r="G15" s="891"/>
      <c r="H15" s="891"/>
      <c r="I15" s="892"/>
      <c r="J15" s="892"/>
      <c r="K15" s="892"/>
      <c r="L15" s="891"/>
      <c r="M15" s="891"/>
    </row>
    <row r="16" spans="3:13" ht="16.5" thickBot="1">
      <c r="C16" s="1506" t="s">
        <v>6899</v>
      </c>
      <c r="D16" s="1507"/>
      <c r="E16" s="1507"/>
      <c r="F16" s="1507"/>
      <c r="G16" s="1507"/>
      <c r="H16" s="1507"/>
      <c r="I16" s="1507"/>
      <c r="J16" s="1507"/>
      <c r="K16" s="1507"/>
      <c r="L16" s="1507"/>
      <c r="M16" s="1508"/>
    </row>
    <row r="17" spans="1:15" ht="15.75">
      <c r="C17" s="891"/>
      <c r="D17" s="891"/>
      <c r="E17" s="891"/>
      <c r="F17" s="891"/>
      <c r="G17" s="891"/>
      <c r="H17" s="891"/>
      <c r="I17" s="892"/>
      <c r="J17" s="892"/>
      <c r="K17" s="892"/>
      <c r="L17" s="891"/>
      <c r="M17" s="891"/>
    </row>
    <row r="18" spans="1:15" ht="15.75">
      <c r="C18" s="891"/>
      <c r="D18" s="891"/>
      <c r="E18" s="891"/>
      <c r="F18" s="891"/>
      <c r="G18" s="891"/>
      <c r="H18" s="891"/>
      <c r="I18" s="892"/>
      <c r="J18" s="892"/>
      <c r="K18" s="892"/>
      <c r="L18" s="891"/>
      <c r="M18" s="891"/>
    </row>
    <row r="19" spans="1:15" ht="15.75">
      <c r="C19" s="891"/>
      <c r="D19" s="891"/>
      <c r="E19" s="891"/>
      <c r="F19" s="891"/>
      <c r="G19" s="891"/>
      <c r="H19" s="891"/>
      <c r="I19" s="892"/>
      <c r="J19" s="892"/>
      <c r="K19" s="892"/>
      <c r="L19" s="891"/>
      <c r="M19" s="891"/>
    </row>
    <row r="20" spans="1:15" ht="15.75">
      <c r="C20" s="891"/>
      <c r="D20" s="891"/>
      <c r="E20" s="891"/>
      <c r="F20" s="891"/>
      <c r="G20" s="891"/>
      <c r="H20" s="891"/>
      <c r="I20" s="892"/>
      <c r="J20" s="892"/>
      <c r="K20" s="892"/>
      <c r="L20" s="891"/>
      <c r="M20" s="891"/>
    </row>
    <row r="21" spans="1:15" ht="15.75">
      <c r="C21" s="891"/>
      <c r="D21" s="891"/>
      <c r="E21" s="891"/>
      <c r="F21" s="891"/>
      <c r="G21" s="891"/>
      <c r="H21" s="891"/>
      <c r="I21" s="892"/>
      <c r="J21" s="892"/>
      <c r="K21" s="892"/>
      <c r="L21" s="891"/>
      <c r="M21" s="891"/>
    </row>
    <row r="22" spans="1:15" ht="15.75">
      <c r="A22" s="894"/>
      <c r="B22" s="894"/>
      <c r="C22" s="771" t="s">
        <v>6900</v>
      </c>
      <c r="D22" s="891"/>
      <c r="E22" s="891"/>
      <c r="F22" s="891"/>
      <c r="G22" s="891"/>
      <c r="H22" s="891"/>
      <c r="I22" s="892"/>
      <c r="J22" s="892"/>
      <c r="K22" s="892"/>
      <c r="L22" s="891"/>
      <c r="M22" s="891"/>
    </row>
    <row r="23" spans="1:15" ht="15.75">
      <c r="A23" s="894"/>
      <c r="B23" s="894"/>
      <c r="C23" s="891" t="s">
        <v>6901</v>
      </c>
      <c r="D23" s="891"/>
      <c r="E23" s="891"/>
      <c r="F23" s="891"/>
      <c r="G23" s="891"/>
      <c r="H23" s="891"/>
      <c r="I23" s="895">
        <v>164.7</v>
      </c>
      <c r="J23" s="892" t="s">
        <v>6902</v>
      </c>
      <c r="K23" s="896" t="s">
        <v>6981</v>
      </c>
      <c r="L23" s="891"/>
      <c r="M23" s="891"/>
    </row>
    <row r="24" spans="1:15" ht="15.75">
      <c r="A24" s="894"/>
      <c r="B24" s="894"/>
      <c r="C24" s="891" t="s">
        <v>6903</v>
      </c>
      <c r="D24" s="891"/>
      <c r="E24" s="891"/>
      <c r="F24" s="891"/>
      <c r="G24" s="891"/>
      <c r="H24" s="897" t="s">
        <v>6904</v>
      </c>
      <c r="I24" s="898">
        <v>0.8</v>
      </c>
      <c r="J24" s="892"/>
      <c r="K24" s="892"/>
      <c r="L24" s="891"/>
      <c r="M24" s="891"/>
    </row>
    <row r="25" spans="1:15" ht="15.75">
      <c r="A25" s="894"/>
      <c r="B25" s="894"/>
      <c r="C25" s="891" t="s">
        <v>6905</v>
      </c>
      <c r="D25" s="891"/>
      <c r="E25" s="891"/>
      <c r="F25" s="891"/>
      <c r="G25" s="891"/>
      <c r="H25" s="899" t="s">
        <v>6906</v>
      </c>
      <c r="I25" s="898">
        <v>1.2</v>
      </c>
      <c r="J25" s="892"/>
      <c r="K25" s="892"/>
      <c r="L25" s="891"/>
      <c r="M25" s="891"/>
      <c r="O25" s="772"/>
    </row>
    <row r="26" spans="1:15" ht="15.75">
      <c r="A26" s="894"/>
      <c r="B26" s="894"/>
      <c r="C26" s="891"/>
      <c r="D26" s="891"/>
      <c r="E26" s="891"/>
      <c r="F26" s="891"/>
      <c r="G26" s="891"/>
      <c r="H26" s="899" t="s">
        <v>6907</v>
      </c>
      <c r="I26" s="898">
        <v>1.5</v>
      </c>
      <c r="J26" s="892"/>
      <c r="K26" s="892"/>
      <c r="L26" s="891"/>
      <c r="M26" s="891"/>
      <c r="O26" s="773"/>
    </row>
    <row r="27" spans="1:15" ht="15.75">
      <c r="A27" s="894"/>
      <c r="B27" s="894"/>
      <c r="C27" s="891"/>
      <c r="D27" s="891"/>
      <c r="E27" s="891"/>
      <c r="F27" s="891"/>
      <c r="G27" s="891"/>
      <c r="H27" s="899" t="s">
        <v>6908</v>
      </c>
      <c r="I27" s="898">
        <v>0.5</v>
      </c>
      <c r="J27" s="892"/>
      <c r="K27" s="892"/>
      <c r="L27" s="891"/>
      <c r="M27" s="891"/>
    </row>
    <row r="28" spans="1:15" ht="16.5" thickBot="1">
      <c r="A28" s="894"/>
      <c r="B28" s="894"/>
      <c r="C28" s="891"/>
      <c r="D28" s="891"/>
      <c r="E28" s="891"/>
      <c r="F28" s="891"/>
      <c r="G28" s="891"/>
      <c r="H28" s="899"/>
      <c r="I28" s="898"/>
      <c r="J28" s="892"/>
      <c r="K28" s="892"/>
      <c r="L28" s="891"/>
      <c r="M28" s="891"/>
    </row>
    <row r="29" spans="1:15" ht="16.5" thickBot="1">
      <c r="C29" s="900" t="s">
        <v>6909</v>
      </c>
      <c r="D29" s="901"/>
      <c r="E29" s="902"/>
      <c r="F29" s="900" t="s">
        <v>6910</v>
      </c>
      <c r="G29" s="900"/>
      <c r="H29" s="903"/>
      <c r="I29" s="900" t="s">
        <v>6911</v>
      </c>
      <c r="J29" s="903"/>
      <c r="K29" s="904" t="s">
        <v>6912</v>
      </c>
      <c r="L29" s="905"/>
      <c r="M29" s="906"/>
    </row>
    <row r="30" spans="1:15" ht="15.75">
      <c r="A30" s="894"/>
      <c r="B30" s="894"/>
      <c r="C30" s="907"/>
      <c r="D30" s="891"/>
      <c r="E30" s="908"/>
      <c r="F30" s="909"/>
      <c r="G30" s="891"/>
      <c r="H30" s="910"/>
      <c r="I30" s="898"/>
      <c r="J30" s="911"/>
      <c r="K30" s="912"/>
      <c r="L30" s="891"/>
      <c r="M30" s="908"/>
    </row>
    <row r="31" spans="1:15" ht="15.75">
      <c r="A31" s="894"/>
      <c r="B31" s="894"/>
      <c r="C31" s="907"/>
      <c r="D31" s="891"/>
      <c r="E31" s="908"/>
      <c r="F31" s="907"/>
      <c r="G31" s="891"/>
      <c r="H31" s="910"/>
      <c r="I31" s="898"/>
      <c r="J31" s="911"/>
      <c r="K31" s="912"/>
      <c r="L31" s="891"/>
      <c r="M31" s="908"/>
    </row>
    <row r="32" spans="1:15" ht="16.5" thickBot="1">
      <c r="A32" s="894"/>
      <c r="B32" s="894"/>
      <c r="C32" s="913"/>
      <c r="D32" s="914"/>
      <c r="E32" s="915"/>
      <c r="F32" s="913"/>
      <c r="G32" s="914"/>
      <c r="H32" s="916"/>
      <c r="I32" s="917"/>
      <c r="J32" s="918"/>
      <c r="K32" s="919"/>
      <c r="L32" s="914"/>
      <c r="M32" s="915"/>
    </row>
    <row r="33" spans="1:13" ht="16.5" thickBot="1">
      <c r="A33" s="920"/>
      <c r="B33" s="920"/>
      <c r="C33" s="774"/>
      <c r="D33" s="774"/>
      <c r="E33" s="774"/>
      <c r="F33" s="774"/>
      <c r="G33" s="774"/>
      <c r="H33" s="921"/>
      <c r="I33" s="774"/>
      <c r="J33" s="774"/>
      <c r="K33" s="774"/>
      <c r="L33" s="774"/>
      <c r="M33" s="774"/>
    </row>
    <row r="34" spans="1:13" ht="16.5" thickBot="1">
      <c r="C34" s="1506" t="s">
        <v>6913</v>
      </c>
      <c r="D34" s="1507"/>
      <c r="E34" s="1507"/>
      <c r="F34" s="1507"/>
      <c r="G34" s="1507"/>
      <c r="H34" s="1507"/>
      <c r="I34" s="1507"/>
      <c r="J34" s="1507"/>
      <c r="K34" s="1507"/>
      <c r="L34" s="1507"/>
      <c r="M34" s="1508"/>
    </row>
    <row r="35" spans="1:13" ht="15.75">
      <c r="B35" s="775"/>
      <c r="C35" s="779" t="s">
        <v>6982</v>
      </c>
      <c r="D35" s="776"/>
      <c r="E35" s="777"/>
      <c r="F35" s="778"/>
      <c r="G35" s="778"/>
      <c r="H35" s="778"/>
      <c r="I35" s="778"/>
      <c r="J35" s="778"/>
      <c r="K35" s="778"/>
      <c r="L35" s="779"/>
      <c r="M35" s="891"/>
    </row>
    <row r="36" spans="1:13" ht="15.75">
      <c r="B36" s="775"/>
      <c r="C36" s="779" t="s">
        <v>6914</v>
      </c>
      <c r="D36" s="776"/>
      <c r="E36" s="777"/>
      <c r="F36" s="778"/>
      <c r="G36" s="778"/>
      <c r="H36" s="778"/>
      <c r="I36" s="778"/>
      <c r="J36" s="778"/>
      <c r="K36" s="778"/>
      <c r="L36" s="779"/>
      <c r="M36" s="891"/>
    </row>
    <row r="37" spans="1:13" ht="15.75">
      <c r="B37" s="775"/>
      <c r="C37" s="779"/>
      <c r="D37" s="776"/>
      <c r="E37" s="777"/>
      <c r="F37" s="778"/>
      <c r="G37" s="778"/>
      <c r="H37" s="778"/>
      <c r="I37" s="778"/>
      <c r="J37" s="778"/>
      <c r="K37" s="778"/>
      <c r="L37" s="779"/>
      <c r="M37" s="891"/>
    </row>
    <row r="38" spans="1:13" ht="16.5" thickBot="1">
      <c r="B38" s="775"/>
      <c r="C38" s="779"/>
      <c r="D38" s="780" t="s">
        <v>6983</v>
      </c>
      <c r="E38" s="781"/>
      <c r="F38" s="781"/>
      <c r="G38" s="781"/>
      <c r="H38" s="781"/>
      <c r="I38" s="781"/>
      <c r="J38" s="781"/>
      <c r="K38" s="778"/>
      <c r="L38" s="779"/>
      <c r="M38" s="891"/>
    </row>
    <row r="39" spans="1:13" ht="31.5">
      <c r="B39" s="775"/>
      <c r="C39" s="779"/>
      <c r="D39" s="782" t="s">
        <v>6915</v>
      </c>
      <c r="E39" s="1515">
        <v>2010</v>
      </c>
      <c r="F39" s="1516"/>
      <c r="G39" s="1517"/>
      <c r="H39" s="922"/>
      <c r="I39" s="922"/>
      <c r="J39" s="922"/>
      <c r="K39" s="778"/>
      <c r="L39" s="779"/>
      <c r="M39" s="891"/>
    </row>
    <row r="40" spans="1:13" ht="15.75">
      <c r="B40" s="775"/>
      <c r="C40" s="779"/>
      <c r="D40" s="923"/>
      <c r="E40" s="924"/>
      <c r="F40" s="1518" t="s">
        <v>6916</v>
      </c>
      <c r="G40" s="1519"/>
      <c r="H40" s="925"/>
      <c r="I40" s="922"/>
      <c r="J40" s="922"/>
      <c r="K40" s="778"/>
      <c r="L40" s="779"/>
      <c r="M40" s="891"/>
    </row>
    <row r="41" spans="1:13" ht="15.75">
      <c r="B41" s="775"/>
      <c r="C41" s="779"/>
      <c r="D41" s="923"/>
      <c r="E41" s="783" t="s">
        <v>192</v>
      </c>
      <c r="F41" s="783" t="s">
        <v>6917</v>
      </c>
      <c r="G41" s="784" t="s">
        <v>6918</v>
      </c>
      <c r="H41" s="926"/>
      <c r="I41" s="926"/>
      <c r="J41" s="926"/>
      <c r="K41" s="778"/>
      <c r="L41" s="779"/>
      <c r="M41" s="891"/>
    </row>
    <row r="42" spans="1:13" ht="15.75">
      <c r="B42" s="775"/>
      <c r="C42" s="779"/>
      <c r="D42" s="785" t="s">
        <v>6919</v>
      </c>
      <c r="E42" s="927">
        <f>F42+G42</f>
        <v>2459</v>
      </c>
      <c r="F42" s="927">
        <v>1839</v>
      </c>
      <c r="G42" s="928">
        <v>620</v>
      </c>
      <c r="H42" s="929"/>
      <c r="I42" s="929"/>
      <c r="J42" s="930"/>
      <c r="K42" s="778"/>
      <c r="L42" s="779"/>
      <c r="M42" s="891"/>
    </row>
    <row r="43" spans="1:13" ht="16.5" thickBot="1">
      <c r="B43" s="775"/>
      <c r="C43" s="779"/>
      <c r="D43" s="786" t="s">
        <v>6920</v>
      </c>
      <c r="E43" s="931">
        <f>F43+G43</f>
        <v>8567</v>
      </c>
      <c r="F43" s="931">
        <v>6377</v>
      </c>
      <c r="G43" s="932">
        <v>2190</v>
      </c>
      <c r="H43" s="929"/>
      <c r="I43" s="929"/>
      <c r="J43" s="929"/>
      <c r="K43" s="778"/>
      <c r="L43" s="779"/>
      <c r="M43" s="891"/>
    </row>
    <row r="44" spans="1:13" ht="15.75">
      <c r="B44" s="775"/>
      <c r="C44" s="779"/>
      <c r="D44" s="787" t="s">
        <v>6921</v>
      </c>
      <c r="E44" s="781"/>
      <c r="F44" s="781"/>
      <c r="G44" s="781"/>
      <c r="H44" s="781"/>
      <c r="I44" s="781"/>
      <c r="J44" s="892"/>
      <c r="K44" s="892"/>
      <c r="L44" s="891"/>
      <c r="M44" s="891"/>
    </row>
    <row r="45" spans="1:13" ht="15.75">
      <c r="B45" s="775"/>
      <c r="C45" s="779"/>
      <c r="D45" s="787"/>
      <c r="E45" s="781"/>
      <c r="F45" s="781"/>
      <c r="G45" s="781"/>
      <c r="H45" s="781"/>
      <c r="I45" s="781"/>
      <c r="J45" s="777"/>
      <c r="K45" s="811" t="s">
        <v>6922</v>
      </c>
      <c r="L45" s="788">
        <f>F42</f>
        <v>1839</v>
      </c>
      <c r="M45" s="891"/>
    </row>
    <row r="46" spans="1:13" ht="15.75">
      <c r="B46" s="775"/>
      <c r="C46" s="891"/>
      <c r="D46" s="891"/>
      <c r="E46" s="891"/>
      <c r="F46" s="791"/>
      <c r="G46" s="891"/>
      <c r="H46" s="891"/>
      <c r="I46" s="791"/>
      <c r="J46" s="777"/>
      <c r="K46" s="811" t="s">
        <v>6923</v>
      </c>
      <c r="L46" s="788">
        <f>F43</f>
        <v>6377</v>
      </c>
      <c r="M46" s="891"/>
    </row>
    <row r="47" spans="1:13" ht="15.75">
      <c r="B47" s="775"/>
      <c r="C47" s="891"/>
      <c r="D47" s="891"/>
      <c r="E47" s="891"/>
      <c r="F47" s="791"/>
      <c r="G47" s="891"/>
      <c r="H47" s="891"/>
      <c r="I47" s="791"/>
      <c r="J47" s="777"/>
      <c r="K47" s="777"/>
      <c r="L47" s="789"/>
      <c r="M47" s="891"/>
    </row>
    <row r="48" spans="1:13" ht="15.75">
      <c r="B48" s="775"/>
      <c r="C48" s="891"/>
      <c r="D48" s="891"/>
      <c r="E48" s="779"/>
      <c r="F48" s="791"/>
      <c r="G48" s="891"/>
      <c r="H48" s="891"/>
      <c r="I48" s="791"/>
      <c r="J48" s="777"/>
      <c r="K48" s="790" t="s">
        <v>6924</v>
      </c>
      <c r="L48" s="933">
        <f>L46/L45</f>
        <v>3.4676454594888528</v>
      </c>
      <c r="M48" s="891"/>
    </row>
    <row r="49" spans="2:13" ht="16.5" thickBot="1">
      <c r="B49" s="775"/>
      <c r="C49" s="779"/>
      <c r="D49" s="791"/>
      <c r="E49" s="777"/>
      <c r="F49" s="778"/>
      <c r="G49" s="778"/>
      <c r="H49" s="778"/>
      <c r="I49" s="778"/>
      <c r="J49" s="778"/>
      <c r="K49" s="778"/>
      <c r="L49" s="779"/>
      <c r="M49" s="891"/>
    </row>
    <row r="50" spans="2:13" ht="16.5" thickBot="1">
      <c r="C50" s="1506" t="s">
        <v>6925</v>
      </c>
      <c r="D50" s="1507"/>
      <c r="E50" s="1507"/>
      <c r="F50" s="1507"/>
      <c r="G50" s="1507"/>
      <c r="H50" s="1507"/>
      <c r="I50" s="1507"/>
      <c r="J50" s="1507"/>
      <c r="K50" s="1507"/>
      <c r="L50" s="1507"/>
      <c r="M50" s="1508"/>
    </row>
    <row r="51" spans="2:13" ht="15.75">
      <c r="B51" s="775"/>
      <c r="C51" s="779"/>
      <c r="D51" s="791"/>
      <c r="E51" s="777"/>
      <c r="F51" s="778"/>
      <c r="G51" s="778"/>
      <c r="H51" s="778"/>
      <c r="I51" s="778"/>
      <c r="J51" s="778"/>
      <c r="K51" s="778"/>
      <c r="L51" s="779"/>
      <c r="M51" s="891"/>
    </row>
    <row r="52" spans="2:13" ht="15.75">
      <c r="B52" s="775"/>
      <c r="C52" s="779"/>
      <c r="D52" s="791"/>
      <c r="E52" s="777"/>
      <c r="F52" s="778"/>
      <c r="G52" s="778"/>
      <c r="H52" s="778"/>
      <c r="I52" s="778"/>
      <c r="J52" s="778"/>
      <c r="K52" s="778"/>
      <c r="L52" s="779"/>
      <c r="M52" s="891"/>
    </row>
    <row r="53" spans="2:13" ht="15.75">
      <c r="B53" s="775"/>
      <c r="C53" s="779"/>
      <c r="D53" s="791"/>
      <c r="E53" s="777"/>
      <c r="F53" s="778"/>
      <c r="G53" s="778"/>
      <c r="H53" s="778"/>
      <c r="I53" s="778"/>
      <c r="J53" s="778"/>
      <c r="K53" s="778"/>
      <c r="L53" s="779"/>
      <c r="M53" s="891"/>
    </row>
    <row r="54" spans="2:13" ht="15.75">
      <c r="B54" s="775"/>
      <c r="C54" s="779"/>
      <c r="D54" s="791"/>
      <c r="E54" s="777"/>
      <c r="F54" s="778"/>
      <c r="G54" s="778"/>
      <c r="H54" s="778"/>
      <c r="I54" s="778"/>
      <c r="J54" s="778"/>
      <c r="K54" s="778"/>
      <c r="L54" s="779"/>
      <c r="M54" s="891"/>
    </row>
    <row r="55" spans="2:13" ht="15.75">
      <c r="B55" s="775"/>
      <c r="C55" s="779"/>
      <c r="D55" s="791"/>
      <c r="E55" s="777"/>
      <c r="F55" s="778"/>
      <c r="G55" s="778"/>
      <c r="H55" s="778"/>
      <c r="I55" s="778"/>
      <c r="J55" s="778"/>
      <c r="K55" s="778"/>
      <c r="L55" s="779"/>
      <c r="M55" s="891"/>
    </row>
    <row r="56" spans="2:13" ht="15.75">
      <c r="B56" s="775"/>
      <c r="C56" s="779"/>
      <c r="D56" s="791"/>
      <c r="E56" s="777"/>
      <c r="F56" s="778"/>
      <c r="G56" s="778"/>
      <c r="H56" s="778"/>
      <c r="I56" s="778"/>
      <c r="J56" s="778"/>
      <c r="K56" s="778"/>
      <c r="L56" s="779"/>
      <c r="M56" s="891"/>
    </row>
    <row r="57" spans="2:13" ht="15.75">
      <c r="B57" s="775"/>
      <c r="C57" s="779"/>
      <c r="D57" s="791"/>
      <c r="E57" s="777"/>
      <c r="F57" s="778"/>
      <c r="G57" s="778"/>
      <c r="H57" s="778"/>
      <c r="I57" s="778"/>
      <c r="J57" s="778"/>
      <c r="K57" s="778"/>
      <c r="L57" s="779"/>
      <c r="M57" s="891"/>
    </row>
    <row r="58" spans="2:13" ht="15.75">
      <c r="B58" s="775"/>
      <c r="C58" s="779"/>
      <c r="D58" s="791"/>
      <c r="E58" s="777"/>
      <c r="F58" s="778"/>
      <c r="G58" s="778"/>
      <c r="H58" s="778"/>
      <c r="I58" s="778"/>
      <c r="J58" s="778"/>
      <c r="K58" s="778"/>
      <c r="L58" s="779"/>
      <c r="M58" s="891"/>
    </row>
    <row r="59" spans="2:13" ht="15.75">
      <c r="B59" s="775"/>
      <c r="C59" s="779"/>
      <c r="D59" s="791"/>
      <c r="E59" s="777"/>
      <c r="F59" s="778"/>
      <c r="G59" s="778"/>
      <c r="H59" s="778"/>
      <c r="I59" s="778"/>
      <c r="J59" s="778"/>
      <c r="K59" s="778"/>
      <c r="L59" s="779"/>
      <c r="M59" s="891"/>
    </row>
    <row r="60" spans="2:13" ht="34.5" customHeight="1">
      <c r="B60" s="775"/>
      <c r="C60" s="779"/>
      <c r="D60" s="1525" t="s">
        <v>6926</v>
      </c>
      <c r="E60" s="1526"/>
      <c r="F60" s="778"/>
      <c r="G60" s="1525" t="s">
        <v>6984</v>
      </c>
      <c r="H60" s="1526"/>
      <c r="I60" s="778"/>
      <c r="J60" s="1525" t="s">
        <v>6985</v>
      </c>
      <c r="K60" s="1526"/>
      <c r="L60" s="792"/>
      <c r="M60" s="891"/>
    </row>
    <row r="61" spans="2:13" ht="31.5">
      <c r="B61" s="775"/>
      <c r="C61" s="779"/>
      <c r="D61" s="793" t="s">
        <v>6927</v>
      </c>
      <c r="E61" s="794" t="s">
        <v>6928</v>
      </c>
      <c r="F61" s="778"/>
      <c r="G61" s="793" t="s">
        <v>6927</v>
      </c>
      <c r="H61" s="794" t="s">
        <v>6929</v>
      </c>
      <c r="I61" s="778"/>
      <c r="J61" s="793" t="s">
        <v>6927</v>
      </c>
      <c r="K61" s="794" t="s">
        <v>6930</v>
      </c>
      <c r="L61" s="792"/>
      <c r="M61" s="891"/>
    </row>
    <row r="62" spans="2:13" ht="15.75">
      <c r="B62" s="775"/>
      <c r="C62" s="779"/>
      <c r="D62" s="934">
        <f>E75</f>
        <v>2010</v>
      </c>
      <c r="E62" s="935">
        <f>H75</f>
        <v>6377</v>
      </c>
      <c r="F62" s="778"/>
      <c r="G62" s="934">
        <f>E75</f>
        <v>2010</v>
      </c>
      <c r="H62" s="935">
        <f>I75</f>
        <v>2190</v>
      </c>
      <c r="I62" s="778"/>
      <c r="J62" s="934">
        <f>E75</f>
        <v>2010</v>
      </c>
      <c r="K62" s="935">
        <f>G75</f>
        <v>8567</v>
      </c>
      <c r="L62" s="792"/>
      <c r="M62" s="891"/>
    </row>
    <row r="63" spans="2:13" ht="15.75">
      <c r="B63" s="775"/>
      <c r="C63" s="779"/>
      <c r="D63" s="934">
        <f>E85</f>
        <v>2020</v>
      </c>
      <c r="E63" s="935">
        <f>H85</f>
        <v>6512</v>
      </c>
      <c r="F63" s="778"/>
      <c r="G63" s="934">
        <f>E85</f>
        <v>2020</v>
      </c>
      <c r="H63" s="935">
        <f>I85</f>
        <v>2257</v>
      </c>
      <c r="I63" s="778"/>
      <c r="J63" s="934">
        <f>E85</f>
        <v>2020</v>
      </c>
      <c r="K63" s="935">
        <f>G85</f>
        <v>8769</v>
      </c>
      <c r="L63" s="792"/>
      <c r="M63" s="891"/>
    </row>
    <row r="64" spans="2:13" ht="15.75">
      <c r="B64" s="775"/>
      <c r="C64" s="779"/>
      <c r="D64" s="795" t="s">
        <v>6931</v>
      </c>
      <c r="E64" s="796">
        <f>((E63/E62)^((1/(D63-D62))-1))</f>
        <v>0.98132264919458712</v>
      </c>
      <c r="F64" s="778"/>
      <c r="G64" s="795" t="s">
        <v>6931</v>
      </c>
      <c r="H64" s="796">
        <f>((H63/H62)^((1/(G63-G62))-1))</f>
        <v>0.97324302560384002</v>
      </c>
      <c r="I64" s="778"/>
      <c r="J64" s="795" t="s">
        <v>6931</v>
      </c>
      <c r="K64" s="796">
        <f>((K63/K62)^((1/(J63-J62))-1))</f>
        <v>0.97924379236044146</v>
      </c>
      <c r="L64" s="792"/>
      <c r="M64" s="936"/>
    </row>
    <row r="65" spans="1:22" ht="15.75">
      <c r="B65" s="775"/>
      <c r="C65" s="779"/>
      <c r="D65" s="777"/>
      <c r="E65" s="778"/>
      <c r="F65" s="778"/>
      <c r="G65" s="778"/>
      <c r="H65" s="778"/>
      <c r="I65" s="778"/>
      <c r="J65" s="778"/>
      <c r="K65" s="779"/>
      <c r="L65" s="792"/>
      <c r="M65" s="891"/>
    </row>
    <row r="66" spans="1:22" ht="15.75">
      <c r="A66" s="920"/>
      <c r="B66" s="920"/>
      <c r="C66" s="774"/>
      <c r="D66" s="937"/>
      <c r="E66" s="891"/>
      <c r="F66" s="938"/>
      <c r="G66" s="797" t="s">
        <v>6986</v>
      </c>
      <c r="H66" s="1513">
        <f>E64</f>
        <v>0.98132264919458712</v>
      </c>
      <c r="I66" s="1514" t="s">
        <v>6491</v>
      </c>
      <c r="J66" s="774"/>
      <c r="K66" s="939"/>
      <c r="L66" s="891"/>
      <c r="M66" s="939"/>
    </row>
    <row r="67" spans="1:22" ht="15.75">
      <c r="B67" s="775"/>
      <c r="C67" s="779"/>
      <c r="D67" s="791"/>
      <c r="E67" s="777"/>
      <c r="F67" s="778"/>
      <c r="G67" s="809" t="s">
        <v>6987</v>
      </c>
      <c r="H67" s="1513"/>
      <c r="I67" s="1514"/>
      <c r="J67" s="778"/>
      <c r="K67" s="778"/>
      <c r="L67" s="779"/>
      <c r="M67" s="891"/>
    </row>
    <row r="68" spans="1:22" ht="16.5" thickBot="1">
      <c r="B68" s="775"/>
      <c r="C68" s="779"/>
      <c r="D68" s="791"/>
      <c r="E68" s="777"/>
      <c r="F68" s="778"/>
      <c r="G68" s="778"/>
      <c r="H68" s="778"/>
      <c r="I68" s="778"/>
      <c r="J68" s="778"/>
      <c r="K68" s="778"/>
      <c r="L68" s="779"/>
      <c r="M68" s="891"/>
    </row>
    <row r="69" spans="1:22" ht="16.5" thickBot="1">
      <c r="C69" s="1506" t="s">
        <v>6988</v>
      </c>
      <c r="D69" s="1507"/>
      <c r="E69" s="1507"/>
      <c r="F69" s="1507"/>
      <c r="G69" s="1507"/>
      <c r="H69" s="1507"/>
      <c r="I69" s="1507"/>
      <c r="J69" s="1507"/>
      <c r="K69" s="1507"/>
      <c r="L69" s="1507"/>
      <c r="M69" s="1508"/>
    </row>
    <row r="70" spans="1:22" ht="15.75">
      <c r="A70" s="920"/>
      <c r="B70" s="920"/>
      <c r="C70" s="774"/>
      <c r="D70" s="774"/>
      <c r="E70" s="774"/>
      <c r="F70" s="774"/>
      <c r="G70" s="774"/>
      <c r="H70" s="921"/>
      <c r="I70" s="774"/>
      <c r="J70" s="774"/>
      <c r="K70" s="774"/>
      <c r="L70" s="774"/>
      <c r="M70" s="774"/>
      <c r="O70" s="792"/>
      <c r="P70" s="792"/>
      <c r="Q70" s="792"/>
      <c r="R70" s="792"/>
      <c r="S70" s="792"/>
      <c r="T70" s="798"/>
      <c r="U70" s="798"/>
      <c r="V70" s="798"/>
    </row>
    <row r="71" spans="1:22" ht="15.75">
      <c r="A71" s="920"/>
      <c r="B71" s="920"/>
      <c r="C71" s="774"/>
      <c r="D71" s="774"/>
      <c r="E71" s="799" t="s">
        <v>6989</v>
      </c>
      <c r="F71" s="940"/>
      <c r="G71" s="940"/>
      <c r="H71" s="774"/>
      <c r="I71" s="774"/>
      <c r="J71" s="774"/>
      <c r="K71" s="774"/>
      <c r="L71" s="774"/>
      <c r="M71" s="774"/>
      <c r="N71" s="792"/>
      <c r="O71" s="792"/>
      <c r="P71" s="792"/>
      <c r="Q71" s="792"/>
      <c r="R71" s="792"/>
      <c r="S71" s="792"/>
      <c r="T71" s="792"/>
      <c r="U71" s="792"/>
      <c r="V71" s="792"/>
    </row>
    <row r="72" spans="1:22" ht="16.5" thickBot="1">
      <c r="A72" s="920"/>
      <c r="B72" s="920"/>
      <c r="C72" s="774"/>
      <c r="D72" s="799"/>
      <c r="E72" s="774"/>
      <c r="F72" s="940"/>
      <c r="G72" s="940"/>
      <c r="H72" s="774"/>
      <c r="I72" s="774"/>
      <c r="J72" s="774"/>
      <c r="K72" s="774"/>
      <c r="L72" s="774"/>
      <c r="M72" s="774"/>
      <c r="N72" s="792"/>
      <c r="O72" s="940"/>
      <c r="P72" s="940"/>
      <c r="Q72" s="792"/>
      <c r="R72" s="792"/>
      <c r="S72" s="792"/>
      <c r="T72" s="792"/>
      <c r="U72" s="792"/>
      <c r="V72" s="792"/>
    </row>
    <row r="73" spans="1:22" ht="16.5" thickBot="1">
      <c r="A73" s="920"/>
      <c r="B73" s="920"/>
      <c r="C73" s="774"/>
      <c r="D73" s="774"/>
      <c r="E73" s="1520" t="s">
        <v>6932</v>
      </c>
      <c r="F73" s="800" t="s">
        <v>6933</v>
      </c>
      <c r="G73" s="1522" t="s">
        <v>6990</v>
      </c>
      <c r="H73" s="1523"/>
      <c r="I73" s="1523"/>
      <c r="J73" s="774"/>
      <c r="K73" s="774"/>
      <c r="L73" s="941"/>
      <c r="M73" s="942"/>
      <c r="N73" s="792"/>
      <c r="O73" s="801"/>
      <c r="P73" s="943"/>
      <c r="Q73" s="943"/>
      <c r="R73" s="943"/>
      <c r="S73" s="943"/>
      <c r="T73" s="792"/>
      <c r="U73" s="792"/>
      <c r="V73" s="792"/>
    </row>
    <row r="74" spans="1:22" ht="32.25" thickBot="1">
      <c r="A74" s="920"/>
      <c r="B74" s="920"/>
      <c r="C74" s="774"/>
      <c r="D74" s="774"/>
      <c r="E74" s="1521"/>
      <c r="F74" s="802" t="s">
        <v>6930</v>
      </c>
      <c r="G74" s="802" t="s">
        <v>6934</v>
      </c>
      <c r="H74" s="802" t="s">
        <v>6928</v>
      </c>
      <c r="I74" s="803" t="s">
        <v>6929</v>
      </c>
      <c r="J74" s="774"/>
      <c r="K74" s="774"/>
      <c r="L74" s="942"/>
      <c r="M74" s="942"/>
      <c r="N74" s="792"/>
      <c r="O74" s="801"/>
      <c r="P74" s="943"/>
      <c r="Q74" s="943"/>
      <c r="R74" s="943"/>
      <c r="S74" s="943"/>
      <c r="T74" s="792"/>
      <c r="U74" s="792"/>
      <c r="V74" s="792"/>
    </row>
    <row r="75" spans="1:22" ht="16.5" thickBot="1">
      <c r="A75" s="920"/>
      <c r="B75" s="920"/>
      <c r="C75" s="774"/>
      <c r="D75" s="774"/>
      <c r="E75" s="944">
        <v>2010</v>
      </c>
      <c r="F75" s="945">
        <v>3106513</v>
      </c>
      <c r="G75" s="945">
        <f>SUM(H75,I75)</f>
        <v>8567</v>
      </c>
      <c r="H75" s="945">
        <v>6377</v>
      </c>
      <c r="I75" s="946">
        <v>2190</v>
      </c>
      <c r="J75" s="774"/>
      <c r="K75" s="774"/>
      <c r="L75" s="942"/>
      <c r="M75" s="942"/>
      <c r="N75" s="792"/>
      <c r="O75" s="801"/>
      <c r="P75" s="943"/>
      <c r="Q75" s="943"/>
      <c r="R75" s="943"/>
      <c r="S75" s="943"/>
      <c r="T75" s="792"/>
      <c r="U75" s="792"/>
      <c r="V75" s="792"/>
    </row>
    <row r="76" spans="1:22" s="858" customFormat="1" ht="16.5" thickBot="1">
      <c r="A76" s="920"/>
      <c r="B76" s="920"/>
      <c r="C76" s="774"/>
      <c r="D76" s="774"/>
      <c r="E76" s="947">
        <v>2011</v>
      </c>
      <c r="F76" s="948">
        <v>3145830</v>
      </c>
      <c r="G76" s="949">
        <f>SUM(H76,I76)</f>
        <v>8587</v>
      </c>
      <c r="H76" s="949">
        <v>6390</v>
      </c>
      <c r="I76" s="950">
        <v>2197</v>
      </c>
      <c r="J76" s="951"/>
      <c r="K76" s="774"/>
      <c r="L76" s="939"/>
      <c r="M76" s="939"/>
      <c r="N76" s="952"/>
      <c r="O76" s="953"/>
      <c r="P76" s="954"/>
      <c r="Q76" s="954"/>
      <c r="R76" s="954"/>
      <c r="S76" s="954"/>
      <c r="T76" s="952"/>
      <c r="U76" s="952"/>
      <c r="V76" s="952"/>
    </row>
    <row r="77" spans="1:22" s="858" customFormat="1" ht="16.5" thickBot="1">
      <c r="A77" s="920"/>
      <c r="B77" s="920"/>
      <c r="C77" s="774"/>
      <c r="D77" s="774"/>
      <c r="E77" s="955">
        <v>2012</v>
      </c>
      <c r="F77" s="956">
        <v>3185148</v>
      </c>
      <c r="G77" s="956">
        <f>SUM(H77,I77)</f>
        <v>8607</v>
      </c>
      <c r="H77" s="956">
        <v>6403</v>
      </c>
      <c r="I77" s="957">
        <v>2204</v>
      </c>
      <c r="J77" s="951"/>
      <c r="K77" s="774"/>
      <c r="L77" s="939"/>
      <c r="M77" s="939"/>
      <c r="N77" s="952"/>
      <c r="O77" s="953"/>
      <c r="P77" s="954"/>
      <c r="Q77" s="954"/>
      <c r="R77" s="954"/>
      <c r="S77" s="954"/>
      <c r="T77" s="952"/>
      <c r="U77" s="952"/>
      <c r="V77" s="952"/>
    </row>
    <row r="78" spans="1:22" s="858" customFormat="1" ht="16.5" thickBot="1">
      <c r="A78" s="920"/>
      <c r="B78" s="920"/>
      <c r="C78" s="774"/>
      <c r="D78" s="774"/>
      <c r="E78" s="947">
        <v>2013</v>
      </c>
      <c r="F78" s="948">
        <v>3226030</v>
      </c>
      <c r="G78" s="948">
        <f>SUM(H78,I78)</f>
        <v>8627</v>
      </c>
      <c r="H78" s="948">
        <v>6417</v>
      </c>
      <c r="I78" s="958">
        <v>2210</v>
      </c>
      <c r="J78" s="951"/>
      <c r="K78" s="774"/>
      <c r="L78" s="939"/>
      <c r="M78" s="939"/>
      <c r="N78" s="952"/>
      <c r="T78" s="952"/>
      <c r="U78" s="952"/>
      <c r="V78" s="952"/>
    </row>
    <row r="79" spans="1:22" s="858" customFormat="1" ht="16.5" thickBot="1">
      <c r="A79" s="920"/>
      <c r="B79" s="920"/>
      <c r="C79" s="774"/>
      <c r="D79" s="774"/>
      <c r="E79" s="955">
        <v>2014</v>
      </c>
      <c r="F79" s="956">
        <v>3269448</v>
      </c>
      <c r="G79" s="956">
        <f t="shared" ref="G79:G99" si="0">SUM(H79,I79)</f>
        <v>8648</v>
      </c>
      <c r="H79" s="956">
        <v>6431</v>
      </c>
      <c r="I79" s="959">
        <v>2217</v>
      </c>
      <c r="J79" s="951"/>
      <c r="K79" s="774"/>
      <c r="L79" s="939"/>
      <c r="M79" s="939"/>
      <c r="N79" s="952"/>
      <c r="O79" s="952"/>
      <c r="P79" s="952"/>
      <c r="Q79" s="952"/>
      <c r="R79" s="952"/>
      <c r="S79" s="952"/>
      <c r="T79" s="952"/>
      <c r="U79" s="952"/>
      <c r="V79" s="952"/>
    </row>
    <row r="80" spans="1:22" s="858" customFormat="1" ht="16.5" thickBot="1">
      <c r="A80" s="920"/>
      <c r="B80" s="920"/>
      <c r="C80" s="774"/>
      <c r="D80" s="774"/>
      <c r="E80" s="947">
        <v>2015</v>
      </c>
      <c r="F80" s="948">
        <v>3314540</v>
      </c>
      <c r="G80" s="948">
        <f t="shared" si="0"/>
        <v>8667</v>
      </c>
      <c r="H80" s="948">
        <v>6444</v>
      </c>
      <c r="I80" s="958">
        <v>2223</v>
      </c>
      <c r="J80" s="951"/>
      <c r="K80" s="774"/>
      <c r="L80" s="939"/>
      <c r="M80" s="939"/>
      <c r="N80" s="952"/>
      <c r="O80" s="952"/>
      <c r="P80" s="952"/>
      <c r="Q80" s="952"/>
      <c r="R80" s="952"/>
      <c r="S80" s="952"/>
      <c r="T80" s="952"/>
      <c r="U80" s="952"/>
      <c r="V80" s="952"/>
    </row>
    <row r="81" spans="1:22" s="858" customFormat="1" ht="16.5" thickBot="1">
      <c r="A81" s="920"/>
      <c r="B81" s="920"/>
      <c r="C81" s="774"/>
      <c r="D81" s="774"/>
      <c r="E81" s="955">
        <v>2016</v>
      </c>
      <c r="F81" s="956">
        <v>3356979</v>
      </c>
      <c r="G81" s="956">
        <f t="shared" si="0"/>
        <v>8688</v>
      </c>
      <c r="H81" s="956">
        <v>6458</v>
      </c>
      <c r="I81" s="959">
        <v>2230</v>
      </c>
      <c r="J81" s="951"/>
      <c r="K81" s="774"/>
      <c r="L81" s="939"/>
      <c r="M81" s="939"/>
      <c r="N81" s="952"/>
      <c r="O81" s="952"/>
      <c r="P81" s="960"/>
      <c r="Q81" s="952"/>
      <c r="R81" s="952"/>
      <c r="S81" s="952"/>
      <c r="T81" s="952"/>
      <c r="U81" s="952"/>
      <c r="V81" s="960"/>
    </row>
    <row r="82" spans="1:22" s="858" customFormat="1" ht="16.5" thickBot="1">
      <c r="A82" s="920"/>
      <c r="B82" s="920"/>
      <c r="C82" s="774"/>
      <c r="D82" s="774"/>
      <c r="E82" s="947">
        <v>2017</v>
      </c>
      <c r="F82" s="948">
        <v>3398791</v>
      </c>
      <c r="G82" s="948">
        <f t="shared" si="0"/>
        <v>8708</v>
      </c>
      <c r="H82" s="948">
        <v>6471</v>
      </c>
      <c r="I82" s="958">
        <v>2237</v>
      </c>
      <c r="J82" s="951"/>
      <c r="K82" s="774"/>
      <c r="L82" s="939"/>
      <c r="M82" s="939"/>
      <c r="N82" s="952"/>
      <c r="O82" s="961"/>
      <c r="P82" s="962"/>
      <c r="Q82" s="952"/>
      <c r="R82" s="1501"/>
      <c r="S82" s="1502"/>
      <c r="T82" s="952"/>
      <c r="U82" s="961"/>
      <c r="V82" s="962"/>
    </row>
    <row r="83" spans="1:22" s="858" customFormat="1" ht="16.5" thickBot="1">
      <c r="A83" s="920"/>
      <c r="B83" s="920"/>
      <c r="C83" s="774"/>
      <c r="D83" s="774"/>
      <c r="E83" s="955">
        <v>2018</v>
      </c>
      <c r="F83" s="956">
        <v>3441998</v>
      </c>
      <c r="G83" s="956">
        <f t="shared" si="0"/>
        <v>8729</v>
      </c>
      <c r="H83" s="956">
        <v>6485</v>
      </c>
      <c r="I83" s="959">
        <v>2244</v>
      </c>
      <c r="J83" s="951"/>
      <c r="K83" s="774"/>
      <c r="L83" s="939"/>
      <c r="M83" s="939"/>
      <c r="N83" s="952"/>
      <c r="O83" s="963"/>
      <c r="P83" s="964"/>
      <c r="Q83" s="952"/>
      <c r="R83" s="953"/>
      <c r="S83" s="953"/>
      <c r="T83" s="952"/>
      <c r="U83" s="963"/>
      <c r="V83" s="964"/>
    </row>
    <row r="84" spans="1:22" s="858" customFormat="1" ht="16.5" thickBot="1">
      <c r="A84" s="920"/>
      <c r="B84" s="920"/>
      <c r="C84" s="774"/>
      <c r="D84" s="774"/>
      <c r="E84" s="947">
        <v>2019</v>
      </c>
      <c r="F84" s="948">
        <v>3484466</v>
      </c>
      <c r="G84" s="948">
        <f t="shared" si="0"/>
        <v>8749</v>
      </c>
      <c r="H84" s="948">
        <v>6499</v>
      </c>
      <c r="I84" s="958">
        <v>2250</v>
      </c>
      <c r="J84" s="951"/>
      <c r="K84" s="774"/>
      <c r="L84" s="939"/>
      <c r="M84" s="939"/>
      <c r="N84" s="952"/>
      <c r="O84" s="965"/>
      <c r="P84" s="966"/>
      <c r="Q84" s="952"/>
      <c r="R84" s="967"/>
      <c r="S84" s="953"/>
      <c r="T84" s="952"/>
      <c r="U84" s="965"/>
      <c r="V84" s="966"/>
    </row>
    <row r="85" spans="1:22" s="858" customFormat="1" ht="16.5" thickBot="1">
      <c r="A85" s="920"/>
      <c r="B85" s="920"/>
      <c r="C85" s="774"/>
      <c r="D85" s="774"/>
      <c r="E85" s="955">
        <v>2020</v>
      </c>
      <c r="F85" s="956">
        <v>3526220</v>
      </c>
      <c r="G85" s="956">
        <f t="shared" si="0"/>
        <v>8769</v>
      </c>
      <c r="H85" s="956">
        <v>6512</v>
      </c>
      <c r="I85" s="959">
        <v>2257</v>
      </c>
      <c r="J85" s="951"/>
      <c r="K85" s="774"/>
      <c r="L85" s="939"/>
      <c r="M85" s="939"/>
      <c r="N85" s="952"/>
      <c r="O85" s="968"/>
      <c r="P85" s="952"/>
      <c r="Q85" s="952"/>
      <c r="R85" s="952"/>
      <c r="S85" s="952"/>
      <c r="T85" s="952"/>
      <c r="U85" s="968"/>
      <c r="V85" s="952"/>
    </row>
    <row r="86" spans="1:22" s="858" customFormat="1" ht="16.5" thickBot="1">
      <c r="A86" s="920"/>
      <c r="B86" s="920"/>
      <c r="C86" s="774"/>
      <c r="D86" s="774"/>
      <c r="E86" s="947">
        <v>2021</v>
      </c>
      <c r="F86" s="948">
        <v>3567234</v>
      </c>
      <c r="G86" s="948">
        <f t="shared" si="0"/>
        <v>8790</v>
      </c>
      <c r="H86" s="948">
        <v>6526</v>
      </c>
      <c r="I86" s="958">
        <v>2264</v>
      </c>
      <c r="J86" s="951"/>
      <c r="K86" s="774"/>
      <c r="L86" s="939"/>
      <c r="M86" s="939"/>
      <c r="N86" s="952"/>
      <c r="O86" s="961"/>
      <c r="P86" s="962"/>
      <c r="Q86" s="952"/>
      <c r="R86" s="1501"/>
      <c r="S86" s="1502"/>
      <c r="T86" s="952"/>
      <c r="U86" s="961"/>
      <c r="V86" s="962"/>
    </row>
    <row r="87" spans="1:22" s="858" customFormat="1" ht="16.5" thickBot="1">
      <c r="A87" s="920"/>
      <c r="B87" s="920"/>
      <c r="C87" s="774"/>
      <c r="D87" s="774"/>
      <c r="E87" s="955">
        <v>2022</v>
      </c>
      <c r="F87" s="956">
        <v>3607400</v>
      </c>
      <c r="G87" s="956">
        <f t="shared" si="0"/>
        <v>8811</v>
      </c>
      <c r="H87" s="956">
        <v>6540</v>
      </c>
      <c r="I87" s="959">
        <v>2271</v>
      </c>
      <c r="J87" s="951"/>
      <c r="K87" s="774"/>
      <c r="L87" s="939"/>
      <c r="M87" s="939"/>
      <c r="N87" s="952"/>
      <c r="O87" s="963"/>
      <c r="P87" s="964"/>
      <c r="Q87" s="952"/>
      <c r="R87" s="953"/>
      <c r="S87" s="953"/>
      <c r="T87" s="952"/>
      <c r="U87" s="963"/>
      <c r="V87" s="964"/>
    </row>
    <row r="88" spans="1:22" s="858" customFormat="1" ht="16.5" thickBot="1">
      <c r="A88" s="920"/>
      <c r="B88" s="920"/>
      <c r="C88" s="774"/>
      <c r="D88" s="774"/>
      <c r="E88" s="947">
        <v>2023</v>
      </c>
      <c r="F88" s="948">
        <v>3646630</v>
      </c>
      <c r="G88" s="948">
        <f t="shared" si="0"/>
        <v>8831</v>
      </c>
      <c r="H88" s="948">
        <v>6554</v>
      </c>
      <c r="I88" s="969">
        <v>2277</v>
      </c>
      <c r="J88" s="951"/>
      <c r="K88" s="774"/>
      <c r="L88" s="939"/>
      <c r="M88" s="939"/>
      <c r="N88" s="952"/>
      <c r="O88" s="965"/>
      <c r="P88" s="966"/>
      <c r="Q88" s="952"/>
      <c r="R88" s="967"/>
      <c r="S88" s="953"/>
      <c r="T88" s="952"/>
      <c r="U88" s="965"/>
      <c r="V88" s="966"/>
    </row>
    <row r="89" spans="1:22" s="858" customFormat="1" ht="16.5" thickBot="1">
      <c r="A89" s="920"/>
      <c r="B89" s="920"/>
      <c r="C89" s="774"/>
      <c r="D89" s="774"/>
      <c r="E89" s="955">
        <v>2024</v>
      </c>
      <c r="F89" s="956">
        <v>3684919</v>
      </c>
      <c r="G89" s="956">
        <f t="shared" si="0"/>
        <v>8852</v>
      </c>
      <c r="H89" s="956">
        <v>6568</v>
      </c>
      <c r="I89" s="959">
        <v>2284</v>
      </c>
      <c r="J89" s="951"/>
      <c r="K89" s="774"/>
      <c r="L89" s="939"/>
      <c r="M89" s="939"/>
      <c r="N89" s="952"/>
      <c r="O89" s="952"/>
      <c r="P89" s="952"/>
      <c r="Q89" s="952"/>
      <c r="R89" s="952"/>
      <c r="S89" s="952"/>
      <c r="T89" s="952"/>
      <c r="U89" s="952"/>
      <c r="V89" s="952"/>
    </row>
    <row r="90" spans="1:22" s="858" customFormat="1" ht="16.5" thickBot="1">
      <c r="A90" s="920"/>
      <c r="B90" s="920"/>
      <c r="C90" s="774"/>
      <c r="D90" s="774"/>
      <c r="E90" s="947">
        <v>2025</v>
      </c>
      <c r="F90" s="948">
        <v>3722274</v>
      </c>
      <c r="G90" s="948">
        <f t="shared" si="0"/>
        <v>8872</v>
      </c>
      <c r="H90" s="948">
        <v>6581</v>
      </c>
      <c r="I90" s="958">
        <v>2291</v>
      </c>
      <c r="J90" s="951"/>
      <c r="K90" s="774"/>
      <c r="L90" s="939"/>
      <c r="M90" s="939"/>
      <c r="N90" s="952"/>
      <c r="O90" s="961"/>
      <c r="P90" s="962"/>
      <c r="Q90" s="952"/>
      <c r="R90" s="1501"/>
      <c r="S90" s="1502"/>
      <c r="T90" s="952"/>
      <c r="U90" s="961"/>
      <c r="V90" s="962"/>
    </row>
    <row r="91" spans="1:22" s="858" customFormat="1" ht="16.5" thickBot="1">
      <c r="A91" s="920"/>
      <c r="B91" s="920"/>
      <c r="C91" s="774"/>
      <c r="D91" s="774"/>
      <c r="E91" s="955">
        <v>2026</v>
      </c>
      <c r="F91" s="956">
        <v>3758643</v>
      </c>
      <c r="G91" s="956">
        <f t="shared" si="0"/>
        <v>8893</v>
      </c>
      <c r="H91" s="956">
        <v>6595</v>
      </c>
      <c r="I91" s="959">
        <v>2298</v>
      </c>
      <c r="J91" s="951"/>
      <c r="K91" s="774"/>
      <c r="L91" s="939"/>
      <c r="M91" s="939"/>
      <c r="N91" s="952"/>
      <c r="O91" s="963"/>
      <c r="P91" s="964"/>
      <c r="Q91" s="952"/>
      <c r="R91" s="953"/>
      <c r="S91" s="953"/>
      <c r="T91" s="952"/>
      <c r="U91" s="963"/>
      <c r="V91" s="964"/>
    </row>
    <row r="92" spans="1:22" s="858" customFormat="1" ht="16.5" thickBot="1">
      <c r="A92" s="920"/>
      <c r="B92" s="920"/>
      <c r="C92" s="774"/>
      <c r="D92" s="774"/>
      <c r="E92" s="947">
        <v>2027</v>
      </c>
      <c r="F92" s="948">
        <v>3793963</v>
      </c>
      <c r="G92" s="948">
        <f t="shared" si="0"/>
        <v>8914</v>
      </c>
      <c r="H92" s="948">
        <v>6609</v>
      </c>
      <c r="I92" s="958">
        <v>2305</v>
      </c>
      <c r="J92" s="951"/>
      <c r="K92" s="774"/>
      <c r="L92" s="939"/>
      <c r="M92" s="939"/>
      <c r="N92" s="952"/>
      <c r="O92" s="965"/>
      <c r="P92" s="966"/>
      <c r="Q92" s="952"/>
      <c r="R92" s="967"/>
      <c r="S92" s="953"/>
      <c r="T92" s="952"/>
      <c r="U92" s="965"/>
      <c r="V92" s="966"/>
    </row>
    <row r="93" spans="1:22" s="858" customFormat="1" ht="16.5" thickBot="1">
      <c r="A93" s="920"/>
      <c r="B93" s="920"/>
      <c r="C93" s="774"/>
      <c r="D93" s="774"/>
      <c r="E93" s="955">
        <v>2028</v>
      </c>
      <c r="F93" s="956">
        <v>3828225</v>
      </c>
      <c r="G93" s="956">
        <f t="shared" si="0"/>
        <v>8935</v>
      </c>
      <c r="H93" s="956">
        <v>6623</v>
      </c>
      <c r="I93" s="959">
        <v>2312</v>
      </c>
      <c r="J93" s="951"/>
      <c r="K93" s="774"/>
      <c r="L93" s="939"/>
      <c r="M93" s="939"/>
      <c r="N93" s="952"/>
      <c r="O93" s="952"/>
      <c r="P93" s="952"/>
      <c r="Q93" s="952"/>
      <c r="R93" s="952"/>
      <c r="S93" s="952"/>
      <c r="T93" s="952"/>
      <c r="U93" s="952"/>
      <c r="V93" s="952"/>
    </row>
    <row r="94" spans="1:22" s="858" customFormat="1" ht="16.5" thickBot="1">
      <c r="A94" s="920"/>
      <c r="B94" s="920"/>
      <c r="C94" s="774"/>
      <c r="D94" s="774"/>
      <c r="E94" s="947">
        <v>2029</v>
      </c>
      <c r="F94" s="948">
        <v>3861489</v>
      </c>
      <c r="G94" s="948">
        <f t="shared" si="0"/>
        <v>8956</v>
      </c>
      <c r="H94" s="948">
        <v>6637</v>
      </c>
      <c r="I94" s="969">
        <v>2319</v>
      </c>
      <c r="J94" s="951"/>
      <c r="K94" s="774"/>
      <c r="L94" s="939"/>
      <c r="M94" s="939"/>
      <c r="N94" s="952"/>
      <c r="O94" s="961"/>
      <c r="P94" s="962"/>
      <c r="Q94" s="952"/>
      <c r="R94" s="1501"/>
      <c r="S94" s="1502"/>
      <c r="T94" s="952"/>
      <c r="U94" s="961"/>
      <c r="V94" s="962"/>
    </row>
    <row r="95" spans="1:22" s="858" customFormat="1" ht="16.5" thickBot="1">
      <c r="A95" s="920"/>
      <c r="B95" s="920"/>
      <c r="C95" s="774"/>
      <c r="D95" s="774"/>
      <c r="E95" s="955">
        <v>2030</v>
      </c>
      <c r="F95" s="956">
        <v>3893821</v>
      </c>
      <c r="G95" s="956">
        <f t="shared" si="0"/>
        <v>8977</v>
      </c>
      <c r="H95" s="956">
        <v>6651</v>
      </c>
      <c r="I95" s="959">
        <v>2326</v>
      </c>
      <c r="J95" s="951"/>
      <c r="K95" s="774"/>
      <c r="L95" s="939"/>
      <c r="M95" s="939"/>
      <c r="N95" s="952"/>
      <c r="O95" s="963"/>
      <c r="P95" s="964"/>
      <c r="Q95" s="952"/>
      <c r="R95" s="953"/>
      <c r="S95" s="953"/>
      <c r="T95" s="952"/>
      <c r="U95" s="963"/>
      <c r="V95" s="964"/>
    </row>
    <row r="96" spans="1:22" s="858" customFormat="1" ht="16.5" thickBot="1">
      <c r="A96" s="920"/>
      <c r="B96" s="920"/>
      <c r="C96" s="774"/>
      <c r="D96" s="774"/>
      <c r="E96" s="947">
        <v>2031</v>
      </c>
      <c r="F96" s="948">
        <v>3925227</v>
      </c>
      <c r="G96" s="948">
        <f t="shared" si="0"/>
        <v>8998</v>
      </c>
      <c r="H96" s="948">
        <v>6665</v>
      </c>
      <c r="I96" s="969">
        <v>2333</v>
      </c>
      <c r="J96" s="774"/>
      <c r="K96" s="774"/>
      <c r="L96" s="939"/>
      <c r="M96" s="939"/>
      <c r="N96" s="952"/>
      <c r="O96" s="965"/>
      <c r="P96" s="966"/>
      <c r="Q96" s="952"/>
      <c r="R96" s="967"/>
      <c r="S96" s="953"/>
      <c r="T96" s="952"/>
      <c r="U96" s="965"/>
      <c r="V96" s="966"/>
    </row>
    <row r="97" spans="1:22" s="858" customFormat="1" ht="16.5" thickBot="1">
      <c r="A97" s="920"/>
      <c r="B97" s="920"/>
      <c r="C97" s="774"/>
      <c r="D97" s="774"/>
      <c r="E97" s="955">
        <v>2032</v>
      </c>
      <c r="F97" s="956">
        <v>3955688</v>
      </c>
      <c r="G97" s="956">
        <f t="shared" si="0"/>
        <v>9019</v>
      </c>
      <c r="H97" s="956">
        <v>6679</v>
      </c>
      <c r="I97" s="959">
        <v>2340</v>
      </c>
      <c r="J97" s="774"/>
      <c r="K97" s="774"/>
      <c r="L97" s="939"/>
      <c r="M97" s="939"/>
      <c r="N97" s="952"/>
      <c r="O97" s="952"/>
      <c r="P97" s="952"/>
      <c r="Q97" s="952"/>
      <c r="R97" s="952"/>
      <c r="S97" s="952"/>
      <c r="T97" s="952"/>
      <c r="U97" s="952"/>
      <c r="V97" s="952"/>
    </row>
    <row r="98" spans="1:22" s="858" customFormat="1" ht="16.5" thickBot="1">
      <c r="A98" s="920"/>
      <c r="B98" s="920"/>
      <c r="C98" s="774"/>
      <c r="D98" s="774"/>
      <c r="E98" s="947">
        <v>2033</v>
      </c>
      <c r="F98" s="948">
        <v>3985234</v>
      </c>
      <c r="G98" s="948">
        <f t="shared" si="0"/>
        <v>9040</v>
      </c>
      <c r="H98" s="948">
        <v>6693</v>
      </c>
      <c r="I98" s="969">
        <v>2347</v>
      </c>
      <c r="J98" s="774"/>
      <c r="K98" s="892"/>
      <c r="L98" s="891"/>
      <c r="M98" s="939"/>
      <c r="N98" s="952"/>
      <c r="O98" s="961"/>
      <c r="P98" s="962"/>
      <c r="Q98" s="952"/>
      <c r="R98" s="1501"/>
      <c r="S98" s="1502"/>
      <c r="T98" s="952"/>
      <c r="U98" s="961"/>
      <c r="V98" s="962"/>
    </row>
    <row r="99" spans="1:22" s="858" customFormat="1" ht="16.5" thickBot="1">
      <c r="A99" s="920"/>
      <c r="B99" s="920"/>
      <c r="C99" s="774"/>
      <c r="D99" s="774"/>
      <c r="E99" s="955">
        <v>2034</v>
      </c>
      <c r="F99" s="956">
        <v>4013910</v>
      </c>
      <c r="G99" s="956">
        <f t="shared" si="0"/>
        <v>9061</v>
      </c>
      <c r="H99" s="956">
        <v>6707</v>
      </c>
      <c r="I99" s="959">
        <v>2354</v>
      </c>
      <c r="J99" s="774"/>
      <c r="K99" s="774"/>
      <c r="L99" s="939"/>
      <c r="M99" s="939"/>
      <c r="N99" s="952"/>
      <c r="O99" s="952"/>
      <c r="P99" s="952"/>
      <c r="Q99" s="952"/>
      <c r="R99" s="952"/>
      <c r="S99" s="952"/>
      <c r="T99" s="952"/>
      <c r="U99" s="952"/>
      <c r="V99" s="952"/>
    </row>
    <row r="100" spans="1:22" ht="15.75">
      <c r="A100" s="920"/>
      <c r="B100" s="920"/>
      <c r="C100" s="774"/>
      <c r="D100" s="774"/>
      <c r="E100" s="937"/>
      <c r="F100" s="970"/>
      <c r="G100" s="971" t="s">
        <v>6991</v>
      </c>
      <c r="H100" s="972"/>
      <c r="I100" s="970"/>
      <c r="J100" s="774"/>
      <c r="K100" s="774"/>
      <c r="L100" s="939"/>
      <c r="M100" s="939"/>
      <c r="N100" s="792"/>
      <c r="O100" s="973"/>
      <c r="P100" s="974"/>
      <c r="Q100" s="804"/>
      <c r="R100" s="805"/>
      <c r="S100" s="805"/>
      <c r="T100" s="804"/>
      <c r="U100" s="973"/>
      <c r="V100" s="974"/>
    </row>
    <row r="101" spans="1:22" ht="15.75">
      <c r="A101" s="920"/>
      <c r="B101" s="920"/>
      <c r="C101" s="774"/>
      <c r="D101" s="774"/>
      <c r="E101" s="937"/>
      <c r="F101" s="970"/>
      <c r="G101" s="971" t="s">
        <v>6992</v>
      </c>
      <c r="H101" s="972"/>
      <c r="I101" s="970"/>
      <c r="J101" s="774"/>
      <c r="K101" s="774"/>
      <c r="L101" s="939"/>
      <c r="M101" s="939"/>
      <c r="N101" s="792"/>
      <c r="O101" s="973"/>
      <c r="P101" s="974"/>
      <c r="Q101" s="804"/>
      <c r="R101" s="805"/>
      <c r="S101" s="805"/>
      <c r="T101" s="804"/>
      <c r="U101" s="973"/>
      <c r="V101" s="974"/>
    </row>
    <row r="102" spans="1:22" ht="15.75">
      <c r="A102" s="920"/>
      <c r="B102" s="920"/>
      <c r="C102" s="975"/>
      <c r="D102" s="774"/>
      <c r="E102" s="937"/>
      <c r="F102" s="970"/>
      <c r="G102" s="971" t="s">
        <v>6993</v>
      </c>
      <c r="H102" s="972"/>
      <c r="I102" s="970"/>
      <c r="J102" s="774"/>
      <c r="K102" s="774"/>
      <c r="L102" s="939"/>
      <c r="M102" s="939"/>
      <c r="N102" s="792"/>
      <c r="O102" s="806"/>
      <c r="P102" s="807"/>
      <c r="Q102" s="804"/>
      <c r="R102" s="808"/>
      <c r="S102" s="805"/>
      <c r="T102" s="804"/>
      <c r="U102" s="806"/>
      <c r="V102" s="807"/>
    </row>
    <row r="103" spans="1:22" ht="16.5" thickBot="1">
      <c r="A103" s="920"/>
      <c r="B103" s="920"/>
      <c r="C103" s="774"/>
      <c r="D103" s="774"/>
      <c r="E103" s="937"/>
      <c r="F103" s="970"/>
      <c r="G103" s="970"/>
      <c r="H103" s="972"/>
      <c r="I103" s="970"/>
      <c r="J103" s="774"/>
      <c r="K103" s="774"/>
      <c r="L103" s="939"/>
      <c r="M103" s="939"/>
    </row>
    <row r="104" spans="1:22" ht="16.5" thickBot="1">
      <c r="C104" s="1503" t="s">
        <v>6994</v>
      </c>
      <c r="D104" s="1504"/>
      <c r="E104" s="1504"/>
      <c r="F104" s="1504"/>
      <c r="G104" s="1504"/>
      <c r="H104" s="1504"/>
      <c r="I104" s="1504"/>
      <c r="J104" s="1504"/>
      <c r="K104" s="1504"/>
      <c r="L104" s="1504"/>
      <c r="M104" s="1505"/>
      <c r="N104" s="893"/>
      <c r="O104" s="976"/>
      <c r="P104" s="977"/>
      <c r="R104" s="976"/>
      <c r="S104" s="976"/>
      <c r="T104" s="893"/>
      <c r="U104" s="893"/>
      <c r="V104" s="893"/>
    </row>
    <row r="105" spans="1:22" ht="15.75">
      <c r="B105" s="775"/>
      <c r="C105" s="779"/>
      <c r="D105" s="791"/>
      <c r="E105" s="777"/>
      <c r="F105" s="809"/>
      <c r="G105" s="810"/>
      <c r="H105" s="778"/>
      <c r="I105" s="778"/>
      <c r="J105" s="778"/>
      <c r="K105" s="778"/>
      <c r="L105" s="779"/>
      <c r="M105" s="891"/>
      <c r="O105" s="976"/>
      <c r="P105" s="977"/>
      <c r="R105" s="976"/>
      <c r="S105" s="976"/>
    </row>
    <row r="106" spans="1:22" ht="15.75">
      <c r="B106" s="775"/>
      <c r="C106" s="779" t="s">
        <v>6995</v>
      </c>
      <c r="D106" s="791"/>
      <c r="E106" s="777"/>
      <c r="F106" s="809"/>
      <c r="G106" s="810"/>
      <c r="H106" s="778"/>
      <c r="I106" s="778"/>
      <c r="J106" s="778"/>
      <c r="K106" s="778"/>
      <c r="L106" s="779"/>
      <c r="M106" s="891"/>
    </row>
    <row r="107" spans="1:22" ht="15.75">
      <c r="B107" s="775"/>
      <c r="C107" s="779" t="s">
        <v>7014</v>
      </c>
      <c r="D107" s="791"/>
      <c r="E107" s="777"/>
      <c r="F107" s="809"/>
      <c r="G107" s="810"/>
      <c r="H107" s="778"/>
      <c r="I107" s="778"/>
      <c r="J107" s="778"/>
      <c r="K107" s="778"/>
      <c r="L107" s="779"/>
      <c r="M107" s="891"/>
    </row>
    <row r="108" spans="1:22" ht="16.5" thickBot="1">
      <c r="B108" s="775"/>
      <c r="C108" s="779"/>
      <c r="D108" s="791"/>
      <c r="E108" s="777"/>
      <c r="F108" s="809"/>
      <c r="G108" s="810"/>
      <c r="H108" s="778"/>
      <c r="I108" s="778"/>
      <c r="J108" s="778"/>
      <c r="K108" s="778"/>
      <c r="L108" s="779"/>
      <c r="M108" s="891"/>
    </row>
    <row r="109" spans="1:22" ht="16.5" thickBot="1">
      <c r="C109" s="1506" t="s">
        <v>6996</v>
      </c>
      <c r="D109" s="1507"/>
      <c r="E109" s="1507"/>
      <c r="F109" s="1507"/>
      <c r="G109" s="1507"/>
      <c r="H109" s="1507"/>
      <c r="I109" s="1507"/>
      <c r="J109" s="1507"/>
      <c r="K109" s="1507"/>
      <c r="L109" s="1507"/>
      <c r="M109" s="1508"/>
      <c r="N109" s="893"/>
      <c r="O109" s="893"/>
      <c r="P109" s="893"/>
      <c r="Q109" s="893"/>
      <c r="R109" s="893"/>
      <c r="S109" s="893"/>
      <c r="T109" s="893"/>
      <c r="U109" s="893"/>
      <c r="V109" s="893"/>
    </row>
    <row r="110" spans="1:22" ht="15.75">
      <c r="C110" s="1022" t="s">
        <v>6997</v>
      </c>
      <c r="D110" s="978"/>
      <c r="E110" s="979"/>
      <c r="F110" s="979"/>
      <c r="G110" s="979"/>
      <c r="H110" s="979"/>
      <c r="I110" s="979"/>
      <c r="J110" s="979"/>
      <c r="K110" s="979"/>
      <c r="L110" s="979"/>
      <c r="M110" s="979"/>
      <c r="N110" s="893"/>
      <c r="O110" s="893"/>
      <c r="P110" s="893"/>
      <c r="Q110" s="893"/>
      <c r="R110" s="893"/>
      <c r="S110" s="893"/>
      <c r="T110" s="893"/>
      <c r="U110" s="893"/>
      <c r="V110" s="893"/>
    </row>
    <row r="111" spans="1:22" ht="15.75">
      <c r="C111" s="1022" t="s">
        <v>6998</v>
      </c>
      <c r="D111" s="978"/>
      <c r="E111" s="979"/>
      <c r="F111" s="979"/>
      <c r="G111" s="979"/>
      <c r="H111" s="979"/>
      <c r="I111" s="979"/>
      <c r="J111" s="979"/>
      <c r="K111" s="979"/>
      <c r="L111" s="979"/>
      <c r="M111" s="979"/>
      <c r="N111" s="893"/>
      <c r="O111" s="893"/>
      <c r="P111" s="893"/>
      <c r="Q111" s="893"/>
      <c r="R111" s="893"/>
      <c r="S111" s="893"/>
      <c r="T111" s="893"/>
      <c r="U111" s="893"/>
      <c r="V111" s="893"/>
    </row>
    <row r="112" spans="1:22" ht="15.75">
      <c r="B112" s="775"/>
      <c r="C112" s="1082" t="s">
        <v>6999</v>
      </c>
      <c r="D112" s="776"/>
      <c r="E112" s="777"/>
      <c r="I112" s="891"/>
      <c r="J112" s="861"/>
      <c r="K112" s="893"/>
      <c r="L112" s="980"/>
      <c r="M112" s="891"/>
      <c r="N112" s="812"/>
      <c r="O112" s="893"/>
      <c r="P112" s="893"/>
      <c r="Q112" s="893"/>
      <c r="R112" s="893"/>
      <c r="S112" s="981"/>
      <c r="T112" s="982"/>
      <c r="U112" s="893"/>
      <c r="V112" s="893"/>
    </row>
    <row r="113" spans="2:22" ht="16.5" thickBot="1">
      <c r="B113" s="775"/>
      <c r="C113" s="779"/>
      <c r="D113" s="791"/>
      <c r="E113" s="777"/>
      <c r="I113" s="891"/>
      <c r="J113" s="861"/>
      <c r="K113" s="893"/>
      <c r="L113" s="980"/>
      <c r="M113" s="891"/>
      <c r="N113" s="812"/>
      <c r="O113" s="893"/>
      <c r="P113" s="893"/>
      <c r="Q113" s="893"/>
      <c r="R113" s="893"/>
      <c r="S113" s="981"/>
      <c r="T113" s="982"/>
      <c r="U113" s="893"/>
      <c r="V113" s="893"/>
    </row>
    <row r="114" spans="2:22" ht="15.75">
      <c r="C114" s="1509" t="s">
        <v>7000</v>
      </c>
      <c r="D114" s="1510"/>
      <c r="E114" s="925"/>
      <c r="G114" s="1498" t="s">
        <v>7001</v>
      </c>
      <c r="H114" s="1499"/>
      <c r="I114" s="983">
        <v>478</v>
      </c>
      <c r="J114" s="893"/>
      <c r="N114" s="861"/>
      <c r="O114" s="984"/>
      <c r="P114" s="985"/>
      <c r="Q114" s="893"/>
      <c r="R114" s="893"/>
      <c r="S114" s="986"/>
      <c r="T114" s="987"/>
      <c r="U114" s="893"/>
      <c r="V114" s="893"/>
    </row>
    <row r="115" spans="2:22" ht="15.75">
      <c r="C115" s="988" t="s">
        <v>6935</v>
      </c>
      <c r="D115" s="989">
        <v>1.2</v>
      </c>
      <c r="E115" s="925"/>
      <c r="G115" s="1511" t="s">
        <v>7002</v>
      </c>
      <c r="H115" s="1512"/>
      <c r="I115" s="990">
        <f>L48</f>
        <v>3.4676454594888528</v>
      </c>
      <c r="J115" s="893"/>
      <c r="K115" s="861"/>
      <c r="L115" s="899"/>
      <c r="M115" s="898"/>
      <c r="N115" s="861"/>
      <c r="O115" s="984"/>
      <c r="P115" s="985"/>
      <c r="Q115" s="893"/>
      <c r="R115" s="893"/>
      <c r="S115" s="981"/>
      <c r="T115" s="982"/>
      <c r="U115" s="893"/>
      <c r="V115" s="893"/>
    </row>
    <row r="116" spans="2:22" ht="16.5" customHeight="1" thickBot="1">
      <c r="C116" s="991" t="s">
        <v>6936</v>
      </c>
      <c r="D116" s="992">
        <v>1.5</v>
      </c>
      <c r="E116" s="925"/>
      <c r="G116" s="1498" t="s">
        <v>7003</v>
      </c>
      <c r="H116" s="1499"/>
      <c r="I116" s="993">
        <f>$I$23</f>
        <v>164.7</v>
      </c>
      <c r="J116" s="893"/>
      <c r="K116" s="861"/>
      <c r="L116" s="899"/>
      <c r="M116" s="898"/>
      <c r="N116" s="861"/>
      <c r="O116" s="984"/>
      <c r="P116" s="985"/>
      <c r="Q116" s="893"/>
      <c r="R116" s="893"/>
      <c r="S116" s="981"/>
      <c r="T116" s="982"/>
      <c r="U116" s="893"/>
      <c r="V116" s="893"/>
    </row>
    <row r="117" spans="2:22" ht="15.75">
      <c r="C117" s="925"/>
      <c r="D117" s="925"/>
      <c r="E117" s="994"/>
      <c r="F117" s="995"/>
      <c r="G117" s="1500" t="s">
        <v>7004</v>
      </c>
      <c r="H117" s="1500"/>
      <c r="I117" s="996">
        <v>1</v>
      </c>
      <c r="J117" s="893"/>
      <c r="N117" s="997"/>
      <c r="O117" s="893"/>
      <c r="P117" s="997"/>
      <c r="Q117" s="893"/>
      <c r="R117" s="893"/>
      <c r="S117" s="986"/>
      <c r="T117" s="987"/>
      <c r="U117" s="893"/>
      <c r="V117" s="893"/>
    </row>
    <row r="118" spans="2:22" ht="15.75">
      <c r="C118" s="925"/>
      <c r="D118" s="925"/>
      <c r="E118" s="994"/>
      <c r="F118" s="995"/>
      <c r="G118" s="1500"/>
      <c r="H118" s="1500"/>
      <c r="I118" s="996">
        <f>(1+(I117/100))</f>
        <v>1.01</v>
      </c>
      <c r="J118" s="893"/>
      <c r="N118" s="997"/>
      <c r="O118" s="893"/>
      <c r="P118" s="997"/>
      <c r="Q118" s="893"/>
      <c r="R118" s="893"/>
      <c r="S118" s="986"/>
      <c r="T118" s="987"/>
      <c r="U118" s="893"/>
      <c r="V118" s="893"/>
    </row>
    <row r="119" spans="2:22" ht="15.75">
      <c r="G119" s="891"/>
      <c r="H119" s="891"/>
      <c r="I119" s="998"/>
      <c r="J119" s="898"/>
      <c r="K119" s="898"/>
      <c r="L119" s="898"/>
      <c r="M119" s="925"/>
      <c r="N119" s="997"/>
      <c r="O119" s="984"/>
      <c r="P119" s="999"/>
      <c r="Q119" s="893"/>
      <c r="R119" s="893"/>
      <c r="S119" s="981"/>
      <c r="T119" s="982"/>
      <c r="U119" s="893"/>
      <c r="V119" s="893"/>
    </row>
    <row r="120" spans="2:22" ht="72.75" customHeight="1">
      <c r="C120" s="891"/>
      <c r="D120" s="1000" t="s">
        <v>6937</v>
      </c>
      <c r="E120" s="1001" t="s">
        <v>6938</v>
      </c>
      <c r="F120" s="1001" t="s">
        <v>6939</v>
      </c>
      <c r="G120" s="1001" t="s">
        <v>6940</v>
      </c>
      <c r="H120" s="1001" t="s">
        <v>6941</v>
      </c>
      <c r="I120" s="1001" t="s">
        <v>6942</v>
      </c>
      <c r="J120" s="1001" t="s">
        <v>6943</v>
      </c>
      <c r="K120" s="1001" t="s">
        <v>6944</v>
      </c>
      <c r="L120" s="891"/>
      <c r="M120" s="891"/>
      <c r="N120" s="893"/>
      <c r="O120" s="893"/>
      <c r="P120" s="1002"/>
      <c r="Q120" s="1003"/>
      <c r="R120" s="893"/>
      <c r="S120" s="981"/>
      <c r="T120" s="982"/>
      <c r="U120" s="893"/>
      <c r="V120" s="893"/>
    </row>
    <row r="121" spans="2:22" ht="15.75">
      <c r="C121" s="891"/>
      <c r="D121" s="1004">
        <v>2022</v>
      </c>
      <c r="E121" s="1005">
        <f>I114*I115</f>
        <v>1657.5345296356716</v>
      </c>
      <c r="F121" s="1006">
        <f>(E121*$I$116)/86400</f>
        <v>3.1596751971179988</v>
      </c>
      <c r="G121" s="1007">
        <f>(($D$115*E121*$I$116)/86400)</f>
        <v>3.7916102365415982</v>
      </c>
      <c r="H121" s="1007">
        <f>(G121/1000)*3600</f>
        <v>13.649796851549754</v>
      </c>
      <c r="I121" s="1007">
        <f>(F121*$D$115*$D$116)</f>
        <v>5.6874153548123978</v>
      </c>
      <c r="J121" s="1007">
        <f>(I121/1000)*3600</f>
        <v>20.474695277324631</v>
      </c>
      <c r="K121" s="1007">
        <f>((E121*$I$116*$D$115)/3)/1000</f>
        <v>109.19837481239803</v>
      </c>
      <c r="L121" s="891"/>
      <c r="M121" s="891"/>
      <c r="N121" s="893"/>
      <c r="O121" s="893"/>
      <c r="P121" s="893"/>
      <c r="Q121" s="893"/>
      <c r="R121" s="893"/>
      <c r="S121" s="981"/>
      <c r="T121" s="987"/>
      <c r="U121" s="893"/>
      <c r="V121" s="893"/>
    </row>
    <row r="122" spans="2:22" ht="15.75">
      <c r="C122" s="891"/>
      <c r="D122" s="1004">
        <v>2023</v>
      </c>
      <c r="E122" s="1005">
        <f>E121*I118</f>
        <v>1674.1098749320283</v>
      </c>
      <c r="F122" s="1006">
        <f t="shared" ref="F122:F141" si="1">(E122*$I$116)/86400</f>
        <v>3.1912719490891788</v>
      </c>
      <c r="G122" s="1007">
        <f t="shared" ref="G122:G141" si="2">(($D$115*E122*$I$116)/86400)</f>
        <v>3.829526338907014</v>
      </c>
      <c r="H122" s="1007">
        <f t="shared" ref="H122:H140" si="3">(G122/1000)*3600</f>
        <v>13.786294820065251</v>
      </c>
      <c r="I122" s="1007">
        <f t="shared" ref="I122:I141" si="4">(F122*$D$115*$D$116)</f>
        <v>5.7442895083605219</v>
      </c>
      <c r="J122" s="1007">
        <f t="shared" ref="J122:J141" si="5">(I122/1000)*3600</f>
        <v>20.679442230097877</v>
      </c>
      <c r="K122" s="1007">
        <f t="shared" ref="K122:K141" si="6">((E122*$I$116*$D$115)/3)/1000</f>
        <v>110.29035856052201</v>
      </c>
      <c r="L122" s="891"/>
      <c r="M122" s="891"/>
      <c r="N122" s="893"/>
      <c r="O122" s="893"/>
      <c r="P122" s="893"/>
      <c r="Q122" s="893"/>
      <c r="R122" s="893"/>
      <c r="S122" s="981"/>
      <c r="T122" s="982"/>
      <c r="U122" s="893"/>
      <c r="V122" s="893"/>
    </row>
    <row r="123" spans="2:22" ht="15.75">
      <c r="C123" s="891"/>
      <c r="D123" s="1004">
        <v>2024</v>
      </c>
      <c r="E123" s="1005">
        <f>E122*$I$118</f>
        <v>1690.8509736813487</v>
      </c>
      <c r="F123" s="1006">
        <f t="shared" si="1"/>
        <v>3.2231846685800707</v>
      </c>
      <c r="G123" s="1007">
        <f t="shared" si="2"/>
        <v>3.8678216022960847</v>
      </c>
      <c r="H123" s="1007">
        <f t="shared" si="3"/>
        <v>13.924157768265905</v>
      </c>
      <c r="I123" s="1007">
        <f t="shared" si="4"/>
        <v>5.8017324034441273</v>
      </c>
      <c r="J123" s="1007">
        <f t="shared" si="5"/>
        <v>20.886236652398861</v>
      </c>
      <c r="K123" s="1007">
        <f t="shared" si="6"/>
        <v>111.39326214612724</v>
      </c>
      <c r="L123" s="891"/>
      <c r="M123" s="891"/>
      <c r="N123" s="893"/>
      <c r="O123" s="893"/>
      <c r="P123" s="893"/>
      <c r="Q123" s="893"/>
      <c r="R123" s="893"/>
      <c r="S123" s="981"/>
      <c r="T123" s="987"/>
      <c r="U123" s="893"/>
      <c r="V123" s="893"/>
    </row>
    <row r="124" spans="2:22" ht="15.75">
      <c r="C124" s="891"/>
      <c r="D124" s="1004">
        <v>2025</v>
      </c>
      <c r="E124" s="1005">
        <f t="shared" ref="E124:E141" si="7">E123*$I$118</f>
        <v>1707.7594834181623</v>
      </c>
      <c r="F124" s="1006">
        <f t="shared" si="1"/>
        <v>3.2554165152658716</v>
      </c>
      <c r="G124" s="1007">
        <f t="shared" si="2"/>
        <v>3.9064998183190465</v>
      </c>
      <c r="H124" s="1007">
        <f t="shared" si="3"/>
        <v>14.063399345948566</v>
      </c>
      <c r="I124" s="1007">
        <f t="shared" si="4"/>
        <v>5.8597497274785688</v>
      </c>
      <c r="J124" s="1007">
        <f t="shared" si="5"/>
        <v>21.095099018922848</v>
      </c>
      <c r="K124" s="1007">
        <f t="shared" si="6"/>
        <v>112.50719476758852</v>
      </c>
      <c r="L124" s="891"/>
      <c r="M124" s="891"/>
      <c r="N124" s="893"/>
      <c r="O124" s="893"/>
      <c r="P124" s="893"/>
      <c r="Q124" s="893"/>
      <c r="R124" s="893"/>
      <c r="S124" s="981"/>
      <c r="T124" s="982"/>
      <c r="U124" s="893"/>
      <c r="V124" s="893"/>
    </row>
    <row r="125" spans="2:22" ht="15.75">
      <c r="C125" s="891"/>
      <c r="D125" s="1004">
        <v>2026</v>
      </c>
      <c r="E125" s="1005">
        <f t="shared" si="7"/>
        <v>1724.8370782523439</v>
      </c>
      <c r="F125" s="1006">
        <f t="shared" si="1"/>
        <v>3.2879706804185305</v>
      </c>
      <c r="G125" s="1007">
        <f t="shared" si="2"/>
        <v>3.9455648165022366</v>
      </c>
      <c r="H125" s="1007">
        <f t="shared" si="3"/>
        <v>14.204033339408053</v>
      </c>
      <c r="I125" s="1007">
        <f t="shared" si="4"/>
        <v>5.9183472247533544</v>
      </c>
      <c r="J125" s="1007">
        <f t="shared" si="5"/>
        <v>21.306050009112074</v>
      </c>
      <c r="K125" s="1007">
        <f t="shared" si="6"/>
        <v>113.63226671526441</v>
      </c>
      <c r="L125" s="891"/>
      <c r="M125" s="891"/>
      <c r="N125" s="893"/>
      <c r="O125" s="893"/>
      <c r="P125" s="893"/>
      <c r="Q125" s="893"/>
      <c r="R125" s="893"/>
      <c r="S125" s="981"/>
      <c r="T125" s="987"/>
      <c r="U125" s="893"/>
      <c r="V125" s="893"/>
    </row>
    <row r="126" spans="2:22" ht="15.75">
      <c r="C126" s="891"/>
      <c r="D126" s="1004">
        <v>2027</v>
      </c>
      <c r="E126" s="1005">
        <f t="shared" si="7"/>
        <v>1742.0854490348672</v>
      </c>
      <c r="F126" s="1006">
        <f t="shared" si="1"/>
        <v>3.3208503872227153</v>
      </c>
      <c r="G126" s="1007">
        <f t="shared" si="2"/>
        <v>3.9850204646672589</v>
      </c>
      <c r="H126" s="1007">
        <f t="shared" si="3"/>
        <v>14.346073672802133</v>
      </c>
      <c r="I126" s="1007">
        <f t="shared" si="4"/>
        <v>5.977530697000887</v>
      </c>
      <c r="J126" s="1007">
        <f t="shared" si="5"/>
        <v>21.519110509203191</v>
      </c>
      <c r="K126" s="1007">
        <f t="shared" si="6"/>
        <v>114.76858938241703</v>
      </c>
      <c r="L126" s="891"/>
      <c r="M126" s="891"/>
      <c r="N126" s="893"/>
      <c r="O126" s="893"/>
      <c r="P126" s="893"/>
      <c r="Q126" s="893"/>
      <c r="R126" s="893"/>
      <c r="S126" s="986"/>
      <c r="T126" s="982"/>
      <c r="U126" s="893"/>
      <c r="V126" s="893"/>
    </row>
    <row r="127" spans="2:22" ht="15.75">
      <c r="C127" s="891"/>
      <c r="D127" s="1004">
        <v>2028</v>
      </c>
      <c r="E127" s="1005">
        <f t="shared" si="7"/>
        <v>1759.5063035252158</v>
      </c>
      <c r="F127" s="1006">
        <f t="shared" si="1"/>
        <v>3.3540588910949425</v>
      </c>
      <c r="G127" s="1007">
        <f t="shared" si="2"/>
        <v>4.0248706693139304</v>
      </c>
      <c r="H127" s="1007">
        <f t="shared" si="3"/>
        <v>14.489534409530149</v>
      </c>
      <c r="I127" s="1007">
        <f t="shared" si="4"/>
        <v>6.0373060039708957</v>
      </c>
      <c r="J127" s="1007">
        <f t="shared" si="5"/>
        <v>21.734301614295223</v>
      </c>
      <c r="K127" s="1007">
        <f t="shared" si="6"/>
        <v>115.91627527624122</v>
      </c>
      <c r="L127" s="891"/>
      <c r="M127" s="891"/>
      <c r="N127" s="893"/>
      <c r="O127" s="893"/>
      <c r="P127" s="893"/>
      <c r="Q127" s="893"/>
      <c r="R127" s="893"/>
      <c r="S127" s="981"/>
      <c r="T127" s="987"/>
      <c r="U127" s="893"/>
      <c r="V127" s="893"/>
    </row>
    <row r="128" spans="2:22" ht="15.75">
      <c r="C128" s="891"/>
      <c r="D128" s="1004">
        <v>2029</v>
      </c>
      <c r="E128" s="1005">
        <f t="shared" si="7"/>
        <v>1777.101366560468</v>
      </c>
      <c r="F128" s="1006">
        <f t="shared" si="1"/>
        <v>3.3875994800058922</v>
      </c>
      <c r="G128" s="1007">
        <f t="shared" si="2"/>
        <v>4.0651193760070701</v>
      </c>
      <c r="H128" s="1007">
        <f t="shared" si="3"/>
        <v>14.634429753625453</v>
      </c>
      <c r="I128" s="1007">
        <f t="shared" si="4"/>
        <v>6.0976790640106051</v>
      </c>
      <c r="J128" s="1007">
        <f t="shared" si="5"/>
        <v>21.951644630438178</v>
      </c>
      <c r="K128" s="1007">
        <f t="shared" si="6"/>
        <v>117.07543802900362</v>
      </c>
      <c r="L128" s="891"/>
      <c r="M128" s="891"/>
      <c r="N128" s="893"/>
      <c r="O128" s="893"/>
      <c r="P128" s="893"/>
      <c r="Q128" s="893"/>
      <c r="R128" s="893"/>
      <c r="S128" s="986"/>
      <c r="T128" s="982"/>
      <c r="U128" s="893"/>
      <c r="V128" s="893"/>
    </row>
    <row r="129" spans="1:22" ht="15.75">
      <c r="C129" s="891"/>
      <c r="D129" s="1004">
        <v>2030</v>
      </c>
      <c r="E129" s="1005">
        <f t="shared" si="7"/>
        <v>1794.8723802260727</v>
      </c>
      <c r="F129" s="1006">
        <f t="shared" si="1"/>
        <v>3.4214754748059506</v>
      </c>
      <c r="G129" s="1007">
        <f t="shared" si="2"/>
        <v>4.1057705697671407</v>
      </c>
      <c r="H129" s="1007">
        <f t="shared" si="3"/>
        <v>14.780774051161705</v>
      </c>
      <c r="I129" s="1007">
        <f t="shared" si="4"/>
        <v>6.1586558546507106</v>
      </c>
      <c r="J129" s="1007">
        <f t="shared" si="5"/>
        <v>22.171161076742557</v>
      </c>
      <c r="K129" s="1007">
        <f t="shared" si="6"/>
        <v>118.24619240929366</v>
      </c>
      <c r="L129" s="891"/>
      <c r="M129" s="891"/>
      <c r="N129" s="893"/>
      <c r="O129" s="893"/>
      <c r="P129" s="893"/>
      <c r="Q129" s="893"/>
      <c r="R129" s="893"/>
      <c r="S129" s="981"/>
      <c r="T129" s="987"/>
      <c r="U129" s="893"/>
      <c r="V129" s="893"/>
    </row>
    <row r="130" spans="1:22" ht="15.75">
      <c r="C130" s="891"/>
      <c r="D130" s="1004">
        <v>2031</v>
      </c>
      <c r="E130" s="1005">
        <f t="shared" si="7"/>
        <v>1812.8211040283334</v>
      </c>
      <c r="F130" s="1006">
        <f t="shared" si="1"/>
        <v>3.4556902295540102</v>
      </c>
      <c r="G130" s="1007">
        <f t="shared" si="2"/>
        <v>4.146828275464812</v>
      </c>
      <c r="H130" s="1007">
        <f t="shared" si="3"/>
        <v>14.928581791673325</v>
      </c>
      <c r="I130" s="1007">
        <f t="shared" si="4"/>
        <v>6.2202424131972176</v>
      </c>
      <c r="J130" s="1007">
        <f t="shared" si="5"/>
        <v>22.392872687509985</v>
      </c>
      <c r="K130" s="1007">
        <f t="shared" si="6"/>
        <v>119.42865433338659</v>
      </c>
      <c r="L130" s="891"/>
      <c r="M130" s="891"/>
      <c r="N130" s="893"/>
      <c r="O130" s="893"/>
      <c r="P130" s="893"/>
      <c r="Q130" s="893"/>
      <c r="R130" s="893"/>
      <c r="S130" s="893"/>
      <c r="T130" s="893"/>
      <c r="U130" s="893"/>
      <c r="V130" s="893"/>
    </row>
    <row r="131" spans="1:22" ht="15.75">
      <c r="C131" s="891"/>
      <c r="D131" s="1004">
        <v>2032</v>
      </c>
      <c r="E131" s="1005">
        <f t="shared" si="7"/>
        <v>1830.9493150686167</v>
      </c>
      <c r="F131" s="1006">
        <f t="shared" si="1"/>
        <v>3.49024713184955</v>
      </c>
      <c r="G131" s="1007">
        <f t="shared" si="2"/>
        <v>4.1882965582194602</v>
      </c>
      <c r="H131" s="1007">
        <f t="shared" si="3"/>
        <v>15.077867609590058</v>
      </c>
      <c r="I131" s="1007">
        <f t="shared" si="4"/>
        <v>6.2824448373291908</v>
      </c>
      <c r="J131" s="1007">
        <f t="shared" si="5"/>
        <v>22.616801414385087</v>
      </c>
      <c r="K131" s="1007">
        <f t="shared" si="6"/>
        <v>120.62294087672046</v>
      </c>
      <c r="L131" s="891"/>
      <c r="M131" s="891"/>
      <c r="N131" s="893"/>
      <c r="O131" s="893"/>
      <c r="P131" s="893"/>
      <c r="Q131" s="893"/>
      <c r="R131" s="893"/>
      <c r="S131" s="893"/>
      <c r="T131" s="893"/>
      <c r="U131" s="893"/>
      <c r="V131" s="893"/>
    </row>
    <row r="132" spans="1:22" ht="15.75">
      <c r="C132" s="891"/>
      <c r="D132" s="1004">
        <v>2033</v>
      </c>
      <c r="E132" s="1005">
        <f t="shared" si="7"/>
        <v>1849.2588082193029</v>
      </c>
      <c r="F132" s="1006">
        <f t="shared" si="1"/>
        <v>3.525149603168046</v>
      </c>
      <c r="G132" s="1007">
        <f t="shared" si="2"/>
        <v>4.2301795238016542</v>
      </c>
      <c r="H132" s="1007">
        <f t="shared" si="3"/>
        <v>15.228646285685956</v>
      </c>
      <c r="I132" s="1007">
        <f t="shared" si="4"/>
        <v>6.3452692857024822</v>
      </c>
      <c r="J132" s="1007">
        <f t="shared" si="5"/>
        <v>22.842969428528935</v>
      </c>
      <c r="K132" s="1007">
        <f t="shared" si="6"/>
        <v>121.82917028548766</v>
      </c>
      <c r="L132" s="891"/>
      <c r="M132" s="891"/>
      <c r="N132" s="1008"/>
      <c r="O132" s="893"/>
      <c r="P132" s="893"/>
      <c r="Q132" s="893"/>
      <c r="R132" s="893"/>
      <c r="S132" s="893"/>
      <c r="T132" s="893"/>
      <c r="U132" s="893"/>
      <c r="V132" s="893"/>
    </row>
    <row r="133" spans="1:22" ht="15.75">
      <c r="C133" s="891"/>
      <c r="D133" s="1004">
        <v>2034</v>
      </c>
      <c r="E133" s="1005">
        <f t="shared" si="7"/>
        <v>1867.751396301496</v>
      </c>
      <c r="F133" s="1006">
        <f t="shared" si="1"/>
        <v>3.5604010991997268</v>
      </c>
      <c r="G133" s="1007">
        <f t="shared" si="2"/>
        <v>4.2724813190396711</v>
      </c>
      <c r="H133" s="1007">
        <f t="shared" si="3"/>
        <v>15.380932748542817</v>
      </c>
      <c r="I133" s="1007">
        <f t="shared" si="4"/>
        <v>6.408721978559508</v>
      </c>
      <c r="J133" s="1007">
        <f t="shared" si="5"/>
        <v>23.071399122814228</v>
      </c>
      <c r="K133" s="1007">
        <f t="shared" si="6"/>
        <v>123.04746198834256</v>
      </c>
      <c r="L133" s="891"/>
      <c r="M133" s="891"/>
      <c r="N133" s="1008"/>
      <c r="O133" s="893"/>
      <c r="P133" s="893"/>
      <c r="Q133" s="893"/>
      <c r="R133" s="893"/>
      <c r="S133" s="893"/>
      <c r="T133" s="893"/>
      <c r="U133" s="893"/>
      <c r="V133" s="893"/>
    </row>
    <row r="134" spans="1:22" ht="15.75">
      <c r="C134" s="891"/>
      <c r="D134" s="1004">
        <v>2035</v>
      </c>
      <c r="E134" s="1005">
        <f t="shared" si="7"/>
        <v>1886.4289102645109</v>
      </c>
      <c r="F134" s="1006">
        <f t="shared" si="1"/>
        <v>3.5960051101917236</v>
      </c>
      <c r="G134" s="1007">
        <f t="shared" si="2"/>
        <v>4.3152061322300685</v>
      </c>
      <c r="H134" s="1007">
        <f t="shared" si="3"/>
        <v>15.534742076028246</v>
      </c>
      <c r="I134" s="1007">
        <f t="shared" si="4"/>
        <v>6.4728091983451028</v>
      </c>
      <c r="J134" s="1007">
        <f t="shared" si="5"/>
        <v>23.302113114042371</v>
      </c>
      <c r="K134" s="1007">
        <f t="shared" si="6"/>
        <v>124.27793660822597</v>
      </c>
      <c r="L134" s="891"/>
      <c r="M134" s="891"/>
      <c r="N134" s="1008"/>
      <c r="O134" s="893"/>
      <c r="P134" s="893"/>
      <c r="Q134" s="893"/>
      <c r="R134" s="997"/>
      <c r="S134" s="1009"/>
      <c r="T134" s="893"/>
      <c r="U134" s="1010"/>
      <c r="V134" s="1011"/>
    </row>
    <row r="135" spans="1:22" ht="15.75">
      <c r="C135" s="891"/>
      <c r="D135" s="1004">
        <v>2036</v>
      </c>
      <c r="E135" s="1005">
        <f t="shared" si="7"/>
        <v>1905.2931993671561</v>
      </c>
      <c r="F135" s="1006">
        <f t="shared" si="1"/>
        <v>3.6319651612936412</v>
      </c>
      <c r="G135" s="1007">
        <f t="shared" si="2"/>
        <v>4.3583581935523688</v>
      </c>
      <c r="H135" s="1007">
        <f t="shared" si="3"/>
        <v>15.690089496788529</v>
      </c>
      <c r="I135" s="1007">
        <f t="shared" si="4"/>
        <v>6.5375372903285545</v>
      </c>
      <c r="J135" s="1007">
        <f t="shared" si="5"/>
        <v>23.535134245182796</v>
      </c>
      <c r="K135" s="1007">
        <f t="shared" si="6"/>
        <v>125.52071597430825</v>
      </c>
      <c r="L135" s="891"/>
      <c r="M135" s="891"/>
      <c r="N135" s="893"/>
      <c r="O135" s="893"/>
      <c r="P135" s="893"/>
      <c r="Q135" s="893"/>
      <c r="R135" s="893"/>
      <c r="S135" s="986"/>
      <c r="T135" s="987"/>
      <c r="U135" s="893"/>
      <c r="V135" s="893"/>
    </row>
    <row r="136" spans="1:22" ht="15.75">
      <c r="C136" s="891"/>
      <c r="D136" s="1004">
        <v>2037</v>
      </c>
      <c r="E136" s="1005">
        <f t="shared" si="7"/>
        <v>1924.3461313608277</v>
      </c>
      <c r="F136" s="1006">
        <f t="shared" si="1"/>
        <v>3.668284812906577</v>
      </c>
      <c r="G136" s="1007">
        <f t="shared" si="2"/>
        <v>4.4019417754878933</v>
      </c>
      <c r="H136" s="1007">
        <f t="shared" si="3"/>
        <v>15.846990391756416</v>
      </c>
      <c r="I136" s="1007">
        <f t="shared" si="4"/>
        <v>6.6029126632318391</v>
      </c>
      <c r="J136" s="1007">
        <f t="shared" si="5"/>
        <v>23.770485587634621</v>
      </c>
      <c r="K136" s="1007">
        <f t="shared" si="6"/>
        <v>126.77592313405131</v>
      </c>
      <c r="L136" s="891"/>
      <c r="M136" s="893"/>
      <c r="N136" s="893"/>
      <c r="O136" s="893"/>
      <c r="P136" s="893"/>
      <c r="Q136" s="893"/>
      <c r="R136" s="893"/>
      <c r="S136" s="893"/>
      <c r="T136" s="893"/>
      <c r="U136" s="893"/>
      <c r="V136" s="893"/>
    </row>
    <row r="137" spans="1:22" ht="15.75">
      <c r="C137" s="891"/>
      <c r="D137" s="1004">
        <v>2038</v>
      </c>
      <c r="E137" s="1005">
        <f t="shared" si="7"/>
        <v>1943.5895926744361</v>
      </c>
      <c r="F137" s="1006">
        <f t="shared" si="1"/>
        <v>3.7049676610356439</v>
      </c>
      <c r="G137" s="1007">
        <f t="shared" si="2"/>
        <v>4.4459611932427725</v>
      </c>
      <c r="H137" s="1007">
        <f t="shared" si="3"/>
        <v>16.005460295673981</v>
      </c>
      <c r="I137" s="1007">
        <f t="shared" si="4"/>
        <v>6.6689417898641583</v>
      </c>
      <c r="J137" s="1007">
        <f t="shared" si="5"/>
        <v>24.008190443510973</v>
      </c>
      <c r="K137" s="1007">
        <f t="shared" si="6"/>
        <v>128.04368236539185</v>
      </c>
      <c r="L137" s="891"/>
      <c r="M137" s="893"/>
      <c r="N137" s="893"/>
      <c r="O137" s="893"/>
      <c r="P137" s="893"/>
      <c r="Q137" s="893"/>
      <c r="R137" s="893"/>
      <c r="S137" s="893"/>
      <c r="T137" s="893"/>
      <c r="U137" s="893"/>
      <c r="V137" s="893"/>
    </row>
    <row r="138" spans="1:22" ht="15.75">
      <c r="C138" s="1012"/>
      <c r="D138" s="1004">
        <v>2039</v>
      </c>
      <c r="E138" s="1005">
        <f t="shared" si="7"/>
        <v>1963.0254886011805</v>
      </c>
      <c r="F138" s="1006">
        <f t="shared" si="1"/>
        <v>3.7420173376460002</v>
      </c>
      <c r="G138" s="1007">
        <f t="shared" si="2"/>
        <v>4.4904208051751997</v>
      </c>
      <c r="H138" s="1007">
        <f t="shared" si="3"/>
        <v>16.165514898630722</v>
      </c>
      <c r="I138" s="1007">
        <f t="shared" si="4"/>
        <v>6.7356312077627996</v>
      </c>
      <c r="J138" s="1007">
        <f t="shared" si="5"/>
        <v>24.248272347946081</v>
      </c>
      <c r="K138" s="1007">
        <f t="shared" si="6"/>
        <v>129.32411918904575</v>
      </c>
      <c r="L138" s="1012"/>
      <c r="M138" s="893"/>
      <c r="N138" s="893"/>
      <c r="O138" s="893"/>
      <c r="P138" s="893"/>
      <c r="Q138" s="893"/>
      <c r="R138" s="893"/>
      <c r="S138" s="893"/>
      <c r="T138" s="893"/>
      <c r="U138" s="893"/>
      <c r="V138" s="893"/>
    </row>
    <row r="139" spans="1:22" ht="15.75">
      <c r="C139" s="1012"/>
      <c r="D139" s="1004">
        <v>2040</v>
      </c>
      <c r="E139" s="1005">
        <f t="shared" si="7"/>
        <v>1982.6557434871925</v>
      </c>
      <c r="F139" s="1006">
        <f t="shared" si="1"/>
        <v>3.7794375110224605</v>
      </c>
      <c r="G139" s="1007">
        <f t="shared" si="2"/>
        <v>4.5353250132269523</v>
      </c>
      <c r="H139" s="1007">
        <f t="shared" si="3"/>
        <v>16.327170047617027</v>
      </c>
      <c r="I139" s="1007">
        <f t="shared" si="4"/>
        <v>6.8029875198404284</v>
      </c>
      <c r="J139" s="1007">
        <f t="shared" si="5"/>
        <v>24.490755071425543</v>
      </c>
      <c r="K139" s="1007">
        <f t="shared" si="6"/>
        <v>130.61736038093622</v>
      </c>
      <c r="L139" s="1012"/>
      <c r="M139" s="893"/>
      <c r="N139" s="893"/>
      <c r="O139" s="893"/>
      <c r="P139" s="893"/>
      <c r="Q139" s="893"/>
      <c r="R139" s="893"/>
      <c r="S139" s="893"/>
      <c r="T139" s="893"/>
      <c r="U139" s="893"/>
      <c r="V139" s="893"/>
    </row>
    <row r="140" spans="1:22" ht="15.75">
      <c r="C140" s="1012"/>
      <c r="D140" s="1004">
        <v>2041</v>
      </c>
      <c r="E140" s="1005">
        <f t="shared" si="7"/>
        <v>2002.4823009220645</v>
      </c>
      <c r="F140" s="1006">
        <f t="shared" si="1"/>
        <v>3.817231886132685</v>
      </c>
      <c r="G140" s="1007">
        <f t="shared" si="2"/>
        <v>4.5806782633592213</v>
      </c>
      <c r="H140" s="1007">
        <f t="shared" si="3"/>
        <v>16.490441748093197</v>
      </c>
      <c r="I140" s="1007">
        <f t="shared" si="4"/>
        <v>6.8710173950388338</v>
      </c>
      <c r="J140" s="1007">
        <f t="shared" si="5"/>
        <v>24.735662622139802</v>
      </c>
      <c r="K140" s="1007">
        <f t="shared" si="6"/>
        <v>131.9235339847456</v>
      </c>
      <c r="L140" s="1012"/>
      <c r="M140" s="893"/>
      <c r="N140" s="893"/>
      <c r="O140" s="893"/>
      <c r="P140" s="893"/>
      <c r="Q140" s="893"/>
      <c r="R140" s="893"/>
      <c r="S140" s="893"/>
      <c r="T140" s="893"/>
      <c r="U140" s="893"/>
      <c r="V140" s="893"/>
    </row>
    <row r="141" spans="1:22" ht="15.75">
      <c r="C141" s="1012"/>
      <c r="D141" s="1004">
        <v>2042</v>
      </c>
      <c r="E141" s="1005">
        <f t="shared" si="7"/>
        <v>2022.5071239312852</v>
      </c>
      <c r="F141" s="1006">
        <f t="shared" si="1"/>
        <v>3.855404204994012</v>
      </c>
      <c r="G141" s="1007">
        <f t="shared" si="2"/>
        <v>4.6264850459928146</v>
      </c>
      <c r="H141" s="1007">
        <f>(G141/1000)*3600</f>
        <v>16.65534616557413</v>
      </c>
      <c r="I141" s="1007">
        <f t="shared" si="4"/>
        <v>6.9397275689892215</v>
      </c>
      <c r="J141" s="1007">
        <f t="shared" si="5"/>
        <v>24.983019248361199</v>
      </c>
      <c r="K141" s="1007">
        <f t="shared" si="6"/>
        <v>133.24276932459304</v>
      </c>
      <c r="L141" s="1012"/>
      <c r="M141" s="1012"/>
      <c r="N141" s="893"/>
      <c r="O141" s="893"/>
      <c r="P141" s="893"/>
      <c r="Q141" s="893"/>
      <c r="R141" s="893"/>
      <c r="S141" s="893"/>
      <c r="T141" s="893"/>
      <c r="U141" s="893"/>
      <c r="V141" s="893"/>
    </row>
    <row r="142" spans="1:22" ht="15.75">
      <c r="C142" s="1012"/>
      <c r="D142" s="1013"/>
      <c r="E142" s="1014"/>
      <c r="F142" s="1015"/>
      <c r="G142" s="1015"/>
      <c r="H142" s="1015"/>
      <c r="I142" s="1015"/>
      <c r="J142" s="1015"/>
      <c r="K142" s="898"/>
      <c r="L142" s="1012"/>
      <c r="M142" s="1012"/>
      <c r="N142" s="893"/>
      <c r="O142" s="893"/>
      <c r="P142" s="893"/>
      <c r="Q142" s="893"/>
      <c r="R142" s="893"/>
      <c r="S142" s="893"/>
      <c r="T142" s="893"/>
      <c r="U142" s="893"/>
      <c r="V142" s="893"/>
    </row>
    <row r="143" spans="1:22" s="1017" customFormat="1" ht="15.75">
      <c r="A143" s="1016"/>
      <c r="B143" s="1016"/>
      <c r="D143" s="1012" t="s">
        <v>7005</v>
      </c>
      <c r="E143" s="1018"/>
      <c r="F143" s="1019"/>
      <c r="G143" s="1020"/>
      <c r="H143" s="1020"/>
      <c r="I143" s="1020"/>
      <c r="J143" s="1020"/>
      <c r="K143" s="1020"/>
      <c r="L143" s="1021"/>
      <c r="M143" s="1021"/>
      <c r="N143" s="1016"/>
      <c r="O143" s="1016"/>
      <c r="P143" s="1016"/>
      <c r="Q143" s="1016"/>
      <c r="R143" s="1016"/>
      <c r="S143" s="1016"/>
      <c r="T143" s="1016"/>
      <c r="U143" s="1016"/>
      <c r="V143" s="1016"/>
    </row>
    <row r="144" spans="1:22" ht="15.75">
      <c r="C144" s="1012"/>
      <c r="D144" s="1012" t="s">
        <v>7006</v>
      </c>
      <c r="E144" s="1012"/>
      <c r="F144" s="1012"/>
      <c r="G144" s="1012"/>
      <c r="H144" s="1012"/>
      <c r="I144" s="1012"/>
      <c r="J144" s="1012"/>
      <c r="K144" s="1012"/>
      <c r="L144" s="1012"/>
      <c r="M144" s="1012"/>
      <c r="N144" s="893"/>
      <c r="O144" s="893"/>
      <c r="P144" s="893"/>
      <c r="Q144" s="893"/>
      <c r="R144" s="893"/>
      <c r="S144" s="893"/>
      <c r="T144" s="893"/>
      <c r="U144" s="893"/>
      <c r="V144" s="893"/>
    </row>
    <row r="145" spans="3:22" ht="15.75">
      <c r="C145" s="1012"/>
      <c r="D145" s="1012"/>
      <c r="E145" s="1012"/>
      <c r="F145" s="1012"/>
      <c r="G145" s="1012"/>
      <c r="H145" s="1012"/>
      <c r="I145" s="1012"/>
      <c r="J145" s="1012"/>
      <c r="K145" s="1012"/>
      <c r="L145" s="1012"/>
      <c r="M145" s="1012"/>
      <c r="N145" s="893"/>
      <c r="O145" s="893"/>
      <c r="P145" s="893"/>
      <c r="Q145" s="893"/>
      <c r="R145" s="893"/>
      <c r="S145" s="893"/>
      <c r="T145" s="893"/>
      <c r="U145" s="893"/>
      <c r="V145" s="893"/>
    </row>
  </sheetData>
  <mergeCells count="32">
    <mergeCell ref="D7:L7"/>
    <mergeCell ref="D60:E60"/>
    <mergeCell ref="G60:H60"/>
    <mergeCell ref="J60:K60"/>
    <mergeCell ref="D2:L2"/>
    <mergeCell ref="D3:L3"/>
    <mergeCell ref="D4:L4"/>
    <mergeCell ref="D5:L5"/>
    <mergeCell ref="C6:M6"/>
    <mergeCell ref="R94:S94"/>
    <mergeCell ref="H66:H67"/>
    <mergeCell ref="I66:I67"/>
    <mergeCell ref="C69:M69"/>
    <mergeCell ref="C14:M14"/>
    <mergeCell ref="C16:M16"/>
    <mergeCell ref="C34:M34"/>
    <mergeCell ref="E39:G39"/>
    <mergeCell ref="F40:G40"/>
    <mergeCell ref="C50:M50"/>
    <mergeCell ref="E73:E74"/>
    <mergeCell ref="G73:I73"/>
    <mergeCell ref="R82:S82"/>
    <mergeCell ref="R86:S86"/>
    <mergeCell ref="R90:S90"/>
    <mergeCell ref="G116:H116"/>
    <mergeCell ref="G117:H118"/>
    <mergeCell ref="R98:S98"/>
    <mergeCell ref="C104:M104"/>
    <mergeCell ref="C109:M109"/>
    <mergeCell ref="C114:D114"/>
    <mergeCell ref="G114:H114"/>
    <mergeCell ref="G115:H115"/>
  </mergeCells>
  <printOptions horizontalCentered="1"/>
  <pageMargins left="0.59055118110236227" right="0.19685039370078741" top="0.78740157480314965" bottom="0.78740157480314965" header="0.31496062992125984" footer="0.31496062992125984"/>
  <pageSetup paperSize="9" scale="44" orientation="portrait" r:id="rId1"/>
  <headerFooter>
    <oddHeader>&amp;CPágina &amp;P de &amp;N</oddHeader>
  </headerFooter>
  <rowBreaks count="1" manualBreakCount="1">
    <brk id="102" min="2" max="12" man="1"/>
  </rowBreaks>
  <drawing r:id="rId2"/>
</worksheet>
</file>

<file path=xl/worksheets/sheet10.xml><?xml version="1.0" encoding="utf-8"?>
<worksheet xmlns="http://schemas.openxmlformats.org/spreadsheetml/2006/main" xmlns:r="http://schemas.openxmlformats.org/officeDocument/2006/relationships">
  <sheetPr codeName="Planilha6">
    <tabColor rgb="FFFFCCFF"/>
  </sheetPr>
  <dimension ref="A1:BF99"/>
  <sheetViews>
    <sheetView view="pageBreakPreview" topLeftCell="A91" zoomScale="85" zoomScaleSheetLayoutView="85" workbookViewId="0">
      <selection activeCell="B9" sqref="B9:F9"/>
    </sheetView>
  </sheetViews>
  <sheetFormatPr defaultRowHeight="12.75"/>
  <cols>
    <col min="1" max="1" width="28.140625" style="228" customWidth="1"/>
    <col min="2" max="2" width="24.7109375" style="319" customWidth="1"/>
    <col min="3" max="3" width="75.7109375" style="319" customWidth="1"/>
    <col min="4" max="4" width="15.7109375" style="320" customWidth="1"/>
    <col min="5" max="5" width="23.7109375" style="321" customWidth="1"/>
    <col min="6" max="6" width="18.7109375" style="322" customWidth="1"/>
    <col min="7" max="7" width="20.7109375" style="323" customWidth="1"/>
    <col min="8" max="8" width="13.140625" style="228" bestFit="1" customWidth="1"/>
    <col min="9" max="9" width="19.28515625" style="228" customWidth="1"/>
    <col min="10" max="10" width="17.140625" style="228" customWidth="1"/>
    <col min="11" max="257" width="9.140625" style="228"/>
    <col min="258" max="258" width="21" style="228" customWidth="1"/>
    <col min="259" max="259" width="81.42578125" style="228" customWidth="1"/>
    <col min="260" max="261" width="15.5703125" style="228" customWidth="1"/>
    <col min="262" max="262" width="14.140625" style="228" bestFit="1" customWidth="1"/>
    <col min="263" max="263" width="18" style="228" bestFit="1" customWidth="1"/>
    <col min="264" max="264" width="11" style="228" bestFit="1" customWidth="1"/>
    <col min="265" max="513" width="9.140625" style="228"/>
    <col min="514" max="514" width="21" style="228" customWidth="1"/>
    <col min="515" max="515" width="81.42578125" style="228" customWidth="1"/>
    <col min="516" max="517" width="15.5703125" style="228" customWidth="1"/>
    <col min="518" max="518" width="14.140625" style="228" bestFit="1" customWidth="1"/>
    <col min="519" max="519" width="18" style="228" bestFit="1" customWidth="1"/>
    <col min="520" max="520" width="11" style="228" bestFit="1" customWidth="1"/>
    <col min="521" max="769" width="9.140625" style="228"/>
    <col min="770" max="770" width="21" style="228" customWidth="1"/>
    <col min="771" max="771" width="81.42578125" style="228" customWidth="1"/>
    <col min="772" max="773" width="15.5703125" style="228" customWidth="1"/>
    <col min="774" max="774" width="14.140625" style="228" bestFit="1" customWidth="1"/>
    <col min="775" max="775" width="18" style="228" bestFit="1" customWidth="1"/>
    <col min="776" max="776" width="11" style="228" bestFit="1" customWidth="1"/>
    <col min="777" max="1025" width="9.140625" style="228"/>
    <col min="1026" max="1026" width="21" style="228" customWidth="1"/>
    <col min="1027" max="1027" width="81.42578125" style="228" customWidth="1"/>
    <col min="1028" max="1029" width="15.5703125" style="228" customWidth="1"/>
    <col min="1030" max="1030" width="14.140625" style="228" bestFit="1" customWidth="1"/>
    <col min="1031" max="1031" width="18" style="228" bestFit="1" customWidth="1"/>
    <col min="1032" max="1032" width="11" style="228" bestFit="1" customWidth="1"/>
    <col min="1033" max="1281" width="9.140625" style="228"/>
    <col min="1282" max="1282" width="21" style="228" customWidth="1"/>
    <col min="1283" max="1283" width="81.42578125" style="228" customWidth="1"/>
    <col min="1284" max="1285" width="15.5703125" style="228" customWidth="1"/>
    <col min="1286" max="1286" width="14.140625" style="228" bestFit="1" customWidth="1"/>
    <col min="1287" max="1287" width="18" style="228" bestFit="1" customWidth="1"/>
    <col min="1288" max="1288" width="11" style="228" bestFit="1" customWidth="1"/>
    <col min="1289" max="1537" width="9.140625" style="228"/>
    <col min="1538" max="1538" width="21" style="228" customWidth="1"/>
    <col min="1539" max="1539" width="81.42578125" style="228" customWidth="1"/>
    <col min="1540" max="1541" width="15.5703125" style="228" customWidth="1"/>
    <col min="1542" max="1542" width="14.140625" style="228" bestFit="1" customWidth="1"/>
    <col min="1543" max="1543" width="18" style="228" bestFit="1" customWidth="1"/>
    <col min="1544" max="1544" width="11" style="228" bestFit="1" customWidth="1"/>
    <col min="1545" max="1793" width="9.140625" style="228"/>
    <col min="1794" max="1794" width="21" style="228" customWidth="1"/>
    <col min="1795" max="1795" width="81.42578125" style="228" customWidth="1"/>
    <col min="1796" max="1797" width="15.5703125" style="228" customWidth="1"/>
    <col min="1798" max="1798" width="14.140625" style="228" bestFit="1" customWidth="1"/>
    <col min="1799" max="1799" width="18" style="228" bestFit="1" customWidth="1"/>
    <col min="1800" max="1800" width="11" style="228" bestFit="1" customWidth="1"/>
    <col min="1801" max="2049" width="9.140625" style="228"/>
    <col min="2050" max="2050" width="21" style="228" customWidth="1"/>
    <col min="2051" max="2051" width="81.42578125" style="228" customWidth="1"/>
    <col min="2052" max="2053" width="15.5703125" style="228" customWidth="1"/>
    <col min="2054" max="2054" width="14.140625" style="228" bestFit="1" customWidth="1"/>
    <col min="2055" max="2055" width="18" style="228" bestFit="1" customWidth="1"/>
    <col min="2056" max="2056" width="11" style="228" bestFit="1" customWidth="1"/>
    <col min="2057" max="2305" width="9.140625" style="228"/>
    <col min="2306" max="2306" width="21" style="228" customWidth="1"/>
    <col min="2307" max="2307" width="81.42578125" style="228" customWidth="1"/>
    <col min="2308" max="2309" width="15.5703125" style="228" customWidth="1"/>
    <col min="2310" max="2310" width="14.140625" style="228" bestFit="1" customWidth="1"/>
    <col min="2311" max="2311" width="18" style="228" bestFit="1" customWidth="1"/>
    <col min="2312" max="2312" width="11" style="228" bestFit="1" customWidth="1"/>
    <col min="2313" max="2561" width="9.140625" style="228"/>
    <col min="2562" max="2562" width="21" style="228" customWidth="1"/>
    <col min="2563" max="2563" width="81.42578125" style="228" customWidth="1"/>
    <col min="2564" max="2565" width="15.5703125" style="228" customWidth="1"/>
    <col min="2566" max="2566" width="14.140625" style="228" bestFit="1" customWidth="1"/>
    <col min="2567" max="2567" width="18" style="228" bestFit="1" customWidth="1"/>
    <col min="2568" max="2568" width="11" style="228" bestFit="1" customWidth="1"/>
    <col min="2569" max="2817" width="9.140625" style="228"/>
    <col min="2818" max="2818" width="21" style="228" customWidth="1"/>
    <col min="2819" max="2819" width="81.42578125" style="228" customWidth="1"/>
    <col min="2820" max="2821" width="15.5703125" style="228" customWidth="1"/>
    <col min="2822" max="2822" width="14.140625" style="228" bestFit="1" customWidth="1"/>
    <col min="2823" max="2823" width="18" style="228" bestFit="1" customWidth="1"/>
    <col min="2824" max="2824" width="11" style="228" bestFit="1" customWidth="1"/>
    <col min="2825" max="3073" width="9.140625" style="228"/>
    <col min="3074" max="3074" width="21" style="228" customWidth="1"/>
    <col min="3075" max="3075" width="81.42578125" style="228" customWidth="1"/>
    <col min="3076" max="3077" width="15.5703125" style="228" customWidth="1"/>
    <col min="3078" max="3078" width="14.140625" style="228" bestFit="1" customWidth="1"/>
    <col min="3079" max="3079" width="18" style="228" bestFit="1" customWidth="1"/>
    <col min="3080" max="3080" width="11" style="228" bestFit="1" customWidth="1"/>
    <col min="3081" max="3329" width="9.140625" style="228"/>
    <col min="3330" max="3330" width="21" style="228" customWidth="1"/>
    <col min="3331" max="3331" width="81.42578125" style="228" customWidth="1"/>
    <col min="3332" max="3333" width="15.5703125" style="228" customWidth="1"/>
    <col min="3334" max="3334" width="14.140625" style="228" bestFit="1" customWidth="1"/>
    <col min="3335" max="3335" width="18" style="228" bestFit="1" customWidth="1"/>
    <col min="3336" max="3336" width="11" style="228" bestFit="1" customWidth="1"/>
    <col min="3337" max="3585" width="9.140625" style="228"/>
    <col min="3586" max="3586" width="21" style="228" customWidth="1"/>
    <col min="3587" max="3587" width="81.42578125" style="228" customWidth="1"/>
    <col min="3588" max="3589" width="15.5703125" style="228" customWidth="1"/>
    <col min="3590" max="3590" width="14.140625" style="228" bestFit="1" customWidth="1"/>
    <col min="3591" max="3591" width="18" style="228" bestFit="1" customWidth="1"/>
    <col min="3592" max="3592" width="11" style="228" bestFit="1" customWidth="1"/>
    <col min="3593" max="3841" width="9.140625" style="228"/>
    <col min="3842" max="3842" width="21" style="228" customWidth="1"/>
    <col min="3843" max="3843" width="81.42578125" style="228" customWidth="1"/>
    <col min="3844" max="3845" width="15.5703125" style="228" customWidth="1"/>
    <col min="3846" max="3846" width="14.140625" style="228" bestFit="1" customWidth="1"/>
    <col min="3847" max="3847" width="18" style="228" bestFit="1" customWidth="1"/>
    <col min="3848" max="3848" width="11" style="228" bestFit="1" customWidth="1"/>
    <col min="3849" max="4097" width="9.140625" style="228"/>
    <col min="4098" max="4098" width="21" style="228" customWidth="1"/>
    <col min="4099" max="4099" width="81.42578125" style="228" customWidth="1"/>
    <col min="4100" max="4101" width="15.5703125" style="228" customWidth="1"/>
    <col min="4102" max="4102" width="14.140625" style="228" bestFit="1" customWidth="1"/>
    <col min="4103" max="4103" width="18" style="228" bestFit="1" customWidth="1"/>
    <col min="4104" max="4104" width="11" style="228" bestFit="1" customWidth="1"/>
    <col min="4105" max="4353" width="9.140625" style="228"/>
    <col min="4354" max="4354" width="21" style="228" customWidth="1"/>
    <col min="4355" max="4355" width="81.42578125" style="228" customWidth="1"/>
    <col min="4356" max="4357" width="15.5703125" style="228" customWidth="1"/>
    <col min="4358" max="4358" width="14.140625" style="228" bestFit="1" customWidth="1"/>
    <col min="4359" max="4359" width="18" style="228" bestFit="1" customWidth="1"/>
    <col min="4360" max="4360" width="11" style="228" bestFit="1" customWidth="1"/>
    <col min="4361" max="4609" width="9.140625" style="228"/>
    <col min="4610" max="4610" width="21" style="228" customWidth="1"/>
    <col min="4611" max="4611" width="81.42578125" style="228" customWidth="1"/>
    <col min="4612" max="4613" width="15.5703125" style="228" customWidth="1"/>
    <col min="4614" max="4614" width="14.140625" style="228" bestFit="1" customWidth="1"/>
    <col min="4615" max="4615" width="18" style="228" bestFit="1" customWidth="1"/>
    <col min="4616" max="4616" width="11" style="228" bestFit="1" customWidth="1"/>
    <col min="4617" max="4865" width="9.140625" style="228"/>
    <col min="4866" max="4866" width="21" style="228" customWidth="1"/>
    <col min="4867" max="4867" width="81.42578125" style="228" customWidth="1"/>
    <col min="4868" max="4869" width="15.5703125" style="228" customWidth="1"/>
    <col min="4870" max="4870" width="14.140625" style="228" bestFit="1" customWidth="1"/>
    <col min="4871" max="4871" width="18" style="228" bestFit="1" customWidth="1"/>
    <col min="4872" max="4872" width="11" style="228" bestFit="1" customWidth="1"/>
    <col min="4873" max="5121" width="9.140625" style="228"/>
    <col min="5122" max="5122" width="21" style="228" customWidth="1"/>
    <col min="5123" max="5123" width="81.42578125" style="228" customWidth="1"/>
    <col min="5124" max="5125" width="15.5703125" style="228" customWidth="1"/>
    <col min="5126" max="5126" width="14.140625" style="228" bestFit="1" customWidth="1"/>
    <col min="5127" max="5127" width="18" style="228" bestFit="1" customWidth="1"/>
    <col min="5128" max="5128" width="11" style="228" bestFit="1" customWidth="1"/>
    <col min="5129" max="5377" width="9.140625" style="228"/>
    <col min="5378" max="5378" width="21" style="228" customWidth="1"/>
    <col min="5379" max="5379" width="81.42578125" style="228" customWidth="1"/>
    <col min="5380" max="5381" width="15.5703125" style="228" customWidth="1"/>
    <col min="5382" max="5382" width="14.140625" style="228" bestFit="1" customWidth="1"/>
    <col min="5383" max="5383" width="18" style="228" bestFit="1" customWidth="1"/>
    <col min="5384" max="5384" width="11" style="228" bestFit="1" customWidth="1"/>
    <col min="5385" max="5633" width="9.140625" style="228"/>
    <col min="5634" max="5634" width="21" style="228" customWidth="1"/>
    <col min="5635" max="5635" width="81.42578125" style="228" customWidth="1"/>
    <col min="5636" max="5637" width="15.5703125" style="228" customWidth="1"/>
    <col min="5638" max="5638" width="14.140625" style="228" bestFit="1" customWidth="1"/>
    <col min="5639" max="5639" width="18" style="228" bestFit="1" customWidth="1"/>
    <col min="5640" max="5640" width="11" style="228" bestFit="1" customWidth="1"/>
    <col min="5641" max="5889" width="9.140625" style="228"/>
    <col min="5890" max="5890" width="21" style="228" customWidth="1"/>
    <col min="5891" max="5891" width="81.42578125" style="228" customWidth="1"/>
    <col min="5892" max="5893" width="15.5703125" style="228" customWidth="1"/>
    <col min="5894" max="5894" width="14.140625" style="228" bestFit="1" customWidth="1"/>
    <col min="5895" max="5895" width="18" style="228" bestFit="1" customWidth="1"/>
    <col min="5896" max="5896" width="11" style="228" bestFit="1" customWidth="1"/>
    <col min="5897" max="6145" width="9.140625" style="228"/>
    <col min="6146" max="6146" width="21" style="228" customWidth="1"/>
    <col min="6147" max="6147" width="81.42578125" style="228" customWidth="1"/>
    <col min="6148" max="6149" width="15.5703125" style="228" customWidth="1"/>
    <col min="6150" max="6150" width="14.140625" style="228" bestFit="1" customWidth="1"/>
    <col min="6151" max="6151" width="18" style="228" bestFit="1" customWidth="1"/>
    <col min="6152" max="6152" width="11" style="228" bestFit="1" customWidth="1"/>
    <col min="6153" max="6401" width="9.140625" style="228"/>
    <col min="6402" max="6402" width="21" style="228" customWidth="1"/>
    <col min="6403" max="6403" width="81.42578125" style="228" customWidth="1"/>
    <col min="6404" max="6405" width="15.5703125" style="228" customWidth="1"/>
    <col min="6406" max="6406" width="14.140625" style="228" bestFit="1" customWidth="1"/>
    <col min="6407" max="6407" width="18" style="228" bestFit="1" customWidth="1"/>
    <col min="6408" max="6408" width="11" style="228" bestFit="1" customWidth="1"/>
    <col min="6409" max="6657" width="9.140625" style="228"/>
    <col min="6658" max="6658" width="21" style="228" customWidth="1"/>
    <col min="6659" max="6659" width="81.42578125" style="228" customWidth="1"/>
    <col min="6660" max="6661" width="15.5703125" style="228" customWidth="1"/>
    <col min="6662" max="6662" width="14.140625" style="228" bestFit="1" customWidth="1"/>
    <col min="6663" max="6663" width="18" style="228" bestFit="1" customWidth="1"/>
    <col min="6664" max="6664" width="11" style="228" bestFit="1" customWidth="1"/>
    <col min="6665" max="6913" width="9.140625" style="228"/>
    <col min="6914" max="6914" width="21" style="228" customWidth="1"/>
    <col min="6915" max="6915" width="81.42578125" style="228" customWidth="1"/>
    <col min="6916" max="6917" width="15.5703125" style="228" customWidth="1"/>
    <col min="6918" max="6918" width="14.140625" style="228" bestFit="1" customWidth="1"/>
    <col min="6919" max="6919" width="18" style="228" bestFit="1" customWidth="1"/>
    <col min="6920" max="6920" width="11" style="228" bestFit="1" customWidth="1"/>
    <col min="6921" max="7169" width="9.140625" style="228"/>
    <col min="7170" max="7170" width="21" style="228" customWidth="1"/>
    <col min="7171" max="7171" width="81.42578125" style="228" customWidth="1"/>
    <col min="7172" max="7173" width="15.5703125" style="228" customWidth="1"/>
    <col min="7174" max="7174" width="14.140625" style="228" bestFit="1" customWidth="1"/>
    <col min="7175" max="7175" width="18" style="228" bestFit="1" customWidth="1"/>
    <col min="7176" max="7176" width="11" style="228" bestFit="1" customWidth="1"/>
    <col min="7177" max="7425" width="9.140625" style="228"/>
    <col min="7426" max="7426" width="21" style="228" customWidth="1"/>
    <col min="7427" max="7427" width="81.42578125" style="228" customWidth="1"/>
    <col min="7428" max="7429" width="15.5703125" style="228" customWidth="1"/>
    <col min="7430" max="7430" width="14.140625" style="228" bestFit="1" customWidth="1"/>
    <col min="7431" max="7431" width="18" style="228" bestFit="1" customWidth="1"/>
    <col min="7432" max="7432" width="11" style="228" bestFit="1" customWidth="1"/>
    <col min="7433" max="7681" width="9.140625" style="228"/>
    <col min="7682" max="7682" width="21" style="228" customWidth="1"/>
    <col min="7683" max="7683" width="81.42578125" style="228" customWidth="1"/>
    <col min="7684" max="7685" width="15.5703125" style="228" customWidth="1"/>
    <col min="7686" max="7686" width="14.140625" style="228" bestFit="1" customWidth="1"/>
    <col min="7687" max="7687" width="18" style="228" bestFit="1" customWidth="1"/>
    <col min="7688" max="7688" width="11" style="228" bestFit="1" customWidth="1"/>
    <col min="7689" max="7937" width="9.140625" style="228"/>
    <col min="7938" max="7938" width="21" style="228" customWidth="1"/>
    <col min="7939" max="7939" width="81.42578125" style="228" customWidth="1"/>
    <col min="7940" max="7941" width="15.5703125" style="228" customWidth="1"/>
    <col min="7942" max="7942" width="14.140625" style="228" bestFit="1" customWidth="1"/>
    <col min="7943" max="7943" width="18" style="228" bestFit="1" customWidth="1"/>
    <col min="7944" max="7944" width="11" style="228" bestFit="1" customWidth="1"/>
    <col min="7945" max="8193" width="9.140625" style="228"/>
    <col min="8194" max="8194" width="21" style="228" customWidth="1"/>
    <col min="8195" max="8195" width="81.42578125" style="228" customWidth="1"/>
    <col min="8196" max="8197" width="15.5703125" style="228" customWidth="1"/>
    <col min="8198" max="8198" width="14.140625" style="228" bestFit="1" customWidth="1"/>
    <col min="8199" max="8199" width="18" style="228" bestFit="1" customWidth="1"/>
    <col min="8200" max="8200" width="11" style="228" bestFit="1" customWidth="1"/>
    <col min="8201" max="8449" width="9.140625" style="228"/>
    <col min="8450" max="8450" width="21" style="228" customWidth="1"/>
    <col min="8451" max="8451" width="81.42578125" style="228" customWidth="1"/>
    <col min="8452" max="8453" width="15.5703125" style="228" customWidth="1"/>
    <col min="8454" max="8454" width="14.140625" style="228" bestFit="1" customWidth="1"/>
    <col min="8455" max="8455" width="18" style="228" bestFit="1" customWidth="1"/>
    <col min="8456" max="8456" width="11" style="228" bestFit="1" customWidth="1"/>
    <col min="8457" max="8705" width="9.140625" style="228"/>
    <col min="8706" max="8706" width="21" style="228" customWidth="1"/>
    <col min="8707" max="8707" width="81.42578125" style="228" customWidth="1"/>
    <col min="8708" max="8709" width="15.5703125" style="228" customWidth="1"/>
    <col min="8710" max="8710" width="14.140625" style="228" bestFit="1" customWidth="1"/>
    <col min="8711" max="8711" width="18" style="228" bestFit="1" customWidth="1"/>
    <col min="8712" max="8712" width="11" style="228" bestFit="1" customWidth="1"/>
    <col min="8713" max="8961" width="9.140625" style="228"/>
    <col min="8962" max="8962" width="21" style="228" customWidth="1"/>
    <col min="8963" max="8963" width="81.42578125" style="228" customWidth="1"/>
    <col min="8964" max="8965" width="15.5703125" style="228" customWidth="1"/>
    <col min="8966" max="8966" width="14.140625" style="228" bestFit="1" customWidth="1"/>
    <col min="8967" max="8967" width="18" style="228" bestFit="1" customWidth="1"/>
    <col min="8968" max="8968" width="11" style="228" bestFit="1" customWidth="1"/>
    <col min="8969" max="9217" width="9.140625" style="228"/>
    <col min="9218" max="9218" width="21" style="228" customWidth="1"/>
    <col min="9219" max="9219" width="81.42578125" style="228" customWidth="1"/>
    <col min="9220" max="9221" width="15.5703125" style="228" customWidth="1"/>
    <col min="9222" max="9222" width="14.140625" style="228" bestFit="1" customWidth="1"/>
    <col min="9223" max="9223" width="18" style="228" bestFit="1" customWidth="1"/>
    <col min="9224" max="9224" width="11" style="228" bestFit="1" customWidth="1"/>
    <col min="9225" max="9473" width="9.140625" style="228"/>
    <col min="9474" max="9474" width="21" style="228" customWidth="1"/>
    <col min="9475" max="9475" width="81.42578125" style="228" customWidth="1"/>
    <col min="9476" max="9477" width="15.5703125" style="228" customWidth="1"/>
    <col min="9478" max="9478" width="14.140625" style="228" bestFit="1" customWidth="1"/>
    <col min="9479" max="9479" width="18" style="228" bestFit="1" customWidth="1"/>
    <col min="9480" max="9480" width="11" style="228" bestFit="1" customWidth="1"/>
    <col min="9481" max="9729" width="9.140625" style="228"/>
    <col min="9730" max="9730" width="21" style="228" customWidth="1"/>
    <col min="9731" max="9731" width="81.42578125" style="228" customWidth="1"/>
    <col min="9732" max="9733" width="15.5703125" style="228" customWidth="1"/>
    <col min="9734" max="9734" width="14.140625" style="228" bestFit="1" customWidth="1"/>
    <col min="9735" max="9735" width="18" style="228" bestFit="1" customWidth="1"/>
    <col min="9736" max="9736" width="11" style="228" bestFit="1" customWidth="1"/>
    <col min="9737" max="9985" width="9.140625" style="228"/>
    <col min="9986" max="9986" width="21" style="228" customWidth="1"/>
    <col min="9987" max="9987" width="81.42578125" style="228" customWidth="1"/>
    <col min="9988" max="9989" width="15.5703125" style="228" customWidth="1"/>
    <col min="9990" max="9990" width="14.140625" style="228" bestFit="1" customWidth="1"/>
    <col min="9991" max="9991" width="18" style="228" bestFit="1" customWidth="1"/>
    <col min="9992" max="9992" width="11" style="228" bestFit="1" customWidth="1"/>
    <col min="9993" max="10241" width="9.140625" style="228"/>
    <col min="10242" max="10242" width="21" style="228" customWidth="1"/>
    <col min="10243" max="10243" width="81.42578125" style="228" customWidth="1"/>
    <col min="10244" max="10245" width="15.5703125" style="228" customWidth="1"/>
    <col min="10246" max="10246" width="14.140625" style="228" bestFit="1" customWidth="1"/>
    <col min="10247" max="10247" width="18" style="228" bestFit="1" customWidth="1"/>
    <col min="10248" max="10248" width="11" style="228" bestFit="1" customWidth="1"/>
    <col min="10249" max="10497" width="9.140625" style="228"/>
    <col min="10498" max="10498" width="21" style="228" customWidth="1"/>
    <col min="10499" max="10499" width="81.42578125" style="228" customWidth="1"/>
    <col min="10500" max="10501" width="15.5703125" style="228" customWidth="1"/>
    <col min="10502" max="10502" width="14.140625" style="228" bestFit="1" customWidth="1"/>
    <col min="10503" max="10503" width="18" style="228" bestFit="1" customWidth="1"/>
    <col min="10504" max="10504" width="11" style="228" bestFit="1" customWidth="1"/>
    <col min="10505" max="10753" width="9.140625" style="228"/>
    <col min="10754" max="10754" width="21" style="228" customWidth="1"/>
    <col min="10755" max="10755" width="81.42578125" style="228" customWidth="1"/>
    <col min="10756" max="10757" width="15.5703125" style="228" customWidth="1"/>
    <col min="10758" max="10758" width="14.140625" style="228" bestFit="1" customWidth="1"/>
    <col min="10759" max="10759" width="18" style="228" bestFit="1" customWidth="1"/>
    <col min="10760" max="10760" width="11" style="228" bestFit="1" customWidth="1"/>
    <col min="10761" max="11009" width="9.140625" style="228"/>
    <col min="11010" max="11010" width="21" style="228" customWidth="1"/>
    <col min="11011" max="11011" width="81.42578125" style="228" customWidth="1"/>
    <col min="11012" max="11013" width="15.5703125" style="228" customWidth="1"/>
    <col min="11014" max="11014" width="14.140625" style="228" bestFit="1" customWidth="1"/>
    <col min="11015" max="11015" width="18" style="228" bestFit="1" customWidth="1"/>
    <col min="11016" max="11016" width="11" style="228" bestFit="1" customWidth="1"/>
    <col min="11017" max="11265" width="9.140625" style="228"/>
    <col min="11266" max="11266" width="21" style="228" customWidth="1"/>
    <col min="11267" max="11267" width="81.42578125" style="228" customWidth="1"/>
    <col min="11268" max="11269" width="15.5703125" style="228" customWidth="1"/>
    <col min="11270" max="11270" width="14.140625" style="228" bestFit="1" customWidth="1"/>
    <col min="11271" max="11271" width="18" style="228" bestFit="1" customWidth="1"/>
    <col min="11272" max="11272" width="11" style="228" bestFit="1" customWidth="1"/>
    <col min="11273" max="11521" width="9.140625" style="228"/>
    <col min="11522" max="11522" width="21" style="228" customWidth="1"/>
    <col min="11523" max="11523" width="81.42578125" style="228" customWidth="1"/>
    <col min="11524" max="11525" width="15.5703125" style="228" customWidth="1"/>
    <col min="11526" max="11526" width="14.140625" style="228" bestFit="1" customWidth="1"/>
    <col min="11527" max="11527" width="18" style="228" bestFit="1" customWidth="1"/>
    <col min="11528" max="11528" width="11" style="228" bestFit="1" customWidth="1"/>
    <col min="11529" max="11777" width="9.140625" style="228"/>
    <col min="11778" max="11778" width="21" style="228" customWidth="1"/>
    <col min="11779" max="11779" width="81.42578125" style="228" customWidth="1"/>
    <col min="11780" max="11781" width="15.5703125" style="228" customWidth="1"/>
    <col min="11782" max="11782" width="14.140625" style="228" bestFit="1" customWidth="1"/>
    <col min="11783" max="11783" width="18" style="228" bestFit="1" customWidth="1"/>
    <col min="11784" max="11784" width="11" style="228" bestFit="1" customWidth="1"/>
    <col min="11785" max="12033" width="9.140625" style="228"/>
    <col min="12034" max="12034" width="21" style="228" customWidth="1"/>
    <col min="12035" max="12035" width="81.42578125" style="228" customWidth="1"/>
    <col min="12036" max="12037" width="15.5703125" style="228" customWidth="1"/>
    <col min="12038" max="12038" width="14.140625" style="228" bestFit="1" customWidth="1"/>
    <col min="12039" max="12039" width="18" style="228" bestFit="1" customWidth="1"/>
    <col min="12040" max="12040" width="11" style="228" bestFit="1" customWidth="1"/>
    <col min="12041" max="12289" width="9.140625" style="228"/>
    <col min="12290" max="12290" width="21" style="228" customWidth="1"/>
    <col min="12291" max="12291" width="81.42578125" style="228" customWidth="1"/>
    <col min="12292" max="12293" width="15.5703125" style="228" customWidth="1"/>
    <col min="12294" max="12294" width="14.140625" style="228" bestFit="1" customWidth="1"/>
    <col min="12295" max="12295" width="18" style="228" bestFit="1" customWidth="1"/>
    <col min="12296" max="12296" width="11" style="228" bestFit="1" customWidth="1"/>
    <col min="12297" max="12545" width="9.140625" style="228"/>
    <col min="12546" max="12546" width="21" style="228" customWidth="1"/>
    <col min="12547" max="12547" width="81.42578125" style="228" customWidth="1"/>
    <col min="12548" max="12549" width="15.5703125" style="228" customWidth="1"/>
    <col min="12550" max="12550" width="14.140625" style="228" bestFit="1" customWidth="1"/>
    <col min="12551" max="12551" width="18" style="228" bestFit="1" customWidth="1"/>
    <col min="12552" max="12552" width="11" style="228" bestFit="1" customWidth="1"/>
    <col min="12553" max="12801" width="9.140625" style="228"/>
    <col min="12802" max="12802" width="21" style="228" customWidth="1"/>
    <col min="12803" max="12803" width="81.42578125" style="228" customWidth="1"/>
    <col min="12804" max="12805" width="15.5703125" style="228" customWidth="1"/>
    <col min="12806" max="12806" width="14.140625" style="228" bestFit="1" customWidth="1"/>
    <col min="12807" max="12807" width="18" style="228" bestFit="1" customWidth="1"/>
    <col min="12808" max="12808" width="11" style="228" bestFit="1" customWidth="1"/>
    <col min="12809" max="13057" width="9.140625" style="228"/>
    <col min="13058" max="13058" width="21" style="228" customWidth="1"/>
    <col min="13059" max="13059" width="81.42578125" style="228" customWidth="1"/>
    <col min="13060" max="13061" width="15.5703125" style="228" customWidth="1"/>
    <col min="13062" max="13062" width="14.140625" style="228" bestFit="1" customWidth="1"/>
    <col min="13063" max="13063" width="18" style="228" bestFit="1" customWidth="1"/>
    <col min="13064" max="13064" width="11" style="228" bestFit="1" customWidth="1"/>
    <col min="13065" max="13313" width="9.140625" style="228"/>
    <col min="13314" max="13314" width="21" style="228" customWidth="1"/>
    <col min="13315" max="13315" width="81.42578125" style="228" customWidth="1"/>
    <col min="13316" max="13317" width="15.5703125" style="228" customWidth="1"/>
    <col min="13318" max="13318" width="14.140625" style="228" bestFit="1" customWidth="1"/>
    <col min="13319" max="13319" width="18" style="228" bestFit="1" customWidth="1"/>
    <col min="13320" max="13320" width="11" style="228" bestFit="1" customWidth="1"/>
    <col min="13321" max="13569" width="9.140625" style="228"/>
    <col min="13570" max="13570" width="21" style="228" customWidth="1"/>
    <col min="13571" max="13571" width="81.42578125" style="228" customWidth="1"/>
    <col min="13572" max="13573" width="15.5703125" style="228" customWidth="1"/>
    <col min="13574" max="13574" width="14.140625" style="228" bestFit="1" customWidth="1"/>
    <col min="13575" max="13575" width="18" style="228" bestFit="1" customWidth="1"/>
    <col min="13576" max="13576" width="11" style="228" bestFit="1" customWidth="1"/>
    <col min="13577" max="13825" width="9.140625" style="228"/>
    <col min="13826" max="13826" width="21" style="228" customWidth="1"/>
    <col min="13827" max="13827" width="81.42578125" style="228" customWidth="1"/>
    <col min="13828" max="13829" width="15.5703125" style="228" customWidth="1"/>
    <col min="13830" max="13830" width="14.140625" style="228" bestFit="1" customWidth="1"/>
    <col min="13831" max="13831" width="18" style="228" bestFit="1" customWidth="1"/>
    <col min="13832" max="13832" width="11" style="228" bestFit="1" customWidth="1"/>
    <col min="13833" max="14081" width="9.140625" style="228"/>
    <col min="14082" max="14082" width="21" style="228" customWidth="1"/>
    <col min="14083" max="14083" width="81.42578125" style="228" customWidth="1"/>
    <col min="14084" max="14085" width="15.5703125" style="228" customWidth="1"/>
    <col min="14086" max="14086" width="14.140625" style="228" bestFit="1" customWidth="1"/>
    <col min="14087" max="14087" width="18" style="228" bestFit="1" customWidth="1"/>
    <col min="14088" max="14088" width="11" style="228" bestFit="1" customWidth="1"/>
    <col min="14089" max="14337" width="9.140625" style="228"/>
    <col min="14338" max="14338" width="21" style="228" customWidth="1"/>
    <col min="14339" max="14339" width="81.42578125" style="228" customWidth="1"/>
    <col min="14340" max="14341" width="15.5703125" style="228" customWidth="1"/>
    <col min="14342" max="14342" width="14.140625" style="228" bestFit="1" customWidth="1"/>
    <col min="14343" max="14343" width="18" style="228" bestFit="1" customWidth="1"/>
    <col min="14344" max="14344" width="11" style="228" bestFit="1" customWidth="1"/>
    <col min="14345" max="14593" width="9.140625" style="228"/>
    <col min="14594" max="14594" width="21" style="228" customWidth="1"/>
    <col min="14595" max="14595" width="81.42578125" style="228" customWidth="1"/>
    <col min="14596" max="14597" width="15.5703125" style="228" customWidth="1"/>
    <col min="14598" max="14598" width="14.140625" style="228" bestFit="1" customWidth="1"/>
    <col min="14599" max="14599" width="18" style="228" bestFit="1" customWidth="1"/>
    <col min="14600" max="14600" width="11" style="228" bestFit="1" customWidth="1"/>
    <col min="14601" max="14849" width="9.140625" style="228"/>
    <col min="14850" max="14850" width="21" style="228" customWidth="1"/>
    <col min="14851" max="14851" width="81.42578125" style="228" customWidth="1"/>
    <col min="14852" max="14853" width="15.5703125" style="228" customWidth="1"/>
    <col min="14854" max="14854" width="14.140625" style="228" bestFit="1" customWidth="1"/>
    <col min="14855" max="14855" width="18" style="228" bestFit="1" customWidth="1"/>
    <col min="14856" max="14856" width="11" style="228" bestFit="1" customWidth="1"/>
    <col min="14857" max="15105" width="9.140625" style="228"/>
    <col min="15106" max="15106" width="21" style="228" customWidth="1"/>
    <col min="15107" max="15107" width="81.42578125" style="228" customWidth="1"/>
    <col min="15108" max="15109" width="15.5703125" style="228" customWidth="1"/>
    <col min="15110" max="15110" width="14.140625" style="228" bestFit="1" customWidth="1"/>
    <col min="15111" max="15111" width="18" style="228" bestFit="1" customWidth="1"/>
    <col min="15112" max="15112" width="11" style="228" bestFit="1" customWidth="1"/>
    <col min="15113" max="15361" width="9.140625" style="228"/>
    <col min="15362" max="15362" width="21" style="228" customWidth="1"/>
    <col min="15363" max="15363" width="81.42578125" style="228" customWidth="1"/>
    <col min="15364" max="15365" width="15.5703125" style="228" customWidth="1"/>
    <col min="15366" max="15366" width="14.140625" style="228" bestFit="1" customWidth="1"/>
    <col min="15367" max="15367" width="18" style="228" bestFit="1" customWidth="1"/>
    <col min="15368" max="15368" width="11" style="228" bestFit="1" customWidth="1"/>
    <col min="15369" max="15617" width="9.140625" style="228"/>
    <col min="15618" max="15618" width="21" style="228" customWidth="1"/>
    <col min="15619" max="15619" width="81.42578125" style="228" customWidth="1"/>
    <col min="15620" max="15621" width="15.5703125" style="228" customWidth="1"/>
    <col min="15622" max="15622" width="14.140625" style="228" bestFit="1" customWidth="1"/>
    <col min="15623" max="15623" width="18" style="228" bestFit="1" customWidth="1"/>
    <col min="15624" max="15624" width="11" style="228" bestFit="1" customWidth="1"/>
    <col min="15625" max="15873" width="9.140625" style="228"/>
    <col min="15874" max="15874" width="21" style="228" customWidth="1"/>
    <col min="15875" max="15875" width="81.42578125" style="228" customWidth="1"/>
    <col min="15876" max="15877" width="15.5703125" style="228" customWidth="1"/>
    <col min="15878" max="15878" width="14.140625" style="228" bestFit="1" customWidth="1"/>
    <col min="15879" max="15879" width="18" style="228" bestFit="1" customWidth="1"/>
    <col min="15880" max="15880" width="11" style="228" bestFit="1" customWidth="1"/>
    <col min="15881" max="16129" width="9.140625" style="228"/>
    <col min="16130" max="16130" width="21" style="228" customWidth="1"/>
    <col min="16131" max="16131" width="81.42578125" style="228" customWidth="1"/>
    <col min="16132" max="16133" width="15.5703125" style="228" customWidth="1"/>
    <col min="16134" max="16134" width="14.140625" style="228" bestFit="1" customWidth="1"/>
    <col min="16135" max="16135" width="18" style="228" bestFit="1" customWidth="1"/>
    <col min="16136" max="16136" width="11" style="228" bestFit="1" customWidth="1"/>
    <col min="16137" max="16384" width="9.140625" style="228"/>
  </cols>
  <sheetData>
    <row r="1" spans="1:9" ht="13.5" thickBot="1"/>
    <row r="2" spans="1:9" s="235" customFormat="1" ht="6" thickBot="1">
      <c r="B2" s="230"/>
      <c r="C2" s="625"/>
      <c r="D2" s="232"/>
      <c r="E2" s="233"/>
      <c r="F2" s="233"/>
      <c r="G2" s="234"/>
    </row>
    <row r="3" spans="1:9" ht="56.25" thickBot="1">
      <c r="A3" s="229" t="s">
        <v>451</v>
      </c>
      <c r="B3" s="1806"/>
      <c r="C3" s="658" t="s">
        <v>2</v>
      </c>
      <c r="D3" s="1802"/>
      <c r="E3" s="1803"/>
      <c r="F3" s="1599" t="str">
        <f>'ORÇAMENTO '!L5</f>
        <v xml:space="preserve">Ref.: Tabela de Serviços
SINAPI (JAN/2023) 
e/ou composições PiniTCPO                                                                              
</v>
      </c>
      <c r="G3" s="1601"/>
      <c r="I3" s="228" t="s">
        <v>3995</v>
      </c>
    </row>
    <row r="4" spans="1:9" ht="60" customHeight="1" thickBot="1">
      <c r="A4" s="229" t="s">
        <v>452</v>
      </c>
      <c r="B4" s="1807"/>
      <c r="C4" s="657" t="s">
        <v>3</v>
      </c>
      <c r="D4" s="1804"/>
      <c r="E4" s="1805"/>
      <c r="F4" s="335" t="s">
        <v>5</v>
      </c>
      <c r="G4" s="623">
        <f>'BDI '!G30</f>
        <v>0.26440000000000002</v>
      </c>
      <c r="I4" s="228" t="s">
        <v>3075</v>
      </c>
    </row>
    <row r="5" spans="1:9" s="238" customFormat="1" ht="15" customHeight="1" thickBot="1">
      <c r="B5" s="1798" t="s">
        <v>467</v>
      </c>
      <c r="C5" s="1740"/>
      <c r="D5" s="1799"/>
      <c r="E5" s="1799"/>
      <c r="F5" s="1799"/>
      <c r="G5" s="1828"/>
    </row>
    <row r="6" spans="1:9" s="235" customFormat="1" ht="6" thickBot="1">
      <c r="B6" s="230"/>
      <c r="C6" s="231"/>
      <c r="D6" s="232"/>
      <c r="E6" s="233"/>
      <c r="F6" s="233"/>
      <c r="G6" s="234"/>
    </row>
    <row r="7" spans="1:9" ht="18" customHeight="1">
      <c r="B7" s="239" t="s">
        <v>6</v>
      </c>
      <c r="C7" s="1742" t="str">
        <f>'ORÇAMENTO '!G11</f>
        <v xml:space="preserve">SISTEMA DE ABASTECIMENTO DE ÁGUA </v>
      </c>
      <c r="D7" s="1742"/>
      <c r="E7" s="1742"/>
      <c r="F7" s="241" t="s">
        <v>7</v>
      </c>
      <c r="G7" s="242">
        <f ca="1">'ORÇAMENTO '!M11</f>
        <v>45167</v>
      </c>
    </row>
    <row r="8" spans="1:9" ht="18" customHeight="1" thickBot="1">
      <c r="B8" s="336" t="s">
        <v>8</v>
      </c>
      <c r="C8" s="1715" t="str">
        <f>'ORÇAMENTO '!G12</f>
        <v>SETOR PIONEIRO - MUNICÍPIO DE APIACÁS</v>
      </c>
      <c r="D8" s="1715"/>
      <c r="E8" s="1829" t="s">
        <v>9</v>
      </c>
      <c r="F8" s="1829"/>
      <c r="G8" s="337">
        <f>'ORÇAMENTO '!M12</f>
        <v>0.80449999999999999</v>
      </c>
    </row>
    <row r="9" spans="1:9" s="235" customFormat="1" ht="6" thickBot="1">
      <c r="B9" s="251"/>
      <c r="C9" s="252"/>
      <c r="D9" s="253"/>
      <c r="E9" s="254"/>
      <c r="F9" s="254"/>
      <c r="G9" s="255"/>
    </row>
    <row r="10" spans="1:9" ht="18.75" thickBot="1">
      <c r="B10" s="1716" t="s">
        <v>1905</v>
      </c>
      <c r="C10" s="1717"/>
      <c r="D10" s="1717"/>
      <c r="E10" s="1717"/>
      <c r="F10" s="1717"/>
      <c r="G10" s="1718"/>
    </row>
    <row r="11" spans="1:9" s="235" customFormat="1" ht="6" thickBot="1">
      <c r="B11" s="251"/>
      <c r="C11" s="252"/>
      <c r="D11" s="253"/>
      <c r="E11" s="254"/>
      <c r="F11" s="254"/>
      <c r="G11" s="255"/>
    </row>
    <row r="12" spans="1:9" ht="6" customHeight="1" thickBot="1">
      <c r="B12" s="224"/>
      <c r="C12" s="224"/>
      <c r="D12" s="224"/>
      <c r="E12" s="224"/>
      <c r="F12" s="338"/>
      <c r="G12" s="338"/>
    </row>
    <row r="13" spans="1:9" ht="33" customHeight="1">
      <c r="B13" s="356" t="str">
        <f>IF(COUNT($H$13:H13)&lt;10,CONCATENATE("AMM EST 00",COUNT($H$13:H13)),CONCATENATE("AMM EST 0",COUNT($H$13:H13)))</f>
        <v>AMM EST 001</v>
      </c>
      <c r="C13" s="1673" t="str">
        <f>CONCATENATE("MOBILIZAÇÃO DE ",D32)</f>
        <v>MOBILIZAÇÃO DE PERFURATRIZ HIDRÁULICA SOBRE CAMINHÃO TRUCADO (C/ TERCEIRO EIXO) ELETRÔNICO - POTÊNCIA 231CV - PBT = 22000KG - DIST. ENTRE EIXOS 5170 MM</v>
      </c>
      <c r="D13" s="1673"/>
      <c r="E13" s="1673"/>
      <c r="F13" s="1673"/>
      <c r="G13" s="357" t="s">
        <v>23</v>
      </c>
      <c r="H13" s="436">
        <f>G17</f>
        <v>4015.23</v>
      </c>
    </row>
    <row r="14" spans="1:9" s="229" customFormat="1" ht="31.5">
      <c r="A14" s="433"/>
      <c r="B14" s="538" t="s">
        <v>206</v>
      </c>
      <c r="C14" s="539" t="s">
        <v>184</v>
      </c>
      <c r="D14" s="539" t="s">
        <v>23</v>
      </c>
      <c r="E14" s="539" t="s">
        <v>185</v>
      </c>
      <c r="F14" s="540" t="s">
        <v>186</v>
      </c>
      <c r="G14" s="541" t="s">
        <v>187</v>
      </c>
    </row>
    <row r="15" spans="1:9" s="229" customFormat="1" ht="15.75">
      <c r="A15" s="433"/>
      <c r="B15" s="1793" t="s">
        <v>191</v>
      </c>
      <c r="C15" s="1794"/>
      <c r="D15" s="1794"/>
      <c r="E15" s="1794"/>
      <c r="F15" s="1794"/>
      <c r="G15" s="1795"/>
    </row>
    <row r="16" spans="1:9" s="229" customFormat="1" ht="50.25" customHeight="1" thickBot="1">
      <c r="A16" s="433" t="s">
        <v>452</v>
      </c>
      <c r="B16" s="484" t="s">
        <v>3812</v>
      </c>
      <c r="C16" s="577" t="str">
        <f>C13</f>
        <v>MOBILIZAÇÃO DE PERFURATRIZ HIDRÁULICA SOBRE CAMINHÃO TRUCADO (C/ TERCEIRO EIXO) ELETRÔNICO - POTÊNCIA 231CV - PBT = 22000KG - DIST. ENTRE EIXOS 5170 MM</v>
      </c>
      <c r="D16" s="578" t="str">
        <f>D14</f>
        <v>UN</v>
      </c>
      <c r="E16" s="1192">
        <v>1</v>
      </c>
      <c r="F16" s="1193">
        <f>G35</f>
        <v>4015.23</v>
      </c>
      <c r="G16" s="757">
        <f>TRUNC(E16*F16,2)</f>
        <v>4015.23</v>
      </c>
    </row>
    <row r="17" spans="1:58" s="229" customFormat="1" ht="16.5" thickBot="1">
      <c r="A17" s="433"/>
      <c r="B17" s="294" t="s">
        <v>3954</v>
      </c>
      <c r="C17" s="294"/>
      <c r="D17" s="282"/>
      <c r="E17" s="283"/>
      <c r="F17" s="332" t="s">
        <v>192</v>
      </c>
      <c r="G17" s="434">
        <f>TRUNC(SUM(G16:G16),2)</f>
        <v>4015.23</v>
      </c>
      <c r="H17" s="348"/>
    </row>
    <row r="18" spans="1:58" ht="15.75">
      <c r="A18" s="339"/>
      <c r="B18" s="207"/>
      <c r="C18" s="207"/>
      <c r="D18" s="207"/>
      <c r="E18" s="207"/>
      <c r="F18" s="559"/>
      <c r="G18" s="560"/>
      <c r="H18" s="339"/>
    </row>
    <row r="19" spans="1:58" ht="97.5" customHeight="1">
      <c r="A19" s="339"/>
      <c r="B19" s="585" t="s">
        <v>3955</v>
      </c>
      <c r="C19" s="207"/>
      <c r="D19" s="207"/>
      <c r="E19" s="207"/>
      <c r="F19" s="559"/>
      <c r="G19" s="560"/>
      <c r="H19" s="339"/>
    </row>
    <row r="20" spans="1:58" ht="97.5" customHeight="1">
      <c r="A20" s="339"/>
      <c r="B20" s="585"/>
      <c r="C20" s="207"/>
      <c r="D20" s="207"/>
      <c r="E20" s="207"/>
      <c r="F20" s="559"/>
      <c r="G20" s="560"/>
      <c r="H20" s="339"/>
    </row>
    <row r="21" spans="1:58" ht="22.5" customHeight="1">
      <c r="A21" s="339"/>
      <c r="B21" s="1834" t="s">
        <v>4152</v>
      </c>
      <c r="C21" s="1834"/>
      <c r="D21" s="1834"/>
      <c r="E21" s="1834"/>
      <c r="F21" s="1834"/>
      <c r="G21" s="1834"/>
      <c r="H21" s="339"/>
    </row>
    <row r="22" spans="1:58" ht="15.75">
      <c r="A22" s="339"/>
      <c r="B22" s="620"/>
      <c r="C22" s="620"/>
      <c r="D22" s="620"/>
      <c r="E22" s="620"/>
      <c r="F22" s="620"/>
      <c r="G22" s="620"/>
      <c r="H22" s="339"/>
    </row>
    <row r="23" spans="1:58" ht="50.25" customHeight="1">
      <c r="A23" s="339"/>
      <c r="B23" s="586" t="s">
        <v>3077</v>
      </c>
      <c r="C23" s="1835" t="s">
        <v>4153</v>
      </c>
      <c r="D23" s="1835"/>
      <c r="E23" s="1835"/>
      <c r="F23" s="1835"/>
      <c r="G23" s="1835"/>
      <c r="H23" s="339"/>
    </row>
    <row r="24" spans="1:58" ht="62.25" customHeight="1">
      <c r="A24" s="339"/>
      <c r="B24" s="586" t="s">
        <v>3078</v>
      </c>
      <c r="C24" s="1835" t="s">
        <v>4154</v>
      </c>
      <c r="D24" s="1835"/>
      <c r="E24" s="1835"/>
      <c r="F24" s="1835"/>
      <c r="G24" s="1835"/>
      <c r="H24" s="339"/>
    </row>
    <row r="25" spans="1:58" ht="15.75">
      <c r="A25" s="339" t="s">
        <v>3996</v>
      </c>
      <c r="B25" s="586" t="s">
        <v>3957</v>
      </c>
      <c r="C25" s="1827" t="s">
        <v>4155</v>
      </c>
      <c r="D25" s="1827"/>
      <c r="E25" s="1827"/>
      <c r="F25" s="1827"/>
      <c r="G25" s="1827"/>
      <c r="H25" s="339"/>
    </row>
    <row r="26" spans="1:58" s="339" customFormat="1" ht="16.5" thickBot="1">
      <c r="A26" s="339" t="s">
        <v>3997</v>
      </c>
      <c r="B26" s="586"/>
      <c r="C26" s="616"/>
      <c r="D26" s="616"/>
      <c r="E26" s="616"/>
      <c r="F26" s="616"/>
      <c r="G26" s="616"/>
    </row>
    <row r="27" spans="1:58" s="339" customFormat="1" ht="15.75">
      <c r="B27" s="588" t="s">
        <v>3996</v>
      </c>
      <c r="C27" s="589" t="s">
        <v>184</v>
      </c>
      <c r="D27" s="589" t="s">
        <v>23</v>
      </c>
      <c r="E27" s="590" t="s">
        <v>203</v>
      </c>
      <c r="G27" s="616"/>
    </row>
    <row r="28" spans="1:58" s="339" customFormat="1" ht="60.75" thickBot="1">
      <c r="A28" s="433" t="s">
        <v>452</v>
      </c>
      <c r="B28" s="746">
        <v>91031</v>
      </c>
      <c r="C28" s="577" t="str">
        <f>IF($A28="INSUMO",VLOOKUP($B28,'BANCO DE DADOS JAN-23 INS'!$A:$D,2,FALSE),VLOOKUP($B28,'BANCO DE DADOS JAN-23 SERV'!$B:$E,2,FALSE))</f>
        <v>CAMINHÃO TRUCADO (C/ TERCEIRO EIXO) ELETRÔNICO - POTÊNCIA 231CV - PBT = 22000KG - DIST. ENTRE EIXOS 5170 MM - INCLUI CARROCERIA FIXA ABERTA DE MADEIRA - CHP DIURNO. AF_06/2015</v>
      </c>
      <c r="D28" s="578" t="str">
        <f>IF($A28="INSUMO",VLOOKUP($B28,'BANCO DE DADOS JAN-23 INS'!$A:$D,3,FALSE),VLOOKUP($B28,'BANCO DE DADOS JAN-23 SERV'!$B:$E,3,FALSE))</f>
        <v>CHP</v>
      </c>
      <c r="E28" s="1194">
        <f>IF($A28="INSUMO",VLOOKUP($B28,'BANCO DE DADOS JAN-23 INS'!$A:$D,4,FALSE),VLOOKUP($B28,'BANCO DE DADOS JAN-23 SERV'!$B:$E,4,FALSE))</f>
        <v>250.17</v>
      </c>
      <c r="G28" s="616"/>
    </row>
    <row r="29" spans="1:58" s="339" customFormat="1" ht="48" thickBot="1">
      <c r="A29" s="433" t="s">
        <v>452</v>
      </c>
      <c r="B29" s="1195"/>
      <c r="C29" s="440"/>
      <c r="D29" s="591" t="s">
        <v>3073</v>
      </c>
      <c r="E29" s="434">
        <f>SUM(E28:E28)</f>
        <v>250.17</v>
      </c>
      <c r="G29" s="616"/>
    </row>
    <row r="30" spans="1:58" s="339" customFormat="1" ht="16.5" thickBot="1">
      <c r="B30" s="207"/>
      <c r="C30" s="207"/>
      <c r="D30" s="207"/>
      <c r="E30" s="207"/>
      <c r="F30" s="559"/>
      <c r="G30" s="560"/>
    </row>
    <row r="31" spans="1:58" s="229" customFormat="1" ht="16.5" thickBot="1">
      <c r="A31" s="433"/>
      <c r="B31" s="1724" t="s">
        <v>3956</v>
      </c>
      <c r="C31" s="1725"/>
      <c r="D31" s="1725"/>
      <c r="E31" s="1725"/>
      <c r="F31" s="1725"/>
      <c r="G31" s="1726"/>
      <c r="H31" s="339"/>
      <c r="I31" s="339"/>
      <c r="J31" s="339"/>
      <c r="K31" s="339"/>
      <c r="L31" s="339"/>
      <c r="M31" s="339"/>
      <c r="N31" s="339"/>
      <c r="O31" s="339"/>
      <c r="P31" s="339"/>
      <c r="Q31" s="339"/>
      <c r="R31" s="339"/>
      <c r="S31" s="339"/>
      <c r="T31" s="339"/>
      <c r="U31" s="339"/>
      <c r="V31" s="339"/>
      <c r="W31" s="339"/>
      <c r="X31" s="339"/>
      <c r="Y31" s="339"/>
      <c r="Z31" s="339"/>
      <c r="AA31" s="339"/>
      <c r="AB31" s="339"/>
      <c r="AC31" s="339"/>
      <c r="AD31" s="339"/>
      <c r="AE31" s="339"/>
      <c r="AF31" s="339"/>
      <c r="AG31" s="339"/>
      <c r="AH31" s="339"/>
      <c r="AI31" s="339"/>
      <c r="AJ31" s="339"/>
      <c r="AK31" s="339"/>
      <c r="AL31" s="339"/>
      <c r="AM31" s="339"/>
      <c r="AN31" s="339"/>
      <c r="AO31" s="339"/>
      <c r="AP31" s="339"/>
      <c r="AQ31" s="339"/>
      <c r="AR31" s="339"/>
      <c r="AS31" s="339"/>
      <c r="AT31" s="339"/>
      <c r="AU31" s="339"/>
      <c r="AV31" s="339"/>
      <c r="AW31" s="339"/>
      <c r="AX31" s="339"/>
      <c r="AY31" s="339"/>
      <c r="AZ31" s="339"/>
      <c r="BA31" s="339"/>
      <c r="BB31" s="339"/>
      <c r="BC31" s="339"/>
      <c r="BD31" s="339"/>
      <c r="BE31" s="339"/>
      <c r="BF31" s="339"/>
    </row>
    <row r="32" spans="1:58" s="229" customFormat="1" ht="56.25" customHeight="1">
      <c r="A32" s="433"/>
      <c r="B32" s="596" t="s">
        <v>1</v>
      </c>
      <c r="C32" s="617" t="s">
        <v>3065</v>
      </c>
      <c r="D32" s="1830" t="s">
        <v>4156</v>
      </c>
      <c r="E32" s="1830"/>
      <c r="F32" s="1830"/>
      <c r="G32" s="1831"/>
      <c r="H32" s="1832"/>
      <c r="I32" s="1833"/>
      <c r="J32" s="1833"/>
      <c r="K32" s="1833"/>
      <c r="L32" s="339"/>
      <c r="M32" s="339"/>
      <c r="N32" s="339"/>
      <c r="O32" s="339"/>
      <c r="P32" s="339"/>
      <c r="Q32" s="339"/>
      <c r="R32" s="339"/>
      <c r="S32" s="339"/>
      <c r="T32" s="339"/>
      <c r="U32" s="339"/>
      <c r="V32" s="339"/>
      <c r="W32" s="339"/>
      <c r="X32" s="339"/>
      <c r="Y32" s="339"/>
      <c r="Z32" s="339"/>
      <c r="AA32" s="339"/>
      <c r="AB32" s="339"/>
      <c r="AC32" s="339"/>
      <c r="AD32" s="339"/>
      <c r="AE32" s="339"/>
      <c r="AF32" s="339"/>
      <c r="AG32" s="339"/>
      <c r="AH32" s="339"/>
      <c r="AI32" s="339"/>
      <c r="AJ32" s="339"/>
      <c r="AK32" s="339"/>
      <c r="AL32" s="339"/>
      <c r="AM32" s="339"/>
      <c r="AN32" s="339"/>
      <c r="AO32" s="339"/>
      <c r="AP32" s="339"/>
      <c r="AQ32" s="339"/>
      <c r="AR32" s="339"/>
      <c r="AS32" s="339"/>
      <c r="AT32" s="339"/>
      <c r="AU32" s="339"/>
      <c r="AV32" s="339"/>
      <c r="AW32" s="339"/>
      <c r="AX32" s="339"/>
      <c r="AY32" s="339"/>
      <c r="AZ32" s="339"/>
      <c r="BA32" s="339"/>
      <c r="BB32" s="339"/>
      <c r="BC32" s="339"/>
      <c r="BD32" s="339"/>
      <c r="BE32" s="339"/>
      <c r="BF32" s="339"/>
    </row>
    <row r="33" spans="1:58" s="229" customFormat="1" ht="31.5">
      <c r="A33" s="433"/>
      <c r="B33" s="592" t="s">
        <v>3066</v>
      </c>
      <c r="C33" s="600" t="s">
        <v>3076</v>
      </c>
      <c r="D33" s="544" t="s">
        <v>3069</v>
      </c>
      <c r="E33" s="599">
        <v>963</v>
      </c>
      <c r="F33" s="544" t="s">
        <v>3071</v>
      </c>
      <c r="G33" s="603">
        <v>1</v>
      </c>
      <c r="H33" s="339"/>
      <c r="K33" s="339"/>
      <c r="L33" s="339"/>
      <c r="M33" s="339"/>
      <c r="N33" s="339"/>
      <c r="O33" s="339"/>
      <c r="P33" s="339"/>
      <c r="Q33" s="339"/>
      <c r="R33" s="339"/>
      <c r="S33" s="339"/>
      <c r="T33" s="339"/>
      <c r="U33" s="339"/>
      <c r="V33" s="339"/>
      <c r="W33" s="339"/>
      <c r="X33" s="339"/>
      <c r="Y33" s="339"/>
      <c r="Z33" s="339"/>
      <c r="AA33" s="339"/>
      <c r="AB33" s="339"/>
      <c r="AC33" s="339"/>
      <c r="AD33" s="339"/>
      <c r="AE33" s="339"/>
      <c r="AF33" s="339"/>
      <c r="AG33" s="339"/>
      <c r="AH33" s="339"/>
      <c r="AI33" s="339"/>
      <c r="AJ33" s="339"/>
      <c r="AK33" s="339"/>
      <c r="AL33" s="339"/>
      <c r="AM33" s="339"/>
      <c r="AN33" s="339"/>
      <c r="AO33" s="339"/>
      <c r="AP33" s="339"/>
      <c r="AQ33" s="339"/>
      <c r="AR33" s="339"/>
      <c r="AS33" s="339"/>
      <c r="AT33" s="339"/>
      <c r="AU33" s="339"/>
      <c r="AV33" s="339"/>
      <c r="AW33" s="339"/>
      <c r="AX33" s="339"/>
      <c r="AY33" s="339"/>
      <c r="AZ33" s="339"/>
      <c r="BA33" s="339"/>
      <c r="BB33" s="339"/>
      <c r="BC33" s="339"/>
      <c r="BD33" s="339"/>
      <c r="BE33" s="339"/>
      <c r="BF33" s="339"/>
    </row>
    <row r="34" spans="1:58" ht="31.5">
      <c r="B34" s="592" t="s">
        <v>3067</v>
      </c>
      <c r="C34" s="601" t="s">
        <v>13757</v>
      </c>
      <c r="D34" s="544" t="s">
        <v>3070</v>
      </c>
      <c r="E34" s="599">
        <v>60</v>
      </c>
      <c r="F34" s="544" t="s">
        <v>3072</v>
      </c>
      <c r="G34" s="597">
        <v>1</v>
      </c>
    </row>
    <row r="35" spans="1:58" ht="48" thickBot="1">
      <c r="B35" s="593" t="s">
        <v>3068</v>
      </c>
      <c r="C35" s="602">
        <v>1</v>
      </c>
      <c r="D35" s="594" t="s">
        <v>3073</v>
      </c>
      <c r="E35" s="619">
        <f>E29</f>
        <v>250.17</v>
      </c>
      <c r="F35" s="618" t="s">
        <v>3074</v>
      </c>
      <c r="G35" s="598">
        <f>IF(C35=0,0,ROUND(((((E33*C35*G34)/E34)*E35)*G33),2))</f>
        <v>4015.23</v>
      </c>
    </row>
    <row r="36" spans="1:58">
      <c r="B36" s="228"/>
      <c r="C36" s="228"/>
      <c r="D36" s="228"/>
      <c r="E36" s="228"/>
    </row>
    <row r="37" spans="1:58">
      <c r="B37" s="228"/>
      <c r="C37" s="228"/>
    </row>
    <row r="38" spans="1:58">
      <c r="B38" s="228"/>
      <c r="C38" s="228"/>
      <c r="D38" s="228"/>
      <c r="E38" s="228"/>
    </row>
    <row r="39" spans="1:58">
      <c r="B39" s="228"/>
      <c r="C39" s="228"/>
      <c r="D39" s="228"/>
      <c r="E39" s="228"/>
    </row>
    <row r="40" spans="1:58">
      <c r="B40" s="228"/>
      <c r="C40" s="228"/>
      <c r="D40" s="228"/>
      <c r="E40" s="228"/>
      <c r="F40" s="228"/>
      <c r="G40" s="228"/>
    </row>
    <row r="71" spans="1:8" ht="13.5" thickBot="1"/>
    <row r="72" spans="1:8" ht="45.75" customHeight="1">
      <c r="B72" s="356" t="str">
        <f>IF(COUNT($H$13:H72)&lt;10,CONCATENATE("AMM EST 00",COUNT($H$13:H72)),CONCATENATE("AMM EST 0",COUNT($H$13:H72)))</f>
        <v>AMM EST 002</v>
      </c>
      <c r="C72" s="1673" t="str">
        <f>CONCATENATE("DESMOBILIZAÇÃO DE ",D91)</f>
        <v>DESMOBILIZAÇÃO DE PERFURATRIZ HIDRÁULICA SOBRE CAMINHÃO TRUCADO (C/ TERCEIRO EIXO) ELETRÔNICO - POTÊNCIA 231CV - PBT = 22000KG - DIST. ENTRE EIXOS 5170 MM</v>
      </c>
      <c r="D72" s="1673"/>
      <c r="E72" s="1673"/>
      <c r="F72" s="1673"/>
      <c r="G72" s="357" t="s">
        <v>23</v>
      </c>
      <c r="H72" s="436">
        <f>G76</f>
        <v>4015.23</v>
      </c>
    </row>
    <row r="73" spans="1:8" s="229" customFormat="1" ht="31.5">
      <c r="A73" s="433"/>
      <c r="B73" s="538" t="s">
        <v>206</v>
      </c>
      <c r="C73" s="539" t="s">
        <v>184</v>
      </c>
      <c r="D73" s="539" t="s">
        <v>23</v>
      </c>
      <c r="E73" s="539" t="s">
        <v>185</v>
      </c>
      <c r="F73" s="540" t="s">
        <v>186</v>
      </c>
      <c r="G73" s="541" t="s">
        <v>187</v>
      </c>
    </row>
    <row r="74" spans="1:8" s="229" customFormat="1" ht="15.75">
      <c r="A74" s="433"/>
      <c r="B74" s="1793" t="s">
        <v>191</v>
      </c>
      <c r="C74" s="1794"/>
      <c r="D74" s="1794"/>
      <c r="E74" s="1794"/>
      <c r="F74" s="1794"/>
      <c r="G74" s="1795"/>
    </row>
    <row r="75" spans="1:8" s="229" customFormat="1" ht="45.75" thickBot="1">
      <c r="A75" s="433" t="s">
        <v>452</v>
      </c>
      <c r="B75" s="484" t="s">
        <v>3812</v>
      </c>
      <c r="C75" s="577" t="str">
        <f>C72</f>
        <v>DESMOBILIZAÇÃO DE PERFURATRIZ HIDRÁULICA SOBRE CAMINHÃO TRUCADO (C/ TERCEIRO EIXO) ELETRÔNICO - POTÊNCIA 231CV - PBT = 22000KG - DIST. ENTRE EIXOS 5170 MM</v>
      </c>
      <c r="D75" s="578" t="str">
        <f>D73</f>
        <v>UN</v>
      </c>
      <c r="E75" s="1192">
        <v>1</v>
      </c>
      <c r="F75" s="1193">
        <f>G94</f>
        <v>4015.23</v>
      </c>
      <c r="G75" s="757">
        <f>TRUNC(E75*F75,2)</f>
        <v>4015.23</v>
      </c>
    </row>
    <row r="76" spans="1:8" s="229" customFormat="1" ht="16.5" thickBot="1">
      <c r="A76" s="433"/>
      <c r="B76" s="229" t="s">
        <v>3954</v>
      </c>
      <c r="D76" s="723"/>
      <c r="E76" s="724"/>
      <c r="F76" s="332" t="s">
        <v>192</v>
      </c>
      <c r="G76" s="434">
        <f>TRUNC(SUM(G75:G75),2)</f>
        <v>4015.23</v>
      </c>
      <c r="H76" s="348"/>
    </row>
    <row r="77" spans="1:8" ht="15.75">
      <c r="A77" s="339"/>
      <c r="B77" s="207"/>
      <c r="C77" s="207"/>
      <c r="D77" s="207"/>
      <c r="E77" s="207"/>
      <c r="F77" s="559"/>
      <c r="G77" s="560"/>
      <c r="H77" s="339"/>
    </row>
    <row r="78" spans="1:8" ht="97.5" customHeight="1">
      <c r="A78" s="339"/>
      <c r="B78" s="585" t="s">
        <v>3955</v>
      </c>
      <c r="C78" s="207"/>
      <c r="D78" s="207"/>
      <c r="E78" s="207"/>
      <c r="F78" s="559"/>
      <c r="G78" s="560"/>
      <c r="H78" s="339"/>
    </row>
    <row r="79" spans="1:8" ht="97.5" customHeight="1">
      <c r="A79" s="339"/>
      <c r="B79" s="585"/>
      <c r="C79" s="207"/>
      <c r="D79" s="207"/>
      <c r="E79" s="207"/>
      <c r="F79" s="559"/>
      <c r="G79" s="560"/>
      <c r="H79" s="339"/>
    </row>
    <row r="80" spans="1:8" ht="22.5" customHeight="1">
      <c r="A80" s="339"/>
      <c r="B80" s="1834" t="s">
        <v>4152</v>
      </c>
      <c r="C80" s="1834"/>
      <c r="D80" s="1834"/>
      <c r="E80" s="1834"/>
      <c r="F80" s="1834"/>
      <c r="G80" s="1834"/>
      <c r="H80" s="339"/>
    </row>
    <row r="81" spans="1:58" ht="15.75">
      <c r="A81" s="339"/>
      <c r="B81" s="620"/>
      <c r="C81" s="620"/>
      <c r="D81" s="620"/>
      <c r="E81" s="620"/>
      <c r="F81" s="620"/>
      <c r="G81" s="620"/>
      <c r="H81" s="339"/>
    </row>
    <row r="82" spans="1:58" ht="50.25" customHeight="1">
      <c r="A82" s="339"/>
      <c r="B82" s="586" t="s">
        <v>3077</v>
      </c>
      <c r="C82" s="1835" t="s">
        <v>4153</v>
      </c>
      <c r="D82" s="1835"/>
      <c r="E82" s="1835"/>
      <c r="F82" s="1835"/>
      <c r="G82" s="1835"/>
      <c r="H82" s="339"/>
    </row>
    <row r="83" spans="1:58" ht="62.25" customHeight="1">
      <c r="A83" s="339"/>
      <c r="B83" s="586" t="s">
        <v>3078</v>
      </c>
      <c r="C83" s="1835" t="s">
        <v>4154</v>
      </c>
      <c r="D83" s="1835"/>
      <c r="E83" s="1835"/>
      <c r="F83" s="1835"/>
      <c r="G83" s="1835"/>
      <c r="H83" s="339"/>
    </row>
    <row r="84" spans="1:58" ht="15.75">
      <c r="A84" s="339" t="s">
        <v>3996</v>
      </c>
      <c r="B84" s="586" t="s">
        <v>3957</v>
      </c>
      <c r="C84" s="1827" t="s">
        <v>4155</v>
      </c>
      <c r="D84" s="1827"/>
      <c r="E84" s="1827"/>
      <c r="F84" s="1827"/>
      <c r="G84" s="1827"/>
      <c r="H84" s="339"/>
    </row>
    <row r="85" spans="1:58" s="339" customFormat="1" ht="16.5" thickBot="1">
      <c r="A85" s="339" t="s">
        <v>3997</v>
      </c>
      <c r="B85" s="586"/>
      <c r="C85" s="616"/>
      <c r="D85" s="616"/>
      <c r="E85" s="616"/>
      <c r="F85" s="616"/>
      <c r="G85" s="616"/>
    </row>
    <row r="86" spans="1:58" s="339" customFormat="1" ht="15.75">
      <c r="B86" s="588" t="s">
        <v>3996</v>
      </c>
      <c r="C86" s="589" t="s">
        <v>184</v>
      </c>
      <c r="D86" s="589" t="s">
        <v>23</v>
      </c>
      <c r="E86" s="590" t="s">
        <v>203</v>
      </c>
      <c r="G86" s="616"/>
    </row>
    <row r="87" spans="1:58" s="339" customFormat="1" ht="60.75" thickBot="1">
      <c r="A87" s="433" t="s">
        <v>452</v>
      </c>
      <c r="B87" s="746">
        <v>91031</v>
      </c>
      <c r="C87" s="577" t="str">
        <f>IF($A87="INSUMO",VLOOKUP($B87,'BANCO DE DADOS JAN-23 INS'!$A:$D,2,FALSE),VLOOKUP($B87,'BANCO DE DADOS JAN-23 SERV'!$B:$E,2,FALSE))</f>
        <v>CAMINHÃO TRUCADO (C/ TERCEIRO EIXO) ELETRÔNICO - POTÊNCIA 231CV - PBT = 22000KG - DIST. ENTRE EIXOS 5170 MM - INCLUI CARROCERIA FIXA ABERTA DE MADEIRA - CHP DIURNO. AF_06/2015</v>
      </c>
      <c r="D87" s="578" t="str">
        <f>IF($A87="INSUMO",VLOOKUP($B87,'BANCO DE DADOS JAN-23 INS'!$A:$D,3,FALSE),VLOOKUP($B87,'BANCO DE DADOS JAN-23 SERV'!$B:$E,3,FALSE))</f>
        <v>CHP</v>
      </c>
      <c r="E87" s="1194">
        <f>IF($A87="INSUMO",VLOOKUP($B87,'BANCO DE DADOS JAN-23 INS'!$A:$D,4,FALSE),VLOOKUP($B87,'BANCO DE DADOS JAN-23 SERV'!$B:$E,4,FALSE))</f>
        <v>250.17</v>
      </c>
      <c r="G87" s="616"/>
    </row>
    <row r="88" spans="1:58" s="339" customFormat="1" ht="48" thickBot="1">
      <c r="A88" s="433" t="s">
        <v>452</v>
      </c>
      <c r="B88" s="587"/>
      <c r="C88" s="445"/>
      <c r="D88" s="591" t="s">
        <v>3073</v>
      </c>
      <c r="E88" s="434">
        <f>SUM(E87:E87)</f>
        <v>250.17</v>
      </c>
      <c r="G88" s="616"/>
    </row>
    <row r="89" spans="1:58" s="339" customFormat="1" ht="16.5" thickBot="1">
      <c r="B89" s="207"/>
      <c r="C89" s="207"/>
      <c r="D89" s="207"/>
      <c r="E89" s="207"/>
      <c r="F89" s="559"/>
      <c r="G89" s="560"/>
    </row>
    <row r="90" spans="1:58" s="229" customFormat="1" ht="16.5" thickBot="1">
      <c r="A90" s="433"/>
      <c r="B90" s="1724" t="s">
        <v>4151</v>
      </c>
      <c r="C90" s="1725"/>
      <c r="D90" s="1725"/>
      <c r="E90" s="1725"/>
      <c r="F90" s="1725"/>
      <c r="G90" s="1726"/>
      <c r="H90" s="339"/>
      <c r="I90" s="339"/>
      <c r="J90" s="339"/>
      <c r="K90" s="339"/>
      <c r="L90" s="339"/>
      <c r="M90" s="339"/>
      <c r="N90" s="339"/>
      <c r="O90" s="339"/>
      <c r="P90" s="339"/>
      <c r="Q90" s="339"/>
      <c r="R90" s="339"/>
      <c r="S90" s="339"/>
      <c r="T90" s="339"/>
      <c r="U90" s="339"/>
      <c r="V90" s="339"/>
      <c r="W90" s="339"/>
      <c r="X90" s="339"/>
      <c r="Y90" s="339"/>
      <c r="Z90" s="339"/>
      <c r="AA90" s="339"/>
      <c r="AB90" s="339"/>
      <c r="AC90" s="339"/>
      <c r="AD90" s="339"/>
      <c r="AE90" s="339"/>
      <c r="AF90" s="339"/>
      <c r="AG90" s="339"/>
      <c r="AH90" s="339"/>
      <c r="AI90" s="339"/>
      <c r="AJ90" s="339"/>
      <c r="AK90" s="339"/>
      <c r="AL90" s="339"/>
      <c r="AM90" s="339"/>
      <c r="AN90" s="339"/>
      <c r="AO90" s="339"/>
      <c r="AP90" s="339"/>
      <c r="AQ90" s="339"/>
      <c r="AR90" s="339"/>
      <c r="AS90" s="339"/>
      <c r="AT90" s="339"/>
      <c r="AU90" s="339"/>
      <c r="AV90" s="339"/>
      <c r="AW90" s="339"/>
      <c r="AX90" s="339"/>
      <c r="AY90" s="339"/>
      <c r="AZ90" s="339"/>
      <c r="BA90" s="339"/>
      <c r="BB90" s="339"/>
      <c r="BC90" s="339"/>
      <c r="BD90" s="339"/>
      <c r="BE90" s="339"/>
      <c r="BF90" s="339"/>
    </row>
    <row r="91" spans="1:58" s="229" customFormat="1" ht="51" customHeight="1">
      <c r="A91" s="433"/>
      <c r="B91" s="596" t="s">
        <v>1</v>
      </c>
      <c r="C91" s="617" t="s">
        <v>3065</v>
      </c>
      <c r="D91" s="1830" t="s">
        <v>4156</v>
      </c>
      <c r="E91" s="1830"/>
      <c r="F91" s="1830"/>
      <c r="G91" s="1831"/>
      <c r="H91" s="339"/>
      <c r="I91" s="339"/>
      <c r="J91" s="339"/>
      <c r="K91" s="339"/>
      <c r="L91" s="339"/>
      <c r="M91" s="339"/>
      <c r="N91" s="339"/>
      <c r="O91" s="339"/>
      <c r="P91" s="339"/>
      <c r="Q91" s="339"/>
      <c r="R91" s="339"/>
      <c r="S91" s="339"/>
      <c r="T91" s="339"/>
      <c r="U91" s="339"/>
      <c r="V91" s="339"/>
      <c r="W91" s="339"/>
      <c r="X91" s="339"/>
      <c r="Y91" s="339"/>
      <c r="Z91" s="339"/>
      <c r="AA91" s="339"/>
      <c r="AB91" s="339"/>
      <c r="AC91" s="339"/>
      <c r="AD91" s="339"/>
      <c r="AE91" s="339"/>
      <c r="AF91" s="339"/>
      <c r="AG91" s="339"/>
      <c r="AH91" s="339"/>
      <c r="AI91" s="339"/>
      <c r="AJ91" s="339"/>
      <c r="AK91" s="339"/>
      <c r="AL91" s="339"/>
      <c r="AM91" s="339"/>
      <c r="AN91" s="339"/>
      <c r="AO91" s="339"/>
      <c r="AP91" s="339"/>
      <c r="AQ91" s="339"/>
      <c r="AR91" s="339"/>
      <c r="AS91" s="339"/>
      <c r="AT91" s="339"/>
      <c r="AU91" s="339"/>
      <c r="AV91" s="339"/>
      <c r="AW91" s="339"/>
      <c r="AX91" s="339"/>
      <c r="AY91" s="339"/>
      <c r="AZ91" s="339"/>
      <c r="BA91" s="339"/>
      <c r="BB91" s="339"/>
      <c r="BC91" s="339"/>
      <c r="BD91" s="339"/>
      <c r="BE91" s="339"/>
      <c r="BF91" s="339"/>
    </row>
    <row r="92" spans="1:58" s="229" customFormat="1" ht="31.5">
      <c r="A92" s="433"/>
      <c r="B92" s="592" t="s">
        <v>3066</v>
      </c>
      <c r="C92" s="600" t="s">
        <v>3076</v>
      </c>
      <c r="D92" s="544" t="s">
        <v>3069</v>
      </c>
      <c r="E92" s="599">
        <v>963</v>
      </c>
      <c r="F92" s="544" t="s">
        <v>3071</v>
      </c>
      <c r="G92" s="603">
        <v>1</v>
      </c>
      <c r="H92" s="339"/>
      <c r="K92" s="339"/>
      <c r="L92" s="339"/>
      <c r="M92" s="339"/>
      <c r="N92" s="339"/>
      <c r="O92" s="339"/>
      <c r="P92" s="339"/>
      <c r="Q92" s="339"/>
      <c r="R92" s="339"/>
      <c r="S92" s="339"/>
      <c r="T92" s="339"/>
      <c r="U92" s="339"/>
      <c r="V92" s="339"/>
      <c r="W92" s="339"/>
      <c r="X92" s="339"/>
      <c r="Y92" s="339"/>
      <c r="Z92" s="339"/>
      <c r="AA92" s="339"/>
      <c r="AB92" s="339"/>
      <c r="AC92" s="339"/>
      <c r="AD92" s="339"/>
      <c r="AE92" s="339"/>
      <c r="AF92" s="339"/>
      <c r="AG92" s="339"/>
      <c r="AH92" s="339"/>
      <c r="AI92" s="339"/>
      <c r="AJ92" s="339"/>
      <c r="AK92" s="339"/>
      <c r="AL92" s="339"/>
      <c r="AM92" s="339"/>
      <c r="AN92" s="339"/>
      <c r="AO92" s="339"/>
      <c r="AP92" s="339"/>
      <c r="AQ92" s="339"/>
      <c r="AR92" s="339"/>
      <c r="AS92" s="339"/>
      <c r="AT92" s="339"/>
      <c r="AU92" s="339"/>
      <c r="AV92" s="339"/>
      <c r="AW92" s="339"/>
      <c r="AX92" s="339"/>
      <c r="AY92" s="339"/>
      <c r="AZ92" s="339"/>
      <c r="BA92" s="339"/>
      <c r="BB92" s="339"/>
      <c r="BC92" s="339"/>
      <c r="BD92" s="339"/>
      <c r="BE92" s="339"/>
      <c r="BF92" s="339"/>
    </row>
    <row r="93" spans="1:58" ht="31.5">
      <c r="B93" s="592" t="s">
        <v>3067</v>
      </c>
      <c r="C93" s="601" t="s">
        <v>13757</v>
      </c>
      <c r="D93" s="544" t="s">
        <v>3070</v>
      </c>
      <c r="E93" s="599">
        <v>60</v>
      </c>
      <c r="F93" s="544" t="s">
        <v>3072</v>
      </c>
      <c r="G93" s="597">
        <v>1</v>
      </c>
    </row>
    <row r="94" spans="1:58" ht="48" thickBot="1">
      <c r="B94" s="593" t="s">
        <v>3068</v>
      </c>
      <c r="C94" s="602">
        <v>1</v>
      </c>
      <c r="D94" s="594" t="s">
        <v>3073</v>
      </c>
      <c r="E94" s="619">
        <f>E88</f>
        <v>250.17</v>
      </c>
      <c r="F94" s="595" t="s">
        <v>3074</v>
      </c>
      <c r="G94" s="598">
        <f>IF(C94=0,0,ROUND(((((E92*C94*G93)/E93)*E94)*G92),2))</f>
        <v>4015.23</v>
      </c>
    </row>
    <row r="95" spans="1:58">
      <c r="B95" s="228"/>
      <c r="C95" s="228"/>
      <c r="D95" s="228"/>
      <c r="E95" s="228"/>
    </row>
    <row r="96" spans="1:58">
      <c r="B96" s="228"/>
      <c r="C96" s="228"/>
    </row>
    <row r="97" spans="2:7">
      <c r="B97" s="228"/>
      <c r="C97" s="228"/>
      <c r="D97" s="228"/>
      <c r="E97" s="228"/>
    </row>
    <row r="98" spans="2:7">
      <c r="B98" s="228"/>
      <c r="C98" s="228"/>
      <c r="D98" s="228"/>
      <c r="E98" s="228"/>
    </row>
    <row r="99" spans="2:7">
      <c r="B99" s="228"/>
      <c r="C99" s="228"/>
      <c r="D99" s="228"/>
      <c r="E99" s="228"/>
      <c r="F99" s="228"/>
      <c r="G99" s="228"/>
    </row>
  </sheetData>
  <mergeCells count="25">
    <mergeCell ref="B90:G90"/>
    <mergeCell ref="D91:G91"/>
    <mergeCell ref="H32:K32"/>
    <mergeCell ref="C13:F13"/>
    <mergeCell ref="B15:G15"/>
    <mergeCell ref="B21:G21"/>
    <mergeCell ref="C23:G23"/>
    <mergeCell ref="C24:G24"/>
    <mergeCell ref="C25:G25"/>
    <mergeCell ref="B31:G31"/>
    <mergeCell ref="D32:G32"/>
    <mergeCell ref="C72:F72"/>
    <mergeCell ref="B74:G74"/>
    <mergeCell ref="B80:G80"/>
    <mergeCell ref="C82:G82"/>
    <mergeCell ref="C83:G83"/>
    <mergeCell ref="C84:G84"/>
    <mergeCell ref="F3:G3"/>
    <mergeCell ref="B5:G5"/>
    <mergeCell ref="C7:E7"/>
    <mergeCell ref="B10:G10"/>
    <mergeCell ref="B3:B4"/>
    <mergeCell ref="D3:E4"/>
    <mergeCell ref="E8:F8"/>
    <mergeCell ref="C8:D8"/>
  </mergeCells>
  <dataValidations count="3">
    <dataValidation type="list" allowBlank="1" showInputMessage="1" showErrorMessage="1" sqref="A16 A28:A29 A75 A87:A88">
      <formula1>$A$3:$A$4</formula1>
    </dataValidation>
    <dataValidation type="list" allowBlank="1" showInputMessage="1" showErrorMessage="1" sqref="D32:G32 D91:G91">
      <formula1>$I$3:$I$4</formula1>
    </dataValidation>
    <dataValidation type="list" allowBlank="1" showInputMessage="1" showErrorMessage="1" sqref="B86 B27">
      <formula1>#REF!</formula1>
    </dataValidation>
  </dataValidations>
  <printOptions horizontalCentered="1"/>
  <pageMargins left="0.78740157480314965" right="0.19685039370078741" top="0.39370078740157483" bottom="0.78740157480314965" header="0.19685039370078741" footer="0.19685039370078741"/>
  <pageSetup paperSize="9" scale="51" fitToHeight="100" orientation="portrait" r:id="rId1"/>
  <headerFooter scaleWithDoc="0" alignWithMargins="0">
    <oddHeader>&amp;RPágina &amp;P de &amp;N</oddHeader>
  </headerFooter>
  <drawing r:id="rId2"/>
</worksheet>
</file>

<file path=xl/worksheets/sheet11.xml><?xml version="1.0" encoding="utf-8"?>
<worksheet xmlns="http://schemas.openxmlformats.org/spreadsheetml/2006/main" xmlns:r="http://schemas.openxmlformats.org/officeDocument/2006/relationships">
  <sheetPr>
    <tabColor rgb="FFFFCCFF"/>
    <pageSetUpPr fitToPage="1"/>
  </sheetPr>
  <dimension ref="C2:O36"/>
  <sheetViews>
    <sheetView view="pageBreakPreview" topLeftCell="A7" zoomScale="85" zoomScaleNormal="70" zoomScaleSheetLayoutView="85" workbookViewId="0">
      <selection activeCell="B9" sqref="B9:F9"/>
    </sheetView>
  </sheetViews>
  <sheetFormatPr defaultRowHeight="15"/>
  <cols>
    <col min="3" max="3" width="37.140625" bestFit="1" customWidth="1"/>
    <col min="4" max="4" width="26.7109375" bestFit="1" customWidth="1"/>
    <col min="6" max="6" width="14.42578125" customWidth="1"/>
    <col min="7" max="7" width="20.85546875" customWidth="1"/>
    <col min="8" max="8" width="14.85546875" customWidth="1"/>
    <col min="11" max="11" width="27.7109375" bestFit="1" customWidth="1"/>
    <col min="12" max="12" width="31" customWidth="1"/>
    <col min="13" max="13" width="16.7109375" customWidth="1"/>
    <col min="14" max="14" width="30" customWidth="1"/>
    <col min="15" max="15" width="19.28515625" customWidth="1"/>
  </cols>
  <sheetData>
    <row r="2" spans="3:15" ht="15.75" thickBot="1"/>
    <row r="3" spans="3:15" ht="80.099999999999994" customHeight="1" thickBot="1">
      <c r="C3" s="1869"/>
      <c r="D3" s="1578" t="s">
        <v>2</v>
      </c>
      <c r="E3" s="1595"/>
      <c r="F3" s="1595"/>
      <c r="G3" s="1595"/>
      <c r="H3" s="1595"/>
      <c r="I3" s="1595"/>
      <c r="J3" s="1595"/>
      <c r="K3" s="1595"/>
      <c r="L3" s="1595"/>
      <c r="M3" s="1579"/>
      <c r="N3" s="1873" t="str">
        <f>'ORÇAMENTO '!L5</f>
        <v xml:space="preserve">Ref.: Tabela de Serviços
SINAPI (JAN/2023) 
e/ou composições PiniTCPO                                                                              
</v>
      </c>
      <c r="O3" s="1591"/>
    </row>
    <row r="4" spans="3:15" ht="30" customHeight="1" thickBot="1">
      <c r="C4" s="1870"/>
      <c r="D4" s="1582"/>
      <c r="E4" s="1871"/>
      <c r="F4" s="1871"/>
      <c r="G4" s="1871"/>
      <c r="H4" s="1871"/>
      <c r="I4" s="1871"/>
      <c r="J4" s="1871"/>
      <c r="K4" s="1871"/>
      <c r="L4" s="1871"/>
      <c r="M4" s="1872"/>
      <c r="N4" s="1874" t="str">
        <f>'ORÇAMENTO '!L6</f>
        <v>DESONERADO</v>
      </c>
      <c r="O4" s="1593"/>
    </row>
    <row r="5" spans="3:15" ht="50.1" customHeight="1" thickBot="1">
      <c r="C5" s="1870"/>
      <c r="D5" s="1875" t="s">
        <v>6223</v>
      </c>
      <c r="E5" s="1876"/>
      <c r="F5" s="1876"/>
      <c r="G5" s="1876"/>
      <c r="H5" s="1876"/>
      <c r="I5" s="1876"/>
      <c r="J5" s="1876"/>
      <c r="K5" s="1876"/>
      <c r="L5" s="1876"/>
      <c r="M5" s="1876"/>
      <c r="N5" s="663" t="s">
        <v>5</v>
      </c>
      <c r="O5" s="664">
        <f>'ORÇAMENTO '!M7</f>
        <v>0.26440000000000002</v>
      </c>
    </row>
    <row r="6" spans="3:15" ht="15.75">
      <c r="C6" s="665" t="s">
        <v>6</v>
      </c>
      <c r="D6" s="1877" t="str">
        <f>'ORÇAMENTO '!G11</f>
        <v xml:space="preserve">SISTEMA DE ABASTECIMENTO DE ÁGUA </v>
      </c>
      <c r="E6" s="1877"/>
      <c r="F6" s="1877"/>
      <c r="G6" s="1877"/>
      <c r="H6" s="1877"/>
      <c r="I6" s="1877"/>
      <c r="J6" s="1877"/>
      <c r="K6" s="1877"/>
      <c r="L6" s="1877"/>
      <c r="M6" s="1877"/>
      <c r="N6" s="666" t="s">
        <v>7</v>
      </c>
      <c r="O6" s="667">
        <f ca="1">'ORÇAMENTO '!M11</f>
        <v>45167</v>
      </c>
    </row>
    <row r="7" spans="3:15" ht="16.5" thickBot="1">
      <c r="C7" s="1033" t="s">
        <v>8</v>
      </c>
      <c r="D7" s="1878" t="str">
        <f>'ORÇAMENTO '!G12</f>
        <v>SETOR PIONEIRO - MUNICÍPIO DE APIACÁS</v>
      </c>
      <c r="E7" s="1878"/>
      <c r="F7" s="1878"/>
      <c r="G7" s="1878"/>
      <c r="H7" s="1878"/>
      <c r="I7" s="1878"/>
      <c r="J7" s="1878"/>
      <c r="K7" s="1878"/>
      <c r="L7" s="1878"/>
      <c r="M7" s="1878"/>
      <c r="N7" s="668" t="s">
        <v>9</v>
      </c>
      <c r="O7" s="669">
        <f>'ORÇAMENTO '!M12</f>
        <v>0.80449999999999999</v>
      </c>
    </row>
    <row r="8" spans="3:15" ht="6" customHeight="1" thickBot="1">
      <c r="C8" s="1879"/>
      <c r="D8" s="1880"/>
      <c r="E8" s="1880"/>
      <c r="F8" s="1880"/>
      <c r="G8" s="1880"/>
      <c r="H8" s="1880"/>
      <c r="I8" s="1880"/>
      <c r="J8" s="1880"/>
      <c r="K8" s="1880"/>
      <c r="L8" s="1880"/>
      <c r="M8" s="1880"/>
      <c r="N8" s="1880"/>
      <c r="O8" s="1881"/>
    </row>
    <row r="9" spans="3:15" ht="6" customHeight="1" thickBot="1">
      <c r="C9" s="1882"/>
      <c r="D9" s="1883"/>
      <c r="E9" s="1883"/>
      <c r="F9" s="1883"/>
      <c r="G9" s="1883"/>
      <c r="H9" s="1883"/>
      <c r="I9" s="1883"/>
      <c r="J9" s="1883"/>
      <c r="K9" s="1883"/>
      <c r="L9" s="1883"/>
      <c r="M9" s="1883"/>
      <c r="N9" s="1883"/>
      <c r="O9" s="1883"/>
    </row>
    <row r="10" spans="3:15" ht="21.95" customHeight="1" thickBot="1">
      <c r="C10" s="1716" t="s">
        <v>6224</v>
      </c>
      <c r="D10" s="1717"/>
      <c r="E10" s="1717"/>
      <c r="F10" s="1717"/>
      <c r="G10" s="1717"/>
      <c r="H10" s="1717"/>
      <c r="I10" s="1717"/>
      <c r="J10" s="1717"/>
      <c r="K10" s="1717"/>
      <c r="L10" s="1717"/>
      <c r="M10" s="1717"/>
      <c r="N10" s="1717"/>
      <c r="O10" s="1718"/>
    </row>
    <row r="11" spans="3:15" ht="6" customHeight="1" thickBot="1">
      <c r="C11" s="1882"/>
      <c r="D11" s="1883"/>
      <c r="E11" s="1883"/>
      <c r="F11" s="1883"/>
      <c r="G11" s="1883"/>
      <c r="H11" s="1883"/>
      <c r="I11" s="1883"/>
      <c r="J11" s="1883"/>
      <c r="K11" s="1883"/>
      <c r="L11" s="1883"/>
      <c r="M11" s="1883"/>
      <c r="N11" s="1883"/>
      <c r="O11" s="1883"/>
    </row>
    <row r="12" spans="3:15" ht="6" customHeight="1" thickBot="1">
      <c r="C12" s="1866"/>
      <c r="D12" s="1867"/>
      <c r="E12" s="1867"/>
      <c r="F12" s="1867"/>
      <c r="G12" s="1867"/>
      <c r="H12" s="1867"/>
      <c r="I12" s="1867"/>
      <c r="J12" s="1867"/>
      <c r="K12" s="1867"/>
      <c r="L12" s="1867"/>
      <c r="M12" s="1867"/>
      <c r="N12" s="1867"/>
      <c r="O12" s="1868"/>
    </row>
    <row r="13" spans="3:15" ht="16.5" thickBot="1">
      <c r="C13" s="1853" t="s">
        <v>6225</v>
      </c>
      <c r="D13" s="1854"/>
      <c r="E13" s="1854"/>
      <c r="F13" s="1854"/>
      <c r="G13" s="1854"/>
      <c r="H13" s="1854"/>
      <c r="I13" s="1854"/>
      <c r="J13" s="1854"/>
      <c r="K13" s="1854"/>
      <c r="L13" s="1854"/>
      <c r="M13" s="1854"/>
      <c r="N13" s="1854"/>
      <c r="O13" s="1855"/>
    </row>
    <row r="14" spans="3:15" ht="15" customHeight="1">
      <c r="C14" s="1856" t="s">
        <v>6226</v>
      </c>
      <c r="D14" s="1858" t="s">
        <v>3071</v>
      </c>
      <c r="E14" s="1860" t="s">
        <v>6227</v>
      </c>
      <c r="F14" s="1861"/>
      <c r="G14" s="1860" t="s">
        <v>6228</v>
      </c>
      <c r="H14" s="1861"/>
      <c r="I14" s="1858" t="s">
        <v>6229</v>
      </c>
      <c r="J14" s="1858" t="s">
        <v>6230</v>
      </c>
      <c r="K14" s="1862" t="s">
        <v>6231</v>
      </c>
      <c r="L14" s="1862" t="s">
        <v>6232</v>
      </c>
      <c r="M14" s="1862" t="s">
        <v>6233</v>
      </c>
      <c r="N14" s="1862" t="s">
        <v>6234</v>
      </c>
      <c r="O14" s="1864" t="s">
        <v>6235</v>
      </c>
    </row>
    <row r="15" spans="3:15">
      <c r="C15" s="1857"/>
      <c r="D15" s="1859"/>
      <c r="E15" s="670" t="s">
        <v>6236</v>
      </c>
      <c r="F15" s="670" t="s">
        <v>6237</v>
      </c>
      <c r="G15" s="670" t="s">
        <v>6238</v>
      </c>
      <c r="H15" s="670" t="s">
        <v>6239</v>
      </c>
      <c r="I15" s="1859"/>
      <c r="J15" s="1859"/>
      <c r="K15" s="1863"/>
      <c r="L15" s="1863"/>
      <c r="M15" s="1863"/>
      <c r="N15" s="1863"/>
      <c r="O15" s="1865"/>
    </row>
    <row r="16" spans="3:15">
      <c r="C16" s="671" t="s">
        <v>507</v>
      </c>
      <c r="D16" s="672">
        <v>1</v>
      </c>
      <c r="E16" s="673">
        <v>5.97</v>
      </c>
      <c r="F16" s="674">
        <v>3.71</v>
      </c>
      <c r="G16" s="673">
        <f>TRUNC(E16+0.4,2)</f>
        <v>6.37</v>
      </c>
      <c r="H16" s="673">
        <f>TRUNC(F16+0.4,2)</f>
        <v>4.1100000000000003</v>
      </c>
      <c r="I16" s="675"/>
      <c r="J16" s="675">
        <v>1.5</v>
      </c>
      <c r="K16" s="676">
        <f t="shared" ref="K16" si="0">TRUNC(D16*G16*H16*J16,2)</f>
        <v>39.270000000000003</v>
      </c>
      <c r="L16" s="676">
        <f>TRUNC(D16*E16*F16*I16,2)</f>
        <v>0</v>
      </c>
      <c r="M16" s="676">
        <f t="shared" ref="M16" si="1">TRUNC(D16*E16*F16,2)</f>
        <v>22.14</v>
      </c>
      <c r="N16" s="676">
        <f t="shared" ref="N16" si="2">TRUNC(K16-L16-M16*0.05,2)</f>
        <v>38.159999999999997</v>
      </c>
      <c r="O16" s="1031">
        <v>0</v>
      </c>
    </row>
    <row r="17" spans="3:15" ht="15.75">
      <c r="C17" s="1840" t="s">
        <v>190</v>
      </c>
      <c r="D17" s="1841"/>
      <c r="E17" s="1841"/>
      <c r="F17" s="1841"/>
      <c r="G17" s="1841"/>
      <c r="H17" s="1841"/>
      <c r="I17" s="1841"/>
      <c r="J17" s="1842"/>
      <c r="K17" s="677">
        <f>TRUNC(SUM(K16:K16),2)</f>
        <v>39.270000000000003</v>
      </c>
      <c r="L17" s="677">
        <f>TRUNC(SUM(L16:L16),2)</f>
        <v>0</v>
      </c>
      <c r="M17" s="677">
        <f>TRUNC(SUM(M16:M16),2)</f>
        <v>22.14</v>
      </c>
      <c r="N17" s="677">
        <f>TRUNC(SUM(N16:N16)-O17,2)</f>
        <v>38.159999999999997</v>
      </c>
      <c r="O17" s="677">
        <f>TRUNC(SUM(O16:O16),2)</f>
        <v>0</v>
      </c>
    </row>
    <row r="18" spans="3:15" ht="15" customHeight="1">
      <c r="C18" s="1843" t="s">
        <v>6240</v>
      </c>
      <c r="D18" s="1844"/>
      <c r="E18" s="1844"/>
      <c r="F18" s="1844"/>
      <c r="G18" s="1844"/>
      <c r="H18" s="1845"/>
      <c r="I18" s="1849" t="s">
        <v>6241</v>
      </c>
      <c r="J18" s="1850"/>
      <c r="K18" s="1836" t="s">
        <v>6242</v>
      </c>
      <c r="L18" s="1836" t="s">
        <v>6243</v>
      </c>
      <c r="M18" s="1836" t="s">
        <v>6244</v>
      </c>
      <c r="N18" s="1836" t="s">
        <v>6245</v>
      </c>
      <c r="O18" s="1838"/>
    </row>
    <row r="19" spans="3:15" ht="51.75" customHeight="1" thickBot="1">
      <c r="C19" s="1846"/>
      <c r="D19" s="1847"/>
      <c r="E19" s="1847"/>
      <c r="F19" s="1847"/>
      <c r="G19" s="1847"/>
      <c r="H19" s="1848"/>
      <c r="I19" s="1851"/>
      <c r="J19" s="1852"/>
      <c r="K19" s="1837"/>
      <c r="L19" s="1837"/>
      <c r="M19" s="1837"/>
      <c r="N19" s="1837"/>
      <c r="O19" s="1839"/>
    </row>
    <row r="20" spans="3:15">
      <c r="C20" s="396"/>
      <c r="D20" s="396"/>
      <c r="E20" s="396"/>
      <c r="F20" s="396"/>
      <c r="G20" s="396"/>
    </row>
    <row r="21" spans="3:15">
      <c r="C21" s="396"/>
      <c r="D21" s="396"/>
      <c r="E21" s="396"/>
      <c r="F21" s="396"/>
      <c r="G21" s="396"/>
    </row>
    <row r="22" spans="3:15">
      <c r="C22" s="396"/>
      <c r="D22" s="396"/>
      <c r="E22" s="396"/>
      <c r="F22" s="396"/>
      <c r="G22" s="396"/>
    </row>
    <row r="23" spans="3:15">
      <c r="C23" s="396"/>
      <c r="D23" s="396"/>
      <c r="E23" s="396"/>
      <c r="F23" s="396"/>
      <c r="G23" s="396"/>
    </row>
    <row r="24" spans="3:15">
      <c r="C24" s="396"/>
      <c r="D24" s="396"/>
      <c r="E24" s="396"/>
      <c r="F24" s="396"/>
      <c r="G24" s="396"/>
    </row>
    <row r="25" spans="3:15">
      <c r="C25" s="396"/>
      <c r="D25" s="396"/>
      <c r="E25" s="396"/>
      <c r="F25" s="396"/>
      <c r="G25" s="396"/>
    </row>
    <row r="26" spans="3:15">
      <c r="C26" s="396"/>
      <c r="D26" s="396"/>
      <c r="E26" s="396"/>
      <c r="F26" s="396"/>
      <c r="G26" s="396"/>
    </row>
    <row r="27" spans="3:15">
      <c r="C27" s="396"/>
      <c r="D27" s="396"/>
      <c r="E27" s="396"/>
      <c r="F27" s="396"/>
      <c r="G27" s="396"/>
    </row>
    <row r="28" spans="3:15">
      <c r="C28" s="396"/>
      <c r="D28" s="396"/>
      <c r="E28" s="396"/>
      <c r="F28" s="396"/>
      <c r="G28" s="396"/>
    </row>
    <row r="29" spans="3:15">
      <c r="C29" s="396"/>
      <c r="D29" s="396"/>
      <c r="E29" s="396"/>
      <c r="F29" s="396"/>
      <c r="G29" s="396"/>
    </row>
    <row r="30" spans="3:15">
      <c r="C30" s="396"/>
      <c r="D30" s="396"/>
      <c r="E30" s="396"/>
      <c r="F30" s="396"/>
      <c r="G30" s="396"/>
    </row>
    <row r="31" spans="3:15">
      <c r="C31" s="396"/>
      <c r="D31" s="396"/>
      <c r="E31" s="396"/>
      <c r="F31" s="396"/>
      <c r="G31" s="396"/>
    </row>
    <row r="32" spans="3:15">
      <c r="C32" s="396"/>
      <c r="D32" s="396"/>
      <c r="E32" s="396"/>
      <c r="F32" s="396"/>
      <c r="G32" s="396"/>
    </row>
    <row r="33" spans="3:7">
      <c r="C33" s="396"/>
      <c r="D33" s="396"/>
      <c r="E33" s="396"/>
      <c r="F33" s="396"/>
      <c r="G33" s="396"/>
    </row>
    <row r="34" spans="3:7">
      <c r="C34" s="396"/>
      <c r="D34" s="396"/>
      <c r="E34" s="396"/>
      <c r="F34" s="396"/>
      <c r="G34" s="396"/>
    </row>
    <row r="35" spans="3:7">
      <c r="C35" s="396"/>
      <c r="D35" s="396"/>
      <c r="E35" s="396"/>
      <c r="F35" s="396"/>
      <c r="G35" s="396"/>
    </row>
    <row r="36" spans="3:7">
      <c r="C36" s="396"/>
      <c r="D36" s="396"/>
      <c r="E36" s="396"/>
      <c r="F36" s="396"/>
      <c r="G36" s="396"/>
    </row>
  </sheetData>
  <mergeCells count="32">
    <mergeCell ref="C12:O12"/>
    <mergeCell ref="C3:C5"/>
    <mergeCell ref="D3:M4"/>
    <mergeCell ref="N3:O3"/>
    <mergeCell ref="N4:O4"/>
    <mergeCell ref="D5:M5"/>
    <mergeCell ref="D6:M6"/>
    <mergeCell ref="D7:M7"/>
    <mergeCell ref="C8:O8"/>
    <mergeCell ref="C9:O9"/>
    <mergeCell ref="C10:O10"/>
    <mergeCell ref="C11:O11"/>
    <mergeCell ref="C13:O13"/>
    <mergeCell ref="C14:C15"/>
    <mergeCell ref="D14:D15"/>
    <mergeCell ref="E14:F14"/>
    <mergeCell ref="G14:H14"/>
    <mergeCell ref="I14:I15"/>
    <mergeCell ref="J14:J15"/>
    <mergeCell ref="K14:K15"/>
    <mergeCell ref="L14:L15"/>
    <mergeCell ref="M14:M15"/>
    <mergeCell ref="N14:N15"/>
    <mergeCell ref="O14:O15"/>
    <mergeCell ref="M18:M19"/>
    <mergeCell ref="N18:N19"/>
    <mergeCell ref="O18:O19"/>
    <mergeCell ref="C17:J17"/>
    <mergeCell ref="C18:H19"/>
    <mergeCell ref="I18:J19"/>
    <mergeCell ref="K18:K19"/>
    <mergeCell ref="L18:L19"/>
  </mergeCells>
  <pageMargins left="0.39370078740157483" right="0.39370078740157483" top="0.59055118110236215" bottom="0.59055118110236215" header="0.19685039370078741" footer="0.19685039370078741"/>
  <pageSetup paperSize="9" scale="52" fitToHeight="0" orientation="landscape" r:id="rId1"/>
  <drawing r:id="rId2"/>
</worksheet>
</file>

<file path=xl/worksheets/sheet12.xml><?xml version="1.0" encoding="utf-8"?>
<worksheet xmlns="http://schemas.openxmlformats.org/spreadsheetml/2006/main" xmlns:r="http://schemas.openxmlformats.org/officeDocument/2006/relationships">
  <sheetPr codeName="Plan20">
    <tabColor theme="1" tint="0.34998626667073579"/>
    <pageSetUpPr fitToPage="1"/>
  </sheetPr>
  <dimension ref="A1:HO19"/>
  <sheetViews>
    <sheetView showGridLines="0" view="pageBreakPreview" zoomScaleNormal="115" zoomScaleSheetLayoutView="100" workbookViewId="0">
      <selection activeCell="B9" sqref="B9:F9"/>
    </sheetView>
  </sheetViews>
  <sheetFormatPr defaultColWidth="9.140625" defaultRowHeight="15"/>
  <cols>
    <col min="2" max="2" width="6" customWidth="1"/>
    <col min="3" max="3" width="45.85546875" customWidth="1"/>
    <col min="4" max="6" width="15.7109375" customWidth="1"/>
  </cols>
  <sheetData>
    <row r="1" spans="1:6" s="533" customFormat="1" ht="18">
      <c r="A1" s="1909" t="s">
        <v>2996</v>
      </c>
      <c r="B1" s="1910" t="s">
        <v>2996</v>
      </c>
      <c r="C1" s="1910" t="s">
        <v>2996</v>
      </c>
      <c r="D1" s="1910"/>
      <c r="E1" s="1910"/>
      <c r="F1" s="1911"/>
    </row>
    <row r="2" spans="1:6" s="533" customFormat="1" ht="14.25">
      <c r="A2" s="1912" t="s">
        <v>2997</v>
      </c>
      <c r="B2" s="1913" t="s">
        <v>13994</v>
      </c>
      <c r="C2" s="1913" t="s">
        <v>13994</v>
      </c>
      <c r="D2" s="1913"/>
      <c r="E2" s="1913"/>
      <c r="F2" s="1914"/>
    </row>
    <row r="3" spans="1:6" s="533" customFormat="1" ht="14.25">
      <c r="A3" s="1915" t="s">
        <v>2998</v>
      </c>
      <c r="B3" s="1916" t="s">
        <v>13995</v>
      </c>
      <c r="C3" s="1916" t="s">
        <v>13995</v>
      </c>
      <c r="D3" s="1916"/>
      <c r="E3" s="1916"/>
      <c r="F3" s="1917"/>
    </row>
    <row r="4" spans="1:6" s="533" customFormat="1" ht="14.25">
      <c r="A4" s="1915" t="s">
        <v>3063</v>
      </c>
      <c r="B4" s="1916" t="s">
        <v>3063</v>
      </c>
      <c r="C4" s="1916" t="s">
        <v>3063</v>
      </c>
      <c r="D4" s="1916"/>
      <c r="E4" s="1916"/>
      <c r="F4" s="1917"/>
    </row>
    <row r="5" spans="1:6" s="533" customFormat="1" ht="14.25">
      <c r="A5" s="1915" t="s">
        <v>2999</v>
      </c>
      <c r="B5" s="1916" t="s">
        <v>2999</v>
      </c>
      <c r="C5" s="1916" t="s">
        <v>2999</v>
      </c>
      <c r="D5" s="1916"/>
      <c r="E5" s="1916"/>
      <c r="F5" s="1917"/>
    </row>
    <row r="6" spans="1:6" s="533" customFormat="1" ht="15" customHeight="1">
      <c r="A6" s="1142" t="s">
        <v>6</v>
      </c>
      <c r="B6" s="1907" t="str">
        <f>'ORÇAMENTO '!G11</f>
        <v xml:space="preserve">SISTEMA DE ABASTECIMENTO DE ÁGUA </v>
      </c>
      <c r="C6" s="1907"/>
      <c r="D6" s="1907"/>
      <c r="E6" s="1907"/>
      <c r="F6" s="1908"/>
    </row>
    <row r="7" spans="1:6" s="533" customFormat="1" ht="14.25">
      <c r="A7" s="534" t="s">
        <v>8</v>
      </c>
      <c r="B7" s="1888" t="str">
        <f>'ORÇAMENTO '!G12</f>
        <v>SETOR PIONEIRO - MUNICÍPIO DE APIACÁS</v>
      </c>
      <c r="C7" s="1889"/>
      <c r="D7" s="1889"/>
      <c r="E7" s="1889"/>
      <c r="F7" s="1890"/>
    </row>
    <row r="8" spans="1:6" s="533" customFormat="1" ht="14.25">
      <c r="A8" s="534" t="s">
        <v>13672</v>
      </c>
      <c r="B8" s="1889" t="s">
        <v>6978</v>
      </c>
      <c r="C8" s="1889"/>
      <c r="D8" s="1889"/>
      <c r="E8" s="1889"/>
      <c r="F8" s="1890"/>
    </row>
    <row r="9" spans="1:6" s="533" customFormat="1" ht="15.75" customHeight="1">
      <c r="A9" s="1143" t="s">
        <v>3064</v>
      </c>
      <c r="B9" s="1891">
        <f ca="1">TODAY()</f>
        <v>45167</v>
      </c>
      <c r="C9" s="1892"/>
      <c r="D9" s="1892"/>
      <c r="E9" s="1892"/>
      <c r="F9" s="1893"/>
    </row>
    <row r="10" spans="1:6" s="533" customFormat="1" ht="22.5" customHeight="1">
      <c r="A10" s="1894" t="s">
        <v>13996</v>
      </c>
      <c r="B10" s="1895"/>
      <c r="C10" s="1895"/>
      <c r="D10" s="1895"/>
      <c r="E10" s="1895"/>
      <c r="F10" s="1896"/>
    </row>
    <row r="11" spans="1:6" s="535" customFormat="1" ht="12.75" customHeight="1">
      <c r="A11" s="1897" t="s">
        <v>11</v>
      </c>
      <c r="B11" s="1899" t="s">
        <v>13997</v>
      </c>
      <c r="C11" s="1900"/>
      <c r="D11" s="1903" t="s">
        <v>13998</v>
      </c>
      <c r="E11" s="1903" t="s">
        <v>13999</v>
      </c>
      <c r="F11" s="1905" t="s">
        <v>14000</v>
      </c>
    </row>
    <row r="12" spans="1:6" s="535" customFormat="1" ht="12.75">
      <c r="A12" s="1897"/>
      <c r="B12" s="1899"/>
      <c r="C12" s="1900"/>
      <c r="D12" s="1904"/>
      <c r="E12" s="1904"/>
      <c r="F12" s="1906"/>
    </row>
    <row r="13" spans="1:6" s="535" customFormat="1" ht="22.5" customHeight="1">
      <c r="A13" s="1898"/>
      <c r="B13" s="1901"/>
      <c r="C13" s="1902"/>
      <c r="D13" s="1233" t="s">
        <v>3379</v>
      </c>
      <c r="E13" s="1233" t="s">
        <v>3379</v>
      </c>
      <c r="F13" s="1234" t="s">
        <v>3378</v>
      </c>
    </row>
    <row r="14" spans="1:6" s="535" customFormat="1" ht="20.100000000000001" customHeight="1">
      <c r="A14" s="1235">
        <v>1</v>
      </c>
      <c r="B14" s="1884" t="s">
        <v>14001</v>
      </c>
      <c r="C14" s="1885"/>
      <c r="D14" s="1236">
        <v>56</v>
      </c>
      <c r="E14" s="1237">
        <v>0.6</v>
      </c>
      <c r="F14" s="1238">
        <f>TRUNC(E14*D14,2)</f>
        <v>33.6</v>
      </c>
    </row>
    <row r="15" spans="1:6" s="535" customFormat="1" ht="20.100000000000001" customHeight="1">
      <c r="A15" s="1235">
        <f>A14+1</f>
        <v>2</v>
      </c>
      <c r="B15" s="1884" t="s">
        <v>14002</v>
      </c>
      <c r="C15" s="1885"/>
      <c r="D15" s="1236">
        <v>90</v>
      </c>
      <c r="E15" s="1237">
        <v>0.6</v>
      </c>
      <c r="F15" s="1238">
        <f t="shared" ref="F15:F17" si="0">TRUNC(E15*D15,2)</f>
        <v>54</v>
      </c>
    </row>
    <row r="16" spans="1:6" s="535" customFormat="1" ht="20.100000000000001" customHeight="1">
      <c r="A16" s="1235">
        <f t="shared" ref="A16:A17" si="1">A15+1</f>
        <v>3</v>
      </c>
      <c r="B16" s="1884" t="s">
        <v>14003</v>
      </c>
      <c r="C16" s="1885"/>
      <c r="D16" s="1236">
        <v>329</v>
      </c>
      <c r="E16" s="1237">
        <v>0.6</v>
      </c>
      <c r="F16" s="1238">
        <f t="shared" si="0"/>
        <v>197.4</v>
      </c>
    </row>
    <row r="17" spans="1:223" s="535" customFormat="1" ht="20.100000000000001" customHeight="1">
      <c r="A17" s="1235">
        <f t="shared" si="1"/>
        <v>4</v>
      </c>
      <c r="B17" s="1884" t="s">
        <v>14004</v>
      </c>
      <c r="C17" s="1885"/>
      <c r="D17" s="1236">
        <v>240</v>
      </c>
      <c r="E17" s="1237">
        <v>0.6</v>
      </c>
      <c r="F17" s="1238">
        <f t="shared" si="0"/>
        <v>144</v>
      </c>
    </row>
    <row r="18" spans="1:223" s="220" customFormat="1" ht="20.100000000000001" customHeight="1" thickBot="1">
      <c r="A18" s="1886" t="s">
        <v>14005</v>
      </c>
      <c r="B18" s="1887"/>
      <c r="C18" s="1887"/>
      <c r="D18" s="1239">
        <f>SUM(D14:D17)</f>
        <v>715</v>
      </c>
      <c r="E18" s="1240"/>
      <c r="F18" s="1241">
        <f>SUM(F14:F17)</f>
        <v>429</v>
      </c>
      <c r="G18" s="433"/>
      <c r="H18" s="433"/>
      <c r="I18" s="1242"/>
      <c r="J18" s="1243"/>
      <c r="K18" s="433"/>
      <c r="L18" s="433"/>
      <c r="M18" s="433"/>
      <c r="N18" s="433"/>
      <c r="O18" s="1242"/>
      <c r="P18" s="1243"/>
      <c r="Q18" s="433"/>
      <c r="R18" s="433"/>
      <c r="S18" s="433"/>
      <c r="T18" s="433"/>
      <c r="U18" s="1242"/>
      <c r="V18" s="1243"/>
      <c r="W18" s="433"/>
      <c r="X18" s="433"/>
      <c r="Y18" s="433"/>
      <c r="Z18" s="433"/>
      <c r="AA18" s="1242"/>
      <c r="AB18" s="1243"/>
      <c r="AC18" s="433"/>
      <c r="AD18" s="433"/>
      <c r="AE18" s="433"/>
      <c r="AF18" s="433"/>
      <c r="AG18" s="1242"/>
      <c r="AH18" s="1243"/>
      <c r="AI18" s="433"/>
      <c r="AJ18" s="433"/>
      <c r="AK18" s="433"/>
      <c r="AL18" s="433"/>
      <c r="AM18" s="1242"/>
      <c r="AN18" s="1243"/>
      <c r="AO18" s="433"/>
      <c r="AP18" s="433"/>
      <c r="AQ18" s="433"/>
      <c r="AR18" s="433"/>
      <c r="AS18" s="1242"/>
      <c r="AT18" s="1243"/>
      <c r="AU18" s="433"/>
      <c r="AV18" s="433"/>
      <c r="AW18" s="433"/>
      <c r="AX18" s="433"/>
      <c r="AY18" s="1242"/>
      <c r="AZ18" s="1243"/>
      <c r="BA18" s="433"/>
      <c r="BB18" s="433"/>
      <c r="BC18" s="433"/>
      <c r="BD18" s="433"/>
      <c r="BE18" s="1242"/>
      <c r="BF18" s="1243"/>
      <c r="BG18" s="433"/>
      <c r="BH18" s="433"/>
      <c r="BI18" s="433"/>
      <c r="BJ18" s="433"/>
      <c r="BK18" s="1242"/>
      <c r="BL18" s="1243"/>
      <c r="BM18" s="433"/>
      <c r="BN18" s="433"/>
      <c r="BO18" s="433"/>
      <c r="BP18" s="433"/>
      <c r="BQ18" s="1242"/>
      <c r="BR18" s="1243"/>
      <c r="BS18" s="433"/>
      <c r="BT18" s="433"/>
      <c r="BU18" s="433"/>
      <c r="BV18" s="433"/>
      <c r="BW18" s="1242"/>
      <c r="BX18" s="1243"/>
      <c r="BY18" s="433"/>
      <c r="BZ18" s="433"/>
      <c r="CA18" s="433"/>
      <c r="CB18" s="433"/>
      <c r="CC18" s="1242"/>
      <c r="CD18" s="1243"/>
      <c r="CE18" s="433"/>
      <c r="CF18" s="433"/>
      <c r="CG18" s="433"/>
      <c r="CH18" s="433"/>
      <c r="CI18" s="1242"/>
      <c r="CJ18" s="1243"/>
      <c r="CK18" s="433"/>
      <c r="CL18" s="433"/>
      <c r="CM18" s="433"/>
      <c r="CN18" s="433"/>
      <c r="CO18" s="1242"/>
      <c r="CP18" s="1243"/>
      <c r="CQ18" s="433"/>
      <c r="CR18" s="433"/>
      <c r="CS18" s="433"/>
      <c r="CT18" s="433"/>
      <c r="CU18" s="1242"/>
      <c r="CV18" s="1243"/>
      <c r="CW18" s="433"/>
      <c r="CX18" s="433"/>
      <c r="CY18" s="433"/>
      <c r="CZ18" s="433"/>
      <c r="DA18" s="1242"/>
      <c r="DB18" s="1243"/>
      <c r="DC18" s="433"/>
      <c r="DD18" s="433"/>
      <c r="DE18" s="433"/>
      <c r="DF18" s="433"/>
      <c r="DG18" s="1242"/>
      <c r="DH18" s="1243"/>
      <c r="DI18" s="433"/>
      <c r="DJ18" s="433"/>
      <c r="DK18" s="433"/>
      <c r="DL18" s="433"/>
      <c r="DM18" s="1242"/>
      <c r="DN18" s="1243"/>
      <c r="DO18" s="433"/>
      <c r="DP18" s="433"/>
      <c r="DQ18" s="433"/>
      <c r="DR18" s="433"/>
      <c r="DS18" s="1242"/>
      <c r="DT18" s="1243"/>
      <c r="DU18" s="433"/>
      <c r="DV18" s="433"/>
      <c r="DW18" s="433"/>
      <c r="DX18" s="433"/>
      <c r="DY18" s="1242"/>
      <c r="DZ18" s="1243"/>
      <c r="EA18" s="433"/>
      <c r="EB18" s="433"/>
      <c r="EC18" s="433"/>
      <c r="ED18" s="433"/>
      <c r="EE18" s="1242"/>
      <c r="EF18" s="1243"/>
      <c r="EG18" s="433"/>
      <c r="EH18" s="433"/>
      <c r="EI18" s="433"/>
      <c r="EJ18" s="433"/>
      <c r="EK18" s="1242"/>
      <c r="EL18" s="1243"/>
      <c r="EM18" s="433"/>
      <c r="EN18" s="433"/>
      <c r="EO18" s="433"/>
      <c r="EP18" s="433"/>
      <c r="EQ18" s="1242"/>
      <c r="ER18" s="1243"/>
      <c r="ES18" s="433"/>
      <c r="ET18" s="433"/>
      <c r="EU18" s="433"/>
      <c r="EV18" s="433"/>
      <c r="EW18" s="1242"/>
      <c r="EX18" s="1243"/>
      <c r="EY18" s="433"/>
      <c r="EZ18" s="433"/>
      <c r="FA18" s="433"/>
      <c r="FB18" s="433"/>
      <c r="FC18" s="1242"/>
      <c r="FD18" s="1243"/>
      <c r="FE18" s="433"/>
      <c r="FF18" s="433"/>
      <c r="FG18" s="433"/>
      <c r="FH18" s="433"/>
      <c r="FI18" s="1242"/>
      <c r="FJ18" s="1243"/>
      <c r="FK18" s="433"/>
      <c r="FL18" s="433"/>
      <c r="FM18" s="433"/>
      <c r="FN18" s="433"/>
      <c r="FO18" s="1242"/>
      <c r="FP18" s="1243"/>
      <c r="FQ18" s="433"/>
      <c r="FR18" s="433"/>
      <c r="FS18" s="433"/>
      <c r="FT18" s="433"/>
      <c r="FU18" s="1242"/>
      <c r="FV18" s="1243"/>
      <c r="FW18" s="433"/>
      <c r="FX18" s="433"/>
      <c r="FY18" s="433"/>
      <c r="FZ18" s="433"/>
      <c r="GA18" s="1242"/>
      <c r="GB18" s="1243"/>
      <c r="GC18" s="433"/>
      <c r="GD18" s="433"/>
      <c r="GE18" s="433"/>
      <c r="GF18" s="433"/>
      <c r="GG18" s="1242"/>
      <c r="GH18" s="1243"/>
      <c r="GI18" s="433"/>
      <c r="GJ18" s="433"/>
      <c r="GK18" s="433"/>
      <c r="GL18" s="433"/>
      <c r="GM18" s="1242"/>
      <c r="GN18" s="1243"/>
      <c r="GO18" s="433"/>
      <c r="GP18" s="433"/>
      <c r="GQ18" s="433"/>
      <c r="GR18" s="433"/>
      <c r="GS18" s="1242"/>
      <c r="GT18" s="1243"/>
      <c r="GU18" s="433"/>
      <c r="GV18" s="433"/>
      <c r="GW18" s="433"/>
      <c r="GX18" s="433"/>
      <c r="GY18" s="1242"/>
      <c r="GZ18" s="1243"/>
      <c r="HA18" s="433"/>
      <c r="HB18" s="433"/>
      <c r="HC18" s="433"/>
      <c r="HD18" s="433"/>
      <c r="HE18" s="1242"/>
      <c r="HF18" s="1243"/>
      <c r="HG18" s="433"/>
      <c r="HH18" s="433"/>
      <c r="HI18" s="433"/>
      <c r="HJ18" s="433"/>
      <c r="HK18" s="1242"/>
      <c r="HL18" s="1243"/>
      <c r="HM18" s="433"/>
      <c r="HN18" s="433"/>
      <c r="HO18" s="433"/>
    </row>
    <row r="19" spans="1:223">
      <c r="E19" s="1244"/>
    </row>
  </sheetData>
  <mergeCells count="20">
    <mergeCell ref="B6:F6"/>
    <mergeCell ref="A1:F1"/>
    <mergeCell ref="A2:F2"/>
    <mergeCell ref="A3:F3"/>
    <mergeCell ref="A4:F4"/>
    <mergeCell ref="A5:F5"/>
    <mergeCell ref="B7:F7"/>
    <mergeCell ref="B8:F8"/>
    <mergeCell ref="B9:F9"/>
    <mergeCell ref="A10:F10"/>
    <mergeCell ref="A11:A13"/>
    <mergeCell ref="B11:C13"/>
    <mergeCell ref="D11:D12"/>
    <mergeCell ref="E11:E12"/>
    <mergeCell ref="F11:F12"/>
    <mergeCell ref="B14:C14"/>
    <mergeCell ref="B15:C15"/>
    <mergeCell ref="B16:C16"/>
    <mergeCell ref="B17:C17"/>
    <mergeCell ref="A18:C18"/>
  </mergeCells>
  <printOptions horizontalCentered="1"/>
  <pageMargins left="0.15748031496062992" right="0.19685039370078741" top="0.78740157480314965" bottom="0.78740157480314965" header="0.15748031496062992" footer="0.31496062992125984"/>
  <pageSetup paperSize="9" firstPageNumber="25" fitToHeight="0" orientation="landscape" useFirstPageNumber="1" r:id="rId1"/>
  <headerFooter scaleWithDoc="0"/>
  <drawing r:id="rId2"/>
</worksheet>
</file>

<file path=xl/worksheets/sheet13.xml><?xml version="1.0" encoding="utf-8"?>
<worksheet xmlns="http://schemas.openxmlformats.org/spreadsheetml/2006/main" xmlns:r="http://schemas.openxmlformats.org/officeDocument/2006/relationships">
  <sheetPr codeName="Plan10">
    <tabColor theme="1" tint="0.34998626667073579"/>
    <pageSetUpPr fitToPage="1"/>
  </sheetPr>
  <dimension ref="A1:HW37"/>
  <sheetViews>
    <sheetView showGridLines="0" view="pageBreakPreview" zoomScaleNormal="115" zoomScaleSheetLayoutView="100" workbookViewId="0">
      <selection activeCell="B9" sqref="B9:F9"/>
    </sheetView>
  </sheetViews>
  <sheetFormatPr defaultColWidth="9.140625" defaultRowHeight="15"/>
  <cols>
    <col min="2" max="2" width="6" customWidth="1"/>
    <col min="3" max="3" width="44.5703125" customWidth="1"/>
    <col min="4" max="6" width="15.7109375" customWidth="1"/>
    <col min="7" max="7" width="17" customWidth="1"/>
    <col min="8" max="8" width="13.7109375" customWidth="1"/>
    <col min="9" max="9" width="0.85546875" customWidth="1"/>
    <col min="10" max="10" width="19.28515625" hidden="1" customWidth="1"/>
    <col min="11" max="14" width="13.7109375" hidden="1" customWidth="1"/>
    <col min="16" max="16" width="12.7109375" bestFit="1" customWidth="1"/>
  </cols>
  <sheetData>
    <row r="1" spans="1:14" s="533" customFormat="1" ht="18">
      <c r="A1" s="1937" t="s">
        <v>2996</v>
      </c>
      <c r="B1" s="1938" t="s">
        <v>2996</v>
      </c>
      <c r="C1" s="1938" t="s">
        <v>2996</v>
      </c>
      <c r="D1" s="1938"/>
      <c r="E1" s="1938"/>
      <c r="F1" s="1938"/>
      <c r="G1" s="1938"/>
      <c r="H1" s="1938"/>
      <c r="I1" s="1938"/>
      <c r="J1" s="1938"/>
      <c r="K1" s="1938"/>
      <c r="L1" s="1938"/>
      <c r="M1" s="1938"/>
      <c r="N1" s="1939" t="s">
        <v>2996</v>
      </c>
    </row>
    <row r="2" spans="1:14" s="533" customFormat="1" ht="14.25">
      <c r="A2" s="1940" t="s">
        <v>2997</v>
      </c>
      <c r="B2" s="1913" t="s">
        <v>13994</v>
      </c>
      <c r="C2" s="1913" t="s">
        <v>13994</v>
      </c>
      <c r="D2" s="1913"/>
      <c r="E2" s="1913"/>
      <c r="F2" s="1913"/>
      <c r="G2" s="1913"/>
      <c r="H2" s="1913"/>
      <c r="I2" s="1913"/>
      <c r="J2" s="1913"/>
      <c r="K2" s="1913"/>
      <c r="L2" s="1913"/>
      <c r="M2" s="1913"/>
      <c r="N2" s="1941" t="s">
        <v>13994</v>
      </c>
    </row>
    <row r="3" spans="1:14" s="533" customFormat="1" ht="14.25">
      <c r="A3" s="1942" t="s">
        <v>2998</v>
      </c>
      <c r="B3" s="1916" t="s">
        <v>13995</v>
      </c>
      <c r="C3" s="1916" t="s">
        <v>13995</v>
      </c>
      <c r="D3" s="1916"/>
      <c r="E3" s="1916"/>
      <c r="F3" s="1916"/>
      <c r="G3" s="1916"/>
      <c r="H3" s="1916"/>
      <c r="I3" s="1916"/>
      <c r="J3" s="1916"/>
      <c r="K3" s="1916"/>
      <c r="L3" s="1916"/>
      <c r="M3" s="1916"/>
      <c r="N3" s="1943" t="s">
        <v>13995</v>
      </c>
    </row>
    <row r="4" spans="1:14" s="533" customFormat="1" ht="14.25">
      <c r="A4" s="1942" t="s">
        <v>3063</v>
      </c>
      <c r="B4" s="1916" t="s">
        <v>3063</v>
      </c>
      <c r="C4" s="1916" t="s">
        <v>3063</v>
      </c>
      <c r="D4" s="1916"/>
      <c r="E4" s="1916"/>
      <c r="F4" s="1916"/>
      <c r="G4" s="1916"/>
      <c r="H4" s="1916"/>
      <c r="I4" s="1916"/>
      <c r="J4" s="1916"/>
      <c r="K4" s="1916"/>
      <c r="L4" s="1916"/>
      <c r="M4" s="1916"/>
      <c r="N4" s="1943" t="s">
        <v>3063</v>
      </c>
    </row>
    <row r="5" spans="1:14" s="533" customFormat="1" ht="14.25">
      <c r="A5" s="1942" t="s">
        <v>2999</v>
      </c>
      <c r="B5" s="1916" t="s">
        <v>2999</v>
      </c>
      <c r="C5" s="1916" t="s">
        <v>2999</v>
      </c>
      <c r="D5" s="1916"/>
      <c r="E5" s="1916"/>
      <c r="F5" s="1916"/>
      <c r="G5" s="1916"/>
      <c r="H5" s="1916"/>
      <c r="I5" s="1916"/>
      <c r="J5" s="1916"/>
      <c r="K5" s="1916"/>
      <c r="L5" s="1916"/>
      <c r="M5" s="1916"/>
      <c r="N5" s="1943" t="s">
        <v>2999</v>
      </c>
    </row>
    <row r="6" spans="1:14" s="533" customFormat="1" ht="15" customHeight="1">
      <c r="A6" s="1245" t="s">
        <v>6</v>
      </c>
      <c r="B6" s="1907" t="str">
        <f>'REMOÇÃO DE PAV. ADUTORA'!B6:F6</f>
        <v xml:space="preserve">SISTEMA DE ABASTECIMENTO DE ÁGUA </v>
      </c>
      <c r="C6" s="1907"/>
      <c r="D6" s="1907"/>
      <c r="E6" s="1907"/>
      <c r="F6" s="1907"/>
      <c r="G6" s="1907"/>
      <c r="H6" s="1907"/>
      <c r="I6" s="1907"/>
      <c r="J6" s="1907"/>
      <c r="K6" s="1907"/>
      <c r="L6" s="1907"/>
      <c r="M6" s="1907"/>
      <c r="N6" s="1936"/>
    </row>
    <row r="7" spans="1:14" s="533" customFormat="1" ht="14.25">
      <c r="A7" s="1246" t="s">
        <v>8</v>
      </c>
      <c r="B7" s="1888" t="str">
        <f>'REMOÇÃO DE PAV. ADUTORA'!B7:F7</f>
        <v>SETOR PIONEIRO - MUNICÍPIO DE APIACÁS</v>
      </c>
      <c r="C7" s="1889"/>
      <c r="D7" s="1889"/>
      <c r="E7" s="1889"/>
      <c r="F7" s="1889"/>
      <c r="G7" s="1889"/>
      <c r="H7" s="1889"/>
      <c r="I7" s="1889"/>
      <c r="J7" s="1889"/>
      <c r="K7" s="1889"/>
      <c r="L7" s="1889"/>
      <c r="M7" s="1889"/>
      <c r="N7" s="1929"/>
    </row>
    <row r="8" spans="1:14" s="533" customFormat="1" ht="14.25">
      <c r="A8" s="1246" t="s">
        <v>13672</v>
      </c>
      <c r="B8" s="1889" t="str">
        <f>'REMOÇÃO DE PAV. ADUTORA'!B8:F8</f>
        <v>PREFEITURA MUNICIPAL DE APIACÁS</v>
      </c>
      <c r="C8" s="1889"/>
      <c r="D8" s="1889"/>
      <c r="E8" s="1889"/>
      <c r="F8" s="1889"/>
      <c r="G8" s="1889"/>
      <c r="H8" s="1889"/>
      <c r="I8" s="1889"/>
      <c r="J8" s="1889"/>
      <c r="K8" s="1889"/>
      <c r="L8" s="1889"/>
      <c r="M8" s="1889"/>
      <c r="N8" s="1929"/>
    </row>
    <row r="9" spans="1:14" s="533" customFormat="1" ht="15.75" customHeight="1">
      <c r="A9" s="1247" t="s">
        <v>3064</v>
      </c>
      <c r="B9" s="1891">
        <f ca="1">TODAY()</f>
        <v>45167</v>
      </c>
      <c r="C9" s="1930"/>
      <c r="D9" s="1930"/>
      <c r="E9" s="1930"/>
      <c r="F9" s="1930"/>
      <c r="G9" s="1930"/>
      <c r="H9" s="1930"/>
      <c r="I9" s="1930"/>
      <c r="J9" s="1930"/>
      <c r="K9" s="1930"/>
      <c r="L9" s="1930"/>
      <c r="M9" s="1930"/>
      <c r="N9" s="1931"/>
    </row>
    <row r="10" spans="1:14" s="533" customFormat="1" ht="22.5" customHeight="1">
      <c r="A10" s="1932" t="s">
        <v>14006</v>
      </c>
      <c r="B10" s="1895"/>
      <c r="C10" s="1895"/>
      <c r="D10" s="1895"/>
      <c r="E10" s="1895"/>
      <c r="F10" s="1895"/>
      <c r="G10" s="1895"/>
      <c r="H10" s="1895"/>
      <c r="I10" s="1895"/>
      <c r="J10" s="1895"/>
      <c r="K10" s="1895"/>
      <c r="L10" s="1895"/>
      <c r="M10" s="1895"/>
      <c r="N10" s="1933"/>
    </row>
    <row r="11" spans="1:14" s="535" customFormat="1" ht="12.75" customHeight="1">
      <c r="A11" s="1934" t="s">
        <v>11</v>
      </c>
      <c r="B11" s="1899" t="s">
        <v>13997</v>
      </c>
      <c r="C11" s="1900"/>
      <c r="D11" s="1903" t="s">
        <v>13998</v>
      </c>
      <c r="E11" s="1903" t="s">
        <v>13999</v>
      </c>
      <c r="F11" s="1903" t="s">
        <v>14007</v>
      </c>
      <c r="G11" s="1923" t="s">
        <v>14008</v>
      </c>
      <c r="H11" s="1923" t="s">
        <v>14009</v>
      </c>
      <c r="I11" s="1249"/>
      <c r="J11" s="1925" t="s">
        <v>14010</v>
      </c>
      <c r="K11" s="1926" t="s">
        <v>14011</v>
      </c>
      <c r="L11" s="1926"/>
      <c r="M11" s="1926" t="s">
        <v>14012</v>
      </c>
      <c r="N11" s="1926"/>
    </row>
    <row r="12" spans="1:14" s="535" customFormat="1" ht="25.5">
      <c r="A12" s="1934"/>
      <c r="B12" s="1899"/>
      <c r="C12" s="1900"/>
      <c r="D12" s="1904"/>
      <c r="E12" s="1904"/>
      <c r="F12" s="1904"/>
      <c r="G12" s="1925"/>
      <c r="H12" s="1924"/>
      <c r="I12" s="1250"/>
      <c r="J12" s="1925"/>
      <c r="K12" s="1231" t="s">
        <v>14013</v>
      </c>
      <c r="L12" s="1248" t="s">
        <v>14014</v>
      </c>
      <c r="M12" s="1231" t="s">
        <v>14013</v>
      </c>
      <c r="N12" s="1248" t="s">
        <v>14014</v>
      </c>
    </row>
    <row r="13" spans="1:14" s="535" customFormat="1" ht="22.5" customHeight="1">
      <c r="A13" s="1935"/>
      <c r="B13" s="1901"/>
      <c r="C13" s="1902"/>
      <c r="D13" s="1233" t="s">
        <v>3379</v>
      </c>
      <c r="E13" s="1233" t="s">
        <v>3379</v>
      </c>
      <c r="F13" s="1233" t="s">
        <v>3378</v>
      </c>
      <c r="G13" s="1233" t="s">
        <v>3379</v>
      </c>
      <c r="H13" s="1233" t="s">
        <v>14015</v>
      </c>
      <c r="I13" s="1250"/>
      <c r="J13" s="1924"/>
      <c r="K13" s="1233" t="s">
        <v>14016</v>
      </c>
      <c r="L13" s="1233" t="s">
        <v>14017</v>
      </c>
      <c r="M13" s="1233" t="s">
        <v>14016</v>
      </c>
      <c r="N13" s="1233" t="s">
        <v>14017</v>
      </c>
    </row>
    <row r="14" spans="1:14" s="535" customFormat="1" ht="20.100000000000001" customHeight="1">
      <c r="A14" s="1251">
        <v>1</v>
      </c>
      <c r="B14" s="1927" t="s">
        <v>14001</v>
      </c>
      <c r="C14" s="1928"/>
      <c r="D14" s="1252">
        <v>56</v>
      </c>
      <c r="E14" s="1252">
        <v>0.6</v>
      </c>
      <c r="F14" s="1253">
        <f t="shared" ref="F14:F15" si="0">TRUNC(E14*D14,2)</f>
        <v>33.6</v>
      </c>
      <c r="G14" s="1254">
        <v>0.2</v>
      </c>
      <c r="H14" s="1255">
        <f t="shared" ref="H14:H26" si="1">TRUNC(F14*G14,3)</f>
        <v>6.72</v>
      </c>
      <c r="I14" s="1256"/>
      <c r="J14" s="1254">
        <v>1.1499999999999999</v>
      </c>
      <c r="K14" s="1254">
        <v>2.81</v>
      </c>
      <c r="L14" s="1255">
        <f t="shared" ref="L14:L26" si="2">TRUNC(H14*J14*K14,3)</f>
        <v>21.715</v>
      </c>
      <c r="M14" s="1254">
        <v>33</v>
      </c>
      <c r="N14" s="1255">
        <f>TRUNC(H14*J14*M14,3)</f>
        <v>255.024</v>
      </c>
    </row>
    <row r="15" spans="1:14" s="535" customFormat="1" ht="20.100000000000001" customHeight="1">
      <c r="A15" s="1257">
        <f>A14+1</f>
        <v>2</v>
      </c>
      <c r="B15" s="1919" t="s">
        <v>14002</v>
      </c>
      <c r="C15" s="1920"/>
      <c r="D15" s="1258">
        <v>90</v>
      </c>
      <c r="E15" s="1252">
        <v>0.6</v>
      </c>
      <c r="F15" s="1259">
        <f t="shared" si="0"/>
        <v>54</v>
      </c>
      <c r="G15" s="1260">
        <v>0.2</v>
      </c>
      <c r="H15" s="1261">
        <f t="shared" si="1"/>
        <v>10.8</v>
      </c>
      <c r="I15" s="1256"/>
      <c r="J15" s="1260">
        <v>1.1499999999999999</v>
      </c>
      <c r="K15" s="1260">
        <v>2.81</v>
      </c>
      <c r="L15" s="1261">
        <f t="shared" si="2"/>
        <v>34.9</v>
      </c>
      <c r="M15" s="1260">
        <v>33</v>
      </c>
      <c r="N15" s="1261">
        <f t="shared" ref="N15:N26" si="3">TRUNC(H15*J15*M15,3)</f>
        <v>409.86</v>
      </c>
    </row>
    <row r="16" spans="1:14" s="535" customFormat="1" ht="20.100000000000001" customHeight="1">
      <c r="A16" s="1257">
        <f t="shared" ref="A16:A26" si="4">A15+1</f>
        <v>3</v>
      </c>
      <c r="B16" s="1919" t="s">
        <v>14003</v>
      </c>
      <c r="C16" s="1920"/>
      <c r="D16" s="1258">
        <v>329</v>
      </c>
      <c r="E16" s="1252">
        <v>0.6</v>
      </c>
      <c r="F16" s="1259">
        <f>TRUNC(E16*D16,2)</f>
        <v>197.4</v>
      </c>
      <c r="G16" s="1260">
        <v>0.2</v>
      </c>
      <c r="H16" s="1261">
        <f t="shared" si="1"/>
        <v>39.479999999999997</v>
      </c>
      <c r="I16" s="1256"/>
      <c r="J16" s="1260">
        <v>1.1499999999999999</v>
      </c>
      <c r="K16" s="1260">
        <v>2.81</v>
      </c>
      <c r="L16" s="1261">
        <f t="shared" si="2"/>
        <v>127.57899999999999</v>
      </c>
      <c r="M16" s="1260">
        <v>33</v>
      </c>
      <c r="N16" s="1261">
        <f t="shared" si="3"/>
        <v>1498.2660000000001</v>
      </c>
    </row>
    <row r="17" spans="1:231" s="535" customFormat="1" ht="20.100000000000001" customHeight="1">
      <c r="A17" s="1257">
        <f t="shared" si="4"/>
        <v>4</v>
      </c>
      <c r="B17" s="1919" t="s">
        <v>14018</v>
      </c>
      <c r="C17" s="1920"/>
      <c r="D17" s="1258">
        <v>325</v>
      </c>
      <c r="E17" s="1252">
        <v>0.6</v>
      </c>
      <c r="F17" s="1259">
        <f t="shared" ref="F17:F26" si="5">TRUNC(E17*D17,2)</f>
        <v>195</v>
      </c>
      <c r="G17" s="1260">
        <v>0.2</v>
      </c>
      <c r="H17" s="1261">
        <f t="shared" si="1"/>
        <v>39</v>
      </c>
      <c r="I17" s="1256"/>
      <c r="J17" s="1260">
        <v>1.1499999999999999</v>
      </c>
      <c r="K17" s="1260">
        <v>2.81</v>
      </c>
      <c r="L17" s="1261">
        <f t="shared" si="2"/>
        <v>126.02800000000001</v>
      </c>
      <c r="M17" s="1260">
        <v>33</v>
      </c>
      <c r="N17" s="1261">
        <f t="shared" si="3"/>
        <v>1480.05</v>
      </c>
    </row>
    <row r="18" spans="1:231" s="535" customFormat="1" ht="20.100000000000001" customHeight="1">
      <c r="A18" s="1257">
        <f t="shared" si="4"/>
        <v>5</v>
      </c>
      <c r="B18" s="1919" t="s">
        <v>14019</v>
      </c>
      <c r="C18" s="1920"/>
      <c r="D18" s="1258">
        <v>470</v>
      </c>
      <c r="E18" s="1252">
        <v>0.6</v>
      </c>
      <c r="F18" s="1259">
        <f t="shared" si="5"/>
        <v>282</v>
      </c>
      <c r="G18" s="1260">
        <v>0.2</v>
      </c>
      <c r="H18" s="1261">
        <f t="shared" si="1"/>
        <v>56.4</v>
      </c>
      <c r="I18" s="1256"/>
      <c r="J18" s="1260">
        <v>1.1499999999999999</v>
      </c>
      <c r="K18" s="1260">
        <v>2.81</v>
      </c>
      <c r="L18" s="1261">
        <f t="shared" si="2"/>
        <v>182.256</v>
      </c>
      <c r="M18" s="1260">
        <v>33</v>
      </c>
      <c r="N18" s="1261">
        <f t="shared" si="3"/>
        <v>2140.38</v>
      </c>
    </row>
    <row r="19" spans="1:231" s="535" customFormat="1" ht="20.100000000000001" customHeight="1">
      <c r="A19" s="1257">
        <f t="shared" si="4"/>
        <v>6</v>
      </c>
      <c r="B19" s="1919" t="s">
        <v>14020</v>
      </c>
      <c r="C19" s="1920"/>
      <c r="D19" s="1258">
        <v>315</v>
      </c>
      <c r="E19" s="1252">
        <v>0.6</v>
      </c>
      <c r="F19" s="1259">
        <f t="shared" si="5"/>
        <v>189</v>
      </c>
      <c r="G19" s="1260">
        <v>0.2</v>
      </c>
      <c r="H19" s="1261">
        <f t="shared" si="1"/>
        <v>37.799999999999997</v>
      </c>
      <c r="I19" s="1256"/>
      <c r="J19" s="1260">
        <v>1.1499999999999999</v>
      </c>
      <c r="K19" s="1260">
        <v>2.81</v>
      </c>
      <c r="L19" s="1261">
        <f t="shared" si="2"/>
        <v>122.15</v>
      </c>
      <c r="M19" s="1260">
        <v>33</v>
      </c>
      <c r="N19" s="1261">
        <f t="shared" si="3"/>
        <v>1434.51</v>
      </c>
    </row>
    <row r="20" spans="1:231" s="535" customFormat="1" ht="20.100000000000001" customHeight="1">
      <c r="A20" s="1257">
        <f t="shared" si="4"/>
        <v>7</v>
      </c>
      <c r="B20" s="1919" t="s">
        <v>14021</v>
      </c>
      <c r="C20" s="1920"/>
      <c r="D20" s="1258">
        <v>67</v>
      </c>
      <c r="E20" s="1252">
        <v>0.6</v>
      </c>
      <c r="F20" s="1259">
        <f t="shared" si="5"/>
        <v>40.200000000000003</v>
      </c>
      <c r="G20" s="1260">
        <v>0.2</v>
      </c>
      <c r="H20" s="1261">
        <f t="shared" si="1"/>
        <v>8.0399999999999991</v>
      </c>
      <c r="I20" s="1256"/>
      <c r="J20" s="1260">
        <v>1.1499999999999999</v>
      </c>
      <c r="K20" s="1260">
        <v>2.81</v>
      </c>
      <c r="L20" s="1261">
        <f t="shared" si="2"/>
        <v>25.981000000000002</v>
      </c>
      <c r="M20" s="1260">
        <v>33</v>
      </c>
      <c r="N20" s="1261">
        <f t="shared" si="3"/>
        <v>305.11799999999999</v>
      </c>
    </row>
    <row r="21" spans="1:231" s="535" customFormat="1" ht="20.100000000000001" customHeight="1">
      <c r="A21" s="1257">
        <f t="shared" si="4"/>
        <v>8</v>
      </c>
      <c r="B21" s="1919" t="s">
        <v>14022</v>
      </c>
      <c r="C21" s="1920"/>
      <c r="D21" s="1258">
        <v>223</v>
      </c>
      <c r="E21" s="1252">
        <v>0.6</v>
      </c>
      <c r="F21" s="1259">
        <f t="shared" si="5"/>
        <v>133.80000000000001</v>
      </c>
      <c r="G21" s="1260">
        <v>0.2</v>
      </c>
      <c r="H21" s="1261">
        <f t="shared" si="1"/>
        <v>26.76</v>
      </c>
      <c r="I21" s="1256"/>
      <c r="J21" s="1260">
        <v>1.1499999999999999</v>
      </c>
      <c r="K21" s="1260">
        <v>2.81</v>
      </c>
      <c r="L21" s="1261">
        <f t="shared" si="2"/>
        <v>86.474000000000004</v>
      </c>
      <c r="M21" s="1260">
        <v>33</v>
      </c>
      <c r="N21" s="1261">
        <f t="shared" si="3"/>
        <v>1015.542</v>
      </c>
    </row>
    <row r="22" spans="1:231" s="535" customFormat="1" ht="20.100000000000001" customHeight="1">
      <c r="A22" s="1257">
        <f t="shared" si="4"/>
        <v>9</v>
      </c>
      <c r="B22" s="1919" t="s">
        <v>14023</v>
      </c>
      <c r="C22" s="1920"/>
      <c r="D22" s="1258">
        <v>240</v>
      </c>
      <c r="E22" s="1252">
        <v>0.6</v>
      </c>
      <c r="F22" s="1259">
        <f t="shared" si="5"/>
        <v>144</v>
      </c>
      <c r="G22" s="1260">
        <v>0.2</v>
      </c>
      <c r="H22" s="1261">
        <f t="shared" si="1"/>
        <v>28.8</v>
      </c>
      <c r="I22" s="1256"/>
      <c r="J22" s="1260">
        <v>1.1499999999999999</v>
      </c>
      <c r="K22" s="1260">
        <v>2.81</v>
      </c>
      <c r="L22" s="1261">
        <f t="shared" si="2"/>
        <v>93.066999999999993</v>
      </c>
      <c r="M22" s="1260">
        <v>33</v>
      </c>
      <c r="N22" s="1261">
        <f t="shared" si="3"/>
        <v>1092.96</v>
      </c>
    </row>
    <row r="23" spans="1:231" s="535" customFormat="1" ht="20.100000000000001" customHeight="1">
      <c r="A23" s="1257">
        <f t="shared" si="4"/>
        <v>10</v>
      </c>
      <c r="B23" s="1919" t="s">
        <v>14004</v>
      </c>
      <c r="C23" s="1920"/>
      <c r="D23" s="1258">
        <v>240</v>
      </c>
      <c r="E23" s="1252">
        <v>0.6</v>
      </c>
      <c r="F23" s="1259">
        <f t="shared" si="5"/>
        <v>144</v>
      </c>
      <c r="G23" s="1260">
        <v>0.2</v>
      </c>
      <c r="H23" s="1261">
        <f t="shared" si="1"/>
        <v>28.8</v>
      </c>
      <c r="I23" s="1256"/>
      <c r="J23" s="1260">
        <v>1.1499999999999999</v>
      </c>
      <c r="K23" s="1260">
        <v>2.81</v>
      </c>
      <c r="L23" s="1261">
        <f t="shared" si="2"/>
        <v>93.066999999999993</v>
      </c>
      <c r="M23" s="1260">
        <v>33</v>
      </c>
      <c r="N23" s="1261">
        <f t="shared" si="3"/>
        <v>1092.96</v>
      </c>
    </row>
    <row r="24" spans="1:231" s="535" customFormat="1" ht="20.100000000000001" customHeight="1">
      <c r="A24" s="1257">
        <f t="shared" si="4"/>
        <v>11</v>
      </c>
      <c r="B24" s="1919" t="s">
        <v>14024</v>
      </c>
      <c r="C24" s="1920"/>
      <c r="D24" s="1258">
        <v>715</v>
      </c>
      <c r="E24" s="1252">
        <v>0.6</v>
      </c>
      <c r="F24" s="1259">
        <f t="shared" si="5"/>
        <v>429</v>
      </c>
      <c r="G24" s="1260">
        <v>0.2</v>
      </c>
      <c r="H24" s="1261">
        <f t="shared" si="1"/>
        <v>85.8</v>
      </c>
      <c r="I24" s="1256"/>
      <c r="J24" s="1260">
        <v>1.1499999999999999</v>
      </c>
      <c r="K24" s="1260">
        <v>2.81</v>
      </c>
      <c r="L24" s="1261">
        <f t="shared" si="2"/>
        <v>277.262</v>
      </c>
      <c r="M24" s="1260">
        <v>33</v>
      </c>
      <c r="N24" s="1261">
        <f t="shared" si="3"/>
        <v>3256.11</v>
      </c>
    </row>
    <row r="25" spans="1:231" s="535" customFormat="1" ht="20.100000000000001" customHeight="1">
      <c r="A25" s="1257">
        <f t="shared" si="4"/>
        <v>12</v>
      </c>
      <c r="B25" s="1919" t="s">
        <v>14025</v>
      </c>
      <c r="C25" s="1920"/>
      <c r="D25" s="1258">
        <v>510</v>
      </c>
      <c r="E25" s="1252">
        <v>0.6</v>
      </c>
      <c r="F25" s="1259">
        <f t="shared" si="5"/>
        <v>306</v>
      </c>
      <c r="G25" s="1260">
        <v>0.2</v>
      </c>
      <c r="H25" s="1261">
        <f t="shared" si="1"/>
        <v>61.2</v>
      </c>
      <c r="I25" s="1256"/>
      <c r="J25" s="1260">
        <v>1.1499999999999999</v>
      </c>
      <c r="K25" s="1260">
        <v>2.81</v>
      </c>
      <c r="L25" s="1261">
        <f t="shared" si="2"/>
        <v>197.767</v>
      </c>
      <c r="M25" s="1260">
        <v>33</v>
      </c>
      <c r="N25" s="1261">
        <f t="shared" si="3"/>
        <v>2322.54</v>
      </c>
    </row>
    <row r="26" spans="1:231" s="535" customFormat="1" ht="20.100000000000001" customHeight="1">
      <c r="A26" s="1257">
        <f t="shared" si="4"/>
        <v>13</v>
      </c>
      <c r="B26" s="1919" t="s">
        <v>14026</v>
      </c>
      <c r="C26" s="1920"/>
      <c r="D26" s="1258">
        <v>75</v>
      </c>
      <c r="E26" s="1252">
        <v>0.6</v>
      </c>
      <c r="F26" s="1259">
        <f t="shared" si="5"/>
        <v>45</v>
      </c>
      <c r="G26" s="1260">
        <v>0.2</v>
      </c>
      <c r="H26" s="1261">
        <f t="shared" si="1"/>
        <v>9</v>
      </c>
      <c r="I26" s="1256"/>
      <c r="J26" s="1260">
        <v>1.1499999999999999</v>
      </c>
      <c r="K26" s="1260">
        <v>2.81</v>
      </c>
      <c r="L26" s="1261">
        <f t="shared" si="2"/>
        <v>29.082999999999998</v>
      </c>
      <c r="M26" s="1260">
        <v>33</v>
      </c>
      <c r="N26" s="1261">
        <f t="shared" si="3"/>
        <v>341.55</v>
      </c>
    </row>
    <row r="27" spans="1:231" s="220" customFormat="1" ht="20.100000000000001" customHeight="1">
      <c r="A27" s="1921" t="s">
        <v>14005</v>
      </c>
      <c r="B27" s="1922"/>
      <c r="C27" s="1922"/>
      <c r="D27" s="1262">
        <f>SUM(D14:D26)</f>
        <v>3655</v>
      </c>
      <c r="E27" s="1263"/>
      <c r="F27" s="1262">
        <f>SUM(F14:F26)</f>
        <v>2193</v>
      </c>
      <c r="G27" s="1262"/>
      <c r="H27" s="1262">
        <f>SUM(H14:H26)</f>
        <v>438.59999999999997</v>
      </c>
      <c r="I27" s="1264"/>
      <c r="J27" s="1262"/>
      <c r="K27" s="1262"/>
      <c r="L27" s="1262">
        <f>TRUNC(SUM(L14:L26),2)</f>
        <v>1417.32</v>
      </c>
      <c r="M27" s="1262"/>
      <c r="N27" s="1262">
        <f>TRUNC(SUM(N14:N26),2)</f>
        <v>16644.87</v>
      </c>
      <c r="O27" s="433"/>
      <c r="P27" s="1265"/>
      <c r="Q27" s="1242"/>
      <c r="R27" s="1243"/>
      <c r="S27" s="433"/>
      <c r="T27" s="433"/>
      <c r="U27" s="433"/>
      <c r="V27" s="433"/>
      <c r="W27" s="1242"/>
      <c r="X27" s="1243"/>
      <c r="Y27" s="433"/>
      <c r="Z27" s="433"/>
      <c r="AA27" s="433"/>
      <c r="AB27" s="433"/>
      <c r="AC27" s="1242"/>
      <c r="AD27" s="1243"/>
      <c r="AE27" s="433"/>
      <c r="AF27" s="433"/>
      <c r="AG27" s="433"/>
      <c r="AH27" s="433"/>
      <c r="AI27" s="1242"/>
      <c r="AJ27" s="1243"/>
      <c r="AK27" s="433"/>
      <c r="AL27" s="433"/>
      <c r="AM27" s="433"/>
      <c r="AN27" s="433"/>
      <c r="AO27" s="1242"/>
      <c r="AP27" s="1243"/>
      <c r="AQ27" s="433"/>
      <c r="AR27" s="433"/>
      <c r="AS27" s="433"/>
      <c r="AT27" s="433"/>
      <c r="AU27" s="1242"/>
      <c r="AV27" s="1243"/>
      <c r="AW27" s="433"/>
      <c r="AX27" s="433"/>
      <c r="AY27" s="433"/>
      <c r="AZ27" s="433"/>
      <c r="BA27" s="1242"/>
      <c r="BB27" s="1243"/>
      <c r="BC27" s="433"/>
      <c r="BD27" s="433"/>
      <c r="BE27" s="433"/>
      <c r="BF27" s="433"/>
      <c r="BG27" s="1242"/>
      <c r="BH27" s="1243"/>
      <c r="BI27" s="433"/>
      <c r="BJ27" s="433"/>
      <c r="BK27" s="433"/>
      <c r="BL27" s="433"/>
      <c r="BM27" s="1242"/>
      <c r="BN27" s="1243"/>
      <c r="BO27" s="433"/>
      <c r="BP27" s="433"/>
      <c r="BQ27" s="433"/>
      <c r="BR27" s="433"/>
      <c r="BS27" s="1242"/>
      <c r="BT27" s="1243"/>
      <c r="BU27" s="433"/>
      <c r="BV27" s="433"/>
      <c r="BW27" s="433"/>
      <c r="BX27" s="433"/>
      <c r="BY27" s="1242"/>
      <c r="BZ27" s="1243"/>
      <c r="CA27" s="433"/>
      <c r="CB27" s="433"/>
      <c r="CC27" s="433"/>
      <c r="CD27" s="433"/>
      <c r="CE27" s="1242"/>
      <c r="CF27" s="1243"/>
      <c r="CG27" s="433"/>
      <c r="CH27" s="433"/>
      <c r="CI27" s="433"/>
      <c r="CJ27" s="433"/>
      <c r="CK27" s="1242"/>
      <c r="CL27" s="1243"/>
      <c r="CM27" s="433"/>
      <c r="CN27" s="433"/>
      <c r="CO27" s="433"/>
      <c r="CP27" s="433"/>
      <c r="CQ27" s="1242"/>
      <c r="CR27" s="1243"/>
      <c r="CS27" s="433"/>
      <c r="CT27" s="433"/>
      <c r="CU27" s="433"/>
      <c r="CV27" s="433"/>
      <c r="CW27" s="1242"/>
      <c r="CX27" s="1243"/>
      <c r="CY27" s="433"/>
      <c r="CZ27" s="433"/>
      <c r="DA27" s="433"/>
      <c r="DB27" s="433"/>
      <c r="DC27" s="1242"/>
      <c r="DD27" s="1243"/>
      <c r="DE27" s="433"/>
      <c r="DF27" s="433"/>
      <c r="DG27" s="433"/>
      <c r="DH27" s="433"/>
      <c r="DI27" s="1242"/>
      <c r="DJ27" s="1243"/>
      <c r="DK27" s="433"/>
      <c r="DL27" s="433"/>
      <c r="DM27" s="433"/>
      <c r="DN27" s="433"/>
      <c r="DO27" s="1242"/>
      <c r="DP27" s="1243"/>
      <c r="DQ27" s="433"/>
      <c r="DR27" s="433"/>
      <c r="DS27" s="433"/>
      <c r="DT27" s="433"/>
      <c r="DU27" s="1242"/>
      <c r="DV27" s="1243"/>
      <c r="DW27" s="433"/>
      <c r="DX27" s="433"/>
      <c r="DY27" s="433"/>
      <c r="DZ27" s="433"/>
      <c r="EA27" s="1242"/>
      <c r="EB27" s="1243"/>
      <c r="EC27" s="433"/>
      <c r="ED27" s="433"/>
      <c r="EE27" s="433"/>
      <c r="EF27" s="433"/>
      <c r="EG27" s="1242"/>
      <c r="EH27" s="1243"/>
      <c r="EI27" s="433"/>
      <c r="EJ27" s="433"/>
      <c r="EK27" s="433"/>
      <c r="EL27" s="433"/>
      <c r="EM27" s="1242"/>
      <c r="EN27" s="1243"/>
      <c r="EO27" s="433"/>
      <c r="EP27" s="433"/>
      <c r="EQ27" s="433"/>
      <c r="ER27" s="433"/>
      <c r="ES27" s="1242"/>
      <c r="ET27" s="1243"/>
      <c r="EU27" s="433"/>
      <c r="EV27" s="433"/>
      <c r="EW27" s="433"/>
      <c r="EX27" s="433"/>
      <c r="EY27" s="1242"/>
      <c r="EZ27" s="1243"/>
      <c r="FA27" s="433"/>
      <c r="FB27" s="433"/>
      <c r="FC27" s="433"/>
      <c r="FD27" s="433"/>
      <c r="FE27" s="1242"/>
      <c r="FF27" s="1243"/>
      <c r="FG27" s="433"/>
      <c r="FH27" s="433"/>
      <c r="FI27" s="433"/>
      <c r="FJ27" s="433"/>
      <c r="FK27" s="1242"/>
      <c r="FL27" s="1243"/>
      <c r="FM27" s="433"/>
      <c r="FN27" s="433"/>
      <c r="FO27" s="433"/>
      <c r="FP27" s="433"/>
      <c r="FQ27" s="1242"/>
      <c r="FR27" s="1243"/>
      <c r="FS27" s="433"/>
      <c r="FT27" s="433"/>
      <c r="FU27" s="433"/>
      <c r="FV27" s="433"/>
      <c r="FW27" s="1242"/>
      <c r="FX27" s="1243"/>
      <c r="FY27" s="433"/>
      <c r="FZ27" s="433"/>
      <c r="GA27" s="433"/>
      <c r="GB27" s="433"/>
      <c r="GC27" s="1242"/>
      <c r="GD27" s="1243"/>
      <c r="GE27" s="433"/>
      <c r="GF27" s="433"/>
      <c r="GG27" s="433"/>
      <c r="GH27" s="433"/>
      <c r="GI27" s="1242"/>
      <c r="GJ27" s="1243"/>
      <c r="GK27" s="433"/>
      <c r="GL27" s="433"/>
      <c r="GM27" s="433"/>
      <c r="GN27" s="433"/>
      <c r="GO27" s="1242"/>
      <c r="GP27" s="1243"/>
      <c r="GQ27" s="433"/>
      <c r="GR27" s="433"/>
      <c r="GS27" s="433"/>
      <c r="GT27" s="433"/>
      <c r="GU27" s="1242"/>
      <c r="GV27" s="1243"/>
      <c r="GW27" s="433"/>
      <c r="GX27" s="433"/>
      <c r="GY27" s="433"/>
      <c r="GZ27" s="433"/>
      <c r="HA27" s="1242"/>
      <c r="HB27" s="1243"/>
      <c r="HC27" s="433"/>
      <c r="HD27" s="433"/>
      <c r="HE27" s="433"/>
      <c r="HF27" s="433"/>
      <c r="HG27" s="1242"/>
      <c r="HH27" s="1243"/>
      <c r="HI27" s="433"/>
      <c r="HJ27" s="433"/>
      <c r="HK27" s="433"/>
      <c r="HL27" s="433"/>
      <c r="HM27" s="1242"/>
      <c r="HN27" s="1243"/>
      <c r="HO27" s="433"/>
      <c r="HP27" s="433"/>
      <c r="HQ27" s="433"/>
      <c r="HR27" s="433"/>
      <c r="HS27" s="1242"/>
      <c r="HT27" s="1243"/>
      <c r="HU27" s="433"/>
      <c r="HV27" s="433"/>
      <c r="HW27" s="433"/>
    </row>
    <row r="28" spans="1:231">
      <c r="A28" s="1266" t="s">
        <v>14027</v>
      </c>
      <c r="K28" s="405"/>
    </row>
    <row r="29" spans="1:231">
      <c r="A29" s="1266" t="s">
        <v>14028</v>
      </c>
    </row>
    <row r="30" spans="1:231">
      <c r="E30" s="1244"/>
    </row>
    <row r="31" spans="1:231">
      <c r="K31" s="1918" t="s">
        <v>14029</v>
      </c>
      <c r="L31" s="1918"/>
      <c r="M31" s="1918"/>
      <c r="N31" s="1918"/>
    </row>
    <row r="33" spans="11:13">
      <c r="K33" s="1244" t="s">
        <v>14030</v>
      </c>
      <c r="L33" s="1244" t="s">
        <v>14031</v>
      </c>
      <c r="M33" t="s">
        <v>14032</v>
      </c>
    </row>
    <row r="34" spans="11:13">
      <c r="L34" s="1244" t="s">
        <v>14033</v>
      </c>
      <c r="M34" t="s">
        <v>14034</v>
      </c>
    </row>
    <row r="35" spans="11:13">
      <c r="K35" t="s">
        <v>14035</v>
      </c>
    </row>
    <row r="36" spans="11:13">
      <c r="K36" s="396" t="s">
        <v>14036</v>
      </c>
    </row>
    <row r="37" spans="11:13">
      <c r="K37" s="396" t="s">
        <v>14037</v>
      </c>
    </row>
  </sheetData>
  <mergeCells count="35">
    <mergeCell ref="B6:N6"/>
    <mergeCell ref="A1:N1"/>
    <mergeCell ref="A2:N2"/>
    <mergeCell ref="A3:N3"/>
    <mergeCell ref="A4:N4"/>
    <mergeCell ref="A5:N5"/>
    <mergeCell ref="B7:N7"/>
    <mergeCell ref="B8:N8"/>
    <mergeCell ref="B9:N9"/>
    <mergeCell ref="A10:N10"/>
    <mergeCell ref="A11:A13"/>
    <mergeCell ref="B11:C13"/>
    <mergeCell ref="D11:D12"/>
    <mergeCell ref="E11:E12"/>
    <mergeCell ref="F11:F12"/>
    <mergeCell ref="G11:G12"/>
    <mergeCell ref="B21:C21"/>
    <mergeCell ref="H11:H12"/>
    <mergeCell ref="J11:J13"/>
    <mergeCell ref="K11:L11"/>
    <mergeCell ref="M11:N11"/>
    <mergeCell ref="B14:C14"/>
    <mergeCell ref="B15:C15"/>
    <mergeCell ref="B16:C16"/>
    <mergeCell ref="B17:C17"/>
    <mergeCell ref="B18:C18"/>
    <mergeCell ref="B19:C19"/>
    <mergeCell ref="B20:C20"/>
    <mergeCell ref="K31:N31"/>
    <mergeCell ref="B22:C22"/>
    <mergeCell ref="B23:C23"/>
    <mergeCell ref="B24:C24"/>
    <mergeCell ref="B25:C25"/>
    <mergeCell ref="B26:C26"/>
    <mergeCell ref="A27:C27"/>
  </mergeCells>
  <printOptions horizontalCentered="1"/>
  <pageMargins left="0.7" right="0.7" top="0.75" bottom="0.75" header="0.3" footer="0.3"/>
  <pageSetup paperSize="9" scale="94" firstPageNumber="25" fitToHeight="0" orientation="landscape" useFirstPageNumber="1" r:id="rId1"/>
  <headerFooter scaleWithDoc="0"/>
  <rowBreaks count="1" manualBreakCount="1">
    <brk id="29" max="16383" man="1"/>
  </rowBreaks>
  <drawing r:id="rId2"/>
</worksheet>
</file>

<file path=xl/worksheets/sheet14.xml><?xml version="1.0" encoding="utf-8"?>
<worksheet xmlns="http://schemas.openxmlformats.org/spreadsheetml/2006/main" xmlns:r="http://schemas.openxmlformats.org/officeDocument/2006/relationships">
  <sheetPr codeName="Plan11">
    <tabColor theme="1" tint="0.34998626667073579"/>
    <pageSetUpPr fitToPage="1"/>
  </sheetPr>
  <dimension ref="A1:HW36"/>
  <sheetViews>
    <sheetView showGridLines="0" view="pageBreakPreview" zoomScaleNormal="115" zoomScaleSheetLayoutView="100" workbookViewId="0">
      <selection activeCell="B9" sqref="B9:F9"/>
    </sheetView>
  </sheetViews>
  <sheetFormatPr defaultColWidth="9.140625" defaultRowHeight="15"/>
  <cols>
    <col min="2" max="2" width="6" customWidth="1"/>
    <col min="3" max="3" width="45.42578125" customWidth="1"/>
    <col min="4" max="6" width="15.7109375" customWidth="1"/>
    <col min="7" max="7" width="17" customWidth="1"/>
    <col min="8" max="8" width="13.7109375" customWidth="1"/>
    <col min="9" max="9" width="0.85546875" customWidth="1"/>
    <col min="10" max="10" width="19.28515625" hidden="1" customWidth="1"/>
    <col min="11" max="14" width="13.7109375" hidden="1" customWidth="1"/>
  </cols>
  <sheetData>
    <row r="1" spans="1:14" s="533" customFormat="1" ht="18">
      <c r="A1" s="1937" t="s">
        <v>2996</v>
      </c>
      <c r="B1" s="1938" t="s">
        <v>2996</v>
      </c>
      <c r="C1" s="1938" t="s">
        <v>2996</v>
      </c>
      <c r="D1" s="1938"/>
      <c r="E1" s="1938"/>
      <c r="F1" s="1938"/>
      <c r="G1" s="1938"/>
      <c r="H1" s="1938"/>
      <c r="I1" s="1938"/>
      <c r="J1" s="1938"/>
      <c r="K1" s="1938"/>
      <c r="L1" s="1938"/>
      <c r="M1" s="1938"/>
      <c r="N1" s="1939" t="s">
        <v>2996</v>
      </c>
    </row>
    <row r="2" spans="1:14" s="533" customFormat="1" ht="14.25">
      <c r="A2" s="1940" t="s">
        <v>2997</v>
      </c>
      <c r="B2" s="1913" t="s">
        <v>13994</v>
      </c>
      <c r="C2" s="1913" t="s">
        <v>13994</v>
      </c>
      <c r="D2" s="1913"/>
      <c r="E2" s="1913"/>
      <c r="F2" s="1913"/>
      <c r="G2" s="1913"/>
      <c r="H2" s="1913"/>
      <c r="I2" s="1913"/>
      <c r="J2" s="1913"/>
      <c r="K2" s="1913"/>
      <c r="L2" s="1913"/>
      <c r="M2" s="1913"/>
      <c r="N2" s="1941" t="s">
        <v>13994</v>
      </c>
    </row>
    <row r="3" spans="1:14" s="533" customFormat="1" ht="14.25">
      <c r="A3" s="1942" t="s">
        <v>2998</v>
      </c>
      <c r="B3" s="1916" t="s">
        <v>13995</v>
      </c>
      <c r="C3" s="1916" t="s">
        <v>13995</v>
      </c>
      <c r="D3" s="1916"/>
      <c r="E3" s="1916"/>
      <c r="F3" s="1916"/>
      <c r="G3" s="1916"/>
      <c r="H3" s="1916"/>
      <c r="I3" s="1916"/>
      <c r="J3" s="1916"/>
      <c r="K3" s="1916"/>
      <c r="L3" s="1916"/>
      <c r="M3" s="1916"/>
      <c r="N3" s="1943" t="s">
        <v>13995</v>
      </c>
    </row>
    <row r="4" spans="1:14" s="533" customFormat="1" ht="14.25">
      <c r="A4" s="1942" t="s">
        <v>3063</v>
      </c>
      <c r="B4" s="1916" t="s">
        <v>3063</v>
      </c>
      <c r="C4" s="1916" t="s">
        <v>3063</v>
      </c>
      <c r="D4" s="1916"/>
      <c r="E4" s="1916"/>
      <c r="F4" s="1916"/>
      <c r="G4" s="1916"/>
      <c r="H4" s="1916"/>
      <c r="I4" s="1916"/>
      <c r="J4" s="1916"/>
      <c r="K4" s="1916"/>
      <c r="L4" s="1916"/>
      <c r="M4" s="1916"/>
      <c r="N4" s="1943" t="s">
        <v>3063</v>
      </c>
    </row>
    <row r="5" spans="1:14" s="533" customFormat="1" ht="14.25">
      <c r="A5" s="1942" t="s">
        <v>2999</v>
      </c>
      <c r="B5" s="1916" t="s">
        <v>2999</v>
      </c>
      <c r="C5" s="1916" t="s">
        <v>2999</v>
      </c>
      <c r="D5" s="1916"/>
      <c r="E5" s="1916"/>
      <c r="F5" s="1916"/>
      <c r="G5" s="1916"/>
      <c r="H5" s="1916"/>
      <c r="I5" s="1916"/>
      <c r="J5" s="1916"/>
      <c r="K5" s="1916"/>
      <c r="L5" s="1916"/>
      <c r="M5" s="1916"/>
      <c r="N5" s="1943" t="s">
        <v>2999</v>
      </c>
    </row>
    <row r="6" spans="1:14" s="533" customFormat="1" ht="15" customHeight="1">
      <c r="A6" s="1245" t="s">
        <v>6</v>
      </c>
      <c r="B6" s="1907" t="str">
        <f>'REMOÇÃO DE PAV. ADUTORA'!B6:F6</f>
        <v xml:space="preserve">SISTEMA DE ABASTECIMENTO DE ÁGUA </v>
      </c>
      <c r="C6" s="1907"/>
      <c r="D6" s="1907"/>
      <c r="E6" s="1907"/>
      <c r="F6" s="1907"/>
      <c r="G6" s="1907"/>
      <c r="H6" s="1907"/>
      <c r="I6" s="1907"/>
      <c r="J6" s="1907"/>
      <c r="K6" s="1907"/>
      <c r="L6" s="1907"/>
      <c r="M6" s="1907"/>
      <c r="N6" s="1936"/>
    </row>
    <row r="7" spans="1:14" s="533" customFormat="1" ht="14.25">
      <c r="A7" s="1246" t="s">
        <v>8</v>
      </c>
      <c r="B7" s="1888" t="str">
        <f>'REMOÇÃO DE PAV. ADUTORA'!B7:F7</f>
        <v>SETOR PIONEIRO - MUNICÍPIO DE APIACÁS</v>
      </c>
      <c r="C7" s="1889"/>
      <c r="D7" s="1889"/>
      <c r="E7" s="1889"/>
      <c r="F7" s="1889"/>
      <c r="G7" s="1889"/>
      <c r="H7" s="1889"/>
      <c r="I7" s="1889"/>
      <c r="J7" s="1889"/>
      <c r="K7" s="1889"/>
      <c r="L7" s="1889"/>
      <c r="M7" s="1889"/>
      <c r="N7" s="1929"/>
    </row>
    <row r="8" spans="1:14" s="533" customFormat="1" ht="14.25">
      <c r="A8" s="1246" t="s">
        <v>13672</v>
      </c>
      <c r="B8" s="1889" t="str">
        <f>'REMOÇÃO DE PAV. ADUTORA'!B8:F8</f>
        <v>PREFEITURA MUNICIPAL DE APIACÁS</v>
      </c>
      <c r="C8" s="1889"/>
      <c r="D8" s="1889"/>
      <c r="E8" s="1889"/>
      <c r="F8" s="1889"/>
      <c r="G8" s="1889"/>
      <c r="H8" s="1889"/>
      <c r="I8" s="1889"/>
      <c r="J8" s="1889"/>
      <c r="K8" s="1889"/>
      <c r="L8" s="1889"/>
      <c r="M8" s="1889"/>
      <c r="N8" s="1929"/>
    </row>
    <row r="9" spans="1:14" s="533" customFormat="1" ht="15.75" customHeight="1">
      <c r="A9" s="1247" t="s">
        <v>3064</v>
      </c>
      <c r="B9" s="1891">
        <f ca="1">'REMOÇÃO DE PAV. ADUTORA'!B9:F9</f>
        <v>45167</v>
      </c>
      <c r="C9" s="1892"/>
      <c r="D9" s="1892"/>
      <c r="E9" s="1892"/>
      <c r="F9" s="1892"/>
      <c r="G9" s="1892"/>
      <c r="H9" s="1892"/>
      <c r="I9" s="1892"/>
      <c r="J9" s="1892"/>
      <c r="K9" s="1892"/>
      <c r="L9" s="1892"/>
      <c r="M9" s="1892"/>
      <c r="N9" s="1944"/>
    </row>
    <row r="10" spans="1:14" s="533" customFormat="1" ht="22.5" customHeight="1">
      <c r="A10" s="1932" t="s">
        <v>14038</v>
      </c>
      <c r="B10" s="1895"/>
      <c r="C10" s="1895"/>
      <c r="D10" s="1895"/>
      <c r="E10" s="1895"/>
      <c r="F10" s="1895"/>
      <c r="G10" s="1895"/>
      <c r="H10" s="1895"/>
      <c r="I10" s="1895"/>
      <c r="J10" s="1895"/>
      <c r="K10" s="1895"/>
      <c r="L10" s="1895"/>
      <c r="M10" s="1895"/>
      <c r="N10" s="1933"/>
    </row>
    <row r="11" spans="1:14" s="535" customFormat="1" ht="12.75" customHeight="1">
      <c r="A11" s="1934" t="s">
        <v>11</v>
      </c>
      <c r="B11" s="1899" t="s">
        <v>13997</v>
      </c>
      <c r="C11" s="1900"/>
      <c r="D11" s="1903" t="s">
        <v>13998</v>
      </c>
      <c r="E11" s="1903" t="s">
        <v>13999</v>
      </c>
      <c r="F11" s="1903" t="s">
        <v>14007</v>
      </c>
      <c r="G11" s="1923" t="s">
        <v>14008</v>
      </c>
      <c r="H11" s="1923" t="s">
        <v>14009</v>
      </c>
      <c r="I11" s="1249"/>
      <c r="J11" s="1925" t="s">
        <v>14010</v>
      </c>
      <c r="K11" s="1926" t="s">
        <v>14011</v>
      </c>
      <c r="L11" s="1926"/>
      <c r="M11" s="1926" t="s">
        <v>14039</v>
      </c>
      <c r="N11" s="1926"/>
    </row>
    <row r="12" spans="1:14" s="535" customFormat="1" ht="25.5">
      <c r="A12" s="1934"/>
      <c r="B12" s="1899"/>
      <c r="C12" s="1900"/>
      <c r="D12" s="1904"/>
      <c r="E12" s="1904"/>
      <c r="F12" s="1904"/>
      <c r="G12" s="1925"/>
      <c r="H12" s="1924"/>
      <c r="I12" s="1250"/>
      <c r="J12" s="1925"/>
      <c r="K12" s="1231" t="s">
        <v>14013</v>
      </c>
      <c r="L12" s="1248" t="s">
        <v>14014</v>
      </c>
      <c r="M12" s="1231" t="s">
        <v>14013</v>
      </c>
      <c r="N12" s="1248" t="s">
        <v>14014</v>
      </c>
    </row>
    <row r="13" spans="1:14" s="535" customFormat="1" ht="22.5" customHeight="1">
      <c r="A13" s="1935"/>
      <c r="B13" s="1901"/>
      <c r="C13" s="1902"/>
      <c r="D13" s="1233" t="s">
        <v>3379</v>
      </c>
      <c r="E13" s="1233" t="s">
        <v>3379</v>
      </c>
      <c r="F13" s="1233" t="s">
        <v>3378</v>
      </c>
      <c r="G13" s="1233" t="s">
        <v>3379</v>
      </c>
      <c r="H13" s="1233" t="s">
        <v>14015</v>
      </c>
      <c r="I13" s="1250"/>
      <c r="J13" s="1924"/>
      <c r="K13" s="1233" t="s">
        <v>14016</v>
      </c>
      <c r="L13" s="1233" t="s">
        <v>14017</v>
      </c>
      <c r="M13" s="1233" t="s">
        <v>14016</v>
      </c>
      <c r="N13" s="1233" t="s">
        <v>14017</v>
      </c>
    </row>
    <row r="14" spans="1:14" s="535" customFormat="1" ht="20.100000000000001" customHeight="1">
      <c r="A14" s="1251">
        <v>1</v>
      </c>
      <c r="B14" s="1927" t="str">
        <f>'BASE ADUTORA'!B14</f>
        <v>T1</v>
      </c>
      <c r="C14" s="1928"/>
      <c r="D14" s="1252">
        <f>'BASE ADUTORA'!D14</f>
        <v>56</v>
      </c>
      <c r="E14" s="1252">
        <f>'BASE ADUTORA'!E14</f>
        <v>0.6</v>
      </c>
      <c r="F14" s="1253">
        <f t="shared" ref="F14:F26" si="0">TRUNC(E14*D14,2)</f>
        <v>33.6</v>
      </c>
      <c r="G14" s="1254">
        <v>0.2</v>
      </c>
      <c r="H14" s="1255">
        <f t="shared" ref="H14:H26" si="1">TRUNC(F14*G14,3)</f>
        <v>6.72</v>
      </c>
      <c r="I14" s="1256"/>
      <c r="J14" s="1254">
        <v>1.1499999999999999</v>
      </c>
      <c r="K14" s="1254">
        <f>'BASE ADUTORA'!K14</f>
        <v>2.81</v>
      </c>
      <c r="L14" s="1255">
        <f t="shared" ref="L14:L26" si="2">TRUNC(H14*J14*K14,3)</f>
        <v>21.715</v>
      </c>
      <c r="M14" s="1254">
        <f>'BASE ADUTORA'!M14</f>
        <v>33</v>
      </c>
      <c r="N14" s="1255">
        <f t="shared" ref="N14:N26" si="3">TRUNC(H14*J14*M14,3)</f>
        <v>255.024</v>
      </c>
    </row>
    <row r="15" spans="1:14" s="535" customFormat="1" ht="20.100000000000001" customHeight="1">
      <c r="A15" s="1257">
        <f>A14+1</f>
        <v>2</v>
      </c>
      <c r="B15" s="1919" t="str">
        <f>'BASE ADUTORA'!B15</f>
        <v>T2</v>
      </c>
      <c r="C15" s="1920"/>
      <c r="D15" s="1258">
        <f>'BASE ADUTORA'!D15</f>
        <v>90</v>
      </c>
      <c r="E15" s="1258">
        <f>'BASE ADUTORA'!E15</f>
        <v>0.6</v>
      </c>
      <c r="F15" s="1259">
        <f t="shared" si="0"/>
        <v>54</v>
      </c>
      <c r="G15" s="1260">
        <v>0.2</v>
      </c>
      <c r="H15" s="1261">
        <f t="shared" si="1"/>
        <v>10.8</v>
      </c>
      <c r="I15" s="1256"/>
      <c r="J15" s="1260">
        <v>1.1499999999999999</v>
      </c>
      <c r="K15" s="1260">
        <f>'BASE ADUTORA'!K15</f>
        <v>2.81</v>
      </c>
      <c r="L15" s="1261">
        <f t="shared" si="2"/>
        <v>34.9</v>
      </c>
      <c r="M15" s="1260">
        <f>'BASE ADUTORA'!M15</f>
        <v>33</v>
      </c>
      <c r="N15" s="1261">
        <f t="shared" si="3"/>
        <v>409.86</v>
      </c>
    </row>
    <row r="16" spans="1:14" s="535" customFormat="1" ht="20.100000000000001" customHeight="1">
      <c r="A16" s="1257">
        <f t="shared" ref="A16:A26" si="4">A15+1</f>
        <v>3</v>
      </c>
      <c r="B16" s="1919" t="str">
        <f>'BASE ADUTORA'!B16</f>
        <v>T3</v>
      </c>
      <c r="C16" s="1920"/>
      <c r="D16" s="1258">
        <f>'BASE ADUTORA'!D16</f>
        <v>329</v>
      </c>
      <c r="E16" s="1258">
        <f>'BASE ADUTORA'!E16</f>
        <v>0.6</v>
      </c>
      <c r="F16" s="1259">
        <f t="shared" si="0"/>
        <v>197.4</v>
      </c>
      <c r="G16" s="1260">
        <v>0.2</v>
      </c>
      <c r="H16" s="1261">
        <f t="shared" si="1"/>
        <v>39.479999999999997</v>
      </c>
      <c r="I16" s="1256"/>
      <c r="J16" s="1260">
        <v>1.1499999999999999</v>
      </c>
      <c r="K16" s="1260">
        <f>'BASE ADUTORA'!K16</f>
        <v>2.81</v>
      </c>
      <c r="L16" s="1261">
        <f t="shared" si="2"/>
        <v>127.57899999999999</v>
      </c>
      <c r="M16" s="1260">
        <f>'BASE ADUTORA'!M16</f>
        <v>33</v>
      </c>
      <c r="N16" s="1261">
        <f t="shared" si="3"/>
        <v>1498.2660000000001</v>
      </c>
    </row>
    <row r="17" spans="1:231" s="535" customFormat="1" ht="20.100000000000001" customHeight="1">
      <c r="A17" s="1257">
        <f t="shared" si="4"/>
        <v>4</v>
      </c>
      <c r="B17" s="1919" t="str">
        <f>'BASE ADUTORA'!B17</f>
        <v>T4</v>
      </c>
      <c r="C17" s="1920"/>
      <c r="D17" s="1258">
        <f>'BASE ADUTORA'!D17</f>
        <v>325</v>
      </c>
      <c r="E17" s="1258">
        <f>'BASE ADUTORA'!E17</f>
        <v>0.6</v>
      </c>
      <c r="F17" s="1259">
        <f t="shared" si="0"/>
        <v>195</v>
      </c>
      <c r="G17" s="1260">
        <v>0.2</v>
      </c>
      <c r="H17" s="1261">
        <f t="shared" si="1"/>
        <v>39</v>
      </c>
      <c r="I17" s="1256"/>
      <c r="J17" s="1260">
        <v>1.1499999999999999</v>
      </c>
      <c r="K17" s="1260">
        <f>'BASE ADUTORA'!K17</f>
        <v>2.81</v>
      </c>
      <c r="L17" s="1261">
        <f t="shared" si="2"/>
        <v>126.02800000000001</v>
      </c>
      <c r="M17" s="1260">
        <f>'BASE ADUTORA'!M17</f>
        <v>33</v>
      </c>
      <c r="N17" s="1261">
        <f t="shared" si="3"/>
        <v>1480.05</v>
      </c>
    </row>
    <row r="18" spans="1:231" s="535" customFormat="1" ht="20.100000000000001" customHeight="1">
      <c r="A18" s="1257">
        <f t="shared" si="4"/>
        <v>5</v>
      </c>
      <c r="B18" s="1919" t="str">
        <f>'BASE ADUTORA'!B18</f>
        <v>T5</v>
      </c>
      <c r="C18" s="1920"/>
      <c r="D18" s="1258">
        <f>'BASE ADUTORA'!D18</f>
        <v>470</v>
      </c>
      <c r="E18" s="1258">
        <f>'BASE ADUTORA'!E18</f>
        <v>0.6</v>
      </c>
      <c r="F18" s="1259">
        <f t="shared" si="0"/>
        <v>282</v>
      </c>
      <c r="G18" s="1260">
        <v>0.2</v>
      </c>
      <c r="H18" s="1261">
        <f t="shared" si="1"/>
        <v>56.4</v>
      </c>
      <c r="I18" s="1256"/>
      <c r="J18" s="1260">
        <v>1.1499999999999999</v>
      </c>
      <c r="K18" s="1260">
        <f>'BASE ADUTORA'!K18</f>
        <v>2.81</v>
      </c>
      <c r="L18" s="1261">
        <f t="shared" si="2"/>
        <v>182.256</v>
      </c>
      <c r="M18" s="1260">
        <f>'BASE ADUTORA'!M18</f>
        <v>33</v>
      </c>
      <c r="N18" s="1261">
        <f t="shared" si="3"/>
        <v>2140.38</v>
      </c>
    </row>
    <row r="19" spans="1:231" s="535" customFormat="1" ht="20.100000000000001" customHeight="1">
      <c r="A19" s="1257">
        <f t="shared" si="4"/>
        <v>6</v>
      </c>
      <c r="B19" s="1919" t="str">
        <f>'BASE ADUTORA'!B19</f>
        <v>T6</v>
      </c>
      <c r="C19" s="1920"/>
      <c r="D19" s="1258">
        <f>'BASE ADUTORA'!D19</f>
        <v>315</v>
      </c>
      <c r="E19" s="1258">
        <f>'BASE ADUTORA'!E19</f>
        <v>0.6</v>
      </c>
      <c r="F19" s="1259">
        <f t="shared" si="0"/>
        <v>189</v>
      </c>
      <c r="G19" s="1260">
        <v>0.2</v>
      </c>
      <c r="H19" s="1261">
        <f t="shared" si="1"/>
        <v>37.799999999999997</v>
      </c>
      <c r="I19" s="1256"/>
      <c r="J19" s="1260">
        <v>1.1499999999999999</v>
      </c>
      <c r="K19" s="1260">
        <f>'BASE ADUTORA'!K19</f>
        <v>2.81</v>
      </c>
      <c r="L19" s="1261">
        <f t="shared" si="2"/>
        <v>122.15</v>
      </c>
      <c r="M19" s="1260">
        <f>'BASE ADUTORA'!M19</f>
        <v>33</v>
      </c>
      <c r="N19" s="1261">
        <f t="shared" si="3"/>
        <v>1434.51</v>
      </c>
    </row>
    <row r="20" spans="1:231" s="535" customFormat="1" ht="20.100000000000001" customHeight="1">
      <c r="A20" s="1257">
        <f t="shared" si="4"/>
        <v>7</v>
      </c>
      <c r="B20" s="1919" t="str">
        <f>'BASE ADUTORA'!B20</f>
        <v>T7</v>
      </c>
      <c r="C20" s="1920"/>
      <c r="D20" s="1258">
        <f>'BASE ADUTORA'!D20</f>
        <v>67</v>
      </c>
      <c r="E20" s="1258">
        <f>'BASE ADUTORA'!E20</f>
        <v>0.6</v>
      </c>
      <c r="F20" s="1259">
        <f t="shared" si="0"/>
        <v>40.200000000000003</v>
      </c>
      <c r="G20" s="1260">
        <v>0.2</v>
      </c>
      <c r="H20" s="1261">
        <f t="shared" si="1"/>
        <v>8.0399999999999991</v>
      </c>
      <c r="I20" s="1256"/>
      <c r="J20" s="1260">
        <v>1.1499999999999999</v>
      </c>
      <c r="K20" s="1260">
        <f>'BASE ADUTORA'!K20</f>
        <v>2.81</v>
      </c>
      <c r="L20" s="1261">
        <f t="shared" si="2"/>
        <v>25.981000000000002</v>
      </c>
      <c r="M20" s="1260">
        <f>'BASE ADUTORA'!M20</f>
        <v>33</v>
      </c>
      <c r="N20" s="1261">
        <f t="shared" si="3"/>
        <v>305.11799999999999</v>
      </c>
    </row>
    <row r="21" spans="1:231" s="535" customFormat="1" ht="20.100000000000001" customHeight="1">
      <c r="A21" s="1257">
        <f t="shared" si="4"/>
        <v>8</v>
      </c>
      <c r="B21" s="1919" t="str">
        <f>'BASE ADUTORA'!B21</f>
        <v>T8</v>
      </c>
      <c r="C21" s="1920"/>
      <c r="D21" s="1258">
        <f>'BASE ADUTORA'!D21</f>
        <v>223</v>
      </c>
      <c r="E21" s="1258">
        <f>'BASE ADUTORA'!E21</f>
        <v>0.6</v>
      </c>
      <c r="F21" s="1259">
        <f t="shared" si="0"/>
        <v>133.80000000000001</v>
      </c>
      <c r="G21" s="1260">
        <v>0.2</v>
      </c>
      <c r="H21" s="1261">
        <f t="shared" si="1"/>
        <v>26.76</v>
      </c>
      <c r="I21" s="1256"/>
      <c r="J21" s="1260">
        <v>1.1499999999999999</v>
      </c>
      <c r="K21" s="1260">
        <f>'BASE ADUTORA'!K21</f>
        <v>2.81</v>
      </c>
      <c r="L21" s="1261">
        <f t="shared" si="2"/>
        <v>86.474000000000004</v>
      </c>
      <c r="M21" s="1260">
        <f>'BASE ADUTORA'!M21</f>
        <v>33</v>
      </c>
      <c r="N21" s="1261">
        <f t="shared" si="3"/>
        <v>1015.542</v>
      </c>
    </row>
    <row r="22" spans="1:231" s="535" customFormat="1" ht="20.100000000000001" customHeight="1">
      <c r="A22" s="1257">
        <f t="shared" si="4"/>
        <v>9</v>
      </c>
      <c r="B22" s="1919" t="str">
        <f>'BASE ADUTORA'!B22</f>
        <v>T9</v>
      </c>
      <c r="C22" s="1920"/>
      <c r="D22" s="1258">
        <f>'BASE ADUTORA'!D22</f>
        <v>240</v>
      </c>
      <c r="E22" s="1258">
        <f>'BASE ADUTORA'!E22</f>
        <v>0.6</v>
      </c>
      <c r="F22" s="1259">
        <f t="shared" si="0"/>
        <v>144</v>
      </c>
      <c r="G22" s="1260">
        <v>0.2</v>
      </c>
      <c r="H22" s="1261">
        <f t="shared" si="1"/>
        <v>28.8</v>
      </c>
      <c r="I22" s="1256"/>
      <c r="J22" s="1260">
        <v>1.1499999999999999</v>
      </c>
      <c r="K22" s="1260">
        <f>'BASE ADUTORA'!K22</f>
        <v>2.81</v>
      </c>
      <c r="L22" s="1261">
        <f t="shared" si="2"/>
        <v>93.066999999999993</v>
      </c>
      <c r="M22" s="1260">
        <f>'BASE ADUTORA'!M22</f>
        <v>33</v>
      </c>
      <c r="N22" s="1261">
        <f t="shared" si="3"/>
        <v>1092.96</v>
      </c>
    </row>
    <row r="23" spans="1:231" s="535" customFormat="1" ht="20.100000000000001" customHeight="1">
      <c r="A23" s="1257">
        <f t="shared" si="4"/>
        <v>10</v>
      </c>
      <c r="B23" s="1919" t="str">
        <f>'BASE ADUTORA'!B23</f>
        <v>T10</v>
      </c>
      <c r="C23" s="1920"/>
      <c r="D23" s="1258">
        <f>'BASE ADUTORA'!D23</f>
        <v>240</v>
      </c>
      <c r="E23" s="1258">
        <f>'BASE ADUTORA'!E23</f>
        <v>0.6</v>
      </c>
      <c r="F23" s="1259">
        <f t="shared" si="0"/>
        <v>144</v>
      </c>
      <c r="G23" s="1260">
        <v>0.2</v>
      </c>
      <c r="H23" s="1261">
        <f t="shared" si="1"/>
        <v>28.8</v>
      </c>
      <c r="I23" s="1256"/>
      <c r="J23" s="1260">
        <v>1.1499999999999999</v>
      </c>
      <c r="K23" s="1260">
        <f>'BASE ADUTORA'!K23</f>
        <v>2.81</v>
      </c>
      <c r="L23" s="1261">
        <f t="shared" si="2"/>
        <v>93.066999999999993</v>
      </c>
      <c r="M23" s="1260">
        <f>'BASE ADUTORA'!M23</f>
        <v>33</v>
      </c>
      <c r="N23" s="1261">
        <f t="shared" si="3"/>
        <v>1092.96</v>
      </c>
    </row>
    <row r="24" spans="1:231" s="535" customFormat="1" ht="20.100000000000001" customHeight="1">
      <c r="A24" s="1257">
        <f t="shared" si="4"/>
        <v>11</v>
      </c>
      <c r="B24" s="1919" t="str">
        <f>'BASE ADUTORA'!B24</f>
        <v>T11</v>
      </c>
      <c r="C24" s="1920"/>
      <c r="D24" s="1258">
        <f>'BASE ADUTORA'!D24</f>
        <v>715</v>
      </c>
      <c r="E24" s="1258">
        <f>'BASE ADUTORA'!E24</f>
        <v>0.6</v>
      </c>
      <c r="F24" s="1259">
        <f t="shared" si="0"/>
        <v>429</v>
      </c>
      <c r="G24" s="1260">
        <v>0.2</v>
      </c>
      <c r="H24" s="1261">
        <f t="shared" si="1"/>
        <v>85.8</v>
      </c>
      <c r="I24" s="1256"/>
      <c r="J24" s="1260">
        <v>1.1499999999999999</v>
      </c>
      <c r="K24" s="1260">
        <f>'BASE ADUTORA'!K24</f>
        <v>2.81</v>
      </c>
      <c r="L24" s="1261">
        <f t="shared" si="2"/>
        <v>277.262</v>
      </c>
      <c r="M24" s="1260">
        <f>'BASE ADUTORA'!M24</f>
        <v>33</v>
      </c>
      <c r="N24" s="1261">
        <f t="shared" si="3"/>
        <v>3256.11</v>
      </c>
    </row>
    <row r="25" spans="1:231" s="535" customFormat="1" ht="20.100000000000001" customHeight="1">
      <c r="A25" s="1257">
        <f t="shared" si="4"/>
        <v>12</v>
      </c>
      <c r="B25" s="1919" t="str">
        <f>'BASE ADUTORA'!B25</f>
        <v>T12</v>
      </c>
      <c r="C25" s="1920"/>
      <c r="D25" s="1258">
        <f>'BASE ADUTORA'!D25</f>
        <v>510</v>
      </c>
      <c r="E25" s="1258">
        <f>'BASE ADUTORA'!E25</f>
        <v>0.6</v>
      </c>
      <c r="F25" s="1259">
        <f t="shared" si="0"/>
        <v>306</v>
      </c>
      <c r="G25" s="1260">
        <v>0.2</v>
      </c>
      <c r="H25" s="1261">
        <f t="shared" si="1"/>
        <v>61.2</v>
      </c>
      <c r="I25" s="1256"/>
      <c r="J25" s="1260">
        <v>1.1499999999999999</v>
      </c>
      <c r="K25" s="1260">
        <f>'BASE ADUTORA'!K25</f>
        <v>2.81</v>
      </c>
      <c r="L25" s="1261">
        <f t="shared" si="2"/>
        <v>197.767</v>
      </c>
      <c r="M25" s="1260">
        <f>'BASE ADUTORA'!M25</f>
        <v>33</v>
      </c>
      <c r="N25" s="1261">
        <f t="shared" si="3"/>
        <v>2322.54</v>
      </c>
    </row>
    <row r="26" spans="1:231" s="535" customFormat="1" ht="20.100000000000001" customHeight="1">
      <c r="A26" s="1257">
        <f t="shared" si="4"/>
        <v>13</v>
      </c>
      <c r="B26" s="1919" t="str">
        <f>'BASE ADUTORA'!B26</f>
        <v>T13</v>
      </c>
      <c r="C26" s="1920"/>
      <c r="D26" s="1258">
        <f>'BASE ADUTORA'!D26</f>
        <v>75</v>
      </c>
      <c r="E26" s="1258">
        <f>'BASE ADUTORA'!E26</f>
        <v>0.6</v>
      </c>
      <c r="F26" s="1259">
        <f t="shared" si="0"/>
        <v>45</v>
      </c>
      <c r="G26" s="1260">
        <v>0.2</v>
      </c>
      <c r="H26" s="1261">
        <f t="shared" si="1"/>
        <v>9</v>
      </c>
      <c r="I26" s="1256"/>
      <c r="J26" s="1260">
        <v>1.1499999999999999</v>
      </c>
      <c r="K26" s="1260">
        <f>'BASE ADUTORA'!K26</f>
        <v>2.81</v>
      </c>
      <c r="L26" s="1261">
        <f t="shared" si="2"/>
        <v>29.082999999999998</v>
      </c>
      <c r="M26" s="1260">
        <f>'BASE ADUTORA'!M26</f>
        <v>33</v>
      </c>
      <c r="N26" s="1261">
        <f t="shared" si="3"/>
        <v>341.55</v>
      </c>
    </row>
    <row r="27" spans="1:231" s="220" customFormat="1" ht="20.100000000000001" customHeight="1">
      <c r="A27" s="1921" t="s">
        <v>14005</v>
      </c>
      <c r="B27" s="1922"/>
      <c r="C27" s="1922"/>
      <c r="D27" s="1262">
        <f>SUM(D14:D26)</f>
        <v>3655</v>
      </c>
      <c r="E27" s="1263"/>
      <c r="F27" s="1262">
        <f>SUM(F14:F26)</f>
        <v>2193</v>
      </c>
      <c r="G27" s="1262"/>
      <c r="H27" s="1262">
        <f>SUM(H14:H26)</f>
        <v>438.59999999999997</v>
      </c>
      <c r="I27" s="1264"/>
      <c r="J27" s="1262"/>
      <c r="K27" s="1262"/>
      <c r="L27" s="1262">
        <f>TRUNC(SUM(L14:L26),2)</f>
        <v>1417.32</v>
      </c>
      <c r="M27" s="1262"/>
      <c r="N27" s="1262">
        <f>TRUNC(SUM(N14:N26),2)</f>
        <v>16644.87</v>
      </c>
      <c r="O27" s="433"/>
      <c r="P27" s="433"/>
      <c r="Q27" s="1242"/>
      <c r="R27" s="1243"/>
      <c r="S27" s="433"/>
      <c r="T27" s="433"/>
      <c r="U27" s="433"/>
      <c r="V27" s="433"/>
      <c r="W27" s="1242"/>
      <c r="X27" s="1243"/>
      <c r="Y27" s="433"/>
      <c r="Z27" s="433"/>
      <c r="AA27" s="433"/>
      <c r="AB27" s="433"/>
      <c r="AC27" s="1242"/>
      <c r="AD27" s="1243"/>
      <c r="AE27" s="433"/>
      <c r="AF27" s="433"/>
      <c r="AG27" s="433"/>
      <c r="AH27" s="433"/>
      <c r="AI27" s="1242"/>
      <c r="AJ27" s="1243"/>
      <c r="AK27" s="433"/>
      <c r="AL27" s="433"/>
      <c r="AM27" s="433"/>
      <c r="AN27" s="433"/>
      <c r="AO27" s="1242"/>
      <c r="AP27" s="1243"/>
      <c r="AQ27" s="433"/>
      <c r="AR27" s="433"/>
      <c r="AS27" s="433"/>
      <c r="AT27" s="433"/>
      <c r="AU27" s="1242"/>
      <c r="AV27" s="1243"/>
      <c r="AW27" s="433"/>
      <c r="AX27" s="433"/>
      <c r="AY27" s="433"/>
      <c r="AZ27" s="433"/>
      <c r="BA27" s="1242"/>
      <c r="BB27" s="1243"/>
      <c r="BC27" s="433"/>
      <c r="BD27" s="433"/>
      <c r="BE27" s="433"/>
      <c r="BF27" s="433"/>
      <c r="BG27" s="1242"/>
      <c r="BH27" s="1243"/>
      <c r="BI27" s="433"/>
      <c r="BJ27" s="433"/>
      <c r="BK27" s="433"/>
      <c r="BL27" s="433"/>
      <c r="BM27" s="1242"/>
      <c r="BN27" s="1243"/>
      <c r="BO27" s="433"/>
      <c r="BP27" s="433"/>
      <c r="BQ27" s="433"/>
      <c r="BR27" s="433"/>
      <c r="BS27" s="1242"/>
      <c r="BT27" s="1243"/>
      <c r="BU27" s="433"/>
      <c r="BV27" s="433"/>
      <c r="BW27" s="433"/>
      <c r="BX27" s="433"/>
      <c r="BY27" s="1242"/>
      <c r="BZ27" s="1243"/>
      <c r="CA27" s="433"/>
      <c r="CB27" s="433"/>
      <c r="CC27" s="433"/>
      <c r="CD27" s="433"/>
      <c r="CE27" s="1242"/>
      <c r="CF27" s="1243"/>
      <c r="CG27" s="433"/>
      <c r="CH27" s="433"/>
      <c r="CI27" s="433"/>
      <c r="CJ27" s="433"/>
      <c r="CK27" s="1242"/>
      <c r="CL27" s="1243"/>
      <c r="CM27" s="433"/>
      <c r="CN27" s="433"/>
      <c r="CO27" s="433"/>
      <c r="CP27" s="433"/>
      <c r="CQ27" s="1242"/>
      <c r="CR27" s="1243"/>
      <c r="CS27" s="433"/>
      <c r="CT27" s="433"/>
      <c r="CU27" s="433"/>
      <c r="CV27" s="433"/>
      <c r="CW27" s="1242"/>
      <c r="CX27" s="1243"/>
      <c r="CY27" s="433"/>
      <c r="CZ27" s="433"/>
      <c r="DA27" s="433"/>
      <c r="DB27" s="433"/>
      <c r="DC27" s="1242"/>
      <c r="DD27" s="1243"/>
      <c r="DE27" s="433"/>
      <c r="DF27" s="433"/>
      <c r="DG27" s="433"/>
      <c r="DH27" s="433"/>
      <c r="DI27" s="1242"/>
      <c r="DJ27" s="1243"/>
      <c r="DK27" s="433"/>
      <c r="DL27" s="433"/>
      <c r="DM27" s="433"/>
      <c r="DN27" s="433"/>
      <c r="DO27" s="1242"/>
      <c r="DP27" s="1243"/>
      <c r="DQ27" s="433"/>
      <c r="DR27" s="433"/>
      <c r="DS27" s="433"/>
      <c r="DT27" s="433"/>
      <c r="DU27" s="1242"/>
      <c r="DV27" s="1243"/>
      <c r="DW27" s="433"/>
      <c r="DX27" s="433"/>
      <c r="DY27" s="433"/>
      <c r="DZ27" s="433"/>
      <c r="EA27" s="1242"/>
      <c r="EB27" s="1243"/>
      <c r="EC27" s="433"/>
      <c r="ED27" s="433"/>
      <c r="EE27" s="433"/>
      <c r="EF27" s="433"/>
      <c r="EG27" s="1242"/>
      <c r="EH27" s="1243"/>
      <c r="EI27" s="433"/>
      <c r="EJ27" s="433"/>
      <c r="EK27" s="433"/>
      <c r="EL27" s="433"/>
      <c r="EM27" s="1242"/>
      <c r="EN27" s="1243"/>
      <c r="EO27" s="433"/>
      <c r="EP27" s="433"/>
      <c r="EQ27" s="433"/>
      <c r="ER27" s="433"/>
      <c r="ES27" s="1242"/>
      <c r="ET27" s="1243"/>
      <c r="EU27" s="433"/>
      <c r="EV27" s="433"/>
      <c r="EW27" s="433"/>
      <c r="EX27" s="433"/>
      <c r="EY27" s="1242"/>
      <c r="EZ27" s="1243"/>
      <c r="FA27" s="433"/>
      <c r="FB27" s="433"/>
      <c r="FC27" s="433"/>
      <c r="FD27" s="433"/>
      <c r="FE27" s="1242"/>
      <c r="FF27" s="1243"/>
      <c r="FG27" s="433"/>
      <c r="FH27" s="433"/>
      <c r="FI27" s="433"/>
      <c r="FJ27" s="433"/>
      <c r="FK27" s="1242"/>
      <c r="FL27" s="1243"/>
      <c r="FM27" s="433"/>
      <c r="FN27" s="433"/>
      <c r="FO27" s="433"/>
      <c r="FP27" s="433"/>
      <c r="FQ27" s="1242"/>
      <c r="FR27" s="1243"/>
      <c r="FS27" s="433"/>
      <c r="FT27" s="433"/>
      <c r="FU27" s="433"/>
      <c r="FV27" s="433"/>
      <c r="FW27" s="1242"/>
      <c r="FX27" s="1243"/>
      <c r="FY27" s="433"/>
      <c r="FZ27" s="433"/>
      <c r="GA27" s="433"/>
      <c r="GB27" s="433"/>
      <c r="GC27" s="1242"/>
      <c r="GD27" s="1243"/>
      <c r="GE27" s="433"/>
      <c r="GF27" s="433"/>
      <c r="GG27" s="433"/>
      <c r="GH27" s="433"/>
      <c r="GI27" s="1242"/>
      <c r="GJ27" s="1243"/>
      <c r="GK27" s="433"/>
      <c r="GL27" s="433"/>
      <c r="GM27" s="433"/>
      <c r="GN27" s="433"/>
      <c r="GO27" s="1242"/>
      <c r="GP27" s="1243"/>
      <c r="GQ27" s="433"/>
      <c r="GR27" s="433"/>
      <c r="GS27" s="433"/>
      <c r="GT27" s="433"/>
      <c r="GU27" s="1242"/>
      <c r="GV27" s="1243"/>
      <c r="GW27" s="433"/>
      <c r="GX27" s="433"/>
      <c r="GY27" s="433"/>
      <c r="GZ27" s="433"/>
      <c r="HA27" s="1242"/>
      <c r="HB27" s="1243"/>
      <c r="HC27" s="433"/>
      <c r="HD27" s="433"/>
      <c r="HE27" s="433"/>
      <c r="HF27" s="433"/>
      <c r="HG27" s="1242"/>
      <c r="HH27" s="1243"/>
      <c r="HI27" s="433"/>
      <c r="HJ27" s="433"/>
      <c r="HK27" s="433"/>
      <c r="HL27" s="433"/>
      <c r="HM27" s="1242"/>
      <c r="HN27" s="1243"/>
      <c r="HO27" s="433"/>
      <c r="HP27" s="433"/>
      <c r="HQ27" s="433"/>
      <c r="HR27" s="433"/>
      <c r="HS27" s="1242"/>
      <c r="HT27" s="1243"/>
      <c r="HU27" s="433"/>
      <c r="HV27" s="433"/>
      <c r="HW27" s="433"/>
    </row>
    <row r="28" spans="1:231">
      <c r="A28" s="1266" t="str">
        <f>'BASE ADUTORA'!A28</f>
        <v>¹ Transporte com caminhao basculante 14 m3, em via urbana pavimentada</v>
      </c>
      <c r="H28" s="678"/>
    </row>
    <row r="29" spans="1:231">
      <c r="A29" s="1266" t="str">
        <f>'BASE ADUTORA'!A29</f>
        <v>² Transporte com caminhao basculante 14 m3, em via urbana em revestimento primário</v>
      </c>
      <c r="H29" s="678"/>
    </row>
    <row r="30" spans="1:231">
      <c r="E30" s="1244"/>
      <c r="K30" s="1918" t="s">
        <v>14029</v>
      </c>
      <c r="L30" s="1918"/>
      <c r="M30" s="1918"/>
      <c r="N30" s="1918"/>
    </row>
    <row r="32" spans="1:231">
      <c r="K32" s="1244" t="s">
        <v>14030</v>
      </c>
      <c r="L32" s="1244" t="s">
        <v>14031</v>
      </c>
      <c r="M32" t="s">
        <v>14032</v>
      </c>
    </row>
    <row r="33" spans="11:13">
      <c r="L33" s="1244" t="s">
        <v>14033</v>
      </c>
      <c r="M33" t="s">
        <v>14034</v>
      </c>
    </row>
    <row r="34" spans="11:13">
      <c r="K34" t="s">
        <v>14035</v>
      </c>
    </row>
    <row r="35" spans="11:13">
      <c r="K35" s="396" t="s">
        <v>14036</v>
      </c>
    </row>
    <row r="36" spans="11:13">
      <c r="K36" s="396" t="s">
        <v>14037</v>
      </c>
    </row>
  </sheetData>
  <mergeCells count="35">
    <mergeCell ref="B6:N6"/>
    <mergeCell ref="A1:N1"/>
    <mergeCell ref="A2:N2"/>
    <mergeCell ref="A3:N3"/>
    <mergeCell ref="A4:N4"/>
    <mergeCell ref="A5:N5"/>
    <mergeCell ref="B7:N7"/>
    <mergeCell ref="B8:N8"/>
    <mergeCell ref="B9:N9"/>
    <mergeCell ref="A10:N10"/>
    <mergeCell ref="A11:A13"/>
    <mergeCell ref="B11:C13"/>
    <mergeCell ref="D11:D12"/>
    <mergeCell ref="E11:E12"/>
    <mergeCell ref="F11:F12"/>
    <mergeCell ref="G11:G12"/>
    <mergeCell ref="B21:C21"/>
    <mergeCell ref="H11:H12"/>
    <mergeCell ref="J11:J13"/>
    <mergeCell ref="K11:L11"/>
    <mergeCell ref="M11:N11"/>
    <mergeCell ref="B14:C14"/>
    <mergeCell ref="B15:C15"/>
    <mergeCell ref="B16:C16"/>
    <mergeCell ref="B17:C17"/>
    <mergeCell ref="B18:C18"/>
    <mergeCell ref="B19:C19"/>
    <mergeCell ref="B20:C20"/>
    <mergeCell ref="K30:N30"/>
    <mergeCell ref="B22:C22"/>
    <mergeCell ref="B23:C23"/>
    <mergeCell ref="B24:C24"/>
    <mergeCell ref="B25:C25"/>
    <mergeCell ref="B26:C26"/>
    <mergeCell ref="A27:C27"/>
  </mergeCells>
  <printOptions horizontalCentered="1"/>
  <pageMargins left="0.7" right="0.7" top="0.75" bottom="0.75" header="0.3" footer="0.3"/>
  <pageSetup paperSize="9" scale="94" firstPageNumber="25" fitToHeight="0" orientation="landscape" useFirstPageNumber="1" r:id="rId1"/>
  <headerFooter scaleWithDoc="0"/>
  <rowBreaks count="1" manualBreakCount="1">
    <brk id="29" max="16383" man="1"/>
  </rowBreaks>
  <drawing r:id="rId2"/>
</worksheet>
</file>

<file path=xl/worksheets/sheet15.xml><?xml version="1.0" encoding="utf-8"?>
<worksheet xmlns="http://schemas.openxmlformats.org/spreadsheetml/2006/main" xmlns:r="http://schemas.openxmlformats.org/officeDocument/2006/relationships">
  <sheetPr codeName="Plan14">
    <tabColor theme="1" tint="0.34998626667073579"/>
    <pageSetUpPr fitToPage="1"/>
  </sheetPr>
  <dimension ref="A1:HQ28"/>
  <sheetViews>
    <sheetView showGridLines="0" view="pageBreakPreview" zoomScaleNormal="115" zoomScaleSheetLayoutView="100" workbookViewId="0">
      <selection activeCell="B9" sqref="B9:F9"/>
    </sheetView>
  </sheetViews>
  <sheetFormatPr defaultColWidth="9.140625" defaultRowHeight="15"/>
  <cols>
    <col min="2" max="2" width="6" customWidth="1"/>
    <col min="3" max="3" width="45.85546875" customWidth="1"/>
    <col min="4" max="8" width="15.7109375" customWidth="1"/>
  </cols>
  <sheetData>
    <row r="1" spans="1:8" s="533" customFormat="1" ht="18">
      <c r="A1" s="1937" t="s">
        <v>2996</v>
      </c>
      <c r="B1" s="1938" t="s">
        <v>2996</v>
      </c>
      <c r="C1" s="1938" t="s">
        <v>2996</v>
      </c>
      <c r="D1" s="1938"/>
      <c r="E1" s="1938"/>
      <c r="F1" s="1938"/>
      <c r="G1" s="1938"/>
      <c r="H1" s="1939"/>
    </row>
    <row r="2" spans="1:8" s="533" customFormat="1" ht="14.25">
      <c r="A2" s="1940" t="s">
        <v>2997</v>
      </c>
      <c r="B2" s="1913" t="s">
        <v>13994</v>
      </c>
      <c r="C2" s="1913" t="s">
        <v>13994</v>
      </c>
      <c r="D2" s="1913"/>
      <c r="E2" s="1913"/>
      <c r="F2" s="1913"/>
      <c r="G2" s="1913"/>
      <c r="H2" s="1941"/>
    </row>
    <row r="3" spans="1:8" s="533" customFormat="1" ht="14.25">
      <c r="A3" s="1942" t="s">
        <v>2998</v>
      </c>
      <c r="B3" s="1916" t="s">
        <v>13995</v>
      </c>
      <c r="C3" s="1916" t="s">
        <v>13995</v>
      </c>
      <c r="D3" s="1916"/>
      <c r="E3" s="1916"/>
      <c r="F3" s="1916"/>
      <c r="G3" s="1916"/>
      <c r="H3" s="1943"/>
    </row>
    <row r="4" spans="1:8" s="533" customFormat="1" ht="14.25">
      <c r="A4" s="1942" t="s">
        <v>3063</v>
      </c>
      <c r="B4" s="1916" t="s">
        <v>3063</v>
      </c>
      <c r="C4" s="1916" t="s">
        <v>3063</v>
      </c>
      <c r="D4" s="1916"/>
      <c r="E4" s="1916"/>
      <c r="F4" s="1916"/>
      <c r="G4" s="1916"/>
      <c r="H4" s="1943"/>
    </row>
    <row r="5" spans="1:8" s="533" customFormat="1" ht="14.25">
      <c r="A5" s="1942" t="s">
        <v>2999</v>
      </c>
      <c r="B5" s="1916" t="s">
        <v>2999</v>
      </c>
      <c r="C5" s="1916" t="s">
        <v>2999</v>
      </c>
      <c r="D5" s="1916"/>
      <c r="E5" s="1916"/>
      <c r="F5" s="1916"/>
      <c r="G5" s="1916"/>
      <c r="H5" s="1943"/>
    </row>
    <row r="6" spans="1:8" s="533" customFormat="1" ht="15" customHeight="1">
      <c r="A6" s="1245" t="s">
        <v>6</v>
      </c>
      <c r="B6" s="1907" t="str">
        <f>'REMOÇÃO DE PAV. ADUTORA'!B6:F6</f>
        <v xml:space="preserve">SISTEMA DE ABASTECIMENTO DE ÁGUA </v>
      </c>
      <c r="C6" s="1907"/>
      <c r="D6" s="1907"/>
      <c r="E6" s="1907"/>
      <c r="F6" s="1907"/>
      <c r="G6" s="1907"/>
      <c r="H6" s="1936"/>
    </row>
    <row r="7" spans="1:8" s="533" customFormat="1" ht="14.25">
      <c r="A7" s="1246" t="s">
        <v>8</v>
      </c>
      <c r="B7" s="1888" t="str">
        <f>'REMOÇÃO DE PAV. ADUTORA'!B7:F7</f>
        <v>SETOR PIONEIRO - MUNICÍPIO DE APIACÁS</v>
      </c>
      <c r="C7" s="1889"/>
      <c r="D7" s="1889"/>
      <c r="E7" s="1889"/>
      <c r="F7" s="1889"/>
      <c r="G7" s="1889"/>
      <c r="H7" s="1929"/>
    </row>
    <row r="8" spans="1:8" s="533" customFormat="1" ht="14.25">
      <c r="A8" s="1246" t="s">
        <v>13672</v>
      </c>
      <c r="B8" s="1889" t="str">
        <f>'REMOÇÃO DE PAV. ADUTORA'!B8:F8</f>
        <v>PREFEITURA MUNICIPAL DE APIACÁS</v>
      </c>
      <c r="C8" s="1889"/>
      <c r="D8" s="1889"/>
      <c r="E8" s="1889"/>
      <c r="F8" s="1889"/>
      <c r="G8" s="1889"/>
      <c r="H8" s="1929"/>
    </row>
    <row r="9" spans="1:8" s="533" customFormat="1" ht="15.75" customHeight="1">
      <c r="A9" s="1247" t="s">
        <v>3064</v>
      </c>
      <c r="B9" s="1891">
        <f ca="1">'REMOÇÃO DE PAV. ADUTORA'!B9:F9</f>
        <v>45167</v>
      </c>
      <c r="C9" s="1892"/>
      <c r="D9" s="1892"/>
      <c r="E9" s="1892"/>
      <c r="F9" s="1892"/>
      <c r="G9" s="1892"/>
      <c r="H9" s="1944"/>
    </row>
    <row r="10" spans="1:8" s="533" customFormat="1" ht="22.5" customHeight="1">
      <c r="A10" s="1932" t="s">
        <v>14040</v>
      </c>
      <c r="B10" s="1895"/>
      <c r="C10" s="1895"/>
      <c r="D10" s="1895"/>
      <c r="E10" s="1895"/>
      <c r="F10" s="1895"/>
      <c r="G10" s="1895"/>
      <c r="H10" s="1933"/>
    </row>
    <row r="11" spans="1:8" s="535" customFormat="1" ht="12.75" customHeight="1">
      <c r="A11" s="1934" t="s">
        <v>11</v>
      </c>
      <c r="B11" s="1899" t="s">
        <v>13997</v>
      </c>
      <c r="C11" s="1900"/>
      <c r="D11" s="1903" t="s">
        <v>13998</v>
      </c>
      <c r="E11" s="1903" t="s">
        <v>13999</v>
      </c>
      <c r="F11" s="1923" t="s">
        <v>14000</v>
      </c>
      <c r="G11" s="1923" t="s">
        <v>14041</v>
      </c>
      <c r="H11" s="1923" t="s">
        <v>14042</v>
      </c>
    </row>
    <row r="12" spans="1:8" s="535" customFormat="1" ht="12.75">
      <c r="A12" s="1934"/>
      <c r="B12" s="1899"/>
      <c r="C12" s="1900"/>
      <c r="D12" s="1904"/>
      <c r="E12" s="1904"/>
      <c r="F12" s="1925"/>
      <c r="G12" s="1925"/>
      <c r="H12" s="1925"/>
    </row>
    <row r="13" spans="1:8" s="535" customFormat="1" ht="22.5" customHeight="1">
      <c r="A13" s="1935"/>
      <c r="B13" s="1901"/>
      <c r="C13" s="1902"/>
      <c r="D13" s="1233" t="s">
        <v>3379</v>
      </c>
      <c r="E13" s="1233" t="s">
        <v>3379</v>
      </c>
      <c r="F13" s="1233" t="s">
        <v>3378</v>
      </c>
      <c r="G13" s="1233" t="s">
        <v>14043</v>
      </c>
      <c r="H13" s="1233" t="s">
        <v>14044</v>
      </c>
    </row>
    <row r="14" spans="1:8" s="535" customFormat="1" ht="20.100000000000001" customHeight="1">
      <c r="A14" s="1267">
        <v>1</v>
      </c>
      <c r="B14" s="1884" t="str">
        <f>VLOOKUP(A14,'BASE ADUTORA'!A:N,2,FALSE)</f>
        <v>T1</v>
      </c>
      <c r="C14" s="1885"/>
      <c r="D14" s="1236">
        <f>VLOOKUP(A14,'BASE ADUTORA'!A:N,4,FALSE)</f>
        <v>56</v>
      </c>
      <c r="E14" s="1237">
        <f>VLOOKUP(A14,'BASE ADUTORA'!A:N,5,FALSE)</f>
        <v>0.6</v>
      </c>
      <c r="F14" s="1268">
        <f>TRUNC(E14*D14,2)</f>
        <v>33.6</v>
      </c>
      <c r="G14" s="1269">
        <v>1.1999999999999999E-3</v>
      </c>
      <c r="H14" s="1270">
        <f t="shared" ref="H14:H26" si="0">TRUNC(F14*G14,3)</f>
        <v>0.04</v>
      </c>
    </row>
    <row r="15" spans="1:8" s="535" customFormat="1" ht="20.100000000000001" customHeight="1">
      <c r="A15" s="1267">
        <f>A14+1</f>
        <v>2</v>
      </c>
      <c r="B15" s="1884" t="str">
        <f>VLOOKUP(A15,'BASE ADUTORA'!A:N,2,FALSE)</f>
        <v>T2</v>
      </c>
      <c r="C15" s="1885"/>
      <c r="D15" s="1236">
        <f>VLOOKUP(A15,'BASE ADUTORA'!A:N,4,FALSE)</f>
        <v>90</v>
      </c>
      <c r="E15" s="1237">
        <f>VLOOKUP(A15,'BASE ADUTORA'!A:N,5,FALSE)</f>
        <v>0.6</v>
      </c>
      <c r="F15" s="1268">
        <f t="shared" ref="F15:F26" si="1">TRUNC(E15*D15,2)</f>
        <v>54</v>
      </c>
      <c r="G15" s="1269">
        <v>1.1999999999999999E-3</v>
      </c>
      <c r="H15" s="1270">
        <f t="shared" si="0"/>
        <v>6.4000000000000001E-2</v>
      </c>
    </row>
    <row r="16" spans="1:8" s="535" customFormat="1" ht="20.100000000000001" customHeight="1">
      <c r="A16" s="1267">
        <f t="shared" ref="A16:A26" si="2">A15+1</f>
        <v>3</v>
      </c>
      <c r="B16" s="1884" t="str">
        <f>VLOOKUP(A16,'BASE ADUTORA'!A:N,2,FALSE)</f>
        <v>T3</v>
      </c>
      <c r="C16" s="1885"/>
      <c r="D16" s="1236">
        <f>VLOOKUP(A16,'BASE ADUTORA'!A:N,4,FALSE)</f>
        <v>329</v>
      </c>
      <c r="E16" s="1237">
        <f>VLOOKUP(A16,'BASE ADUTORA'!A:N,5,FALSE)</f>
        <v>0.6</v>
      </c>
      <c r="F16" s="1268">
        <f t="shared" si="1"/>
        <v>197.4</v>
      </c>
      <c r="G16" s="1269">
        <v>1.1999999999999999E-3</v>
      </c>
      <c r="H16" s="1270">
        <f t="shared" si="0"/>
        <v>0.23599999999999999</v>
      </c>
    </row>
    <row r="17" spans="1:225" s="535" customFormat="1" ht="20.100000000000001" customHeight="1">
      <c r="A17" s="1267">
        <f t="shared" si="2"/>
        <v>4</v>
      </c>
      <c r="B17" s="1884" t="str">
        <f>VLOOKUP(A17,'BASE ADUTORA'!A:N,2,FALSE)</f>
        <v>T4</v>
      </c>
      <c r="C17" s="1885"/>
      <c r="D17" s="1236">
        <f>VLOOKUP(A17,'BASE ADUTORA'!A:N,4,FALSE)</f>
        <v>325</v>
      </c>
      <c r="E17" s="1237">
        <f>VLOOKUP(A17,'BASE ADUTORA'!A:N,5,FALSE)</f>
        <v>0.6</v>
      </c>
      <c r="F17" s="1268">
        <f t="shared" si="1"/>
        <v>195</v>
      </c>
      <c r="G17" s="1269">
        <v>1.1999999999999999E-3</v>
      </c>
      <c r="H17" s="1270">
        <f t="shared" si="0"/>
        <v>0.23400000000000001</v>
      </c>
    </row>
    <row r="18" spans="1:225" s="535" customFormat="1" ht="20.100000000000001" customHeight="1">
      <c r="A18" s="1267">
        <f t="shared" si="2"/>
        <v>5</v>
      </c>
      <c r="B18" s="1884" t="str">
        <f>VLOOKUP(A18,'BASE ADUTORA'!A:N,2,FALSE)</f>
        <v>T5</v>
      </c>
      <c r="C18" s="1885"/>
      <c r="D18" s="1236">
        <f>VLOOKUP(A18,'BASE ADUTORA'!A:N,4,FALSE)</f>
        <v>470</v>
      </c>
      <c r="E18" s="1237">
        <f>VLOOKUP(A18,'BASE ADUTORA'!A:N,5,FALSE)</f>
        <v>0.6</v>
      </c>
      <c r="F18" s="1268">
        <f t="shared" si="1"/>
        <v>282</v>
      </c>
      <c r="G18" s="1269">
        <v>1.1999999999999999E-3</v>
      </c>
      <c r="H18" s="1270">
        <f t="shared" si="0"/>
        <v>0.33800000000000002</v>
      </c>
    </row>
    <row r="19" spans="1:225" s="535" customFormat="1" ht="20.100000000000001" customHeight="1">
      <c r="A19" s="1267">
        <f t="shared" si="2"/>
        <v>6</v>
      </c>
      <c r="B19" s="1884" t="str">
        <f>VLOOKUP(A19,'BASE ADUTORA'!A:N,2,FALSE)</f>
        <v>T6</v>
      </c>
      <c r="C19" s="1885"/>
      <c r="D19" s="1236">
        <f>VLOOKUP(A19,'BASE ADUTORA'!A:N,4,FALSE)</f>
        <v>315</v>
      </c>
      <c r="E19" s="1237">
        <f>VLOOKUP(A19,'BASE ADUTORA'!A:N,5,FALSE)</f>
        <v>0.6</v>
      </c>
      <c r="F19" s="1268">
        <f t="shared" si="1"/>
        <v>189</v>
      </c>
      <c r="G19" s="1269">
        <v>1.1999999999999999E-3</v>
      </c>
      <c r="H19" s="1270">
        <f t="shared" si="0"/>
        <v>0.22600000000000001</v>
      </c>
    </row>
    <row r="20" spans="1:225" s="535" customFormat="1" ht="20.100000000000001" customHeight="1">
      <c r="A20" s="1267">
        <f t="shared" si="2"/>
        <v>7</v>
      </c>
      <c r="B20" s="1884" t="str">
        <f>VLOOKUP(A20,'BASE ADUTORA'!A:N,2,FALSE)</f>
        <v>T7</v>
      </c>
      <c r="C20" s="1885"/>
      <c r="D20" s="1236">
        <f>VLOOKUP(A20,'BASE ADUTORA'!A:N,4,FALSE)</f>
        <v>67</v>
      </c>
      <c r="E20" s="1237">
        <f>VLOOKUP(A20,'BASE ADUTORA'!A:N,5,FALSE)</f>
        <v>0.6</v>
      </c>
      <c r="F20" s="1268">
        <f t="shared" si="1"/>
        <v>40.200000000000003</v>
      </c>
      <c r="G20" s="1269">
        <v>1.1999999999999999E-3</v>
      </c>
      <c r="H20" s="1270">
        <f t="shared" si="0"/>
        <v>4.8000000000000001E-2</v>
      </c>
    </row>
    <row r="21" spans="1:225" s="535" customFormat="1" ht="20.100000000000001" customHeight="1">
      <c r="A21" s="1267">
        <f t="shared" si="2"/>
        <v>8</v>
      </c>
      <c r="B21" s="1884" t="str">
        <f>VLOOKUP(A21,'BASE ADUTORA'!A:N,2,FALSE)</f>
        <v>T8</v>
      </c>
      <c r="C21" s="1885"/>
      <c r="D21" s="1236">
        <f>VLOOKUP(A21,'BASE ADUTORA'!A:N,4,FALSE)</f>
        <v>223</v>
      </c>
      <c r="E21" s="1237">
        <f>VLOOKUP(A21,'BASE ADUTORA'!A:N,5,FALSE)</f>
        <v>0.6</v>
      </c>
      <c r="F21" s="1268">
        <f t="shared" si="1"/>
        <v>133.80000000000001</v>
      </c>
      <c r="G21" s="1269">
        <v>1.1999999999999999E-3</v>
      </c>
      <c r="H21" s="1270">
        <f t="shared" si="0"/>
        <v>0.16</v>
      </c>
    </row>
    <row r="22" spans="1:225" s="535" customFormat="1" ht="20.100000000000001" customHeight="1">
      <c r="A22" s="1267">
        <f t="shared" si="2"/>
        <v>9</v>
      </c>
      <c r="B22" s="1884" t="str">
        <f>VLOOKUP(A22,'BASE ADUTORA'!A:N,2,FALSE)</f>
        <v>T9</v>
      </c>
      <c r="C22" s="1885"/>
      <c r="D22" s="1236">
        <f>VLOOKUP(A22,'BASE ADUTORA'!A:N,4,FALSE)</f>
        <v>240</v>
      </c>
      <c r="E22" s="1237">
        <f>VLOOKUP(A22,'BASE ADUTORA'!A:N,5,FALSE)</f>
        <v>0.6</v>
      </c>
      <c r="F22" s="1268">
        <f t="shared" si="1"/>
        <v>144</v>
      </c>
      <c r="G22" s="1269">
        <v>1.1999999999999999E-3</v>
      </c>
      <c r="H22" s="1270">
        <f t="shared" si="0"/>
        <v>0.17199999999999999</v>
      </c>
    </row>
    <row r="23" spans="1:225" s="535" customFormat="1" ht="20.100000000000001" customHeight="1">
      <c r="A23" s="1267">
        <f t="shared" si="2"/>
        <v>10</v>
      </c>
      <c r="B23" s="1884" t="str">
        <f>VLOOKUP(A23,'BASE ADUTORA'!A:N,2,FALSE)</f>
        <v>T10</v>
      </c>
      <c r="C23" s="1885"/>
      <c r="D23" s="1236">
        <f>VLOOKUP(A23,'BASE ADUTORA'!A:N,4,FALSE)</f>
        <v>240</v>
      </c>
      <c r="E23" s="1237">
        <f>VLOOKUP(A23,'BASE ADUTORA'!A:N,5,FALSE)</f>
        <v>0.6</v>
      </c>
      <c r="F23" s="1268">
        <f t="shared" si="1"/>
        <v>144</v>
      </c>
      <c r="G23" s="1269">
        <v>1.1999999999999999E-3</v>
      </c>
      <c r="H23" s="1270">
        <f t="shared" si="0"/>
        <v>0.17199999999999999</v>
      </c>
    </row>
    <row r="24" spans="1:225" s="535" customFormat="1" ht="20.100000000000001" customHeight="1">
      <c r="A24" s="1267">
        <f t="shared" si="2"/>
        <v>11</v>
      </c>
      <c r="B24" s="1884" t="str">
        <f>VLOOKUP(A24,'BASE ADUTORA'!A:N,2,FALSE)</f>
        <v>T11</v>
      </c>
      <c r="C24" s="1885"/>
      <c r="D24" s="1236">
        <f>VLOOKUP(A24,'BASE ADUTORA'!A:N,4,FALSE)</f>
        <v>715</v>
      </c>
      <c r="E24" s="1237">
        <f>VLOOKUP(A24,'BASE ADUTORA'!A:N,5,FALSE)</f>
        <v>0.6</v>
      </c>
      <c r="F24" s="1268">
        <f t="shared" si="1"/>
        <v>429</v>
      </c>
      <c r="G24" s="1269">
        <v>1.1999999999999999E-3</v>
      </c>
      <c r="H24" s="1270">
        <f t="shared" si="0"/>
        <v>0.51400000000000001</v>
      </c>
    </row>
    <row r="25" spans="1:225" s="535" customFormat="1" ht="20.100000000000001" customHeight="1">
      <c r="A25" s="1267">
        <f t="shared" si="2"/>
        <v>12</v>
      </c>
      <c r="B25" s="1884" t="str">
        <f>VLOOKUP(A25,'BASE ADUTORA'!A:N,2,FALSE)</f>
        <v>T12</v>
      </c>
      <c r="C25" s="1885"/>
      <c r="D25" s="1236">
        <f>VLOOKUP(A25,'BASE ADUTORA'!A:N,4,FALSE)</f>
        <v>510</v>
      </c>
      <c r="E25" s="1237">
        <f>VLOOKUP(A25,'BASE ADUTORA'!A:N,5,FALSE)</f>
        <v>0.6</v>
      </c>
      <c r="F25" s="1268">
        <f t="shared" si="1"/>
        <v>306</v>
      </c>
      <c r="G25" s="1269">
        <v>1.1999999999999999E-3</v>
      </c>
      <c r="H25" s="1270">
        <f t="shared" si="0"/>
        <v>0.36699999999999999</v>
      </c>
    </row>
    <row r="26" spans="1:225" s="535" customFormat="1" ht="20.100000000000001" customHeight="1">
      <c r="A26" s="1267">
        <f t="shared" si="2"/>
        <v>13</v>
      </c>
      <c r="B26" s="1884" t="str">
        <f>VLOOKUP(A26,'BASE ADUTORA'!A:N,2,FALSE)</f>
        <v>T13</v>
      </c>
      <c r="C26" s="1885"/>
      <c r="D26" s="1236">
        <f>VLOOKUP(A26,'BASE ADUTORA'!A:N,4,FALSE)</f>
        <v>75</v>
      </c>
      <c r="E26" s="1237">
        <f>VLOOKUP(A26,'BASE ADUTORA'!A:N,5,FALSE)</f>
        <v>0.6</v>
      </c>
      <c r="F26" s="1268">
        <f t="shared" si="1"/>
        <v>45</v>
      </c>
      <c r="G26" s="1269">
        <v>1.1999999999999999E-3</v>
      </c>
      <c r="H26" s="1270">
        <f t="shared" si="0"/>
        <v>5.3999999999999999E-2</v>
      </c>
    </row>
    <row r="27" spans="1:225" s="220" customFormat="1" ht="20.100000000000001" customHeight="1">
      <c r="A27" s="1921" t="s">
        <v>14005</v>
      </c>
      <c r="B27" s="1922"/>
      <c r="C27" s="1922"/>
      <c r="D27" s="1262">
        <f>SUM(D14:D26)</f>
        <v>3655</v>
      </c>
      <c r="E27" s="1263"/>
      <c r="F27" s="1262">
        <f>SUM(F14:F26)</f>
        <v>2193</v>
      </c>
      <c r="G27" s="1262"/>
      <c r="H27" s="1262">
        <f>TRUNC(SUM(H14:H26),2)</f>
        <v>2.62</v>
      </c>
      <c r="I27" s="433"/>
      <c r="J27" s="433"/>
      <c r="K27" s="1242"/>
      <c r="L27" s="1243"/>
      <c r="M27" s="433"/>
      <c r="N27" s="433"/>
      <c r="O27" s="433"/>
      <c r="P27" s="433"/>
      <c r="Q27" s="1242"/>
      <c r="R27" s="1243"/>
      <c r="S27" s="433"/>
      <c r="T27" s="433"/>
      <c r="U27" s="433"/>
      <c r="V27" s="433"/>
      <c r="W27" s="1242"/>
      <c r="X27" s="1243"/>
      <c r="Y27" s="433"/>
      <c r="Z27" s="433"/>
      <c r="AA27" s="433"/>
      <c r="AB27" s="433"/>
      <c r="AC27" s="1242"/>
      <c r="AD27" s="1243"/>
      <c r="AE27" s="433"/>
      <c r="AF27" s="433"/>
      <c r="AG27" s="433"/>
      <c r="AH27" s="433"/>
      <c r="AI27" s="1242"/>
      <c r="AJ27" s="1243"/>
      <c r="AK27" s="433"/>
      <c r="AL27" s="433"/>
      <c r="AM27" s="433"/>
      <c r="AN27" s="433"/>
      <c r="AO27" s="1242"/>
      <c r="AP27" s="1243"/>
      <c r="AQ27" s="433"/>
      <c r="AR27" s="433"/>
      <c r="AS27" s="433"/>
      <c r="AT27" s="433"/>
      <c r="AU27" s="1242"/>
      <c r="AV27" s="1243"/>
      <c r="AW27" s="433"/>
      <c r="AX27" s="433"/>
      <c r="AY27" s="433"/>
      <c r="AZ27" s="433"/>
      <c r="BA27" s="1242"/>
      <c r="BB27" s="1243"/>
      <c r="BC27" s="433"/>
      <c r="BD27" s="433"/>
      <c r="BE27" s="433"/>
      <c r="BF27" s="433"/>
      <c r="BG27" s="1242"/>
      <c r="BH27" s="1243"/>
      <c r="BI27" s="433"/>
      <c r="BJ27" s="433"/>
      <c r="BK27" s="433"/>
      <c r="BL27" s="433"/>
      <c r="BM27" s="1242"/>
      <c r="BN27" s="1243"/>
      <c r="BO27" s="433"/>
      <c r="BP27" s="433"/>
      <c r="BQ27" s="433"/>
      <c r="BR27" s="433"/>
      <c r="BS27" s="1242"/>
      <c r="BT27" s="1243"/>
      <c r="BU27" s="433"/>
      <c r="BV27" s="433"/>
      <c r="BW27" s="433"/>
      <c r="BX27" s="433"/>
      <c r="BY27" s="1242"/>
      <c r="BZ27" s="1243"/>
      <c r="CA27" s="433"/>
      <c r="CB27" s="433"/>
      <c r="CC27" s="433"/>
      <c r="CD27" s="433"/>
      <c r="CE27" s="1242"/>
      <c r="CF27" s="1243"/>
      <c r="CG27" s="433"/>
      <c r="CH27" s="433"/>
      <c r="CI27" s="433"/>
      <c r="CJ27" s="433"/>
      <c r="CK27" s="1242"/>
      <c r="CL27" s="1243"/>
      <c r="CM27" s="433"/>
      <c r="CN27" s="433"/>
      <c r="CO27" s="433"/>
      <c r="CP27" s="433"/>
      <c r="CQ27" s="1242"/>
      <c r="CR27" s="1243"/>
      <c r="CS27" s="433"/>
      <c r="CT27" s="433"/>
      <c r="CU27" s="433"/>
      <c r="CV27" s="433"/>
      <c r="CW27" s="1242"/>
      <c r="CX27" s="1243"/>
      <c r="CY27" s="433"/>
      <c r="CZ27" s="433"/>
      <c r="DA27" s="433"/>
      <c r="DB27" s="433"/>
      <c r="DC27" s="1242"/>
      <c r="DD27" s="1243"/>
      <c r="DE27" s="433"/>
      <c r="DF27" s="433"/>
      <c r="DG27" s="433"/>
      <c r="DH27" s="433"/>
      <c r="DI27" s="1242"/>
      <c r="DJ27" s="1243"/>
      <c r="DK27" s="433"/>
      <c r="DL27" s="433"/>
      <c r="DM27" s="433"/>
      <c r="DN27" s="433"/>
      <c r="DO27" s="1242"/>
      <c r="DP27" s="1243"/>
      <c r="DQ27" s="433"/>
      <c r="DR27" s="433"/>
      <c r="DS27" s="433"/>
      <c r="DT27" s="433"/>
      <c r="DU27" s="1242"/>
      <c r="DV27" s="1243"/>
      <c r="DW27" s="433"/>
      <c r="DX27" s="433"/>
      <c r="DY27" s="433"/>
      <c r="DZ27" s="433"/>
      <c r="EA27" s="1242"/>
      <c r="EB27" s="1243"/>
      <c r="EC27" s="433"/>
      <c r="ED27" s="433"/>
      <c r="EE27" s="433"/>
      <c r="EF27" s="433"/>
      <c r="EG27" s="1242"/>
      <c r="EH27" s="1243"/>
      <c r="EI27" s="433"/>
      <c r="EJ27" s="433"/>
      <c r="EK27" s="433"/>
      <c r="EL27" s="433"/>
      <c r="EM27" s="1242"/>
      <c r="EN27" s="1243"/>
      <c r="EO27" s="433"/>
      <c r="EP27" s="433"/>
      <c r="EQ27" s="433"/>
      <c r="ER27" s="433"/>
      <c r="ES27" s="1242"/>
      <c r="ET27" s="1243"/>
      <c r="EU27" s="433"/>
      <c r="EV27" s="433"/>
      <c r="EW27" s="433"/>
      <c r="EX27" s="433"/>
      <c r="EY27" s="1242"/>
      <c r="EZ27" s="1243"/>
      <c r="FA27" s="433"/>
      <c r="FB27" s="433"/>
      <c r="FC27" s="433"/>
      <c r="FD27" s="433"/>
      <c r="FE27" s="1242"/>
      <c r="FF27" s="1243"/>
      <c r="FG27" s="433"/>
      <c r="FH27" s="433"/>
      <c r="FI27" s="433"/>
      <c r="FJ27" s="433"/>
      <c r="FK27" s="1242"/>
      <c r="FL27" s="1243"/>
      <c r="FM27" s="433"/>
      <c r="FN27" s="433"/>
      <c r="FO27" s="433"/>
      <c r="FP27" s="433"/>
      <c r="FQ27" s="1242"/>
      <c r="FR27" s="1243"/>
      <c r="FS27" s="433"/>
      <c r="FT27" s="433"/>
      <c r="FU27" s="433"/>
      <c r="FV27" s="433"/>
      <c r="FW27" s="1242"/>
      <c r="FX27" s="1243"/>
      <c r="FY27" s="433"/>
      <c r="FZ27" s="433"/>
      <c r="GA27" s="433"/>
      <c r="GB27" s="433"/>
      <c r="GC27" s="1242"/>
      <c r="GD27" s="1243"/>
      <c r="GE27" s="433"/>
      <c r="GF27" s="433"/>
      <c r="GG27" s="433"/>
      <c r="GH27" s="433"/>
      <c r="GI27" s="1242"/>
      <c r="GJ27" s="1243"/>
      <c r="GK27" s="433"/>
      <c r="GL27" s="433"/>
      <c r="GM27" s="433"/>
      <c r="GN27" s="433"/>
      <c r="GO27" s="1242"/>
      <c r="GP27" s="1243"/>
      <c r="GQ27" s="433"/>
      <c r="GR27" s="433"/>
      <c r="GS27" s="433"/>
      <c r="GT27" s="433"/>
      <c r="GU27" s="1242"/>
      <c r="GV27" s="1243"/>
      <c r="GW27" s="433"/>
      <c r="GX27" s="433"/>
      <c r="GY27" s="433"/>
      <c r="GZ27" s="433"/>
      <c r="HA27" s="1242"/>
      <c r="HB27" s="1243"/>
      <c r="HC27" s="433"/>
      <c r="HD27" s="433"/>
      <c r="HE27" s="433"/>
      <c r="HF27" s="433"/>
      <c r="HG27" s="1242"/>
      <c r="HH27" s="1243"/>
      <c r="HI27" s="433"/>
      <c r="HJ27" s="433"/>
      <c r="HK27" s="433"/>
      <c r="HL27" s="433"/>
      <c r="HM27" s="1242"/>
      <c r="HN27" s="1243"/>
      <c r="HO27" s="433"/>
      <c r="HP27" s="433"/>
      <c r="HQ27" s="433"/>
    </row>
    <row r="28" spans="1:225">
      <c r="E28" s="1244"/>
    </row>
  </sheetData>
  <mergeCells count="31">
    <mergeCell ref="B6:H6"/>
    <mergeCell ref="A1:H1"/>
    <mergeCell ref="A2:H2"/>
    <mergeCell ref="A3:H3"/>
    <mergeCell ref="A4:H4"/>
    <mergeCell ref="A5:H5"/>
    <mergeCell ref="B18:C18"/>
    <mergeCell ref="B7:H7"/>
    <mergeCell ref="B8:H8"/>
    <mergeCell ref="B9:H9"/>
    <mergeCell ref="A10:H10"/>
    <mergeCell ref="A11:A13"/>
    <mergeCell ref="B11:C13"/>
    <mergeCell ref="D11:D12"/>
    <mergeCell ref="E11:E12"/>
    <mergeCell ref="F11:F12"/>
    <mergeCell ref="G11:G12"/>
    <mergeCell ref="H11:H12"/>
    <mergeCell ref="B14:C14"/>
    <mergeCell ref="B15:C15"/>
    <mergeCell ref="B16:C16"/>
    <mergeCell ref="B17:C17"/>
    <mergeCell ref="B25:C25"/>
    <mergeCell ref="B26:C26"/>
    <mergeCell ref="A27:C27"/>
    <mergeCell ref="B19:C19"/>
    <mergeCell ref="B20:C20"/>
    <mergeCell ref="B21:C21"/>
    <mergeCell ref="B22:C22"/>
    <mergeCell ref="B23:C23"/>
    <mergeCell ref="B24:C24"/>
  </mergeCells>
  <printOptions horizontalCentered="1"/>
  <pageMargins left="0.15748031496062992" right="0.19685039370078741" top="0.78740157480314965" bottom="0.78740157480314965" header="0.15748031496062992" footer="0.31496062992125984"/>
  <pageSetup paperSize="9" firstPageNumber="25" fitToHeight="0" orientation="landscape" useFirstPageNumber="1" r:id="rId1"/>
  <headerFooter scaleWithDoc="0"/>
  <drawing r:id="rId2"/>
</worksheet>
</file>

<file path=xl/worksheets/sheet16.xml><?xml version="1.0" encoding="utf-8"?>
<worksheet xmlns="http://schemas.openxmlformats.org/spreadsheetml/2006/main" xmlns:r="http://schemas.openxmlformats.org/officeDocument/2006/relationships">
  <sheetPr codeName="Plan15">
    <tabColor theme="1" tint="0.34998626667073579"/>
    <pageSetUpPr fitToPage="1"/>
  </sheetPr>
  <dimension ref="A1:HQ28"/>
  <sheetViews>
    <sheetView showGridLines="0" view="pageBreakPreview" zoomScaleNormal="115" zoomScaleSheetLayoutView="100" workbookViewId="0">
      <selection activeCell="B9" sqref="B9:F9"/>
    </sheetView>
  </sheetViews>
  <sheetFormatPr defaultColWidth="9.140625" defaultRowHeight="15"/>
  <cols>
    <col min="2" max="2" width="6" customWidth="1"/>
    <col min="3" max="3" width="45.5703125" customWidth="1"/>
    <col min="4" max="7" width="15.7109375" customWidth="1"/>
    <col min="8" max="8" width="18.42578125" customWidth="1"/>
  </cols>
  <sheetData>
    <row r="1" spans="1:8" s="533" customFormat="1" ht="18">
      <c r="A1" s="1937" t="s">
        <v>2996</v>
      </c>
      <c r="B1" s="1938" t="s">
        <v>2996</v>
      </c>
      <c r="C1" s="1938" t="s">
        <v>2996</v>
      </c>
      <c r="D1" s="1938"/>
      <c r="E1" s="1938"/>
      <c r="F1" s="1938"/>
      <c r="G1" s="1938"/>
      <c r="H1" s="1938"/>
    </row>
    <row r="2" spans="1:8" s="533" customFormat="1" ht="14.25">
      <c r="A2" s="1940" t="s">
        <v>2997</v>
      </c>
      <c r="B2" s="1913" t="s">
        <v>13994</v>
      </c>
      <c r="C2" s="1913" t="s">
        <v>13994</v>
      </c>
      <c r="D2" s="1913"/>
      <c r="E2" s="1913"/>
      <c r="F2" s="1913"/>
      <c r="G2" s="1913"/>
      <c r="H2" s="1913"/>
    </row>
    <row r="3" spans="1:8" s="533" customFormat="1" ht="14.25">
      <c r="A3" s="1942" t="s">
        <v>2998</v>
      </c>
      <c r="B3" s="1916" t="s">
        <v>13995</v>
      </c>
      <c r="C3" s="1916" t="s">
        <v>13995</v>
      </c>
      <c r="D3" s="1916"/>
      <c r="E3" s="1916"/>
      <c r="F3" s="1916"/>
      <c r="G3" s="1916"/>
      <c r="H3" s="1916"/>
    </row>
    <row r="4" spans="1:8" s="533" customFormat="1" ht="14.25">
      <c r="A4" s="1942" t="s">
        <v>3063</v>
      </c>
      <c r="B4" s="1916" t="s">
        <v>3063</v>
      </c>
      <c r="C4" s="1916" t="s">
        <v>3063</v>
      </c>
      <c r="D4" s="1916"/>
      <c r="E4" s="1916"/>
      <c r="F4" s="1916"/>
      <c r="G4" s="1916"/>
      <c r="H4" s="1916"/>
    </row>
    <row r="5" spans="1:8" s="533" customFormat="1" ht="14.25">
      <c r="A5" s="1942" t="s">
        <v>2999</v>
      </c>
      <c r="B5" s="1916" t="s">
        <v>2999</v>
      </c>
      <c r="C5" s="1916" t="s">
        <v>2999</v>
      </c>
      <c r="D5" s="1916"/>
      <c r="E5" s="1916"/>
      <c r="F5" s="1916"/>
      <c r="G5" s="1916"/>
      <c r="H5" s="1916"/>
    </row>
    <row r="6" spans="1:8" s="533" customFormat="1" ht="15" customHeight="1">
      <c r="A6" s="1245" t="s">
        <v>6</v>
      </c>
      <c r="B6" s="1907" t="str">
        <f>'REMOÇÃO DE PAV. ADUTORA'!B6:F6</f>
        <v xml:space="preserve">SISTEMA DE ABASTECIMENTO DE ÁGUA </v>
      </c>
      <c r="C6" s="1907"/>
      <c r="D6" s="1907"/>
      <c r="E6" s="1907"/>
      <c r="F6" s="1907"/>
      <c r="G6" s="1907"/>
      <c r="H6" s="1907"/>
    </row>
    <row r="7" spans="1:8" s="533" customFormat="1" ht="14.25">
      <c r="A7" s="1246" t="s">
        <v>8</v>
      </c>
      <c r="B7" s="1888" t="str">
        <f>'REMOÇÃO DE PAV. ADUTORA'!B7:F7</f>
        <v>SETOR PIONEIRO - MUNICÍPIO DE APIACÁS</v>
      </c>
      <c r="C7" s="1889"/>
      <c r="D7" s="1889"/>
      <c r="E7" s="1889"/>
      <c r="F7" s="1889"/>
      <c r="G7" s="1889"/>
      <c r="H7" s="1889"/>
    </row>
    <row r="8" spans="1:8" s="533" customFormat="1" ht="14.25">
      <c r="A8" s="1246" t="s">
        <v>13672</v>
      </c>
      <c r="B8" s="1889" t="str">
        <f>'REMOÇÃO DE PAV. ADUTORA'!B8:F8</f>
        <v>PREFEITURA MUNICIPAL DE APIACÁS</v>
      </c>
      <c r="C8" s="1889"/>
      <c r="D8" s="1889"/>
      <c r="E8" s="1889"/>
      <c r="F8" s="1889"/>
      <c r="G8" s="1889"/>
      <c r="H8" s="1889"/>
    </row>
    <row r="9" spans="1:8" s="533" customFormat="1" ht="15.75" customHeight="1">
      <c r="A9" s="1247" t="s">
        <v>3064</v>
      </c>
      <c r="B9" s="1891">
        <f ca="1">'REMOÇÃO DE PAV. ADUTORA'!B9:F9</f>
        <v>45167</v>
      </c>
      <c r="C9" s="1892"/>
      <c r="D9" s="1892"/>
      <c r="E9" s="1892"/>
      <c r="F9" s="1892"/>
      <c r="G9" s="1892"/>
      <c r="H9" s="1892"/>
    </row>
    <row r="10" spans="1:8" s="533" customFormat="1" ht="22.5" customHeight="1">
      <c r="A10" s="1932" t="s">
        <v>14045</v>
      </c>
      <c r="B10" s="1895"/>
      <c r="C10" s="1895"/>
      <c r="D10" s="1895"/>
      <c r="E10" s="1895"/>
      <c r="F10" s="1895"/>
      <c r="G10" s="1895"/>
      <c r="H10" s="1895"/>
    </row>
    <row r="11" spans="1:8" s="535" customFormat="1" ht="12.75" customHeight="1">
      <c r="A11" s="1934" t="s">
        <v>11</v>
      </c>
      <c r="B11" s="1899" t="s">
        <v>13997</v>
      </c>
      <c r="C11" s="1900"/>
      <c r="D11" s="1903" t="s">
        <v>13998</v>
      </c>
      <c r="E11" s="1903" t="s">
        <v>13999</v>
      </c>
      <c r="F11" s="1923" t="s">
        <v>14000</v>
      </c>
      <c r="G11" s="1923" t="s">
        <v>14041</v>
      </c>
      <c r="H11" s="1923" t="s">
        <v>14046</v>
      </c>
    </row>
    <row r="12" spans="1:8" s="535" customFormat="1" ht="12.75">
      <c r="A12" s="1934"/>
      <c r="B12" s="1899"/>
      <c r="C12" s="1900"/>
      <c r="D12" s="1904"/>
      <c r="E12" s="1904"/>
      <c r="F12" s="1925"/>
      <c r="G12" s="1925"/>
      <c r="H12" s="1925"/>
    </row>
    <row r="13" spans="1:8" s="535" customFormat="1" ht="22.5" customHeight="1">
      <c r="A13" s="1935"/>
      <c r="B13" s="1901"/>
      <c r="C13" s="1902"/>
      <c r="D13" s="1233" t="s">
        <v>3379</v>
      </c>
      <c r="E13" s="1233" t="s">
        <v>3379</v>
      </c>
      <c r="F13" s="1233" t="s">
        <v>3378</v>
      </c>
      <c r="G13" s="1233" t="s">
        <v>14043</v>
      </c>
      <c r="H13" s="1233" t="s">
        <v>14044</v>
      </c>
    </row>
    <row r="14" spans="1:8" s="535" customFormat="1" ht="20.100000000000001" customHeight="1">
      <c r="A14" s="1267">
        <v>1</v>
      </c>
      <c r="B14" s="1884" t="str">
        <f>VLOOKUP(A14,'BASE ADUTORA'!A:N,2,FALSE)</f>
        <v>T1</v>
      </c>
      <c r="C14" s="1885"/>
      <c r="D14" s="1236">
        <f>VLOOKUP(A14,'BASE ADUTORA'!A:N,4,FALSE)</f>
        <v>56</v>
      </c>
      <c r="E14" s="1237">
        <f>VLOOKUP(A14,'BASE ADUTORA'!A:N,5,FALSE)</f>
        <v>0.6</v>
      </c>
      <c r="F14" s="1268">
        <f t="shared" ref="F14:F26" si="0">TRUNC(E14*D14,2)</f>
        <v>33.6</v>
      </c>
      <c r="G14" s="1269">
        <v>4.2000000000000006E-3</v>
      </c>
      <c r="H14" s="1270">
        <f>TRUNC(F14*G14,3)</f>
        <v>0.14099999999999999</v>
      </c>
    </row>
    <row r="15" spans="1:8" s="535" customFormat="1" ht="20.100000000000001" customHeight="1">
      <c r="A15" s="1267">
        <f>A14+1</f>
        <v>2</v>
      </c>
      <c r="B15" s="1884" t="str">
        <f>VLOOKUP(A15,'BASE ADUTORA'!A:N,2,FALSE)</f>
        <v>T2</v>
      </c>
      <c r="C15" s="1885"/>
      <c r="D15" s="1236">
        <f>VLOOKUP(A15,'BASE ADUTORA'!A:N,4,FALSE)</f>
        <v>90</v>
      </c>
      <c r="E15" s="1237">
        <f>VLOOKUP(A15,'BASE ADUTORA'!A:N,5,FALSE)</f>
        <v>0.6</v>
      </c>
      <c r="F15" s="1268">
        <f t="shared" si="0"/>
        <v>54</v>
      </c>
      <c r="G15" s="1269">
        <v>4.2000000000000006E-3</v>
      </c>
      <c r="H15" s="1270">
        <f>TRUNC(F15*G15,3)</f>
        <v>0.22600000000000001</v>
      </c>
    </row>
    <row r="16" spans="1:8" s="535" customFormat="1" ht="20.100000000000001" customHeight="1">
      <c r="A16" s="1267">
        <f t="shared" ref="A16:A26" si="1">A15+1</f>
        <v>3</v>
      </c>
      <c r="B16" s="1884" t="str">
        <f>VLOOKUP(A16,'BASE ADUTORA'!A:N,2,FALSE)</f>
        <v>T3</v>
      </c>
      <c r="C16" s="1885"/>
      <c r="D16" s="1236">
        <f>VLOOKUP(A16,'BASE ADUTORA'!A:N,4,FALSE)</f>
        <v>329</v>
      </c>
      <c r="E16" s="1237">
        <f>VLOOKUP(A16,'BASE ADUTORA'!A:N,5,FALSE)</f>
        <v>0.6</v>
      </c>
      <c r="F16" s="1268">
        <f t="shared" si="0"/>
        <v>197.4</v>
      </c>
      <c r="G16" s="1269">
        <v>4.2000000000000006E-3</v>
      </c>
      <c r="H16" s="1270">
        <f>TRUNC(F16*G16,3)</f>
        <v>0.82899999999999996</v>
      </c>
    </row>
    <row r="17" spans="1:225" s="535" customFormat="1" ht="20.100000000000001" customHeight="1">
      <c r="A17" s="1267">
        <f t="shared" si="1"/>
        <v>4</v>
      </c>
      <c r="B17" s="1884" t="str">
        <f>VLOOKUP(A17,'BASE ADUTORA'!A:N,2,FALSE)</f>
        <v>T4</v>
      </c>
      <c r="C17" s="1885"/>
      <c r="D17" s="1236">
        <f>VLOOKUP(A17,'BASE ADUTORA'!A:N,4,FALSE)</f>
        <v>325</v>
      </c>
      <c r="E17" s="1237">
        <f>VLOOKUP(A17,'BASE ADUTORA'!A:N,5,FALSE)</f>
        <v>0.6</v>
      </c>
      <c r="F17" s="1268">
        <f t="shared" si="0"/>
        <v>195</v>
      </c>
      <c r="G17" s="1269">
        <v>4.2000000000000006E-3</v>
      </c>
      <c r="H17" s="1270">
        <f>TRUNC(F17*G17,3)</f>
        <v>0.81899999999999995</v>
      </c>
    </row>
    <row r="18" spans="1:225" s="535" customFormat="1" ht="20.100000000000001" customHeight="1">
      <c r="A18" s="1267">
        <f t="shared" si="1"/>
        <v>5</v>
      </c>
      <c r="B18" s="1884" t="str">
        <f>VLOOKUP(A18,'BASE ADUTORA'!A:N,2,FALSE)</f>
        <v>T5</v>
      </c>
      <c r="C18" s="1885"/>
      <c r="D18" s="1236">
        <f>VLOOKUP(A18,'BASE ADUTORA'!A:N,4,FALSE)</f>
        <v>470</v>
      </c>
      <c r="E18" s="1237">
        <f>VLOOKUP(A18,'BASE ADUTORA'!A:N,5,FALSE)</f>
        <v>0.6</v>
      </c>
      <c r="F18" s="1268">
        <f t="shared" si="0"/>
        <v>282</v>
      </c>
      <c r="G18" s="1269">
        <v>4.2000000000000006E-3</v>
      </c>
      <c r="H18" s="1270">
        <f>TRUNC(F18*G18,3)</f>
        <v>1.1839999999999999</v>
      </c>
    </row>
    <row r="19" spans="1:225" s="535" customFormat="1" ht="20.100000000000001" customHeight="1">
      <c r="A19" s="1267">
        <f t="shared" si="1"/>
        <v>6</v>
      </c>
      <c r="B19" s="1884" t="str">
        <f>VLOOKUP(A19,'BASE ADUTORA'!A:N,2,FALSE)</f>
        <v>T6</v>
      </c>
      <c r="C19" s="1885"/>
      <c r="D19" s="1236">
        <f>VLOOKUP(A19,'BASE ADUTORA'!A:N,4,FALSE)</f>
        <v>315</v>
      </c>
      <c r="E19" s="1237">
        <f>VLOOKUP(A19,'BASE ADUTORA'!A:N,5,FALSE)</f>
        <v>0.6</v>
      </c>
      <c r="F19" s="1268">
        <f t="shared" si="0"/>
        <v>189</v>
      </c>
      <c r="G19" s="1269">
        <v>4.2000000000000006E-3</v>
      </c>
      <c r="H19" s="1270">
        <f t="shared" ref="H19:H26" si="2">TRUNC(F19*G19,3)</f>
        <v>0.79300000000000004</v>
      </c>
    </row>
    <row r="20" spans="1:225" s="535" customFormat="1" ht="20.100000000000001" customHeight="1">
      <c r="A20" s="1267">
        <f t="shared" si="1"/>
        <v>7</v>
      </c>
      <c r="B20" s="1884" t="str">
        <f>VLOOKUP(A20,'BASE ADUTORA'!A:N,2,FALSE)</f>
        <v>T7</v>
      </c>
      <c r="C20" s="1885"/>
      <c r="D20" s="1236">
        <f>VLOOKUP(A20,'BASE ADUTORA'!A:N,4,FALSE)</f>
        <v>67</v>
      </c>
      <c r="E20" s="1237">
        <f>VLOOKUP(A20,'BASE ADUTORA'!A:N,5,FALSE)</f>
        <v>0.6</v>
      </c>
      <c r="F20" s="1268">
        <f t="shared" si="0"/>
        <v>40.200000000000003</v>
      </c>
      <c r="G20" s="1269">
        <v>4.2000000000000006E-3</v>
      </c>
      <c r="H20" s="1270">
        <f t="shared" si="2"/>
        <v>0.16800000000000001</v>
      </c>
    </row>
    <row r="21" spans="1:225" s="535" customFormat="1" ht="20.100000000000001" customHeight="1">
      <c r="A21" s="1267">
        <f t="shared" si="1"/>
        <v>8</v>
      </c>
      <c r="B21" s="1884" t="str">
        <f>VLOOKUP(A21,'BASE ADUTORA'!A:N,2,FALSE)</f>
        <v>T8</v>
      </c>
      <c r="C21" s="1885"/>
      <c r="D21" s="1236">
        <f>VLOOKUP(A21,'BASE ADUTORA'!A:N,4,FALSE)</f>
        <v>223</v>
      </c>
      <c r="E21" s="1237">
        <f>VLOOKUP(A21,'BASE ADUTORA'!A:N,5,FALSE)</f>
        <v>0.6</v>
      </c>
      <c r="F21" s="1268">
        <f t="shared" si="0"/>
        <v>133.80000000000001</v>
      </c>
      <c r="G21" s="1269">
        <v>4.2000000000000006E-3</v>
      </c>
      <c r="H21" s="1270">
        <f t="shared" si="2"/>
        <v>0.56100000000000005</v>
      </c>
    </row>
    <row r="22" spans="1:225" s="535" customFormat="1" ht="20.100000000000001" customHeight="1">
      <c r="A22" s="1267">
        <f t="shared" si="1"/>
        <v>9</v>
      </c>
      <c r="B22" s="1884" t="str">
        <f>VLOOKUP(A22,'BASE ADUTORA'!A:N,2,FALSE)</f>
        <v>T9</v>
      </c>
      <c r="C22" s="1885"/>
      <c r="D22" s="1236">
        <f>VLOOKUP(A22,'BASE ADUTORA'!A:N,4,FALSE)</f>
        <v>240</v>
      </c>
      <c r="E22" s="1237">
        <f>VLOOKUP(A22,'BASE ADUTORA'!A:N,5,FALSE)</f>
        <v>0.6</v>
      </c>
      <c r="F22" s="1268">
        <f t="shared" si="0"/>
        <v>144</v>
      </c>
      <c r="G22" s="1269">
        <v>4.2000000000000006E-3</v>
      </c>
      <c r="H22" s="1270">
        <f t="shared" si="2"/>
        <v>0.60399999999999998</v>
      </c>
    </row>
    <row r="23" spans="1:225" s="535" customFormat="1" ht="20.100000000000001" customHeight="1">
      <c r="A23" s="1267">
        <f t="shared" si="1"/>
        <v>10</v>
      </c>
      <c r="B23" s="1884" t="str">
        <f>VLOOKUP(A23,'BASE ADUTORA'!A:N,2,FALSE)</f>
        <v>T10</v>
      </c>
      <c r="C23" s="1885"/>
      <c r="D23" s="1236">
        <f>VLOOKUP(A23,'BASE ADUTORA'!A:N,4,FALSE)</f>
        <v>240</v>
      </c>
      <c r="E23" s="1237">
        <f>VLOOKUP(A23,'BASE ADUTORA'!A:N,5,FALSE)</f>
        <v>0.6</v>
      </c>
      <c r="F23" s="1268">
        <f t="shared" si="0"/>
        <v>144</v>
      </c>
      <c r="G23" s="1269">
        <v>4.2000000000000006E-3</v>
      </c>
      <c r="H23" s="1270">
        <f t="shared" si="2"/>
        <v>0.60399999999999998</v>
      </c>
    </row>
    <row r="24" spans="1:225" s="535" customFormat="1" ht="20.100000000000001" customHeight="1">
      <c r="A24" s="1267">
        <f t="shared" si="1"/>
        <v>11</v>
      </c>
      <c r="B24" s="1884" t="str">
        <f>VLOOKUP(A24,'BASE ADUTORA'!A:N,2,FALSE)</f>
        <v>T11</v>
      </c>
      <c r="C24" s="1885"/>
      <c r="D24" s="1236">
        <f>VLOOKUP(A24,'BASE ADUTORA'!A:N,4,FALSE)</f>
        <v>715</v>
      </c>
      <c r="E24" s="1237">
        <f>VLOOKUP(A24,'BASE ADUTORA'!A:N,5,FALSE)</f>
        <v>0.6</v>
      </c>
      <c r="F24" s="1268">
        <f t="shared" si="0"/>
        <v>429</v>
      </c>
      <c r="G24" s="1269">
        <v>4.2000000000000006E-3</v>
      </c>
      <c r="H24" s="1270">
        <f t="shared" si="2"/>
        <v>1.8009999999999999</v>
      </c>
    </row>
    <row r="25" spans="1:225" s="535" customFormat="1" ht="20.100000000000001" customHeight="1">
      <c r="A25" s="1267">
        <f t="shared" si="1"/>
        <v>12</v>
      </c>
      <c r="B25" s="1884" t="str">
        <f>VLOOKUP(A25,'BASE ADUTORA'!A:N,2,FALSE)</f>
        <v>T12</v>
      </c>
      <c r="C25" s="1885"/>
      <c r="D25" s="1236">
        <f>VLOOKUP(A25,'BASE ADUTORA'!A:N,4,FALSE)</f>
        <v>510</v>
      </c>
      <c r="E25" s="1237">
        <f>VLOOKUP(A25,'BASE ADUTORA'!A:N,5,FALSE)</f>
        <v>0.6</v>
      </c>
      <c r="F25" s="1268">
        <f t="shared" si="0"/>
        <v>306</v>
      </c>
      <c r="G25" s="1269">
        <v>4.2000000000000006E-3</v>
      </c>
      <c r="H25" s="1270">
        <f t="shared" si="2"/>
        <v>1.2849999999999999</v>
      </c>
    </row>
    <row r="26" spans="1:225" s="535" customFormat="1" ht="20.100000000000001" customHeight="1">
      <c r="A26" s="1267">
        <f t="shared" si="1"/>
        <v>13</v>
      </c>
      <c r="B26" s="1884" t="str">
        <f>VLOOKUP(A26,'BASE ADUTORA'!A:N,2,FALSE)</f>
        <v>T13</v>
      </c>
      <c r="C26" s="1885"/>
      <c r="D26" s="1236">
        <f>VLOOKUP(A26,'BASE ADUTORA'!A:N,4,FALSE)</f>
        <v>75</v>
      </c>
      <c r="E26" s="1237">
        <f>VLOOKUP(A26,'BASE ADUTORA'!A:N,5,FALSE)</f>
        <v>0.6</v>
      </c>
      <c r="F26" s="1268">
        <f t="shared" si="0"/>
        <v>45</v>
      </c>
      <c r="G26" s="1269">
        <v>4.2000000000000006E-3</v>
      </c>
      <c r="H26" s="1270">
        <f t="shared" si="2"/>
        <v>0.189</v>
      </c>
    </row>
    <row r="27" spans="1:225" s="220" customFormat="1" ht="20.100000000000001" customHeight="1">
      <c r="A27" s="1921" t="s">
        <v>14005</v>
      </c>
      <c r="B27" s="1922"/>
      <c r="C27" s="1922"/>
      <c r="D27" s="1262">
        <f>SUM(D14:D26)</f>
        <v>3655</v>
      </c>
      <c r="E27" s="1263"/>
      <c r="F27" s="1262">
        <f>SUM(F14:F26)</f>
        <v>2193</v>
      </c>
      <c r="G27" s="1262"/>
      <c r="H27" s="1262">
        <f>TRUNC(SUM(H14:H26),2)</f>
        <v>9.1999999999999993</v>
      </c>
      <c r="I27" s="433"/>
      <c r="J27" s="433"/>
      <c r="K27" s="1242"/>
      <c r="L27" s="1243"/>
      <c r="M27" s="433"/>
      <c r="N27" s="433"/>
      <c r="O27" s="433"/>
      <c r="P27" s="433"/>
      <c r="Q27" s="1242"/>
      <c r="R27" s="1243"/>
      <c r="S27" s="433"/>
      <c r="T27" s="433"/>
      <c r="U27" s="433"/>
      <c r="V27" s="433"/>
      <c r="W27" s="1242"/>
      <c r="X27" s="1243"/>
      <c r="Y27" s="433"/>
      <c r="Z27" s="433"/>
      <c r="AA27" s="433"/>
      <c r="AB27" s="433"/>
      <c r="AC27" s="1242"/>
      <c r="AD27" s="1243"/>
      <c r="AE27" s="433"/>
      <c r="AF27" s="433"/>
      <c r="AG27" s="433"/>
      <c r="AH27" s="433"/>
      <c r="AI27" s="1242"/>
      <c r="AJ27" s="1243"/>
      <c r="AK27" s="433"/>
      <c r="AL27" s="433"/>
      <c r="AM27" s="433"/>
      <c r="AN27" s="433"/>
      <c r="AO27" s="1242"/>
      <c r="AP27" s="1243"/>
      <c r="AQ27" s="433"/>
      <c r="AR27" s="433"/>
      <c r="AS27" s="433"/>
      <c r="AT27" s="433"/>
      <c r="AU27" s="1242"/>
      <c r="AV27" s="1243"/>
      <c r="AW27" s="433"/>
      <c r="AX27" s="433"/>
      <c r="AY27" s="433"/>
      <c r="AZ27" s="433"/>
      <c r="BA27" s="1242"/>
      <c r="BB27" s="1243"/>
      <c r="BC27" s="433"/>
      <c r="BD27" s="433"/>
      <c r="BE27" s="433"/>
      <c r="BF27" s="433"/>
      <c r="BG27" s="1242"/>
      <c r="BH27" s="1243"/>
      <c r="BI27" s="433"/>
      <c r="BJ27" s="433"/>
      <c r="BK27" s="433"/>
      <c r="BL27" s="433"/>
      <c r="BM27" s="1242"/>
      <c r="BN27" s="1243"/>
      <c r="BO27" s="433"/>
      <c r="BP27" s="433"/>
      <c r="BQ27" s="433"/>
      <c r="BR27" s="433"/>
      <c r="BS27" s="1242"/>
      <c r="BT27" s="1243"/>
      <c r="BU27" s="433"/>
      <c r="BV27" s="433"/>
      <c r="BW27" s="433"/>
      <c r="BX27" s="433"/>
      <c r="BY27" s="1242"/>
      <c r="BZ27" s="1243"/>
      <c r="CA27" s="433"/>
      <c r="CB27" s="433"/>
      <c r="CC27" s="433"/>
      <c r="CD27" s="433"/>
      <c r="CE27" s="1242"/>
      <c r="CF27" s="1243"/>
      <c r="CG27" s="433"/>
      <c r="CH27" s="433"/>
      <c r="CI27" s="433"/>
      <c r="CJ27" s="433"/>
      <c r="CK27" s="1242"/>
      <c r="CL27" s="1243"/>
      <c r="CM27" s="433"/>
      <c r="CN27" s="433"/>
      <c r="CO27" s="433"/>
      <c r="CP27" s="433"/>
      <c r="CQ27" s="1242"/>
      <c r="CR27" s="1243"/>
      <c r="CS27" s="433"/>
      <c r="CT27" s="433"/>
      <c r="CU27" s="433"/>
      <c r="CV27" s="433"/>
      <c r="CW27" s="1242"/>
      <c r="CX27" s="1243"/>
      <c r="CY27" s="433"/>
      <c r="CZ27" s="433"/>
      <c r="DA27" s="433"/>
      <c r="DB27" s="433"/>
      <c r="DC27" s="1242"/>
      <c r="DD27" s="1243"/>
      <c r="DE27" s="433"/>
      <c r="DF27" s="433"/>
      <c r="DG27" s="433"/>
      <c r="DH27" s="433"/>
      <c r="DI27" s="1242"/>
      <c r="DJ27" s="1243"/>
      <c r="DK27" s="433"/>
      <c r="DL27" s="433"/>
      <c r="DM27" s="433"/>
      <c r="DN27" s="433"/>
      <c r="DO27" s="1242"/>
      <c r="DP27" s="1243"/>
      <c r="DQ27" s="433"/>
      <c r="DR27" s="433"/>
      <c r="DS27" s="433"/>
      <c r="DT27" s="433"/>
      <c r="DU27" s="1242"/>
      <c r="DV27" s="1243"/>
      <c r="DW27" s="433"/>
      <c r="DX27" s="433"/>
      <c r="DY27" s="433"/>
      <c r="DZ27" s="433"/>
      <c r="EA27" s="1242"/>
      <c r="EB27" s="1243"/>
      <c r="EC27" s="433"/>
      <c r="ED27" s="433"/>
      <c r="EE27" s="433"/>
      <c r="EF27" s="433"/>
      <c r="EG27" s="1242"/>
      <c r="EH27" s="1243"/>
      <c r="EI27" s="433"/>
      <c r="EJ27" s="433"/>
      <c r="EK27" s="433"/>
      <c r="EL27" s="433"/>
      <c r="EM27" s="1242"/>
      <c r="EN27" s="1243"/>
      <c r="EO27" s="433"/>
      <c r="EP27" s="433"/>
      <c r="EQ27" s="433"/>
      <c r="ER27" s="433"/>
      <c r="ES27" s="1242"/>
      <c r="ET27" s="1243"/>
      <c r="EU27" s="433"/>
      <c r="EV27" s="433"/>
      <c r="EW27" s="433"/>
      <c r="EX27" s="433"/>
      <c r="EY27" s="1242"/>
      <c r="EZ27" s="1243"/>
      <c r="FA27" s="433"/>
      <c r="FB27" s="433"/>
      <c r="FC27" s="433"/>
      <c r="FD27" s="433"/>
      <c r="FE27" s="1242"/>
      <c r="FF27" s="1243"/>
      <c r="FG27" s="433"/>
      <c r="FH27" s="433"/>
      <c r="FI27" s="433"/>
      <c r="FJ27" s="433"/>
      <c r="FK27" s="1242"/>
      <c r="FL27" s="1243"/>
      <c r="FM27" s="433"/>
      <c r="FN27" s="433"/>
      <c r="FO27" s="433"/>
      <c r="FP27" s="433"/>
      <c r="FQ27" s="1242"/>
      <c r="FR27" s="1243"/>
      <c r="FS27" s="433"/>
      <c r="FT27" s="433"/>
      <c r="FU27" s="433"/>
      <c r="FV27" s="433"/>
      <c r="FW27" s="1242"/>
      <c r="FX27" s="1243"/>
      <c r="FY27" s="433"/>
      <c r="FZ27" s="433"/>
      <c r="GA27" s="433"/>
      <c r="GB27" s="433"/>
      <c r="GC27" s="1242"/>
      <c r="GD27" s="1243"/>
      <c r="GE27" s="433"/>
      <c r="GF27" s="433"/>
      <c r="GG27" s="433"/>
      <c r="GH27" s="433"/>
      <c r="GI27" s="1242"/>
      <c r="GJ27" s="1243"/>
      <c r="GK27" s="433"/>
      <c r="GL27" s="433"/>
      <c r="GM27" s="433"/>
      <c r="GN27" s="433"/>
      <c r="GO27" s="1242"/>
      <c r="GP27" s="1243"/>
      <c r="GQ27" s="433"/>
      <c r="GR27" s="433"/>
      <c r="GS27" s="433"/>
      <c r="GT27" s="433"/>
      <c r="GU27" s="1242"/>
      <c r="GV27" s="1243"/>
      <c r="GW27" s="433"/>
      <c r="GX27" s="433"/>
      <c r="GY27" s="433"/>
      <c r="GZ27" s="433"/>
      <c r="HA27" s="1242"/>
      <c r="HB27" s="1243"/>
      <c r="HC27" s="433"/>
      <c r="HD27" s="433"/>
      <c r="HE27" s="433"/>
      <c r="HF27" s="433"/>
      <c r="HG27" s="1242"/>
      <c r="HH27" s="1243"/>
      <c r="HI27" s="433"/>
      <c r="HJ27" s="433"/>
      <c r="HK27" s="433"/>
      <c r="HL27" s="433"/>
      <c r="HM27" s="1242"/>
      <c r="HN27" s="1243"/>
      <c r="HO27" s="433"/>
      <c r="HP27" s="433"/>
      <c r="HQ27" s="433"/>
    </row>
    <row r="28" spans="1:225">
      <c r="D28" s="678"/>
      <c r="E28" s="678"/>
      <c r="F28" s="678"/>
      <c r="G28" s="678"/>
      <c r="H28" s="678"/>
    </row>
  </sheetData>
  <mergeCells count="31">
    <mergeCell ref="B6:H6"/>
    <mergeCell ref="A1:H1"/>
    <mergeCell ref="A2:H2"/>
    <mergeCell ref="A3:H3"/>
    <mergeCell ref="A4:H4"/>
    <mergeCell ref="A5:H5"/>
    <mergeCell ref="B18:C18"/>
    <mergeCell ref="B7:H7"/>
    <mergeCell ref="B8:H8"/>
    <mergeCell ref="B9:H9"/>
    <mergeCell ref="A10:H10"/>
    <mergeCell ref="A11:A13"/>
    <mergeCell ref="B11:C13"/>
    <mergeCell ref="D11:D12"/>
    <mergeCell ref="E11:E12"/>
    <mergeCell ref="F11:F12"/>
    <mergeCell ref="G11:G12"/>
    <mergeCell ref="H11:H12"/>
    <mergeCell ref="B14:C14"/>
    <mergeCell ref="B15:C15"/>
    <mergeCell ref="B16:C16"/>
    <mergeCell ref="B17:C17"/>
    <mergeCell ref="B25:C25"/>
    <mergeCell ref="B26:C26"/>
    <mergeCell ref="A27:C27"/>
    <mergeCell ref="B19:C19"/>
    <mergeCell ref="B20:C20"/>
    <mergeCell ref="B21:C21"/>
    <mergeCell ref="B22:C22"/>
    <mergeCell ref="B23:C23"/>
    <mergeCell ref="B24:C24"/>
  </mergeCells>
  <printOptions horizontalCentered="1"/>
  <pageMargins left="0.15748031496062992" right="0.19685039370078741" top="0.78740157480314965" bottom="0.78740157480314965" header="0.15748031496062992" footer="0.31496062992125984"/>
  <pageSetup paperSize="9" firstPageNumber="25" fitToHeight="0" orientation="landscape" useFirstPageNumber="1" r:id="rId1"/>
  <headerFooter scaleWithDoc="0"/>
  <drawing r:id="rId2"/>
</worksheet>
</file>

<file path=xl/worksheets/sheet17.xml><?xml version="1.0" encoding="utf-8"?>
<worksheet xmlns="http://schemas.openxmlformats.org/spreadsheetml/2006/main" xmlns:r="http://schemas.openxmlformats.org/officeDocument/2006/relationships">
  <sheetPr codeName="Plan16">
    <tabColor theme="1" tint="0.34998626667073579"/>
    <pageSetUpPr fitToPage="1"/>
  </sheetPr>
  <dimension ref="A1:HU41"/>
  <sheetViews>
    <sheetView showGridLines="0" view="pageBreakPreview" zoomScaleNormal="115" zoomScaleSheetLayoutView="100" workbookViewId="0">
      <selection activeCell="B9" sqref="B9:F9"/>
    </sheetView>
  </sheetViews>
  <sheetFormatPr defaultColWidth="9.140625" defaultRowHeight="15"/>
  <cols>
    <col min="2" max="2" width="6" customWidth="1"/>
    <col min="3" max="3" width="46.140625" customWidth="1"/>
    <col min="4" max="12" width="15.7109375" customWidth="1"/>
  </cols>
  <sheetData>
    <row r="1" spans="1:12" s="533" customFormat="1" ht="18">
      <c r="A1" s="1937" t="s">
        <v>2996</v>
      </c>
      <c r="B1" s="1938" t="s">
        <v>2996</v>
      </c>
      <c r="C1" s="1938" t="s">
        <v>2996</v>
      </c>
      <c r="D1" s="1938"/>
      <c r="E1" s="1938"/>
      <c r="F1" s="1938"/>
      <c r="G1" s="1938"/>
      <c r="H1" s="1938"/>
      <c r="I1" s="1938"/>
      <c r="J1" s="1938"/>
      <c r="K1" s="1938"/>
      <c r="L1" s="1939"/>
    </row>
    <row r="2" spans="1:12" s="533" customFormat="1" ht="14.25">
      <c r="A2" s="1940" t="s">
        <v>2997</v>
      </c>
      <c r="B2" s="1913" t="s">
        <v>13994</v>
      </c>
      <c r="C2" s="1913" t="s">
        <v>13994</v>
      </c>
      <c r="D2" s="1913"/>
      <c r="E2" s="1913"/>
      <c r="F2" s="1913"/>
      <c r="G2" s="1913"/>
      <c r="H2" s="1913"/>
      <c r="I2" s="1913"/>
      <c r="J2" s="1913"/>
      <c r="K2" s="1913"/>
      <c r="L2" s="1941"/>
    </row>
    <row r="3" spans="1:12" s="533" customFormat="1" ht="14.25">
      <c r="A3" s="1942" t="s">
        <v>2998</v>
      </c>
      <c r="B3" s="1916" t="s">
        <v>13995</v>
      </c>
      <c r="C3" s="1916" t="s">
        <v>13995</v>
      </c>
      <c r="D3" s="1916"/>
      <c r="E3" s="1916"/>
      <c r="F3" s="1916"/>
      <c r="G3" s="1916"/>
      <c r="H3" s="1916"/>
      <c r="I3" s="1916"/>
      <c r="J3" s="1916"/>
      <c r="K3" s="1916"/>
      <c r="L3" s="1943"/>
    </row>
    <row r="4" spans="1:12" s="533" customFormat="1" ht="14.25">
      <c r="A4" s="1942" t="s">
        <v>3063</v>
      </c>
      <c r="B4" s="1916" t="s">
        <v>3063</v>
      </c>
      <c r="C4" s="1916" t="s">
        <v>3063</v>
      </c>
      <c r="D4" s="1916"/>
      <c r="E4" s="1916"/>
      <c r="F4" s="1916"/>
      <c r="G4" s="1916"/>
      <c r="H4" s="1916"/>
      <c r="I4" s="1916"/>
      <c r="J4" s="1916"/>
      <c r="K4" s="1916"/>
      <c r="L4" s="1943"/>
    </row>
    <row r="5" spans="1:12" s="533" customFormat="1" ht="14.25">
      <c r="A5" s="1942" t="s">
        <v>2999</v>
      </c>
      <c r="B5" s="1916" t="s">
        <v>2999</v>
      </c>
      <c r="C5" s="1916" t="s">
        <v>2999</v>
      </c>
      <c r="D5" s="1916"/>
      <c r="E5" s="1916"/>
      <c r="F5" s="1916"/>
      <c r="G5" s="1916"/>
      <c r="H5" s="1916"/>
      <c r="I5" s="1916"/>
      <c r="J5" s="1916"/>
      <c r="K5" s="1916"/>
      <c r="L5" s="1943"/>
    </row>
    <row r="6" spans="1:12" s="533" customFormat="1" ht="15" customHeight="1">
      <c r="A6" s="1245" t="s">
        <v>6</v>
      </c>
      <c r="B6" s="1907" t="str">
        <f>'REMOÇÃO DE PAV. ADUTORA'!B6:F6</f>
        <v xml:space="preserve">SISTEMA DE ABASTECIMENTO DE ÁGUA </v>
      </c>
      <c r="C6" s="1907"/>
      <c r="D6" s="1907"/>
      <c r="E6" s="1907"/>
      <c r="F6" s="1907"/>
      <c r="G6" s="1907"/>
      <c r="H6" s="1907"/>
      <c r="I6" s="1907"/>
      <c r="J6" s="1907"/>
      <c r="K6" s="1907"/>
      <c r="L6" s="1936"/>
    </row>
    <row r="7" spans="1:12" s="533" customFormat="1" ht="14.25">
      <c r="A7" s="1246" t="s">
        <v>8</v>
      </c>
      <c r="B7" s="1888" t="str">
        <f>'REMOÇÃO DE PAV. ADUTORA'!B7:F7</f>
        <v>SETOR PIONEIRO - MUNICÍPIO DE APIACÁS</v>
      </c>
      <c r="C7" s="1889"/>
      <c r="D7" s="1889"/>
      <c r="E7" s="1889"/>
      <c r="F7" s="1889"/>
      <c r="G7" s="1889"/>
      <c r="H7" s="1889"/>
      <c r="I7" s="1889"/>
      <c r="J7" s="1889"/>
      <c r="K7" s="1889"/>
      <c r="L7" s="1929"/>
    </row>
    <row r="8" spans="1:12" s="533" customFormat="1" ht="14.25">
      <c r="A8" s="1246" t="s">
        <v>13672</v>
      </c>
      <c r="B8" s="1889" t="str">
        <f>'REMOÇÃO DE PAV. ADUTORA'!B8:F8</f>
        <v>PREFEITURA MUNICIPAL DE APIACÁS</v>
      </c>
      <c r="C8" s="1889"/>
      <c r="D8" s="1889"/>
      <c r="E8" s="1889"/>
      <c r="F8" s="1889"/>
      <c r="G8" s="1889"/>
      <c r="H8" s="1889"/>
      <c r="I8" s="1889"/>
      <c r="J8" s="1889"/>
      <c r="K8" s="1889"/>
      <c r="L8" s="1929"/>
    </row>
    <row r="9" spans="1:12" s="533" customFormat="1" ht="15.75" customHeight="1">
      <c r="A9" s="1247" t="s">
        <v>3064</v>
      </c>
      <c r="B9" s="1891">
        <f ca="1">'REMOÇÃO DE PAV. ADUTORA'!B9:F9</f>
        <v>45167</v>
      </c>
      <c r="C9" s="1892"/>
      <c r="D9" s="1892"/>
      <c r="E9" s="1892"/>
      <c r="F9" s="1892"/>
      <c r="G9" s="1892"/>
      <c r="H9" s="1892"/>
      <c r="I9" s="1892"/>
      <c r="J9" s="1892"/>
      <c r="K9" s="1892"/>
      <c r="L9" s="1944"/>
    </row>
    <row r="10" spans="1:12" s="533" customFormat="1" ht="22.5" customHeight="1">
      <c r="A10" s="1932" t="s">
        <v>14047</v>
      </c>
      <c r="B10" s="1895"/>
      <c r="C10" s="1895"/>
      <c r="D10" s="1895"/>
      <c r="E10" s="1895"/>
      <c r="F10" s="1895"/>
      <c r="G10" s="1895"/>
      <c r="H10" s="1895"/>
      <c r="I10" s="1895"/>
      <c r="J10" s="1895"/>
      <c r="K10" s="1895"/>
      <c r="L10" s="1933"/>
    </row>
    <row r="11" spans="1:12" s="533" customFormat="1" ht="22.5" customHeight="1">
      <c r="A11" s="1932" t="s">
        <v>14048</v>
      </c>
      <c r="B11" s="1895"/>
      <c r="C11" s="1895"/>
      <c r="D11" s="1895"/>
      <c r="E11" s="1895"/>
      <c r="F11" s="1895"/>
      <c r="G11" s="1895"/>
      <c r="H11" s="1895"/>
      <c r="I11" s="1895"/>
      <c r="J11" s="1895"/>
      <c r="K11" s="1895"/>
      <c r="L11" s="1933"/>
    </row>
    <row r="12" spans="1:12" s="533" customFormat="1" ht="40.5" customHeight="1">
      <c r="A12" s="1959" t="s">
        <v>11</v>
      </c>
      <c r="B12" s="1960" t="s">
        <v>13997</v>
      </c>
      <c r="C12" s="1960"/>
      <c r="D12" s="1926" t="s">
        <v>14049</v>
      </c>
      <c r="E12" s="1961" t="s">
        <v>14050</v>
      </c>
      <c r="F12" s="1923" t="s">
        <v>14051</v>
      </c>
      <c r="G12" s="1954" t="s">
        <v>14052</v>
      </c>
      <c r="H12" s="1955"/>
      <c r="I12" s="1954" t="s">
        <v>14053</v>
      </c>
      <c r="J12" s="1955"/>
      <c r="K12" s="1956" t="s">
        <v>14034</v>
      </c>
      <c r="L12" s="1957"/>
    </row>
    <row r="13" spans="1:12" s="535" customFormat="1" ht="12.75" customHeight="1">
      <c r="A13" s="1959"/>
      <c r="B13" s="1960"/>
      <c r="C13" s="1960"/>
      <c r="D13" s="1926"/>
      <c r="E13" s="1962"/>
      <c r="F13" s="1924"/>
      <c r="G13" s="1958" t="s">
        <v>14013</v>
      </c>
      <c r="H13" s="1923" t="s">
        <v>14054</v>
      </c>
      <c r="I13" s="1958" t="s">
        <v>14013</v>
      </c>
      <c r="J13" s="1923" t="s">
        <v>14054</v>
      </c>
      <c r="K13" s="1958" t="s">
        <v>14013</v>
      </c>
      <c r="L13" s="1923" t="s">
        <v>14054</v>
      </c>
    </row>
    <row r="14" spans="1:12" s="535" customFormat="1" ht="12.75">
      <c r="A14" s="1959"/>
      <c r="B14" s="1960"/>
      <c r="C14" s="1960"/>
      <c r="D14" s="1926"/>
      <c r="E14" s="1272" t="s">
        <v>14055</v>
      </c>
      <c r="F14" s="1232" t="s">
        <v>14055</v>
      </c>
      <c r="G14" s="1925"/>
      <c r="H14" s="1925"/>
      <c r="I14" s="1925"/>
      <c r="J14" s="1925"/>
      <c r="K14" s="1925"/>
      <c r="L14" s="1925"/>
    </row>
    <row r="15" spans="1:12" s="535" customFormat="1" ht="22.5" customHeight="1">
      <c r="A15" s="1959"/>
      <c r="B15" s="1960"/>
      <c r="C15" s="1960"/>
      <c r="D15" s="1191" t="s">
        <v>3378</v>
      </c>
      <c r="E15" s="1273" t="s">
        <v>14015</v>
      </c>
      <c r="F15" s="1233" t="s">
        <v>14015</v>
      </c>
      <c r="G15" s="1233" t="s">
        <v>14016</v>
      </c>
      <c r="H15" s="1233" t="s">
        <v>14056</v>
      </c>
      <c r="I15" s="1233" t="s">
        <v>14016</v>
      </c>
      <c r="J15" s="1233" t="s">
        <v>14056</v>
      </c>
      <c r="K15" s="1233" t="s">
        <v>14016</v>
      </c>
      <c r="L15" s="1233" t="s">
        <v>14056</v>
      </c>
    </row>
    <row r="16" spans="1:12" s="535" customFormat="1" ht="20.100000000000001" customHeight="1">
      <c r="A16" s="1267">
        <v>1</v>
      </c>
      <c r="B16" s="1884" t="str">
        <f>VLOOKUP(A16,'BASE ADUTORA'!A:N,2,FALSE)</f>
        <v>T1</v>
      </c>
      <c r="C16" s="1885"/>
      <c r="D16" s="1268">
        <f>'TSD ADUTORA'!F14</f>
        <v>33.6</v>
      </c>
      <c r="E16" s="1274">
        <f>'COMP. TSD'!$G$19</f>
        <v>7.3000000000000001E-3</v>
      </c>
      <c r="F16" s="1274">
        <f>'COMP. TSD'!$G$20</f>
        <v>1.4999999999999999E-2</v>
      </c>
      <c r="G16" s="1275">
        <v>30</v>
      </c>
      <c r="H16" s="1276">
        <f>TRUNC(((D16*F16*G16)+(D16*E16*G16)),3)</f>
        <v>22.478000000000002</v>
      </c>
      <c r="I16" s="1275">
        <v>138</v>
      </c>
      <c r="J16" s="1276">
        <f>TRUNC(((D16*F16*I16)+(D16*E16*I16)),3)</f>
        <v>103.4</v>
      </c>
      <c r="K16" s="1275">
        <v>0</v>
      </c>
      <c r="L16" s="1276">
        <f>TRUNC((($D$16*$F$16*K16)+($D$16*$E$16*K16)),3)</f>
        <v>0</v>
      </c>
    </row>
    <row r="17" spans="1:229" s="535" customFormat="1" ht="20.100000000000001" customHeight="1">
      <c r="A17" s="1267">
        <f>A16+1</f>
        <v>2</v>
      </c>
      <c r="B17" s="1884" t="str">
        <f>VLOOKUP(A17,'BASE ADUTORA'!A:N,2,FALSE)</f>
        <v>T2</v>
      </c>
      <c r="C17" s="1885"/>
      <c r="D17" s="1268">
        <f>'TSD ADUTORA'!F15</f>
        <v>54</v>
      </c>
      <c r="E17" s="1274">
        <f>'COMP. TSD'!$G$19</f>
        <v>7.3000000000000001E-3</v>
      </c>
      <c r="F17" s="1274">
        <f>'COMP. TSD'!$G$20</f>
        <v>1.4999999999999999E-2</v>
      </c>
      <c r="G17" s="1275">
        <v>30</v>
      </c>
      <c r="H17" s="1276">
        <f t="shared" ref="H17:H28" si="0">TRUNC(((D17*F17*G17)+(D17*E17*G17)),3)</f>
        <v>36.125999999999998</v>
      </c>
      <c r="I17" s="1275">
        <v>138</v>
      </c>
      <c r="J17" s="1276">
        <f t="shared" ref="J17:J28" si="1">TRUNC(((D17*F17*I17)+(D17*E17*I17)),3)</f>
        <v>166.179</v>
      </c>
      <c r="K17" s="1275">
        <v>0</v>
      </c>
      <c r="L17" s="1276">
        <f t="shared" ref="L17:L28" si="2">TRUNC(((D17*F17*K17)+(D17*E17*K17)),3)</f>
        <v>0</v>
      </c>
    </row>
    <row r="18" spans="1:229" s="535" customFormat="1" ht="20.100000000000001" customHeight="1">
      <c r="A18" s="1267">
        <f t="shared" ref="A18:A28" si="3">A17+1</f>
        <v>3</v>
      </c>
      <c r="B18" s="1884" t="str">
        <f>VLOOKUP(A18,'BASE ADUTORA'!A:N,2,FALSE)</f>
        <v>T3</v>
      </c>
      <c r="C18" s="1885"/>
      <c r="D18" s="1268">
        <f>'TSD ADUTORA'!F16</f>
        <v>197.4</v>
      </c>
      <c r="E18" s="1274">
        <f>'COMP. TSD'!$G$19</f>
        <v>7.3000000000000001E-3</v>
      </c>
      <c r="F18" s="1274">
        <f>'COMP. TSD'!$G$20</f>
        <v>1.4999999999999999E-2</v>
      </c>
      <c r="G18" s="1275">
        <v>30</v>
      </c>
      <c r="H18" s="1276">
        <f t="shared" si="0"/>
        <v>132.06</v>
      </c>
      <c r="I18" s="1275">
        <v>138</v>
      </c>
      <c r="J18" s="1276">
        <f t="shared" si="1"/>
        <v>607.47799999999995</v>
      </c>
      <c r="K18" s="1275">
        <v>0</v>
      </c>
      <c r="L18" s="1276">
        <f t="shared" si="2"/>
        <v>0</v>
      </c>
    </row>
    <row r="19" spans="1:229" s="535" customFormat="1" ht="20.100000000000001" customHeight="1">
      <c r="A19" s="1267">
        <f t="shared" si="3"/>
        <v>4</v>
      </c>
      <c r="B19" s="1884" t="str">
        <f>VLOOKUP(A19,'BASE ADUTORA'!A:N,2,FALSE)</f>
        <v>T4</v>
      </c>
      <c r="C19" s="1885"/>
      <c r="D19" s="1268">
        <f>'TSD ADUTORA'!F17</f>
        <v>195</v>
      </c>
      <c r="E19" s="1274">
        <f>'COMP. TSD'!$G$19</f>
        <v>7.3000000000000001E-3</v>
      </c>
      <c r="F19" s="1274">
        <f>'COMP. TSD'!$G$20</f>
        <v>1.4999999999999999E-2</v>
      </c>
      <c r="G19" s="1275">
        <v>30</v>
      </c>
      <c r="H19" s="1276">
        <f t="shared" si="0"/>
        <v>130.45500000000001</v>
      </c>
      <c r="I19" s="1275">
        <v>138</v>
      </c>
      <c r="J19" s="1276">
        <f t="shared" si="1"/>
        <v>600.09299999999996</v>
      </c>
      <c r="K19" s="1275">
        <v>0</v>
      </c>
      <c r="L19" s="1276">
        <f t="shared" si="2"/>
        <v>0</v>
      </c>
    </row>
    <row r="20" spans="1:229" s="535" customFormat="1" ht="20.100000000000001" customHeight="1">
      <c r="A20" s="1267">
        <f t="shared" si="3"/>
        <v>5</v>
      </c>
      <c r="B20" s="1884" t="str">
        <f>VLOOKUP(A20,'BASE ADUTORA'!A:N,2,FALSE)</f>
        <v>T5</v>
      </c>
      <c r="C20" s="1885"/>
      <c r="D20" s="1268">
        <f>'TSD ADUTORA'!F18</f>
        <v>282</v>
      </c>
      <c r="E20" s="1274">
        <f>'COMP. TSD'!$G$19</f>
        <v>7.3000000000000001E-3</v>
      </c>
      <c r="F20" s="1274">
        <f>'COMP. TSD'!$G$20</f>
        <v>1.4999999999999999E-2</v>
      </c>
      <c r="G20" s="1275">
        <v>30</v>
      </c>
      <c r="H20" s="1276">
        <f t="shared" si="0"/>
        <v>188.65799999999999</v>
      </c>
      <c r="I20" s="1275">
        <v>138</v>
      </c>
      <c r="J20" s="1276">
        <f t="shared" si="1"/>
        <v>867.82600000000002</v>
      </c>
      <c r="K20" s="1275">
        <v>0</v>
      </c>
      <c r="L20" s="1276">
        <f t="shared" si="2"/>
        <v>0</v>
      </c>
    </row>
    <row r="21" spans="1:229" s="535" customFormat="1" ht="20.100000000000001" customHeight="1">
      <c r="A21" s="1267">
        <f t="shared" si="3"/>
        <v>6</v>
      </c>
      <c r="B21" s="1884" t="str">
        <f>VLOOKUP(A21,'BASE ADUTORA'!A:N,2,FALSE)</f>
        <v>T6</v>
      </c>
      <c r="C21" s="1885"/>
      <c r="D21" s="1268">
        <f>'TSD ADUTORA'!F19</f>
        <v>189</v>
      </c>
      <c r="E21" s="1274">
        <f>'COMP. TSD'!$G$19</f>
        <v>7.3000000000000001E-3</v>
      </c>
      <c r="F21" s="1274">
        <f>'COMP. TSD'!$G$20</f>
        <v>1.4999999999999999E-2</v>
      </c>
      <c r="G21" s="1275">
        <v>30</v>
      </c>
      <c r="H21" s="1276">
        <f t="shared" si="0"/>
        <v>126.441</v>
      </c>
      <c r="I21" s="1275">
        <v>138</v>
      </c>
      <c r="J21" s="1276">
        <f t="shared" si="1"/>
        <v>581.62800000000004</v>
      </c>
      <c r="K21" s="1275">
        <v>0</v>
      </c>
      <c r="L21" s="1276">
        <f t="shared" si="2"/>
        <v>0</v>
      </c>
    </row>
    <row r="22" spans="1:229" s="535" customFormat="1" ht="20.100000000000001" customHeight="1">
      <c r="A22" s="1267">
        <f t="shared" si="3"/>
        <v>7</v>
      </c>
      <c r="B22" s="1884" t="str">
        <f>VLOOKUP(A22,'BASE ADUTORA'!A:N,2,FALSE)</f>
        <v>T7</v>
      </c>
      <c r="C22" s="1885"/>
      <c r="D22" s="1268">
        <f>'TSD ADUTORA'!F20</f>
        <v>40.200000000000003</v>
      </c>
      <c r="E22" s="1274">
        <f>'COMP. TSD'!$G$19</f>
        <v>7.3000000000000001E-3</v>
      </c>
      <c r="F22" s="1274">
        <f>'COMP. TSD'!$G$20</f>
        <v>1.4999999999999999E-2</v>
      </c>
      <c r="G22" s="1275">
        <v>30</v>
      </c>
      <c r="H22" s="1276">
        <f t="shared" si="0"/>
        <v>26.893000000000001</v>
      </c>
      <c r="I22" s="1275">
        <v>138</v>
      </c>
      <c r="J22" s="1276">
        <f t="shared" si="1"/>
        <v>123.711</v>
      </c>
      <c r="K22" s="1275">
        <v>0</v>
      </c>
      <c r="L22" s="1276">
        <f t="shared" si="2"/>
        <v>0</v>
      </c>
    </row>
    <row r="23" spans="1:229" s="535" customFormat="1" ht="20.100000000000001" customHeight="1">
      <c r="A23" s="1267">
        <f t="shared" si="3"/>
        <v>8</v>
      </c>
      <c r="B23" s="1884" t="str">
        <f>VLOOKUP(A23,'BASE ADUTORA'!A:N,2,FALSE)</f>
        <v>T8</v>
      </c>
      <c r="C23" s="1885"/>
      <c r="D23" s="1268">
        <f>'TSD ADUTORA'!F21</f>
        <v>133.80000000000001</v>
      </c>
      <c r="E23" s="1274">
        <f>'COMP. TSD'!$G$19</f>
        <v>7.3000000000000001E-3</v>
      </c>
      <c r="F23" s="1274">
        <f>'COMP. TSD'!$G$20</f>
        <v>1.4999999999999999E-2</v>
      </c>
      <c r="G23" s="1275">
        <v>30</v>
      </c>
      <c r="H23" s="1276">
        <f t="shared" si="0"/>
        <v>89.512</v>
      </c>
      <c r="I23" s="1275">
        <v>138</v>
      </c>
      <c r="J23" s="1276">
        <f t="shared" si="1"/>
        <v>411.75599999999997</v>
      </c>
      <c r="K23" s="1275">
        <v>0</v>
      </c>
      <c r="L23" s="1276">
        <f t="shared" si="2"/>
        <v>0</v>
      </c>
    </row>
    <row r="24" spans="1:229" s="535" customFormat="1" ht="20.100000000000001" customHeight="1">
      <c r="A24" s="1267">
        <f t="shared" si="3"/>
        <v>9</v>
      </c>
      <c r="B24" s="1884" t="str">
        <f>VLOOKUP(A24,'BASE ADUTORA'!A:N,2,FALSE)</f>
        <v>T9</v>
      </c>
      <c r="C24" s="1885"/>
      <c r="D24" s="1268">
        <f>'TSD ADUTORA'!F22</f>
        <v>144</v>
      </c>
      <c r="E24" s="1274">
        <f>'COMP. TSD'!$G$19</f>
        <v>7.3000000000000001E-3</v>
      </c>
      <c r="F24" s="1274">
        <f>'COMP. TSD'!$G$20</f>
        <v>1.4999999999999999E-2</v>
      </c>
      <c r="G24" s="1275">
        <v>30</v>
      </c>
      <c r="H24" s="1276">
        <f t="shared" si="0"/>
        <v>96.335999999999999</v>
      </c>
      <c r="I24" s="1275">
        <v>138</v>
      </c>
      <c r="J24" s="1276">
        <f t="shared" si="1"/>
        <v>443.14499999999998</v>
      </c>
      <c r="K24" s="1275">
        <v>0</v>
      </c>
      <c r="L24" s="1276">
        <f t="shared" si="2"/>
        <v>0</v>
      </c>
    </row>
    <row r="25" spans="1:229" s="535" customFormat="1" ht="20.100000000000001" customHeight="1">
      <c r="A25" s="1267">
        <f t="shared" si="3"/>
        <v>10</v>
      </c>
      <c r="B25" s="1884" t="str">
        <f>VLOOKUP(A25,'BASE ADUTORA'!A:N,2,FALSE)</f>
        <v>T10</v>
      </c>
      <c r="C25" s="1885"/>
      <c r="D25" s="1268">
        <f>'TSD ADUTORA'!F23</f>
        <v>144</v>
      </c>
      <c r="E25" s="1274">
        <f>'COMP. TSD'!$G$19</f>
        <v>7.3000000000000001E-3</v>
      </c>
      <c r="F25" s="1274">
        <f>'COMP. TSD'!$G$20</f>
        <v>1.4999999999999999E-2</v>
      </c>
      <c r="G25" s="1275">
        <v>30</v>
      </c>
      <c r="H25" s="1276">
        <f t="shared" si="0"/>
        <v>96.335999999999999</v>
      </c>
      <c r="I25" s="1275">
        <v>138</v>
      </c>
      <c r="J25" s="1276">
        <f t="shared" si="1"/>
        <v>443.14499999999998</v>
      </c>
      <c r="K25" s="1275">
        <v>0</v>
      </c>
      <c r="L25" s="1276">
        <f t="shared" si="2"/>
        <v>0</v>
      </c>
    </row>
    <row r="26" spans="1:229" s="535" customFormat="1" ht="20.100000000000001" customHeight="1">
      <c r="A26" s="1267">
        <f t="shared" si="3"/>
        <v>11</v>
      </c>
      <c r="B26" s="1884" t="str">
        <f>VLOOKUP(A26,'BASE ADUTORA'!A:N,2,FALSE)</f>
        <v>T11</v>
      </c>
      <c r="C26" s="1885"/>
      <c r="D26" s="1268">
        <f>'TSD ADUTORA'!F24</f>
        <v>429</v>
      </c>
      <c r="E26" s="1274">
        <f>'COMP. TSD'!$G$19</f>
        <v>7.3000000000000001E-3</v>
      </c>
      <c r="F26" s="1274">
        <f>'COMP. TSD'!$G$20</f>
        <v>1.4999999999999999E-2</v>
      </c>
      <c r="G26" s="1275">
        <v>30</v>
      </c>
      <c r="H26" s="1276">
        <f t="shared" si="0"/>
        <v>287.00099999999998</v>
      </c>
      <c r="I26" s="1275">
        <v>138</v>
      </c>
      <c r="J26" s="1276">
        <f t="shared" si="1"/>
        <v>1320.204</v>
      </c>
      <c r="K26" s="1275">
        <v>0</v>
      </c>
      <c r="L26" s="1276">
        <f t="shared" si="2"/>
        <v>0</v>
      </c>
    </row>
    <row r="27" spans="1:229" s="535" customFormat="1" ht="20.100000000000001" customHeight="1">
      <c r="A27" s="1267">
        <f t="shared" si="3"/>
        <v>12</v>
      </c>
      <c r="B27" s="1884" t="str">
        <f>VLOOKUP(A27,'BASE ADUTORA'!A:N,2,FALSE)</f>
        <v>T12</v>
      </c>
      <c r="C27" s="1885"/>
      <c r="D27" s="1268">
        <f>'TSD ADUTORA'!F25</f>
        <v>306</v>
      </c>
      <c r="E27" s="1274">
        <f>'COMP. TSD'!$G$19</f>
        <v>7.3000000000000001E-3</v>
      </c>
      <c r="F27" s="1274">
        <f>'COMP. TSD'!$G$20</f>
        <v>1.4999999999999999E-2</v>
      </c>
      <c r="G27" s="1275">
        <v>30</v>
      </c>
      <c r="H27" s="1276">
        <f t="shared" si="0"/>
        <v>204.714</v>
      </c>
      <c r="I27" s="1275">
        <v>138</v>
      </c>
      <c r="J27" s="1276">
        <f t="shared" si="1"/>
        <v>941.68399999999997</v>
      </c>
      <c r="K27" s="1275">
        <v>0</v>
      </c>
      <c r="L27" s="1276">
        <f t="shared" si="2"/>
        <v>0</v>
      </c>
    </row>
    <row r="28" spans="1:229" s="535" customFormat="1" ht="20.100000000000001" customHeight="1">
      <c r="A28" s="1267">
        <f t="shared" si="3"/>
        <v>13</v>
      </c>
      <c r="B28" s="1884" t="str">
        <f>VLOOKUP(A28,'BASE ADUTORA'!A:N,2,FALSE)</f>
        <v>T13</v>
      </c>
      <c r="C28" s="1885"/>
      <c r="D28" s="1268">
        <f>'TSD ADUTORA'!F26</f>
        <v>45</v>
      </c>
      <c r="E28" s="1274">
        <f>'COMP. TSD'!$G$19</f>
        <v>7.3000000000000001E-3</v>
      </c>
      <c r="F28" s="1274">
        <f>'COMP. TSD'!$G$20</f>
        <v>1.4999999999999999E-2</v>
      </c>
      <c r="G28" s="1275">
        <v>30</v>
      </c>
      <c r="H28" s="1276">
        <f t="shared" si="0"/>
        <v>30.105</v>
      </c>
      <c r="I28" s="1275">
        <v>138</v>
      </c>
      <c r="J28" s="1276">
        <f t="shared" si="1"/>
        <v>138.483</v>
      </c>
      <c r="K28" s="1275">
        <v>0</v>
      </c>
      <c r="L28" s="1276">
        <f t="shared" si="2"/>
        <v>0</v>
      </c>
    </row>
    <row r="29" spans="1:229" s="220" customFormat="1" ht="20.100000000000001" customHeight="1">
      <c r="A29" s="1921" t="s">
        <v>14005</v>
      </c>
      <c r="B29" s="1922"/>
      <c r="C29" s="1922"/>
      <c r="D29" s="1262">
        <f>SUM(D16:D28)</f>
        <v>2193</v>
      </c>
      <c r="E29" s="1277"/>
      <c r="F29" s="1262"/>
      <c r="G29" s="1262"/>
      <c r="H29" s="1262">
        <f>SUM(H16:H28)</f>
        <v>1467.115</v>
      </c>
      <c r="I29" s="1262"/>
      <c r="J29" s="1262">
        <f>SUM(J16:J28)</f>
        <v>6748.732</v>
      </c>
      <c r="K29" s="1262"/>
      <c r="L29" s="1262">
        <f>TRUNC(SUM(L16:L28),2)</f>
        <v>0</v>
      </c>
      <c r="M29" s="433"/>
      <c r="N29" s="433"/>
      <c r="O29" s="1242"/>
      <c r="P29" s="1243"/>
      <c r="Q29" s="433"/>
      <c r="R29" s="433"/>
      <c r="S29" s="433"/>
      <c r="T29" s="433"/>
      <c r="U29" s="1242"/>
      <c r="V29" s="1243"/>
      <c r="W29" s="433"/>
      <c r="X29" s="433"/>
      <c r="Y29" s="433"/>
      <c r="Z29" s="433"/>
      <c r="AA29" s="1242"/>
      <c r="AB29" s="1243"/>
      <c r="AC29" s="433"/>
      <c r="AD29" s="433"/>
      <c r="AE29" s="433"/>
      <c r="AF29" s="433"/>
      <c r="AG29" s="1242"/>
      <c r="AH29" s="1243"/>
      <c r="AI29" s="433"/>
      <c r="AJ29" s="433"/>
      <c r="AK29" s="433"/>
      <c r="AL29" s="433"/>
      <c r="AM29" s="1242"/>
      <c r="AN29" s="1243"/>
      <c r="AO29" s="433"/>
      <c r="AP29" s="433"/>
      <c r="AQ29" s="433"/>
      <c r="AR29" s="433"/>
      <c r="AS29" s="1242"/>
      <c r="AT29" s="1243"/>
      <c r="AU29" s="433"/>
      <c r="AV29" s="433"/>
      <c r="AW29" s="433"/>
      <c r="AX29" s="433"/>
      <c r="AY29" s="1242"/>
      <c r="AZ29" s="1243"/>
      <c r="BA29" s="433"/>
      <c r="BB29" s="433"/>
      <c r="BC29" s="433"/>
      <c r="BD29" s="433"/>
      <c r="BE29" s="1242"/>
      <c r="BF29" s="1243"/>
      <c r="BG29" s="433"/>
      <c r="BH29" s="433"/>
      <c r="BI29" s="433"/>
      <c r="BJ29" s="433"/>
      <c r="BK29" s="1242"/>
      <c r="BL29" s="1243"/>
      <c r="BM29" s="433"/>
      <c r="BN29" s="433"/>
      <c r="BO29" s="433"/>
      <c r="BP29" s="433"/>
      <c r="BQ29" s="1242"/>
      <c r="BR29" s="1243"/>
      <c r="BS29" s="433"/>
      <c r="BT29" s="433"/>
      <c r="BU29" s="433"/>
      <c r="BV29" s="433"/>
      <c r="BW29" s="1242"/>
      <c r="BX29" s="1243"/>
      <c r="BY29" s="433"/>
      <c r="BZ29" s="433"/>
      <c r="CA29" s="433"/>
      <c r="CB29" s="433"/>
      <c r="CC29" s="1242"/>
      <c r="CD29" s="1243"/>
      <c r="CE29" s="433"/>
      <c r="CF29" s="433"/>
      <c r="CG29" s="433"/>
      <c r="CH29" s="433"/>
      <c r="CI29" s="1242"/>
      <c r="CJ29" s="1243"/>
      <c r="CK29" s="433"/>
      <c r="CL29" s="433"/>
      <c r="CM29" s="433"/>
      <c r="CN29" s="433"/>
      <c r="CO29" s="1242"/>
      <c r="CP29" s="1243"/>
      <c r="CQ29" s="433"/>
      <c r="CR29" s="433"/>
      <c r="CS29" s="433"/>
      <c r="CT29" s="433"/>
      <c r="CU29" s="1242"/>
      <c r="CV29" s="1243"/>
      <c r="CW29" s="433"/>
      <c r="CX29" s="433"/>
      <c r="CY29" s="433"/>
      <c r="CZ29" s="433"/>
      <c r="DA29" s="1242"/>
      <c r="DB29" s="1243"/>
      <c r="DC29" s="433"/>
      <c r="DD29" s="433"/>
      <c r="DE29" s="433"/>
      <c r="DF29" s="433"/>
      <c r="DG29" s="1242"/>
      <c r="DH29" s="1243"/>
      <c r="DI29" s="433"/>
      <c r="DJ29" s="433"/>
      <c r="DK29" s="433"/>
      <c r="DL29" s="433"/>
      <c r="DM29" s="1242"/>
      <c r="DN29" s="1243"/>
      <c r="DO29" s="433"/>
      <c r="DP29" s="433"/>
      <c r="DQ29" s="433"/>
      <c r="DR29" s="433"/>
      <c r="DS29" s="1242"/>
      <c r="DT29" s="1243"/>
      <c r="DU29" s="433"/>
      <c r="DV29" s="433"/>
      <c r="DW29" s="433"/>
      <c r="DX29" s="433"/>
      <c r="DY29" s="1242"/>
      <c r="DZ29" s="1243"/>
      <c r="EA29" s="433"/>
      <c r="EB29" s="433"/>
      <c r="EC29" s="433"/>
      <c r="ED29" s="433"/>
      <c r="EE29" s="1242"/>
      <c r="EF29" s="1243"/>
      <c r="EG29" s="433"/>
      <c r="EH29" s="433"/>
      <c r="EI29" s="433"/>
      <c r="EJ29" s="433"/>
      <c r="EK29" s="1242"/>
      <c r="EL29" s="1243"/>
      <c r="EM29" s="433"/>
      <c r="EN29" s="433"/>
      <c r="EO29" s="433"/>
      <c r="EP29" s="433"/>
      <c r="EQ29" s="1242"/>
      <c r="ER29" s="1243"/>
      <c r="ES29" s="433"/>
      <c r="ET29" s="433"/>
      <c r="EU29" s="433"/>
      <c r="EV29" s="433"/>
      <c r="EW29" s="1242"/>
      <c r="EX29" s="1243"/>
      <c r="EY29" s="433"/>
      <c r="EZ29" s="433"/>
      <c r="FA29" s="433"/>
      <c r="FB29" s="433"/>
      <c r="FC29" s="1242"/>
      <c r="FD29" s="1243"/>
      <c r="FE29" s="433"/>
      <c r="FF29" s="433"/>
      <c r="FG29" s="433"/>
      <c r="FH29" s="433"/>
      <c r="FI29" s="1242"/>
      <c r="FJ29" s="1243"/>
      <c r="FK29" s="433"/>
      <c r="FL29" s="433"/>
      <c r="FM29" s="433"/>
      <c r="FN29" s="433"/>
      <c r="FO29" s="1242"/>
      <c r="FP29" s="1243"/>
      <c r="FQ29" s="433"/>
      <c r="FR29" s="433"/>
      <c r="FS29" s="433"/>
      <c r="FT29" s="433"/>
      <c r="FU29" s="1242"/>
      <c r="FV29" s="1243"/>
      <c r="FW29" s="433"/>
      <c r="FX29" s="433"/>
      <c r="FY29" s="433"/>
      <c r="FZ29" s="433"/>
      <c r="GA29" s="1242"/>
      <c r="GB29" s="1243"/>
      <c r="GC29" s="433"/>
      <c r="GD29" s="433"/>
      <c r="GE29" s="433"/>
      <c r="GF29" s="433"/>
      <c r="GG29" s="1242"/>
      <c r="GH29" s="1243"/>
      <c r="GI29" s="433"/>
      <c r="GJ29" s="433"/>
      <c r="GK29" s="433"/>
      <c r="GL29" s="433"/>
      <c r="GM29" s="1242"/>
      <c r="GN29" s="1243"/>
      <c r="GO29" s="433"/>
      <c r="GP29" s="433"/>
      <c r="GQ29" s="433"/>
      <c r="GR29" s="433"/>
      <c r="GS29" s="1242"/>
      <c r="GT29" s="1243"/>
      <c r="GU29" s="433"/>
      <c r="GV29" s="433"/>
      <c r="GW29" s="433"/>
      <c r="GX29" s="433"/>
      <c r="GY29" s="1242"/>
      <c r="GZ29" s="1243"/>
      <c r="HA29" s="433"/>
      <c r="HB29" s="433"/>
      <c r="HC29" s="433"/>
      <c r="HD29" s="433"/>
      <c r="HE29" s="1242"/>
      <c r="HF29" s="1243"/>
      <c r="HG29" s="433"/>
      <c r="HH29" s="433"/>
      <c r="HI29" s="433"/>
      <c r="HJ29" s="433"/>
      <c r="HK29" s="1242"/>
      <c r="HL29" s="1243"/>
      <c r="HM29" s="433"/>
      <c r="HN29" s="433"/>
      <c r="HO29" s="433"/>
      <c r="HP29" s="433"/>
      <c r="HQ29" s="1242"/>
      <c r="HR29" s="1243"/>
      <c r="HS29" s="433"/>
      <c r="HT29" s="433"/>
      <c r="HU29" s="433"/>
    </row>
    <row r="30" spans="1:229" s="220" customFormat="1" ht="9.9499999999999993" customHeight="1">
      <c r="A30" s="1945" t="s">
        <v>4336</v>
      </c>
      <c r="B30" s="1946"/>
      <c r="C30" s="1946"/>
      <c r="D30" s="1946"/>
      <c r="E30" s="1946"/>
      <c r="F30" s="1946"/>
      <c r="G30" s="1946"/>
      <c r="H30" s="1946"/>
      <c r="I30" s="1946"/>
      <c r="J30" s="1946"/>
      <c r="K30" s="1946"/>
      <c r="L30" s="1947"/>
      <c r="M30" s="433"/>
      <c r="N30" s="433"/>
      <c r="O30" s="1242"/>
      <c r="P30" s="1243"/>
      <c r="Q30" s="433"/>
      <c r="R30" s="433"/>
      <c r="S30" s="433"/>
      <c r="T30" s="433"/>
      <c r="U30" s="1242"/>
      <c r="V30" s="1243"/>
      <c r="W30" s="433"/>
      <c r="X30" s="433"/>
      <c r="Y30" s="433"/>
      <c r="Z30" s="433"/>
      <c r="AA30" s="1242"/>
      <c r="AB30" s="1243"/>
      <c r="AC30" s="433"/>
      <c r="AD30" s="433"/>
      <c r="AE30" s="433"/>
      <c r="AF30" s="433"/>
      <c r="AG30" s="1242"/>
      <c r="AH30" s="1243"/>
      <c r="AI30" s="433"/>
      <c r="AJ30" s="433"/>
      <c r="AK30" s="433"/>
      <c r="AL30" s="433"/>
      <c r="AM30" s="1242"/>
      <c r="AN30" s="1243"/>
      <c r="AO30" s="433"/>
      <c r="AP30" s="433"/>
      <c r="AQ30" s="433"/>
      <c r="AR30" s="433"/>
      <c r="AS30" s="1242"/>
      <c r="AT30" s="1243"/>
      <c r="AU30" s="433"/>
      <c r="AV30" s="433"/>
      <c r="AW30" s="433"/>
      <c r="AX30" s="433"/>
      <c r="AY30" s="1242"/>
      <c r="AZ30" s="1243"/>
      <c r="BA30" s="433"/>
      <c r="BB30" s="433"/>
      <c r="BC30" s="433"/>
      <c r="BD30" s="433"/>
      <c r="BE30" s="1242"/>
      <c r="BF30" s="1243"/>
      <c r="BG30" s="433"/>
      <c r="BH30" s="433"/>
      <c r="BI30" s="433"/>
      <c r="BJ30" s="433"/>
      <c r="BK30" s="1242"/>
      <c r="BL30" s="1243"/>
      <c r="BM30" s="433"/>
      <c r="BN30" s="433"/>
      <c r="BO30" s="433"/>
      <c r="BP30" s="433"/>
      <c r="BQ30" s="1242"/>
      <c r="BR30" s="1243"/>
      <c r="BS30" s="433"/>
      <c r="BT30" s="433"/>
      <c r="BU30" s="433"/>
      <c r="BV30" s="433"/>
      <c r="BW30" s="1242"/>
      <c r="BX30" s="1243"/>
      <c r="BY30" s="433"/>
      <c r="BZ30" s="433"/>
      <c r="CA30" s="433"/>
      <c r="CB30" s="433"/>
      <c r="CC30" s="1242"/>
      <c r="CD30" s="1243"/>
      <c r="CE30" s="433"/>
      <c r="CF30" s="433"/>
      <c r="CG30" s="433"/>
      <c r="CH30" s="433"/>
      <c r="CI30" s="1242"/>
      <c r="CJ30" s="1243"/>
      <c r="CK30" s="433"/>
      <c r="CL30" s="433"/>
      <c r="CM30" s="433"/>
      <c r="CN30" s="433"/>
      <c r="CO30" s="1242"/>
      <c r="CP30" s="1243"/>
      <c r="CQ30" s="433"/>
      <c r="CR30" s="433"/>
      <c r="CS30" s="433"/>
      <c r="CT30" s="433"/>
      <c r="CU30" s="1242"/>
      <c r="CV30" s="1243"/>
      <c r="CW30" s="433"/>
      <c r="CX30" s="433"/>
      <c r="CY30" s="433"/>
      <c r="CZ30" s="433"/>
      <c r="DA30" s="1242"/>
      <c r="DB30" s="1243"/>
      <c r="DC30" s="433"/>
      <c r="DD30" s="433"/>
      <c r="DE30" s="433"/>
      <c r="DF30" s="433"/>
      <c r="DG30" s="1242"/>
      <c r="DH30" s="1243"/>
      <c r="DI30" s="433"/>
      <c r="DJ30" s="433"/>
      <c r="DK30" s="433"/>
      <c r="DL30" s="433"/>
      <c r="DM30" s="1242"/>
      <c r="DN30" s="1243"/>
      <c r="DO30" s="433"/>
      <c r="DP30" s="433"/>
      <c r="DQ30" s="433"/>
      <c r="DR30" s="433"/>
      <c r="DS30" s="1242"/>
      <c r="DT30" s="1243"/>
      <c r="DU30" s="433"/>
      <c r="DV30" s="433"/>
      <c r="DW30" s="433"/>
      <c r="DX30" s="433"/>
      <c r="DY30" s="1242"/>
      <c r="DZ30" s="1243"/>
      <c r="EA30" s="433"/>
      <c r="EB30" s="433"/>
      <c r="EC30" s="433"/>
      <c r="ED30" s="433"/>
      <c r="EE30" s="1242"/>
      <c r="EF30" s="1243"/>
      <c r="EG30" s="433"/>
      <c r="EH30" s="433"/>
      <c r="EI30" s="433"/>
      <c r="EJ30" s="433"/>
      <c r="EK30" s="1242"/>
      <c r="EL30" s="1243"/>
      <c r="EM30" s="433"/>
      <c r="EN30" s="433"/>
      <c r="EO30" s="433"/>
      <c r="EP30" s="433"/>
      <c r="EQ30" s="1242"/>
      <c r="ER30" s="1243"/>
      <c r="ES30" s="433"/>
      <c r="ET30" s="433"/>
      <c r="EU30" s="433"/>
      <c r="EV30" s="433"/>
      <c r="EW30" s="1242"/>
      <c r="EX30" s="1243"/>
      <c r="EY30" s="433"/>
      <c r="EZ30" s="433"/>
      <c r="FA30" s="433"/>
      <c r="FB30" s="433"/>
      <c r="FC30" s="1242"/>
      <c r="FD30" s="1243"/>
      <c r="FE30" s="433"/>
      <c r="FF30" s="433"/>
      <c r="FG30" s="433"/>
      <c r="FH30" s="433"/>
      <c r="FI30" s="1242"/>
      <c r="FJ30" s="1243"/>
      <c r="FK30" s="433"/>
      <c r="FL30" s="433"/>
      <c r="FM30" s="433"/>
      <c r="FN30" s="433"/>
      <c r="FO30" s="1242"/>
      <c r="FP30" s="1243"/>
      <c r="FQ30" s="433"/>
      <c r="FR30" s="433"/>
      <c r="FS30" s="433"/>
      <c r="FT30" s="433"/>
      <c r="FU30" s="1242"/>
      <c r="FV30" s="1243"/>
      <c r="FW30" s="433"/>
      <c r="FX30" s="433"/>
      <c r="FY30" s="433"/>
      <c r="FZ30" s="433"/>
      <c r="GA30" s="1242"/>
      <c r="GB30" s="1243"/>
      <c r="GC30" s="433"/>
      <c r="GD30" s="433"/>
      <c r="GE30" s="433"/>
      <c r="GF30" s="433"/>
      <c r="GG30" s="1242"/>
      <c r="GH30" s="1243"/>
      <c r="GI30" s="433"/>
      <c r="GJ30" s="433"/>
      <c r="GK30" s="433"/>
      <c r="GL30" s="433"/>
      <c r="GM30" s="1242"/>
      <c r="GN30" s="1243"/>
      <c r="GO30" s="433"/>
      <c r="GP30" s="433"/>
      <c r="GQ30" s="433"/>
      <c r="GR30" s="433"/>
      <c r="GS30" s="1242"/>
      <c r="GT30" s="1243"/>
      <c r="GU30" s="433"/>
      <c r="GV30" s="433"/>
      <c r="GW30" s="433"/>
      <c r="GX30" s="433"/>
      <c r="GY30" s="1242"/>
      <c r="GZ30" s="1243"/>
      <c r="HA30" s="433"/>
      <c r="HB30" s="433"/>
      <c r="HC30" s="433"/>
      <c r="HD30" s="433"/>
      <c r="HE30" s="1242"/>
      <c r="HF30" s="1243"/>
      <c r="HG30" s="433"/>
      <c r="HH30" s="433"/>
      <c r="HI30" s="433"/>
      <c r="HJ30" s="433"/>
      <c r="HK30" s="1242"/>
      <c r="HL30" s="1243"/>
      <c r="HM30" s="433"/>
      <c r="HN30" s="433"/>
      <c r="HO30" s="433"/>
      <c r="HP30" s="433"/>
      <c r="HQ30" s="1242"/>
      <c r="HR30" s="1243"/>
      <c r="HS30" s="433"/>
      <c r="HT30" s="433"/>
      <c r="HU30" s="433"/>
    </row>
    <row r="31" spans="1:229" s="220" customFormat="1" ht="9.9499999999999993" customHeight="1">
      <c r="A31" s="1948"/>
      <c r="B31" s="1949"/>
      <c r="C31" s="1949"/>
      <c r="D31" s="1949"/>
      <c r="E31" s="1949"/>
      <c r="F31" s="1949"/>
      <c r="G31" s="1949"/>
      <c r="H31" s="1949"/>
      <c r="I31" s="1949"/>
      <c r="J31" s="1949"/>
      <c r="K31" s="1949"/>
      <c r="L31" s="1950"/>
      <c r="M31" s="433"/>
      <c r="N31" s="433"/>
      <c r="O31" s="1242"/>
      <c r="P31" s="1243"/>
      <c r="Q31" s="433"/>
      <c r="R31" s="433"/>
      <c r="S31" s="433"/>
      <c r="T31" s="433"/>
      <c r="U31" s="1242"/>
      <c r="V31" s="1243"/>
      <c r="W31" s="433"/>
      <c r="X31" s="433"/>
      <c r="Y31" s="433"/>
      <c r="Z31" s="433"/>
      <c r="AA31" s="1242"/>
      <c r="AB31" s="1243"/>
      <c r="AC31" s="433"/>
      <c r="AD31" s="433"/>
      <c r="AE31" s="433"/>
      <c r="AF31" s="433"/>
      <c r="AG31" s="1242"/>
      <c r="AH31" s="1243"/>
      <c r="AI31" s="433"/>
      <c r="AJ31" s="433"/>
      <c r="AK31" s="433"/>
      <c r="AL31" s="433"/>
      <c r="AM31" s="1242"/>
      <c r="AN31" s="1243"/>
      <c r="AO31" s="433"/>
      <c r="AP31" s="433"/>
      <c r="AQ31" s="433"/>
      <c r="AR31" s="433"/>
      <c r="AS31" s="1242"/>
      <c r="AT31" s="1243"/>
      <c r="AU31" s="433"/>
      <c r="AV31" s="433"/>
      <c r="AW31" s="433"/>
      <c r="AX31" s="433"/>
      <c r="AY31" s="1242"/>
      <c r="AZ31" s="1243"/>
      <c r="BA31" s="433"/>
      <c r="BB31" s="433"/>
      <c r="BC31" s="433"/>
      <c r="BD31" s="433"/>
      <c r="BE31" s="1242"/>
      <c r="BF31" s="1243"/>
      <c r="BG31" s="433"/>
      <c r="BH31" s="433"/>
      <c r="BI31" s="433"/>
      <c r="BJ31" s="433"/>
      <c r="BK31" s="1242"/>
      <c r="BL31" s="1243"/>
      <c r="BM31" s="433"/>
      <c r="BN31" s="433"/>
      <c r="BO31" s="433"/>
      <c r="BP31" s="433"/>
      <c r="BQ31" s="1242"/>
      <c r="BR31" s="1243"/>
      <c r="BS31" s="433"/>
      <c r="BT31" s="433"/>
      <c r="BU31" s="433"/>
      <c r="BV31" s="433"/>
      <c r="BW31" s="1242"/>
      <c r="BX31" s="1243"/>
      <c r="BY31" s="433"/>
      <c r="BZ31" s="433"/>
      <c r="CA31" s="433"/>
      <c r="CB31" s="433"/>
      <c r="CC31" s="1242"/>
      <c r="CD31" s="1243"/>
      <c r="CE31" s="433"/>
      <c r="CF31" s="433"/>
      <c r="CG31" s="433"/>
      <c r="CH31" s="433"/>
      <c r="CI31" s="1242"/>
      <c r="CJ31" s="1243"/>
      <c r="CK31" s="433"/>
      <c r="CL31" s="433"/>
      <c r="CM31" s="433"/>
      <c r="CN31" s="433"/>
      <c r="CO31" s="1242"/>
      <c r="CP31" s="1243"/>
      <c r="CQ31" s="433"/>
      <c r="CR31" s="433"/>
      <c r="CS31" s="433"/>
      <c r="CT31" s="433"/>
      <c r="CU31" s="1242"/>
      <c r="CV31" s="1243"/>
      <c r="CW31" s="433"/>
      <c r="CX31" s="433"/>
      <c r="CY31" s="433"/>
      <c r="CZ31" s="433"/>
      <c r="DA31" s="1242"/>
      <c r="DB31" s="1243"/>
      <c r="DC31" s="433"/>
      <c r="DD31" s="433"/>
      <c r="DE31" s="433"/>
      <c r="DF31" s="433"/>
      <c r="DG31" s="1242"/>
      <c r="DH31" s="1243"/>
      <c r="DI31" s="433"/>
      <c r="DJ31" s="433"/>
      <c r="DK31" s="433"/>
      <c r="DL31" s="433"/>
      <c r="DM31" s="1242"/>
      <c r="DN31" s="1243"/>
      <c r="DO31" s="433"/>
      <c r="DP31" s="433"/>
      <c r="DQ31" s="433"/>
      <c r="DR31" s="433"/>
      <c r="DS31" s="1242"/>
      <c r="DT31" s="1243"/>
      <c r="DU31" s="433"/>
      <c r="DV31" s="433"/>
      <c r="DW31" s="433"/>
      <c r="DX31" s="433"/>
      <c r="DY31" s="1242"/>
      <c r="DZ31" s="1243"/>
      <c r="EA31" s="433"/>
      <c r="EB31" s="433"/>
      <c r="EC31" s="433"/>
      <c r="ED31" s="433"/>
      <c r="EE31" s="1242"/>
      <c r="EF31" s="1243"/>
      <c r="EG31" s="433"/>
      <c r="EH31" s="433"/>
      <c r="EI31" s="433"/>
      <c r="EJ31" s="433"/>
      <c r="EK31" s="1242"/>
      <c r="EL31" s="1243"/>
      <c r="EM31" s="433"/>
      <c r="EN31" s="433"/>
      <c r="EO31" s="433"/>
      <c r="EP31" s="433"/>
      <c r="EQ31" s="1242"/>
      <c r="ER31" s="1243"/>
      <c r="ES31" s="433"/>
      <c r="ET31" s="433"/>
      <c r="EU31" s="433"/>
      <c r="EV31" s="433"/>
      <c r="EW31" s="1242"/>
      <c r="EX31" s="1243"/>
      <c r="EY31" s="433"/>
      <c r="EZ31" s="433"/>
      <c r="FA31" s="433"/>
      <c r="FB31" s="433"/>
      <c r="FC31" s="1242"/>
      <c r="FD31" s="1243"/>
      <c r="FE31" s="433"/>
      <c r="FF31" s="433"/>
      <c r="FG31" s="433"/>
      <c r="FH31" s="433"/>
      <c r="FI31" s="1242"/>
      <c r="FJ31" s="1243"/>
      <c r="FK31" s="433"/>
      <c r="FL31" s="433"/>
      <c r="FM31" s="433"/>
      <c r="FN31" s="433"/>
      <c r="FO31" s="1242"/>
      <c r="FP31" s="1243"/>
      <c r="FQ31" s="433"/>
      <c r="FR31" s="433"/>
      <c r="FS31" s="433"/>
      <c r="FT31" s="433"/>
      <c r="FU31" s="1242"/>
      <c r="FV31" s="1243"/>
      <c r="FW31" s="433"/>
      <c r="FX31" s="433"/>
      <c r="FY31" s="433"/>
      <c r="FZ31" s="433"/>
      <c r="GA31" s="1242"/>
      <c r="GB31" s="1243"/>
      <c r="GC31" s="433"/>
      <c r="GD31" s="433"/>
      <c r="GE31" s="433"/>
      <c r="GF31" s="433"/>
      <c r="GG31" s="1242"/>
      <c r="GH31" s="1243"/>
      <c r="GI31" s="433"/>
      <c r="GJ31" s="433"/>
      <c r="GK31" s="433"/>
      <c r="GL31" s="433"/>
      <c r="GM31" s="1242"/>
      <c r="GN31" s="1243"/>
      <c r="GO31" s="433"/>
      <c r="GP31" s="433"/>
      <c r="GQ31" s="433"/>
      <c r="GR31" s="433"/>
      <c r="GS31" s="1242"/>
      <c r="GT31" s="1243"/>
      <c r="GU31" s="433"/>
      <c r="GV31" s="433"/>
      <c r="GW31" s="433"/>
      <c r="GX31" s="433"/>
      <c r="GY31" s="1242"/>
      <c r="GZ31" s="1243"/>
      <c r="HA31" s="433"/>
      <c r="HB31" s="433"/>
      <c r="HC31" s="433"/>
      <c r="HD31" s="433"/>
      <c r="HE31" s="1242"/>
      <c r="HF31" s="1243"/>
      <c r="HG31" s="433"/>
      <c r="HH31" s="433"/>
      <c r="HI31" s="433"/>
      <c r="HJ31" s="433"/>
      <c r="HK31" s="1242"/>
      <c r="HL31" s="1243"/>
      <c r="HM31" s="433"/>
      <c r="HN31" s="433"/>
      <c r="HO31" s="433"/>
      <c r="HP31" s="433"/>
      <c r="HQ31" s="1242"/>
      <c r="HR31" s="1243"/>
      <c r="HS31" s="433"/>
      <c r="HT31" s="433"/>
      <c r="HU31" s="433"/>
    </row>
    <row r="32" spans="1:229" s="220" customFormat="1" ht="9.9499999999999993" customHeight="1">
      <c r="A32" s="1948" t="s">
        <v>4351</v>
      </c>
      <c r="B32" s="1949"/>
      <c r="C32" s="1949"/>
      <c r="D32" s="1949"/>
      <c r="E32" s="1949"/>
      <c r="F32" s="1949"/>
      <c r="G32" s="1949"/>
      <c r="H32" s="1949"/>
      <c r="I32" s="1949"/>
      <c r="J32" s="1949"/>
      <c r="K32" s="1949"/>
      <c r="L32" s="1950"/>
      <c r="M32" s="433"/>
      <c r="N32" s="433"/>
      <c r="O32" s="1242"/>
      <c r="P32" s="1243"/>
      <c r="Q32" s="433"/>
      <c r="R32" s="433"/>
      <c r="S32" s="433"/>
      <c r="T32" s="433"/>
      <c r="U32" s="1242"/>
      <c r="V32" s="1243"/>
      <c r="W32" s="433"/>
      <c r="X32" s="433"/>
      <c r="Y32" s="433"/>
      <c r="Z32" s="433"/>
      <c r="AA32" s="1242"/>
      <c r="AB32" s="1243"/>
      <c r="AC32" s="433"/>
      <c r="AD32" s="433"/>
      <c r="AE32" s="433"/>
      <c r="AF32" s="433"/>
      <c r="AG32" s="1242"/>
      <c r="AH32" s="1243"/>
      <c r="AI32" s="433"/>
      <c r="AJ32" s="433"/>
      <c r="AK32" s="433"/>
      <c r="AL32" s="433"/>
      <c r="AM32" s="1242"/>
      <c r="AN32" s="1243"/>
      <c r="AO32" s="433"/>
      <c r="AP32" s="433"/>
      <c r="AQ32" s="433"/>
      <c r="AR32" s="433"/>
      <c r="AS32" s="1242"/>
      <c r="AT32" s="1243"/>
      <c r="AU32" s="433"/>
      <c r="AV32" s="433"/>
      <c r="AW32" s="433"/>
      <c r="AX32" s="433"/>
      <c r="AY32" s="1242"/>
      <c r="AZ32" s="1243"/>
      <c r="BA32" s="433"/>
      <c r="BB32" s="433"/>
      <c r="BC32" s="433"/>
      <c r="BD32" s="433"/>
      <c r="BE32" s="1242"/>
      <c r="BF32" s="1243"/>
      <c r="BG32" s="433"/>
      <c r="BH32" s="433"/>
      <c r="BI32" s="433"/>
      <c r="BJ32" s="433"/>
      <c r="BK32" s="1242"/>
      <c r="BL32" s="1243"/>
      <c r="BM32" s="433"/>
      <c r="BN32" s="433"/>
      <c r="BO32" s="433"/>
      <c r="BP32" s="433"/>
      <c r="BQ32" s="1242"/>
      <c r="BR32" s="1243"/>
      <c r="BS32" s="433"/>
      <c r="BT32" s="433"/>
      <c r="BU32" s="433"/>
      <c r="BV32" s="433"/>
      <c r="BW32" s="1242"/>
      <c r="BX32" s="1243"/>
      <c r="BY32" s="433"/>
      <c r="BZ32" s="433"/>
      <c r="CA32" s="433"/>
      <c r="CB32" s="433"/>
      <c r="CC32" s="1242"/>
      <c r="CD32" s="1243"/>
      <c r="CE32" s="433"/>
      <c r="CF32" s="433"/>
      <c r="CG32" s="433"/>
      <c r="CH32" s="433"/>
      <c r="CI32" s="1242"/>
      <c r="CJ32" s="1243"/>
      <c r="CK32" s="433"/>
      <c r="CL32" s="433"/>
      <c r="CM32" s="433"/>
      <c r="CN32" s="433"/>
      <c r="CO32" s="1242"/>
      <c r="CP32" s="1243"/>
      <c r="CQ32" s="433"/>
      <c r="CR32" s="433"/>
      <c r="CS32" s="433"/>
      <c r="CT32" s="433"/>
      <c r="CU32" s="1242"/>
      <c r="CV32" s="1243"/>
      <c r="CW32" s="433"/>
      <c r="CX32" s="433"/>
      <c r="CY32" s="433"/>
      <c r="CZ32" s="433"/>
      <c r="DA32" s="1242"/>
      <c r="DB32" s="1243"/>
      <c r="DC32" s="433"/>
      <c r="DD32" s="433"/>
      <c r="DE32" s="433"/>
      <c r="DF32" s="433"/>
      <c r="DG32" s="1242"/>
      <c r="DH32" s="1243"/>
      <c r="DI32" s="433"/>
      <c r="DJ32" s="433"/>
      <c r="DK32" s="433"/>
      <c r="DL32" s="433"/>
      <c r="DM32" s="1242"/>
      <c r="DN32" s="1243"/>
      <c r="DO32" s="433"/>
      <c r="DP32" s="433"/>
      <c r="DQ32" s="433"/>
      <c r="DR32" s="433"/>
      <c r="DS32" s="1242"/>
      <c r="DT32" s="1243"/>
      <c r="DU32" s="433"/>
      <c r="DV32" s="433"/>
      <c r="DW32" s="433"/>
      <c r="DX32" s="433"/>
      <c r="DY32" s="1242"/>
      <c r="DZ32" s="1243"/>
      <c r="EA32" s="433"/>
      <c r="EB32" s="433"/>
      <c r="EC32" s="433"/>
      <c r="ED32" s="433"/>
      <c r="EE32" s="1242"/>
      <c r="EF32" s="1243"/>
      <c r="EG32" s="433"/>
      <c r="EH32" s="433"/>
      <c r="EI32" s="433"/>
      <c r="EJ32" s="433"/>
      <c r="EK32" s="1242"/>
      <c r="EL32" s="1243"/>
      <c r="EM32" s="433"/>
      <c r="EN32" s="433"/>
      <c r="EO32" s="433"/>
      <c r="EP32" s="433"/>
      <c r="EQ32" s="1242"/>
      <c r="ER32" s="1243"/>
      <c r="ES32" s="433"/>
      <c r="ET32" s="433"/>
      <c r="EU32" s="433"/>
      <c r="EV32" s="433"/>
      <c r="EW32" s="1242"/>
      <c r="EX32" s="1243"/>
      <c r="EY32" s="433"/>
      <c r="EZ32" s="433"/>
      <c r="FA32" s="433"/>
      <c r="FB32" s="433"/>
      <c r="FC32" s="1242"/>
      <c r="FD32" s="1243"/>
      <c r="FE32" s="433"/>
      <c r="FF32" s="433"/>
      <c r="FG32" s="433"/>
      <c r="FH32" s="433"/>
      <c r="FI32" s="1242"/>
      <c r="FJ32" s="1243"/>
      <c r="FK32" s="433"/>
      <c r="FL32" s="433"/>
      <c r="FM32" s="433"/>
      <c r="FN32" s="433"/>
      <c r="FO32" s="1242"/>
      <c r="FP32" s="1243"/>
      <c r="FQ32" s="433"/>
      <c r="FR32" s="433"/>
      <c r="FS32" s="433"/>
      <c r="FT32" s="433"/>
      <c r="FU32" s="1242"/>
      <c r="FV32" s="1243"/>
      <c r="FW32" s="433"/>
      <c r="FX32" s="433"/>
      <c r="FY32" s="433"/>
      <c r="FZ32" s="433"/>
      <c r="GA32" s="1242"/>
      <c r="GB32" s="1243"/>
      <c r="GC32" s="433"/>
      <c r="GD32" s="433"/>
      <c r="GE32" s="433"/>
      <c r="GF32" s="433"/>
      <c r="GG32" s="1242"/>
      <c r="GH32" s="1243"/>
      <c r="GI32" s="433"/>
      <c r="GJ32" s="433"/>
      <c r="GK32" s="433"/>
      <c r="GL32" s="433"/>
      <c r="GM32" s="1242"/>
      <c r="GN32" s="1243"/>
      <c r="GO32" s="433"/>
      <c r="GP32" s="433"/>
      <c r="GQ32" s="433"/>
      <c r="GR32" s="433"/>
      <c r="GS32" s="1242"/>
      <c r="GT32" s="1243"/>
      <c r="GU32" s="433"/>
      <c r="GV32" s="433"/>
      <c r="GW32" s="433"/>
      <c r="GX32" s="433"/>
      <c r="GY32" s="1242"/>
      <c r="GZ32" s="1243"/>
      <c r="HA32" s="433"/>
      <c r="HB32" s="433"/>
      <c r="HC32" s="433"/>
      <c r="HD32" s="433"/>
      <c r="HE32" s="1242"/>
      <c r="HF32" s="1243"/>
      <c r="HG32" s="433"/>
      <c r="HH32" s="433"/>
      <c r="HI32" s="433"/>
      <c r="HJ32" s="433"/>
      <c r="HK32" s="1242"/>
      <c r="HL32" s="1243"/>
      <c r="HM32" s="433"/>
      <c r="HN32" s="433"/>
      <c r="HO32" s="433"/>
      <c r="HP32" s="433"/>
      <c r="HQ32" s="1242"/>
      <c r="HR32" s="1243"/>
      <c r="HS32" s="433"/>
      <c r="HT32" s="433"/>
      <c r="HU32" s="433"/>
    </row>
    <row r="33" spans="1:229" s="220" customFormat="1" ht="9.9499999999999993" customHeight="1">
      <c r="A33" s="1948"/>
      <c r="B33" s="1949"/>
      <c r="C33" s="1949"/>
      <c r="D33" s="1949"/>
      <c r="E33" s="1949"/>
      <c r="F33" s="1949"/>
      <c r="G33" s="1949"/>
      <c r="H33" s="1949"/>
      <c r="I33" s="1949"/>
      <c r="J33" s="1949"/>
      <c r="K33" s="1949"/>
      <c r="L33" s="1950"/>
      <c r="M33" s="433"/>
      <c r="N33" s="433"/>
      <c r="O33" s="1242"/>
      <c r="P33" s="1243"/>
      <c r="Q33" s="433"/>
      <c r="R33" s="433"/>
      <c r="S33" s="433"/>
      <c r="T33" s="433"/>
      <c r="U33" s="1242"/>
      <c r="V33" s="1243"/>
      <c r="W33" s="433"/>
      <c r="X33" s="433"/>
      <c r="Y33" s="433"/>
      <c r="Z33" s="433"/>
      <c r="AA33" s="1242"/>
      <c r="AB33" s="1243"/>
      <c r="AC33" s="433"/>
      <c r="AD33" s="433"/>
      <c r="AE33" s="433"/>
      <c r="AF33" s="433"/>
      <c r="AG33" s="1242"/>
      <c r="AH33" s="1243"/>
      <c r="AI33" s="433"/>
      <c r="AJ33" s="433"/>
      <c r="AK33" s="433"/>
      <c r="AL33" s="433"/>
      <c r="AM33" s="1242"/>
      <c r="AN33" s="1243"/>
      <c r="AO33" s="433"/>
      <c r="AP33" s="433"/>
      <c r="AQ33" s="433"/>
      <c r="AR33" s="433"/>
      <c r="AS33" s="1242"/>
      <c r="AT33" s="1243"/>
      <c r="AU33" s="433"/>
      <c r="AV33" s="433"/>
      <c r="AW33" s="433"/>
      <c r="AX33" s="433"/>
      <c r="AY33" s="1242"/>
      <c r="AZ33" s="1243"/>
      <c r="BA33" s="433"/>
      <c r="BB33" s="433"/>
      <c r="BC33" s="433"/>
      <c r="BD33" s="433"/>
      <c r="BE33" s="1242"/>
      <c r="BF33" s="1243"/>
      <c r="BG33" s="433"/>
      <c r="BH33" s="433"/>
      <c r="BI33" s="433"/>
      <c r="BJ33" s="433"/>
      <c r="BK33" s="1242"/>
      <c r="BL33" s="1243"/>
      <c r="BM33" s="433"/>
      <c r="BN33" s="433"/>
      <c r="BO33" s="433"/>
      <c r="BP33" s="433"/>
      <c r="BQ33" s="1242"/>
      <c r="BR33" s="1243"/>
      <c r="BS33" s="433"/>
      <c r="BT33" s="433"/>
      <c r="BU33" s="433"/>
      <c r="BV33" s="433"/>
      <c r="BW33" s="1242"/>
      <c r="BX33" s="1243"/>
      <c r="BY33" s="433"/>
      <c r="BZ33" s="433"/>
      <c r="CA33" s="433"/>
      <c r="CB33" s="433"/>
      <c r="CC33" s="1242"/>
      <c r="CD33" s="1243"/>
      <c r="CE33" s="433"/>
      <c r="CF33" s="433"/>
      <c r="CG33" s="433"/>
      <c r="CH33" s="433"/>
      <c r="CI33" s="1242"/>
      <c r="CJ33" s="1243"/>
      <c r="CK33" s="433"/>
      <c r="CL33" s="433"/>
      <c r="CM33" s="433"/>
      <c r="CN33" s="433"/>
      <c r="CO33" s="1242"/>
      <c r="CP33" s="1243"/>
      <c r="CQ33" s="433"/>
      <c r="CR33" s="433"/>
      <c r="CS33" s="433"/>
      <c r="CT33" s="433"/>
      <c r="CU33" s="1242"/>
      <c r="CV33" s="1243"/>
      <c r="CW33" s="433"/>
      <c r="CX33" s="433"/>
      <c r="CY33" s="433"/>
      <c r="CZ33" s="433"/>
      <c r="DA33" s="1242"/>
      <c r="DB33" s="1243"/>
      <c r="DC33" s="433"/>
      <c r="DD33" s="433"/>
      <c r="DE33" s="433"/>
      <c r="DF33" s="433"/>
      <c r="DG33" s="1242"/>
      <c r="DH33" s="1243"/>
      <c r="DI33" s="433"/>
      <c r="DJ33" s="433"/>
      <c r="DK33" s="433"/>
      <c r="DL33" s="433"/>
      <c r="DM33" s="1242"/>
      <c r="DN33" s="1243"/>
      <c r="DO33" s="433"/>
      <c r="DP33" s="433"/>
      <c r="DQ33" s="433"/>
      <c r="DR33" s="433"/>
      <c r="DS33" s="1242"/>
      <c r="DT33" s="1243"/>
      <c r="DU33" s="433"/>
      <c r="DV33" s="433"/>
      <c r="DW33" s="433"/>
      <c r="DX33" s="433"/>
      <c r="DY33" s="1242"/>
      <c r="DZ33" s="1243"/>
      <c r="EA33" s="433"/>
      <c r="EB33" s="433"/>
      <c r="EC33" s="433"/>
      <c r="ED33" s="433"/>
      <c r="EE33" s="1242"/>
      <c r="EF33" s="1243"/>
      <c r="EG33" s="433"/>
      <c r="EH33" s="433"/>
      <c r="EI33" s="433"/>
      <c r="EJ33" s="433"/>
      <c r="EK33" s="1242"/>
      <c r="EL33" s="1243"/>
      <c r="EM33" s="433"/>
      <c r="EN33" s="433"/>
      <c r="EO33" s="433"/>
      <c r="EP33" s="433"/>
      <c r="EQ33" s="1242"/>
      <c r="ER33" s="1243"/>
      <c r="ES33" s="433"/>
      <c r="ET33" s="433"/>
      <c r="EU33" s="433"/>
      <c r="EV33" s="433"/>
      <c r="EW33" s="1242"/>
      <c r="EX33" s="1243"/>
      <c r="EY33" s="433"/>
      <c r="EZ33" s="433"/>
      <c r="FA33" s="433"/>
      <c r="FB33" s="433"/>
      <c r="FC33" s="1242"/>
      <c r="FD33" s="1243"/>
      <c r="FE33" s="433"/>
      <c r="FF33" s="433"/>
      <c r="FG33" s="433"/>
      <c r="FH33" s="433"/>
      <c r="FI33" s="1242"/>
      <c r="FJ33" s="1243"/>
      <c r="FK33" s="433"/>
      <c r="FL33" s="433"/>
      <c r="FM33" s="433"/>
      <c r="FN33" s="433"/>
      <c r="FO33" s="1242"/>
      <c r="FP33" s="1243"/>
      <c r="FQ33" s="433"/>
      <c r="FR33" s="433"/>
      <c r="FS33" s="433"/>
      <c r="FT33" s="433"/>
      <c r="FU33" s="1242"/>
      <c r="FV33" s="1243"/>
      <c r="FW33" s="433"/>
      <c r="FX33" s="433"/>
      <c r="FY33" s="433"/>
      <c r="FZ33" s="433"/>
      <c r="GA33" s="1242"/>
      <c r="GB33" s="1243"/>
      <c r="GC33" s="433"/>
      <c r="GD33" s="433"/>
      <c r="GE33" s="433"/>
      <c r="GF33" s="433"/>
      <c r="GG33" s="1242"/>
      <c r="GH33" s="1243"/>
      <c r="GI33" s="433"/>
      <c r="GJ33" s="433"/>
      <c r="GK33" s="433"/>
      <c r="GL33" s="433"/>
      <c r="GM33" s="1242"/>
      <c r="GN33" s="1243"/>
      <c r="GO33" s="433"/>
      <c r="GP33" s="433"/>
      <c r="GQ33" s="433"/>
      <c r="GR33" s="433"/>
      <c r="GS33" s="1242"/>
      <c r="GT33" s="1243"/>
      <c r="GU33" s="433"/>
      <c r="GV33" s="433"/>
      <c r="GW33" s="433"/>
      <c r="GX33" s="433"/>
      <c r="GY33" s="1242"/>
      <c r="GZ33" s="1243"/>
      <c r="HA33" s="433"/>
      <c r="HB33" s="433"/>
      <c r="HC33" s="433"/>
      <c r="HD33" s="433"/>
      <c r="HE33" s="1242"/>
      <c r="HF33" s="1243"/>
      <c r="HG33" s="433"/>
      <c r="HH33" s="433"/>
      <c r="HI33" s="433"/>
      <c r="HJ33" s="433"/>
      <c r="HK33" s="1242"/>
      <c r="HL33" s="1243"/>
      <c r="HM33" s="433"/>
      <c r="HN33" s="433"/>
      <c r="HO33" s="433"/>
      <c r="HP33" s="433"/>
      <c r="HQ33" s="1242"/>
      <c r="HR33" s="1243"/>
      <c r="HS33" s="433"/>
      <c r="HT33" s="433"/>
      <c r="HU33" s="433"/>
    </row>
    <row r="34" spans="1:229" ht="9.9499999999999993" customHeight="1">
      <c r="A34" s="1948" t="s">
        <v>4337</v>
      </c>
      <c r="B34" s="1949"/>
      <c r="C34" s="1949"/>
      <c r="D34" s="1949"/>
      <c r="E34" s="1949"/>
      <c r="F34" s="1949"/>
      <c r="G34" s="1949"/>
      <c r="H34" s="1949"/>
      <c r="I34" s="1949"/>
      <c r="J34" s="1949"/>
      <c r="K34" s="1949"/>
      <c r="L34" s="1950"/>
    </row>
    <row r="35" spans="1:229" ht="9.9499999999999993" customHeight="1">
      <c r="A35" s="1951"/>
      <c r="B35" s="1952"/>
      <c r="C35" s="1952"/>
      <c r="D35" s="1952"/>
      <c r="E35" s="1952"/>
      <c r="F35" s="1952"/>
      <c r="G35" s="1952"/>
      <c r="H35" s="1952"/>
      <c r="I35" s="1952"/>
      <c r="J35" s="1952"/>
      <c r="K35" s="1952"/>
      <c r="L35" s="1953"/>
    </row>
    <row r="37" spans="1:229">
      <c r="I37" s="1244" t="s">
        <v>14057</v>
      </c>
      <c r="J37" s="396" t="s">
        <v>14058</v>
      </c>
      <c r="K37" t="s">
        <v>14032</v>
      </c>
    </row>
    <row r="39" spans="1:229">
      <c r="I39" t="s">
        <v>14059</v>
      </c>
    </row>
    <row r="40" spans="1:229">
      <c r="I40" s="621" t="s">
        <v>14060</v>
      </c>
    </row>
    <row r="41" spans="1:229">
      <c r="I41" s="621" t="s">
        <v>14061</v>
      </c>
    </row>
  </sheetData>
  <mergeCells count="42">
    <mergeCell ref="B6:L6"/>
    <mergeCell ref="A1:L1"/>
    <mergeCell ref="A2:L2"/>
    <mergeCell ref="A3:L3"/>
    <mergeCell ref="A4:L4"/>
    <mergeCell ref="A5:L5"/>
    <mergeCell ref="A12:A15"/>
    <mergeCell ref="B12:C15"/>
    <mergeCell ref="D12:D14"/>
    <mergeCell ref="E12:E13"/>
    <mergeCell ref="F12:F13"/>
    <mergeCell ref="B7:L7"/>
    <mergeCell ref="B8:L8"/>
    <mergeCell ref="B9:L9"/>
    <mergeCell ref="A10:L10"/>
    <mergeCell ref="A11:L11"/>
    <mergeCell ref="G12:H12"/>
    <mergeCell ref="I12:J12"/>
    <mergeCell ref="K12:L12"/>
    <mergeCell ref="G13:G14"/>
    <mergeCell ref="H13:H14"/>
    <mergeCell ref="I13:I14"/>
    <mergeCell ref="J13:J14"/>
    <mergeCell ref="K13:K14"/>
    <mergeCell ref="L13:L14"/>
    <mergeCell ref="B27:C27"/>
    <mergeCell ref="B16:C16"/>
    <mergeCell ref="B17:C17"/>
    <mergeCell ref="B18:C18"/>
    <mergeCell ref="B19:C19"/>
    <mergeCell ref="B20:C20"/>
    <mergeCell ref="B21:C21"/>
    <mergeCell ref="B22:C22"/>
    <mergeCell ref="B23:C23"/>
    <mergeCell ref="B24:C24"/>
    <mergeCell ref="B25:C25"/>
    <mergeCell ref="B26:C26"/>
    <mergeCell ref="B28:C28"/>
    <mergeCell ref="A29:C29"/>
    <mergeCell ref="A30:L31"/>
    <mergeCell ref="A32:L33"/>
    <mergeCell ref="A34:L35"/>
  </mergeCells>
  <printOptions horizontalCentered="1"/>
  <pageMargins left="0.70866141732283472" right="0.70866141732283472" top="0.74803149606299213" bottom="0.74803149606299213" header="0.31496062992125984" footer="0.31496062992125984"/>
  <pageSetup paperSize="9" scale="43" firstPageNumber="25" fitToHeight="0" orientation="portrait" useFirstPageNumber="1" r:id="rId1"/>
  <headerFooter scaleWithDoc="0"/>
  <drawing r:id="rId2"/>
</worksheet>
</file>

<file path=xl/worksheets/sheet18.xml><?xml version="1.0" encoding="utf-8"?>
<worksheet xmlns="http://schemas.openxmlformats.org/spreadsheetml/2006/main" xmlns:r="http://schemas.openxmlformats.org/officeDocument/2006/relationships">
  <sheetPr codeName="Plan17">
    <tabColor theme="1" tint="0.34998626667073579"/>
  </sheetPr>
  <dimension ref="A1:M56"/>
  <sheetViews>
    <sheetView showGridLines="0" view="pageBreakPreview" zoomScale="70" zoomScaleNormal="115" zoomScaleSheetLayoutView="70" workbookViewId="0">
      <selection activeCell="B9" sqref="B9:F9"/>
    </sheetView>
  </sheetViews>
  <sheetFormatPr defaultColWidth="9.140625" defaultRowHeight="15"/>
  <cols>
    <col min="2" max="2" width="6" customWidth="1"/>
    <col min="3" max="3" width="40.7109375" customWidth="1"/>
    <col min="4" max="6" width="15.7109375" customWidth="1"/>
    <col min="7" max="7" width="18.7109375" customWidth="1"/>
    <col min="8" max="8" width="15.7109375" customWidth="1"/>
    <col min="9" max="9" width="18.7109375" customWidth="1"/>
    <col min="10" max="10" width="15.7109375" customWidth="1"/>
    <col min="11" max="11" width="18.7109375" customWidth="1"/>
    <col min="12" max="12" width="15.7109375" customWidth="1"/>
    <col min="13" max="13" width="18.7109375" customWidth="1"/>
  </cols>
  <sheetData>
    <row r="1" spans="1:13" s="533" customFormat="1" ht="18">
      <c r="A1" s="1937" t="s">
        <v>2996</v>
      </c>
      <c r="B1" s="1938" t="s">
        <v>2996</v>
      </c>
      <c r="C1" s="1938" t="s">
        <v>2996</v>
      </c>
      <c r="D1" s="1938"/>
      <c r="E1" s="1938"/>
      <c r="F1" s="1938"/>
      <c r="G1" s="1938"/>
      <c r="H1" s="1938"/>
      <c r="I1" s="1938"/>
      <c r="J1" s="1938"/>
      <c r="K1" s="1938"/>
      <c r="L1" s="1938"/>
      <c r="M1" s="1939"/>
    </row>
    <row r="2" spans="1:13" s="533" customFormat="1" ht="14.25">
      <c r="A2" s="1940" t="s">
        <v>2997</v>
      </c>
      <c r="B2" s="1913" t="s">
        <v>13994</v>
      </c>
      <c r="C2" s="1913" t="s">
        <v>13994</v>
      </c>
      <c r="D2" s="1913"/>
      <c r="E2" s="1913"/>
      <c r="F2" s="1913"/>
      <c r="G2" s="1913"/>
      <c r="H2" s="1913"/>
      <c r="I2" s="1913"/>
      <c r="J2" s="1913"/>
      <c r="K2" s="1913"/>
      <c r="L2" s="1913"/>
      <c r="M2" s="1941"/>
    </row>
    <row r="3" spans="1:13" s="533" customFormat="1" ht="14.25">
      <c r="A3" s="1942" t="s">
        <v>2998</v>
      </c>
      <c r="B3" s="1916" t="s">
        <v>13995</v>
      </c>
      <c r="C3" s="1916" t="s">
        <v>13995</v>
      </c>
      <c r="D3" s="1916"/>
      <c r="E3" s="1916"/>
      <c r="F3" s="1916"/>
      <c r="G3" s="1916"/>
      <c r="H3" s="1916"/>
      <c r="I3" s="1916"/>
      <c r="J3" s="1916"/>
      <c r="K3" s="1916"/>
      <c r="L3" s="1916"/>
      <c r="M3" s="1943"/>
    </row>
    <row r="4" spans="1:13" s="533" customFormat="1" ht="14.25">
      <c r="A4" s="1942" t="s">
        <v>3063</v>
      </c>
      <c r="B4" s="1916" t="s">
        <v>3063</v>
      </c>
      <c r="C4" s="1916" t="s">
        <v>3063</v>
      </c>
      <c r="D4" s="1916"/>
      <c r="E4" s="1916"/>
      <c r="F4" s="1916"/>
      <c r="G4" s="1916"/>
      <c r="H4" s="1916"/>
      <c r="I4" s="1916"/>
      <c r="J4" s="1916"/>
      <c r="K4" s="1916"/>
      <c r="L4" s="1916"/>
      <c r="M4" s="1943"/>
    </row>
    <row r="5" spans="1:13" s="533" customFormat="1" ht="14.25">
      <c r="A5" s="1942" t="s">
        <v>2999</v>
      </c>
      <c r="B5" s="1916" t="s">
        <v>2999</v>
      </c>
      <c r="C5" s="1916" t="s">
        <v>2999</v>
      </c>
      <c r="D5" s="1916"/>
      <c r="E5" s="1916"/>
      <c r="F5" s="1916"/>
      <c r="G5" s="1916"/>
      <c r="H5" s="1916"/>
      <c r="I5" s="1916"/>
      <c r="J5" s="1916"/>
      <c r="K5" s="1916"/>
      <c r="L5" s="1916"/>
      <c r="M5" s="1943"/>
    </row>
    <row r="6" spans="1:13" s="533" customFormat="1" ht="15" customHeight="1">
      <c r="A6" s="1245" t="s">
        <v>6</v>
      </c>
      <c r="B6" s="1907" t="str">
        <f>'REMOÇÃO DE PAV. ADUTORA'!B6:F6</f>
        <v xml:space="preserve">SISTEMA DE ABASTECIMENTO DE ÁGUA </v>
      </c>
      <c r="C6" s="1907"/>
      <c r="D6" s="1907"/>
      <c r="E6" s="1907"/>
      <c r="F6" s="1907"/>
      <c r="G6" s="1907"/>
      <c r="H6" s="1907"/>
      <c r="I6" s="1907"/>
      <c r="J6" s="1907"/>
      <c r="K6" s="1907"/>
      <c r="L6" s="1907"/>
      <c r="M6" s="1936"/>
    </row>
    <row r="7" spans="1:13" s="533" customFormat="1" ht="14.25">
      <c r="A7" s="1246" t="s">
        <v>8</v>
      </c>
      <c r="B7" s="1888" t="str">
        <f>'REMOÇÃO DE PAV. ADUTORA'!B7:F7</f>
        <v>SETOR PIONEIRO - MUNICÍPIO DE APIACÁS</v>
      </c>
      <c r="C7" s="1889"/>
      <c r="D7" s="1889"/>
      <c r="E7" s="1889"/>
      <c r="F7" s="1889"/>
      <c r="G7" s="1889"/>
      <c r="H7" s="1889"/>
      <c r="I7" s="1889"/>
      <c r="J7" s="1889"/>
      <c r="K7" s="1889"/>
      <c r="L7" s="1889"/>
      <c r="M7" s="1929"/>
    </row>
    <row r="8" spans="1:13" s="533" customFormat="1" ht="14.25">
      <c r="A8" s="1246" t="s">
        <v>13672</v>
      </c>
      <c r="B8" s="1889" t="str">
        <f>'REMOÇÃO DE PAV. ADUTORA'!B8:F8</f>
        <v>PREFEITURA MUNICIPAL DE APIACÁS</v>
      </c>
      <c r="C8" s="1889"/>
      <c r="D8" s="1889"/>
      <c r="E8" s="1889"/>
      <c r="F8" s="1889"/>
      <c r="G8" s="1889"/>
      <c r="H8" s="1889"/>
      <c r="I8" s="1889"/>
      <c r="J8" s="1889"/>
      <c r="K8" s="1889"/>
      <c r="L8" s="1889"/>
      <c r="M8" s="1929"/>
    </row>
    <row r="9" spans="1:13" s="533" customFormat="1" ht="15.75" customHeight="1">
      <c r="A9" s="1247" t="s">
        <v>3064</v>
      </c>
      <c r="B9" s="1891">
        <f ca="1">'REMOÇÃO DE PAV. ADUTORA'!B9:F9</f>
        <v>45167</v>
      </c>
      <c r="C9" s="1892"/>
      <c r="D9" s="1892"/>
      <c r="E9" s="1892"/>
      <c r="F9" s="1892"/>
      <c r="G9" s="1892"/>
      <c r="H9" s="1892"/>
      <c r="I9" s="1892"/>
      <c r="J9" s="1892"/>
      <c r="K9" s="1892"/>
      <c r="L9" s="1892"/>
      <c r="M9" s="1944"/>
    </row>
    <row r="10" spans="1:13" s="533" customFormat="1" ht="30.75" customHeight="1">
      <c r="A10" s="1932" t="s">
        <v>14062</v>
      </c>
      <c r="B10" s="1895"/>
      <c r="C10" s="1895"/>
      <c r="D10" s="1895"/>
      <c r="E10" s="1895"/>
      <c r="F10" s="1895"/>
      <c r="G10" s="1895"/>
      <c r="H10" s="1895"/>
      <c r="I10" s="1895"/>
      <c r="J10" s="1895"/>
      <c r="K10" s="1895"/>
      <c r="L10" s="1895"/>
      <c r="M10" s="1933"/>
    </row>
    <row r="11" spans="1:13" ht="27" customHeight="1">
      <c r="A11" s="1969" t="s">
        <v>14063</v>
      </c>
      <c r="B11" s="1970"/>
      <c r="C11" s="1970"/>
      <c r="D11" s="1970"/>
      <c r="E11" s="1970"/>
      <c r="F11" s="1970"/>
      <c r="G11" s="1970"/>
      <c r="H11" s="1970"/>
      <c r="I11" s="1970"/>
      <c r="J11" s="1970"/>
      <c r="K11" s="1970"/>
      <c r="L11" s="1970"/>
      <c r="M11" s="1971"/>
    </row>
    <row r="12" spans="1:13" ht="27" customHeight="1">
      <c r="A12" s="1934" t="s">
        <v>11</v>
      </c>
      <c r="B12" s="1899" t="s">
        <v>13997</v>
      </c>
      <c r="C12" s="1900"/>
      <c r="D12" s="1925" t="s">
        <v>14049</v>
      </c>
      <c r="E12" s="1969" t="s">
        <v>14064</v>
      </c>
      <c r="F12" s="1971"/>
      <c r="G12" s="1923" t="s">
        <v>14065</v>
      </c>
      <c r="H12" s="1972" t="s">
        <v>14066</v>
      </c>
      <c r="I12" s="1958"/>
      <c r="J12" s="1972" t="s">
        <v>14067</v>
      </c>
      <c r="K12" s="1958"/>
      <c r="L12" s="1972" t="s">
        <v>14067</v>
      </c>
      <c r="M12" s="1958"/>
    </row>
    <row r="13" spans="1:13" ht="27" customHeight="1">
      <c r="A13" s="1934"/>
      <c r="B13" s="1899"/>
      <c r="C13" s="1900"/>
      <c r="D13" s="1925"/>
      <c r="E13" s="1232" t="s">
        <v>14055</v>
      </c>
      <c r="F13" s="1232" t="s">
        <v>3377</v>
      </c>
      <c r="G13" s="1925"/>
      <c r="H13" s="1248" t="s">
        <v>14013</v>
      </c>
      <c r="I13" s="1248" t="s">
        <v>14068</v>
      </c>
      <c r="J13" s="1248" t="s">
        <v>14013</v>
      </c>
      <c r="K13" s="1248" t="s">
        <v>14068</v>
      </c>
      <c r="L13" s="1248" t="s">
        <v>14013</v>
      </c>
      <c r="M13" s="1248" t="s">
        <v>14068</v>
      </c>
    </row>
    <row r="14" spans="1:13" ht="27" customHeight="1">
      <c r="A14" s="1935"/>
      <c r="B14" s="1901"/>
      <c r="C14" s="1902"/>
      <c r="D14" s="1233" t="s">
        <v>3378</v>
      </c>
      <c r="E14" s="1233" t="s">
        <v>14043</v>
      </c>
      <c r="F14" s="1233"/>
      <c r="G14" s="1233" t="s">
        <v>14069</v>
      </c>
      <c r="H14" s="1233" t="s">
        <v>14016</v>
      </c>
      <c r="I14" s="1233" t="s">
        <v>14070</v>
      </c>
      <c r="J14" s="1233" t="s">
        <v>14016</v>
      </c>
      <c r="K14" s="1233" t="s">
        <v>14070</v>
      </c>
      <c r="L14" s="1233" t="s">
        <v>14016</v>
      </c>
      <c r="M14" s="1233" t="s">
        <v>14070</v>
      </c>
    </row>
    <row r="15" spans="1:13" ht="27" customHeight="1">
      <c r="A15" s="1267">
        <v>1</v>
      </c>
      <c r="B15" s="1884" t="str">
        <f>VLOOKUP(A15,'BASE ADUTORA'!A:N,2,FALSE)</f>
        <v>T1</v>
      </c>
      <c r="C15" s="1885"/>
      <c r="D15" s="1268">
        <f>'TRANSP. BRITA (PAV) ADUTORA'!D16</f>
        <v>33.6</v>
      </c>
      <c r="E15" s="1278">
        <f>'IMPRIMAÇÃO ADUTORA'!$G$14</f>
        <v>1.1999999999999999E-3</v>
      </c>
      <c r="F15" s="1268" t="s">
        <v>14071</v>
      </c>
      <c r="G15" s="1279">
        <f t="shared" ref="G15" si="0">TRUNC(D15*E15,3)</f>
        <v>0.04</v>
      </c>
      <c r="H15" s="1275">
        <v>30</v>
      </c>
      <c r="I15" s="1276">
        <f>TRUNC(G15*H15,3)</f>
        <v>1.2</v>
      </c>
      <c r="J15" s="1275">
        <v>942</v>
      </c>
      <c r="K15" s="1276">
        <f>TRUNC(G15*J15,3)</f>
        <v>37.68</v>
      </c>
      <c r="L15" s="1275">
        <v>0</v>
      </c>
      <c r="M15" s="1276">
        <f t="shared" ref="M15:M27" si="1">TRUNC(G15*L15,3)</f>
        <v>0</v>
      </c>
    </row>
    <row r="16" spans="1:13" ht="27" customHeight="1">
      <c r="A16" s="1280">
        <f>A15+1</f>
        <v>2</v>
      </c>
      <c r="B16" s="1884" t="str">
        <f>VLOOKUP(A16,'BASE ADUTORA'!A:N,2,FALSE)</f>
        <v>T2</v>
      </c>
      <c r="C16" s="1885"/>
      <c r="D16" s="1268">
        <f>'TRANSP. BRITA (PAV) ADUTORA'!D17</f>
        <v>54</v>
      </c>
      <c r="E16" s="1278">
        <f>'IMPRIMAÇÃO ADUTORA'!$G$14</f>
        <v>1.1999999999999999E-3</v>
      </c>
      <c r="F16" s="1268" t="s">
        <v>14071</v>
      </c>
      <c r="G16" s="1279">
        <f>TRUNC(D16*E16,3)</f>
        <v>6.4000000000000001E-2</v>
      </c>
      <c r="H16" s="1275">
        <v>30</v>
      </c>
      <c r="I16" s="1276">
        <f t="shared" ref="I16:I27" si="2">TRUNC(G16*H16,3)</f>
        <v>1.92</v>
      </c>
      <c r="J16" s="1275">
        <v>942</v>
      </c>
      <c r="K16" s="1276">
        <f>TRUNC(G16*J16,3)</f>
        <v>60.287999999999997</v>
      </c>
      <c r="L16" s="1275">
        <v>0</v>
      </c>
      <c r="M16" s="1276">
        <f t="shared" si="1"/>
        <v>0</v>
      </c>
    </row>
    <row r="17" spans="1:13" ht="27" customHeight="1">
      <c r="A17" s="1280">
        <f t="shared" ref="A17:A27" si="3">A16+1</f>
        <v>3</v>
      </c>
      <c r="B17" s="1884" t="str">
        <f>VLOOKUP(A17,'BASE ADUTORA'!A:N,2,FALSE)</f>
        <v>T3</v>
      </c>
      <c r="C17" s="1885"/>
      <c r="D17" s="1268">
        <f>'TRANSP. BRITA (PAV) ADUTORA'!D18</f>
        <v>197.4</v>
      </c>
      <c r="E17" s="1278">
        <f>'IMPRIMAÇÃO ADUTORA'!$G$14</f>
        <v>1.1999999999999999E-3</v>
      </c>
      <c r="F17" s="1268" t="s">
        <v>14071</v>
      </c>
      <c r="G17" s="1279">
        <f t="shared" ref="G17:G27" si="4">TRUNC(D17*E17,3)</f>
        <v>0.23599999999999999</v>
      </c>
      <c r="H17" s="1275">
        <v>30</v>
      </c>
      <c r="I17" s="1276">
        <f t="shared" si="2"/>
        <v>7.08</v>
      </c>
      <c r="J17" s="1275">
        <v>942</v>
      </c>
      <c r="K17" s="1276">
        <f t="shared" ref="K17:K27" si="5">TRUNC(G17*J17,3)</f>
        <v>222.31200000000001</v>
      </c>
      <c r="L17" s="1275">
        <v>0</v>
      </c>
      <c r="M17" s="1276">
        <f t="shared" si="1"/>
        <v>0</v>
      </c>
    </row>
    <row r="18" spans="1:13" ht="27" customHeight="1">
      <c r="A18" s="1280">
        <f t="shared" si="3"/>
        <v>4</v>
      </c>
      <c r="B18" s="1884" t="str">
        <f>VLOOKUP(A18,'BASE ADUTORA'!A:N,2,FALSE)</f>
        <v>T4</v>
      </c>
      <c r="C18" s="1885"/>
      <c r="D18" s="1268">
        <f>'TRANSP. BRITA (PAV) ADUTORA'!D19</f>
        <v>195</v>
      </c>
      <c r="E18" s="1278">
        <f>'IMPRIMAÇÃO ADUTORA'!$G$14</f>
        <v>1.1999999999999999E-3</v>
      </c>
      <c r="F18" s="1268" t="s">
        <v>14071</v>
      </c>
      <c r="G18" s="1279">
        <f t="shared" si="4"/>
        <v>0.23400000000000001</v>
      </c>
      <c r="H18" s="1275">
        <v>30</v>
      </c>
      <c r="I18" s="1276">
        <f t="shared" si="2"/>
        <v>7.02</v>
      </c>
      <c r="J18" s="1275">
        <v>942</v>
      </c>
      <c r="K18" s="1276">
        <f t="shared" si="5"/>
        <v>220.428</v>
      </c>
      <c r="L18" s="1275">
        <v>0</v>
      </c>
      <c r="M18" s="1276">
        <f t="shared" si="1"/>
        <v>0</v>
      </c>
    </row>
    <row r="19" spans="1:13" ht="27" customHeight="1">
      <c r="A19" s="1280">
        <f t="shared" si="3"/>
        <v>5</v>
      </c>
      <c r="B19" s="1884" t="str">
        <f>VLOOKUP(A19,'BASE ADUTORA'!A:N,2,FALSE)</f>
        <v>T5</v>
      </c>
      <c r="C19" s="1885"/>
      <c r="D19" s="1268">
        <f>'TRANSP. BRITA (PAV) ADUTORA'!D20</f>
        <v>282</v>
      </c>
      <c r="E19" s="1278">
        <f>'IMPRIMAÇÃO ADUTORA'!$G$14</f>
        <v>1.1999999999999999E-3</v>
      </c>
      <c r="F19" s="1268" t="s">
        <v>14071</v>
      </c>
      <c r="G19" s="1279">
        <f t="shared" si="4"/>
        <v>0.33800000000000002</v>
      </c>
      <c r="H19" s="1275">
        <v>30</v>
      </c>
      <c r="I19" s="1276">
        <f t="shared" si="2"/>
        <v>10.14</v>
      </c>
      <c r="J19" s="1275">
        <v>942</v>
      </c>
      <c r="K19" s="1276">
        <f t="shared" si="5"/>
        <v>318.39600000000002</v>
      </c>
      <c r="L19" s="1275">
        <v>0</v>
      </c>
      <c r="M19" s="1276">
        <f t="shared" si="1"/>
        <v>0</v>
      </c>
    </row>
    <row r="20" spans="1:13" ht="27" customHeight="1">
      <c r="A20" s="1280">
        <f t="shared" si="3"/>
        <v>6</v>
      </c>
      <c r="B20" s="1884" t="str">
        <f>VLOOKUP(A20,'BASE ADUTORA'!A:N,2,FALSE)</f>
        <v>T6</v>
      </c>
      <c r="C20" s="1885"/>
      <c r="D20" s="1268">
        <f>'TRANSP. BRITA (PAV) ADUTORA'!D21</f>
        <v>189</v>
      </c>
      <c r="E20" s="1278">
        <f>'IMPRIMAÇÃO ADUTORA'!$G$14</f>
        <v>1.1999999999999999E-3</v>
      </c>
      <c r="F20" s="1268" t="s">
        <v>14071</v>
      </c>
      <c r="G20" s="1279">
        <f t="shared" si="4"/>
        <v>0.22600000000000001</v>
      </c>
      <c r="H20" s="1275">
        <v>30</v>
      </c>
      <c r="I20" s="1276">
        <f t="shared" si="2"/>
        <v>6.78</v>
      </c>
      <c r="J20" s="1275">
        <v>942</v>
      </c>
      <c r="K20" s="1276">
        <f t="shared" si="5"/>
        <v>212.892</v>
      </c>
      <c r="L20" s="1275">
        <v>0</v>
      </c>
      <c r="M20" s="1276">
        <f t="shared" si="1"/>
        <v>0</v>
      </c>
    </row>
    <row r="21" spans="1:13" ht="27" customHeight="1">
      <c r="A21" s="1280">
        <f t="shared" si="3"/>
        <v>7</v>
      </c>
      <c r="B21" s="1884" t="str">
        <f>VLOOKUP(A21,'BASE ADUTORA'!A:N,2,FALSE)</f>
        <v>T7</v>
      </c>
      <c r="C21" s="1885"/>
      <c r="D21" s="1268">
        <f>'TRANSP. BRITA (PAV) ADUTORA'!D22</f>
        <v>40.200000000000003</v>
      </c>
      <c r="E21" s="1278">
        <f>'IMPRIMAÇÃO ADUTORA'!$G$14</f>
        <v>1.1999999999999999E-3</v>
      </c>
      <c r="F21" s="1268" t="s">
        <v>14071</v>
      </c>
      <c r="G21" s="1279">
        <f t="shared" si="4"/>
        <v>4.8000000000000001E-2</v>
      </c>
      <c r="H21" s="1275">
        <v>30</v>
      </c>
      <c r="I21" s="1276">
        <f t="shared" si="2"/>
        <v>1.44</v>
      </c>
      <c r="J21" s="1275">
        <v>942</v>
      </c>
      <c r="K21" s="1276">
        <f t="shared" si="5"/>
        <v>45.216000000000001</v>
      </c>
      <c r="L21" s="1275">
        <v>0</v>
      </c>
      <c r="M21" s="1276">
        <f t="shared" si="1"/>
        <v>0</v>
      </c>
    </row>
    <row r="22" spans="1:13" ht="27" customHeight="1">
      <c r="A22" s="1280">
        <f t="shared" si="3"/>
        <v>8</v>
      </c>
      <c r="B22" s="1884" t="str">
        <f>VLOOKUP(A22,'BASE ADUTORA'!A:N,2,FALSE)</f>
        <v>T8</v>
      </c>
      <c r="C22" s="1885"/>
      <c r="D22" s="1268">
        <f>'TRANSP. BRITA (PAV) ADUTORA'!D23</f>
        <v>133.80000000000001</v>
      </c>
      <c r="E22" s="1278">
        <f>'IMPRIMAÇÃO ADUTORA'!$G$14</f>
        <v>1.1999999999999999E-3</v>
      </c>
      <c r="F22" s="1268" t="s">
        <v>14071</v>
      </c>
      <c r="G22" s="1279">
        <f t="shared" si="4"/>
        <v>0.16</v>
      </c>
      <c r="H22" s="1275">
        <v>30</v>
      </c>
      <c r="I22" s="1276">
        <f t="shared" si="2"/>
        <v>4.8</v>
      </c>
      <c r="J22" s="1275">
        <v>942</v>
      </c>
      <c r="K22" s="1276">
        <f t="shared" si="5"/>
        <v>150.72</v>
      </c>
      <c r="L22" s="1275">
        <v>0</v>
      </c>
      <c r="M22" s="1276">
        <f t="shared" si="1"/>
        <v>0</v>
      </c>
    </row>
    <row r="23" spans="1:13" ht="27" customHeight="1">
      <c r="A23" s="1280">
        <f t="shared" si="3"/>
        <v>9</v>
      </c>
      <c r="B23" s="1884" t="str">
        <f>VLOOKUP(A23,'BASE ADUTORA'!A:N,2,FALSE)</f>
        <v>T9</v>
      </c>
      <c r="C23" s="1885"/>
      <c r="D23" s="1268">
        <f>'TRANSP. BRITA (PAV) ADUTORA'!D24</f>
        <v>144</v>
      </c>
      <c r="E23" s="1278">
        <f>'IMPRIMAÇÃO ADUTORA'!$G$14</f>
        <v>1.1999999999999999E-3</v>
      </c>
      <c r="F23" s="1268" t="s">
        <v>14071</v>
      </c>
      <c r="G23" s="1279">
        <f t="shared" si="4"/>
        <v>0.17199999999999999</v>
      </c>
      <c r="H23" s="1275">
        <v>30</v>
      </c>
      <c r="I23" s="1276">
        <f t="shared" si="2"/>
        <v>5.16</v>
      </c>
      <c r="J23" s="1275">
        <v>942</v>
      </c>
      <c r="K23" s="1276">
        <f t="shared" si="5"/>
        <v>162.024</v>
      </c>
      <c r="L23" s="1275">
        <v>0</v>
      </c>
      <c r="M23" s="1276">
        <f t="shared" si="1"/>
        <v>0</v>
      </c>
    </row>
    <row r="24" spans="1:13" ht="27" customHeight="1">
      <c r="A24" s="1280">
        <f t="shared" si="3"/>
        <v>10</v>
      </c>
      <c r="B24" s="1884" t="str">
        <f>VLOOKUP(A24,'BASE ADUTORA'!A:N,2,FALSE)</f>
        <v>T10</v>
      </c>
      <c r="C24" s="1885"/>
      <c r="D24" s="1268">
        <f>'TRANSP. BRITA (PAV) ADUTORA'!D25</f>
        <v>144</v>
      </c>
      <c r="E24" s="1278">
        <f>'IMPRIMAÇÃO ADUTORA'!$G$14</f>
        <v>1.1999999999999999E-3</v>
      </c>
      <c r="F24" s="1268" t="s">
        <v>14071</v>
      </c>
      <c r="G24" s="1279">
        <f>TRUNC(D24*E24,3)</f>
        <v>0.17199999999999999</v>
      </c>
      <c r="H24" s="1275">
        <v>30</v>
      </c>
      <c r="I24" s="1276">
        <f t="shared" si="2"/>
        <v>5.16</v>
      </c>
      <c r="J24" s="1275">
        <v>942</v>
      </c>
      <c r="K24" s="1276">
        <f t="shared" si="5"/>
        <v>162.024</v>
      </c>
      <c r="L24" s="1275">
        <v>0</v>
      </c>
      <c r="M24" s="1276">
        <f t="shared" si="1"/>
        <v>0</v>
      </c>
    </row>
    <row r="25" spans="1:13" ht="27" customHeight="1">
      <c r="A25" s="1280">
        <f t="shared" si="3"/>
        <v>11</v>
      </c>
      <c r="B25" s="1884" t="str">
        <f>VLOOKUP(A25,'BASE ADUTORA'!A:N,2,FALSE)</f>
        <v>T11</v>
      </c>
      <c r="C25" s="1885"/>
      <c r="D25" s="1268">
        <f>'TRANSP. BRITA (PAV) ADUTORA'!D26</f>
        <v>429</v>
      </c>
      <c r="E25" s="1278">
        <f>'IMPRIMAÇÃO ADUTORA'!$G$14</f>
        <v>1.1999999999999999E-3</v>
      </c>
      <c r="F25" s="1268" t="s">
        <v>14071</v>
      </c>
      <c r="G25" s="1279">
        <f t="shared" si="4"/>
        <v>0.51400000000000001</v>
      </c>
      <c r="H25" s="1275">
        <v>30</v>
      </c>
      <c r="I25" s="1276">
        <f t="shared" si="2"/>
        <v>15.42</v>
      </c>
      <c r="J25" s="1275">
        <v>942</v>
      </c>
      <c r="K25" s="1276">
        <f t="shared" si="5"/>
        <v>484.18799999999999</v>
      </c>
      <c r="L25" s="1275">
        <v>0</v>
      </c>
      <c r="M25" s="1276">
        <f t="shared" si="1"/>
        <v>0</v>
      </c>
    </row>
    <row r="26" spans="1:13" ht="27" customHeight="1">
      <c r="A26" s="1280">
        <f t="shared" si="3"/>
        <v>12</v>
      </c>
      <c r="B26" s="1884" t="str">
        <f>VLOOKUP(A26,'BASE ADUTORA'!A:N,2,FALSE)</f>
        <v>T12</v>
      </c>
      <c r="C26" s="1885"/>
      <c r="D26" s="1268">
        <f>'TRANSP. BRITA (PAV) ADUTORA'!D27</f>
        <v>306</v>
      </c>
      <c r="E26" s="1278">
        <f>'IMPRIMAÇÃO ADUTORA'!$G$14</f>
        <v>1.1999999999999999E-3</v>
      </c>
      <c r="F26" s="1268" t="s">
        <v>14071</v>
      </c>
      <c r="G26" s="1279">
        <f t="shared" si="4"/>
        <v>0.36699999999999999</v>
      </c>
      <c r="H26" s="1275">
        <v>30</v>
      </c>
      <c r="I26" s="1276">
        <f t="shared" si="2"/>
        <v>11.01</v>
      </c>
      <c r="J26" s="1275">
        <v>942</v>
      </c>
      <c r="K26" s="1276">
        <f t="shared" si="5"/>
        <v>345.714</v>
      </c>
      <c r="L26" s="1275">
        <v>0</v>
      </c>
      <c r="M26" s="1276">
        <f t="shared" si="1"/>
        <v>0</v>
      </c>
    </row>
    <row r="27" spans="1:13" ht="27" customHeight="1">
      <c r="A27" s="1280">
        <f t="shared" si="3"/>
        <v>13</v>
      </c>
      <c r="B27" s="1884" t="str">
        <f>VLOOKUP(A27,'BASE ADUTORA'!A:N,2,FALSE)</f>
        <v>T13</v>
      </c>
      <c r="C27" s="1885"/>
      <c r="D27" s="1268">
        <f>'TRANSP. BRITA (PAV) ADUTORA'!D28</f>
        <v>45</v>
      </c>
      <c r="E27" s="1278">
        <f>'IMPRIMAÇÃO ADUTORA'!$G$14</f>
        <v>1.1999999999999999E-3</v>
      </c>
      <c r="F27" s="1268" t="s">
        <v>14071</v>
      </c>
      <c r="G27" s="1279">
        <f t="shared" si="4"/>
        <v>5.3999999999999999E-2</v>
      </c>
      <c r="H27" s="1275">
        <v>30</v>
      </c>
      <c r="I27" s="1276">
        <f t="shared" si="2"/>
        <v>1.62</v>
      </c>
      <c r="J27" s="1275">
        <v>942</v>
      </c>
      <c r="K27" s="1276">
        <f t="shared" si="5"/>
        <v>50.868000000000002</v>
      </c>
      <c r="L27" s="1275">
        <v>0</v>
      </c>
      <c r="M27" s="1276">
        <f t="shared" si="1"/>
        <v>0</v>
      </c>
    </row>
    <row r="28" spans="1:13" ht="27" customHeight="1">
      <c r="A28" s="1921" t="s">
        <v>14005</v>
      </c>
      <c r="B28" s="1922"/>
      <c r="C28" s="1922"/>
      <c r="D28" s="1262">
        <f>SUM(D15:D27)</f>
        <v>2193</v>
      </c>
      <c r="E28" s="1263"/>
      <c r="F28" s="1262"/>
      <c r="G28" s="1262">
        <f>SUM(G15:G27)</f>
        <v>2.6249999999999996</v>
      </c>
      <c r="H28" s="1262"/>
      <c r="I28" s="1262">
        <f>SUM(I15:I27)</f>
        <v>78.75</v>
      </c>
      <c r="J28" s="1262"/>
      <c r="K28" s="1262">
        <f>SUM(K15:K27)</f>
        <v>2472.75</v>
      </c>
      <c r="L28" s="1262"/>
      <c r="M28" s="1262">
        <f>TRUNC(SUM(M15:M27),2)</f>
        <v>0</v>
      </c>
    </row>
    <row r="29" spans="1:13" ht="24.95" customHeight="1">
      <c r="A29" s="1963" t="s">
        <v>14072</v>
      </c>
      <c r="B29" s="1964"/>
      <c r="C29" s="1964"/>
      <c r="D29" s="1964"/>
      <c r="E29" s="1964"/>
      <c r="F29" s="1964"/>
      <c r="G29" s="1964"/>
      <c r="H29" s="1964"/>
      <c r="I29" s="1964"/>
      <c r="J29" s="1964"/>
      <c r="K29" s="1964"/>
      <c r="L29" s="1964"/>
      <c r="M29" s="1965"/>
    </row>
    <row r="30" spans="1:13" ht="24.95" customHeight="1">
      <c r="A30" s="1966" t="s">
        <v>14073</v>
      </c>
      <c r="B30" s="1967"/>
      <c r="C30" s="1967"/>
      <c r="D30" s="1967"/>
      <c r="E30" s="1967"/>
      <c r="F30" s="1967"/>
      <c r="G30" s="1967"/>
      <c r="H30" s="1967"/>
      <c r="I30" s="1967"/>
      <c r="J30" s="1967"/>
      <c r="K30" s="1967"/>
      <c r="L30" s="1967"/>
      <c r="M30" s="1968"/>
    </row>
    <row r="31" spans="1:13" ht="27" customHeight="1">
      <c r="A31" s="1969" t="s">
        <v>14074</v>
      </c>
      <c r="B31" s="1970"/>
      <c r="C31" s="1970"/>
      <c r="D31" s="1970"/>
      <c r="E31" s="1970"/>
      <c r="F31" s="1970"/>
      <c r="G31" s="1970"/>
      <c r="H31" s="1970"/>
      <c r="I31" s="1970"/>
      <c r="J31" s="1970"/>
      <c r="K31" s="1970"/>
      <c r="L31" s="1970"/>
      <c r="M31" s="1971"/>
    </row>
    <row r="32" spans="1:13" ht="27" customHeight="1">
      <c r="A32" s="1934" t="s">
        <v>11</v>
      </c>
      <c r="B32" s="1899" t="s">
        <v>13997</v>
      </c>
      <c r="C32" s="1900"/>
      <c r="D32" s="1925" t="s">
        <v>14049</v>
      </c>
      <c r="E32" s="1969" t="s">
        <v>14064</v>
      </c>
      <c r="F32" s="1971"/>
      <c r="G32" s="1923" t="s">
        <v>14065</v>
      </c>
      <c r="H32" s="1972" t="s">
        <v>14066</v>
      </c>
      <c r="I32" s="1958"/>
      <c r="J32" s="1972" t="s">
        <v>14067</v>
      </c>
      <c r="K32" s="1958"/>
      <c r="L32" s="1972" t="s">
        <v>14067</v>
      </c>
      <c r="M32" s="1958"/>
    </row>
    <row r="33" spans="1:13" ht="27" customHeight="1">
      <c r="A33" s="1934"/>
      <c r="B33" s="1899"/>
      <c r="C33" s="1900"/>
      <c r="D33" s="1925"/>
      <c r="E33" s="1232" t="s">
        <v>14055</v>
      </c>
      <c r="F33" s="1232" t="s">
        <v>3377</v>
      </c>
      <c r="G33" s="1925"/>
      <c r="H33" s="1248" t="s">
        <v>14013</v>
      </c>
      <c r="I33" s="1248" t="s">
        <v>14068</v>
      </c>
      <c r="J33" s="1248" t="s">
        <v>14013</v>
      </c>
      <c r="K33" s="1248" t="s">
        <v>14068</v>
      </c>
      <c r="L33" s="1248" t="s">
        <v>14013</v>
      </c>
      <c r="M33" s="1248" t="s">
        <v>14068</v>
      </c>
    </row>
    <row r="34" spans="1:13" ht="27" customHeight="1">
      <c r="A34" s="1935"/>
      <c r="B34" s="1901"/>
      <c r="C34" s="1902"/>
      <c r="D34" s="1233" t="s">
        <v>3378</v>
      </c>
      <c r="E34" s="1233" t="s">
        <v>14043</v>
      </c>
      <c r="F34" s="1233"/>
      <c r="G34" s="1233" t="s">
        <v>14069</v>
      </c>
      <c r="H34" s="1233" t="s">
        <v>14016</v>
      </c>
      <c r="I34" s="1233" t="s">
        <v>14070</v>
      </c>
      <c r="J34" s="1233" t="s">
        <v>14016</v>
      </c>
      <c r="K34" s="1233" t="s">
        <v>14070</v>
      </c>
      <c r="L34" s="1233" t="s">
        <v>14016</v>
      </c>
      <c r="M34" s="1233" t="s">
        <v>14070</v>
      </c>
    </row>
    <row r="35" spans="1:13" ht="27" customHeight="1">
      <c r="A35" s="1267">
        <v>1</v>
      </c>
      <c r="B35" s="1884" t="str">
        <f>VLOOKUP(A35,'BASE ADUTORA'!A:N,2,FALSE)</f>
        <v>T1</v>
      </c>
      <c r="C35" s="1885"/>
      <c r="D35" s="1268">
        <f>'TRANSP. BRITA (PAV) ADUTORA'!D16</f>
        <v>33.6</v>
      </c>
      <c r="E35" s="1278">
        <f>'TSD ADUTORA'!$G$14</f>
        <v>4.2000000000000006E-3</v>
      </c>
      <c r="F35" s="1268" t="s">
        <v>14071</v>
      </c>
      <c r="G35" s="1268">
        <f>TRUNC(D35*E35,3)</f>
        <v>0.14099999999999999</v>
      </c>
      <c r="H35" s="1275">
        <v>30</v>
      </c>
      <c r="I35" s="1276">
        <f>TRUNC(G35*H35,3)</f>
        <v>4.2300000000000004</v>
      </c>
      <c r="J35" s="1275">
        <f t="shared" ref="J35:J47" si="6">J15</f>
        <v>942</v>
      </c>
      <c r="K35" s="1276">
        <f>TRUNC(G35*J35,3)</f>
        <v>132.822</v>
      </c>
      <c r="L35" s="1275">
        <v>0</v>
      </c>
      <c r="M35" s="1276">
        <f t="shared" ref="M35:M47" si="7">TRUNC(G35*L35,3)</f>
        <v>0</v>
      </c>
    </row>
    <row r="36" spans="1:13" ht="27" customHeight="1">
      <c r="A36" s="1280">
        <f>A35+1</f>
        <v>2</v>
      </c>
      <c r="B36" s="1884" t="str">
        <f>VLOOKUP(A36,'BASE ADUTORA'!A:N,2,FALSE)</f>
        <v>T2</v>
      </c>
      <c r="C36" s="1885"/>
      <c r="D36" s="1268">
        <f>'TRANSP. BRITA (PAV) ADUTORA'!D17</f>
        <v>54</v>
      </c>
      <c r="E36" s="1278">
        <f>'TSD ADUTORA'!$G$14</f>
        <v>4.2000000000000006E-3</v>
      </c>
      <c r="F36" s="1268" t="s">
        <v>14071</v>
      </c>
      <c r="G36" s="1268">
        <f t="shared" ref="G36:G47" si="8">TRUNC(D36*E36,3)</f>
        <v>0.22600000000000001</v>
      </c>
      <c r="H36" s="1275">
        <v>30</v>
      </c>
      <c r="I36" s="1276">
        <f t="shared" ref="I36:I47" si="9">TRUNC(G36*H36,3)</f>
        <v>6.78</v>
      </c>
      <c r="J36" s="1275">
        <f t="shared" si="6"/>
        <v>942</v>
      </c>
      <c r="K36" s="1276">
        <f>TRUNC(G36*J36,3)</f>
        <v>212.892</v>
      </c>
      <c r="L36" s="1275">
        <v>0</v>
      </c>
      <c r="M36" s="1276">
        <f t="shared" si="7"/>
        <v>0</v>
      </c>
    </row>
    <row r="37" spans="1:13" ht="27" customHeight="1">
      <c r="A37" s="1280">
        <f t="shared" ref="A37:A47" si="10">A36+1</f>
        <v>3</v>
      </c>
      <c r="B37" s="1884" t="str">
        <f>VLOOKUP(A37,'BASE ADUTORA'!A:N,2,FALSE)</f>
        <v>T3</v>
      </c>
      <c r="C37" s="1885"/>
      <c r="D37" s="1268">
        <f>'TRANSP. BRITA (PAV) ADUTORA'!D18</f>
        <v>197.4</v>
      </c>
      <c r="E37" s="1278">
        <f>'TSD ADUTORA'!$G$14</f>
        <v>4.2000000000000006E-3</v>
      </c>
      <c r="F37" s="1268" t="s">
        <v>14071</v>
      </c>
      <c r="G37" s="1268">
        <f t="shared" si="8"/>
        <v>0.82899999999999996</v>
      </c>
      <c r="H37" s="1275">
        <v>30</v>
      </c>
      <c r="I37" s="1276">
        <f t="shared" si="9"/>
        <v>24.87</v>
      </c>
      <c r="J37" s="1275">
        <f t="shared" si="6"/>
        <v>942</v>
      </c>
      <c r="K37" s="1276">
        <f>TRUNC(G37*J37,3)</f>
        <v>780.91800000000001</v>
      </c>
      <c r="L37" s="1275">
        <v>0</v>
      </c>
      <c r="M37" s="1276">
        <f t="shared" si="7"/>
        <v>0</v>
      </c>
    </row>
    <row r="38" spans="1:13" ht="27" customHeight="1">
      <c r="A38" s="1280">
        <f t="shared" si="10"/>
        <v>4</v>
      </c>
      <c r="B38" s="1884" t="str">
        <f>VLOOKUP(A38,'BASE ADUTORA'!A:N,2,FALSE)</f>
        <v>T4</v>
      </c>
      <c r="C38" s="1885"/>
      <c r="D38" s="1268">
        <f>'TRANSP. BRITA (PAV) ADUTORA'!D19</f>
        <v>195</v>
      </c>
      <c r="E38" s="1278">
        <f>'TSD ADUTORA'!$G$14</f>
        <v>4.2000000000000006E-3</v>
      </c>
      <c r="F38" s="1268" t="s">
        <v>14071</v>
      </c>
      <c r="G38" s="1268">
        <f t="shared" si="8"/>
        <v>0.81899999999999995</v>
      </c>
      <c r="H38" s="1275">
        <v>30</v>
      </c>
      <c r="I38" s="1276">
        <f t="shared" si="9"/>
        <v>24.57</v>
      </c>
      <c r="J38" s="1275">
        <f t="shared" si="6"/>
        <v>942</v>
      </c>
      <c r="K38" s="1276">
        <f t="shared" ref="K38:K47" si="11">TRUNC(G38*J38,3)</f>
        <v>771.49800000000005</v>
      </c>
      <c r="L38" s="1275">
        <v>0</v>
      </c>
      <c r="M38" s="1276">
        <f t="shared" si="7"/>
        <v>0</v>
      </c>
    </row>
    <row r="39" spans="1:13" ht="27" customHeight="1">
      <c r="A39" s="1280">
        <f t="shared" si="10"/>
        <v>5</v>
      </c>
      <c r="B39" s="1884" t="str">
        <f>VLOOKUP(A39,'BASE ADUTORA'!A:N,2,FALSE)</f>
        <v>T5</v>
      </c>
      <c r="C39" s="1885"/>
      <c r="D39" s="1268">
        <f>'TRANSP. BRITA (PAV) ADUTORA'!D20</f>
        <v>282</v>
      </c>
      <c r="E39" s="1278">
        <f>'TSD ADUTORA'!$G$14</f>
        <v>4.2000000000000006E-3</v>
      </c>
      <c r="F39" s="1268" t="s">
        <v>14071</v>
      </c>
      <c r="G39" s="1268">
        <f t="shared" si="8"/>
        <v>1.1839999999999999</v>
      </c>
      <c r="H39" s="1275">
        <v>30</v>
      </c>
      <c r="I39" s="1276">
        <f t="shared" si="9"/>
        <v>35.520000000000003</v>
      </c>
      <c r="J39" s="1275">
        <f t="shared" si="6"/>
        <v>942</v>
      </c>
      <c r="K39" s="1276">
        <f t="shared" si="11"/>
        <v>1115.328</v>
      </c>
      <c r="L39" s="1275">
        <v>0</v>
      </c>
      <c r="M39" s="1276">
        <f t="shared" si="7"/>
        <v>0</v>
      </c>
    </row>
    <row r="40" spans="1:13" ht="27" customHeight="1">
      <c r="A40" s="1280">
        <f t="shared" si="10"/>
        <v>6</v>
      </c>
      <c r="B40" s="1884" t="str">
        <f>VLOOKUP(A40,'BASE ADUTORA'!A:N,2,FALSE)</f>
        <v>T6</v>
      </c>
      <c r="C40" s="1885"/>
      <c r="D40" s="1268">
        <f>'TRANSP. BRITA (PAV) ADUTORA'!D21</f>
        <v>189</v>
      </c>
      <c r="E40" s="1278">
        <f>'TSD ADUTORA'!$G$14</f>
        <v>4.2000000000000006E-3</v>
      </c>
      <c r="F40" s="1268" t="s">
        <v>14071</v>
      </c>
      <c r="G40" s="1268">
        <f t="shared" si="8"/>
        <v>0.79300000000000004</v>
      </c>
      <c r="H40" s="1275">
        <v>30</v>
      </c>
      <c r="I40" s="1276">
        <f t="shared" si="9"/>
        <v>23.79</v>
      </c>
      <c r="J40" s="1275">
        <f t="shared" si="6"/>
        <v>942</v>
      </c>
      <c r="K40" s="1276">
        <f t="shared" si="11"/>
        <v>747.00599999999997</v>
      </c>
      <c r="L40" s="1275">
        <v>0</v>
      </c>
      <c r="M40" s="1276">
        <f t="shared" si="7"/>
        <v>0</v>
      </c>
    </row>
    <row r="41" spans="1:13" ht="27" customHeight="1">
      <c r="A41" s="1280">
        <f t="shared" si="10"/>
        <v>7</v>
      </c>
      <c r="B41" s="1884" t="str">
        <f>VLOOKUP(A41,'BASE ADUTORA'!A:N,2,FALSE)</f>
        <v>T7</v>
      </c>
      <c r="C41" s="1885"/>
      <c r="D41" s="1268">
        <f>'TRANSP. BRITA (PAV) ADUTORA'!D22</f>
        <v>40.200000000000003</v>
      </c>
      <c r="E41" s="1278">
        <f>'TSD ADUTORA'!$G$14</f>
        <v>4.2000000000000006E-3</v>
      </c>
      <c r="F41" s="1268" t="s">
        <v>14071</v>
      </c>
      <c r="G41" s="1268">
        <f t="shared" si="8"/>
        <v>0.16800000000000001</v>
      </c>
      <c r="H41" s="1275">
        <v>30</v>
      </c>
      <c r="I41" s="1276">
        <f t="shared" si="9"/>
        <v>5.04</v>
      </c>
      <c r="J41" s="1275">
        <f t="shared" si="6"/>
        <v>942</v>
      </c>
      <c r="K41" s="1276">
        <f t="shared" si="11"/>
        <v>158.256</v>
      </c>
      <c r="L41" s="1275">
        <v>0</v>
      </c>
      <c r="M41" s="1276">
        <f t="shared" si="7"/>
        <v>0</v>
      </c>
    </row>
    <row r="42" spans="1:13" ht="27" customHeight="1">
      <c r="A42" s="1280">
        <f t="shared" si="10"/>
        <v>8</v>
      </c>
      <c r="B42" s="1884" t="str">
        <f>VLOOKUP(A42,'BASE ADUTORA'!A:N,2,FALSE)</f>
        <v>T8</v>
      </c>
      <c r="C42" s="1885"/>
      <c r="D42" s="1268">
        <f>'TRANSP. BRITA (PAV) ADUTORA'!D23</f>
        <v>133.80000000000001</v>
      </c>
      <c r="E42" s="1278">
        <f>'TSD ADUTORA'!$G$14</f>
        <v>4.2000000000000006E-3</v>
      </c>
      <c r="F42" s="1268" t="s">
        <v>14071</v>
      </c>
      <c r="G42" s="1268">
        <f t="shared" si="8"/>
        <v>0.56100000000000005</v>
      </c>
      <c r="H42" s="1275">
        <v>30</v>
      </c>
      <c r="I42" s="1276">
        <f t="shared" si="9"/>
        <v>16.829999999999998</v>
      </c>
      <c r="J42" s="1275">
        <f t="shared" si="6"/>
        <v>942</v>
      </c>
      <c r="K42" s="1276">
        <f t="shared" si="11"/>
        <v>528.46199999999999</v>
      </c>
      <c r="L42" s="1275">
        <v>0</v>
      </c>
      <c r="M42" s="1276">
        <f t="shared" si="7"/>
        <v>0</v>
      </c>
    </row>
    <row r="43" spans="1:13" ht="27" customHeight="1">
      <c r="A43" s="1280">
        <f t="shared" si="10"/>
        <v>9</v>
      </c>
      <c r="B43" s="1884" t="str">
        <f>VLOOKUP(A43,'BASE ADUTORA'!A:N,2,FALSE)</f>
        <v>T9</v>
      </c>
      <c r="C43" s="1885"/>
      <c r="D43" s="1268">
        <f>'TRANSP. BRITA (PAV) ADUTORA'!D24</f>
        <v>144</v>
      </c>
      <c r="E43" s="1278">
        <f>'TSD ADUTORA'!$G$14</f>
        <v>4.2000000000000006E-3</v>
      </c>
      <c r="F43" s="1268" t="s">
        <v>14071</v>
      </c>
      <c r="G43" s="1268">
        <f t="shared" si="8"/>
        <v>0.60399999999999998</v>
      </c>
      <c r="H43" s="1275">
        <v>30</v>
      </c>
      <c r="I43" s="1276">
        <f t="shared" si="9"/>
        <v>18.12</v>
      </c>
      <c r="J43" s="1275">
        <f t="shared" si="6"/>
        <v>942</v>
      </c>
      <c r="K43" s="1276">
        <f t="shared" si="11"/>
        <v>568.96799999999996</v>
      </c>
      <c r="L43" s="1275">
        <v>0</v>
      </c>
      <c r="M43" s="1276">
        <f t="shared" si="7"/>
        <v>0</v>
      </c>
    </row>
    <row r="44" spans="1:13" ht="27" customHeight="1">
      <c r="A44" s="1280">
        <f t="shared" si="10"/>
        <v>10</v>
      </c>
      <c r="B44" s="1884" t="str">
        <f>VLOOKUP(A44,'BASE ADUTORA'!A:N,2,FALSE)</f>
        <v>T10</v>
      </c>
      <c r="C44" s="1885"/>
      <c r="D44" s="1268">
        <f>'TRANSP. BRITA (PAV) ADUTORA'!D25</f>
        <v>144</v>
      </c>
      <c r="E44" s="1278">
        <f>'TSD ADUTORA'!$G$14</f>
        <v>4.2000000000000006E-3</v>
      </c>
      <c r="F44" s="1268" t="s">
        <v>14071</v>
      </c>
      <c r="G44" s="1268">
        <f t="shared" si="8"/>
        <v>0.60399999999999998</v>
      </c>
      <c r="H44" s="1275">
        <v>30</v>
      </c>
      <c r="I44" s="1276">
        <f t="shared" si="9"/>
        <v>18.12</v>
      </c>
      <c r="J44" s="1275">
        <f t="shared" si="6"/>
        <v>942</v>
      </c>
      <c r="K44" s="1276">
        <f t="shared" si="11"/>
        <v>568.96799999999996</v>
      </c>
      <c r="L44" s="1275">
        <v>0</v>
      </c>
      <c r="M44" s="1276">
        <f t="shared" si="7"/>
        <v>0</v>
      </c>
    </row>
    <row r="45" spans="1:13" ht="27" customHeight="1">
      <c r="A45" s="1280">
        <f t="shared" si="10"/>
        <v>11</v>
      </c>
      <c r="B45" s="1884" t="str">
        <f>VLOOKUP(A45,'BASE ADUTORA'!A:N,2,FALSE)</f>
        <v>T11</v>
      </c>
      <c r="C45" s="1885"/>
      <c r="D45" s="1268">
        <f>'TRANSP. BRITA (PAV) ADUTORA'!D26</f>
        <v>429</v>
      </c>
      <c r="E45" s="1278">
        <f>'TSD ADUTORA'!$G$14</f>
        <v>4.2000000000000006E-3</v>
      </c>
      <c r="F45" s="1268" t="s">
        <v>14071</v>
      </c>
      <c r="G45" s="1268">
        <f t="shared" si="8"/>
        <v>1.8009999999999999</v>
      </c>
      <c r="H45" s="1275">
        <v>30</v>
      </c>
      <c r="I45" s="1276">
        <f t="shared" si="9"/>
        <v>54.03</v>
      </c>
      <c r="J45" s="1275">
        <f t="shared" si="6"/>
        <v>942</v>
      </c>
      <c r="K45" s="1276">
        <f t="shared" si="11"/>
        <v>1696.5419999999999</v>
      </c>
      <c r="L45" s="1275">
        <v>0</v>
      </c>
      <c r="M45" s="1276">
        <f t="shared" si="7"/>
        <v>0</v>
      </c>
    </row>
    <row r="46" spans="1:13" ht="27" customHeight="1">
      <c r="A46" s="1280">
        <f t="shared" si="10"/>
        <v>12</v>
      </c>
      <c r="B46" s="1884" t="str">
        <f>VLOOKUP(A46,'BASE ADUTORA'!A:N,2,FALSE)</f>
        <v>T12</v>
      </c>
      <c r="C46" s="1885"/>
      <c r="D46" s="1268">
        <f>'TRANSP. BRITA (PAV) ADUTORA'!D27</f>
        <v>306</v>
      </c>
      <c r="E46" s="1278">
        <f>'TSD ADUTORA'!$G$14</f>
        <v>4.2000000000000006E-3</v>
      </c>
      <c r="F46" s="1268" t="s">
        <v>14071</v>
      </c>
      <c r="G46" s="1268">
        <f t="shared" si="8"/>
        <v>1.2849999999999999</v>
      </c>
      <c r="H46" s="1275">
        <v>30</v>
      </c>
      <c r="I46" s="1276">
        <f t="shared" si="9"/>
        <v>38.549999999999997</v>
      </c>
      <c r="J46" s="1275">
        <f t="shared" si="6"/>
        <v>942</v>
      </c>
      <c r="K46" s="1276">
        <f t="shared" si="11"/>
        <v>1210.47</v>
      </c>
      <c r="L46" s="1275">
        <v>0</v>
      </c>
      <c r="M46" s="1276">
        <f t="shared" si="7"/>
        <v>0</v>
      </c>
    </row>
    <row r="47" spans="1:13" ht="27" customHeight="1">
      <c r="A47" s="1280">
        <f t="shared" si="10"/>
        <v>13</v>
      </c>
      <c r="B47" s="1884" t="str">
        <f>VLOOKUP(A47,'BASE ADUTORA'!A:N,2,FALSE)</f>
        <v>T13</v>
      </c>
      <c r="C47" s="1885"/>
      <c r="D47" s="1268">
        <f>'TRANSP. BRITA (PAV) ADUTORA'!D28</f>
        <v>45</v>
      </c>
      <c r="E47" s="1278">
        <f>'TSD ADUTORA'!$G$14</f>
        <v>4.2000000000000006E-3</v>
      </c>
      <c r="F47" s="1268" t="s">
        <v>14071</v>
      </c>
      <c r="G47" s="1268">
        <f t="shared" si="8"/>
        <v>0.189</v>
      </c>
      <c r="H47" s="1275">
        <v>30</v>
      </c>
      <c r="I47" s="1276">
        <f t="shared" si="9"/>
        <v>5.67</v>
      </c>
      <c r="J47" s="1275">
        <f t="shared" si="6"/>
        <v>942</v>
      </c>
      <c r="K47" s="1276">
        <f t="shared" si="11"/>
        <v>178.03800000000001</v>
      </c>
      <c r="L47" s="1275">
        <v>0</v>
      </c>
      <c r="M47" s="1276">
        <f t="shared" si="7"/>
        <v>0</v>
      </c>
    </row>
    <row r="48" spans="1:13" ht="27" customHeight="1">
      <c r="A48" s="1921" t="s">
        <v>14005</v>
      </c>
      <c r="B48" s="1922"/>
      <c r="C48" s="1922"/>
      <c r="D48" s="1262">
        <f>SUM(D35:D47)</f>
        <v>2193</v>
      </c>
      <c r="E48" s="1263"/>
      <c r="F48" s="1262"/>
      <c r="G48" s="1262">
        <f>SUM(G35:G47)</f>
        <v>9.2040000000000006</v>
      </c>
      <c r="H48" s="1262"/>
      <c r="I48" s="1262">
        <f>SUM(I35:I47)</f>
        <v>276.12</v>
      </c>
      <c r="J48" s="1262"/>
      <c r="K48" s="1262">
        <f>SUM(K35:K47)</f>
        <v>8670.1679999999997</v>
      </c>
      <c r="L48" s="1262"/>
      <c r="M48" s="1262">
        <f>SUM(M35:M47)</f>
        <v>0</v>
      </c>
    </row>
    <row r="49" spans="1:13" ht="24.95" customHeight="1">
      <c r="A49" s="1963" t="s">
        <v>14072</v>
      </c>
      <c r="B49" s="1964"/>
      <c r="C49" s="1964"/>
      <c r="D49" s="1964"/>
      <c r="E49" s="1964"/>
      <c r="F49" s="1964"/>
      <c r="G49" s="1964"/>
      <c r="H49" s="1964"/>
      <c r="I49" s="1964"/>
      <c r="J49" s="1964"/>
      <c r="K49" s="1964"/>
      <c r="L49" s="1964"/>
      <c r="M49" s="1965"/>
    </row>
    <row r="50" spans="1:13" ht="24.95" customHeight="1">
      <c r="A50" s="1966" t="s">
        <v>14073</v>
      </c>
      <c r="B50" s="1967"/>
      <c r="C50" s="1967"/>
      <c r="D50" s="1967"/>
      <c r="E50" s="1967"/>
      <c r="F50" s="1967"/>
      <c r="G50" s="1967"/>
      <c r="H50" s="1967"/>
      <c r="I50" s="1967"/>
      <c r="J50" s="1967"/>
      <c r="K50" s="1967"/>
      <c r="L50" s="1967"/>
      <c r="M50" s="1968"/>
    </row>
    <row r="52" spans="1:13">
      <c r="J52" s="1244" t="s">
        <v>14057</v>
      </c>
      <c r="K52" s="396" t="s">
        <v>14075</v>
      </c>
      <c r="L52" t="s">
        <v>14032</v>
      </c>
    </row>
    <row r="54" spans="1:13">
      <c r="J54" t="s">
        <v>14076</v>
      </c>
    </row>
    <row r="55" spans="1:13">
      <c r="J55" t="s">
        <v>14077</v>
      </c>
    </row>
    <row r="56" spans="1:13">
      <c r="J56" t="s">
        <v>14078</v>
      </c>
    </row>
  </sheetData>
  <mergeCells count="60">
    <mergeCell ref="B6:M6"/>
    <mergeCell ref="A1:M1"/>
    <mergeCell ref="A2:M2"/>
    <mergeCell ref="A3:M3"/>
    <mergeCell ref="A4:M4"/>
    <mergeCell ref="A5:M5"/>
    <mergeCell ref="B17:C17"/>
    <mergeCell ref="B7:M7"/>
    <mergeCell ref="B8:M8"/>
    <mergeCell ref="B9:M9"/>
    <mergeCell ref="A10:M10"/>
    <mergeCell ref="A11:M11"/>
    <mergeCell ref="A12:A14"/>
    <mergeCell ref="B12:C14"/>
    <mergeCell ref="D12:D13"/>
    <mergeCell ref="E12:F12"/>
    <mergeCell ref="G12:G13"/>
    <mergeCell ref="H12:I12"/>
    <mergeCell ref="J12:K12"/>
    <mergeCell ref="L12:M12"/>
    <mergeCell ref="B15:C15"/>
    <mergeCell ref="B16:C16"/>
    <mergeCell ref="A29:M29"/>
    <mergeCell ref="B18:C18"/>
    <mergeCell ref="B19:C19"/>
    <mergeCell ref="B20:C20"/>
    <mergeCell ref="B21:C21"/>
    <mergeCell ref="B22:C22"/>
    <mergeCell ref="B23:C23"/>
    <mergeCell ref="B24:C24"/>
    <mergeCell ref="B25:C25"/>
    <mergeCell ref="B26:C26"/>
    <mergeCell ref="B27:C27"/>
    <mergeCell ref="A28:C28"/>
    <mergeCell ref="B40:C40"/>
    <mergeCell ref="A30:M30"/>
    <mergeCell ref="A31:M31"/>
    <mergeCell ref="A32:A34"/>
    <mergeCell ref="B32:C34"/>
    <mergeCell ref="D32:D33"/>
    <mergeCell ref="E32:F32"/>
    <mergeCell ref="G32:G33"/>
    <mergeCell ref="H32:I32"/>
    <mergeCell ref="J32:K32"/>
    <mergeCell ref="L32:M32"/>
    <mergeCell ref="B35:C35"/>
    <mergeCell ref="B36:C36"/>
    <mergeCell ref="B37:C37"/>
    <mergeCell ref="B38:C38"/>
    <mergeCell ref="B39:C39"/>
    <mergeCell ref="B47:C47"/>
    <mergeCell ref="A48:C48"/>
    <mergeCell ref="A49:M49"/>
    <mergeCell ref="A50:M50"/>
    <mergeCell ref="B41:C41"/>
    <mergeCell ref="B42:C42"/>
    <mergeCell ref="B43:C43"/>
    <mergeCell ref="B44:C44"/>
    <mergeCell ref="B45:C45"/>
    <mergeCell ref="B46:C46"/>
  </mergeCells>
  <printOptions horizontalCentered="1"/>
  <pageMargins left="0.70866141732283472" right="0.70866141732283472" top="0.74803149606299213" bottom="0.74803149606299213" header="0.31496062992125984" footer="0.31496062992125984"/>
  <pageSetup paperSize="9" scale="37" firstPageNumber="25" fitToHeight="0" orientation="portrait" useFirstPageNumber="1" r:id="rId1"/>
  <headerFooter scaleWithDoc="0"/>
  <rowBreaks count="1" manualBreakCount="1">
    <brk id="30" max="16383" man="1"/>
  </rowBreaks>
  <drawing r:id="rId2"/>
</worksheet>
</file>

<file path=xl/worksheets/sheet19.xml><?xml version="1.0" encoding="utf-8"?>
<worksheet xmlns="http://schemas.openxmlformats.org/spreadsheetml/2006/main" xmlns:r="http://schemas.openxmlformats.org/officeDocument/2006/relationships">
  <sheetPr codeName="Plan18">
    <tabColor theme="1" tint="0.34998626667073579"/>
    <pageSetUpPr fitToPage="1"/>
  </sheetPr>
  <dimension ref="A1:D51"/>
  <sheetViews>
    <sheetView showGridLines="0" view="pageBreakPreview" zoomScale="115" zoomScaleNormal="115" zoomScaleSheetLayoutView="115" workbookViewId="0">
      <selection activeCell="B9" sqref="B9:F9"/>
    </sheetView>
  </sheetViews>
  <sheetFormatPr defaultColWidth="9.140625" defaultRowHeight="15"/>
  <cols>
    <col min="1" max="1" width="12.5703125" customWidth="1"/>
    <col min="2" max="2" width="49.85546875" customWidth="1"/>
    <col min="3" max="3" width="18.140625" bestFit="1" customWidth="1"/>
    <col min="4" max="4" width="20.140625" customWidth="1"/>
  </cols>
  <sheetData>
    <row r="1" spans="1:4" s="533" customFormat="1" ht="18">
      <c r="A1" s="1909" t="s">
        <v>2996</v>
      </c>
      <c r="B1" s="1910" t="s">
        <v>2996</v>
      </c>
      <c r="C1" s="1910"/>
      <c r="D1" s="1911"/>
    </row>
    <row r="2" spans="1:4" s="533" customFormat="1" ht="14.25">
      <c r="A2" s="1912" t="s">
        <v>2997</v>
      </c>
      <c r="B2" s="1913" t="s">
        <v>13994</v>
      </c>
      <c r="C2" s="1913"/>
      <c r="D2" s="1914"/>
    </row>
    <row r="3" spans="1:4" s="533" customFormat="1" ht="14.25">
      <c r="A3" s="1915" t="s">
        <v>2998</v>
      </c>
      <c r="B3" s="1916" t="s">
        <v>13995</v>
      </c>
      <c r="C3" s="1916"/>
      <c r="D3" s="1917"/>
    </row>
    <row r="4" spans="1:4" s="533" customFormat="1" ht="14.25">
      <c r="A4" s="1915" t="s">
        <v>3063</v>
      </c>
      <c r="B4" s="1916" t="s">
        <v>3063</v>
      </c>
      <c r="C4" s="1916"/>
      <c r="D4" s="1917"/>
    </row>
    <row r="5" spans="1:4" s="533" customFormat="1" ht="14.25">
      <c r="A5" s="1915" t="s">
        <v>2999</v>
      </c>
      <c r="B5" s="1916" t="s">
        <v>2999</v>
      </c>
      <c r="C5" s="1916"/>
      <c r="D5" s="1917"/>
    </row>
    <row r="6" spans="1:4" s="533" customFormat="1" ht="15" customHeight="1">
      <c r="A6" s="1142" t="s">
        <v>6</v>
      </c>
      <c r="B6" s="1907" t="str">
        <f>'REMOÇÃO DE PAV. ADUTORA'!B6:F6</f>
        <v xml:space="preserve">SISTEMA DE ABASTECIMENTO DE ÁGUA </v>
      </c>
      <c r="C6" s="1907"/>
      <c r="D6" s="1908"/>
    </row>
    <row r="7" spans="1:4" s="533" customFormat="1" ht="14.25">
      <c r="A7" s="534" t="s">
        <v>8</v>
      </c>
      <c r="B7" s="1888" t="str">
        <f>'REMOÇÃO DE PAV. ADUTORA'!B7:F7</f>
        <v>SETOR PIONEIRO - MUNICÍPIO DE APIACÁS</v>
      </c>
      <c r="C7" s="1889"/>
      <c r="D7" s="1890"/>
    </row>
    <row r="8" spans="1:4" s="533" customFormat="1" ht="14.25">
      <c r="A8" s="534" t="s">
        <v>13672</v>
      </c>
      <c r="B8" s="1889" t="str">
        <f>'REMOÇÃO DE PAV. ADUTORA'!B8:F8</f>
        <v>PREFEITURA MUNICIPAL DE APIACÁS</v>
      </c>
      <c r="C8" s="1889"/>
      <c r="D8" s="1890"/>
    </row>
    <row r="9" spans="1:4" s="533" customFormat="1" ht="15.75" customHeight="1">
      <c r="A9" s="1143" t="s">
        <v>3064</v>
      </c>
      <c r="B9" s="1891">
        <f ca="1">'REMOÇÃO DE PAV. ADUTORA'!B9:F9</f>
        <v>45167</v>
      </c>
      <c r="C9" s="1892"/>
      <c r="D9" s="1893"/>
    </row>
    <row r="10" spans="1:4" s="533" customFormat="1" ht="30" customHeight="1">
      <c r="A10" s="1973" t="s">
        <v>14079</v>
      </c>
      <c r="B10" s="1974"/>
      <c r="C10" s="1974"/>
      <c r="D10" s="1975"/>
    </row>
    <row r="11" spans="1:4" s="533" customFormat="1" ht="15.75">
      <c r="A11" s="1281"/>
      <c r="B11" s="1282" t="s">
        <v>13674</v>
      </c>
      <c r="C11" s="1283"/>
      <c r="D11" s="1284"/>
    </row>
    <row r="12" spans="1:4" s="533" customFormat="1" ht="15.75">
      <c r="A12" s="1285"/>
      <c r="B12" s="1286" t="s">
        <v>13675</v>
      </c>
      <c r="C12" s="1287"/>
      <c r="D12" s="1288"/>
    </row>
    <row r="13" spans="1:4" s="533" customFormat="1" ht="15.75">
      <c r="A13" s="1285"/>
      <c r="B13" s="1287"/>
      <c r="C13" s="1287"/>
      <c r="D13" s="1288"/>
    </row>
    <row r="14" spans="1:4" s="533" customFormat="1" ht="15.75">
      <c r="A14" s="1285"/>
      <c r="B14" s="1286" t="s">
        <v>14080</v>
      </c>
      <c r="C14" s="1289" t="s">
        <v>13676</v>
      </c>
      <c r="D14" s="1290">
        <f>A19</f>
        <v>44927</v>
      </c>
    </row>
    <row r="15" spans="1:4" s="533" customFormat="1" ht="15.75">
      <c r="A15" s="1285"/>
      <c r="B15" s="1287"/>
      <c r="C15" s="1287"/>
      <c r="D15" s="1288"/>
    </row>
    <row r="16" spans="1:4" s="535" customFormat="1" ht="12.75">
      <c r="A16" s="1190" t="s">
        <v>13677</v>
      </c>
      <c r="B16" s="1271" t="s">
        <v>13678</v>
      </c>
      <c r="C16" s="1191" t="s">
        <v>13679</v>
      </c>
      <c r="D16" s="536" t="s">
        <v>31</v>
      </c>
    </row>
    <row r="17" spans="1:4" s="535" customFormat="1" ht="12.75">
      <c r="A17" s="1291">
        <v>44927</v>
      </c>
      <c r="B17" s="1292" t="s">
        <v>14081</v>
      </c>
      <c r="C17" s="537" t="s">
        <v>13681</v>
      </c>
      <c r="D17" s="1293" t="s">
        <v>6777</v>
      </c>
    </row>
    <row r="18" spans="1:4" s="535" customFormat="1" ht="12.75">
      <c r="A18" s="1291">
        <v>44927</v>
      </c>
      <c r="B18" s="1292" t="s">
        <v>14081</v>
      </c>
      <c r="C18" s="537" t="s">
        <v>13682</v>
      </c>
      <c r="D18" s="1293" t="s">
        <v>6777</v>
      </c>
    </row>
    <row r="19" spans="1:4" s="535" customFormat="1" ht="12.75">
      <c r="A19" s="1294">
        <v>44927</v>
      </c>
      <c r="B19" s="1295" t="s">
        <v>14081</v>
      </c>
      <c r="C19" s="1296" t="s">
        <v>13683</v>
      </c>
      <c r="D19" s="1297" t="s">
        <v>6777</v>
      </c>
    </row>
    <row r="20" spans="1:4" s="535" customFormat="1" ht="12.75">
      <c r="A20" s="1291">
        <v>44927</v>
      </c>
      <c r="B20" s="1292" t="s">
        <v>14081</v>
      </c>
      <c r="C20" s="537" t="s">
        <v>13684</v>
      </c>
      <c r="D20" s="1293" t="s">
        <v>6777</v>
      </c>
    </row>
    <row r="21" spans="1:4" s="535" customFormat="1" ht="12.75">
      <c r="A21" s="1291">
        <v>44927</v>
      </c>
      <c r="B21" s="1292" t="s">
        <v>14081</v>
      </c>
      <c r="C21" s="537" t="s">
        <v>13685</v>
      </c>
      <c r="D21" s="1293" t="s">
        <v>6777</v>
      </c>
    </row>
    <row r="22" spans="1:4" s="535" customFormat="1" ht="12.75">
      <c r="A22" s="1291">
        <v>44927</v>
      </c>
      <c r="B22" s="1292" t="s">
        <v>14081</v>
      </c>
      <c r="C22" s="537" t="s">
        <v>13686</v>
      </c>
      <c r="D22" s="1293">
        <v>5.018096561799279</v>
      </c>
    </row>
    <row r="23" spans="1:4" s="535" customFormat="1" ht="12.75">
      <c r="A23" s="1291">
        <v>44927</v>
      </c>
      <c r="B23" s="1292" t="s">
        <v>14081</v>
      </c>
      <c r="C23" s="537" t="s">
        <v>13687</v>
      </c>
      <c r="D23" s="1293" t="s">
        <v>6777</v>
      </c>
    </row>
    <row r="24" spans="1:4" s="535" customFormat="1" ht="12.75">
      <c r="A24" s="1291">
        <v>44927</v>
      </c>
      <c r="B24" s="1292" t="s">
        <v>14081</v>
      </c>
      <c r="C24" s="537" t="s">
        <v>13688</v>
      </c>
      <c r="D24" s="1293" t="s">
        <v>6777</v>
      </c>
    </row>
    <row r="25" spans="1:4" s="535" customFormat="1" ht="12.75">
      <c r="A25" s="1291">
        <v>44927</v>
      </c>
      <c r="B25" s="1292" t="s">
        <v>14081</v>
      </c>
      <c r="C25" s="537" t="s">
        <v>13689</v>
      </c>
      <c r="D25" s="1293" t="s">
        <v>6777</v>
      </c>
    </row>
    <row r="26" spans="1:4" s="535" customFormat="1" ht="12.75">
      <c r="A26" s="1291">
        <v>44927</v>
      </c>
      <c r="B26" s="1292" t="s">
        <v>14081</v>
      </c>
      <c r="C26" s="537" t="s">
        <v>13690</v>
      </c>
      <c r="D26" s="1293" t="s">
        <v>6777</v>
      </c>
    </row>
    <row r="27" spans="1:4" s="535" customFormat="1" ht="12.75">
      <c r="A27" s="1298">
        <v>44927</v>
      </c>
      <c r="B27" s="1299" t="s">
        <v>14081</v>
      </c>
      <c r="C27" s="1300" t="s">
        <v>6933</v>
      </c>
      <c r="D27" s="1301">
        <v>5.3973081896850124</v>
      </c>
    </row>
    <row r="28" spans="1:4" s="535" customFormat="1" ht="12.75">
      <c r="A28" s="1291">
        <v>44927</v>
      </c>
      <c r="B28" s="1292" t="s">
        <v>14081</v>
      </c>
      <c r="C28" s="537" t="s">
        <v>13691</v>
      </c>
      <c r="D28" s="1293" t="s">
        <v>6777</v>
      </c>
    </row>
    <row r="29" spans="1:4" s="535" customFormat="1" ht="12.75">
      <c r="A29" s="1291">
        <v>44927</v>
      </c>
      <c r="B29" s="1292" t="s">
        <v>14081</v>
      </c>
      <c r="C29" s="537" t="s">
        <v>13692</v>
      </c>
      <c r="D29" s="1293" t="s">
        <v>6777</v>
      </c>
    </row>
    <row r="30" spans="1:4" s="535" customFormat="1" ht="12.75">
      <c r="A30" s="1291">
        <v>44927</v>
      </c>
      <c r="B30" s="1292" t="s">
        <v>14081</v>
      </c>
      <c r="C30" s="537" t="s">
        <v>13693</v>
      </c>
      <c r="D30" s="1293" t="s">
        <v>6777</v>
      </c>
    </row>
    <row r="31" spans="1:4" s="535" customFormat="1" ht="12.75">
      <c r="A31" s="1291">
        <v>44927</v>
      </c>
      <c r="B31" s="1292" t="s">
        <v>14081</v>
      </c>
      <c r="C31" s="537" t="s">
        <v>13694</v>
      </c>
      <c r="D31" s="1293" t="s">
        <v>6777</v>
      </c>
    </row>
    <row r="32" spans="1:4" s="535" customFormat="1" ht="12.75">
      <c r="A32" s="1291">
        <v>44927</v>
      </c>
      <c r="B32" s="1292" t="s">
        <v>14081</v>
      </c>
      <c r="C32" s="537" t="s">
        <v>13695</v>
      </c>
      <c r="D32" s="1293">
        <v>4.1938863350874209</v>
      </c>
    </row>
    <row r="33" spans="1:4" s="535" customFormat="1" ht="12.75">
      <c r="A33" s="1291">
        <v>44927</v>
      </c>
      <c r="B33" s="1292" t="s">
        <v>14081</v>
      </c>
      <c r="C33" s="537" t="s">
        <v>13696</v>
      </c>
      <c r="D33" s="1293" t="s">
        <v>6777</v>
      </c>
    </row>
    <row r="34" spans="1:4" s="535" customFormat="1" ht="12.75">
      <c r="A34" s="1291">
        <v>44927</v>
      </c>
      <c r="B34" s="1292" t="s">
        <v>14081</v>
      </c>
      <c r="C34" s="537" t="s">
        <v>13697</v>
      </c>
      <c r="D34" s="1293" t="s">
        <v>6777</v>
      </c>
    </row>
    <row r="35" spans="1:4" s="535" customFormat="1" ht="12.75">
      <c r="A35" s="1291">
        <v>44927</v>
      </c>
      <c r="B35" s="1292" t="s">
        <v>14081</v>
      </c>
      <c r="C35" s="537" t="s">
        <v>13698</v>
      </c>
      <c r="D35" s="1293" t="s">
        <v>6777</v>
      </c>
    </row>
    <row r="36" spans="1:4" s="535" customFormat="1" ht="12.75">
      <c r="A36" s="1291">
        <v>44927</v>
      </c>
      <c r="B36" s="1292" t="s">
        <v>14081</v>
      </c>
      <c r="C36" s="537" t="s">
        <v>13699</v>
      </c>
      <c r="D36" s="1293" t="s">
        <v>6777</v>
      </c>
    </row>
    <row r="37" spans="1:4" s="535" customFormat="1" ht="12.75">
      <c r="A37" s="1291">
        <v>44927</v>
      </c>
      <c r="B37" s="1292" t="s">
        <v>14081</v>
      </c>
      <c r="C37" s="537" t="s">
        <v>13700</v>
      </c>
      <c r="D37" s="1293">
        <v>4.0575903602293151</v>
      </c>
    </row>
    <row r="38" spans="1:4" s="535" customFormat="1" ht="12.75">
      <c r="A38" s="1291">
        <v>44927</v>
      </c>
      <c r="B38" s="1292" t="s">
        <v>14081</v>
      </c>
      <c r="C38" s="537" t="s">
        <v>13701</v>
      </c>
      <c r="D38" s="1293" t="s">
        <v>6777</v>
      </c>
    </row>
    <row r="39" spans="1:4" s="535" customFormat="1" ht="12.75">
      <c r="A39" s="1291">
        <v>44927</v>
      </c>
      <c r="B39" s="1292" t="s">
        <v>14081</v>
      </c>
      <c r="C39" s="537" t="s">
        <v>13702</v>
      </c>
      <c r="D39" s="1293" t="s">
        <v>6777</v>
      </c>
    </row>
    <row r="40" spans="1:4" s="535" customFormat="1" ht="12.75">
      <c r="A40" s="1291">
        <v>44927</v>
      </c>
      <c r="B40" s="1292" t="s">
        <v>14081</v>
      </c>
      <c r="C40" s="537" t="s">
        <v>13703</v>
      </c>
      <c r="D40" s="1293" t="s">
        <v>6777</v>
      </c>
    </row>
    <row r="41" spans="1:4" s="535" customFormat="1" ht="12.75">
      <c r="A41" s="1291">
        <v>44927</v>
      </c>
      <c r="B41" s="1292" t="s">
        <v>14081</v>
      </c>
      <c r="C41" s="537" t="s">
        <v>13704</v>
      </c>
      <c r="D41" s="1293" t="s">
        <v>6777</v>
      </c>
    </row>
    <row r="42" spans="1:4" s="535" customFormat="1" ht="12.75">
      <c r="A42" s="1291">
        <v>44927</v>
      </c>
      <c r="B42" s="1292" t="s">
        <v>14081</v>
      </c>
      <c r="C42" s="537" t="s">
        <v>13705</v>
      </c>
      <c r="D42" s="1293" t="s">
        <v>6777</v>
      </c>
    </row>
    <row r="43" spans="1:4" s="535" customFormat="1" ht="12.75">
      <c r="A43" s="1291">
        <v>44927</v>
      </c>
      <c r="B43" s="1292" t="s">
        <v>14081</v>
      </c>
      <c r="C43" s="537" t="s">
        <v>13706</v>
      </c>
      <c r="D43" s="1293" t="s">
        <v>6777</v>
      </c>
    </row>
    <row r="45" spans="1:4" hidden="1">
      <c r="B45" s="1166" t="s">
        <v>13707</v>
      </c>
      <c r="C45" s="1167">
        <f>D27</f>
        <v>5.3973081896850124</v>
      </c>
    </row>
    <row r="46" spans="1:4" hidden="1">
      <c r="B46" s="1168" t="s">
        <v>13708</v>
      </c>
      <c r="C46" s="1169">
        <v>0.03</v>
      </c>
    </row>
    <row r="47" spans="1:4" hidden="1">
      <c r="B47" s="1168" t="s">
        <v>13709</v>
      </c>
      <c r="C47" s="1169">
        <v>6.4999999999999997E-3</v>
      </c>
    </row>
    <row r="48" spans="1:4" ht="15.75" hidden="1" thickBot="1">
      <c r="B48" s="1170" t="s">
        <v>405</v>
      </c>
      <c r="C48" s="1171">
        <f>TRUNC(C45/(1-(C46+C47)),5)</f>
        <v>5.6017700000000001</v>
      </c>
    </row>
    <row r="49" spans="2:3" hidden="1"/>
    <row r="50" spans="2:3" hidden="1">
      <c r="B50" s="1976" t="s">
        <v>13710</v>
      </c>
      <c r="C50" s="1976"/>
    </row>
    <row r="51" spans="2:3" ht="32.25" hidden="1" customHeight="1">
      <c r="B51" s="1976"/>
      <c r="C51" s="1976"/>
    </row>
  </sheetData>
  <mergeCells count="11">
    <mergeCell ref="B6:D6"/>
    <mergeCell ref="A1:D1"/>
    <mergeCell ref="A2:D2"/>
    <mergeCell ref="A3:D3"/>
    <mergeCell ref="A4:D4"/>
    <mergeCell ref="A5:D5"/>
    <mergeCell ref="B7:D7"/>
    <mergeCell ref="B8:D8"/>
    <mergeCell ref="B9:D9"/>
    <mergeCell ref="A10:D10"/>
    <mergeCell ref="B50:C51"/>
  </mergeCells>
  <printOptions horizontalCentered="1"/>
  <pageMargins left="0.78740157480314965" right="0.19685039370078741" top="0.39370078740157483" bottom="0.78740157480314965" header="0.31496062992125984" footer="0.31496062992125984"/>
  <pageSetup paperSize="9" scale="92" firstPageNumber="25" fitToHeight="100" orientation="portrait" useFirstPageNumber="1" r:id="rId1"/>
  <headerFooter scaleWithDoc="0"/>
  <drawing r:id="rId2"/>
  <legacyDrawing r:id="rId3"/>
  <oleObjects>
    <oleObject shapeId="67585" r:id="rId4"/>
  </oleObjects>
</worksheet>
</file>

<file path=xl/worksheets/sheet2.xml><?xml version="1.0" encoding="utf-8"?>
<worksheet xmlns="http://schemas.openxmlformats.org/spreadsheetml/2006/main" xmlns:r="http://schemas.openxmlformats.org/officeDocument/2006/relationships">
  <sheetPr codeName="Planilha3">
    <tabColor rgb="FFFFCCFF"/>
    <pageSetUpPr fitToPage="1"/>
  </sheetPr>
  <dimension ref="A1:N40"/>
  <sheetViews>
    <sheetView view="pageBreakPreview" topLeftCell="A10" zoomScaleSheetLayoutView="100" workbookViewId="0">
      <selection activeCell="B9" sqref="B9:F9"/>
    </sheetView>
  </sheetViews>
  <sheetFormatPr defaultRowHeight="12.75"/>
  <cols>
    <col min="1" max="1" width="9.140625" style="90"/>
    <col min="2" max="2" width="10.5703125" style="86" customWidth="1"/>
    <col min="3" max="3" width="14.42578125" style="86" bestFit="1" customWidth="1"/>
    <col min="4" max="4" width="85.7109375" style="86" customWidth="1"/>
    <col min="5" max="5" width="9.7109375" style="87" customWidth="1"/>
    <col min="6" max="6" width="10" style="86" customWidth="1"/>
    <col min="7" max="7" width="10.5703125" style="88" bestFit="1" customWidth="1"/>
    <col min="8" max="8" width="14.140625" style="72" bestFit="1" customWidth="1"/>
    <col min="9" max="9" width="15.5703125" style="89" bestFit="1" customWidth="1"/>
    <col min="10" max="10" width="32.28515625" style="90" customWidth="1"/>
    <col min="11" max="11" width="9.140625" style="90"/>
    <col min="12" max="12" width="14.7109375" style="90" bestFit="1" customWidth="1"/>
    <col min="13" max="13" width="15.85546875" style="90" customWidth="1"/>
    <col min="14" max="14" width="11.7109375" style="90" bestFit="1" customWidth="1"/>
    <col min="15" max="257" width="9.140625" style="90"/>
    <col min="258" max="258" width="8.5703125" style="90" customWidth="1"/>
    <col min="259" max="259" width="14.42578125" style="90" bestFit="1" customWidth="1"/>
    <col min="260" max="260" width="81.42578125" style="90" customWidth="1"/>
    <col min="261" max="261" width="9.7109375" style="90" customWidth="1"/>
    <col min="262" max="262" width="10" style="90" customWidth="1"/>
    <col min="263" max="263" width="10.5703125" style="90" bestFit="1" customWidth="1"/>
    <col min="264" max="264" width="14.140625" style="90" bestFit="1" customWidth="1"/>
    <col min="265" max="265" width="15.5703125" style="90" bestFit="1" customWidth="1"/>
    <col min="266" max="266" width="11" style="90" bestFit="1" customWidth="1"/>
    <col min="267" max="269" width="9.140625" style="90"/>
    <col min="270" max="270" width="11.7109375" style="90" bestFit="1" customWidth="1"/>
    <col min="271" max="513" width="9.140625" style="90"/>
    <col min="514" max="514" width="8.5703125" style="90" customWidth="1"/>
    <col min="515" max="515" width="14.42578125" style="90" bestFit="1" customWidth="1"/>
    <col min="516" max="516" width="81.42578125" style="90" customWidth="1"/>
    <col min="517" max="517" width="9.7109375" style="90" customWidth="1"/>
    <col min="518" max="518" width="10" style="90" customWidth="1"/>
    <col min="519" max="519" width="10.5703125" style="90" bestFit="1" customWidth="1"/>
    <col min="520" max="520" width="14.140625" style="90" bestFit="1" customWidth="1"/>
    <col min="521" max="521" width="15.5703125" style="90" bestFit="1" customWidth="1"/>
    <col min="522" max="522" width="11" style="90" bestFit="1" customWidth="1"/>
    <col min="523" max="525" width="9.140625" style="90"/>
    <col min="526" max="526" width="11.7109375" style="90" bestFit="1" customWidth="1"/>
    <col min="527" max="769" width="9.140625" style="90"/>
    <col min="770" max="770" width="8.5703125" style="90" customWidth="1"/>
    <col min="771" max="771" width="14.42578125" style="90" bestFit="1" customWidth="1"/>
    <col min="772" max="772" width="81.42578125" style="90" customWidth="1"/>
    <col min="773" max="773" width="9.7109375" style="90" customWidth="1"/>
    <col min="774" max="774" width="10" style="90" customWidth="1"/>
    <col min="775" max="775" width="10.5703125" style="90" bestFit="1" customWidth="1"/>
    <col min="776" max="776" width="14.140625" style="90" bestFit="1" customWidth="1"/>
    <col min="777" max="777" width="15.5703125" style="90" bestFit="1" customWidth="1"/>
    <col min="778" max="778" width="11" style="90" bestFit="1" customWidth="1"/>
    <col min="779" max="781" width="9.140625" style="90"/>
    <col min="782" max="782" width="11.7109375" style="90" bestFit="1" customWidth="1"/>
    <col min="783" max="1025" width="9.140625" style="90"/>
    <col min="1026" max="1026" width="8.5703125" style="90" customWidth="1"/>
    <col min="1027" max="1027" width="14.42578125" style="90" bestFit="1" customWidth="1"/>
    <col min="1028" max="1028" width="81.42578125" style="90" customWidth="1"/>
    <col min="1029" max="1029" width="9.7109375" style="90" customWidth="1"/>
    <col min="1030" max="1030" width="10" style="90" customWidth="1"/>
    <col min="1031" max="1031" width="10.5703125" style="90" bestFit="1" customWidth="1"/>
    <col min="1032" max="1032" width="14.140625" style="90" bestFit="1" customWidth="1"/>
    <col min="1033" max="1033" width="15.5703125" style="90" bestFit="1" customWidth="1"/>
    <col min="1034" max="1034" width="11" style="90" bestFit="1" customWidth="1"/>
    <col min="1035" max="1037" width="9.140625" style="90"/>
    <col min="1038" max="1038" width="11.7109375" style="90" bestFit="1" customWidth="1"/>
    <col min="1039" max="1281" width="9.140625" style="90"/>
    <col min="1282" max="1282" width="8.5703125" style="90" customWidth="1"/>
    <col min="1283" max="1283" width="14.42578125" style="90" bestFit="1" customWidth="1"/>
    <col min="1284" max="1284" width="81.42578125" style="90" customWidth="1"/>
    <col min="1285" max="1285" width="9.7109375" style="90" customWidth="1"/>
    <col min="1286" max="1286" width="10" style="90" customWidth="1"/>
    <col min="1287" max="1287" width="10.5703125" style="90" bestFit="1" customWidth="1"/>
    <col min="1288" max="1288" width="14.140625" style="90" bestFit="1" customWidth="1"/>
    <col min="1289" max="1289" width="15.5703125" style="90" bestFit="1" customWidth="1"/>
    <col min="1290" max="1290" width="11" style="90" bestFit="1" customWidth="1"/>
    <col min="1291" max="1293" width="9.140625" style="90"/>
    <col min="1294" max="1294" width="11.7109375" style="90" bestFit="1" customWidth="1"/>
    <col min="1295" max="1537" width="9.140625" style="90"/>
    <col min="1538" max="1538" width="8.5703125" style="90" customWidth="1"/>
    <col min="1539" max="1539" width="14.42578125" style="90" bestFit="1" customWidth="1"/>
    <col min="1540" max="1540" width="81.42578125" style="90" customWidth="1"/>
    <col min="1541" max="1541" width="9.7109375" style="90" customWidth="1"/>
    <col min="1542" max="1542" width="10" style="90" customWidth="1"/>
    <col min="1543" max="1543" width="10.5703125" style="90" bestFit="1" customWidth="1"/>
    <col min="1544" max="1544" width="14.140625" style="90" bestFit="1" customWidth="1"/>
    <col min="1545" max="1545" width="15.5703125" style="90" bestFit="1" customWidth="1"/>
    <col min="1546" max="1546" width="11" style="90" bestFit="1" customWidth="1"/>
    <col min="1547" max="1549" width="9.140625" style="90"/>
    <col min="1550" max="1550" width="11.7109375" style="90" bestFit="1" customWidth="1"/>
    <col min="1551" max="1793" width="9.140625" style="90"/>
    <col min="1794" max="1794" width="8.5703125" style="90" customWidth="1"/>
    <col min="1795" max="1795" width="14.42578125" style="90" bestFit="1" customWidth="1"/>
    <col min="1796" max="1796" width="81.42578125" style="90" customWidth="1"/>
    <col min="1797" max="1797" width="9.7109375" style="90" customWidth="1"/>
    <col min="1798" max="1798" width="10" style="90" customWidth="1"/>
    <col min="1799" max="1799" width="10.5703125" style="90" bestFit="1" customWidth="1"/>
    <col min="1800" max="1800" width="14.140625" style="90" bestFit="1" customWidth="1"/>
    <col min="1801" max="1801" width="15.5703125" style="90" bestFit="1" customWidth="1"/>
    <col min="1802" max="1802" width="11" style="90" bestFit="1" customWidth="1"/>
    <col min="1803" max="1805" width="9.140625" style="90"/>
    <col min="1806" max="1806" width="11.7109375" style="90" bestFit="1" customWidth="1"/>
    <col min="1807" max="2049" width="9.140625" style="90"/>
    <col min="2050" max="2050" width="8.5703125" style="90" customWidth="1"/>
    <col min="2051" max="2051" width="14.42578125" style="90" bestFit="1" customWidth="1"/>
    <col min="2052" max="2052" width="81.42578125" style="90" customWidth="1"/>
    <col min="2053" max="2053" width="9.7109375" style="90" customWidth="1"/>
    <col min="2054" max="2054" width="10" style="90" customWidth="1"/>
    <col min="2055" max="2055" width="10.5703125" style="90" bestFit="1" customWidth="1"/>
    <col min="2056" max="2056" width="14.140625" style="90" bestFit="1" customWidth="1"/>
    <col min="2057" max="2057" width="15.5703125" style="90" bestFit="1" customWidth="1"/>
    <col min="2058" max="2058" width="11" style="90" bestFit="1" customWidth="1"/>
    <col min="2059" max="2061" width="9.140625" style="90"/>
    <col min="2062" max="2062" width="11.7109375" style="90" bestFit="1" customWidth="1"/>
    <col min="2063" max="2305" width="9.140625" style="90"/>
    <col min="2306" max="2306" width="8.5703125" style="90" customWidth="1"/>
    <col min="2307" max="2307" width="14.42578125" style="90" bestFit="1" customWidth="1"/>
    <col min="2308" max="2308" width="81.42578125" style="90" customWidth="1"/>
    <col min="2309" max="2309" width="9.7109375" style="90" customWidth="1"/>
    <col min="2310" max="2310" width="10" style="90" customWidth="1"/>
    <col min="2311" max="2311" width="10.5703125" style="90" bestFit="1" customWidth="1"/>
    <col min="2312" max="2312" width="14.140625" style="90" bestFit="1" customWidth="1"/>
    <col min="2313" max="2313" width="15.5703125" style="90" bestFit="1" customWidth="1"/>
    <col min="2314" max="2314" width="11" style="90" bestFit="1" customWidth="1"/>
    <col min="2315" max="2317" width="9.140625" style="90"/>
    <col min="2318" max="2318" width="11.7109375" style="90" bestFit="1" customWidth="1"/>
    <col min="2319" max="2561" width="9.140625" style="90"/>
    <col min="2562" max="2562" width="8.5703125" style="90" customWidth="1"/>
    <col min="2563" max="2563" width="14.42578125" style="90" bestFit="1" customWidth="1"/>
    <col min="2564" max="2564" width="81.42578125" style="90" customWidth="1"/>
    <col min="2565" max="2565" width="9.7109375" style="90" customWidth="1"/>
    <col min="2566" max="2566" width="10" style="90" customWidth="1"/>
    <col min="2567" max="2567" width="10.5703125" style="90" bestFit="1" customWidth="1"/>
    <col min="2568" max="2568" width="14.140625" style="90" bestFit="1" customWidth="1"/>
    <col min="2569" max="2569" width="15.5703125" style="90" bestFit="1" customWidth="1"/>
    <col min="2570" max="2570" width="11" style="90" bestFit="1" customWidth="1"/>
    <col min="2571" max="2573" width="9.140625" style="90"/>
    <col min="2574" max="2574" width="11.7109375" style="90" bestFit="1" customWidth="1"/>
    <col min="2575" max="2817" width="9.140625" style="90"/>
    <col min="2818" max="2818" width="8.5703125" style="90" customWidth="1"/>
    <col min="2819" max="2819" width="14.42578125" style="90" bestFit="1" customWidth="1"/>
    <col min="2820" max="2820" width="81.42578125" style="90" customWidth="1"/>
    <col min="2821" max="2821" width="9.7109375" style="90" customWidth="1"/>
    <col min="2822" max="2822" width="10" style="90" customWidth="1"/>
    <col min="2823" max="2823" width="10.5703125" style="90" bestFit="1" customWidth="1"/>
    <col min="2824" max="2824" width="14.140625" style="90" bestFit="1" customWidth="1"/>
    <col min="2825" max="2825" width="15.5703125" style="90" bestFit="1" customWidth="1"/>
    <col min="2826" max="2826" width="11" style="90" bestFit="1" customWidth="1"/>
    <col min="2827" max="2829" width="9.140625" style="90"/>
    <col min="2830" max="2830" width="11.7109375" style="90" bestFit="1" customWidth="1"/>
    <col min="2831" max="3073" width="9.140625" style="90"/>
    <col min="3074" max="3074" width="8.5703125" style="90" customWidth="1"/>
    <col min="3075" max="3075" width="14.42578125" style="90" bestFit="1" customWidth="1"/>
    <col min="3076" max="3076" width="81.42578125" style="90" customWidth="1"/>
    <col min="3077" max="3077" width="9.7109375" style="90" customWidth="1"/>
    <col min="3078" max="3078" width="10" style="90" customWidth="1"/>
    <col min="3079" max="3079" width="10.5703125" style="90" bestFit="1" customWidth="1"/>
    <col min="3080" max="3080" width="14.140625" style="90" bestFit="1" customWidth="1"/>
    <col min="3081" max="3081" width="15.5703125" style="90" bestFit="1" customWidth="1"/>
    <col min="3082" max="3082" width="11" style="90" bestFit="1" customWidth="1"/>
    <col min="3083" max="3085" width="9.140625" style="90"/>
    <col min="3086" max="3086" width="11.7109375" style="90" bestFit="1" customWidth="1"/>
    <col min="3087" max="3329" width="9.140625" style="90"/>
    <col min="3330" max="3330" width="8.5703125" style="90" customWidth="1"/>
    <col min="3331" max="3331" width="14.42578125" style="90" bestFit="1" customWidth="1"/>
    <col min="3332" max="3332" width="81.42578125" style="90" customWidth="1"/>
    <col min="3333" max="3333" width="9.7109375" style="90" customWidth="1"/>
    <col min="3334" max="3334" width="10" style="90" customWidth="1"/>
    <col min="3335" max="3335" width="10.5703125" style="90" bestFit="1" customWidth="1"/>
    <col min="3336" max="3336" width="14.140625" style="90" bestFit="1" customWidth="1"/>
    <col min="3337" max="3337" width="15.5703125" style="90" bestFit="1" customWidth="1"/>
    <col min="3338" max="3338" width="11" style="90" bestFit="1" customWidth="1"/>
    <col min="3339" max="3341" width="9.140625" style="90"/>
    <col min="3342" max="3342" width="11.7109375" style="90" bestFit="1" customWidth="1"/>
    <col min="3343" max="3585" width="9.140625" style="90"/>
    <col min="3586" max="3586" width="8.5703125" style="90" customWidth="1"/>
    <col min="3587" max="3587" width="14.42578125" style="90" bestFit="1" customWidth="1"/>
    <col min="3588" max="3588" width="81.42578125" style="90" customWidth="1"/>
    <col min="3589" max="3589" width="9.7109375" style="90" customWidth="1"/>
    <col min="3590" max="3590" width="10" style="90" customWidth="1"/>
    <col min="3591" max="3591" width="10.5703125" style="90" bestFit="1" customWidth="1"/>
    <col min="3592" max="3592" width="14.140625" style="90" bestFit="1" customWidth="1"/>
    <col min="3593" max="3593" width="15.5703125" style="90" bestFit="1" customWidth="1"/>
    <col min="3594" max="3594" width="11" style="90" bestFit="1" customWidth="1"/>
    <col min="3595" max="3597" width="9.140625" style="90"/>
    <col min="3598" max="3598" width="11.7109375" style="90" bestFit="1" customWidth="1"/>
    <col min="3599" max="3841" width="9.140625" style="90"/>
    <col min="3842" max="3842" width="8.5703125" style="90" customWidth="1"/>
    <col min="3843" max="3843" width="14.42578125" style="90" bestFit="1" customWidth="1"/>
    <col min="3844" max="3844" width="81.42578125" style="90" customWidth="1"/>
    <col min="3845" max="3845" width="9.7109375" style="90" customWidth="1"/>
    <col min="3846" max="3846" width="10" style="90" customWidth="1"/>
    <col min="3847" max="3847" width="10.5703125" style="90" bestFit="1" customWidth="1"/>
    <col min="3848" max="3848" width="14.140625" style="90" bestFit="1" customWidth="1"/>
    <col min="3849" max="3849" width="15.5703125" style="90" bestFit="1" customWidth="1"/>
    <col min="3850" max="3850" width="11" style="90" bestFit="1" customWidth="1"/>
    <col min="3851" max="3853" width="9.140625" style="90"/>
    <col min="3854" max="3854" width="11.7109375" style="90" bestFit="1" customWidth="1"/>
    <col min="3855" max="4097" width="9.140625" style="90"/>
    <col min="4098" max="4098" width="8.5703125" style="90" customWidth="1"/>
    <col min="4099" max="4099" width="14.42578125" style="90" bestFit="1" customWidth="1"/>
    <col min="4100" max="4100" width="81.42578125" style="90" customWidth="1"/>
    <col min="4101" max="4101" width="9.7109375" style="90" customWidth="1"/>
    <col min="4102" max="4102" width="10" style="90" customWidth="1"/>
    <col min="4103" max="4103" width="10.5703125" style="90" bestFit="1" customWidth="1"/>
    <col min="4104" max="4104" width="14.140625" style="90" bestFit="1" customWidth="1"/>
    <col min="4105" max="4105" width="15.5703125" style="90" bestFit="1" customWidth="1"/>
    <col min="4106" max="4106" width="11" style="90" bestFit="1" customWidth="1"/>
    <col min="4107" max="4109" width="9.140625" style="90"/>
    <col min="4110" max="4110" width="11.7109375" style="90" bestFit="1" customWidth="1"/>
    <col min="4111" max="4353" width="9.140625" style="90"/>
    <col min="4354" max="4354" width="8.5703125" style="90" customWidth="1"/>
    <col min="4355" max="4355" width="14.42578125" style="90" bestFit="1" customWidth="1"/>
    <col min="4356" max="4356" width="81.42578125" style="90" customWidth="1"/>
    <col min="4357" max="4357" width="9.7109375" style="90" customWidth="1"/>
    <col min="4358" max="4358" width="10" style="90" customWidth="1"/>
    <col min="4359" max="4359" width="10.5703125" style="90" bestFit="1" customWidth="1"/>
    <col min="4360" max="4360" width="14.140625" style="90" bestFit="1" customWidth="1"/>
    <col min="4361" max="4361" width="15.5703125" style="90" bestFit="1" customWidth="1"/>
    <col min="4362" max="4362" width="11" style="90" bestFit="1" customWidth="1"/>
    <col min="4363" max="4365" width="9.140625" style="90"/>
    <col min="4366" max="4366" width="11.7109375" style="90" bestFit="1" customWidth="1"/>
    <col min="4367" max="4609" width="9.140625" style="90"/>
    <col min="4610" max="4610" width="8.5703125" style="90" customWidth="1"/>
    <col min="4611" max="4611" width="14.42578125" style="90" bestFit="1" customWidth="1"/>
    <col min="4612" max="4612" width="81.42578125" style="90" customWidth="1"/>
    <col min="4613" max="4613" width="9.7109375" style="90" customWidth="1"/>
    <col min="4614" max="4614" width="10" style="90" customWidth="1"/>
    <col min="4615" max="4615" width="10.5703125" style="90" bestFit="1" customWidth="1"/>
    <col min="4616" max="4616" width="14.140625" style="90" bestFit="1" customWidth="1"/>
    <col min="4617" max="4617" width="15.5703125" style="90" bestFit="1" customWidth="1"/>
    <col min="4618" max="4618" width="11" style="90" bestFit="1" customWidth="1"/>
    <col min="4619" max="4621" width="9.140625" style="90"/>
    <col min="4622" max="4622" width="11.7109375" style="90" bestFit="1" customWidth="1"/>
    <col min="4623" max="4865" width="9.140625" style="90"/>
    <col min="4866" max="4866" width="8.5703125" style="90" customWidth="1"/>
    <col min="4867" max="4867" width="14.42578125" style="90" bestFit="1" customWidth="1"/>
    <col min="4868" max="4868" width="81.42578125" style="90" customWidth="1"/>
    <col min="4869" max="4869" width="9.7109375" style="90" customWidth="1"/>
    <col min="4870" max="4870" width="10" style="90" customWidth="1"/>
    <col min="4871" max="4871" width="10.5703125" style="90" bestFit="1" customWidth="1"/>
    <col min="4872" max="4872" width="14.140625" style="90" bestFit="1" customWidth="1"/>
    <col min="4873" max="4873" width="15.5703125" style="90" bestFit="1" customWidth="1"/>
    <col min="4874" max="4874" width="11" style="90" bestFit="1" customWidth="1"/>
    <col min="4875" max="4877" width="9.140625" style="90"/>
    <col min="4878" max="4878" width="11.7109375" style="90" bestFit="1" customWidth="1"/>
    <col min="4879" max="5121" width="9.140625" style="90"/>
    <col min="5122" max="5122" width="8.5703125" style="90" customWidth="1"/>
    <col min="5123" max="5123" width="14.42578125" style="90" bestFit="1" customWidth="1"/>
    <col min="5124" max="5124" width="81.42578125" style="90" customWidth="1"/>
    <col min="5125" max="5125" width="9.7109375" style="90" customWidth="1"/>
    <col min="5126" max="5126" width="10" style="90" customWidth="1"/>
    <col min="5127" max="5127" width="10.5703125" style="90" bestFit="1" customWidth="1"/>
    <col min="5128" max="5128" width="14.140625" style="90" bestFit="1" customWidth="1"/>
    <col min="5129" max="5129" width="15.5703125" style="90" bestFit="1" customWidth="1"/>
    <col min="5130" max="5130" width="11" style="90" bestFit="1" customWidth="1"/>
    <col min="5131" max="5133" width="9.140625" style="90"/>
    <col min="5134" max="5134" width="11.7109375" style="90" bestFit="1" customWidth="1"/>
    <col min="5135" max="5377" width="9.140625" style="90"/>
    <col min="5378" max="5378" width="8.5703125" style="90" customWidth="1"/>
    <col min="5379" max="5379" width="14.42578125" style="90" bestFit="1" customWidth="1"/>
    <col min="5380" max="5380" width="81.42578125" style="90" customWidth="1"/>
    <col min="5381" max="5381" width="9.7109375" style="90" customWidth="1"/>
    <col min="5382" max="5382" width="10" style="90" customWidth="1"/>
    <col min="5383" max="5383" width="10.5703125" style="90" bestFit="1" customWidth="1"/>
    <col min="5384" max="5384" width="14.140625" style="90" bestFit="1" customWidth="1"/>
    <col min="5385" max="5385" width="15.5703125" style="90" bestFit="1" customWidth="1"/>
    <col min="5386" max="5386" width="11" style="90" bestFit="1" customWidth="1"/>
    <col min="5387" max="5389" width="9.140625" style="90"/>
    <col min="5390" max="5390" width="11.7109375" style="90" bestFit="1" customWidth="1"/>
    <col min="5391" max="5633" width="9.140625" style="90"/>
    <col min="5634" max="5634" width="8.5703125" style="90" customWidth="1"/>
    <col min="5635" max="5635" width="14.42578125" style="90" bestFit="1" customWidth="1"/>
    <col min="5636" max="5636" width="81.42578125" style="90" customWidth="1"/>
    <col min="5637" max="5637" width="9.7109375" style="90" customWidth="1"/>
    <col min="5638" max="5638" width="10" style="90" customWidth="1"/>
    <col min="5639" max="5639" width="10.5703125" style="90" bestFit="1" customWidth="1"/>
    <col min="5640" max="5640" width="14.140625" style="90" bestFit="1" customWidth="1"/>
    <col min="5641" max="5641" width="15.5703125" style="90" bestFit="1" customWidth="1"/>
    <col min="5642" max="5642" width="11" style="90" bestFit="1" customWidth="1"/>
    <col min="5643" max="5645" width="9.140625" style="90"/>
    <col min="5646" max="5646" width="11.7109375" style="90" bestFit="1" customWidth="1"/>
    <col min="5647" max="5889" width="9.140625" style="90"/>
    <col min="5890" max="5890" width="8.5703125" style="90" customWidth="1"/>
    <col min="5891" max="5891" width="14.42578125" style="90" bestFit="1" customWidth="1"/>
    <col min="5892" max="5892" width="81.42578125" style="90" customWidth="1"/>
    <col min="5893" max="5893" width="9.7109375" style="90" customWidth="1"/>
    <col min="5894" max="5894" width="10" style="90" customWidth="1"/>
    <col min="5895" max="5895" width="10.5703125" style="90" bestFit="1" customWidth="1"/>
    <col min="5896" max="5896" width="14.140625" style="90" bestFit="1" customWidth="1"/>
    <col min="5897" max="5897" width="15.5703125" style="90" bestFit="1" customWidth="1"/>
    <col min="5898" max="5898" width="11" style="90" bestFit="1" customWidth="1"/>
    <col min="5899" max="5901" width="9.140625" style="90"/>
    <col min="5902" max="5902" width="11.7109375" style="90" bestFit="1" customWidth="1"/>
    <col min="5903" max="6145" width="9.140625" style="90"/>
    <col min="6146" max="6146" width="8.5703125" style="90" customWidth="1"/>
    <col min="6147" max="6147" width="14.42578125" style="90" bestFit="1" customWidth="1"/>
    <col min="6148" max="6148" width="81.42578125" style="90" customWidth="1"/>
    <col min="6149" max="6149" width="9.7109375" style="90" customWidth="1"/>
    <col min="6150" max="6150" width="10" style="90" customWidth="1"/>
    <col min="6151" max="6151" width="10.5703125" style="90" bestFit="1" customWidth="1"/>
    <col min="6152" max="6152" width="14.140625" style="90" bestFit="1" customWidth="1"/>
    <col min="6153" max="6153" width="15.5703125" style="90" bestFit="1" customWidth="1"/>
    <col min="6154" max="6154" width="11" style="90" bestFit="1" customWidth="1"/>
    <col min="6155" max="6157" width="9.140625" style="90"/>
    <col min="6158" max="6158" width="11.7109375" style="90" bestFit="1" customWidth="1"/>
    <col min="6159" max="6401" width="9.140625" style="90"/>
    <col min="6402" max="6402" width="8.5703125" style="90" customWidth="1"/>
    <col min="6403" max="6403" width="14.42578125" style="90" bestFit="1" customWidth="1"/>
    <col min="6404" max="6404" width="81.42578125" style="90" customWidth="1"/>
    <col min="6405" max="6405" width="9.7109375" style="90" customWidth="1"/>
    <col min="6406" max="6406" width="10" style="90" customWidth="1"/>
    <col min="6407" max="6407" width="10.5703125" style="90" bestFit="1" customWidth="1"/>
    <col min="6408" max="6408" width="14.140625" style="90" bestFit="1" customWidth="1"/>
    <col min="6409" max="6409" width="15.5703125" style="90" bestFit="1" customWidth="1"/>
    <col min="6410" max="6410" width="11" style="90" bestFit="1" customWidth="1"/>
    <col min="6411" max="6413" width="9.140625" style="90"/>
    <col min="6414" max="6414" width="11.7109375" style="90" bestFit="1" customWidth="1"/>
    <col min="6415" max="6657" width="9.140625" style="90"/>
    <col min="6658" max="6658" width="8.5703125" style="90" customWidth="1"/>
    <col min="6659" max="6659" width="14.42578125" style="90" bestFit="1" customWidth="1"/>
    <col min="6660" max="6660" width="81.42578125" style="90" customWidth="1"/>
    <col min="6661" max="6661" width="9.7109375" style="90" customWidth="1"/>
    <col min="6662" max="6662" width="10" style="90" customWidth="1"/>
    <col min="6663" max="6663" width="10.5703125" style="90" bestFit="1" customWidth="1"/>
    <col min="6664" max="6664" width="14.140625" style="90" bestFit="1" customWidth="1"/>
    <col min="6665" max="6665" width="15.5703125" style="90" bestFit="1" customWidth="1"/>
    <col min="6666" max="6666" width="11" style="90" bestFit="1" customWidth="1"/>
    <col min="6667" max="6669" width="9.140625" style="90"/>
    <col min="6670" max="6670" width="11.7109375" style="90" bestFit="1" customWidth="1"/>
    <col min="6671" max="6913" width="9.140625" style="90"/>
    <col min="6914" max="6914" width="8.5703125" style="90" customWidth="1"/>
    <col min="6915" max="6915" width="14.42578125" style="90" bestFit="1" customWidth="1"/>
    <col min="6916" max="6916" width="81.42578125" style="90" customWidth="1"/>
    <col min="6917" max="6917" width="9.7109375" style="90" customWidth="1"/>
    <col min="6918" max="6918" width="10" style="90" customWidth="1"/>
    <col min="6919" max="6919" width="10.5703125" style="90" bestFit="1" customWidth="1"/>
    <col min="6920" max="6920" width="14.140625" style="90" bestFit="1" customWidth="1"/>
    <col min="6921" max="6921" width="15.5703125" style="90" bestFit="1" customWidth="1"/>
    <col min="6922" max="6922" width="11" style="90" bestFit="1" customWidth="1"/>
    <col min="6923" max="6925" width="9.140625" style="90"/>
    <col min="6926" max="6926" width="11.7109375" style="90" bestFit="1" customWidth="1"/>
    <col min="6927" max="7169" width="9.140625" style="90"/>
    <col min="7170" max="7170" width="8.5703125" style="90" customWidth="1"/>
    <col min="7171" max="7171" width="14.42578125" style="90" bestFit="1" customWidth="1"/>
    <col min="7172" max="7172" width="81.42578125" style="90" customWidth="1"/>
    <col min="7173" max="7173" width="9.7109375" style="90" customWidth="1"/>
    <col min="7174" max="7174" width="10" style="90" customWidth="1"/>
    <col min="7175" max="7175" width="10.5703125" style="90" bestFit="1" customWidth="1"/>
    <col min="7176" max="7176" width="14.140625" style="90" bestFit="1" customWidth="1"/>
    <col min="7177" max="7177" width="15.5703125" style="90" bestFit="1" customWidth="1"/>
    <col min="7178" max="7178" width="11" style="90" bestFit="1" customWidth="1"/>
    <col min="7179" max="7181" width="9.140625" style="90"/>
    <col min="7182" max="7182" width="11.7109375" style="90" bestFit="1" customWidth="1"/>
    <col min="7183" max="7425" width="9.140625" style="90"/>
    <col min="7426" max="7426" width="8.5703125" style="90" customWidth="1"/>
    <col min="7427" max="7427" width="14.42578125" style="90" bestFit="1" customWidth="1"/>
    <col min="7428" max="7428" width="81.42578125" style="90" customWidth="1"/>
    <col min="7429" max="7429" width="9.7109375" style="90" customWidth="1"/>
    <col min="7430" max="7430" width="10" style="90" customWidth="1"/>
    <col min="7431" max="7431" width="10.5703125" style="90" bestFit="1" customWidth="1"/>
    <col min="7432" max="7432" width="14.140625" style="90" bestFit="1" customWidth="1"/>
    <col min="7433" max="7433" width="15.5703125" style="90" bestFit="1" customWidth="1"/>
    <col min="7434" max="7434" width="11" style="90" bestFit="1" customWidth="1"/>
    <col min="7435" max="7437" width="9.140625" style="90"/>
    <col min="7438" max="7438" width="11.7109375" style="90" bestFit="1" customWidth="1"/>
    <col min="7439" max="7681" width="9.140625" style="90"/>
    <col min="7682" max="7682" width="8.5703125" style="90" customWidth="1"/>
    <col min="7683" max="7683" width="14.42578125" style="90" bestFit="1" customWidth="1"/>
    <col min="7684" max="7684" width="81.42578125" style="90" customWidth="1"/>
    <col min="7685" max="7685" width="9.7109375" style="90" customWidth="1"/>
    <col min="7686" max="7686" width="10" style="90" customWidth="1"/>
    <col min="7687" max="7687" width="10.5703125" style="90" bestFit="1" customWidth="1"/>
    <col min="7688" max="7688" width="14.140625" style="90" bestFit="1" customWidth="1"/>
    <col min="7689" max="7689" width="15.5703125" style="90" bestFit="1" customWidth="1"/>
    <col min="7690" max="7690" width="11" style="90" bestFit="1" customWidth="1"/>
    <col min="7691" max="7693" width="9.140625" style="90"/>
    <col min="7694" max="7694" width="11.7109375" style="90" bestFit="1" customWidth="1"/>
    <col min="7695" max="7937" width="9.140625" style="90"/>
    <col min="7938" max="7938" width="8.5703125" style="90" customWidth="1"/>
    <col min="7939" max="7939" width="14.42578125" style="90" bestFit="1" customWidth="1"/>
    <col min="7940" max="7940" width="81.42578125" style="90" customWidth="1"/>
    <col min="7941" max="7941" width="9.7109375" style="90" customWidth="1"/>
    <col min="7942" max="7942" width="10" style="90" customWidth="1"/>
    <col min="7943" max="7943" width="10.5703125" style="90" bestFit="1" customWidth="1"/>
    <col min="7944" max="7944" width="14.140625" style="90" bestFit="1" customWidth="1"/>
    <col min="7945" max="7945" width="15.5703125" style="90" bestFit="1" customWidth="1"/>
    <col min="7946" max="7946" width="11" style="90" bestFit="1" customWidth="1"/>
    <col min="7947" max="7949" width="9.140625" style="90"/>
    <col min="7950" max="7950" width="11.7109375" style="90" bestFit="1" customWidth="1"/>
    <col min="7951" max="8193" width="9.140625" style="90"/>
    <col min="8194" max="8194" width="8.5703125" style="90" customWidth="1"/>
    <col min="8195" max="8195" width="14.42578125" style="90" bestFit="1" customWidth="1"/>
    <col min="8196" max="8196" width="81.42578125" style="90" customWidth="1"/>
    <col min="8197" max="8197" width="9.7109375" style="90" customWidth="1"/>
    <col min="8198" max="8198" width="10" style="90" customWidth="1"/>
    <col min="8199" max="8199" width="10.5703125" style="90" bestFit="1" customWidth="1"/>
    <col min="8200" max="8200" width="14.140625" style="90" bestFit="1" customWidth="1"/>
    <col min="8201" max="8201" width="15.5703125" style="90" bestFit="1" customWidth="1"/>
    <col min="8202" max="8202" width="11" style="90" bestFit="1" customWidth="1"/>
    <col min="8203" max="8205" width="9.140625" style="90"/>
    <col min="8206" max="8206" width="11.7109375" style="90" bestFit="1" customWidth="1"/>
    <col min="8207" max="8449" width="9.140625" style="90"/>
    <col min="8450" max="8450" width="8.5703125" style="90" customWidth="1"/>
    <col min="8451" max="8451" width="14.42578125" style="90" bestFit="1" customWidth="1"/>
    <col min="8452" max="8452" width="81.42578125" style="90" customWidth="1"/>
    <col min="8453" max="8453" width="9.7109375" style="90" customWidth="1"/>
    <col min="8454" max="8454" width="10" style="90" customWidth="1"/>
    <col min="8455" max="8455" width="10.5703125" style="90" bestFit="1" customWidth="1"/>
    <col min="8456" max="8456" width="14.140625" style="90" bestFit="1" customWidth="1"/>
    <col min="8457" max="8457" width="15.5703125" style="90" bestFit="1" customWidth="1"/>
    <col min="8458" max="8458" width="11" style="90" bestFit="1" customWidth="1"/>
    <col min="8459" max="8461" width="9.140625" style="90"/>
    <col min="8462" max="8462" width="11.7109375" style="90" bestFit="1" customWidth="1"/>
    <col min="8463" max="8705" width="9.140625" style="90"/>
    <col min="8706" max="8706" width="8.5703125" style="90" customWidth="1"/>
    <col min="8707" max="8707" width="14.42578125" style="90" bestFit="1" customWidth="1"/>
    <col min="8708" max="8708" width="81.42578125" style="90" customWidth="1"/>
    <col min="8709" max="8709" width="9.7109375" style="90" customWidth="1"/>
    <col min="8710" max="8710" width="10" style="90" customWidth="1"/>
    <col min="8711" max="8711" width="10.5703125" style="90" bestFit="1" customWidth="1"/>
    <col min="8712" max="8712" width="14.140625" style="90" bestFit="1" customWidth="1"/>
    <col min="8713" max="8713" width="15.5703125" style="90" bestFit="1" customWidth="1"/>
    <col min="8714" max="8714" width="11" style="90" bestFit="1" customWidth="1"/>
    <col min="8715" max="8717" width="9.140625" style="90"/>
    <col min="8718" max="8718" width="11.7109375" style="90" bestFit="1" customWidth="1"/>
    <col min="8719" max="8961" width="9.140625" style="90"/>
    <col min="8962" max="8962" width="8.5703125" style="90" customWidth="1"/>
    <col min="8963" max="8963" width="14.42578125" style="90" bestFit="1" customWidth="1"/>
    <col min="8964" max="8964" width="81.42578125" style="90" customWidth="1"/>
    <col min="8965" max="8965" width="9.7109375" style="90" customWidth="1"/>
    <col min="8966" max="8966" width="10" style="90" customWidth="1"/>
    <col min="8967" max="8967" width="10.5703125" style="90" bestFit="1" customWidth="1"/>
    <col min="8968" max="8968" width="14.140625" style="90" bestFit="1" customWidth="1"/>
    <col min="8969" max="8969" width="15.5703125" style="90" bestFit="1" customWidth="1"/>
    <col min="8970" max="8970" width="11" style="90" bestFit="1" customWidth="1"/>
    <col min="8971" max="8973" width="9.140625" style="90"/>
    <col min="8974" max="8974" width="11.7109375" style="90" bestFit="1" customWidth="1"/>
    <col min="8975" max="9217" width="9.140625" style="90"/>
    <col min="9218" max="9218" width="8.5703125" style="90" customWidth="1"/>
    <col min="9219" max="9219" width="14.42578125" style="90" bestFit="1" customWidth="1"/>
    <col min="9220" max="9220" width="81.42578125" style="90" customWidth="1"/>
    <col min="9221" max="9221" width="9.7109375" style="90" customWidth="1"/>
    <col min="9222" max="9222" width="10" style="90" customWidth="1"/>
    <col min="9223" max="9223" width="10.5703125" style="90" bestFit="1" customWidth="1"/>
    <col min="9224" max="9224" width="14.140625" style="90" bestFit="1" customWidth="1"/>
    <col min="9225" max="9225" width="15.5703125" style="90" bestFit="1" customWidth="1"/>
    <col min="9226" max="9226" width="11" style="90" bestFit="1" customWidth="1"/>
    <col min="9227" max="9229" width="9.140625" style="90"/>
    <col min="9230" max="9230" width="11.7109375" style="90" bestFit="1" customWidth="1"/>
    <col min="9231" max="9473" width="9.140625" style="90"/>
    <col min="9474" max="9474" width="8.5703125" style="90" customWidth="1"/>
    <col min="9475" max="9475" width="14.42578125" style="90" bestFit="1" customWidth="1"/>
    <col min="9476" max="9476" width="81.42578125" style="90" customWidth="1"/>
    <col min="9477" max="9477" width="9.7109375" style="90" customWidth="1"/>
    <col min="9478" max="9478" width="10" style="90" customWidth="1"/>
    <col min="9479" max="9479" width="10.5703125" style="90" bestFit="1" customWidth="1"/>
    <col min="9480" max="9480" width="14.140625" style="90" bestFit="1" customWidth="1"/>
    <col min="9481" max="9481" width="15.5703125" style="90" bestFit="1" customWidth="1"/>
    <col min="9482" max="9482" width="11" style="90" bestFit="1" customWidth="1"/>
    <col min="9483" max="9485" width="9.140625" style="90"/>
    <col min="9486" max="9486" width="11.7109375" style="90" bestFit="1" customWidth="1"/>
    <col min="9487" max="9729" width="9.140625" style="90"/>
    <col min="9730" max="9730" width="8.5703125" style="90" customWidth="1"/>
    <col min="9731" max="9731" width="14.42578125" style="90" bestFit="1" customWidth="1"/>
    <col min="9732" max="9732" width="81.42578125" style="90" customWidth="1"/>
    <col min="9733" max="9733" width="9.7109375" style="90" customWidth="1"/>
    <col min="9734" max="9734" width="10" style="90" customWidth="1"/>
    <col min="9735" max="9735" width="10.5703125" style="90" bestFit="1" customWidth="1"/>
    <col min="9736" max="9736" width="14.140625" style="90" bestFit="1" customWidth="1"/>
    <col min="9737" max="9737" width="15.5703125" style="90" bestFit="1" customWidth="1"/>
    <col min="9738" max="9738" width="11" style="90" bestFit="1" customWidth="1"/>
    <col min="9739" max="9741" width="9.140625" style="90"/>
    <col min="9742" max="9742" width="11.7109375" style="90" bestFit="1" customWidth="1"/>
    <col min="9743" max="9985" width="9.140625" style="90"/>
    <col min="9986" max="9986" width="8.5703125" style="90" customWidth="1"/>
    <col min="9987" max="9987" width="14.42578125" style="90" bestFit="1" customWidth="1"/>
    <col min="9988" max="9988" width="81.42578125" style="90" customWidth="1"/>
    <col min="9989" max="9989" width="9.7109375" style="90" customWidth="1"/>
    <col min="9990" max="9990" width="10" style="90" customWidth="1"/>
    <col min="9991" max="9991" width="10.5703125" style="90" bestFit="1" customWidth="1"/>
    <col min="9992" max="9992" width="14.140625" style="90" bestFit="1" customWidth="1"/>
    <col min="9993" max="9993" width="15.5703125" style="90" bestFit="1" customWidth="1"/>
    <col min="9994" max="9994" width="11" style="90" bestFit="1" customWidth="1"/>
    <col min="9995" max="9997" width="9.140625" style="90"/>
    <col min="9998" max="9998" width="11.7109375" style="90" bestFit="1" customWidth="1"/>
    <col min="9999" max="10241" width="9.140625" style="90"/>
    <col min="10242" max="10242" width="8.5703125" style="90" customWidth="1"/>
    <col min="10243" max="10243" width="14.42578125" style="90" bestFit="1" customWidth="1"/>
    <col min="10244" max="10244" width="81.42578125" style="90" customWidth="1"/>
    <col min="10245" max="10245" width="9.7109375" style="90" customWidth="1"/>
    <col min="10246" max="10246" width="10" style="90" customWidth="1"/>
    <col min="10247" max="10247" width="10.5703125" style="90" bestFit="1" customWidth="1"/>
    <col min="10248" max="10248" width="14.140625" style="90" bestFit="1" customWidth="1"/>
    <col min="10249" max="10249" width="15.5703125" style="90" bestFit="1" customWidth="1"/>
    <col min="10250" max="10250" width="11" style="90" bestFit="1" customWidth="1"/>
    <col min="10251" max="10253" width="9.140625" style="90"/>
    <col min="10254" max="10254" width="11.7109375" style="90" bestFit="1" customWidth="1"/>
    <col min="10255" max="10497" width="9.140625" style="90"/>
    <col min="10498" max="10498" width="8.5703125" style="90" customWidth="1"/>
    <col min="10499" max="10499" width="14.42578125" style="90" bestFit="1" customWidth="1"/>
    <col min="10500" max="10500" width="81.42578125" style="90" customWidth="1"/>
    <col min="10501" max="10501" width="9.7109375" style="90" customWidth="1"/>
    <col min="10502" max="10502" width="10" style="90" customWidth="1"/>
    <col min="10503" max="10503" width="10.5703125" style="90" bestFit="1" customWidth="1"/>
    <col min="10504" max="10504" width="14.140625" style="90" bestFit="1" customWidth="1"/>
    <col min="10505" max="10505" width="15.5703125" style="90" bestFit="1" customWidth="1"/>
    <col min="10506" max="10506" width="11" style="90" bestFit="1" customWidth="1"/>
    <col min="10507" max="10509" width="9.140625" style="90"/>
    <col min="10510" max="10510" width="11.7109375" style="90" bestFit="1" customWidth="1"/>
    <col min="10511" max="10753" width="9.140625" style="90"/>
    <col min="10754" max="10754" width="8.5703125" style="90" customWidth="1"/>
    <col min="10755" max="10755" width="14.42578125" style="90" bestFit="1" customWidth="1"/>
    <col min="10756" max="10756" width="81.42578125" style="90" customWidth="1"/>
    <col min="10757" max="10757" width="9.7109375" style="90" customWidth="1"/>
    <col min="10758" max="10758" width="10" style="90" customWidth="1"/>
    <col min="10759" max="10759" width="10.5703125" style="90" bestFit="1" customWidth="1"/>
    <col min="10760" max="10760" width="14.140625" style="90" bestFit="1" customWidth="1"/>
    <col min="10761" max="10761" width="15.5703125" style="90" bestFit="1" customWidth="1"/>
    <col min="10762" max="10762" width="11" style="90" bestFit="1" customWidth="1"/>
    <col min="10763" max="10765" width="9.140625" style="90"/>
    <col min="10766" max="10766" width="11.7109375" style="90" bestFit="1" customWidth="1"/>
    <col min="10767" max="11009" width="9.140625" style="90"/>
    <col min="11010" max="11010" width="8.5703125" style="90" customWidth="1"/>
    <col min="11011" max="11011" width="14.42578125" style="90" bestFit="1" customWidth="1"/>
    <col min="11012" max="11012" width="81.42578125" style="90" customWidth="1"/>
    <col min="11013" max="11013" width="9.7109375" style="90" customWidth="1"/>
    <col min="11014" max="11014" width="10" style="90" customWidth="1"/>
    <col min="11015" max="11015" width="10.5703125" style="90" bestFit="1" customWidth="1"/>
    <col min="11016" max="11016" width="14.140625" style="90" bestFit="1" customWidth="1"/>
    <col min="11017" max="11017" width="15.5703125" style="90" bestFit="1" customWidth="1"/>
    <col min="11018" max="11018" width="11" style="90" bestFit="1" customWidth="1"/>
    <col min="11019" max="11021" width="9.140625" style="90"/>
    <col min="11022" max="11022" width="11.7109375" style="90" bestFit="1" customWidth="1"/>
    <col min="11023" max="11265" width="9.140625" style="90"/>
    <col min="11266" max="11266" width="8.5703125" style="90" customWidth="1"/>
    <col min="11267" max="11267" width="14.42578125" style="90" bestFit="1" customWidth="1"/>
    <col min="11268" max="11268" width="81.42578125" style="90" customWidth="1"/>
    <col min="11269" max="11269" width="9.7109375" style="90" customWidth="1"/>
    <col min="11270" max="11270" width="10" style="90" customWidth="1"/>
    <col min="11271" max="11271" width="10.5703125" style="90" bestFit="1" customWidth="1"/>
    <col min="11272" max="11272" width="14.140625" style="90" bestFit="1" customWidth="1"/>
    <col min="11273" max="11273" width="15.5703125" style="90" bestFit="1" customWidth="1"/>
    <col min="11274" max="11274" width="11" style="90" bestFit="1" customWidth="1"/>
    <col min="11275" max="11277" width="9.140625" style="90"/>
    <col min="11278" max="11278" width="11.7109375" style="90" bestFit="1" customWidth="1"/>
    <col min="11279" max="11521" width="9.140625" style="90"/>
    <col min="11522" max="11522" width="8.5703125" style="90" customWidth="1"/>
    <col min="11523" max="11523" width="14.42578125" style="90" bestFit="1" customWidth="1"/>
    <col min="11524" max="11524" width="81.42578125" style="90" customWidth="1"/>
    <col min="11525" max="11525" width="9.7109375" style="90" customWidth="1"/>
    <col min="11526" max="11526" width="10" style="90" customWidth="1"/>
    <col min="11527" max="11527" width="10.5703125" style="90" bestFit="1" customWidth="1"/>
    <col min="11528" max="11528" width="14.140625" style="90" bestFit="1" customWidth="1"/>
    <col min="11529" max="11529" width="15.5703125" style="90" bestFit="1" customWidth="1"/>
    <col min="11530" max="11530" width="11" style="90" bestFit="1" customWidth="1"/>
    <col min="11531" max="11533" width="9.140625" style="90"/>
    <col min="11534" max="11534" width="11.7109375" style="90" bestFit="1" customWidth="1"/>
    <col min="11535" max="11777" width="9.140625" style="90"/>
    <col min="11778" max="11778" width="8.5703125" style="90" customWidth="1"/>
    <col min="11779" max="11779" width="14.42578125" style="90" bestFit="1" customWidth="1"/>
    <col min="11780" max="11780" width="81.42578125" style="90" customWidth="1"/>
    <col min="11781" max="11781" width="9.7109375" style="90" customWidth="1"/>
    <col min="11782" max="11782" width="10" style="90" customWidth="1"/>
    <col min="11783" max="11783" width="10.5703125" style="90" bestFit="1" customWidth="1"/>
    <col min="11784" max="11784" width="14.140625" style="90" bestFit="1" customWidth="1"/>
    <col min="11785" max="11785" width="15.5703125" style="90" bestFit="1" customWidth="1"/>
    <col min="11786" max="11786" width="11" style="90" bestFit="1" customWidth="1"/>
    <col min="11787" max="11789" width="9.140625" style="90"/>
    <col min="11790" max="11790" width="11.7109375" style="90" bestFit="1" customWidth="1"/>
    <col min="11791" max="12033" width="9.140625" style="90"/>
    <col min="12034" max="12034" width="8.5703125" style="90" customWidth="1"/>
    <col min="12035" max="12035" width="14.42578125" style="90" bestFit="1" customWidth="1"/>
    <col min="12036" max="12036" width="81.42578125" style="90" customWidth="1"/>
    <col min="12037" max="12037" width="9.7109375" style="90" customWidth="1"/>
    <col min="12038" max="12038" width="10" style="90" customWidth="1"/>
    <col min="12039" max="12039" width="10.5703125" style="90" bestFit="1" customWidth="1"/>
    <col min="12040" max="12040" width="14.140625" style="90" bestFit="1" customWidth="1"/>
    <col min="12041" max="12041" width="15.5703125" style="90" bestFit="1" customWidth="1"/>
    <col min="12042" max="12042" width="11" style="90" bestFit="1" customWidth="1"/>
    <col min="12043" max="12045" width="9.140625" style="90"/>
    <col min="12046" max="12046" width="11.7109375" style="90" bestFit="1" customWidth="1"/>
    <col min="12047" max="12289" width="9.140625" style="90"/>
    <col min="12290" max="12290" width="8.5703125" style="90" customWidth="1"/>
    <col min="12291" max="12291" width="14.42578125" style="90" bestFit="1" customWidth="1"/>
    <col min="12292" max="12292" width="81.42578125" style="90" customWidth="1"/>
    <col min="12293" max="12293" width="9.7109375" style="90" customWidth="1"/>
    <col min="12294" max="12294" width="10" style="90" customWidth="1"/>
    <col min="12295" max="12295" width="10.5703125" style="90" bestFit="1" customWidth="1"/>
    <col min="12296" max="12296" width="14.140625" style="90" bestFit="1" customWidth="1"/>
    <col min="12297" max="12297" width="15.5703125" style="90" bestFit="1" customWidth="1"/>
    <col min="12298" max="12298" width="11" style="90" bestFit="1" customWidth="1"/>
    <col min="12299" max="12301" width="9.140625" style="90"/>
    <col min="12302" max="12302" width="11.7109375" style="90" bestFit="1" customWidth="1"/>
    <col min="12303" max="12545" width="9.140625" style="90"/>
    <col min="12546" max="12546" width="8.5703125" style="90" customWidth="1"/>
    <col min="12547" max="12547" width="14.42578125" style="90" bestFit="1" customWidth="1"/>
    <col min="12548" max="12548" width="81.42578125" style="90" customWidth="1"/>
    <col min="12549" max="12549" width="9.7109375" style="90" customWidth="1"/>
    <col min="12550" max="12550" width="10" style="90" customWidth="1"/>
    <col min="12551" max="12551" width="10.5703125" style="90" bestFit="1" customWidth="1"/>
    <col min="12552" max="12552" width="14.140625" style="90" bestFit="1" customWidth="1"/>
    <col min="12553" max="12553" width="15.5703125" style="90" bestFit="1" customWidth="1"/>
    <col min="12554" max="12554" width="11" style="90" bestFit="1" customWidth="1"/>
    <col min="12555" max="12557" width="9.140625" style="90"/>
    <col min="12558" max="12558" width="11.7109375" style="90" bestFit="1" customWidth="1"/>
    <col min="12559" max="12801" width="9.140625" style="90"/>
    <col min="12802" max="12802" width="8.5703125" style="90" customWidth="1"/>
    <col min="12803" max="12803" width="14.42578125" style="90" bestFit="1" customWidth="1"/>
    <col min="12804" max="12804" width="81.42578125" style="90" customWidth="1"/>
    <col min="12805" max="12805" width="9.7109375" style="90" customWidth="1"/>
    <col min="12806" max="12806" width="10" style="90" customWidth="1"/>
    <col min="12807" max="12807" width="10.5703125" style="90" bestFit="1" customWidth="1"/>
    <col min="12808" max="12808" width="14.140625" style="90" bestFit="1" customWidth="1"/>
    <col min="12809" max="12809" width="15.5703125" style="90" bestFit="1" customWidth="1"/>
    <col min="12810" max="12810" width="11" style="90" bestFit="1" customWidth="1"/>
    <col min="12811" max="12813" width="9.140625" style="90"/>
    <col min="12814" max="12814" width="11.7109375" style="90" bestFit="1" customWidth="1"/>
    <col min="12815" max="13057" width="9.140625" style="90"/>
    <col min="13058" max="13058" width="8.5703125" style="90" customWidth="1"/>
    <col min="13059" max="13059" width="14.42578125" style="90" bestFit="1" customWidth="1"/>
    <col min="13060" max="13060" width="81.42578125" style="90" customWidth="1"/>
    <col min="13061" max="13061" width="9.7109375" style="90" customWidth="1"/>
    <col min="13062" max="13062" width="10" style="90" customWidth="1"/>
    <col min="13063" max="13063" width="10.5703125" style="90" bestFit="1" customWidth="1"/>
    <col min="13064" max="13064" width="14.140625" style="90" bestFit="1" customWidth="1"/>
    <col min="13065" max="13065" width="15.5703125" style="90" bestFit="1" customWidth="1"/>
    <col min="13066" max="13066" width="11" style="90" bestFit="1" customWidth="1"/>
    <col min="13067" max="13069" width="9.140625" style="90"/>
    <col min="13070" max="13070" width="11.7109375" style="90" bestFit="1" customWidth="1"/>
    <col min="13071" max="13313" width="9.140625" style="90"/>
    <col min="13314" max="13314" width="8.5703125" style="90" customWidth="1"/>
    <col min="13315" max="13315" width="14.42578125" style="90" bestFit="1" customWidth="1"/>
    <col min="13316" max="13316" width="81.42578125" style="90" customWidth="1"/>
    <col min="13317" max="13317" width="9.7109375" style="90" customWidth="1"/>
    <col min="13318" max="13318" width="10" style="90" customWidth="1"/>
    <col min="13319" max="13319" width="10.5703125" style="90" bestFit="1" customWidth="1"/>
    <col min="13320" max="13320" width="14.140625" style="90" bestFit="1" customWidth="1"/>
    <col min="13321" max="13321" width="15.5703125" style="90" bestFit="1" customWidth="1"/>
    <col min="13322" max="13322" width="11" style="90" bestFit="1" customWidth="1"/>
    <col min="13323" max="13325" width="9.140625" style="90"/>
    <col min="13326" max="13326" width="11.7109375" style="90" bestFit="1" customWidth="1"/>
    <col min="13327" max="13569" width="9.140625" style="90"/>
    <col min="13570" max="13570" width="8.5703125" style="90" customWidth="1"/>
    <col min="13571" max="13571" width="14.42578125" style="90" bestFit="1" customWidth="1"/>
    <col min="13572" max="13572" width="81.42578125" style="90" customWidth="1"/>
    <col min="13573" max="13573" width="9.7109375" style="90" customWidth="1"/>
    <col min="13574" max="13574" width="10" style="90" customWidth="1"/>
    <col min="13575" max="13575" width="10.5703125" style="90" bestFit="1" customWidth="1"/>
    <col min="13576" max="13576" width="14.140625" style="90" bestFit="1" customWidth="1"/>
    <col min="13577" max="13577" width="15.5703125" style="90" bestFit="1" customWidth="1"/>
    <col min="13578" max="13578" width="11" style="90" bestFit="1" customWidth="1"/>
    <col min="13579" max="13581" width="9.140625" style="90"/>
    <col min="13582" max="13582" width="11.7109375" style="90" bestFit="1" customWidth="1"/>
    <col min="13583" max="13825" width="9.140625" style="90"/>
    <col min="13826" max="13826" width="8.5703125" style="90" customWidth="1"/>
    <col min="13827" max="13827" width="14.42578125" style="90" bestFit="1" customWidth="1"/>
    <col min="13828" max="13828" width="81.42578125" style="90" customWidth="1"/>
    <col min="13829" max="13829" width="9.7109375" style="90" customWidth="1"/>
    <col min="13830" max="13830" width="10" style="90" customWidth="1"/>
    <col min="13831" max="13831" width="10.5703125" style="90" bestFit="1" customWidth="1"/>
    <col min="13832" max="13832" width="14.140625" style="90" bestFit="1" customWidth="1"/>
    <col min="13833" max="13833" width="15.5703125" style="90" bestFit="1" customWidth="1"/>
    <col min="13834" max="13834" width="11" style="90" bestFit="1" customWidth="1"/>
    <col min="13835" max="13837" width="9.140625" style="90"/>
    <col min="13838" max="13838" width="11.7109375" style="90" bestFit="1" customWidth="1"/>
    <col min="13839" max="14081" width="9.140625" style="90"/>
    <col min="14082" max="14082" width="8.5703125" style="90" customWidth="1"/>
    <col min="14083" max="14083" width="14.42578125" style="90" bestFit="1" customWidth="1"/>
    <col min="14084" max="14084" width="81.42578125" style="90" customWidth="1"/>
    <col min="14085" max="14085" width="9.7109375" style="90" customWidth="1"/>
    <col min="14086" max="14086" width="10" style="90" customWidth="1"/>
    <col min="14087" max="14087" width="10.5703125" style="90" bestFit="1" customWidth="1"/>
    <col min="14088" max="14088" width="14.140625" style="90" bestFit="1" customWidth="1"/>
    <col min="14089" max="14089" width="15.5703125" style="90" bestFit="1" customWidth="1"/>
    <col min="14090" max="14090" width="11" style="90" bestFit="1" customWidth="1"/>
    <col min="14091" max="14093" width="9.140625" style="90"/>
    <col min="14094" max="14094" width="11.7109375" style="90" bestFit="1" customWidth="1"/>
    <col min="14095" max="14337" width="9.140625" style="90"/>
    <col min="14338" max="14338" width="8.5703125" style="90" customWidth="1"/>
    <col min="14339" max="14339" width="14.42578125" style="90" bestFit="1" customWidth="1"/>
    <col min="14340" max="14340" width="81.42578125" style="90" customWidth="1"/>
    <col min="14341" max="14341" width="9.7109375" style="90" customWidth="1"/>
    <col min="14342" max="14342" width="10" style="90" customWidth="1"/>
    <col min="14343" max="14343" width="10.5703125" style="90" bestFit="1" customWidth="1"/>
    <col min="14344" max="14344" width="14.140625" style="90" bestFit="1" customWidth="1"/>
    <col min="14345" max="14345" width="15.5703125" style="90" bestFit="1" customWidth="1"/>
    <col min="14346" max="14346" width="11" style="90" bestFit="1" customWidth="1"/>
    <col min="14347" max="14349" width="9.140625" style="90"/>
    <col min="14350" max="14350" width="11.7109375" style="90" bestFit="1" customWidth="1"/>
    <col min="14351" max="14593" width="9.140625" style="90"/>
    <col min="14594" max="14594" width="8.5703125" style="90" customWidth="1"/>
    <col min="14595" max="14595" width="14.42578125" style="90" bestFit="1" customWidth="1"/>
    <col min="14596" max="14596" width="81.42578125" style="90" customWidth="1"/>
    <col min="14597" max="14597" width="9.7109375" style="90" customWidth="1"/>
    <col min="14598" max="14598" width="10" style="90" customWidth="1"/>
    <col min="14599" max="14599" width="10.5703125" style="90" bestFit="1" customWidth="1"/>
    <col min="14600" max="14600" width="14.140625" style="90" bestFit="1" customWidth="1"/>
    <col min="14601" max="14601" width="15.5703125" style="90" bestFit="1" customWidth="1"/>
    <col min="14602" max="14602" width="11" style="90" bestFit="1" customWidth="1"/>
    <col min="14603" max="14605" width="9.140625" style="90"/>
    <col min="14606" max="14606" width="11.7109375" style="90" bestFit="1" customWidth="1"/>
    <col min="14607" max="14849" width="9.140625" style="90"/>
    <col min="14850" max="14850" width="8.5703125" style="90" customWidth="1"/>
    <col min="14851" max="14851" width="14.42578125" style="90" bestFit="1" customWidth="1"/>
    <col min="14852" max="14852" width="81.42578125" style="90" customWidth="1"/>
    <col min="14853" max="14853" width="9.7109375" style="90" customWidth="1"/>
    <col min="14854" max="14854" width="10" style="90" customWidth="1"/>
    <col min="14855" max="14855" width="10.5703125" style="90" bestFit="1" customWidth="1"/>
    <col min="14856" max="14856" width="14.140625" style="90" bestFit="1" customWidth="1"/>
    <col min="14857" max="14857" width="15.5703125" style="90" bestFit="1" customWidth="1"/>
    <col min="14858" max="14858" width="11" style="90" bestFit="1" customWidth="1"/>
    <col min="14859" max="14861" width="9.140625" style="90"/>
    <col min="14862" max="14862" width="11.7109375" style="90" bestFit="1" customWidth="1"/>
    <col min="14863" max="15105" width="9.140625" style="90"/>
    <col min="15106" max="15106" width="8.5703125" style="90" customWidth="1"/>
    <col min="15107" max="15107" width="14.42578125" style="90" bestFit="1" customWidth="1"/>
    <col min="15108" max="15108" width="81.42578125" style="90" customWidth="1"/>
    <col min="15109" max="15109" width="9.7109375" style="90" customWidth="1"/>
    <col min="15110" max="15110" width="10" style="90" customWidth="1"/>
    <col min="15111" max="15111" width="10.5703125" style="90" bestFit="1" customWidth="1"/>
    <col min="15112" max="15112" width="14.140625" style="90" bestFit="1" customWidth="1"/>
    <col min="15113" max="15113" width="15.5703125" style="90" bestFit="1" customWidth="1"/>
    <col min="15114" max="15114" width="11" style="90" bestFit="1" customWidth="1"/>
    <col min="15115" max="15117" width="9.140625" style="90"/>
    <col min="15118" max="15118" width="11.7109375" style="90" bestFit="1" customWidth="1"/>
    <col min="15119" max="15361" width="9.140625" style="90"/>
    <col min="15362" max="15362" width="8.5703125" style="90" customWidth="1"/>
    <col min="15363" max="15363" width="14.42578125" style="90" bestFit="1" customWidth="1"/>
    <col min="15364" max="15364" width="81.42578125" style="90" customWidth="1"/>
    <col min="15365" max="15365" width="9.7109375" style="90" customWidth="1"/>
    <col min="15366" max="15366" width="10" style="90" customWidth="1"/>
    <col min="15367" max="15367" width="10.5703125" style="90" bestFit="1" customWidth="1"/>
    <col min="15368" max="15368" width="14.140625" style="90" bestFit="1" customWidth="1"/>
    <col min="15369" max="15369" width="15.5703125" style="90" bestFit="1" customWidth="1"/>
    <col min="15370" max="15370" width="11" style="90" bestFit="1" customWidth="1"/>
    <col min="15371" max="15373" width="9.140625" style="90"/>
    <col min="15374" max="15374" width="11.7109375" style="90" bestFit="1" customWidth="1"/>
    <col min="15375" max="15617" width="9.140625" style="90"/>
    <col min="15618" max="15618" width="8.5703125" style="90" customWidth="1"/>
    <col min="15619" max="15619" width="14.42578125" style="90" bestFit="1" customWidth="1"/>
    <col min="15620" max="15620" width="81.42578125" style="90" customWidth="1"/>
    <col min="15621" max="15621" width="9.7109375" style="90" customWidth="1"/>
    <col min="15622" max="15622" width="10" style="90" customWidth="1"/>
    <col min="15623" max="15623" width="10.5703125" style="90" bestFit="1" customWidth="1"/>
    <col min="15624" max="15624" width="14.140625" style="90" bestFit="1" customWidth="1"/>
    <col min="15625" max="15625" width="15.5703125" style="90" bestFit="1" customWidth="1"/>
    <col min="15626" max="15626" width="11" style="90" bestFit="1" customWidth="1"/>
    <col min="15627" max="15629" width="9.140625" style="90"/>
    <col min="15630" max="15630" width="11.7109375" style="90" bestFit="1" customWidth="1"/>
    <col min="15631" max="15873" width="9.140625" style="90"/>
    <col min="15874" max="15874" width="8.5703125" style="90" customWidth="1"/>
    <col min="15875" max="15875" width="14.42578125" style="90" bestFit="1" customWidth="1"/>
    <col min="15876" max="15876" width="81.42578125" style="90" customWidth="1"/>
    <col min="15877" max="15877" width="9.7109375" style="90" customWidth="1"/>
    <col min="15878" max="15878" width="10" style="90" customWidth="1"/>
    <col min="15879" max="15879" width="10.5703125" style="90" bestFit="1" customWidth="1"/>
    <col min="15880" max="15880" width="14.140625" style="90" bestFit="1" customWidth="1"/>
    <col min="15881" max="15881" width="15.5703125" style="90" bestFit="1" customWidth="1"/>
    <col min="15882" max="15882" width="11" style="90" bestFit="1" customWidth="1"/>
    <col min="15883" max="15885" width="9.140625" style="90"/>
    <col min="15886" max="15886" width="11.7109375" style="90" bestFit="1" customWidth="1"/>
    <col min="15887" max="16129" width="9.140625" style="90"/>
    <col min="16130" max="16130" width="8.5703125" style="90" customWidth="1"/>
    <col min="16131" max="16131" width="14.42578125" style="90" bestFit="1" customWidth="1"/>
    <col min="16132" max="16132" width="81.42578125" style="90" customWidth="1"/>
    <col min="16133" max="16133" width="9.7109375" style="90" customWidth="1"/>
    <col min="16134" max="16134" width="10" style="90" customWidth="1"/>
    <col min="16135" max="16135" width="10.5703125" style="90" bestFit="1" customWidth="1"/>
    <col min="16136" max="16136" width="14.140625" style="90" bestFit="1" customWidth="1"/>
    <col min="16137" max="16137" width="15.5703125" style="90" bestFit="1" customWidth="1"/>
    <col min="16138" max="16138" width="11" style="90" bestFit="1" customWidth="1"/>
    <col min="16139" max="16141" width="9.140625" style="90"/>
    <col min="16142" max="16142" width="11.7109375" style="90" bestFit="1" customWidth="1"/>
    <col min="16143" max="16384" width="9.140625" style="90"/>
  </cols>
  <sheetData>
    <row r="1" spans="1:13" ht="13.5" thickBot="1"/>
    <row r="2" spans="1:13" s="96" customFormat="1" ht="6" thickBot="1">
      <c r="B2" s="91"/>
      <c r="C2" s="92"/>
      <c r="D2" s="93"/>
      <c r="E2" s="92"/>
      <c r="F2" s="94"/>
      <c r="G2" s="94"/>
      <c r="H2" s="94"/>
      <c r="I2" s="95"/>
    </row>
    <row r="3" spans="1:13" ht="56.25" customHeight="1" thickBot="1">
      <c r="B3" s="1533"/>
      <c r="C3" s="1534"/>
      <c r="D3" s="1543" t="s">
        <v>2</v>
      </c>
      <c r="E3" s="1543"/>
      <c r="F3" s="1545"/>
      <c r="G3" s="1546"/>
      <c r="H3" s="1539" t="str">
        <f>'ORÇAMENTO '!L5</f>
        <v xml:space="preserve">Ref.: Tabela de Serviços
SINAPI (JAN/2023) 
e/ou composições PiniTCPO                                                                              
</v>
      </c>
      <c r="I3" s="1540"/>
    </row>
    <row r="4" spans="1:13" ht="17.25" customHeight="1" thickBot="1">
      <c r="B4" s="1535"/>
      <c r="C4" s="1536"/>
      <c r="D4" s="1544"/>
      <c r="E4" s="1544"/>
      <c r="F4" s="1547"/>
      <c r="G4" s="1548"/>
      <c r="H4" s="1541" t="str">
        <f>'ORÇAMENTO '!L6</f>
        <v>DESONERADO</v>
      </c>
      <c r="I4" s="1542"/>
    </row>
    <row r="5" spans="1:13" ht="45.75" customHeight="1" thickBot="1">
      <c r="B5" s="1537"/>
      <c r="C5" s="1538"/>
      <c r="D5" s="643" t="s">
        <v>1907</v>
      </c>
      <c r="E5" s="1549"/>
      <c r="F5" s="1550"/>
      <c r="G5" s="1551"/>
      <c r="H5" s="846" t="s">
        <v>6963</v>
      </c>
      <c r="I5" s="845">
        <f>'BDI '!G30</f>
        <v>0.26440000000000002</v>
      </c>
    </row>
    <row r="6" spans="1:13" s="97" customFormat="1" ht="15" customHeight="1" thickBot="1">
      <c r="B6" s="1556" t="s">
        <v>467</v>
      </c>
      <c r="C6" s="1557"/>
      <c r="D6" s="1557"/>
      <c r="E6" s="1557"/>
      <c r="F6" s="1557"/>
      <c r="G6" s="1557"/>
      <c r="H6" s="1557"/>
      <c r="I6" s="1558"/>
    </row>
    <row r="7" spans="1:13" s="96" customFormat="1" ht="6" thickBot="1">
      <c r="B7" s="91"/>
      <c r="C7" s="92"/>
      <c r="D7" s="93"/>
      <c r="E7" s="92"/>
      <c r="F7" s="94"/>
      <c r="G7" s="94"/>
      <c r="H7" s="94"/>
      <c r="I7" s="95"/>
    </row>
    <row r="8" spans="1:13" ht="15.75">
      <c r="B8" s="186" t="s">
        <v>6</v>
      </c>
      <c r="C8" s="1567" t="str">
        <f>'ORÇAMENTO '!G11</f>
        <v xml:space="preserve">SISTEMA DE ABASTECIMENTO DE ÁGUA </v>
      </c>
      <c r="D8" s="1567"/>
      <c r="E8" s="1567"/>
      <c r="F8" s="1567"/>
      <c r="G8" s="1567"/>
      <c r="H8" s="187" t="s">
        <v>7</v>
      </c>
      <c r="I8" s="188">
        <f ca="1">'ORÇAMENTO '!M11</f>
        <v>45167</v>
      </c>
    </row>
    <row r="9" spans="1:13" ht="16.5" thickBot="1">
      <c r="B9" s="189" t="s">
        <v>8</v>
      </c>
      <c r="C9" s="1566" t="str">
        <f>'ORÇAMENTO '!G12</f>
        <v>SETOR PIONEIRO - MUNICÍPIO DE APIACÁS</v>
      </c>
      <c r="D9" s="1566"/>
      <c r="E9" s="1566"/>
      <c r="F9" s="1566"/>
      <c r="G9" s="190"/>
      <c r="H9" s="191" t="s">
        <v>9</v>
      </c>
      <c r="I9" s="192">
        <f>'ORÇAMENTO '!M12</f>
        <v>0.80449999999999999</v>
      </c>
    </row>
    <row r="10" spans="1:13" s="96" customFormat="1" ht="6" thickBot="1">
      <c r="B10" s="98"/>
      <c r="C10" s="99"/>
      <c r="D10" s="100"/>
      <c r="E10" s="99"/>
      <c r="F10" s="101"/>
      <c r="G10" s="101"/>
      <c r="H10" s="101"/>
      <c r="I10" s="102"/>
    </row>
    <row r="11" spans="1:13" ht="18.75" thickBot="1">
      <c r="B11" s="1559" t="str">
        <f>C8</f>
        <v xml:space="preserve">SISTEMA DE ABASTECIMENTO DE ÁGUA </v>
      </c>
      <c r="C11" s="1560"/>
      <c r="D11" s="1560"/>
      <c r="E11" s="1560"/>
      <c r="F11" s="1560"/>
      <c r="G11" s="1560"/>
      <c r="H11" s="1560"/>
      <c r="I11" s="1561"/>
    </row>
    <row r="12" spans="1:13" s="96" customFormat="1" ht="6" thickBot="1">
      <c r="B12" s="103"/>
      <c r="C12" s="104"/>
      <c r="D12" s="105"/>
      <c r="E12" s="104"/>
      <c r="F12" s="106"/>
      <c r="G12" s="106"/>
      <c r="H12" s="106"/>
      <c r="I12" s="107"/>
    </row>
    <row r="13" spans="1:13" s="108" customFormat="1" ht="5.25" customHeight="1">
      <c r="B13" s="1562"/>
      <c r="C13" s="1563"/>
      <c r="D13" s="1563"/>
      <c r="E13" s="1563"/>
      <c r="F13" s="1563"/>
      <c r="G13" s="1563"/>
      <c r="H13" s="1564"/>
      <c r="I13" s="1565"/>
    </row>
    <row r="14" spans="1:13" s="179" customFormat="1" ht="15">
      <c r="A14" s="179">
        <v>1</v>
      </c>
      <c r="B14" s="172" t="str">
        <f>SUM($A$13:A14)&amp;".0"</f>
        <v>1.0</v>
      </c>
      <c r="C14" s="173"/>
      <c r="D14" s="174" t="str">
        <f ca="1">VLOOKUP($B14,'ORÇAMENTO '!$F$20:$M$856,3,FALSE)</f>
        <v>A D M I N I S T R A Ç Ã O  O B R A</v>
      </c>
      <c r="E14" s="175"/>
      <c r="F14" s="175"/>
      <c r="G14" s="176">
        <f ca="1">I14/$H$36</f>
        <v>4.30249382943583E-2</v>
      </c>
      <c r="H14" s="177"/>
      <c r="I14" s="178">
        <f ca="1">IFERROR(VLOOKUP($B14,'ORÇAMENTO '!$F$20:$M$856,8,FALSE),"")</f>
        <v>158058.09</v>
      </c>
      <c r="L14" s="184">
        <v>24750.69</v>
      </c>
      <c r="M14" s="184">
        <f ca="1">I14-L14</f>
        <v>133307.4</v>
      </c>
    </row>
    <row r="15" spans="1:13" s="183" customFormat="1" ht="5.25" customHeight="1">
      <c r="B15" s="180"/>
      <c r="C15" s="181"/>
      <c r="D15" s="181"/>
      <c r="E15" s="181"/>
      <c r="F15" s="181"/>
      <c r="G15" s="181"/>
      <c r="H15" s="181"/>
      <c r="I15" s="182"/>
      <c r="M15" s="184"/>
    </row>
    <row r="16" spans="1:13" s="179" customFormat="1" ht="15">
      <c r="A16" s="179">
        <v>1</v>
      </c>
      <c r="B16" s="172" t="str">
        <f>SUM($A$13:A16)&amp;".0"</f>
        <v>2.0</v>
      </c>
      <c r="C16" s="173"/>
      <c r="D16" s="174" t="str">
        <f ca="1">VLOOKUP($B16,'ORÇAMENTO '!$F$20:$M$856,3,FALSE)</f>
        <v>S E R V I Ç O S   I N I C I A I S</v>
      </c>
      <c r="E16" s="175"/>
      <c r="F16" s="175"/>
      <c r="G16" s="176">
        <f ca="1">I16/$H$36</f>
        <v>1.6257784308075326E-2</v>
      </c>
      <c r="H16" s="177"/>
      <c r="I16" s="178">
        <f ca="1">IFERROR(VLOOKUP($B16,'ORÇAMENTO '!$F$20:$M$856,8,FALSE),"")</f>
        <v>59725.23</v>
      </c>
      <c r="J16" s="184"/>
      <c r="L16" s="184">
        <v>56317.89</v>
      </c>
      <c r="M16" s="184">
        <f t="shared" ref="M16:M34" ca="1" si="0">I16-L16</f>
        <v>3407.3400000000038</v>
      </c>
    </row>
    <row r="17" spans="1:14" s="183" customFormat="1" ht="5.25" customHeight="1">
      <c r="B17" s="180"/>
      <c r="C17" s="181"/>
      <c r="D17" s="181"/>
      <c r="E17" s="181"/>
      <c r="F17" s="181"/>
      <c r="G17" s="181"/>
      <c r="H17" s="181"/>
      <c r="I17" s="182"/>
      <c r="M17" s="184"/>
    </row>
    <row r="18" spans="1:14" s="179" customFormat="1" ht="15">
      <c r="A18" s="179">
        <v>1</v>
      </c>
      <c r="B18" s="172" t="str">
        <f>SUM($A$13:A18)&amp;".0"</f>
        <v>3.0</v>
      </c>
      <c r="C18" s="173"/>
      <c r="D18" s="174" t="str">
        <f ca="1">VLOOKUP($B18,'ORÇAMENTO '!$F$20:$M$856,3,FALSE)</f>
        <v>A D U T O R A  D E  Á G U A  T R A T A D A</v>
      </c>
      <c r="E18" s="175"/>
      <c r="F18" s="175"/>
      <c r="G18" s="176">
        <f ca="1">I18/$H$36</f>
        <v>0.30912242582182758</v>
      </c>
      <c r="H18" s="177"/>
      <c r="I18" s="178">
        <f ca="1">IFERROR(VLOOKUP($B18,'ORÇAMENTO '!$F$20:$M$856,8,FALSE),"")</f>
        <v>1135604.1900000002</v>
      </c>
      <c r="L18" s="184">
        <v>1150471.45</v>
      </c>
      <c r="M18" s="184">
        <f t="shared" ca="1" si="0"/>
        <v>-14867.259999999776</v>
      </c>
    </row>
    <row r="19" spans="1:14" s="183" customFormat="1" ht="5.25" customHeight="1">
      <c r="B19" s="180"/>
      <c r="C19" s="181"/>
      <c r="D19" s="181"/>
      <c r="E19" s="181"/>
      <c r="F19" s="181"/>
      <c r="G19" s="181"/>
      <c r="H19" s="181"/>
      <c r="I19" s="182"/>
      <c r="M19" s="184"/>
    </row>
    <row r="20" spans="1:14" s="179" customFormat="1" ht="15">
      <c r="A20" s="179">
        <v>1</v>
      </c>
      <c r="B20" s="172" t="str">
        <f>SUM($A$13:A20)&amp;".0"</f>
        <v>4.0</v>
      </c>
      <c r="C20" s="173"/>
      <c r="D20" s="174" t="str">
        <f ca="1">VLOOKUP($B20,'ORÇAMENTO '!$F$20:$M$856,3,FALSE)</f>
        <v>I N S T A L A Ç Õ E S  E L É T R I C A S - B O M B A 1 5 C V</v>
      </c>
      <c r="E20" s="175"/>
      <c r="F20" s="175"/>
      <c r="G20" s="176">
        <f ca="1">I20/$H$36</f>
        <v>9.0979136145215699E-3</v>
      </c>
      <c r="H20" s="177"/>
      <c r="I20" s="178">
        <f ca="1">IFERROR(VLOOKUP($B20,'ORÇAMENTO '!$F$20:$M$856,8,FALSE),"")</f>
        <v>33422.449999999997</v>
      </c>
      <c r="L20" s="184">
        <v>39866.86</v>
      </c>
      <c r="M20" s="184">
        <f t="shared" ca="1" si="0"/>
        <v>-6444.4100000000035</v>
      </c>
    </row>
    <row r="21" spans="1:14" s="183" customFormat="1" ht="5.25" customHeight="1">
      <c r="B21" s="180"/>
      <c r="C21" s="181"/>
      <c r="D21" s="181"/>
      <c r="E21" s="181"/>
      <c r="F21" s="181"/>
      <c r="G21" s="181"/>
      <c r="H21" s="181"/>
      <c r="I21" s="182"/>
      <c r="M21" s="184"/>
    </row>
    <row r="22" spans="1:14" s="179" customFormat="1" ht="15">
      <c r="A22" s="179">
        <v>1</v>
      </c>
      <c r="B22" s="172" t="str">
        <f>SUM($A$13:A22)&amp;".0"</f>
        <v>5.0</v>
      </c>
      <c r="C22" s="173"/>
      <c r="D22" s="174" t="str">
        <f ca="1">VLOOKUP($B22,'ORÇAMENTO '!$F$20:$M$856,3,FALSE)</f>
        <v>B A S E  D O  R E S E R V A T Ó R I O</v>
      </c>
      <c r="E22" s="175"/>
      <c r="F22" s="175"/>
      <c r="G22" s="176">
        <f ca="1">I22/$H$36</f>
        <v>2.9553644461692976E-2</v>
      </c>
      <c r="H22" s="177"/>
      <c r="I22" s="178">
        <f ca="1">IFERROR(VLOOKUP($B22,'ORÇAMENTO '!$F$20:$M$856,8,FALSE),"")</f>
        <v>108569.42</v>
      </c>
      <c r="L22" s="184">
        <v>63681.23</v>
      </c>
      <c r="M22" s="184">
        <f t="shared" ca="1" si="0"/>
        <v>44888.189999999995</v>
      </c>
      <c r="N22" s="184"/>
    </row>
    <row r="23" spans="1:14" s="183" customFormat="1" ht="5.25" customHeight="1">
      <c r="B23" s="180"/>
      <c r="C23" s="181"/>
      <c r="D23" s="181"/>
      <c r="E23" s="181"/>
      <c r="F23" s="181"/>
      <c r="G23" s="181"/>
      <c r="H23" s="181"/>
      <c r="I23" s="182"/>
      <c r="M23" s="184"/>
    </row>
    <row r="24" spans="1:14" s="179" customFormat="1" ht="15">
      <c r="A24" s="179">
        <v>1</v>
      </c>
      <c r="B24" s="172" t="str">
        <f>SUM($A$13:A24)&amp;".0"</f>
        <v>6.0</v>
      </c>
      <c r="C24" s="173"/>
      <c r="D24" s="174" t="str">
        <f ca="1">VLOOKUP($B24,'ORÇAMENTO '!$F$20:$M$856,3,FALSE)</f>
        <v>R E S E R V A T Ó R I O</v>
      </c>
      <c r="E24" s="175"/>
      <c r="F24" s="175"/>
      <c r="G24" s="176">
        <f ca="1">I24/$H$36</f>
        <v>0.13430205418362054</v>
      </c>
      <c r="H24" s="177"/>
      <c r="I24" s="178">
        <f ca="1">IFERROR(VLOOKUP($B24,'ORÇAMENTO '!$F$20:$M$856,8,FALSE),"")</f>
        <v>493377.26</v>
      </c>
      <c r="L24" s="184">
        <v>512482.35</v>
      </c>
      <c r="M24" s="184">
        <f t="shared" ca="1" si="0"/>
        <v>-19105.089999999967</v>
      </c>
    </row>
    <row r="25" spans="1:14" s="183" customFormat="1" ht="5.25" customHeight="1">
      <c r="B25" s="180"/>
      <c r="C25" s="181"/>
      <c r="D25" s="181"/>
      <c r="E25" s="181"/>
      <c r="F25" s="181"/>
      <c r="G25" s="181"/>
      <c r="H25" s="181"/>
      <c r="I25" s="182"/>
      <c r="M25" s="184"/>
    </row>
    <row r="26" spans="1:14" s="179" customFormat="1" ht="15">
      <c r="A26" s="179">
        <v>1</v>
      </c>
      <c r="B26" s="172" t="str">
        <f>SUM($A$13:A26)&amp;".0"</f>
        <v>7.0</v>
      </c>
      <c r="C26" s="173"/>
      <c r="D26" s="174" t="str">
        <f ca="1">VLOOKUP($B26,'ORÇAMENTO '!$F$20:$M$856,3,FALSE)</f>
        <v>R E D E  D E  D I S T R I B U I Ç Ã O  D E  Á G U A</v>
      </c>
      <c r="E26" s="175"/>
      <c r="F26" s="175"/>
      <c r="G26" s="176">
        <f ca="1">I26/$H$36</f>
        <v>0.34450369792326113</v>
      </c>
      <c r="H26" s="177"/>
      <c r="I26" s="178">
        <f ca="1">IFERROR(VLOOKUP($B26,'ORÇAMENTO '!$F$20:$M$856,8,FALSE),"")</f>
        <v>1265582.2100000002</v>
      </c>
      <c r="J26" s="184"/>
      <c r="L26" s="184">
        <v>1317907.23</v>
      </c>
      <c r="M26" s="184">
        <f t="shared" ca="1" si="0"/>
        <v>-52325.019999999786</v>
      </c>
      <c r="N26" s="185"/>
    </row>
    <row r="27" spans="1:14" s="183" customFormat="1" ht="5.25" customHeight="1">
      <c r="B27" s="180"/>
      <c r="C27" s="181"/>
      <c r="D27" s="181"/>
      <c r="E27" s="181"/>
      <c r="F27" s="181"/>
      <c r="G27" s="181"/>
      <c r="H27" s="181"/>
      <c r="I27" s="182"/>
      <c r="M27" s="184"/>
    </row>
    <row r="28" spans="1:14" s="179" customFormat="1" ht="15">
      <c r="A28" s="179">
        <v>1</v>
      </c>
      <c r="B28" s="172" t="str">
        <f>SUM($A$13:A28)&amp;".0"</f>
        <v>8.0</v>
      </c>
      <c r="C28" s="173"/>
      <c r="D28" s="174" t="str">
        <f ca="1">VLOOKUP($B28,'ORÇAMENTO '!$F$20:$M$856,3,FALSE)</f>
        <v>L I G A Ç Õ E S  D O M I C I L I A R E S</v>
      </c>
      <c r="E28" s="175"/>
      <c r="F28" s="175"/>
      <c r="G28" s="176">
        <f ca="1">I28/$H$36</f>
        <v>0.10096497860267416</v>
      </c>
      <c r="H28" s="177"/>
      <c r="I28" s="178">
        <f ca="1">IFERROR(VLOOKUP($B28,'ORÇAMENTO '!$F$20:$M$856,8,FALSE),"")</f>
        <v>370908.87999999995</v>
      </c>
      <c r="L28" s="184">
        <v>384450.62</v>
      </c>
      <c r="M28" s="184">
        <f t="shared" ca="1" si="0"/>
        <v>-13541.740000000049</v>
      </c>
    </row>
    <row r="29" spans="1:14" s="183" customFormat="1" ht="5.25" customHeight="1">
      <c r="B29" s="180"/>
      <c r="C29" s="181"/>
      <c r="D29" s="181"/>
      <c r="E29" s="181"/>
      <c r="F29" s="181"/>
      <c r="G29" s="181"/>
      <c r="H29" s="181"/>
      <c r="I29" s="182"/>
      <c r="M29" s="184"/>
    </row>
    <row r="30" spans="1:14" s="179" customFormat="1" ht="15">
      <c r="A30" s="179">
        <v>1</v>
      </c>
      <c r="B30" s="172" t="str">
        <f>SUM($A$13:A30)&amp;".0"</f>
        <v>9.0</v>
      </c>
      <c r="C30" s="173"/>
      <c r="D30" s="174" t="str">
        <f ca="1">VLOOKUP($B30,'ORÇAMENTO '!$F$20:$M$856,3,FALSE)</f>
        <v>I N S T A L A Ç Õ E S  E L É T R I C A S - Á R E A  D O  R E S E R V A T Ó R I O</v>
      </c>
      <c r="E30" s="175"/>
      <c r="F30" s="175"/>
      <c r="G30" s="176">
        <f ca="1">I30/$H$36</f>
        <v>3.313610863617335E-3</v>
      </c>
      <c r="H30" s="177"/>
      <c r="I30" s="178">
        <f ca="1">IFERROR(VLOOKUP($B30,'ORÇAMENTO '!$F$20:$M$856,8,FALSE),"")</f>
        <v>12173.009999999998</v>
      </c>
      <c r="L30" s="184">
        <v>12833.39</v>
      </c>
      <c r="M30" s="184">
        <f t="shared" ca="1" si="0"/>
        <v>-660.38000000000102</v>
      </c>
    </row>
    <row r="31" spans="1:14" s="183" customFormat="1" ht="5.25" customHeight="1">
      <c r="B31" s="180"/>
      <c r="C31" s="181"/>
      <c r="D31" s="181"/>
      <c r="E31" s="181"/>
      <c r="F31" s="181"/>
      <c r="G31" s="181"/>
      <c r="H31" s="181"/>
      <c r="I31" s="182"/>
      <c r="M31" s="184"/>
    </row>
    <row r="32" spans="1:14" s="179" customFormat="1" ht="15">
      <c r="A32" s="179">
        <v>1</v>
      </c>
      <c r="B32" s="172" t="str">
        <f>SUM($A$13:A32)&amp;".0"</f>
        <v>10.0</v>
      </c>
      <c r="C32" s="173"/>
      <c r="D32" s="174" t="str">
        <f ca="1">VLOOKUP($B32,'ORÇAMENTO '!$F$20:$M$856,3,FALSE)</f>
        <v>S P D A  - R E S E R V A T Ó R I O</v>
      </c>
      <c r="E32" s="175"/>
      <c r="F32" s="175"/>
      <c r="G32" s="176">
        <f ca="1">I32/$H$36</f>
        <v>1.2703507443465518E-3</v>
      </c>
      <c r="H32" s="177"/>
      <c r="I32" s="178">
        <f ca="1">IFERROR(VLOOKUP($B32,'ORÇAMENTO '!$F$20:$M$856,8,FALSE),"")</f>
        <v>4666.8100000000004</v>
      </c>
      <c r="L32" s="184">
        <v>4635.75</v>
      </c>
      <c r="M32" s="184">
        <f t="shared" ca="1" si="0"/>
        <v>31.0600000000004</v>
      </c>
    </row>
    <row r="33" spans="1:13" s="183" customFormat="1" ht="5.25" customHeight="1">
      <c r="B33" s="180"/>
      <c r="C33" s="181"/>
      <c r="D33" s="181"/>
      <c r="E33" s="181"/>
      <c r="F33" s="181"/>
      <c r="G33" s="181"/>
      <c r="H33" s="181"/>
      <c r="I33" s="182"/>
      <c r="M33" s="184"/>
    </row>
    <row r="34" spans="1:13" s="179" customFormat="1" ht="15">
      <c r="A34" s="179">
        <v>1</v>
      </c>
      <c r="B34" s="172" t="str">
        <f>SUM($A$13:A34)&amp;".0"</f>
        <v>11.0</v>
      </c>
      <c r="C34" s="173"/>
      <c r="D34" s="174" t="str">
        <f ca="1">VLOOKUP($B34,'ORÇAMENTO '!$F$20:$M$856,3,FALSE)</f>
        <v>U R B A N I Z A Ç Ã O  D A  Á R E A</v>
      </c>
      <c r="E34" s="175"/>
      <c r="F34" s="175"/>
      <c r="G34" s="176">
        <f ca="1">I34/$H$36</f>
        <v>8.5886011820045568E-3</v>
      </c>
      <c r="H34" s="177"/>
      <c r="I34" s="178">
        <f ca="1">IFERROR(VLOOKUP($B34,'ORÇAMENTO '!$F$20:$M$856,8,FALSE),"")</f>
        <v>31551.420000000002</v>
      </c>
      <c r="L34" s="184">
        <v>26683.73</v>
      </c>
      <c r="M34" s="184">
        <f t="shared" ca="1" si="0"/>
        <v>4867.6900000000023</v>
      </c>
    </row>
    <row r="35" spans="1:13" s="183" customFormat="1" ht="5.25" customHeight="1">
      <c r="B35" s="180"/>
      <c r="C35" s="181"/>
      <c r="D35" s="181"/>
      <c r="E35" s="181"/>
      <c r="F35" s="181"/>
      <c r="G35" s="181"/>
      <c r="H35" s="181"/>
      <c r="I35" s="182"/>
    </row>
    <row r="36" spans="1:13" ht="24" thickBot="1">
      <c r="B36" s="1552" t="s">
        <v>397</v>
      </c>
      <c r="C36" s="1553"/>
      <c r="D36" s="1553"/>
      <c r="E36" s="1553"/>
      <c r="F36" s="1553"/>
      <c r="G36" s="109">
        <f ca="1">SUM(G14:G35)</f>
        <v>1</v>
      </c>
      <c r="H36" s="1554">
        <f ca="1">SUM(I14:OFFSET(H36,-1,1))</f>
        <v>3673638.97</v>
      </c>
      <c r="I36" s="1555"/>
      <c r="J36" s="492" t="b">
        <f ca="1">H36='ORÇAMENTO '!K195</f>
        <v>1</v>
      </c>
      <c r="L36" s="89">
        <f>SUM(L14:L34)</f>
        <v>3594081.1900000004</v>
      </c>
      <c r="M36" s="1425">
        <f ca="1">H36-L36</f>
        <v>79557.779999999795</v>
      </c>
    </row>
    <row r="39" spans="1:13">
      <c r="C39" s="419"/>
    </row>
    <row r="40" spans="1:13">
      <c r="C40" s="419"/>
    </row>
  </sheetData>
  <mergeCells count="12">
    <mergeCell ref="B36:F36"/>
    <mergeCell ref="H36:I36"/>
    <mergeCell ref="B6:I6"/>
    <mergeCell ref="B11:I11"/>
    <mergeCell ref="B13:I13"/>
    <mergeCell ref="C9:F9"/>
    <mergeCell ref="C8:G8"/>
    <mergeCell ref="B3:C5"/>
    <mergeCell ref="H3:I3"/>
    <mergeCell ref="H4:I4"/>
    <mergeCell ref="D3:D4"/>
    <mergeCell ref="E3:G5"/>
  </mergeCells>
  <printOptions horizontalCentered="1"/>
  <pageMargins left="0.39370078740157483" right="0.39370078740157483" top="0.59055118110236215" bottom="0.59055118110236215" header="0.19685039370078741" footer="0.19685039370078741"/>
  <pageSetup paperSize="9" scale="81" fitToHeight="0" orientation="landscape" r:id="rId1"/>
  <headerFooter scaleWithDoc="0" alignWithMargins="0">
    <oddHeader>&amp;RPágina &amp;P de &amp;N</oddHeader>
  </headerFooter>
  <drawing r:id="rId2"/>
</worksheet>
</file>

<file path=xl/worksheets/sheet20.xml><?xml version="1.0" encoding="utf-8"?>
<worksheet xmlns="http://schemas.openxmlformats.org/spreadsheetml/2006/main" xmlns:r="http://schemas.openxmlformats.org/officeDocument/2006/relationships">
  <sheetPr codeName="Plan19">
    <tabColor theme="1" tint="0.34998626667073579"/>
    <pageSetUpPr fitToPage="1"/>
  </sheetPr>
  <dimension ref="A1:D51"/>
  <sheetViews>
    <sheetView showGridLines="0" view="pageBreakPreview" zoomScaleNormal="115" zoomScaleSheetLayoutView="100" workbookViewId="0">
      <selection activeCell="B9" sqref="B9:F9"/>
    </sheetView>
  </sheetViews>
  <sheetFormatPr defaultColWidth="9.140625" defaultRowHeight="15"/>
  <cols>
    <col min="1" max="1" width="14.85546875" customWidth="1"/>
    <col min="2" max="2" width="49.85546875" customWidth="1"/>
    <col min="3" max="3" width="18.140625" bestFit="1" customWidth="1"/>
    <col min="4" max="4" width="20.140625" customWidth="1"/>
  </cols>
  <sheetData>
    <row r="1" spans="1:4" s="533" customFormat="1" ht="18">
      <c r="A1" s="1909" t="s">
        <v>2996</v>
      </c>
      <c r="B1" s="1910" t="s">
        <v>2996</v>
      </c>
      <c r="C1" s="1910"/>
      <c r="D1" s="1911"/>
    </row>
    <row r="2" spans="1:4" s="533" customFormat="1" ht="14.25">
      <c r="A2" s="1912" t="s">
        <v>2997</v>
      </c>
      <c r="B2" s="1913" t="s">
        <v>13994</v>
      </c>
      <c r="C2" s="1913"/>
      <c r="D2" s="1914"/>
    </row>
    <row r="3" spans="1:4" s="533" customFormat="1" ht="14.25">
      <c r="A3" s="1915" t="s">
        <v>2998</v>
      </c>
      <c r="B3" s="1916" t="s">
        <v>13995</v>
      </c>
      <c r="C3" s="1916"/>
      <c r="D3" s="1917"/>
    </row>
    <row r="4" spans="1:4" s="533" customFormat="1" ht="14.25">
      <c r="A4" s="1915" t="s">
        <v>3063</v>
      </c>
      <c r="B4" s="1916" t="s">
        <v>3063</v>
      </c>
      <c r="C4" s="1916"/>
      <c r="D4" s="1917"/>
    </row>
    <row r="5" spans="1:4" s="533" customFormat="1" ht="14.25">
      <c r="A5" s="1915" t="s">
        <v>2999</v>
      </c>
      <c r="B5" s="1916" t="s">
        <v>2999</v>
      </c>
      <c r="C5" s="1916"/>
      <c r="D5" s="1917"/>
    </row>
    <row r="6" spans="1:4" s="533" customFormat="1" ht="15" customHeight="1">
      <c r="A6" s="1142" t="s">
        <v>6</v>
      </c>
      <c r="B6" s="1907" t="str">
        <f>'REMOÇÃO DE PAV. ADUTORA'!B6:F6</f>
        <v xml:space="preserve">SISTEMA DE ABASTECIMENTO DE ÁGUA </v>
      </c>
      <c r="C6" s="1907"/>
      <c r="D6" s="1908"/>
    </row>
    <row r="7" spans="1:4" s="533" customFormat="1" ht="14.25">
      <c r="A7" s="534" t="s">
        <v>8</v>
      </c>
      <c r="B7" s="1888" t="str">
        <f>'REMOÇÃO DE PAV. ADUTORA'!B7:F7</f>
        <v>SETOR PIONEIRO - MUNICÍPIO DE APIACÁS</v>
      </c>
      <c r="C7" s="1889"/>
      <c r="D7" s="1890"/>
    </row>
    <row r="8" spans="1:4" s="533" customFormat="1" ht="14.25">
      <c r="A8" s="534" t="s">
        <v>13672</v>
      </c>
      <c r="B8" s="1889" t="str">
        <f>'REMOÇÃO DE PAV. ADUTORA'!B8:F8</f>
        <v>PREFEITURA MUNICIPAL DE APIACÁS</v>
      </c>
      <c r="C8" s="1889"/>
      <c r="D8" s="1890"/>
    </row>
    <row r="9" spans="1:4" s="533" customFormat="1" ht="15.75" customHeight="1">
      <c r="A9" s="1143" t="s">
        <v>3064</v>
      </c>
      <c r="B9" s="1891">
        <f ca="1">'REMOÇÃO DE PAV. ADUTORA'!B9:F9</f>
        <v>45167</v>
      </c>
      <c r="C9" s="1892"/>
      <c r="D9" s="1893"/>
    </row>
    <row r="10" spans="1:4" s="533" customFormat="1" ht="30" customHeight="1">
      <c r="A10" s="1977" t="s">
        <v>13673</v>
      </c>
      <c r="B10" s="1978"/>
      <c r="C10" s="1978"/>
      <c r="D10" s="1979"/>
    </row>
    <row r="11" spans="1:4" s="533" customFormat="1" ht="15.75">
      <c r="A11" s="1144"/>
      <c r="B11" s="1145" t="s">
        <v>13674</v>
      </c>
      <c r="C11" s="1146"/>
      <c r="D11" s="1147"/>
    </row>
    <row r="12" spans="1:4" s="533" customFormat="1" ht="15.75">
      <c r="A12" s="1148"/>
      <c r="B12" s="1149" t="s">
        <v>13675</v>
      </c>
      <c r="C12" s="1150"/>
      <c r="D12" s="1151"/>
    </row>
    <row r="13" spans="1:4" s="533" customFormat="1" ht="15.75">
      <c r="A13" s="1148"/>
      <c r="B13" s="1150"/>
      <c r="C13" s="1150"/>
      <c r="D13" s="1151"/>
    </row>
    <row r="14" spans="1:4" s="533" customFormat="1" ht="15.75">
      <c r="A14" s="1148"/>
      <c r="B14" s="1149" t="str">
        <f>'CM30'!B14</f>
        <v>* ACESSADA DIA 31/03/2022</v>
      </c>
      <c r="C14" s="1152" t="s">
        <v>13676</v>
      </c>
      <c r="D14" s="1153">
        <f>A22</f>
        <v>44927</v>
      </c>
    </row>
    <row r="15" spans="1:4" s="533" customFormat="1" ht="15.75">
      <c r="A15" s="1148"/>
      <c r="B15" s="1150"/>
      <c r="C15" s="1150"/>
      <c r="D15" s="1151"/>
    </row>
    <row r="16" spans="1:4" s="535" customFormat="1" ht="12.75">
      <c r="A16" s="1154" t="s">
        <v>13677</v>
      </c>
      <c r="B16" s="1155" t="s">
        <v>13678</v>
      </c>
      <c r="C16" s="1191" t="s">
        <v>13679</v>
      </c>
      <c r="D16" s="536" t="s">
        <v>31</v>
      </c>
    </row>
    <row r="17" spans="1:4" s="1159" customFormat="1">
      <c r="A17" s="1156">
        <v>44927</v>
      </c>
      <c r="B17" s="1157" t="s">
        <v>13680</v>
      </c>
      <c r="C17" s="1157" t="s">
        <v>13681</v>
      </c>
      <c r="D17" s="1158" t="s">
        <v>6777</v>
      </c>
    </row>
    <row r="18" spans="1:4" s="1159" customFormat="1">
      <c r="A18" s="1156">
        <v>44927</v>
      </c>
      <c r="B18" s="1157" t="s">
        <v>13680</v>
      </c>
      <c r="C18" s="1157" t="s">
        <v>13682</v>
      </c>
      <c r="D18" s="1158" t="s">
        <v>6777</v>
      </c>
    </row>
    <row r="19" spans="1:4" s="1159" customFormat="1">
      <c r="A19" s="1156">
        <v>44927</v>
      </c>
      <c r="B19" s="1157" t="s">
        <v>13680</v>
      </c>
      <c r="C19" s="1157" t="s">
        <v>13683</v>
      </c>
      <c r="D19" s="1158" t="s">
        <v>6777</v>
      </c>
    </row>
    <row r="20" spans="1:4" s="1159" customFormat="1">
      <c r="A20" s="1156">
        <v>44927</v>
      </c>
      <c r="B20" s="1157" t="s">
        <v>13680</v>
      </c>
      <c r="C20" s="1157" t="s">
        <v>13684</v>
      </c>
      <c r="D20" s="1158">
        <v>3.3422634970437808</v>
      </c>
    </row>
    <row r="21" spans="1:4" s="1159" customFormat="1">
      <c r="A21" s="1156">
        <v>44927</v>
      </c>
      <c r="B21" s="1157" t="s">
        <v>13680</v>
      </c>
      <c r="C21" s="1157" t="s">
        <v>13685</v>
      </c>
      <c r="D21" s="1158" t="s">
        <v>6777</v>
      </c>
    </row>
    <row r="22" spans="1:4" s="1159" customFormat="1">
      <c r="A22" s="1156">
        <v>44927</v>
      </c>
      <c r="B22" s="1157" t="s">
        <v>13680</v>
      </c>
      <c r="C22" s="1157" t="s">
        <v>13686</v>
      </c>
      <c r="D22" s="1158">
        <v>2.6347671956415537</v>
      </c>
    </row>
    <row r="23" spans="1:4" s="1159" customFormat="1">
      <c r="A23" s="1156">
        <v>44927</v>
      </c>
      <c r="B23" s="1157" t="s">
        <v>13680</v>
      </c>
      <c r="C23" s="1157" t="s">
        <v>13687</v>
      </c>
      <c r="D23" s="1158" t="s">
        <v>6777</v>
      </c>
    </row>
    <row r="24" spans="1:4" s="1159" customFormat="1">
      <c r="A24" s="1156">
        <v>44927</v>
      </c>
      <c r="B24" s="1157" t="s">
        <v>13680</v>
      </c>
      <c r="C24" s="1157" t="s">
        <v>13688</v>
      </c>
      <c r="D24" s="1158" t="s">
        <v>6777</v>
      </c>
    </row>
    <row r="25" spans="1:4" s="1159" customFormat="1">
      <c r="A25" s="1156">
        <v>44927</v>
      </c>
      <c r="B25" s="1157" t="s">
        <v>13680</v>
      </c>
      <c r="C25" s="1157" t="s">
        <v>13689</v>
      </c>
      <c r="D25" s="1158">
        <v>3.181823440369604</v>
      </c>
    </row>
    <row r="26" spans="1:4" s="1159" customFormat="1">
      <c r="A26" s="1156">
        <v>44927</v>
      </c>
      <c r="B26" s="1157" t="s">
        <v>13680</v>
      </c>
      <c r="C26" s="1157" t="s">
        <v>13690</v>
      </c>
      <c r="D26" s="1158" t="s">
        <v>6777</v>
      </c>
    </row>
    <row r="27" spans="1:4" s="1159" customFormat="1">
      <c r="A27" s="1160">
        <v>44927</v>
      </c>
      <c r="B27" s="1161" t="s">
        <v>13680</v>
      </c>
      <c r="C27" s="1161" t="s">
        <v>6933</v>
      </c>
      <c r="D27" s="1162">
        <v>3.2422826543502037</v>
      </c>
    </row>
    <row r="28" spans="1:4" s="1159" customFormat="1">
      <c r="A28" s="1156">
        <v>44927</v>
      </c>
      <c r="B28" s="1157" t="s">
        <v>13680</v>
      </c>
      <c r="C28" s="1157" t="s">
        <v>13691</v>
      </c>
      <c r="D28" s="1158" t="s">
        <v>6777</v>
      </c>
    </row>
    <row r="29" spans="1:4" s="1159" customFormat="1">
      <c r="A29" s="1156">
        <v>44927</v>
      </c>
      <c r="B29" s="1157" t="s">
        <v>13680</v>
      </c>
      <c r="C29" s="1157" t="s">
        <v>13692</v>
      </c>
      <c r="D29" s="1158">
        <v>3.0437661355535099</v>
      </c>
    </row>
    <row r="30" spans="1:4" s="1159" customFormat="1">
      <c r="A30" s="1156">
        <v>44927</v>
      </c>
      <c r="B30" s="1157" t="s">
        <v>13680</v>
      </c>
      <c r="C30" s="1157" t="s">
        <v>13693</v>
      </c>
      <c r="D30" s="1158" t="s">
        <v>6777</v>
      </c>
    </row>
    <row r="31" spans="1:4" s="1159" customFormat="1">
      <c r="A31" s="1156">
        <v>44927</v>
      </c>
      <c r="B31" s="1157" t="s">
        <v>13680</v>
      </c>
      <c r="C31" s="1157" t="s">
        <v>13694</v>
      </c>
      <c r="D31" s="1158" t="s">
        <v>6777</v>
      </c>
    </row>
    <row r="32" spans="1:4" s="1159" customFormat="1">
      <c r="A32" s="1156">
        <v>44927</v>
      </c>
      <c r="B32" s="1157" t="s">
        <v>13680</v>
      </c>
      <c r="C32" s="1157" t="s">
        <v>13695</v>
      </c>
      <c r="D32" s="1158">
        <v>2.7814435288381842</v>
      </c>
    </row>
    <row r="33" spans="1:4" s="1159" customFormat="1">
      <c r="A33" s="1156">
        <v>44927</v>
      </c>
      <c r="B33" s="1157" t="s">
        <v>13680</v>
      </c>
      <c r="C33" s="1157" t="s">
        <v>13696</v>
      </c>
      <c r="D33" s="1158" t="s">
        <v>6777</v>
      </c>
    </row>
    <row r="34" spans="1:4" s="1159" customFormat="1">
      <c r="A34" s="1156">
        <v>44927</v>
      </c>
      <c r="B34" s="1157" t="s">
        <v>13680</v>
      </c>
      <c r="C34" s="1157" t="s">
        <v>13697</v>
      </c>
      <c r="D34" s="1158" t="s">
        <v>6777</v>
      </c>
    </row>
    <row r="35" spans="1:4" s="1159" customFormat="1">
      <c r="A35" s="1156">
        <v>44927</v>
      </c>
      <c r="B35" s="1157" t="s">
        <v>13680</v>
      </c>
      <c r="C35" s="1157" t="s">
        <v>13698</v>
      </c>
      <c r="D35" s="1158" t="s">
        <v>6777</v>
      </c>
    </row>
    <row r="36" spans="1:4" s="1159" customFormat="1">
      <c r="A36" s="1156">
        <v>44927</v>
      </c>
      <c r="B36" s="1157" t="s">
        <v>13680</v>
      </c>
      <c r="C36" s="1157" t="s">
        <v>13699</v>
      </c>
      <c r="D36" s="1158" t="s">
        <v>6777</v>
      </c>
    </row>
    <row r="37" spans="1:4" s="1159" customFormat="1">
      <c r="A37" s="1156">
        <v>44927</v>
      </c>
      <c r="B37" s="1157" t="s">
        <v>13680</v>
      </c>
      <c r="C37" s="1157" t="s">
        <v>13700</v>
      </c>
      <c r="D37" s="1158" t="s">
        <v>6777</v>
      </c>
    </row>
    <row r="38" spans="1:4" s="1159" customFormat="1">
      <c r="A38" s="1156">
        <v>44927</v>
      </c>
      <c r="B38" s="1157" t="s">
        <v>13680</v>
      </c>
      <c r="C38" s="1157" t="s">
        <v>13701</v>
      </c>
      <c r="D38" s="1158" t="s">
        <v>6777</v>
      </c>
    </row>
    <row r="39" spans="1:4" s="1159" customFormat="1">
      <c r="A39" s="1156">
        <v>44927</v>
      </c>
      <c r="B39" s="1157" t="s">
        <v>13680</v>
      </c>
      <c r="C39" s="1157" t="s">
        <v>13702</v>
      </c>
      <c r="D39" s="1158" t="s">
        <v>6777</v>
      </c>
    </row>
    <row r="40" spans="1:4" s="1159" customFormat="1">
      <c r="A40" s="1156">
        <v>44927</v>
      </c>
      <c r="B40" s="1157" t="s">
        <v>13680</v>
      </c>
      <c r="C40" s="1157" t="s">
        <v>13703</v>
      </c>
      <c r="D40" s="1158" t="s">
        <v>6777</v>
      </c>
    </row>
    <row r="41" spans="1:4" s="1159" customFormat="1">
      <c r="A41" s="1156">
        <v>44927</v>
      </c>
      <c r="B41" s="1157" t="s">
        <v>13680</v>
      </c>
      <c r="C41" s="1157" t="s">
        <v>13704</v>
      </c>
      <c r="D41" s="1158">
        <v>2.7745776485766096</v>
      </c>
    </row>
    <row r="42" spans="1:4" s="1159" customFormat="1">
      <c r="A42" s="1156">
        <v>44927</v>
      </c>
      <c r="B42" s="1157" t="s">
        <v>13680</v>
      </c>
      <c r="C42" s="1157" t="s">
        <v>13705</v>
      </c>
      <c r="D42" s="1158" t="s">
        <v>6777</v>
      </c>
    </row>
    <row r="43" spans="1:4" s="1159" customFormat="1" ht="15.75" thickBot="1">
      <c r="A43" s="1163">
        <v>44927</v>
      </c>
      <c r="B43" s="1164" t="s">
        <v>13680</v>
      </c>
      <c r="C43" s="1164" t="s">
        <v>13706</v>
      </c>
      <c r="D43" s="1165">
        <v>3.0146574974736251</v>
      </c>
    </row>
    <row r="45" spans="1:4" hidden="1">
      <c r="B45" s="1166" t="s">
        <v>13707</v>
      </c>
      <c r="C45" s="1167">
        <f>D27</f>
        <v>3.2422826543502037</v>
      </c>
    </row>
    <row r="46" spans="1:4" hidden="1">
      <c r="B46" s="1168" t="s">
        <v>13708</v>
      </c>
      <c r="C46" s="1169">
        <v>0.03</v>
      </c>
    </row>
    <row r="47" spans="1:4" hidden="1">
      <c r="B47" s="1168" t="s">
        <v>13709</v>
      </c>
      <c r="C47" s="1169">
        <v>6.4999999999999997E-3</v>
      </c>
    </row>
    <row r="48" spans="1:4" ht="15.75" hidden="1" thickBot="1">
      <c r="B48" s="1170" t="s">
        <v>405</v>
      </c>
      <c r="C48" s="1171">
        <f>TRUNC(C45/(1-(C46+C47)),5)</f>
        <v>3.3651</v>
      </c>
    </row>
    <row r="49" spans="2:3" hidden="1"/>
    <row r="50" spans="2:3" hidden="1">
      <c r="B50" s="1976" t="s">
        <v>13710</v>
      </c>
      <c r="C50" s="1976"/>
    </row>
    <row r="51" spans="2:3" ht="34.5" hidden="1" customHeight="1">
      <c r="B51" s="1976"/>
      <c r="C51" s="1976"/>
    </row>
  </sheetData>
  <mergeCells count="11">
    <mergeCell ref="B6:D6"/>
    <mergeCell ref="A1:D1"/>
    <mergeCell ref="A2:D2"/>
    <mergeCell ref="A3:D3"/>
    <mergeCell ref="A4:D4"/>
    <mergeCell ref="A5:D5"/>
    <mergeCell ref="B7:D7"/>
    <mergeCell ref="B8:D8"/>
    <mergeCell ref="B9:D9"/>
    <mergeCell ref="A10:D10"/>
    <mergeCell ref="B50:C51"/>
  </mergeCells>
  <printOptions horizontalCentered="1"/>
  <pageMargins left="0.78740157480314965" right="0.19685039370078741" top="0.39370078740157483" bottom="0.78740157480314965" header="0.31496062992125984" footer="0.31496062992125984"/>
  <pageSetup paperSize="9" scale="90" firstPageNumber="25" fitToHeight="100" orientation="portrait" useFirstPageNumber="1" r:id="rId1"/>
  <headerFooter scaleWithDoc="0"/>
  <drawing r:id="rId2"/>
  <legacyDrawing r:id="rId3"/>
  <oleObjects>
    <oleObject shapeId="68609" r:id="rId4"/>
  </oleObjects>
</worksheet>
</file>

<file path=xl/worksheets/sheet21.xml><?xml version="1.0" encoding="utf-8"?>
<worksheet xmlns="http://schemas.openxmlformats.org/spreadsheetml/2006/main" xmlns:r="http://schemas.openxmlformats.org/officeDocument/2006/relationships">
  <sheetPr codeName="Plan76">
    <tabColor theme="1" tint="0.34998626667073579"/>
    <pageSetUpPr fitToPage="1"/>
  </sheetPr>
  <dimension ref="A1:P29"/>
  <sheetViews>
    <sheetView showGridLines="0" showZeros="0" view="pageBreakPreview" zoomScaleSheetLayoutView="100" workbookViewId="0">
      <selection activeCell="B9" sqref="B9:F9"/>
    </sheetView>
  </sheetViews>
  <sheetFormatPr defaultColWidth="11.42578125" defaultRowHeight="12.75"/>
  <cols>
    <col min="1" max="1" width="0.7109375" style="1353" customWidth="1"/>
    <col min="2" max="2" width="15.140625" style="1353" customWidth="1"/>
    <col min="3" max="3" width="0.7109375" style="1353" customWidth="1"/>
    <col min="4" max="4" width="17.140625" style="1353" customWidth="1"/>
    <col min="5" max="5" width="56.5703125" style="1353" customWidth="1"/>
    <col min="6" max="6" width="10.7109375" style="1356" bestFit="1" customWidth="1"/>
    <col min="7" max="7" width="7.7109375" style="1356" customWidth="1"/>
    <col min="8" max="8" width="0.7109375" style="1356" customWidth="1"/>
    <col min="9" max="9" width="7.7109375" style="1356" customWidth="1"/>
    <col min="10" max="10" width="13.7109375" style="1356" customWidth="1"/>
    <col min="11" max="11" width="0.7109375" style="1356" customWidth="1"/>
    <col min="12" max="12" width="13.7109375" style="1356" customWidth="1"/>
    <col min="13" max="13" width="30.28515625" style="1356" customWidth="1"/>
    <col min="14" max="14" width="0.7109375" style="1353" customWidth="1"/>
    <col min="15" max="15" width="14.28515625" style="1353" hidden="1" customWidth="1"/>
    <col min="16" max="16" width="0" style="1353" hidden="1" customWidth="1"/>
    <col min="17" max="17" width="11.42578125" style="1353"/>
    <col min="18" max="18" width="13.28515625" style="1353" bestFit="1" customWidth="1"/>
    <col min="19" max="44" width="11.42578125" style="1353"/>
    <col min="45" max="45" width="0.7109375" style="1353" customWidth="1"/>
    <col min="46" max="46" width="15.140625" style="1353" customWidth="1"/>
    <col min="47" max="47" width="0.7109375" style="1353" customWidth="1"/>
    <col min="48" max="48" width="56.140625" style="1353" customWidth="1"/>
    <col min="49" max="49" width="0.7109375" style="1353" customWidth="1"/>
    <col min="50" max="50" width="9.140625" style="1353" customWidth="1"/>
    <col min="51" max="51" width="6" style="1353" customWidth="1"/>
    <col min="52" max="52" width="0.7109375" style="1353" customWidth="1"/>
    <col min="53" max="53" width="7.140625" style="1353" customWidth="1"/>
    <col min="54" max="54" width="6.5703125" style="1353" customWidth="1"/>
    <col min="55" max="55" width="0.7109375" style="1353" customWidth="1"/>
    <col min="56" max="56" width="7.85546875" style="1353" customWidth="1"/>
    <col min="57" max="57" width="10.5703125" style="1353" customWidth="1"/>
    <col min="58" max="58" width="0.7109375" style="1353" customWidth="1"/>
    <col min="59" max="300" width="11.42578125" style="1353"/>
    <col min="301" max="301" width="0.7109375" style="1353" customWidth="1"/>
    <col min="302" max="302" width="15.140625" style="1353" customWidth="1"/>
    <col min="303" max="303" width="0.7109375" style="1353" customWidth="1"/>
    <col min="304" max="304" width="56.140625" style="1353" customWidth="1"/>
    <col min="305" max="305" width="0.7109375" style="1353" customWidth="1"/>
    <col min="306" max="306" width="9.140625" style="1353" customWidth="1"/>
    <col min="307" max="307" width="6" style="1353" customWidth="1"/>
    <col min="308" max="308" width="0.7109375" style="1353" customWidth="1"/>
    <col min="309" max="309" width="7.140625" style="1353" customWidth="1"/>
    <col min="310" max="310" width="6.5703125" style="1353" customWidth="1"/>
    <col min="311" max="311" width="0.7109375" style="1353" customWidth="1"/>
    <col min="312" max="312" width="7.85546875" style="1353" customWidth="1"/>
    <col min="313" max="313" width="10.5703125" style="1353" customWidth="1"/>
    <col min="314" max="314" width="0.7109375" style="1353" customWidth="1"/>
    <col min="315" max="556" width="11.42578125" style="1353"/>
    <col min="557" max="557" width="0.7109375" style="1353" customWidth="1"/>
    <col min="558" max="558" width="15.140625" style="1353" customWidth="1"/>
    <col min="559" max="559" width="0.7109375" style="1353" customWidth="1"/>
    <col min="560" max="560" width="56.140625" style="1353" customWidth="1"/>
    <col min="561" max="561" width="0.7109375" style="1353" customWidth="1"/>
    <col min="562" max="562" width="9.140625" style="1353" customWidth="1"/>
    <col min="563" max="563" width="6" style="1353" customWidth="1"/>
    <col min="564" max="564" width="0.7109375" style="1353" customWidth="1"/>
    <col min="565" max="565" width="7.140625" style="1353" customWidth="1"/>
    <col min="566" max="566" width="6.5703125" style="1353" customWidth="1"/>
    <col min="567" max="567" width="0.7109375" style="1353" customWidth="1"/>
    <col min="568" max="568" width="7.85546875" style="1353" customWidth="1"/>
    <col min="569" max="569" width="10.5703125" style="1353" customWidth="1"/>
    <col min="570" max="570" width="0.7109375" style="1353" customWidth="1"/>
    <col min="571" max="812" width="11.42578125" style="1353"/>
    <col min="813" max="813" width="0.7109375" style="1353" customWidth="1"/>
    <col min="814" max="814" width="15.140625" style="1353" customWidth="1"/>
    <col min="815" max="815" width="0.7109375" style="1353" customWidth="1"/>
    <col min="816" max="816" width="56.140625" style="1353" customWidth="1"/>
    <col min="817" max="817" width="0.7109375" style="1353" customWidth="1"/>
    <col min="818" max="818" width="9.140625" style="1353" customWidth="1"/>
    <col min="819" max="819" width="6" style="1353" customWidth="1"/>
    <col min="820" max="820" width="0.7109375" style="1353" customWidth="1"/>
    <col min="821" max="821" width="7.140625" style="1353" customWidth="1"/>
    <col min="822" max="822" width="6.5703125" style="1353" customWidth="1"/>
    <col min="823" max="823" width="0.7109375" style="1353" customWidth="1"/>
    <col min="824" max="824" width="7.85546875" style="1353" customWidth="1"/>
    <col min="825" max="825" width="10.5703125" style="1353" customWidth="1"/>
    <col min="826" max="826" width="0.7109375" style="1353" customWidth="1"/>
    <col min="827" max="1068" width="11.42578125" style="1353"/>
    <col min="1069" max="1069" width="0.7109375" style="1353" customWidth="1"/>
    <col min="1070" max="1070" width="15.140625" style="1353" customWidth="1"/>
    <col min="1071" max="1071" width="0.7109375" style="1353" customWidth="1"/>
    <col min="1072" max="1072" width="56.140625" style="1353" customWidth="1"/>
    <col min="1073" max="1073" width="0.7109375" style="1353" customWidth="1"/>
    <col min="1074" max="1074" width="9.140625" style="1353" customWidth="1"/>
    <col min="1075" max="1075" width="6" style="1353" customWidth="1"/>
    <col min="1076" max="1076" width="0.7109375" style="1353" customWidth="1"/>
    <col min="1077" max="1077" width="7.140625" style="1353" customWidth="1"/>
    <col min="1078" max="1078" width="6.5703125" style="1353" customWidth="1"/>
    <col min="1079" max="1079" width="0.7109375" style="1353" customWidth="1"/>
    <col min="1080" max="1080" width="7.85546875" style="1353" customWidth="1"/>
    <col min="1081" max="1081" width="10.5703125" style="1353" customWidth="1"/>
    <col min="1082" max="1082" width="0.7109375" style="1353" customWidth="1"/>
    <col min="1083" max="1324" width="11.42578125" style="1353"/>
    <col min="1325" max="1325" width="0.7109375" style="1353" customWidth="1"/>
    <col min="1326" max="1326" width="15.140625" style="1353" customWidth="1"/>
    <col min="1327" max="1327" width="0.7109375" style="1353" customWidth="1"/>
    <col min="1328" max="1328" width="56.140625" style="1353" customWidth="1"/>
    <col min="1329" max="1329" width="0.7109375" style="1353" customWidth="1"/>
    <col min="1330" max="1330" width="9.140625" style="1353" customWidth="1"/>
    <col min="1331" max="1331" width="6" style="1353" customWidth="1"/>
    <col min="1332" max="1332" width="0.7109375" style="1353" customWidth="1"/>
    <col min="1333" max="1333" width="7.140625" style="1353" customWidth="1"/>
    <col min="1334" max="1334" width="6.5703125" style="1353" customWidth="1"/>
    <col min="1335" max="1335" width="0.7109375" style="1353" customWidth="1"/>
    <col min="1336" max="1336" width="7.85546875" style="1353" customWidth="1"/>
    <col min="1337" max="1337" width="10.5703125" style="1353" customWidth="1"/>
    <col min="1338" max="1338" width="0.7109375" style="1353" customWidth="1"/>
    <col min="1339" max="1580" width="11.42578125" style="1353"/>
    <col min="1581" max="1581" width="0.7109375" style="1353" customWidth="1"/>
    <col min="1582" max="1582" width="15.140625" style="1353" customWidth="1"/>
    <col min="1583" max="1583" width="0.7109375" style="1353" customWidth="1"/>
    <col min="1584" max="1584" width="56.140625" style="1353" customWidth="1"/>
    <col min="1585" max="1585" width="0.7109375" style="1353" customWidth="1"/>
    <col min="1586" max="1586" width="9.140625" style="1353" customWidth="1"/>
    <col min="1587" max="1587" width="6" style="1353" customWidth="1"/>
    <col min="1588" max="1588" width="0.7109375" style="1353" customWidth="1"/>
    <col min="1589" max="1589" width="7.140625" style="1353" customWidth="1"/>
    <col min="1590" max="1590" width="6.5703125" style="1353" customWidth="1"/>
    <col min="1591" max="1591" width="0.7109375" style="1353" customWidth="1"/>
    <col min="1592" max="1592" width="7.85546875" style="1353" customWidth="1"/>
    <col min="1593" max="1593" width="10.5703125" style="1353" customWidth="1"/>
    <col min="1594" max="1594" width="0.7109375" style="1353" customWidth="1"/>
    <col min="1595" max="1836" width="11.42578125" style="1353"/>
    <col min="1837" max="1837" width="0.7109375" style="1353" customWidth="1"/>
    <col min="1838" max="1838" width="15.140625" style="1353" customWidth="1"/>
    <col min="1839" max="1839" width="0.7109375" style="1353" customWidth="1"/>
    <col min="1840" max="1840" width="56.140625" style="1353" customWidth="1"/>
    <col min="1841" max="1841" width="0.7109375" style="1353" customWidth="1"/>
    <col min="1842" max="1842" width="9.140625" style="1353" customWidth="1"/>
    <col min="1843" max="1843" width="6" style="1353" customWidth="1"/>
    <col min="1844" max="1844" width="0.7109375" style="1353" customWidth="1"/>
    <col min="1845" max="1845" width="7.140625" style="1353" customWidth="1"/>
    <col min="1846" max="1846" width="6.5703125" style="1353" customWidth="1"/>
    <col min="1847" max="1847" width="0.7109375" style="1353" customWidth="1"/>
    <col min="1848" max="1848" width="7.85546875" style="1353" customWidth="1"/>
    <col min="1849" max="1849" width="10.5703125" style="1353" customWidth="1"/>
    <col min="1850" max="1850" width="0.7109375" style="1353" customWidth="1"/>
    <col min="1851" max="2092" width="11.42578125" style="1353"/>
    <col min="2093" max="2093" width="0.7109375" style="1353" customWidth="1"/>
    <col min="2094" max="2094" width="15.140625" style="1353" customWidth="1"/>
    <col min="2095" max="2095" width="0.7109375" style="1353" customWidth="1"/>
    <col min="2096" max="2096" width="56.140625" style="1353" customWidth="1"/>
    <col min="2097" max="2097" width="0.7109375" style="1353" customWidth="1"/>
    <col min="2098" max="2098" width="9.140625" style="1353" customWidth="1"/>
    <col min="2099" max="2099" width="6" style="1353" customWidth="1"/>
    <col min="2100" max="2100" width="0.7109375" style="1353" customWidth="1"/>
    <col min="2101" max="2101" width="7.140625" style="1353" customWidth="1"/>
    <col min="2102" max="2102" width="6.5703125" style="1353" customWidth="1"/>
    <col min="2103" max="2103" width="0.7109375" style="1353" customWidth="1"/>
    <col min="2104" max="2104" width="7.85546875" style="1353" customWidth="1"/>
    <col min="2105" max="2105" width="10.5703125" style="1353" customWidth="1"/>
    <col min="2106" max="2106" width="0.7109375" style="1353" customWidth="1"/>
    <col min="2107" max="2348" width="11.42578125" style="1353"/>
    <col min="2349" max="2349" width="0.7109375" style="1353" customWidth="1"/>
    <col min="2350" max="2350" width="15.140625" style="1353" customWidth="1"/>
    <col min="2351" max="2351" width="0.7109375" style="1353" customWidth="1"/>
    <col min="2352" max="2352" width="56.140625" style="1353" customWidth="1"/>
    <col min="2353" max="2353" width="0.7109375" style="1353" customWidth="1"/>
    <col min="2354" max="2354" width="9.140625" style="1353" customWidth="1"/>
    <col min="2355" max="2355" width="6" style="1353" customWidth="1"/>
    <col min="2356" max="2356" width="0.7109375" style="1353" customWidth="1"/>
    <col min="2357" max="2357" width="7.140625" style="1353" customWidth="1"/>
    <col min="2358" max="2358" width="6.5703125" style="1353" customWidth="1"/>
    <col min="2359" max="2359" width="0.7109375" style="1353" customWidth="1"/>
    <col min="2360" max="2360" width="7.85546875" style="1353" customWidth="1"/>
    <col min="2361" max="2361" width="10.5703125" style="1353" customWidth="1"/>
    <col min="2362" max="2362" width="0.7109375" style="1353" customWidth="1"/>
    <col min="2363" max="2604" width="11.42578125" style="1353"/>
    <col min="2605" max="2605" width="0.7109375" style="1353" customWidth="1"/>
    <col min="2606" max="2606" width="15.140625" style="1353" customWidth="1"/>
    <col min="2607" max="2607" width="0.7109375" style="1353" customWidth="1"/>
    <col min="2608" max="2608" width="56.140625" style="1353" customWidth="1"/>
    <col min="2609" max="2609" width="0.7109375" style="1353" customWidth="1"/>
    <col min="2610" max="2610" width="9.140625" style="1353" customWidth="1"/>
    <col min="2611" max="2611" width="6" style="1353" customWidth="1"/>
    <col min="2612" max="2612" width="0.7109375" style="1353" customWidth="1"/>
    <col min="2613" max="2613" width="7.140625" style="1353" customWidth="1"/>
    <col min="2614" max="2614" width="6.5703125" style="1353" customWidth="1"/>
    <col min="2615" max="2615" width="0.7109375" style="1353" customWidth="1"/>
    <col min="2616" max="2616" width="7.85546875" style="1353" customWidth="1"/>
    <col min="2617" max="2617" width="10.5703125" style="1353" customWidth="1"/>
    <col min="2618" max="2618" width="0.7109375" style="1353" customWidth="1"/>
    <col min="2619" max="2860" width="11.42578125" style="1353"/>
    <col min="2861" max="2861" width="0.7109375" style="1353" customWidth="1"/>
    <col min="2862" max="2862" width="15.140625" style="1353" customWidth="1"/>
    <col min="2863" max="2863" width="0.7109375" style="1353" customWidth="1"/>
    <col min="2864" max="2864" width="56.140625" style="1353" customWidth="1"/>
    <col min="2865" max="2865" width="0.7109375" style="1353" customWidth="1"/>
    <col min="2866" max="2866" width="9.140625" style="1353" customWidth="1"/>
    <col min="2867" max="2867" width="6" style="1353" customWidth="1"/>
    <col min="2868" max="2868" width="0.7109375" style="1353" customWidth="1"/>
    <col min="2869" max="2869" width="7.140625" style="1353" customWidth="1"/>
    <col min="2870" max="2870" width="6.5703125" style="1353" customWidth="1"/>
    <col min="2871" max="2871" width="0.7109375" style="1353" customWidth="1"/>
    <col min="2872" max="2872" width="7.85546875" style="1353" customWidth="1"/>
    <col min="2873" max="2873" width="10.5703125" style="1353" customWidth="1"/>
    <col min="2874" max="2874" width="0.7109375" style="1353" customWidth="1"/>
    <col min="2875" max="3116" width="11.42578125" style="1353"/>
    <col min="3117" max="3117" width="0.7109375" style="1353" customWidth="1"/>
    <col min="3118" max="3118" width="15.140625" style="1353" customWidth="1"/>
    <col min="3119" max="3119" width="0.7109375" style="1353" customWidth="1"/>
    <col min="3120" max="3120" width="56.140625" style="1353" customWidth="1"/>
    <col min="3121" max="3121" width="0.7109375" style="1353" customWidth="1"/>
    <col min="3122" max="3122" width="9.140625" style="1353" customWidth="1"/>
    <col min="3123" max="3123" width="6" style="1353" customWidth="1"/>
    <col min="3124" max="3124" width="0.7109375" style="1353" customWidth="1"/>
    <col min="3125" max="3125" width="7.140625" style="1353" customWidth="1"/>
    <col min="3126" max="3126" width="6.5703125" style="1353" customWidth="1"/>
    <col min="3127" max="3127" width="0.7109375" style="1353" customWidth="1"/>
    <col min="3128" max="3128" width="7.85546875" style="1353" customWidth="1"/>
    <col min="3129" max="3129" width="10.5703125" style="1353" customWidth="1"/>
    <col min="3130" max="3130" width="0.7109375" style="1353" customWidth="1"/>
    <col min="3131" max="3372" width="11.42578125" style="1353"/>
    <col min="3373" max="3373" width="0.7109375" style="1353" customWidth="1"/>
    <col min="3374" max="3374" width="15.140625" style="1353" customWidth="1"/>
    <col min="3375" max="3375" width="0.7109375" style="1353" customWidth="1"/>
    <col min="3376" max="3376" width="56.140625" style="1353" customWidth="1"/>
    <col min="3377" max="3377" width="0.7109375" style="1353" customWidth="1"/>
    <col min="3378" max="3378" width="9.140625" style="1353" customWidth="1"/>
    <col min="3379" max="3379" width="6" style="1353" customWidth="1"/>
    <col min="3380" max="3380" width="0.7109375" style="1353" customWidth="1"/>
    <col min="3381" max="3381" width="7.140625" style="1353" customWidth="1"/>
    <col min="3382" max="3382" width="6.5703125" style="1353" customWidth="1"/>
    <col min="3383" max="3383" width="0.7109375" style="1353" customWidth="1"/>
    <col min="3384" max="3384" width="7.85546875" style="1353" customWidth="1"/>
    <col min="3385" max="3385" width="10.5703125" style="1353" customWidth="1"/>
    <col min="3386" max="3386" width="0.7109375" style="1353" customWidth="1"/>
    <col min="3387" max="3628" width="11.42578125" style="1353"/>
    <col min="3629" max="3629" width="0.7109375" style="1353" customWidth="1"/>
    <col min="3630" max="3630" width="15.140625" style="1353" customWidth="1"/>
    <col min="3631" max="3631" width="0.7109375" style="1353" customWidth="1"/>
    <col min="3632" max="3632" width="56.140625" style="1353" customWidth="1"/>
    <col min="3633" max="3633" width="0.7109375" style="1353" customWidth="1"/>
    <col min="3634" max="3634" width="9.140625" style="1353" customWidth="1"/>
    <col min="3635" max="3635" width="6" style="1353" customWidth="1"/>
    <col min="3636" max="3636" width="0.7109375" style="1353" customWidth="1"/>
    <col min="3637" max="3637" width="7.140625" style="1353" customWidth="1"/>
    <col min="3638" max="3638" width="6.5703125" style="1353" customWidth="1"/>
    <col min="3639" max="3639" width="0.7109375" style="1353" customWidth="1"/>
    <col min="3640" max="3640" width="7.85546875" style="1353" customWidth="1"/>
    <col min="3641" max="3641" width="10.5703125" style="1353" customWidth="1"/>
    <col min="3642" max="3642" width="0.7109375" style="1353" customWidth="1"/>
    <col min="3643" max="3884" width="11.42578125" style="1353"/>
    <col min="3885" max="3885" width="0.7109375" style="1353" customWidth="1"/>
    <col min="3886" max="3886" width="15.140625" style="1353" customWidth="1"/>
    <col min="3887" max="3887" width="0.7109375" style="1353" customWidth="1"/>
    <col min="3888" max="3888" width="56.140625" style="1353" customWidth="1"/>
    <col min="3889" max="3889" width="0.7109375" style="1353" customWidth="1"/>
    <col min="3890" max="3890" width="9.140625" style="1353" customWidth="1"/>
    <col min="3891" max="3891" width="6" style="1353" customWidth="1"/>
    <col min="3892" max="3892" width="0.7109375" style="1353" customWidth="1"/>
    <col min="3893" max="3893" width="7.140625" style="1353" customWidth="1"/>
    <col min="3894" max="3894" width="6.5703125" style="1353" customWidth="1"/>
    <col min="3895" max="3895" width="0.7109375" style="1353" customWidth="1"/>
    <col min="3896" max="3896" width="7.85546875" style="1353" customWidth="1"/>
    <col min="3897" max="3897" width="10.5703125" style="1353" customWidth="1"/>
    <col min="3898" max="3898" width="0.7109375" style="1353" customWidth="1"/>
    <col min="3899" max="4140" width="11.42578125" style="1353"/>
    <col min="4141" max="4141" width="0.7109375" style="1353" customWidth="1"/>
    <col min="4142" max="4142" width="15.140625" style="1353" customWidth="1"/>
    <col min="4143" max="4143" width="0.7109375" style="1353" customWidth="1"/>
    <col min="4144" max="4144" width="56.140625" style="1353" customWidth="1"/>
    <col min="4145" max="4145" width="0.7109375" style="1353" customWidth="1"/>
    <col min="4146" max="4146" width="9.140625" style="1353" customWidth="1"/>
    <col min="4147" max="4147" width="6" style="1353" customWidth="1"/>
    <col min="4148" max="4148" width="0.7109375" style="1353" customWidth="1"/>
    <col min="4149" max="4149" width="7.140625" style="1353" customWidth="1"/>
    <col min="4150" max="4150" width="6.5703125" style="1353" customWidth="1"/>
    <col min="4151" max="4151" width="0.7109375" style="1353" customWidth="1"/>
    <col min="4152" max="4152" width="7.85546875" style="1353" customWidth="1"/>
    <col min="4153" max="4153" width="10.5703125" style="1353" customWidth="1"/>
    <col min="4154" max="4154" width="0.7109375" style="1353" customWidth="1"/>
    <col min="4155" max="4396" width="11.42578125" style="1353"/>
    <col min="4397" max="4397" width="0.7109375" style="1353" customWidth="1"/>
    <col min="4398" max="4398" width="15.140625" style="1353" customWidth="1"/>
    <col min="4399" max="4399" width="0.7109375" style="1353" customWidth="1"/>
    <col min="4400" max="4400" width="56.140625" style="1353" customWidth="1"/>
    <col min="4401" max="4401" width="0.7109375" style="1353" customWidth="1"/>
    <col min="4402" max="4402" width="9.140625" style="1353" customWidth="1"/>
    <col min="4403" max="4403" width="6" style="1353" customWidth="1"/>
    <col min="4404" max="4404" width="0.7109375" style="1353" customWidth="1"/>
    <col min="4405" max="4405" width="7.140625" style="1353" customWidth="1"/>
    <col min="4406" max="4406" width="6.5703125" style="1353" customWidth="1"/>
    <col min="4407" max="4407" width="0.7109375" style="1353" customWidth="1"/>
    <col min="4408" max="4408" width="7.85546875" style="1353" customWidth="1"/>
    <col min="4409" max="4409" width="10.5703125" style="1353" customWidth="1"/>
    <col min="4410" max="4410" width="0.7109375" style="1353" customWidth="1"/>
    <col min="4411" max="4652" width="11.42578125" style="1353"/>
    <col min="4653" max="4653" width="0.7109375" style="1353" customWidth="1"/>
    <col min="4654" max="4654" width="15.140625" style="1353" customWidth="1"/>
    <col min="4655" max="4655" width="0.7109375" style="1353" customWidth="1"/>
    <col min="4656" max="4656" width="56.140625" style="1353" customWidth="1"/>
    <col min="4657" max="4657" width="0.7109375" style="1353" customWidth="1"/>
    <col min="4658" max="4658" width="9.140625" style="1353" customWidth="1"/>
    <col min="4659" max="4659" width="6" style="1353" customWidth="1"/>
    <col min="4660" max="4660" width="0.7109375" style="1353" customWidth="1"/>
    <col min="4661" max="4661" width="7.140625" style="1353" customWidth="1"/>
    <col min="4662" max="4662" width="6.5703125" style="1353" customWidth="1"/>
    <col min="4663" max="4663" width="0.7109375" style="1353" customWidth="1"/>
    <col min="4664" max="4664" width="7.85546875" style="1353" customWidth="1"/>
    <col min="4665" max="4665" width="10.5703125" style="1353" customWidth="1"/>
    <col min="4666" max="4666" width="0.7109375" style="1353" customWidth="1"/>
    <col min="4667" max="4908" width="11.42578125" style="1353"/>
    <col min="4909" max="4909" width="0.7109375" style="1353" customWidth="1"/>
    <col min="4910" max="4910" width="15.140625" style="1353" customWidth="1"/>
    <col min="4911" max="4911" width="0.7109375" style="1353" customWidth="1"/>
    <col min="4912" max="4912" width="56.140625" style="1353" customWidth="1"/>
    <col min="4913" max="4913" width="0.7109375" style="1353" customWidth="1"/>
    <col min="4914" max="4914" width="9.140625" style="1353" customWidth="1"/>
    <col min="4915" max="4915" width="6" style="1353" customWidth="1"/>
    <col min="4916" max="4916" width="0.7109375" style="1353" customWidth="1"/>
    <col min="4917" max="4917" width="7.140625" style="1353" customWidth="1"/>
    <col min="4918" max="4918" width="6.5703125" style="1353" customWidth="1"/>
    <col min="4919" max="4919" width="0.7109375" style="1353" customWidth="1"/>
    <col min="4920" max="4920" width="7.85546875" style="1353" customWidth="1"/>
    <col min="4921" max="4921" width="10.5703125" style="1353" customWidth="1"/>
    <col min="4922" max="4922" width="0.7109375" style="1353" customWidth="1"/>
    <col min="4923" max="5164" width="11.42578125" style="1353"/>
    <col min="5165" max="5165" width="0.7109375" style="1353" customWidth="1"/>
    <col min="5166" max="5166" width="15.140625" style="1353" customWidth="1"/>
    <col min="5167" max="5167" width="0.7109375" style="1353" customWidth="1"/>
    <col min="5168" max="5168" width="56.140625" style="1353" customWidth="1"/>
    <col min="5169" max="5169" width="0.7109375" style="1353" customWidth="1"/>
    <col min="5170" max="5170" width="9.140625" style="1353" customWidth="1"/>
    <col min="5171" max="5171" width="6" style="1353" customWidth="1"/>
    <col min="5172" max="5172" width="0.7109375" style="1353" customWidth="1"/>
    <col min="5173" max="5173" width="7.140625" style="1353" customWidth="1"/>
    <col min="5174" max="5174" width="6.5703125" style="1353" customWidth="1"/>
    <col min="5175" max="5175" width="0.7109375" style="1353" customWidth="1"/>
    <col min="5176" max="5176" width="7.85546875" style="1353" customWidth="1"/>
    <col min="5177" max="5177" width="10.5703125" style="1353" customWidth="1"/>
    <col min="5178" max="5178" width="0.7109375" style="1353" customWidth="1"/>
    <col min="5179" max="5420" width="11.42578125" style="1353"/>
    <col min="5421" max="5421" width="0.7109375" style="1353" customWidth="1"/>
    <col min="5422" max="5422" width="15.140625" style="1353" customWidth="1"/>
    <col min="5423" max="5423" width="0.7109375" style="1353" customWidth="1"/>
    <col min="5424" max="5424" width="56.140625" style="1353" customWidth="1"/>
    <col min="5425" max="5425" width="0.7109375" style="1353" customWidth="1"/>
    <col min="5426" max="5426" width="9.140625" style="1353" customWidth="1"/>
    <col min="5427" max="5427" width="6" style="1353" customWidth="1"/>
    <col min="5428" max="5428" width="0.7109375" style="1353" customWidth="1"/>
    <col min="5429" max="5429" width="7.140625" style="1353" customWidth="1"/>
    <col min="5430" max="5430" width="6.5703125" style="1353" customWidth="1"/>
    <col min="5431" max="5431" width="0.7109375" style="1353" customWidth="1"/>
    <col min="5432" max="5432" width="7.85546875" style="1353" customWidth="1"/>
    <col min="5433" max="5433" width="10.5703125" style="1353" customWidth="1"/>
    <col min="5434" max="5434" width="0.7109375" style="1353" customWidth="1"/>
    <col min="5435" max="5676" width="11.42578125" style="1353"/>
    <col min="5677" max="5677" width="0.7109375" style="1353" customWidth="1"/>
    <col min="5678" max="5678" width="15.140625" style="1353" customWidth="1"/>
    <col min="5679" max="5679" width="0.7109375" style="1353" customWidth="1"/>
    <col min="5680" max="5680" width="56.140625" style="1353" customWidth="1"/>
    <col min="5681" max="5681" width="0.7109375" style="1353" customWidth="1"/>
    <col min="5682" max="5682" width="9.140625" style="1353" customWidth="1"/>
    <col min="5683" max="5683" width="6" style="1353" customWidth="1"/>
    <col min="5684" max="5684" width="0.7109375" style="1353" customWidth="1"/>
    <col min="5685" max="5685" width="7.140625" style="1353" customWidth="1"/>
    <col min="5686" max="5686" width="6.5703125" style="1353" customWidth="1"/>
    <col min="5687" max="5687" width="0.7109375" style="1353" customWidth="1"/>
    <col min="5688" max="5688" width="7.85546875" style="1353" customWidth="1"/>
    <col min="5689" max="5689" width="10.5703125" style="1353" customWidth="1"/>
    <col min="5690" max="5690" width="0.7109375" style="1353" customWidth="1"/>
    <col min="5691" max="5932" width="11.42578125" style="1353"/>
    <col min="5933" max="5933" width="0.7109375" style="1353" customWidth="1"/>
    <col min="5934" max="5934" width="15.140625" style="1353" customWidth="1"/>
    <col min="5935" max="5935" width="0.7109375" style="1353" customWidth="1"/>
    <col min="5936" max="5936" width="56.140625" style="1353" customWidth="1"/>
    <col min="5937" max="5937" width="0.7109375" style="1353" customWidth="1"/>
    <col min="5938" max="5938" width="9.140625" style="1353" customWidth="1"/>
    <col min="5939" max="5939" width="6" style="1353" customWidth="1"/>
    <col min="5940" max="5940" width="0.7109375" style="1353" customWidth="1"/>
    <col min="5941" max="5941" width="7.140625" style="1353" customWidth="1"/>
    <col min="5942" max="5942" width="6.5703125" style="1353" customWidth="1"/>
    <col min="5943" max="5943" width="0.7109375" style="1353" customWidth="1"/>
    <col min="5944" max="5944" width="7.85546875" style="1353" customWidth="1"/>
    <col min="5945" max="5945" width="10.5703125" style="1353" customWidth="1"/>
    <col min="5946" max="5946" width="0.7109375" style="1353" customWidth="1"/>
    <col min="5947" max="6188" width="11.42578125" style="1353"/>
    <col min="6189" max="6189" width="0.7109375" style="1353" customWidth="1"/>
    <col min="6190" max="6190" width="15.140625" style="1353" customWidth="1"/>
    <col min="6191" max="6191" width="0.7109375" style="1353" customWidth="1"/>
    <col min="6192" max="6192" width="56.140625" style="1353" customWidth="1"/>
    <col min="6193" max="6193" width="0.7109375" style="1353" customWidth="1"/>
    <col min="6194" max="6194" width="9.140625" style="1353" customWidth="1"/>
    <col min="6195" max="6195" width="6" style="1353" customWidth="1"/>
    <col min="6196" max="6196" width="0.7109375" style="1353" customWidth="1"/>
    <col min="6197" max="6197" width="7.140625" style="1353" customWidth="1"/>
    <col min="6198" max="6198" width="6.5703125" style="1353" customWidth="1"/>
    <col min="6199" max="6199" width="0.7109375" style="1353" customWidth="1"/>
    <col min="6200" max="6200" width="7.85546875" style="1353" customWidth="1"/>
    <col min="6201" max="6201" width="10.5703125" style="1353" customWidth="1"/>
    <col min="6202" max="6202" width="0.7109375" style="1353" customWidth="1"/>
    <col min="6203" max="6444" width="11.42578125" style="1353"/>
    <col min="6445" max="6445" width="0.7109375" style="1353" customWidth="1"/>
    <col min="6446" max="6446" width="15.140625" style="1353" customWidth="1"/>
    <col min="6447" max="6447" width="0.7109375" style="1353" customWidth="1"/>
    <col min="6448" max="6448" width="56.140625" style="1353" customWidth="1"/>
    <col min="6449" max="6449" width="0.7109375" style="1353" customWidth="1"/>
    <col min="6450" max="6450" width="9.140625" style="1353" customWidth="1"/>
    <col min="6451" max="6451" width="6" style="1353" customWidth="1"/>
    <col min="6452" max="6452" width="0.7109375" style="1353" customWidth="1"/>
    <col min="6453" max="6453" width="7.140625" style="1353" customWidth="1"/>
    <col min="6454" max="6454" width="6.5703125" style="1353" customWidth="1"/>
    <col min="6455" max="6455" width="0.7109375" style="1353" customWidth="1"/>
    <col min="6456" max="6456" width="7.85546875" style="1353" customWidth="1"/>
    <col min="6457" max="6457" width="10.5703125" style="1353" customWidth="1"/>
    <col min="6458" max="6458" width="0.7109375" style="1353" customWidth="1"/>
    <col min="6459" max="6700" width="11.42578125" style="1353"/>
    <col min="6701" max="6701" width="0.7109375" style="1353" customWidth="1"/>
    <col min="6702" max="6702" width="15.140625" style="1353" customWidth="1"/>
    <col min="6703" max="6703" width="0.7109375" style="1353" customWidth="1"/>
    <col min="6704" max="6704" width="56.140625" style="1353" customWidth="1"/>
    <col min="6705" max="6705" width="0.7109375" style="1353" customWidth="1"/>
    <col min="6706" max="6706" width="9.140625" style="1353" customWidth="1"/>
    <col min="6707" max="6707" width="6" style="1353" customWidth="1"/>
    <col min="6708" max="6708" width="0.7109375" style="1353" customWidth="1"/>
    <col min="6709" max="6709" width="7.140625" style="1353" customWidth="1"/>
    <col min="6710" max="6710" width="6.5703125" style="1353" customWidth="1"/>
    <col min="6711" max="6711" width="0.7109375" style="1353" customWidth="1"/>
    <col min="6712" max="6712" width="7.85546875" style="1353" customWidth="1"/>
    <col min="6713" max="6713" width="10.5703125" style="1353" customWidth="1"/>
    <col min="6714" max="6714" width="0.7109375" style="1353" customWidth="1"/>
    <col min="6715" max="6956" width="11.42578125" style="1353"/>
    <col min="6957" max="6957" width="0.7109375" style="1353" customWidth="1"/>
    <col min="6958" max="6958" width="15.140625" style="1353" customWidth="1"/>
    <col min="6959" max="6959" width="0.7109375" style="1353" customWidth="1"/>
    <col min="6960" max="6960" width="56.140625" style="1353" customWidth="1"/>
    <col min="6961" max="6961" width="0.7109375" style="1353" customWidth="1"/>
    <col min="6962" max="6962" width="9.140625" style="1353" customWidth="1"/>
    <col min="6963" max="6963" width="6" style="1353" customWidth="1"/>
    <col min="6964" max="6964" width="0.7109375" style="1353" customWidth="1"/>
    <col min="6965" max="6965" width="7.140625" style="1353" customWidth="1"/>
    <col min="6966" max="6966" width="6.5703125" style="1353" customWidth="1"/>
    <col min="6967" max="6967" width="0.7109375" style="1353" customWidth="1"/>
    <col min="6968" max="6968" width="7.85546875" style="1353" customWidth="1"/>
    <col min="6969" max="6969" width="10.5703125" style="1353" customWidth="1"/>
    <col min="6970" max="6970" width="0.7109375" style="1353" customWidth="1"/>
    <col min="6971" max="7212" width="11.42578125" style="1353"/>
    <col min="7213" max="7213" width="0.7109375" style="1353" customWidth="1"/>
    <col min="7214" max="7214" width="15.140625" style="1353" customWidth="1"/>
    <col min="7215" max="7215" width="0.7109375" style="1353" customWidth="1"/>
    <col min="7216" max="7216" width="56.140625" style="1353" customWidth="1"/>
    <col min="7217" max="7217" width="0.7109375" style="1353" customWidth="1"/>
    <col min="7218" max="7218" width="9.140625" style="1353" customWidth="1"/>
    <col min="7219" max="7219" width="6" style="1353" customWidth="1"/>
    <col min="7220" max="7220" width="0.7109375" style="1353" customWidth="1"/>
    <col min="7221" max="7221" width="7.140625" style="1353" customWidth="1"/>
    <col min="7222" max="7222" width="6.5703125" style="1353" customWidth="1"/>
    <col min="7223" max="7223" width="0.7109375" style="1353" customWidth="1"/>
    <col min="7224" max="7224" width="7.85546875" style="1353" customWidth="1"/>
    <col min="7225" max="7225" width="10.5703125" style="1353" customWidth="1"/>
    <col min="7226" max="7226" width="0.7109375" style="1353" customWidth="1"/>
    <col min="7227" max="7468" width="11.42578125" style="1353"/>
    <col min="7469" max="7469" width="0.7109375" style="1353" customWidth="1"/>
    <col min="7470" max="7470" width="15.140625" style="1353" customWidth="1"/>
    <col min="7471" max="7471" width="0.7109375" style="1353" customWidth="1"/>
    <col min="7472" max="7472" width="56.140625" style="1353" customWidth="1"/>
    <col min="7473" max="7473" width="0.7109375" style="1353" customWidth="1"/>
    <col min="7474" max="7474" width="9.140625" style="1353" customWidth="1"/>
    <col min="7475" max="7475" width="6" style="1353" customWidth="1"/>
    <col min="7476" max="7476" width="0.7109375" style="1353" customWidth="1"/>
    <col min="7477" max="7477" width="7.140625" style="1353" customWidth="1"/>
    <col min="7478" max="7478" width="6.5703125" style="1353" customWidth="1"/>
    <col min="7479" max="7479" width="0.7109375" style="1353" customWidth="1"/>
    <col min="7480" max="7480" width="7.85546875" style="1353" customWidth="1"/>
    <col min="7481" max="7481" width="10.5703125" style="1353" customWidth="1"/>
    <col min="7482" max="7482" width="0.7109375" style="1353" customWidth="1"/>
    <col min="7483" max="7724" width="11.42578125" style="1353"/>
    <col min="7725" max="7725" width="0.7109375" style="1353" customWidth="1"/>
    <col min="7726" max="7726" width="15.140625" style="1353" customWidth="1"/>
    <col min="7727" max="7727" width="0.7109375" style="1353" customWidth="1"/>
    <col min="7728" max="7728" width="56.140625" style="1353" customWidth="1"/>
    <col min="7729" max="7729" width="0.7109375" style="1353" customWidth="1"/>
    <col min="7730" max="7730" width="9.140625" style="1353" customWidth="1"/>
    <col min="7731" max="7731" width="6" style="1353" customWidth="1"/>
    <col min="7732" max="7732" width="0.7109375" style="1353" customWidth="1"/>
    <col min="7733" max="7733" width="7.140625" style="1353" customWidth="1"/>
    <col min="7734" max="7734" width="6.5703125" style="1353" customWidth="1"/>
    <col min="7735" max="7735" width="0.7109375" style="1353" customWidth="1"/>
    <col min="7736" max="7736" width="7.85546875" style="1353" customWidth="1"/>
    <col min="7737" max="7737" width="10.5703125" style="1353" customWidth="1"/>
    <col min="7738" max="7738" width="0.7109375" style="1353" customWidth="1"/>
    <col min="7739" max="7980" width="11.42578125" style="1353"/>
    <col min="7981" max="7981" width="0.7109375" style="1353" customWidth="1"/>
    <col min="7982" max="7982" width="15.140625" style="1353" customWidth="1"/>
    <col min="7983" max="7983" width="0.7109375" style="1353" customWidth="1"/>
    <col min="7984" max="7984" width="56.140625" style="1353" customWidth="1"/>
    <col min="7985" max="7985" width="0.7109375" style="1353" customWidth="1"/>
    <col min="7986" max="7986" width="9.140625" style="1353" customWidth="1"/>
    <col min="7987" max="7987" width="6" style="1353" customWidth="1"/>
    <col min="7988" max="7988" width="0.7109375" style="1353" customWidth="1"/>
    <col min="7989" max="7989" width="7.140625" style="1353" customWidth="1"/>
    <col min="7990" max="7990" width="6.5703125" style="1353" customWidth="1"/>
    <col min="7991" max="7991" width="0.7109375" style="1353" customWidth="1"/>
    <col min="7992" max="7992" width="7.85546875" style="1353" customWidth="1"/>
    <col min="7993" max="7993" width="10.5703125" style="1353" customWidth="1"/>
    <col min="7994" max="7994" width="0.7109375" style="1353" customWidth="1"/>
    <col min="7995" max="8236" width="11.42578125" style="1353"/>
    <col min="8237" max="8237" width="0.7109375" style="1353" customWidth="1"/>
    <col min="8238" max="8238" width="15.140625" style="1353" customWidth="1"/>
    <col min="8239" max="8239" width="0.7109375" style="1353" customWidth="1"/>
    <col min="8240" max="8240" width="56.140625" style="1353" customWidth="1"/>
    <col min="8241" max="8241" width="0.7109375" style="1353" customWidth="1"/>
    <col min="8242" max="8242" width="9.140625" style="1353" customWidth="1"/>
    <col min="8243" max="8243" width="6" style="1353" customWidth="1"/>
    <col min="8244" max="8244" width="0.7109375" style="1353" customWidth="1"/>
    <col min="8245" max="8245" width="7.140625" style="1353" customWidth="1"/>
    <col min="8246" max="8246" width="6.5703125" style="1353" customWidth="1"/>
    <col min="8247" max="8247" width="0.7109375" style="1353" customWidth="1"/>
    <col min="8248" max="8248" width="7.85546875" style="1353" customWidth="1"/>
    <col min="8249" max="8249" width="10.5703125" style="1353" customWidth="1"/>
    <col min="8250" max="8250" width="0.7109375" style="1353" customWidth="1"/>
    <col min="8251" max="8492" width="11.42578125" style="1353"/>
    <col min="8493" max="8493" width="0.7109375" style="1353" customWidth="1"/>
    <col min="8494" max="8494" width="15.140625" style="1353" customWidth="1"/>
    <col min="8495" max="8495" width="0.7109375" style="1353" customWidth="1"/>
    <col min="8496" max="8496" width="56.140625" style="1353" customWidth="1"/>
    <col min="8497" max="8497" width="0.7109375" style="1353" customWidth="1"/>
    <col min="8498" max="8498" width="9.140625" style="1353" customWidth="1"/>
    <col min="8499" max="8499" width="6" style="1353" customWidth="1"/>
    <col min="8500" max="8500" width="0.7109375" style="1353" customWidth="1"/>
    <col min="8501" max="8501" width="7.140625" style="1353" customWidth="1"/>
    <col min="8502" max="8502" width="6.5703125" style="1353" customWidth="1"/>
    <col min="8503" max="8503" width="0.7109375" style="1353" customWidth="1"/>
    <col min="8504" max="8504" width="7.85546875" style="1353" customWidth="1"/>
    <col min="8505" max="8505" width="10.5703125" style="1353" customWidth="1"/>
    <col min="8506" max="8506" width="0.7109375" style="1353" customWidth="1"/>
    <col min="8507" max="8748" width="11.42578125" style="1353"/>
    <col min="8749" max="8749" width="0.7109375" style="1353" customWidth="1"/>
    <col min="8750" max="8750" width="15.140625" style="1353" customWidth="1"/>
    <col min="8751" max="8751" width="0.7109375" style="1353" customWidth="1"/>
    <col min="8752" max="8752" width="56.140625" style="1353" customWidth="1"/>
    <col min="8753" max="8753" width="0.7109375" style="1353" customWidth="1"/>
    <col min="8754" max="8754" width="9.140625" style="1353" customWidth="1"/>
    <col min="8755" max="8755" width="6" style="1353" customWidth="1"/>
    <col min="8756" max="8756" width="0.7109375" style="1353" customWidth="1"/>
    <col min="8757" max="8757" width="7.140625" style="1353" customWidth="1"/>
    <col min="8758" max="8758" width="6.5703125" style="1353" customWidth="1"/>
    <col min="8759" max="8759" width="0.7109375" style="1353" customWidth="1"/>
    <col min="8760" max="8760" width="7.85546875" style="1353" customWidth="1"/>
    <col min="8761" max="8761" width="10.5703125" style="1353" customWidth="1"/>
    <col min="8762" max="8762" width="0.7109375" style="1353" customWidth="1"/>
    <col min="8763" max="9004" width="11.42578125" style="1353"/>
    <col min="9005" max="9005" width="0.7109375" style="1353" customWidth="1"/>
    <col min="9006" max="9006" width="15.140625" style="1353" customWidth="1"/>
    <col min="9007" max="9007" width="0.7109375" style="1353" customWidth="1"/>
    <col min="9008" max="9008" width="56.140625" style="1353" customWidth="1"/>
    <col min="9009" max="9009" width="0.7109375" style="1353" customWidth="1"/>
    <col min="9010" max="9010" width="9.140625" style="1353" customWidth="1"/>
    <col min="9011" max="9011" width="6" style="1353" customWidth="1"/>
    <col min="9012" max="9012" width="0.7109375" style="1353" customWidth="1"/>
    <col min="9013" max="9013" width="7.140625" style="1353" customWidth="1"/>
    <col min="9014" max="9014" width="6.5703125" style="1353" customWidth="1"/>
    <col min="9015" max="9015" width="0.7109375" style="1353" customWidth="1"/>
    <col min="9016" max="9016" width="7.85546875" style="1353" customWidth="1"/>
    <col min="9017" max="9017" width="10.5703125" style="1353" customWidth="1"/>
    <col min="9018" max="9018" width="0.7109375" style="1353" customWidth="1"/>
    <col min="9019" max="9260" width="11.42578125" style="1353"/>
    <col min="9261" max="9261" width="0.7109375" style="1353" customWidth="1"/>
    <col min="9262" max="9262" width="15.140625" style="1353" customWidth="1"/>
    <col min="9263" max="9263" width="0.7109375" style="1353" customWidth="1"/>
    <col min="9264" max="9264" width="56.140625" style="1353" customWidth="1"/>
    <col min="9265" max="9265" width="0.7109375" style="1353" customWidth="1"/>
    <col min="9266" max="9266" width="9.140625" style="1353" customWidth="1"/>
    <col min="9267" max="9267" width="6" style="1353" customWidth="1"/>
    <col min="9268" max="9268" width="0.7109375" style="1353" customWidth="1"/>
    <col min="9269" max="9269" width="7.140625" style="1353" customWidth="1"/>
    <col min="9270" max="9270" width="6.5703125" style="1353" customWidth="1"/>
    <col min="9271" max="9271" width="0.7109375" style="1353" customWidth="1"/>
    <col min="9272" max="9272" width="7.85546875" style="1353" customWidth="1"/>
    <col min="9273" max="9273" width="10.5703125" style="1353" customWidth="1"/>
    <col min="9274" max="9274" width="0.7109375" style="1353" customWidth="1"/>
    <col min="9275" max="9516" width="11.42578125" style="1353"/>
    <col min="9517" max="9517" width="0.7109375" style="1353" customWidth="1"/>
    <col min="9518" max="9518" width="15.140625" style="1353" customWidth="1"/>
    <col min="9519" max="9519" width="0.7109375" style="1353" customWidth="1"/>
    <col min="9520" max="9520" width="56.140625" style="1353" customWidth="1"/>
    <col min="9521" max="9521" width="0.7109375" style="1353" customWidth="1"/>
    <col min="9522" max="9522" width="9.140625" style="1353" customWidth="1"/>
    <col min="9523" max="9523" width="6" style="1353" customWidth="1"/>
    <col min="9524" max="9524" width="0.7109375" style="1353" customWidth="1"/>
    <col min="9525" max="9525" width="7.140625" style="1353" customWidth="1"/>
    <col min="9526" max="9526" width="6.5703125" style="1353" customWidth="1"/>
    <col min="9527" max="9527" width="0.7109375" style="1353" customWidth="1"/>
    <col min="9528" max="9528" width="7.85546875" style="1353" customWidth="1"/>
    <col min="9529" max="9529" width="10.5703125" style="1353" customWidth="1"/>
    <col min="9530" max="9530" width="0.7109375" style="1353" customWidth="1"/>
    <col min="9531" max="9772" width="11.42578125" style="1353"/>
    <col min="9773" max="9773" width="0.7109375" style="1353" customWidth="1"/>
    <col min="9774" max="9774" width="15.140625" style="1353" customWidth="1"/>
    <col min="9775" max="9775" width="0.7109375" style="1353" customWidth="1"/>
    <col min="9776" max="9776" width="56.140625" style="1353" customWidth="1"/>
    <col min="9777" max="9777" width="0.7109375" style="1353" customWidth="1"/>
    <col min="9778" max="9778" width="9.140625" style="1353" customWidth="1"/>
    <col min="9779" max="9779" width="6" style="1353" customWidth="1"/>
    <col min="9780" max="9780" width="0.7109375" style="1353" customWidth="1"/>
    <col min="9781" max="9781" width="7.140625" style="1353" customWidth="1"/>
    <col min="9782" max="9782" width="6.5703125" style="1353" customWidth="1"/>
    <col min="9783" max="9783" width="0.7109375" style="1353" customWidth="1"/>
    <col min="9784" max="9784" width="7.85546875" style="1353" customWidth="1"/>
    <col min="9785" max="9785" width="10.5703125" style="1353" customWidth="1"/>
    <col min="9786" max="9786" width="0.7109375" style="1353" customWidth="1"/>
    <col min="9787" max="10028" width="11.42578125" style="1353"/>
    <col min="10029" max="10029" width="0.7109375" style="1353" customWidth="1"/>
    <col min="10030" max="10030" width="15.140625" style="1353" customWidth="1"/>
    <col min="10031" max="10031" width="0.7109375" style="1353" customWidth="1"/>
    <col min="10032" max="10032" width="56.140625" style="1353" customWidth="1"/>
    <col min="10033" max="10033" width="0.7109375" style="1353" customWidth="1"/>
    <col min="10034" max="10034" width="9.140625" style="1353" customWidth="1"/>
    <col min="10035" max="10035" width="6" style="1353" customWidth="1"/>
    <col min="10036" max="10036" width="0.7109375" style="1353" customWidth="1"/>
    <col min="10037" max="10037" width="7.140625" style="1353" customWidth="1"/>
    <col min="10038" max="10038" width="6.5703125" style="1353" customWidth="1"/>
    <col min="10039" max="10039" width="0.7109375" style="1353" customWidth="1"/>
    <col min="10040" max="10040" width="7.85546875" style="1353" customWidth="1"/>
    <col min="10041" max="10041" width="10.5703125" style="1353" customWidth="1"/>
    <col min="10042" max="10042" width="0.7109375" style="1353" customWidth="1"/>
    <col min="10043" max="10284" width="11.42578125" style="1353"/>
    <col min="10285" max="10285" width="0.7109375" style="1353" customWidth="1"/>
    <col min="10286" max="10286" width="15.140625" style="1353" customWidth="1"/>
    <col min="10287" max="10287" width="0.7109375" style="1353" customWidth="1"/>
    <col min="10288" max="10288" width="56.140625" style="1353" customWidth="1"/>
    <col min="10289" max="10289" width="0.7109375" style="1353" customWidth="1"/>
    <col min="10290" max="10290" width="9.140625" style="1353" customWidth="1"/>
    <col min="10291" max="10291" width="6" style="1353" customWidth="1"/>
    <col min="10292" max="10292" width="0.7109375" style="1353" customWidth="1"/>
    <col min="10293" max="10293" width="7.140625" style="1353" customWidth="1"/>
    <col min="10294" max="10294" width="6.5703125" style="1353" customWidth="1"/>
    <col min="10295" max="10295" width="0.7109375" style="1353" customWidth="1"/>
    <col min="10296" max="10296" width="7.85546875" style="1353" customWidth="1"/>
    <col min="10297" max="10297" width="10.5703125" style="1353" customWidth="1"/>
    <col min="10298" max="10298" width="0.7109375" style="1353" customWidth="1"/>
    <col min="10299" max="10540" width="11.42578125" style="1353"/>
    <col min="10541" max="10541" width="0.7109375" style="1353" customWidth="1"/>
    <col min="10542" max="10542" width="15.140625" style="1353" customWidth="1"/>
    <col min="10543" max="10543" width="0.7109375" style="1353" customWidth="1"/>
    <col min="10544" max="10544" width="56.140625" style="1353" customWidth="1"/>
    <col min="10545" max="10545" width="0.7109375" style="1353" customWidth="1"/>
    <col min="10546" max="10546" width="9.140625" style="1353" customWidth="1"/>
    <col min="10547" max="10547" width="6" style="1353" customWidth="1"/>
    <col min="10548" max="10548" width="0.7109375" style="1353" customWidth="1"/>
    <col min="10549" max="10549" width="7.140625" style="1353" customWidth="1"/>
    <col min="10550" max="10550" width="6.5703125" style="1353" customWidth="1"/>
    <col min="10551" max="10551" width="0.7109375" style="1353" customWidth="1"/>
    <col min="10552" max="10552" width="7.85546875" style="1353" customWidth="1"/>
    <col min="10553" max="10553" width="10.5703125" style="1353" customWidth="1"/>
    <col min="10554" max="10554" width="0.7109375" style="1353" customWidth="1"/>
    <col min="10555" max="10796" width="11.42578125" style="1353"/>
    <col min="10797" max="10797" width="0.7109375" style="1353" customWidth="1"/>
    <col min="10798" max="10798" width="15.140625" style="1353" customWidth="1"/>
    <col min="10799" max="10799" width="0.7109375" style="1353" customWidth="1"/>
    <col min="10800" max="10800" width="56.140625" style="1353" customWidth="1"/>
    <col min="10801" max="10801" width="0.7109375" style="1353" customWidth="1"/>
    <col min="10802" max="10802" width="9.140625" style="1353" customWidth="1"/>
    <col min="10803" max="10803" width="6" style="1353" customWidth="1"/>
    <col min="10804" max="10804" width="0.7109375" style="1353" customWidth="1"/>
    <col min="10805" max="10805" width="7.140625" style="1353" customWidth="1"/>
    <col min="10806" max="10806" width="6.5703125" style="1353" customWidth="1"/>
    <col min="10807" max="10807" width="0.7109375" style="1353" customWidth="1"/>
    <col min="10808" max="10808" width="7.85546875" style="1353" customWidth="1"/>
    <col min="10809" max="10809" width="10.5703125" style="1353" customWidth="1"/>
    <col min="10810" max="10810" width="0.7109375" style="1353" customWidth="1"/>
    <col min="10811" max="11052" width="11.42578125" style="1353"/>
    <col min="11053" max="11053" width="0.7109375" style="1353" customWidth="1"/>
    <col min="11054" max="11054" width="15.140625" style="1353" customWidth="1"/>
    <col min="11055" max="11055" width="0.7109375" style="1353" customWidth="1"/>
    <col min="11056" max="11056" width="56.140625" style="1353" customWidth="1"/>
    <col min="11057" max="11057" width="0.7109375" style="1353" customWidth="1"/>
    <col min="11058" max="11058" width="9.140625" style="1353" customWidth="1"/>
    <col min="11059" max="11059" width="6" style="1353" customWidth="1"/>
    <col min="11060" max="11060" width="0.7109375" style="1353" customWidth="1"/>
    <col min="11061" max="11061" width="7.140625" style="1353" customWidth="1"/>
    <col min="11062" max="11062" width="6.5703125" style="1353" customWidth="1"/>
    <col min="11063" max="11063" width="0.7109375" style="1353" customWidth="1"/>
    <col min="11064" max="11064" width="7.85546875" style="1353" customWidth="1"/>
    <col min="11065" max="11065" width="10.5703125" style="1353" customWidth="1"/>
    <col min="11066" max="11066" width="0.7109375" style="1353" customWidth="1"/>
    <col min="11067" max="11308" width="11.42578125" style="1353"/>
    <col min="11309" max="11309" width="0.7109375" style="1353" customWidth="1"/>
    <col min="11310" max="11310" width="15.140625" style="1353" customWidth="1"/>
    <col min="11311" max="11311" width="0.7109375" style="1353" customWidth="1"/>
    <col min="11312" max="11312" width="56.140625" style="1353" customWidth="1"/>
    <col min="11313" max="11313" width="0.7109375" style="1353" customWidth="1"/>
    <col min="11314" max="11314" width="9.140625" style="1353" customWidth="1"/>
    <col min="11315" max="11315" width="6" style="1353" customWidth="1"/>
    <col min="11316" max="11316" width="0.7109375" style="1353" customWidth="1"/>
    <col min="11317" max="11317" width="7.140625" style="1353" customWidth="1"/>
    <col min="11318" max="11318" width="6.5703125" style="1353" customWidth="1"/>
    <col min="11319" max="11319" width="0.7109375" style="1353" customWidth="1"/>
    <col min="11320" max="11320" width="7.85546875" style="1353" customWidth="1"/>
    <col min="11321" max="11321" width="10.5703125" style="1353" customWidth="1"/>
    <col min="11322" max="11322" width="0.7109375" style="1353" customWidth="1"/>
    <col min="11323" max="11564" width="11.42578125" style="1353"/>
    <col min="11565" max="11565" width="0.7109375" style="1353" customWidth="1"/>
    <col min="11566" max="11566" width="15.140625" style="1353" customWidth="1"/>
    <col min="11567" max="11567" width="0.7109375" style="1353" customWidth="1"/>
    <col min="11568" max="11568" width="56.140625" style="1353" customWidth="1"/>
    <col min="11569" max="11569" width="0.7109375" style="1353" customWidth="1"/>
    <col min="11570" max="11570" width="9.140625" style="1353" customWidth="1"/>
    <col min="11571" max="11571" width="6" style="1353" customWidth="1"/>
    <col min="11572" max="11572" width="0.7109375" style="1353" customWidth="1"/>
    <col min="11573" max="11573" width="7.140625" style="1353" customWidth="1"/>
    <col min="11574" max="11574" width="6.5703125" style="1353" customWidth="1"/>
    <col min="11575" max="11575" width="0.7109375" style="1353" customWidth="1"/>
    <col min="11576" max="11576" width="7.85546875" style="1353" customWidth="1"/>
    <col min="11577" max="11577" width="10.5703125" style="1353" customWidth="1"/>
    <col min="11578" max="11578" width="0.7109375" style="1353" customWidth="1"/>
    <col min="11579" max="11820" width="11.42578125" style="1353"/>
    <col min="11821" max="11821" width="0.7109375" style="1353" customWidth="1"/>
    <col min="11822" max="11822" width="15.140625" style="1353" customWidth="1"/>
    <col min="11823" max="11823" width="0.7109375" style="1353" customWidth="1"/>
    <col min="11824" max="11824" width="56.140625" style="1353" customWidth="1"/>
    <col min="11825" max="11825" width="0.7109375" style="1353" customWidth="1"/>
    <col min="11826" max="11826" width="9.140625" style="1353" customWidth="1"/>
    <col min="11827" max="11827" width="6" style="1353" customWidth="1"/>
    <col min="11828" max="11828" width="0.7109375" style="1353" customWidth="1"/>
    <col min="11829" max="11829" width="7.140625" style="1353" customWidth="1"/>
    <col min="11830" max="11830" width="6.5703125" style="1353" customWidth="1"/>
    <col min="11831" max="11831" width="0.7109375" style="1353" customWidth="1"/>
    <col min="11832" max="11832" width="7.85546875" style="1353" customWidth="1"/>
    <col min="11833" max="11833" width="10.5703125" style="1353" customWidth="1"/>
    <col min="11834" max="11834" width="0.7109375" style="1353" customWidth="1"/>
    <col min="11835" max="12076" width="11.42578125" style="1353"/>
    <col min="12077" max="12077" width="0.7109375" style="1353" customWidth="1"/>
    <col min="12078" max="12078" width="15.140625" style="1353" customWidth="1"/>
    <col min="12079" max="12079" width="0.7109375" style="1353" customWidth="1"/>
    <col min="12080" max="12080" width="56.140625" style="1353" customWidth="1"/>
    <col min="12081" max="12081" width="0.7109375" style="1353" customWidth="1"/>
    <col min="12082" max="12082" width="9.140625" style="1353" customWidth="1"/>
    <col min="12083" max="12083" width="6" style="1353" customWidth="1"/>
    <col min="12084" max="12084" width="0.7109375" style="1353" customWidth="1"/>
    <col min="12085" max="12085" width="7.140625" style="1353" customWidth="1"/>
    <col min="12086" max="12086" width="6.5703125" style="1353" customWidth="1"/>
    <col min="12087" max="12087" width="0.7109375" style="1353" customWidth="1"/>
    <col min="12088" max="12088" width="7.85546875" style="1353" customWidth="1"/>
    <col min="12089" max="12089" width="10.5703125" style="1353" customWidth="1"/>
    <col min="12090" max="12090" width="0.7109375" style="1353" customWidth="1"/>
    <col min="12091" max="12332" width="11.42578125" style="1353"/>
    <col min="12333" max="12333" width="0.7109375" style="1353" customWidth="1"/>
    <col min="12334" max="12334" width="15.140625" style="1353" customWidth="1"/>
    <col min="12335" max="12335" width="0.7109375" style="1353" customWidth="1"/>
    <col min="12336" max="12336" width="56.140625" style="1353" customWidth="1"/>
    <col min="12337" max="12337" width="0.7109375" style="1353" customWidth="1"/>
    <col min="12338" max="12338" width="9.140625" style="1353" customWidth="1"/>
    <col min="12339" max="12339" width="6" style="1353" customWidth="1"/>
    <col min="12340" max="12340" width="0.7109375" style="1353" customWidth="1"/>
    <col min="12341" max="12341" width="7.140625" style="1353" customWidth="1"/>
    <col min="12342" max="12342" width="6.5703125" style="1353" customWidth="1"/>
    <col min="12343" max="12343" width="0.7109375" style="1353" customWidth="1"/>
    <col min="12344" max="12344" width="7.85546875" style="1353" customWidth="1"/>
    <col min="12345" max="12345" width="10.5703125" style="1353" customWidth="1"/>
    <col min="12346" max="12346" width="0.7109375" style="1353" customWidth="1"/>
    <col min="12347" max="12588" width="11.42578125" style="1353"/>
    <col min="12589" max="12589" width="0.7109375" style="1353" customWidth="1"/>
    <col min="12590" max="12590" width="15.140625" style="1353" customWidth="1"/>
    <col min="12591" max="12591" width="0.7109375" style="1353" customWidth="1"/>
    <col min="12592" max="12592" width="56.140625" style="1353" customWidth="1"/>
    <col min="12593" max="12593" width="0.7109375" style="1353" customWidth="1"/>
    <col min="12594" max="12594" width="9.140625" style="1353" customWidth="1"/>
    <col min="12595" max="12595" width="6" style="1353" customWidth="1"/>
    <col min="12596" max="12596" width="0.7109375" style="1353" customWidth="1"/>
    <col min="12597" max="12597" width="7.140625" style="1353" customWidth="1"/>
    <col min="12598" max="12598" width="6.5703125" style="1353" customWidth="1"/>
    <col min="12599" max="12599" width="0.7109375" style="1353" customWidth="1"/>
    <col min="12600" max="12600" width="7.85546875" style="1353" customWidth="1"/>
    <col min="12601" max="12601" width="10.5703125" style="1353" customWidth="1"/>
    <col min="12602" max="12602" width="0.7109375" style="1353" customWidth="1"/>
    <col min="12603" max="12844" width="11.42578125" style="1353"/>
    <col min="12845" max="12845" width="0.7109375" style="1353" customWidth="1"/>
    <col min="12846" max="12846" width="15.140625" style="1353" customWidth="1"/>
    <col min="12847" max="12847" width="0.7109375" style="1353" customWidth="1"/>
    <col min="12848" max="12848" width="56.140625" style="1353" customWidth="1"/>
    <col min="12849" max="12849" width="0.7109375" style="1353" customWidth="1"/>
    <col min="12850" max="12850" width="9.140625" style="1353" customWidth="1"/>
    <col min="12851" max="12851" width="6" style="1353" customWidth="1"/>
    <col min="12852" max="12852" width="0.7109375" style="1353" customWidth="1"/>
    <col min="12853" max="12853" width="7.140625" style="1353" customWidth="1"/>
    <col min="12854" max="12854" width="6.5703125" style="1353" customWidth="1"/>
    <col min="12855" max="12855" width="0.7109375" style="1353" customWidth="1"/>
    <col min="12856" max="12856" width="7.85546875" style="1353" customWidth="1"/>
    <col min="12857" max="12857" width="10.5703125" style="1353" customWidth="1"/>
    <col min="12858" max="12858" width="0.7109375" style="1353" customWidth="1"/>
    <col min="12859" max="13100" width="11.42578125" style="1353"/>
    <col min="13101" max="13101" width="0.7109375" style="1353" customWidth="1"/>
    <col min="13102" max="13102" width="15.140625" style="1353" customWidth="1"/>
    <col min="13103" max="13103" width="0.7109375" style="1353" customWidth="1"/>
    <col min="13104" max="13104" width="56.140625" style="1353" customWidth="1"/>
    <col min="13105" max="13105" width="0.7109375" style="1353" customWidth="1"/>
    <col min="13106" max="13106" width="9.140625" style="1353" customWidth="1"/>
    <col min="13107" max="13107" width="6" style="1353" customWidth="1"/>
    <col min="13108" max="13108" width="0.7109375" style="1353" customWidth="1"/>
    <col min="13109" max="13109" width="7.140625" style="1353" customWidth="1"/>
    <col min="13110" max="13110" width="6.5703125" style="1353" customWidth="1"/>
    <col min="13111" max="13111" width="0.7109375" style="1353" customWidth="1"/>
    <col min="13112" max="13112" width="7.85546875" style="1353" customWidth="1"/>
    <col min="13113" max="13113" width="10.5703125" style="1353" customWidth="1"/>
    <col min="13114" max="13114" width="0.7109375" style="1353" customWidth="1"/>
    <col min="13115" max="13356" width="11.42578125" style="1353"/>
    <col min="13357" max="13357" width="0.7109375" style="1353" customWidth="1"/>
    <col min="13358" max="13358" width="15.140625" style="1353" customWidth="1"/>
    <col min="13359" max="13359" width="0.7109375" style="1353" customWidth="1"/>
    <col min="13360" max="13360" width="56.140625" style="1353" customWidth="1"/>
    <col min="13361" max="13361" width="0.7109375" style="1353" customWidth="1"/>
    <col min="13362" max="13362" width="9.140625" style="1353" customWidth="1"/>
    <col min="13363" max="13363" width="6" style="1353" customWidth="1"/>
    <col min="13364" max="13364" width="0.7109375" style="1353" customWidth="1"/>
    <col min="13365" max="13365" width="7.140625" style="1353" customWidth="1"/>
    <col min="13366" max="13366" width="6.5703125" style="1353" customWidth="1"/>
    <col min="13367" max="13367" width="0.7109375" style="1353" customWidth="1"/>
    <col min="13368" max="13368" width="7.85546875" style="1353" customWidth="1"/>
    <col min="13369" max="13369" width="10.5703125" style="1353" customWidth="1"/>
    <col min="13370" max="13370" width="0.7109375" style="1353" customWidth="1"/>
    <col min="13371" max="13612" width="11.42578125" style="1353"/>
    <col min="13613" max="13613" width="0.7109375" style="1353" customWidth="1"/>
    <col min="13614" max="13614" width="15.140625" style="1353" customWidth="1"/>
    <col min="13615" max="13615" width="0.7109375" style="1353" customWidth="1"/>
    <col min="13616" max="13616" width="56.140625" style="1353" customWidth="1"/>
    <col min="13617" max="13617" width="0.7109375" style="1353" customWidth="1"/>
    <col min="13618" max="13618" width="9.140625" style="1353" customWidth="1"/>
    <col min="13619" max="13619" width="6" style="1353" customWidth="1"/>
    <col min="13620" max="13620" width="0.7109375" style="1353" customWidth="1"/>
    <col min="13621" max="13621" width="7.140625" style="1353" customWidth="1"/>
    <col min="13622" max="13622" width="6.5703125" style="1353" customWidth="1"/>
    <col min="13623" max="13623" width="0.7109375" style="1353" customWidth="1"/>
    <col min="13624" max="13624" width="7.85546875" style="1353" customWidth="1"/>
    <col min="13625" max="13625" width="10.5703125" style="1353" customWidth="1"/>
    <col min="13626" max="13626" width="0.7109375" style="1353" customWidth="1"/>
    <col min="13627" max="16384" width="11.42578125" style="1353"/>
  </cols>
  <sheetData>
    <row r="1" spans="1:16" s="1304" customFormat="1" ht="15" customHeight="1">
      <c r="A1" s="1302"/>
      <c r="B1" s="2014" t="s">
        <v>2996</v>
      </c>
      <c r="C1" s="2014"/>
      <c r="D1" s="2014"/>
      <c r="E1" s="2014"/>
      <c r="F1" s="2014"/>
      <c r="G1" s="2014"/>
      <c r="H1" s="2014"/>
      <c r="I1" s="2014"/>
      <c r="J1" s="2014"/>
      <c r="K1" s="2014"/>
      <c r="L1" s="2014"/>
      <c r="M1" s="2014"/>
      <c r="N1" s="1303"/>
      <c r="P1" s="1304" t="s">
        <v>451</v>
      </c>
    </row>
    <row r="2" spans="1:16" s="1304" customFormat="1" ht="15" customHeight="1">
      <c r="A2" s="1305"/>
      <c r="B2" s="2015" t="s">
        <v>2997</v>
      </c>
      <c r="C2" s="2015"/>
      <c r="D2" s="2015"/>
      <c r="E2" s="2015"/>
      <c r="F2" s="2015"/>
      <c r="G2" s="2015"/>
      <c r="H2" s="2015"/>
      <c r="I2" s="2015"/>
      <c r="J2" s="2015"/>
      <c r="K2" s="2015"/>
      <c r="L2" s="2015"/>
      <c r="M2" s="2015"/>
      <c r="N2" s="1306"/>
      <c r="P2" s="1304" t="s">
        <v>452</v>
      </c>
    </row>
    <row r="3" spans="1:16" s="1304" customFormat="1" ht="15" customHeight="1">
      <c r="A3" s="1305"/>
      <c r="B3" s="2016" t="s">
        <v>2998</v>
      </c>
      <c r="C3" s="2016"/>
      <c r="D3" s="2016"/>
      <c r="E3" s="2016"/>
      <c r="F3" s="2016"/>
      <c r="G3" s="2016"/>
      <c r="H3" s="2016"/>
      <c r="I3" s="2016"/>
      <c r="J3" s="2016"/>
      <c r="K3" s="2016"/>
      <c r="L3" s="2016"/>
      <c r="M3" s="2016"/>
      <c r="N3" s="1306"/>
      <c r="P3" s="1304" t="s">
        <v>14082</v>
      </c>
    </row>
    <row r="4" spans="1:16" s="1304" customFormat="1" ht="15" customHeight="1">
      <c r="A4" s="1305"/>
      <c r="B4" s="2016" t="s">
        <v>3063</v>
      </c>
      <c r="C4" s="2016"/>
      <c r="D4" s="2016"/>
      <c r="E4" s="2016"/>
      <c r="F4" s="2016"/>
      <c r="G4" s="2016"/>
      <c r="H4" s="2016"/>
      <c r="I4" s="2016"/>
      <c r="J4" s="2016"/>
      <c r="K4" s="2016"/>
      <c r="L4" s="2016"/>
      <c r="M4" s="2016"/>
      <c r="N4" s="1306"/>
      <c r="P4" s="1304" t="s">
        <v>202</v>
      </c>
    </row>
    <row r="5" spans="1:16" s="1304" customFormat="1" ht="15" customHeight="1">
      <c r="A5" s="1305"/>
      <c r="B5" s="2016" t="s">
        <v>2999</v>
      </c>
      <c r="C5" s="2016"/>
      <c r="D5" s="2016"/>
      <c r="E5" s="2016"/>
      <c r="F5" s="2016"/>
      <c r="G5" s="2016"/>
      <c r="H5" s="2016"/>
      <c r="I5" s="2016"/>
      <c r="J5" s="2016"/>
      <c r="K5" s="2016"/>
      <c r="L5" s="2016"/>
      <c r="M5" s="2016"/>
      <c r="N5" s="1306"/>
    </row>
    <row r="6" spans="1:16" s="1312" customFormat="1">
      <c r="A6" s="1307"/>
      <c r="B6" s="1308" t="s">
        <v>14083</v>
      </c>
      <c r="C6" s="1308"/>
      <c r="D6" s="1309" t="str">
        <f>'REMOÇÃO DE PAV. ADUTORA'!B6</f>
        <v xml:space="preserve">SISTEMA DE ABASTECIMENTO DE ÁGUA </v>
      </c>
      <c r="E6" s="1308"/>
      <c r="F6" s="1310"/>
      <c r="G6" s="1310"/>
      <c r="H6" s="1310"/>
      <c r="I6" s="1310"/>
      <c r="J6" s="1310"/>
      <c r="K6" s="1310"/>
      <c r="L6" s="1310"/>
      <c r="M6" s="1310"/>
      <c r="N6" s="1311"/>
    </row>
    <row r="7" spans="1:16" s="1312" customFormat="1">
      <c r="A7" s="1313"/>
      <c r="B7" s="1312" t="s">
        <v>8</v>
      </c>
      <c r="D7" s="1422" t="str">
        <f>'REMOÇÃO DE PAV. ADUTORA'!B7</f>
        <v>SETOR PIONEIRO - MUNICÍPIO DE APIACÁS</v>
      </c>
      <c r="F7" s="1315"/>
      <c r="G7" s="1315"/>
      <c r="H7" s="1315"/>
      <c r="I7" s="1315"/>
      <c r="J7" s="1315"/>
      <c r="K7" s="1315"/>
      <c r="L7" s="1315"/>
      <c r="M7" s="1315"/>
      <c r="N7" s="1316"/>
    </row>
    <row r="8" spans="1:16" s="1312" customFormat="1">
      <c r="A8" s="1313"/>
      <c r="B8" s="1312" t="s">
        <v>14084</v>
      </c>
      <c r="D8" s="1314" t="str">
        <f>'REMOÇÃO DE PAV. ADUTORA'!B8</f>
        <v>PREFEITURA MUNICIPAL DE APIACÁS</v>
      </c>
      <c r="F8" s="1315"/>
      <c r="G8" s="1315"/>
      <c r="H8" s="1315"/>
      <c r="I8" s="1315"/>
      <c r="J8" s="1315"/>
      <c r="K8" s="1315"/>
      <c r="L8" s="1315"/>
      <c r="M8" s="1315"/>
      <c r="N8" s="1316"/>
    </row>
    <row r="9" spans="1:16" s="1312" customFormat="1">
      <c r="A9" s="1317"/>
      <c r="B9" s="1318" t="s">
        <v>7</v>
      </c>
      <c r="C9" s="1318"/>
      <c r="D9" s="1423">
        <f ca="1">'REMOÇÃO DE PAV. ADUTORA'!B9</f>
        <v>45167</v>
      </c>
      <c r="E9" s="1318"/>
      <c r="F9" s="1319"/>
      <c r="G9" s="1319"/>
      <c r="H9" s="1319"/>
      <c r="I9" s="1319"/>
      <c r="J9" s="1319"/>
      <c r="K9" s="1319"/>
      <c r="L9" s="1319"/>
      <c r="M9" s="1319"/>
      <c r="N9" s="1320"/>
    </row>
    <row r="10" spans="1:16" s="1312" customFormat="1" ht="18">
      <c r="A10" s="2011" t="s">
        <v>14085</v>
      </c>
      <c r="B10" s="2012"/>
      <c r="C10" s="2012"/>
      <c r="D10" s="2012"/>
      <c r="E10" s="2012"/>
      <c r="F10" s="2012"/>
      <c r="G10" s="2012"/>
      <c r="H10" s="2012"/>
      <c r="I10" s="2012"/>
      <c r="J10" s="2012"/>
      <c r="K10" s="2012"/>
      <c r="L10" s="2012"/>
      <c r="M10" s="2012"/>
      <c r="N10" s="2013"/>
    </row>
    <row r="11" spans="1:16" s="1312" customFormat="1" ht="3.95" customHeight="1" thickBot="1">
      <c r="A11" s="1321"/>
      <c r="B11" s="1322"/>
      <c r="C11" s="1322"/>
      <c r="D11" s="1322"/>
      <c r="E11" s="1322"/>
      <c r="F11" s="1322"/>
      <c r="G11" s="1322"/>
      <c r="H11" s="1322"/>
      <c r="I11" s="1322"/>
      <c r="J11" s="1322"/>
      <c r="K11" s="1322"/>
      <c r="L11" s="1322"/>
      <c r="M11" s="1323"/>
      <c r="N11" s="1316"/>
    </row>
    <row r="12" spans="1:16" s="1312" customFormat="1" ht="12" customHeight="1">
      <c r="A12" s="1313"/>
      <c r="B12" s="1324" t="s">
        <v>14086</v>
      </c>
      <c r="D12" s="1989" t="s">
        <v>14087</v>
      </c>
      <c r="E12" s="1990"/>
      <c r="F12" s="1990"/>
      <c r="G12" s="1990"/>
      <c r="H12" s="1990"/>
      <c r="I12" s="1990"/>
      <c r="J12" s="1991"/>
      <c r="K12" s="1315"/>
      <c r="L12" s="1989" t="s">
        <v>14088</v>
      </c>
      <c r="M12" s="1991"/>
      <c r="N12" s="1316"/>
    </row>
    <row r="13" spans="1:16" s="1312" customFormat="1" ht="10.5" customHeight="1">
      <c r="A13" s="1313"/>
      <c r="B13" s="1325"/>
      <c r="D13" s="1992"/>
      <c r="E13" s="1993"/>
      <c r="F13" s="1993"/>
      <c r="G13" s="1993"/>
      <c r="H13" s="1993"/>
      <c r="I13" s="1993"/>
      <c r="J13" s="1994"/>
      <c r="L13" s="1995" t="s">
        <v>0</v>
      </c>
      <c r="M13" s="1996"/>
      <c r="N13" s="1316"/>
    </row>
    <row r="14" spans="1:16" s="1312" customFormat="1" ht="3.95" customHeight="1" thickBot="1">
      <c r="A14" s="1313"/>
      <c r="F14" s="1315"/>
      <c r="G14" s="1315"/>
      <c r="H14" s="1315"/>
      <c r="I14" s="1315"/>
      <c r="J14" s="1315"/>
      <c r="L14" s="1315"/>
      <c r="M14" s="1315"/>
      <c r="N14" s="1316"/>
    </row>
    <row r="15" spans="1:16" s="1312" customFormat="1" ht="26.25" customHeight="1">
      <c r="A15" s="1313"/>
      <c r="B15" s="1326" t="s">
        <v>14089</v>
      </c>
      <c r="C15" s="1314"/>
      <c r="D15" s="1327" t="s">
        <v>14090</v>
      </c>
      <c r="E15" s="1328"/>
      <c r="F15" s="1328"/>
      <c r="G15" s="1329"/>
      <c r="H15" s="1330"/>
      <c r="I15" s="1997" t="s">
        <v>14091</v>
      </c>
      <c r="J15" s="1998"/>
      <c r="K15" s="1998"/>
      <c r="L15" s="1998"/>
      <c r="M15" s="1331">
        <v>102470</v>
      </c>
      <c r="N15" s="1316"/>
    </row>
    <row r="16" spans="1:16" s="1312" customFormat="1" ht="3.75" customHeight="1">
      <c r="A16" s="1313"/>
      <c r="B16" s="1332"/>
      <c r="N16" s="1316"/>
    </row>
    <row r="17" spans="1:16" s="1312" customFormat="1" ht="12.75" customHeight="1">
      <c r="A17" s="1313"/>
      <c r="B17" s="1999" t="s">
        <v>12</v>
      </c>
      <c r="C17" s="2000"/>
      <c r="D17" s="1999" t="s">
        <v>3996</v>
      </c>
      <c r="E17" s="2003" t="s">
        <v>184</v>
      </c>
      <c r="F17" s="2003" t="s">
        <v>3377</v>
      </c>
      <c r="G17" s="2005" t="s">
        <v>14092</v>
      </c>
      <c r="H17" s="2006"/>
      <c r="I17" s="2007"/>
      <c r="J17" s="1334" t="s">
        <v>14093</v>
      </c>
      <c r="K17" s="1334"/>
      <c r="L17" s="1335"/>
      <c r="M17" s="1333" t="s">
        <v>14093</v>
      </c>
      <c r="N17" s="1316"/>
    </row>
    <row r="18" spans="1:16" s="1312" customFormat="1">
      <c r="A18" s="1313"/>
      <c r="B18" s="2001"/>
      <c r="C18" s="2002"/>
      <c r="D18" s="2001"/>
      <c r="E18" s="2004"/>
      <c r="F18" s="2004"/>
      <c r="G18" s="2008"/>
      <c r="H18" s="2009"/>
      <c r="I18" s="2010"/>
      <c r="J18" s="1336" t="s">
        <v>14094</v>
      </c>
      <c r="K18" s="1336"/>
      <c r="L18" s="1337"/>
      <c r="M18" s="1338" t="s">
        <v>14095</v>
      </c>
      <c r="N18" s="1316"/>
    </row>
    <row r="19" spans="1:16" s="1312" customFormat="1" ht="36">
      <c r="A19" s="1313"/>
      <c r="B19" s="1339">
        <v>5839</v>
      </c>
      <c r="C19" s="1340"/>
      <c r="D19" s="1341" t="s">
        <v>452</v>
      </c>
      <c r="E19" s="1342" t="s">
        <v>730</v>
      </c>
      <c r="F19" s="1343" t="s">
        <v>33</v>
      </c>
      <c r="G19" s="1981">
        <v>2E-3</v>
      </c>
      <c r="H19" s="1982"/>
      <c r="I19" s="1983"/>
      <c r="J19" s="1984">
        <v>11.31</v>
      </c>
      <c r="K19" s="1984" t="b">
        <v>0</v>
      </c>
      <c r="L19" s="1984" t="b">
        <v>0</v>
      </c>
      <c r="M19" s="1344">
        <f>TRUNC(G19*J19,4)</f>
        <v>2.2599999999999999E-2</v>
      </c>
      <c r="N19" s="1316"/>
      <c r="P19" s="1345"/>
    </row>
    <row r="20" spans="1:16" s="1312" customFormat="1" ht="36">
      <c r="A20" s="1313"/>
      <c r="B20" s="1339">
        <v>5841</v>
      </c>
      <c r="C20" s="1340"/>
      <c r="D20" s="1341" t="s">
        <v>452</v>
      </c>
      <c r="E20" s="1342" t="s">
        <v>824</v>
      </c>
      <c r="F20" s="1343" t="s">
        <v>40</v>
      </c>
      <c r="G20" s="1981">
        <v>4.0000000000000001E-3</v>
      </c>
      <c r="H20" s="1982"/>
      <c r="I20" s="1983"/>
      <c r="J20" s="1984">
        <v>5.38</v>
      </c>
      <c r="K20" s="1984" t="b">
        <v>0</v>
      </c>
      <c r="L20" s="1984" t="b">
        <v>0</v>
      </c>
      <c r="M20" s="1344">
        <f>TRUNC(G20*J20,4)</f>
        <v>2.1499999999999998E-2</v>
      </c>
      <c r="N20" s="1316"/>
      <c r="P20" s="1345"/>
    </row>
    <row r="21" spans="1:16" s="1312" customFormat="1">
      <c r="A21" s="1313"/>
      <c r="B21" s="1346"/>
      <c r="C21" s="1340"/>
      <c r="D21" s="1341" t="s">
        <v>202</v>
      </c>
      <c r="E21" s="1347" t="s">
        <v>14096</v>
      </c>
      <c r="F21" s="1348" t="s">
        <v>21</v>
      </c>
      <c r="G21" s="1981">
        <v>1.2</v>
      </c>
      <c r="H21" s="1982"/>
      <c r="I21" s="1983"/>
      <c r="J21" s="1988">
        <f>'CM30'!D27</f>
        <v>5.3973081896850124</v>
      </c>
      <c r="K21" s="1988"/>
      <c r="L21" s="1988"/>
      <c r="M21" s="1349">
        <f t="shared" ref="M21:M26" si="0">TRUNC(G21*J21,2)</f>
        <v>6.47</v>
      </c>
      <c r="N21" s="1316"/>
      <c r="P21" s="1345"/>
    </row>
    <row r="22" spans="1:16" s="1312" customFormat="1" ht="48">
      <c r="A22" s="1313"/>
      <c r="B22" s="1339">
        <v>83362</v>
      </c>
      <c r="C22" s="1340"/>
      <c r="D22" s="1341" t="s">
        <v>452</v>
      </c>
      <c r="E22" s="1342" t="s">
        <v>753</v>
      </c>
      <c r="F22" s="1343" t="s">
        <v>33</v>
      </c>
      <c r="G22" s="1981">
        <v>1E-3</v>
      </c>
      <c r="H22" s="1982"/>
      <c r="I22" s="1983"/>
      <c r="J22" s="1984">
        <v>258.42</v>
      </c>
      <c r="K22" s="1984" t="b">
        <v>0</v>
      </c>
      <c r="L22" s="1984" t="b">
        <v>0</v>
      </c>
      <c r="M22" s="1344">
        <f t="shared" si="0"/>
        <v>0.25</v>
      </c>
      <c r="N22" s="1316"/>
      <c r="P22" s="1345"/>
    </row>
    <row r="23" spans="1:16" s="1312" customFormat="1">
      <c r="A23" s="1313"/>
      <c r="B23" s="1339">
        <v>88316</v>
      </c>
      <c r="C23" s="1340"/>
      <c r="D23" s="1341" t="s">
        <v>452</v>
      </c>
      <c r="E23" s="1342" t="s">
        <v>150</v>
      </c>
      <c r="F23" s="1343" t="s">
        <v>36</v>
      </c>
      <c r="G23" s="1981">
        <v>6.0000000000000001E-3</v>
      </c>
      <c r="H23" s="1982"/>
      <c r="I23" s="1983"/>
      <c r="J23" s="1984">
        <v>19.29</v>
      </c>
      <c r="K23" s="1984" t="b">
        <v>0</v>
      </c>
      <c r="L23" s="1984" t="b">
        <v>0</v>
      </c>
      <c r="M23" s="1344">
        <f t="shared" si="0"/>
        <v>0.11</v>
      </c>
      <c r="N23" s="1316"/>
      <c r="P23" s="1345"/>
    </row>
    <row r="24" spans="1:16" s="1312" customFormat="1" ht="24">
      <c r="A24" s="1313"/>
      <c r="B24" s="1339">
        <v>89035</v>
      </c>
      <c r="C24" s="1340"/>
      <c r="D24" s="1341" t="s">
        <v>452</v>
      </c>
      <c r="E24" s="1342" t="s">
        <v>221</v>
      </c>
      <c r="F24" s="1343" t="s">
        <v>33</v>
      </c>
      <c r="G24" s="1981">
        <v>2E-3</v>
      </c>
      <c r="H24" s="1982"/>
      <c r="I24" s="1983"/>
      <c r="J24" s="1984">
        <v>122.84</v>
      </c>
      <c r="K24" s="1984" t="b">
        <v>0</v>
      </c>
      <c r="L24" s="1984" t="b">
        <v>0</v>
      </c>
      <c r="M24" s="1344">
        <f t="shared" si="0"/>
        <v>0.24</v>
      </c>
      <c r="N24" s="1316"/>
      <c r="P24" s="1345"/>
    </row>
    <row r="25" spans="1:16" s="1312" customFormat="1" ht="24">
      <c r="A25" s="1313"/>
      <c r="B25" s="1339">
        <v>89036</v>
      </c>
      <c r="C25" s="1340"/>
      <c r="D25" s="1341" t="s">
        <v>452</v>
      </c>
      <c r="E25" s="1342" t="s">
        <v>242</v>
      </c>
      <c r="F25" s="1343" t="s">
        <v>40</v>
      </c>
      <c r="G25" s="1981">
        <v>4.0000000000000001E-3</v>
      </c>
      <c r="H25" s="1982"/>
      <c r="I25" s="1983"/>
      <c r="J25" s="1984">
        <v>34.93</v>
      </c>
      <c r="K25" s="1984" t="b">
        <v>0</v>
      </c>
      <c r="L25" s="1984" t="b">
        <v>0</v>
      </c>
      <c r="M25" s="1344">
        <f t="shared" si="0"/>
        <v>0.13</v>
      </c>
      <c r="N25" s="1316"/>
      <c r="P25" s="1345"/>
    </row>
    <row r="26" spans="1:16" s="1312" customFormat="1" ht="48">
      <c r="A26" s="1313"/>
      <c r="B26" s="1339">
        <v>91486</v>
      </c>
      <c r="C26" s="1340"/>
      <c r="D26" s="1341" t="s">
        <v>452</v>
      </c>
      <c r="E26" s="1342" t="s">
        <v>876</v>
      </c>
      <c r="F26" s="1343" t="s">
        <v>40</v>
      </c>
      <c r="G26" s="1981">
        <v>5.0000000000000001E-3</v>
      </c>
      <c r="H26" s="1982"/>
      <c r="I26" s="1983"/>
      <c r="J26" s="1984">
        <v>52.07</v>
      </c>
      <c r="K26" s="1984" t="b">
        <v>0</v>
      </c>
      <c r="L26" s="1984" t="b">
        <v>0</v>
      </c>
      <c r="M26" s="1344">
        <f t="shared" si="0"/>
        <v>0.26</v>
      </c>
      <c r="N26" s="1316"/>
      <c r="P26" s="1345"/>
    </row>
    <row r="27" spans="1:16" s="1312" customFormat="1" ht="15.75" customHeight="1" thickBot="1">
      <c r="A27" s="1350"/>
      <c r="B27" s="1985" t="s">
        <v>14097</v>
      </c>
      <c r="C27" s="1986"/>
      <c r="D27" s="1986"/>
      <c r="E27" s="1986"/>
      <c r="F27" s="1986"/>
      <c r="G27" s="1986"/>
      <c r="H27" s="1986"/>
      <c r="I27" s="1986"/>
      <c r="J27" s="1986"/>
      <c r="K27" s="1986"/>
      <c r="L27" s="1987"/>
      <c r="M27" s="1351">
        <f>SUM(M19:M26)</f>
        <v>7.5041000000000002</v>
      </c>
      <c r="N27" s="1352"/>
    </row>
    <row r="28" spans="1:16" ht="33" customHeight="1">
      <c r="B28" s="1980" t="s">
        <v>14098</v>
      </c>
      <c r="C28" s="1980"/>
      <c r="D28" s="1980"/>
      <c r="E28" s="1354">
        <f>'CM30'!D14</f>
        <v>44927</v>
      </c>
      <c r="F28" s="1355"/>
      <c r="G28" s="1355"/>
      <c r="H28" s="1355"/>
      <c r="I28" s="1355"/>
      <c r="J28" s="1355"/>
      <c r="K28" s="1355"/>
      <c r="L28" s="1355"/>
      <c r="M28" s="1355"/>
    </row>
    <row r="29" spans="1:16">
      <c r="F29" s="1353"/>
      <c r="G29" s="1353"/>
      <c r="H29" s="1353"/>
      <c r="I29" s="1353"/>
      <c r="J29" s="1353"/>
      <c r="K29" s="1353"/>
      <c r="L29" s="1353"/>
      <c r="M29" s="1353"/>
    </row>
  </sheetData>
  <mergeCells count="33">
    <mergeCell ref="A10:N10"/>
    <mergeCell ref="B1:M1"/>
    <mergeCell ref="B2:M2"/>
    <mergeCell ref="B3:M3"/>
    <mergeCell ref="B4:M4"/>
    <mergeCell ref="B5:M5"/>
    <mergeCell ref="D12:J13"/>
    <mergeCell ref="L12:M12"/>
    <mergeCell ref="L13:M13"/>
    <mergeCell ref="I15:L15"/>
    <mergeCell ref="B17:C18"/>
    <mergeCell ref="D17:D18"/>
    <mergeCell ref="E17:E18"/>
    <mergeCell ref="F17:F18"/>
    <mergeCell ref="G17:I18"/>
    <mergeCell ref="G19:I19"/>
    <mergeCell ref="J19:L19"/>
    <mergeCell ref="G20:I20"/>
    <mergeCell ref="J20:L20"/>
    <mergeCell ref="G21:I21"/>
    <mergeCell ref="J21:L21"/>
    <mergeCell ref="B28:D28"/>
    <mergeCell ref="G22:I22"/>
    <mergeCell ref="J22:L22"/>
    <mergeCell ref="G23:I23"/>
    <mergeCell ref="J23:L23"/>
    <mergeCell ref="G24:I24"/>
    <mergeCell ref="J24:L24"/>
    <mergeCell ref="G25:I25"/>
    <mergeCell ref="J25:L25"/>
    <mergeCell ref="G26:I26"/>
    <mergeCell ref="J26:L26"/>
    <mergeCell ref="B27:L27"/>
  </mergeCells>
  <dataValidations disablePrompts="1" count="2">
    <dataValidation type="list" allowBlank="1" showInputMessage="1" showErrorMessage="1" sqref="O19:O26">
      <formula1>$P$1:$P$2</formula1>
    </dataValidation>
    <dataValidation type="list" allowBlank="1" showInputMessage="1" showErrorMessage="1" sqref="D19:D26">
      <formula1>$P$1:$P$4</formula1>
    </dataValidation>
  </dataValidations>
  <printOptions horizontalCentered="1"/>
  <pageMargins left="0.70866141732283472" right="0.70866141732283472" top="0.74803149606299213" bottom="0.74803149606299213" header="0.31496062992125984" footer="0.31496062992125984"/>
  <pageSetup paperSize="9" scale="74" fitToHeight="0" orientation="landscape" blackAndWhite="1" r:id="rId1"/>
  <headerFooter alignWithMargins="0"/>
  <drawing r:id="rId2"/>
</worksheet>
</file>

<file path=xl/worksheets/sheet22.xml><?xml version="1.0" encoding="utf-8"?>
<worksheet xmlns="http://schemas.openxmlformats.org/spreadsheetml/2006/main" xmlns:r="http://schemas.openxmlformats.org/officeDocument/2006/relationships">
  <sheetPr codeName="Plan78">
    <tabColor theme="1" tint="0.34998626667073579"/>
  </sheetPr>
  <dimension ref="A1:P32"/>
  <sheetViews>
    <sheetView showGridLines="0" showZeros="0" view="pageBreakPreview" topLeftCell="C1" zoomScale="85" zoomScaleSheetLayoutView="85" workbookViewId="0">
      <selection activeCell="B9" sqref="B9:F9"/>
    </sheetView>
  </sheetViews>
  <sheetFormatPr defaultColWidth="11.42578125" defaultRowHeight="12.75"/>
  <cols>
    <col min="1" max="1" width="0.7109375" style="1353" customWidth="1"/>
    <col min="2" max="2" width="15.140625" style="1353" customWidth="1"/>
    <col min="3" max="3" width="0.7109375" style="1353" customWidth="1"/>
    <col min="4" max="4" width="15.7109375" style="1353" customWidth="1"/>
    <col min="5" max="5" width="53.7109375" style="1353" customWidth="1"/>
    <col min="6" max="6" width="10.7109375" style="1356" bestFit="1" customWidth="1"/>
    <col min="7" max="7" width="7.7109375" style="1356" customWidth="1"/>
    <col min="8" max="8" width="0.7109375" style="1356" customWidth="1"/>
    <col min="9" max="9" width="7.7109375" style="1356" customWidth="1"/>
    <col min="10" max="10" width="13.7109375" style="1356" customWidth="1"/>
    <col min="11" max="11" width="0.7109375" style="1356" customWidth="1"/>
    <col min="12" max="12" width="13.7109375" style="1356" customWidth="1"/>
    <col min="13" max="13" width="30.28515625" style="1356" customWidth="1"/>
    <col min="14" max="14" width="0.7109375" style="1353" customWidth="1"/>
    <col min="15" max="15" width="14.28515625" style="1353" hidden="1" customWidth="1"/>
    <col min="16" max="16" width="0" style="1353" hidden="1" customWidth="1"/>
    <col min="17" max="18" width="11.42578125" style="1353"/>
    <col min="19" max="19" width="25.85546875" style="1353" customWidth="1"/>
    <col min="20" max="41" width="11.42578125" style="1353"/>
    <col min="42" max="42" width="0.7109375" style="1353" customWidth="1"/>
    <col min="43" max="43" width="15.140625" style="1353" customWidth="1"/>
    <col min="44" max="44" width="0.7109375" style="1353" customWidth="1"/>
    <col min="45" max="45" width="56.140625" style="1353" customWidth="1"/>
    <col min="46" max="46" width="0.7109375" style="1353" customWidth="1"/>
    <col min="47" max="47" width="9.140625" style="1353" customWidth="1"/>
    <col min="48" max="48" width="6" style="1353" customWidth="1"/>
    <col min="49" max="49" width="0.7109375" style="1353" customWidth="1"/>
    <col min="50" max="50" width="7.140625" style="1353" customWidth="1"/>
    <col min="51" max="51" width="6.5703125" style="1353" customWidth="1"/>
    <col min="52" max="52" width="0.7109375" style="1353" customWidth="1"/>
    <col min="53" max="53" width="7.85546875" style="1353" customWidth="1"/>
    <col min="54" max="54" width="10.5703125" style="1353" customWidth="1"/>
    <col min="55" max="55" width="0.7109375" style="1353" customWidth="1"/>
    <col min="56" max="297" width="11.42578125" style="1353"/>
    <col min="298" max="298" width="0.7109375" style="1353" customWidth="1"/>
    <col min="299" max="299" width="15.140625" style="1353" customWidth="1"/>
    <col min="300" max="300" width="0.7109375" style="1353" customWidth="1"/>
    <col min="301" max="301" width="56.140625" style="1353" customWidth="1"/>
    <col min="302" max="302" width="0.7109375" style="1353" customWidth="1"/>
    <col min="303" max="303" width="9.140625" style="1353" customWidth="1"/>
    <col min="304" max="304" width="6" style="1353" customWidth="1"/>
    <col min="305" max="305" width="0.7109375" style="1353" customWidth="1"/>
    <col min="306" max="306" width="7.140625" style="1353" customWidth="1"/>
    <col min="307" max="307" width="6.5703125" style="1353" customWidth="1"/>
    <col min="308" max="308" width="0.7109375" style="1353" customWidth="1"/>
    <col min="309" max="309" width="7.85546875" style="1353" customWidth="1"/>
    <col min="310" max="310" width="10.5703125" style="1353" customWidth="1"/>
    <col min="311" max="311" width="0.7109375" style="1353" customWidth="1"/>
    <col min="312" max="553" width="11.42578125" style="1353"/>
    <col min="554" max="554" width="0.7109375" style="1353" customWidth="1"/>
    <col min="555" max="555" width="15.140625" style="1353" customWidth="1"/>
    <col min="556" max="556" width="0.7109375" style="1353" customWidth="1"/>
    <col min="557" max="557" width="56.140625" style="1353" customWidth="1"/>
    <col min="558" max="558" width="0.7109375" style="1353" customWidth="1"/>
    <col min="559" max="559" width="9.140625" style="1353" customWidth="1"/>
    <col min="560" max="560" width="6" style="1353" customWidth="1"/>
    <col min="561" max="561" width="0.7109375" style="1353" customWidth="1"/>
    <col min="562" max="562" width="7.140625" style="1353" customWidth="1"/>
    <col min="563" max="563" width="6.5703125" style="1353" customWidth="1"/>
    <col min="564" max="564" width="0.7109375" style="1353" customWidth="1"/>
    <col min="565" max="565" width="7.85546875" style="1353" customWidth="1"/>
    <col min="566" max="566" width="10.5703125" style="1353" customWidth="1"/>
    <col min="567" max="567" width="0.7109375" style="1353" customWidth="1"/>
    <col min="568" max="809" width="11.42578125" style="1353"/>
    <col min="810" max="810" width="0.7109375" style="1353" customWidth="1"/>
    <col min="811" max="811" width="15.140625" style="1353" customWidth="1"/>
    <col min="812" max="812" width="0.7109375" style="1353" customWidth="1"/>
    <col min="813" max="813" width="56.140625" style="1353" customWidth="1"/>
    <col min="814" max="814" width="0.7109375" style="1353" customWidth="1"/>
    <col min="815" max="815" width="9.140625" style="1353" customWidth="1"/>
    <col min="816" max="816" width="6" style="1353" customWidth="1"/>
    <col min="817" max="817" width="0.7109375" style="1353" customWidth="1"/>
    <col min="818" max="818" width="7.140625" style="1353" customWidth="1"/>
    <col min="819" max="819" width="6.5703125" style="1353" customWidth="1"/>
    <col min="820" max="820" width="0.7109375" style="1353" customWidth="1"/>
    <col min="821" max="821" width="7.85546875" style="1353" customWidth="1"/>
    <col min="822" max="822" width="10.5703125" style="1353" customWidth="1"/>
    <col min="823" max="823" width="0.7109375" style="1353" customWidth="1"/>
    <col min="824" max="1065" width="11.42578125" style="1353"/>
    <col min="1066" max="1066" width="0.7109375" style="1353" customWidth="1"/>
    <col min="1067" max="1067" width="15.140625" style="1353" customWidth="1"/>
    <col min="1068" max="1068" width="0.7109375" style="1353" customWidth="1"/>
    <col min="1069" max="1069" width="56.140625" style="1353" customWidth="1"/>
    <col min="1070" max="1070" width="0.7109375" style="1353" customWidth="1"/>
    <col min="1071" max="1071" width="9.140625" style="1353" customWidth="1"/>
    <col min="1072" max="1072" width="6" style="1353" customWidth="1"/>
    <col min="1073" max="1073" width="0.7109375" style="1353" customWidth="1"/>
    <col min="1074" max="1074" width="7.140625" style="1353" customWidth="1"/>
    <col min="1075" max="1075" width="6.5703125" style="1353" customWidth="1"/>
    <col min="1076" max="1076" width="0.7109375" style="1353" customWidth="1"/>
    <col min="1077" max="1077" width="7.85546875" style="1353" customWidth="1"/>
    <col min="1078" max="1078" width="10.5703125" style="1353" customWidth="1"/>
    <col min="1079" max="1079" width="0.7109375" style="1353" customWidth="1"/>
    <col min="1080" max="1321" width="11.42578125" style="1353"/>
    <col min="1322" max="1322" width="0.7109375" style="1353" customWidth="1"/>
    <col min="1323" max="1323" width="15.140625" style="1353" customWidth="1"/>
    <col min="1324" max="1324" width="0.7109375" style="1353" customWidth="1"/>
    <col min="1325" max="1325" width="56.140625" style="1353" customWidth="1"/>
    <col min="1326" max="1326" width="0.7109375" style="1353" customWidth="1"/>
    <col min="1327" max="1327" width="9.140625" style="1353" customWidth="1"/>
    <col min="1328" max="1328" width="6" style="1353" customWidth="1"/>
    <col min="1329" max="1329" width="0.7109375" style="1353" customWidth="1"/>
    <col min="1330" max="1330" width="7.140625" style="1353" customWidth="1"/>
    <col min="1331" max="1331" width="6.5703125" style="1353" customWidth="1"/>
    <col min="1332" max="1332" width="0.7109375" style="1353" customWidth="1"/>
    <col min="1333" max="1333" width="7.85546875" style="1353" customWidth="1"/>
    <col min="1334" max="1334" width="10.5703125" style="1353" customWidth="1"/>
    <col min="1335" max="1335" width="0.7109375" style="1353" customWidth="1"/>
    <col min="1336" max="1577" width="11.42578125" style="1353"/>
    <col min="1578" max="1578" width="0.7109375" style="1353" customWidth="1"/>
    <col min="1579" max="1579" width="15.140625" style="1353" customWidth="1"/>
    <col min="1580" max="1580" width="0.7109375" style="1353" customWidth="1"/>
    <col min="1581" max="1581" width="56.140625" style="1353" customWidth="1"/>
    <col min="1582" max="1582" width="0.7109375" style="1353" customWidth="1"/>
    <col min="1583" max="1583" width="9.140625" style="1353" customWidth="1"/>
    <col min="1584" max="1584" width="6" style="1353" customWidth="1"/>
    <col min="1585" max="1585" width="0.7109375" style="1353" customWidth="1"/>
    <col min="1586" max="1586" width="7.140625" style="1353" customWidth="1"/>
    <col min="1587" max="1587" width="6.5703125" style="1353" customWidth="1"/>
    <col min="1588" max="1588" width="0.7109375" style="1353" customWidth="1"/>
    <col min="1589" max="1589" width="7.85546875" style="1353" customWidth="1"/>
    <col min="1590" max="1590" width="10.5703125" style="1353" customWidth="1"/>
    <col min="1591" max="1591" width="0.7109375" style="1353" customWidth="1"/>
    <col min="1592" max="1833" width="11.42578125" style="1353"/>
    <col min="1834" max="1834" width="0.7109375" style="1353" customWidth="1"/>
    <col min="1835" max="1835" width="15.140625" style="1353" customWidth="1"/>
    <col min="1836" max="1836" width="0.7109375" style="1353" customWidth="1"/>
    <col min="1837" max="1837" width="56.140625" style="1353" customWidth="1"/>
    <col min="1838" max="1838" width="0.7109375" style="1353" customWidth="1"/>
    <col min="1839" max="1839" width="9.140625" style="1353" customWidth="1"/>
    <col min="1840" max="1840" width="6" style="1353" customWidth="1"/>
    <col min="1841" max="1841" width="0.7109375" style="1353" customWidth="1"/>
    <col min="1842" max="1842" width="7.140625" style="1353" customWidth="1"/>
    <col min="1843" max="1843" width="6.5703125" style="1353" customWidth="1"/>
    <col min="1844" max="1844" width="0.7109375" style="1353" customWidth="1"/>
    <col min="1845" max="1845" width="7.85546875" style="1353" customWidth="1"/>
    <col min="1846" max="1846" width="10.5703125" style="1353" customWidth="1"/>
    <col min="1847" max="1847" width="0.7109375" style="1353" customWidth="1"/>
    <col min="1848" max="2089" width="11.42578125" style="1353"/>
    <col min="2090" max="2090" width="0.7109375" style="1353" customWidth="1"/>
    <col min="2091" max="2091" width="15.140625" style="1353" customWidth="1"/>
    <col min="2092" max="2092" width="0.7109375" style="1353" customWidth="1"/>
    <col min="2093" max="2093" width="56.140625" style="1353" customWidth="1"/>
    <col min="2094" max="2094" width="0.7109375" style="1353" customWidth="1"/>
    <col min="2095" max="2095" width="9.140625" style="1353" customWidth="1"/>
    <col min="2096" max="2096" width="6" style="1353" customWidth="1"/>
    <col min="2097" max="2097" width="0.7109375" style="1353" customWidth="1"/>
    <col min="2098" max="2098" width="7.140625" style="1353" customWidth="1"/>
    <col min="2099" max="2099" width="6.5703125" style="1353" customWidth="1"/>
    <col min="2100" max="2100" width="0.7109375" style="1353" customWidth="1"/>
    <col min="2101" max="2101" width="7.85546875" style="1353" customWidth="1"/>
    <col min="2102" max="2102" width="10.5703125" style="1353" customWidth="1"/>
    <col min="2103" max="2103" width="0.7109375" style="1353" customWidth="1"/>
    <col min="2104" max="2345" width="11.42578125" style="1353"/>
    <col min="2346" max="2346" width="0.7109375" style="1353" customWidth="1"/>
    <col min="2347" max="2347" width="15.140625" style="1353" customWidth="1"/>
    <col min="2348" max="2348" width="0.7109375" style="1353" customWidth="1"/>
    <col min="2349" max="2349" width="56.140625" style="1353" customWidth="1"/>
    <col min="2350" max="2350" width="0.7109375" style="1353" customWidth="1"/>
    <col min="2351" max="2351" width="9.140625" style="1353" customWidth="1"/>
    <col min="2352" max="2352" width="6" style="1353" customWidth="1"/>
    <col min="2353" max="2353" width="0.7109375" style="1353" customWidth="1"/>
    <col min="2354" max="2354" width="7.140625" style="1353" customWidth="1"/>
    <col min="2355" max="2355" width="6.5703125" style="1353" customWidth="1"/>
    <col min="2356" max="2356" width="0.7109375" style="1353" customWidth="1"/>
    <col min="2357" max="2357" width="7.85546875" style="1353" customWidth="1"/>
    <col min="2358" max="2358" width="10.5703125" style="1353" customWidth="1"/>
    <col min="2359" max="2359" width="0.7109375" style="1353" customWidth="1"/>
    <col min="2360" max="2601" width="11.42578125" style="1353"/>
    <col min="2602" max="2602" width="0.7109375" style="1353" customWidth="1"/>
    <col min="2603" max="2603" width="15.140625" style="1353" customWidth="1"/>
    <col min="2604" max="2604" width="0.7109375" style="1353" customWidth="1"/>
    <col min="2605" max="2605" width="56.140625" style="1353" customWidth="1"/>
    <col min="2606" max="2606" width="0.7109375" style="1353" customWidth="1"/>
    <col min="2607" max="2607" width="9.140625" style="1353" customWidth="1"/>
    <col min="2608" max="2608" width="6" style="1353" customWidth="1"/>
    <col min="2609" max="2609" width="0.7109375" style="1353" customWidth="1"/>
    <col min="2610" max="2610" width="7.140625" style="1353" customWidth="1"/>
    <col min="2611" max="2611" width="6.5703125" style="1353" customWidth="1"/>
    <col min="2612" max="2612" width="0.7109375" style="1353" customWidth="1"/>
    <col min="2613" max="2613" width="7.85546875" style="1353" customWidth="1"/>
    <col min="2614" max="2614" width="10.5703125" style="1353" customWidth="1"/>
    <col min="2615" max="2615" width="0.7109375" style="1353" customWidth="1"/>
    <col min="2616" max="2857" width="11.42578125" style="1353"/>
    <col min="2858" max="2858" width="0.7109375" style="1353" customWidth="1"/>
    <col min="2859" max="2859" width="15.140625" style="1353" customWidth="1"/>
    <col min="2860" max="2860" width="0.7109375" style="1353" customWidth="1"/>
    <col min="2861" max="2861" width="56.140625" style="1353" customWidth="1"/>
    <col min="2862" max="2862" width="0.7109375" style="1353" customWidth="1"/>
    <col min="2863" max="2863" width="9.140625" style="1353" customWidth="1"/>
    <col min="2864" max="2864" width="6" style="1353" customWidth="1"/>
    <col min="2865" max="2865" width="0.7109375" style="1353" customWidth="1"/>
    <col min="2866" max="2866" width="7.140625" style="1353" customWidth="1"/>
    <col min="2867" max="2867" width="6.5703125" style="1353" customWidth="1"/>
    <col min="2868" max="2868" width="0.7109375" style="1353" customWidth="1"/>
    <col min="2869" max="2869" width="7.85546875" style="1353" customWidth="1"/>
    <col min="2870" max="2870" width="10.5703125" style="1353" customWidth="1"/>
    <col min="2871" max="2871" width="0.7109375" style="1353" customWidth="1"/>
    <col min="2872" max="3113" width="11.42578125" style="1353"/>
    <col min="3114" max="3114" width="0.7109375" style="1353" customWidth="1"/>
    <col min="3115" max="3115" width="15.140625" style="1353" customWidth="1"/>
    <col min="3116" max="3116" width="0.7109375" style="1353" customWidth="1"/>
    <col min="3117" max="3117" width="56.140625" style="1353" customWidth="1"/>
    <col min="3118" max="3118" width="0.7109375" style="1353" customWidth="1"/>
    <col min="3119" max="3119" width="9.140625" style="1353" customWidth="1"/>
    <col min="3120" max="3120" width="6" style="1353" customWidth="1"/>
    <col min="3121" max="3121" width="0.7109375" style="1353" customWidth="1"/>
    <col min="3122" max="3122" width="7.140625" style="1353" customWidth="1"/>
    <col min="3123" max="3123" width="6.5703125" style="1353" customWidth="1"/>
    <col min="3124" max="3124" width="0.7109375" style="1353" customWidth="1"/>
    <col min="3125" max="3125" width="7.85546875" style="1353" customWidth="1"/>
    <col min="3126" max="3126" width="10.5703125" style="1353" customWidth="1"/>
    <col min="3127" max="3127" width="0.7109375" style="1353" customWidth="1"/>
    <col min="3128" max="3369" width="11.42578125" style="1353"/>
    <col min="3370" max="3370" width="0.7109375" style="1353" customWidth="1"/>
    <col min="3371" max="3371" width="15.140625" style="1353" customWidth="1"/>
    <col min="3372" max="3372" width="0.7109375" style="1353" customWidth="1"/>
    <col min="3373" max="3373" width="56.140625" style="1353" customWidth="1"/>
    <col min="3374" max="3374" width="0.7109375" style="1353" customWidth="1"/>
    <col min="3375" max="3375" width="9.140625" style="1353" customWidth="1"/>
    <col min="3376" max="3376" width="6" style="1353" customWidth="1"/>
    <col min="3377" max="3377" width="0.7109375" style="1353" customWidth="1"/>
    <col min="3378" max="3378" width="7.140625" style="1353" customWidth="1"/>
    <col min="3379" max="3379" width="6.5703125" style="1353" customWidth="1"/>
    <col min="3380" max="3380" width="0.7109375" style="1353" customWidth="1"/>
    <col min="3381" max="3381" width="7.85546875" style="1353" customWidth="1"/>
    <col min="3382" max="3382" width="10.5703125" style="1353" customWidth="1"/>
    <col min="3383" max="3383" width="0.7109375" style="1353" customWidth="1"/>
    <col min="3384" max="3625" width="11.42578125" style="1353"/>
    <col min="3626" max="3626" width="0.7109375" style="1353" customWidth="1"/>
    <col min="3627" max="3627" width="15.140625" style="1353" customWidth="1"/>
    <col min="3628" max="3628" width="0.7109375" style="1353" customWidth="1"/>
    <col min="3629" max="3629" width="56.140625" style="1353" customWidth="1"/>
    <col min="3630" max="3630" width="0.7109375" style="1353" customWidth="1"/>
    <col min="3631" max="3631" width="9.140625" style="1353" customWidth="1"/>
    <col min="3632" max="3632" width="6" style="1353" customWidth="1"/>
    <col min="3633" max="3633" width="0.7109375" style="1353" customWidth="1"/>
    <col min="3634" max="3634" width="7.140625" style="1353" customWidth="1"/>
    <col min="3635" max="3635" width="6.5703125" style="1353" customWidth="1"/>
    <col min="3636" max="3636" width="0.7109375" style="1353" customWidth="1"/>
    <col min="3637" max="3637" width="7.85546875" style="1353" customWidth="1"/>
    <col min="3638" max="3638" width="10.5703125" style="1353" customWidth="1"/>
    <col min="3639" max="3639" width="0.7109375" style="1353" customWidth="1"/>
    <col min="3640" max="3881" width="11.42578125" style="1353"/>
    <col min="3882" max="3882" width="0.7109375" style="1353" customWidth="1"/>
    <col min="3883" max="3883" width="15.140625" style="1353" customWidth="1"/>
    <col min="3884" max="3884" width="0.7109375" style="1353" customWidth="1"/>
    <col min="3885" max="3885" width="56.140625" style="1353" customWidth="1"/>
    <col min="3886" max="3886" width="0.7109375" style="1353" customWidth="1"/>
    <col min="3887" max="3887" width="9.140625" style="1353" customWidth="1"/>
    <col min="3888" max="3888" width="6" style="1353" customWidth="1"/>
    <col min="3889" max="3889" width="0.7109375" style="1353" customWidth="1"/>
    <col min="3890" max="3890" width="7.140625" style="1353" customWidth="1"/>
    <col min="3891" max="3891" width="6.5703125" style="1353" customWidth="1"/>
    <col min="3892" max="3892" width="0.7109375" style="1353" customWidth="1"/>
    <col min="3893" max="3893" width="7.85546875" style="1353" customWidth="1"/>
    <col min="3894" max="3894" width="10.5703125" style="1353" customWidth="1"/>
    <col min="3895" max="3895" width="0.7109375" style="1353" customWidth="1"/>
    <col min="3896" max="4137" width="11.42578125" style="1353"/>
    <col min="4138" max="4138" width="0.7109375" style="1353" customWidth="1"/>
    <col min="4139" max="4139" width="15.140625" style="1353" customWidth="1"/>
    <col min="4140" max="4140" width="0.7109375" style="1353" customWidth="1"/>
    <col min="4141" max="4141" width="56.140625" style="1353" customWidth="1"/>
    <col min="4142" max="4142" width="0.7109375" style="1353" customWidth="1"/>
    <col min="4143" max="4143" width="9.140625" style="1353" customWidth="1"/>
    <col min="4144" max="4144" width="6" style="1353" customWidth="1"/>
    <col min="4145" max="4145" width="0.7109375" style="1353" customWidth="1"/>
    <col min="4146" max="4146" width="7.140625" style="1353" customWidth="1"/>
    <col min="4147" max="4147" width="6.5703125" style="1353" customWidth="1"/>
    <col min="4148" max="4148" width="0.7109375" style="1353" customWidth="1"/>
    <col min="4149" max="4149" width="7.85546875" style="1353" customWidth="1"/>
    <col min="4150" max="4150" width="10.5703125" style="1353" customWidth="1"/>
    <col min="4151" max="4151" width="0.7109375" style="1353" customWidth="1"/>
    <col min="4152" max="4393" width="11.42578125" style="1353"/>
    <col min="4394" max="4394" width="0.7109375" style="1353" customWidth="1"/>
    <col min="4395" max="4395" width="15.140625" style="1353" customWidth="1"/>
    <col min="4396" max="4396" width="0.7109375" style="1353" customWidth="1"/>
    <col min="4397" max="4397" width="56.140625" style="1353" customWidth="1"/>
    <col min="4398" max="4398" width="0.7109375" style="1353" customWidth="1"/>
    <col min="4399" max="4399" width="9.140625" style="1353" customWidth="1"/>
    <col min="4400" max="4400" width="6" style="1353" customWidth="1"/>
    <col min="4401" max="4401" width="0.7109375" style="1353" customWidth="1"/>
    <col min="4402" max="4402" width="7.140625" style="1353" customWidth="1"/>
    <col min="4403" max="4403" width="6.5703125" style="1353" customWidth="1"/>
    <col min="4404" max="4404" width="0.7109375" style="1353" customWidth="1"/>
    <col min="4405" max="4405" width="7.85546875" style="1353" customWidth="1"/>
    <col min="4406" max="4406" width="10.5703125" style="1353" customWidth="1"/>
    <col min="4407" max="4407" width="0.7109375" style="1353" customWidth="1"/>
    <col min="4408" max="4649" width="11.42578125" style="1353"/>
    <col min="4650" max="4650" width="0.7109375" style="1353" customWidth="1"/>
    <col min="4651" max="4651" width="15.140625" style="1353" customWidth="1"/>
    <col min="4652" max="4652" width="0.7109375" style="1353" customWidth="1"/>
    <col min="4653" max="4653" width="56.140625" style="1353" customWidth="1"/>
    <col min="4654" max="4654" width="0.7109375" style="1353" customWidth="1"/>
    <col min="4655" max="4655" width="9.140625" style="1353" customWidth="1"/>
    <col min="4656" max="4656" width="6" style="1353" customWidth="1"/>
    <col min="4657" max="4657" width="0.7109375" style="1353" customWidth="1"/>
    <col min="4658" max="4658" width="7.140625" style="1353" customWidth="1"/>
    <col min="4659" max="4659" width="6.5703125" style="1353" customWidth="1"/>
    <col min="4660" max="4660" width="0.7109375" style="1353" customWidth="1"/>
    <col min="4661" max="4661" width="7.85546875" style="1353" customWidth="1"/>
    <col min="4662" max="4662" width="10.5703125" style="1353" customWidth="1"/>
    <col min="4663" max="4663" width="0.7109375" style="1353" customWidth="1"/>
    <col min="4664" max="4905" width="11.42578125" style="1353"/>
    <col min="4906" max="4906" width="0.7109375" style="1353" customWidth="1"/>
    <col min="4907" max="4907" width="15.140625" style="1353" customWidth="1"/>
    <col min="4908" max="4908" width="0.7109375" style="1353" customWidth="1"/>
    <col min="4909" max="4909" width="56.140625" style="1353" customWidth="1"/>
    <col min="4910" max="4910" width="0.7109375" style="1353" customWidth="1"/>
    <col min="4911" max="4911" width="9.140625" style="1353" customWidth="1"/>
    <col min="4912" max="4912" width="6" style="1353" customWidth="1"/>
    <col min="4913" max="4913" width="0.7109375" style="1353" customWidth="1"/>
    <col min="4914" max="4914" width="7.140625" style="1353" customWidth="1"/>
    <col min="4915" max="4915" width="6.5703125" style="1353" customWidth="1"/>
    <col min="4916" max="4916" width="0.7109375" style="1353" customWidth="1"/>
    <col min="4917" max="4917" width="7.85546875" style="1353" customWidth="1"/>
    <col min="4918" max="4918" width="10.5703125" style="1353" customWidth="1"/>
    <col min="4919" max="4919" width="0.7109375" style="1353" customWidth="1"/>
    <col min="4920" max="5161" width="11.42578125" style="1353"/>
    <col min="5162" max="5162" width="0.7109375" style="1353" customWidth="1"/>
    <col min="5163" max="5163" width="15.140625" style="1353" customWidth="1"/>
    <col min="5164" max="5164" width="0.7109375" style="1353" customWidth="1"/>
    <col min="5165" max="5165" width="56.140625" style="1353" customWidth="1"/>
    <col min="5166" max="5166" width="0.7109375" style="1353" customWidth="1"/>
    <col min="5167" max="5167" width="9.140625" style="1353" customWidth="1"/>
    <col min="5168" max="5168" width="6" style="1353" customWidth="1"/>
    <col min="5169" max="5169" width="0.7109375" style="1353" customWidth="1"/>
    <col min="5170" max="5170" width="7.140625" style="1353" customWidth="1"/>
    <col min="5171" max="5171" width="6.5703125" style="1353" customWidth="1"/>
    <col min="5172" max="5172" width="0.7109375" style="1353" customWidth="1"/>
    <col min="5173" max="5173" width="7.85546875" style="1353" customWidth="1"/>
    <col min="5174" max="5174" width="10.5703125" style="1353" customWidth="1"/>
    <col min="5175" max="5175" width="0.7109375" style="1353" customWidth="1"/>
    <col min="5176" max="5417" width="11.42578125" style="1353"/>
    <col min="5418" max="5418" width="0.7109375" style="1353" customWidth="1"/>
    <col min="5419" max="5419" width="15.140625" style="1353" customWidth="1"/>
    <col min="5420" max="5420" width="0.7109375" style="1353" customWidth="1"/>
    <col min="5421" max="5421" width="56.140625" style="1353" customWidth="1"/>
    <col min="5422" max="5422" width="0.7109375" style="1353" customWidth="1"/>
    <col min="5423" max="5423" width="9.140625" style="1353" customWidth="1"/>
    <col min="5424" max="5424" width="6" style="1353" customWidth="1"/>
    <col min="5425" max="5425" width="0.7109375" style="1353" customWidth="1"/>
    <col min="5426" max="5426" width="7.140625" style="1353" customWidth="1"/>
    <col min="5427" max="5427" width="6.5703125" style="1353" customWidth="1"/>
    <col min="5428" max="5428" width="0.7109375" style="1353" customWidth="1"/>
    <col min="5429" max="5429" width="7.85546875" style="1353" customWidth="1"/>
    <col min="5430" max="5430" width="10.5703125" style="1353" customWidth="1"/>
    <col min="5431" max="5431" width="0.7109375" style="1353" customWidth="1"/>
    <col min="5432" max="5673" width="11.42578125" style="1353"/>
    <col min="5674" max="5674" width="0.7109375" style="1353" customWidth="1"/>
    <col min="5675" max="5675" width="15.140625" style="1353" customWidth="1"/>
    <col min="5676" max="5676" width="0.7109375" style="1353" customWidth="1"/>
    <col min="5677" max="5677" width="56.140625" style="1353" customWidth="1"/>
    <col min="5678" max="5678" width="0.7109375" style="1353" customWidth="1"/>
    <col min="5679" max="5679" width="9.140625" style="1353" customWidth="1"/>
    <col min="5680" max="5680" width="6" style="1353" customWidth="1"/>
    <col min="5681" max="5681" width="0.7109375" style="1353" customWidth="1"/>
    <col min="5682" max="5682" width="7.140625" style="1353" customWidth="1"/>
    <col min="5683" max="5683" width="6.5703125" style="1353" customWidth="1"/>
    <col min="5684" max="5684" width="0.7109375" style="1353" customWidth="1"/>
    <col min="5685" max="5685" width="7.85546875" style="1353" customWidth="1"/>
    <col min="5686" max="5686" width="10.5703125" style="1353" customWidth="1"/>
    <col min="5687" max="5687" width="0.7109375" style="1353" customWidth="1"/>
    <col min="5688" max="5929" width="11.42578125" style="1353"/>
    <col min="5930" max="5930" width="0.7109375" style="1353" customWidth="1"/>
    <col min="5931" max="5931" width="15.140625" style="1353" customWidth="1"/>
    <col min="5932" max="5932" width="0.7109375" style="1353" customWidth="1"/>
    <col min="5933" max="5933" width="56.140625" style="1353" customWidth="1"/>
    <col min="5934" max="5934" width="0.7109375" style="1353" customWidth="1"/>
    <col min="5935" max="5935" width="9.140625" style="1353" customWidth="1"/>
    <col min="5936" max="5936" width="6" style="1353" customWidth="1"/>
    <col min="5937" max="5937" width="0.7109375" style="1353" customWidth="1"/>
    <col min="5938" max="5938" width="7.140625" style="1353" customWidth="1"/>
    <col min="5939" max="5939" width="6.5703125" style="1353" customWidth="1"/>
    <col min="5940" max="5940" width="0.7109375" style="1353" customWidth="1"/>
    <col min="5941" max="5941" width="7.85546875" style="1353" customWidth="1"/>
    <col min="5942" max="5942" width="10.5703125" style="1353" customWidth="1"/>
    <col min="5943" max="5943" width="0.7109375" style="1353" customWidth="1"/>
    <col min="5944" max="6185" width="11.42578125" style="1353"/>
    <col min="6186" max="6186" width="0.7109375" style="1353" customWidth="1"/>
    <col min="6187" max="6187" width="15.140625" style="1353" customWidth="1"/>
    <col min="6188" max="6188" width="0.7109375" style="1353" customWidth="1"/>
    <col min="6189" max="6189" width="56.140625" style="1353" customWidth="1"/>
    <col min="6190" max="6190" width="0.7109375" style="1353" customWidth="1"/>
    <col min="6191" max="6191" width="9.140625" style="1353" customWidth="1"/>
    <col min="6192" max="6192" width="6" style="1353" customWidth="1"/>
    <col min="6193" max="6193" width="0.7109375" style="1353" customWidth="1"/>
    <col min="6194" max="6194" width="7.140625" style="1353" customWidth="1"/>
    <col min="6195" max="6195" width="6.5703125" style="1353" customWidth="1"/>
    <col min="6196" max="6196" width="0.7109375" style="1353" customWidth="1"/>
    <col min="6197" max="6197" width="7.85546875" style="1353" customWidth="1"/>
    <col min="6198" max="6198" width="10.5703125" style="1353" customWidth="1"/>
    <col min="6199" max="6199" width="0.7109375" style="1353" customWidth="1"/>
    <col min="6200" max="6441" width="11.42578125" style="1353"/>
    <col min="6442" max="6442" width="0.7109375" style="1353" customWidth="1"/>
    <col min="6443" max="6443" width="15.140625" style="1353" customWidth="1"/>
    <col min="6444" max="6444" width="0.7109375" style="1353" customWidth="1"/>
    <col min="6445" max="6445" width="56.140625" style="1353" customWidth="1"/>
    <col min="6446" max="6446" width="0.7109375" style="1353" customWidth="1"/>
    <col min="6447" max="6447" width="9.140625" style="1353" customWidth="1"/>
    <col min="6448" max="6448" width="6" style="1353" customWidth="1"/>
    <col min="6449" max="6449" width="0.7109375" style="1353" customWidth="1"/>
    <col min="6450" max="6450" width="7.140625" style="1353" customWidth="1"/>
    <col min="6451" max="6451" width="6.5703125" style="1353" customWidth="1"/>
    <col min="6452" max="6452" width="0.7109375" style="1353" customWidth="1"/>
    <col min="6453" max="6453" width="7.85546875" style="1353" customWidth="1"/>
    <col min="6454" max="6454" width="10.5703125" style="1353" customWidth="1"/>
    <col min="6455" max="6455" width="0.7109375" style="1353" customWidth="1"/>
    <col min="6456" max="6697" width="11.42578125" style="1353"/>
    <col min="6698" max="6698" width="0.7109375" style="1353" customWidth="1"/>
    <col min="6699" max="6699" width="15.140625" style="1353" customWidth="1"/>
    <col min="6700" max="6700" width="0.7109375" style="1353" customWidth="1"/>
    <col min="6701" max="6701" width="56.140625" style="1353" customWidth="1"/>
    <col min="6702" max="6702" width="0.7109375" style="1353" customWidth="1"/>
    <col min="6703" max="6703" width="9.140625" style="1353" customWidth="1"/>
    <col min="6704" max="6704" width="6" style="1353" customWidth="1"/>
    <col min="6705" max="6705" width="0.7109375" style="1353" customWidth="1"/>
    <col min="6706" max="6706" width="7.140625" style="1353" customWidth="1"/>
    <col min="6707" max="6707" width="6.5703125" style="1353" customWidth="1"/>
    <col min="6708" max="6708" width="0.7109375" style="1353" customWidth="1"/>
    <col min="6709" max="6709" width="7.85546875" style="1353" customWidth="1"/>
    <col min="6710" max="6710" width="10.5703125" style="1353" customWidth="1"/>
    <col min="6711" max="6711" width="0.7109375" style="1353" customWidth="1"/>
    <col min="6712" max="6953" width="11.42578125" style="1353"/>
    <col min="6954" max="6954" width="0.7109375" style="1353" customWidth="1"/>
    <col min="6955" max="6955" width="15.140625" style="1353" customWidth="1"/>
    <col min="6956" max="6956" width="0.7109375" style="1353" customWidth="1"/>
    <col min="6957" max="6957" width="56.140625" style="1353" customWidth="1"/>
    <col min="6958" max="6958" width="0.7109375" style="1353" customWidth="1"/>
    <col min="6959" max="6959" width="9.140625" style="1353" customWidth="1"/>
    <col min="6960" max="6960" width="6" style="1353" customWidth="1"/>
    <col min="6961" max="6961" width="0.7109375" style="1353" customWidth="1"/>
    <col min="6962" max="6962" width="7.140625" style="1353" customWidth="1"/>
    <col min="6963" max="6963" width="6.5703125" style="1353" customWidth="1"/>
    <col min="6964" max="6964" width="0.7109375" style="1353" customWidth="1"/>
    <col min="6965" max="6965" width="7.85546875" style="1353" customWidth="1"/>
    <col min="6966" max="6966" width="10.5703125" style="1353" customWidth="1"/>
    <col min="6967" max="6967" width="0.7109375" style="1353" customWidth="1"/>
    <col min="6968" max="7209" width="11.42578125" style="1353"/>
    <col min="7210" max="7210" width="0.7109375" style="1353" customWidth="1"/>
    <col min="7211" max="7211" width="15.140625" style="1353" customWidth="1"/>
    <col min="7212" max="7212" width="0.7109375" style="1353" customWidth="1"/>
    <col min="7213" max="7213" width="56.140625" style="1353" customWidth="1"/>
    <col min="7214" max="7214" width="0.7109375" style="1353" customWidth="1"/>
    <col min="7215" max="7215" width="9.140625" style="1353" customWidth="1"/>
    <col min="7216" max="7216" width="6" style="1353" customWidth="1"/>
    <col min="7217" max="7217" width="0.7109375" style="1353" customWidth="1"/>
    <col min="7218" max="7218" width="7.140625" style="1353" customWidth="1"/>
    <col min="7219" max="7219" width="6.5703125" style="1353" customWidth="1"/>
    <col min="7220" max="7220" width="0.7109375" style="1353" customWidth="1"/>
    <col min="7221" max="7221" width="7.85546875" style="1353" customWidth="1"/>
    <col min="7222" max="7222" width="10.5703125" style="1353" customWidth="1"/>
    <col min="7223" max="7223" width="0.7109375" style="1353" customWidth="1"/>
    <col min="7224" max="7465" width="11.42578125" style="1353"/>
    <col min="7466" max="7466" width="0.7109375" style="1353" customWidth="1"/>
    <col min="7467" max="7467" width="15.140625" style="1353" customWidth="1"/>
    <col min="7468" max="7468" width="0.7109375" style="1353" customWidth="1"/>
    <col min="7469" max="7469" width="56.140625" style="1353" customWidth="1"/>
    <col min="7470" max="7470" width="0.7109375" style="1353" customWidth="1"/>
    <col min="7471" max="7471" width="9.140625" style="1353" customWidth="1"/>
    <col min="7472" max="7472" width="6" style="1353" customWidth="1"/>
    <col min="7473" max="7473" width="0.7109375" style="1353" customWidth="1"/>
    <col min="7474" max="7474" width="7.140625" style="1353" customWidth="1"/>
    <col min="7475" max="7475" width="6.5703125" style="1353" customWidth="1"/>
    <col min="7476" max="7476" width="0.7109375" style="1353" customWidth="1"/>
    <col min="7477" max="7477" width="7.85546875" style="1353" customWidth="1"/>
    <col min="7478" max="7478" width="10.5703125" style="1353" customWidth="1"/>
    <col min="7479" max="7479" width="0.7109375" style="1353" customWidth="1"/>
    <col min="7480" max="7721" width="11.42578125" style="1353"/>
    <col min="7722" max="7722" width="0.7109375" style="1353" customWidth="1"/>
    <col min="7723" max="7723" width="15.140625" style="1353" customWidth="1"/>
    <col min="7724" max="7724" width="0.7109375" style="1353" customWidth="1"/>
    <col min="7725" max="7725" width="56.140625" style="1353" customWidth="1"/>
    <col min="7726" max="7726" width="0.7109375" style="1353" customWidth="1"/>
    <col min="7727" max="7727" width="9.140625" style="1353" customWidth="1"/>
    <col min="7728" max="7728" width="6" style="1353" customWidth="1"/>
    <col min="7729" max="7729" width="0.7109375" style="1353" customWidth="1"/>
    <col min="7730" max="7730" width="7.140625" style="1353" customWidth="1"/>
    <col min="7731" max="7731" width="6.5703125" style="1353" customWidth="1"/>
    <col min="7732" max="7732" width="0.7109375" style="1353" customWidth="1"/>
    <col min="7733" max="7733" width="7.85546875" style="1353" customWidth="1"/>
    <col min="7734" max="7734" width="10.5703125" style="1353" customWidth="1"/>
    <col min="7735" max="7735" width="0.7109375" style="1353" customWidth="1"/>
    <col min="7736" max="7977" width="11.42578125" style="1353"/>
    <col min="7978" max="7978" width="0.7109375" style="1353" customWidth="1"/>
    <col min="7979" max="7979" width="15.140625" style="1353" customWidth="1"/>
    <col min="7980" max="7980" width="0.7109375" style="1353" customWidth="1"/>
    <col min="7981" max="7981" width="56.140625" style="1353" customWidth="1"/>
    <col min="7982" max="7982" width="0.7109375" style="1353" customWidth="1"/>
    <col min="7983" max="7983" width="9.140625" style="1353" customWidth="1"/>
    <col min="7984" max="7984" width="6" style="1353" customWidth="1"/>
    <col min="7985" max="7985" width="0.7109375" style="1353" customWidth="1"/>
    <col min="7986" max="7986" width="7.140625" style="1353" customWidth="1"/>
    <col min="7987" max="7987" width="6.5703125" style="1353" customWidth="1"/>
    <col min="7988" max="7988" width="0.7109375" style="1353" customWidth="1"/>
    <col min="7989" max="7989" width="7.85546875" style="1353" customWidth="1"/>
    <col min="7990" max="7990" width="10.5703125" style="1353" customWidth="1"/>
    <col min="7991" max="7991" width="0.7109375" style="1353" customWidth="1"/>
    <col min="7992" max="8233" width="11.42578125" style="1353"/>
    <col min="8234" max="8234" width="0.7109375" style="1353" customWidth="1"/>
    <col min="8235" max="8235" width="15.140625" style="1353" customWidth="1"/>
    <col min="8236" max="8236" width="0.7109375" style="1353" customWidth="1"/>
    <col min="8237" max="8237" width="56.140625" style="1353" customWidth="1"/>
    <col min="8238" max="8238" width="0.7109375" style="1353" customWidth="1"/>
    <col min="8239" max="8239" width="9.140625" style="1353" customWidth="1"/>
    <col min="8240" max="8240" width="6" style="1353" customWidth="1"/>
    <col min="8241" max="8241" width="0.7109375" style="1353" customWidth="1"/>
    <col min="8242" max="8242" width="7.140625" style="1353" customWidth="1"/>
    <col min="8243" max="8243" width="6.5703125" style="1353" customWidth="1"/>
    <col min="8244" max="8244" width="0.7109375" style="1353" customWidth="1"/>
    <col min="8245" max="8245" width="7.85546875" style="1353" customWidth="1"/>
    <col min="8246" max="8246" width="10.5703125" style="1353" customWidth="1"/>
    <col min="8247" max="8247" width="0.7109375" style="1353" customWidth="1"/>
    <col min="8248" max="8489" width="11.42578125" style="1353"/>
    <col min="8490" max="8490" width="0.7109375" style="1353" customWidth="1"/>
    <col min="8491" max="8491" width="15.140625" style="1353" customWidth="1"/>
    <col min="8492" max="8492" width="0.7109375" style="1353" customWidth="1"/>
    <col min="8493" max="8493" width="56.140625" style="1353" customWidth="1"/>
    <col min="8494" max="8494" width="0.7109375" style="1353" customWidth="1"/>
    <col min="8495" max="8495" width="9.140625" style="1353" customWidth="1"/>
    <col min="8496" max="8496" width="6" style="1353" customWidth="1"/>
    <col min="8497" max="8497" width="0.7109375" style="1353" customWidth="1"/>
    <col min="8498" max="8498" width="7.140625" style="1353" customWidth="1"/>
    <col min="8499" max="8499" width="6.5703125" style="1353" customWidth="1"/>
    <col min="8500" max="8500" width="0.7109375" style="1353" customWidth="1"/>
    <col min="8501" max="8501" width="7.85546875" style="1353" customWidth="1"/>
    <col min="8502" max="8502" width="10.5703125" style="1353" customWidth="1"/>
    <col min="8503" max="8503" width="0.7109375" style="1353" customWidth="1"/>
    <col min="8504" max="8745" width="11.42578125" style="1353"/>
    <col min="8746" max="8746" width="0.7109375" style="1353" customWidth="1"/>
    <col min="8747" max="8747" width="15.140625" style="1353" customWidth="1"/>
    <col min="8748" max="8748" width="0.7109375" style="1353" customWidth="1"/>
    <col min="8749" max="8749" width="56.140625" style="1353" customWidth="1"/>
    <col min="8750" max="8750" width="0.7109375" style="1353" customWidth="1"/>
    <col min="8751" max="8751" width="9.140625" style="1353" customWidth="1"/>
    <col min="8752" max="8752" width="6" style="1353" customWidth="1"/>
    <col min="8753" max="8753" width="0.7109375" style="1353" customWidth="1"/>
    <col min="8754" max="8754" width="7.140625" style="1353" customWidth="1"/>
    <col min="8755" max="8755" width="6.5703125" style="1353" customWidth="1"/>
    <col min="8756" max="8756" width="0.7109375" style="1353" customWidth="1"/>
    <col min="8757" max="8757" width="7.85546875" style="1353" customWidth="1"/>
    <col min="8758" max="8758" width="10.5703125" style="1353" customWidth="1"/>
    <col min="8759" max="8759" width="0.7109375" style="1353" customWidth="1"/>
    <col min="8760" max="9001" width="11.42578125" style="1353"/>
    <col min="9002" max="9002" width="0.7109375" style="1353" customWidth="1"/>
    <col min="9003" max="9003" width="15.140625" style="1353" customWidth="1"/>
    <col min="9004" max="9004" width="0.7109375" style="1353" customWidth="1"/>
    <col min="9005" max="9005" width="56.140625" style="1353" customWidth="1"/>
    <col min="9006" max="9006" width="0.7109375" style="1353" customWidth="1"/>
    <col min="9007" max="9007" width="9.140625" style="1353" customWidth="1"/>
    <col min="9008" max="9008" width="6" style="1353" customWidth="1"/>
    <col min="9009" max="9009" width="0.7109375" style="1353" customWidth="1"/>
    <col min="9010" max="9010" width="7.140625" style="1353" customWidth="1"/>
    <col min="9011" max="9011" width="6.5703125" style="1353" customWidth="1"/>
    <col min="9012" max="9012" width="0.7109375" style="1353" customWidth="1"/>
    <col min="9013" max="9013" width="7.85546875" style="1353" customWidth="1"/>
    <col min="9014" max="9014" width="10.5703125" style="1353" customWidth="1"/>
    <col min="9015" max="9015" width="0.7109375" style="1353" customWidth="1"/>
    <col min="9016" max="9257" width="11.42578125" style="1353"/>
    <col min="9258" max="9258" width="0.7109375" style="1353" customWidth="1"/>
    <col min="9259" max="9259" width="15.140625" style="1353" customWidth="1"/>
    <col min="9260" max="9260" width="0.7109375" style="1353" customWidth="1"/>
    <col min="9261" max="9261" width="56.140625" style="1353" customWidth="1"/>
    <col min="9262" max="9262" width="0.7109375" style="1353" customWidth="1"/>
    <col min="9263" max="9263" width="9.140625" style="1353" customWidth="1"/>
    <col min="9264" max="9264" width="6" style="1353" customWidth="1"/>
    <col min="9265" max="9265" width="0.7109375" style="1353" customWidth="1"/>
    <col min="9266" max="9266" width="7.140625" style="1353" customWidth="1"/>
    <col min="9267" max="9267" width="6.5703125" style="1353" customWidth="1"/>
    <col min="9268" max="9268" width="0.7109375" style="1353" customWidth="1"/>
    <col min="9269" max="9269" width="7.85546875" style="1353" customWidth="1"/>
    <col min="9270" max="9270" width="10.5703125" style="1353" customWidth="1"/>
    <col min="9271" max="9271" width="0.7109375" style="1353" customWidth="1"/>
    <col min="9272" max="9513" width="11.42578125" style="1353"/>
    <col min="9514" max="9514" width="0.7109375" style="1353" customWidth="1"/>
    <col min="9515" max="9515" width="15.140625" style="1353" customWidth="1"/>
    <col min="9516" max="9516" width="0.7109375" style="1353" customWidth="1"/>
    <col min="9517" max="9517" width="56.140625" style="1353" customWidth="1"/>
    <col min="9518" max="9518" width="0.7109375" style="1353" customWidth="1"/>
    <col min="9519" max="9519" width="9.140625" style="1353" customWidth="1"/>
    <col min="9520" max="9520" width="6" style="1353" customWidth="1"/>
    <col min="9521" max="9521" width="0.7109375" style="1353" customWidth="1"/>
    <col min="9522" max="9522" width="7.140625" style="1353" customWidth="1"/>
    <col min="9523" max="9523" width="6.5703125" style="1353" customWidth="1"/>
    <col min="9524" max="9524" width="0.7109375" style="1353" customWidth="1"/>
    <col min="9525" max="9525" width="7.85546875" style="1353" customWidth="1"/>
    <col min="9526" max="9526" width="10.5703125" style="1353" customWidth="1"/>
    <col min="9527" max="9527" width="0.7109375" style="1353" customWidth="1"/>
    <col min="9528" max="9769" width="11.42578125" style="1353"/>
    <col min="9770" max="9770" width="0.7109375" style="1353" customWidth="1"/>
    <col min="9771" max="9771" width="15.140625" style="1353" customWidth="1"/>
    <col min="9772" max="9772" width="0.7109375" style="1353" customWidth="1"/>
    <col min="9773" max="9773" width="56.140625" style="1353" customWidth="1"/>
    <col min="9774" max="9774" width="0.7109375" style="1353" customWidth="1"/>
    <col min="9775" max="9775" width="9.140625" style="1353" customWidth="1"/>
    <col min="9776" max="9776" width="6" style="1353" customWidth="1"/>
    <col min="9777" max="9777" width="0.7109375" style="1353" customWidth="1"/>
    <col min="9778" max="9778" width="7.140625" style="1353" customWidth="1"/>
    <col min="9779" max="9779" width="6.5703125" style="1353" customWidth="1"/>
    <col min="9780" max="9780" width="0.7109375" style="1353" customWidth="1"/>
    <col min="9781" max="9781" width="7.85546875" style="1353" customWidth="1"/>
    <col min="9782" max="9782" width="10.5703125" style="1353" customWidth="1"/>
    <col min="9783" max="9783" width="0.7109375" style="1353" customWidth="1"/>
    <col min="9784" max="10025" width="11.42578125" style="1353"/>
    <col min="10026" max="10026" width="0.7109375" style="1353" customWidth="1"/>
    <col min="10027" max="10027" width="15.140625" style="1353" customWidth="1"/>
    <col min="10028" max="10028" width="0.7109375" style="1353" customWidth="1"/>
    <col min="10029" max="10029" width="56.140625" style="1353" customWidth="1"/>
    <col min="10030" max="10030" width="0.7109375" style="1353" customWidth="1"/>
    <col min="10031" max="10031" width="9.140625" style="1353" customWidth="1"/>
    <col min="10032" max="10032" width="6" style="1353" customWidth="1"/>
    <col min="10033" max="10033" width="0.7109375" style="1353" customWidth="1"/>
    <col min="10034" max="10034" width="7.140625" style="1353" customWidth="1"/>
    <col min="10035" max="10035" width="6.5703125" style="1353" customWidth="1"/>
    <col min="10036" max="10036" width="0.7109375" style="1353" customWidth="1"/>
    <col min="10037" max="10037" width="7.85546875" style="1353" customWidth="1"/>
    <col min="10038" max="10038" width="10.5703125" style="1353" customWidth="1"/>
    <col min="10039" max="10039" width="0.7109375" style="1353" customWidth="1"/>
    <col min="10040" max="10281" width="11.42578125" style="1353"/>
    <col min="10282" max="10282" width="0.7109375" style="1353" customWidth="1"/>
    <col min="10283" max="10283" width="15.140625" style="1353" customWidth="1"/>
    <col min="10284" max="10284" width="0.7109375" style="1353" customWidth="1"/>
    <col min="10285" max="10285" width="56.140625" style="1353" customWidth="1"/>
    <col min="10286" max="10286" width="0.7109375" style="1353" customWidth="1"/>
    <col min="10287" max="10287" width="9.140625" style="1353" customWidth="1"/>
    <col min="10288" max="10288" width="6" style="1353" customWidth="1"/>
    <col min="10289" max="10289" width="0.7109375" style="1353" customWidth="1"/>
    <col min="10290" max="10290" width="7.140625" style="1353" customWidth="1"/>
    <col min="10291" max="10291" width="6.5703125" style="1353" customWidth="1"/>
    <col min="10292" max="10292" width="0.7109375" style="1353" customWidth="1"/>
    <col min="10293" max="10293" width="7.85546875" style="1353" customWidth="1"/>
    <col min="10294" max="10294" width="10.5703125" style="1353" customWidth="1"/>
    <col min="10295" max="10295" width="0.7109375" style="1353" customWidth="1"/>
    <col min="10296" max="10537" width="11.42578125" style="1353"/>
    <col min="10538" max="10538" width="0.7109375" style="1353" customWidth="1"/>
    <col min="10539" max="10539" width="15.140625" style="1353" customWidth="1"/>
    <col min="10540" max="10540" width="0.7109375" style="1353" customWidth="1"/>
    <col min="10541" max="10541" width="56.140625" style="1353" customWidth="1"/>
    <col min="10542" max="10542" width="0.7109375" style="1353" customWidth="1"/>
    <col min="10543" max="10543" width="9.140625" style="1353" customWidth="1"/>
    <col min="10544" max="10544" width="6" style="1353" customWidth="1"/>
    <col min="10545" max="10545" width="0.7109375" style="1353" customWidth="1"/>
    <col min="10546" max="10546" width="7.140625" style="1353" customWidth="1"/>
    <col min="10547" max="10547" width="6.5703125" style="1353" customWidth="1"/>
    <col min="10548" max="10548" width="0.7109375" style="1353" customWidth="1"/>
    <col min="10549" max="10549" width="7.85546875" style="1353" customWidth="1"/>
    <col min="10550" max="10550" width="10.5703125" style="1353" customWidth="1"/>
    <col min="10551" max="10551" width="0.7109375" style="1353" customWidth="1"/>
    <col min="10552" max="10793" width="11.42578125" style="1353"/>
    <col min="10794" max="10794" width="0.7109375" style="1353" customWidth="1"/>
    <col min="10795" max="10795" width="15.140625" style="1353" customWidth="1"/>
    <col min="10796" max="10796" width="0.7109375" style="1353" customWidth="1"/>
    <col min="10797" max="10797" width="56.140625" style="1353" customWidth="1"/>
    <col min="10798" max="10798" width="0.7109375" style="1353" customWidth="1"/>
    <col min="10799" max="10799" width="9.140625" style="1353" customWidth="1"/>
    <col min="10800" max="10800" width="6" style="1353" customWidth="1"/>
    <col min="10801" max="10801" width="0.7109375" style="1353" customWidth="1"/>
    <col min="10802" max="10802" width="7.140625" style="1353" customWidth="1"/>
    <col min="10803" max="10803" width="6.5703125" style="1353" customWidth="1"/>
    <col min="10804" max="10804" width="0.7109375" style="1353" customWidth="1"/>
    <col min="10805" max="10805" width="7.85546875" style="1353" customWidth="1"/>
    <col min="10806" max="10806" width="10.5703125" style="1353" customWidth="1"/>
    <col min="10807" max="10807" width="0.7109375" style="1353" customWidth="1"/>
    <col min="10808" max="11049" width="11.42578125" style="1353"/>
    <col min="11050" max="11050" width="0.7109375" style="1353" customWidth="1"/>
    <col min="11051" max="11051" width="15.140625" style="1353" customWidth="1"/>
    <col min="11052" max="11052" width="0.7109375" style="1353" customWidth="1"/>
    <col min="11053" max="11053" width="56.140625" style="1353" customWidth="1"/>
    <col min="11054" max="11054" width="0.7109375" style="1353" customWidth="1"/>
    <col min="11055" max="11055" width="9.140625" style="1353" customWidth="1"/>
    <col min="11056" max="11056" width="6" style="1353" customWidth="1"/>
    <col min="11057" max="11057" width="0.7109375" style="1353" customWidth="1"/>
    <col min="11058" max="11058" width="7.140625" style="1353" customWidth="1"/>
    <col min="11059" max="11059" width="6.5703125" style="1353" customWidth="1"/>
    <col min="11060" max="11060" width="0.7109375" style="1353" customWidth="1"/>
    <col min="11061" max="11061" width="7.85546875" style="1353" customWidth="1"/>
    <col min="11062" max="11062" width="10.5703125" style="1353" customWidth="1"/>
    <col min="11063" max="11063" width="0.7109375" style="1353" customWidth="1"/>
    <col min="11064" max="11305" width="11.42578125" style="1353"/>
    <col min="11306" max="11306" width="0.7109375" style="1353" customWidth="1"/>
    <col min="11307" max="11307" width="15.140625" style="1353" customWidth="1"/>
    <col min="11308" max="11308" width="0.7109375" style="1353" customWidth="1"/>
    <col min="11309" max="11309" width="56.140625" style="1353" customWidth="1"/>
    <col min="11310" max="11310" width="0.7109375" style="1353" customWidth="1"/>
    <col min="11311" max="11311" width="9.140625" style="1353" customWidth="1"/>
    <col min="11312" max="11312" width="6" style="1353" customWidth="1"/>
    <col min="11313" max="11313" width="0.7109375" style="1353" customWidth="1"/>
    <col min="11314" max="11314" width="7.140625" style="1353" customWidth="1"/>
    <col min="11315" max="11315" width="6.5703125" style="1353" customWidth="1"/>
    <col min="11316" max="11316" width="0.7109375" style="1353" customWidth="1"/>
    <col min="11317" max="11317" width="7.85546875" style="1353" customWidth="1"/>
    <col min="11318" max="11318" width="10.5703125" style="1353" customWidth="1"/>
    <col min="11319" max="11319" width="0.7109375" style="1353" customWidth="1"/>
    <col min="11320" max="11561" width="11.42578125" style="1353"/>
    <col min="11562" max="11562" width="0.7109375" style="1353" customWidth="1"/>
    <col min="11563" max="11563" width="15.140625" style="1353" customWidth="1"/>
    <col min="11564" max="11564" width="0.7109375" style="1353" customWidth="1"/>
    <col min="11565" max="11565" width="56.140625" style="1353" customWidth="1"/>
    <col min="11566" max="11566" width="0.7109375" style="1353" customWidth="1"/>
    <col min="11567" max="11567" width="9.140625" style="1353" customWidth="1"/>
    <col min="11568" max="11568" width="6" style="1353" customWidth="1"/>
    <col min="11569" max="11569" width="0.7109375" style="1353" customWidth="1"/>
    <col min="11570" max="11570" width="7.140625" style="1353" customWidth="1"/>
    <col min="11571" max="11571" width="6.5703125" style="1353" customWidth="1"/>
    <col min="11572" max="11572" width="0.7109375" style="1353" customWidth="1"/>
    <col min="11573" max="11573" width="7.85546875" style="1353" customWidth="1"/>
    <col min="11574" max="11574" width="10.5703125" style="1353" customWidth="1"/>
    <col min="11575" max="11575" width="0.7109375" style="1353" customWidth="1"/>
    <col min="11576" max="11817" width="11.42578125" style="1353"/>
    <col min="11818" max="11818" width="0.7109375" style="1353" customWidth="1"/>
    <col min="11819" max="11819" width="15.140625" style="1353" customWidth="1"/>
    <col min="11820" max="11820" width="0.7109375" style="1353" customWidth="1"/>
    <col min="11821" max="11821" width="56.140625" style="1353" customWidth="1"/>
    <col min="11822" max="11822" width="0.7109375" style="1353" customWidth="1"/>
    <col min="11823" max="11823" width="9.140625" style="1353" customWidth="1"/>
    <col min="11824" max="11824" width="6" style="1353" customWidth="1"/>
    <col min="11825" max="11825" width="0.7109375" style="1353" customWidth="1"/>
    <col min="11826" max="11826" width="7.140625" style="1353" customWidth="1"/>
    <col min="11827" max="11827" width="6.5703125" style="1353" customWidth="1"/>
    <col min="11828" max="11828" width="0.7109375" style="1353" customWidth="1"/>
    <col min="11829" max="11829" width="7.85546875" style="1353" customWidth="1"/>
    <col min="11830" max="11830" width="10.5703125" style="1353" customWidth="1"/>
    <col min="11831" max="11831" width="0.7109375" style="1353" customWidth="1"/>
    <col min="11832" max="12073" width="11.42578125" style="1353"/>
    <col min="12074" max="12074" width="0.7109375" style="1353" customWidth="1"/>
    <col min="12075" max="12075" width="15.140625" style="1353" customWidth="1"/>
    <col min="12076" max="12076" width="0.7109375" style="1353" customWidth="1"/>
    <col min="12077" max="12077" width="56.140625" style="1353" customWidth="1"/>
    <col min="12078" max="12078" width="0.7109375" style="1353" customWidth="1"/>
    <col min="12079" max="12079" width="9.140625" style="1353" customWidth="1"/>
    <col min="12080" max="12080" width="6" style="1353" customWidth="1"/>
    <col min="12081" max="12081" width="0.7109375" style="1353" customWidth="1"/>
    <col min="12082" max="12082" width="7.140625" style="1353" customWidth="1"/>
    <col min="12083" max="12083" width="6.5703125" style="1353" customWidth="1"/>
    <col min="12084" max="12084" width="0.7109375" style="1353" customWidth="1"/>
    <col min="12085" max="12085" width="7.85546875" style="1353" customWidth="1"/>
    <col min="12086" max="12086" width="10.5703125" style="1353" customWidth="1"/>
    <col min="12087" max="12087" width="0.7109375" style="1353" customWidth="1"/>
    <col min="12088" max="12329" width="11.42578125" style="1353"/>
    <col min="12330" max="12330" width="0.7109375" style="1353" customWidth="1"/>
    <col min="12331" max="12331" width="15.140625" style="1353" customWidth="1"/>
    <col min="12332" max="12332" width="0.7109375" style="1353" customWidth="1"/>
    <col min="12333" max="12333" width="56.140625" style="1353" customWidth="1"/>
    <col min="12334" max="12334" width="0.7109375" style="1353" customWidth="1"/>
    <col min="12335" max="12335" width="9.140625" style="1353" customWidth="1"/>
    <col min="12336" max="12336" width="6" style="1353" customWidth="1"/>
    <col min="12337" max="12337" width="0.7109375" style="1353" customWidth="1"/>
    <col min="12338" max="12338" width="7.140625" style="1353" customWidth="1"/>
    <col min="12339" max="12339" width="6.5703125" style="1353" customWidth="1"/>
    <col min="12340" max="12340" width="0.7109375" style="1353" customWidth="1"/>
    <col min="12341" max="12341" width="7.85546875" style="1353" customWidth="1"/>
    <col min="12342" max="12342" width="10.5703125" style="1353" customWidth="1"/>
    <col min="12343" max="12343" width="0.7109375" style="1353" customWidth="1"/>
    <col min="12344" max="12585" width="11.42578125" style="1353"/>
    <col min="12586" max="12586" width="0.7109375" style="1353" customWidth="1"/>
    <col min="12587" max="12587" width="15.140625" style="1353" customWidth="1"/>
    <col min="12588" max="12588" width="0.7109375" style="1353" customWidth="1"/>
    <col min="12589" max="12589" width="56.140625" style="1353" customWidth="1"/>
    <col min="12590" max="12590" width="0.7109375" style="1353" customWidth="1"/>
    <col min="12591" max="12591" width="9.140625" style="1353" customWidth="1"/>
    <col min="12592" max="12592" width="6" style="1353" customWidth="1"/>
    <col min="12593" max="12593" width="0.7109375" style="1353" customWidth="1"/>
    <col min="12594" max="12594" width="7.140625" style="1353" customWidth="1"/>
    <col min="12595" max="12595" width="6.5703125" style="1353" customWidth="1"/>
    <col min="12596" max="12596" width="0.7109375" style="1353" customWidth="1"/>
    <col min="12597" max="12597" width="7.85546875" style="1353" customWidth="1"/>
    <col min="12598" max="12598" width="10.5703125" style="1353" customWidth="1"/>
    <col min="12599" max="12599" width="0.7109375" style="1353" customWidth="1"/>
    <col min="12600" max="12841" width="11.42578125" style="1353"/>
    <col min="12842" max="12842" width="0.7109375" style="1353" customWidth="1"/>
    <col min="12843" max="12843" width="15.140625" style="1353" customWidth="1"/>
    <col min="12844" max="12844" width="0.7109375" style="1353" customWidth="1"/>
    <col min="12845" max="12845" width="56.140625" style="1353" customWidth="1"/>
    <col min="12846" max="12846" width="0.7109375" style="1353" customWidth="1"/>
    <col min="12847" max="12847" width="9.140625" style="1353" customWidth="1"/>
    <col min="12848" max="12848" width="6" style="1353" customWidth="1"/>
    <col min="12849" max="12849" width="0.7109375" style="1353" customWidth="1"/>
    <col min="12850" max="12850" width="7.140625" style="1353" customWidth="1"/>
    <col min="12851" max="12851" width="6.5703125" style="1353" customWidth="1"/>
    <col min="12852" max="12852" width="0.7109375" style="1353" customWidth="1"/>
    <col min="12853" max="12853" width="7.85546875" style="1353" customWidth="1"/>
    <col min="12854" max="12854" width="10.5703125" style="1353" customWidth="1"/>
    <col min="12855" max="12855" width="0.7109375" style="1353" customWidth="1"/>
    <col min="12856" max="13097" width="11.42578125" style="1353"/>
    <col min="13098" max="13098" width="0.7109375" style="1353" customWidth="1"/>
    <col min="13099" max="13099" width="15.140625" style="1353" customWidth="1"/>
    <col min="13100" max="13100" width="0.7109375" style="1353" customWidth="1"/>
    <col min="13101" max="13101" width="56.140625" style="1353" customWidth="1"/>
    <col min="13102" max="13102" width="0.7109375" style="1353" customWidth="1"/>
    <col min="13103" max="13103" width="9.140625" style="1353" customWidth="1"/>
    <col min="13104" max="13104" width="6" style="1353" customWidth="1"/>
    <col min="13105" max="13105" width="0.7109375" style="1353" customWidth="1"/>
    <col min="13106" max="13106" width="7.140625" style="1353" customWidth="1"/>
    <col min="13107" max="13107" width="6.5703125" style="1353" customWidth="1"/>
    <col min="13108" max="13108" width="0.7109375" style="1353" customWidth="1"/>
    <col min="13109" max="13109" width="7.85546875" style="1353" customWidth="1"/>
    <col min="13110" max="13110" width="10.5703125" style="1353" customWidth="1"/>
    <col min="13111" max="13111" width="0.7109375" style="1353" customWidth="1"/>
    <col min="13112" max="13353" width="11.42578125" style="1353"/>
    <col min="13354" max="13354" width="0.7109375" style="1353" customWidth="1"/>
    <col min="13355" max="13355" width="15.140625" style="1353" customWidth="1"/>
    <col min="13356" max="13356" width="0.7109375" style="1353" customWidth="1"/>
    <col min="13357" max="13357" width="56.140625" style="1353" customWidth="1"/>
    <col min="13358" max="13358" width="0.7109375" style="1353" customWidth="1"/>
    <col min="13359" max="13359" width="9.140625" style="1353" customWidth="1"/>
    <col min="13360" max="13360" width="6" style="1353" customWidth="1"/>
    <col min="13361" max="13361" width="0.7109375" style="1353" customWidth="1"/>
    <col min="13362" max="13362" width="7.140625" style="1353" customWidth="1"/>
    <col min="13363" max="13363" width="6.5703125" style="1353" customWidth="1"/>
    <col min="13364" max="13364" width="0.7109375" style="1353" customWidth="1"/>
    <col min="13365" max="13365" width="7.85546875" style="1353" customWidth="1"/>
    <col min="13366" max="13366" width="10.5703125" style="1353" customWidth="1"/>
    <col min="13367" max="13367" width="0.7109375" style="1353" customWidth="1"/>
    <col min="13368" max="13609" width="11.42578125" style="1353"/>
    <col min="13610" max="13610" width="0.7109375" style="1353" customWidth="1"/>
    <col min="13611" max="13611" width="15.140625" style="1353" customWidth="1"/>
    <col min="13612" max="13612" width="0.7109375" style="1353" customWidth="1"/>
    <col min="13613" max="13613" width="56.140625" style="1353" customWidth="1"/>
    <col min="13614" max="13614" width="0.7109375" style="1353" customWidth="1"/>
    <col min="13615" max="13615" width="9.140625" style="1353" customWidth="1"/>
    <col min="13616" max="13616" width="6" style="1353" customWidth="1"/>
    <col min="13617" max="13617" width="0.7109375" style="1353" customWidth="1"/>
    <col min="13618" max="13618" width="7.140625" style="1353" customWidth="1"/>
    <col min="13619" max="13619" width="6.5703125" style="1353" customWidth="1"/>
    <col min="13620" max="13620" width="0.7109375" style="1353" customWidth="1"/>
    <col min="13621" max="13621" width="7.85546875" style="1353" customWidth="1"/>
    <col min="13622" max="13622" width="10.5703125" style="1353" customWidth="1"/>
    <col min="13623" max="13623" width="0.7109375" style="1353" customWidth="1"/>
    <col min="13624" max="16384" width="11.42578125" style="1353"/>
  </cols>
  <sheetData>
    <row r="1" spans="1:16" s="1304" customFormat="1" ht="15" customHeight="1">
      <c r="A1" s="1302"/>
      <c r="B1" s="2014" t="s">
        <v>2996</v>
      </c>
      <c r="C1" s="2014"/>
      <c r="D1" s="2014"/>
      <c r="E1" s="2014"/>
      <c r="F1" s="2014"/>
      <c r="G1" s="2014"/>
      <c r="H1" s="2014"/>
      <c r="I1" s="2014"/>
      <c r="J1" s="2014"/>
      <c r="K1" s="2014"/>
      <c r="L1" s="2014"/>
      <c r="M1" s="2014"/>
      <c r="N1" s="1303"/>
      <c r="P1" s="1304" t="s">
        <v>451</v>
      </c>
    </row>
    <row r="2" spans="1:16" s="1304" customFormat="1" ht="15" customHeight="1">
      <c r="A2" s="1305"/>
      <c r="B2" s="2015" t="s">
        <v>2997</v>
      </c>
      <c r="C2" s="2015"/>
      <c r="D2" s="2015"/>
      <c r="E2" s="2015"/>
      <c r="F2" s="2015"/>
      <c r="G2" s="2015"/>
      <c r="H2" s="2015"/>
      <c r="I2" s="2015"/>
      <c r="J2" s="2015"/>
      <c r="K2" s="2015"/>
      <c r="L2" s="2015"/>
      <c r="M2" s="2015"/>
      <c r="N2" s="1306"/>
      <c r="P2" s="1304" t="s">
        <v>452</v>
      </c>
    </row>
    <row r="3" spans="1:16" s="1304" customFormat="1" ht="15" customHeight="1">
      <c r="A3" s="1305"/>
      <c r="B3" s="2016" t="s">
        <v>2998</v>
      </c>
      <c r="C3" s="2016"/>
      <c r="D3" s="2016"/>
      <c r="E3" s="2016"/>
      <c r="F3" s="2016"/>
      <c r="G3" s="2016"/>
      <c r="H3" s="2016"/>
      <c r="I3" s="2016"/>
      <c r="J3" s="2016"/>
      <c r="K3" s="2016"/>
      <c r="L3" s="2016"/>
      <c r="M3" s="2016"/>
      <c r="N3" s="1306"/>
      <c r="P3" s="1304" t="s">
        <v>14082</v>
      </c>
    </row>
    <row r="4" spans="1:16" s="1304" customFormat="1" ht="15" customHeight="1">
      <c r="A4" s="1305"/>
      <c r="B4" s="2016" t="s">
        <v>3063</v>
      </c>
      <c r="C4" s="2016"/>
      <c r="D4" s="2016"/>
      <c r="E4" s="2016"/>
      <c r="F4" s="2016"/>
      <c r="G4" s="2016"/>
      <c r="H4" s="2016"/>
      <c r="I4" s="2016"/>
      <c r="J4" s="2016"/>
      <c r="K4" s="2016"/>
      <c r="L4" s="2016"/>
      <c r="M4" s="2016"/>
      <c r="N4" s="1306"/>
      <c r="P4" s="1304" t="s">
        <v>202</v>
      </c>
    </row>
    <row r="5" spans="1:16" s="1304" customFormat="1" ht="15" customHeight="1">
      <c r="A5" s="1305"/>
      <c r="B5" s="2016" t="s">
        <v>2999</v>
      </c>
      <c r="C5" s="2016"/>
      <c r="D5" s="2016"/>
      <c r="E5" s="2016"/>
      <c r="F5" s="2016"/>
      <c r="G5" s="2016"/>
      <c r="H5" s="2016"/>
      <c r="I5" s="2016"/>
      <c r="J5" s="2016"/>
      <c r="K5" s="2016"/>
      <c r="L5" s="2016"/>
      <c r="M5" s="2016"/>
      <c r="N5" s="1306"/>
    </row>
    <row r="6" spans="1:16" s="1312" customFormat="1">
      <c r="A6" s="1307"/>
      <c r="B6" s="1308" t="s">
        <v>14083</v>
      </c>
      <c r="C6" s="1308"/>
      <c r="D6" s="1309" t="str">
        <f>'REMOÇÃO DE PAV. ADUTORA'!B6</f>
        <v xml:space="preserve">SISTEMA DE ABASTECIMENTO DE ÁGUA </v>
      </c>
      <c r="E6" s="1308"/>
      <c r="F6" s="1310"/>
      <c r="G6" s="1310"/>
      <c r="H6" s="1310"/>
      <c r="I6" s="1310"/>
      <c r="J6" s="1310"/>
      <c r="K6" s="1310"/>
      <c r="L6" s="1310"/>
      <c r="M6" s="1310"/>
      <c r="N6" s="1311"/>
    </row>
    <row r="7" spans="1:16" s="1312" customFormat="1">
      <c r="A7" s="1313"/>
      <c r="B7" s="1312" t="s">
        <v>8</v>
      </c>
      <c r="D7" s="1422" t="str">
        <f>'REMOÇÃO DE PAV. ADUTORA'!B7</f>
        <v>SETOR PIONEIRO - MUNICÍPIO DE APIACÁS</v>
      </c>
      <c r="F7" s="1315"/>
      <c r="G7" s="1315"/>
      <c r="H7" s="1315"/>
      <c r="I7" s="1315"/>
      <c r="J7" s="1315"/>
      <c r="K7" s="1315"/>
      <c r="L7" s="1315"/>
      <c r="M7" s="1315"/>
      <c r="N7" s="1316"/>
    </row>
    <row r="8" spans="1:16" s="1312" customFormat="1">
      <c r="A8" s="1313"/>
      <c r="B8" s="1312" t="s">
        <v>14084</v>
      </c>
      <c r="D8" s="1314" t="str">
        <f>'REMOÇÃO DE PAV. ADUTORA'!B8</f>
        <v>PREFEITURA MUNICIPAL DE APIACÁS</v>
      </c>
      <c r="F8" s="1315"/>
      <c r="G8" s="1315"/>
      <c r="H8" s="1315"/>
      <c r="I8" s="1315"/>
      <c r="J8" s="1315"/>
      <c r="K8" s="1315"/>
      <c r="L8" s="1315"/>
      <c r="M8" s="1315"/>
      <c r="N8" s="1316"/>
    </row>
    <row r="9" spans="1:16" s="1312" customFormat="1">
      <c r="A9" s="1317"/>
      <c r="B9" s="1318" t="s">
        <v>7</v>
      </c>
      <c r="C9" s="1318"/>
      <c r="D9" s="1423">
        <f ca="1">'REMOÇÃO DE PAV. ADUTORA'!B9</f>
        <v>45167</v>
      </c>
      <c r="E9" s="1318"/>
      <c r="F9" s="1319"/>
      <c r="G9" s="1319"/>
      <c r="H9" s="1319"/>
      <c r="I9" s="1319"/>
      <c r="J9" s="1319"/>
      <c r="K9" s="1319"/>
      <c r="L9" s="1319"/>
      <c r="M9" s="1319"/>
      <c r="N9" s="1320"/>
    </row>
    <row r="10" spans="1:16" s="1312" customFormat="1" ht="18">
      <c r="A10" s="2011" t="s">
        <v>14085</v>
      </c>
      <c r="B10" s="2012"/>
      <c r="C10" s="2012"/>
      <c r="D10" s="2012"/>
      <c r="E10" s="2012"/>
      <c r="F10" s="2012"/>
      <c r="G10" s="2012"/>
      <c r="H10" s="2012"/>
      <c r="I10" s="2012"/>
      <c r="J10" s="2012"/>
      <c r="K10" s="2012"/>
      <c r="L10" s="2012"/>
      <c r="M10" s="2012"/>
      <c r="N10" s="2013"/>
    </row>
    <row r="11" spans="1:16" s="1312" customFormat="1" ht="3.95" customHeight="1" thickBot="1">
      <c r="A11" s="1321"/>
      <c r="B11" s="1322"/>
      <c r="C11" s="1322"/>
      <c r="D11" s="1322"/>
      <c r="E11" s="1322"/>
      <c r="F11" s="1322"/>
      <c r="G11" s="1322"/>
      <c r="H11" s="1322"/>
      <c r="I11" s="1322"/>
      <c r="J11" s="1322"/>
      <c r="K11" s="1322"/>
      <c r="L11" s="1322"/>
      <c r="M11" s="1323"/>
      <c r="N11" s="1316"/>
    </row>
    <row r="12" spans="1:16" s="1312" customFormat="1" ht="12" customHeight="1">
      <c r="A12" s="1313"/>
      <c r="B12" s="1324" t="s">
        <v>14086</v>
      </c>
      <c r="D12" s="2025" t="s">
        <v>14099</v>
      </c>
      <c r="E12" s="2026"/>
      <c r="F12" s="2026"/>
      <c r="G12" s="2026"/>
      <c r="H12" s="2026"/>
      <c r="I12" s="2026"/>
      <c r="J12" s="2027"/>
      <c r="K12" s="1315"/>
      <c r="L12" s="1989" t="s">
        <v>14088</v>
      </c>
      <c r="M12" s="1991"/>
      <c r="N12" s="1316"/>
    </row>
    <row r="13" spans="1:16" s="1312" customFormat="1">
      <c r="A13" s="1313"/>
      <c r="B13" s="1325"/>
      <c r="D13" s="2028"/>
      <c r="E13" s="2029"/>
      <c r="F13" s="2029"/>
      <c r="G13" s="2029"/>
      <c r="H13" s="2029"/>
      <c r="I13" s="2029"/>
      <c r="J13" s="2030"/>
      <c r="L13" s="1995" t="s">
        <v>0</v>
      </c>
      <c r="M13" s="1996"/>
      <c r="N13" s="1316"/>
    </row>
    <row r="14" spans="1:16" s="1312" customFormat="1" ht="3.95" customHeight="1" thickBot="1">
      <c r="A14" s="1313"/>
      <c r="F14" s="1315"/>
      <c r="G14" s="1315"/>
      <c r="H14" s="1315"/>
      <c r="I14" s="1315"/>
      <c r="J14" s="1315"/>
      <c r="L14" s="1315"/>
      <c r="M14" s="1315"/>
      <c r="N14" s="1316"/>
    </row>
    <row r="15" spans="1:16" s="1312" customFormat="1" ht="26.25" customHeight="1">
      <c r="A15" s="1313"/>
      <c r="B15" s="1326" t="s">
        <v>14089</v>
      </c>
      <c r="C15" s="1314"/>
      <c r="D15" s="1327" t="s">
        <v>14100</v>
      </c>
      <c r="E15" s="1328"/>
      <c r="F15" s="1328"/>
      <c r="G15" s="1329"/>
      <c r="H15" s="1330"/>
      <c r="I15" s="1997" t="str">
        <f>'COMP. IMPRIMAÇÃO'!I15:L15</f>
        <v>CÓDIGO REFERÊNCIA:                                           (SINAPI JANEIRO/2023)</v>
      </c>
      <c r="J15" s="1998"/>
      <c r="K15" s="1998"/>
      <c r="L15" s="1998"/>
      <c r="M15" s="1331">
        <v>104378</v>
      </c>
      <c r="N15" s="1316"/>
    </row>
    <row r="16" spans="1:16" s="1312" customFormat="1" ht="3.75" customHeight="1">
      <c r="A16" s="1313"/>
      <c r="B16" s="1332"/>
      <c r="N16" s="1316"/>
    </row>
    <row r="17" spans="1:14" s="1312" customFormat="1" ht="12.75" customHeight="1">
      <c r="A17" s="1313"/>
      <c r="B17" s="1999" t="s">
        <v>12</v>
      </c>
      <c r="C17" s="2000"/>
      <c r="D17" s="1999" t="s">
        <v>3996</v>
      </c>
      <c r="E17" s="2003" t="s">
        <v>184</v>
      </c>
      <c r="F17" s="2003" t="s">
        <v>3377</v>
      </c>
      <c r="G17" s="2005" t="s">
        <v>14092</v>
      </c>
      <c r="H17" s="2006"/>
      <c r="I17" s="2007"/>
      <c r="J17" s="1334" t="s">
        <v>14093</v>
      </c>
      <c r="K17" s="1334"/>
      <c r="L17" s="1335"/>
      <c r="M17" s="1333" t="s">
        <v>14093</v>
      </c>
      <c r="N17" s="1316"/>
    </row>
    <row r="18" spans="1:14" s="1312" customFormat="1">
      <c r="A18" s="1313"/>
      <c r="B18" s="2001"/>
      <c r="C18" s="2002"/>
      <c r="D18" s="2001"/>
      <c r="E18" s="2004"/>
      <c r="F18" s="2004"/>
      <c r="G18" s="2008"/>
      <c r="H18" s="2009"/>
      <c r="I18" s="2010"/>
      <c r="J18" s="1336" t="s">
        <v>14094</v>
      </c>
      <c r="K18" s="1336"/>
      <c r="L18" s="1337"/>
      <c r="M18" s="1338" t="s">
        <v>14095</v>
      </c>
      <c r="N18" s="1316"/>
    </row>
    <row r="19" spans="1:14" s="1312" customFormat="1">
      <c r="A19" s="1313"/>
      <c r="B19" s="1339"/>
      <c r="C19" s="1340"/>
      <c r="D19" s="1341" t="s">
        <v>202</v>
      </c>
      <c r="E19" s="1347" t="str">
        <f>'COTAÇÃO PEDRA BRITADA N.0'!$A$10</f>
        <v>PEDRA BRITADA N. 0, OU PEDRISCO (4,8 A 9,5 MM)</v>
      </c>
      <c r="F19" s="1348" t="s">
        <v>14101</v>
      </c>
      <c r="G19" s="1981">
        <v>7.3000000000000001E-3</v>
      </c>
      <c r="H19" s="1982"/>
      <c r="I19" s="1983"/>
      <c r="J19" s="1988">
        <f>'COTAÇÃO PEDRA BRITADA N.0'!C17</f>
        <v>198</v>
      </c>
      <c r="K19" s="1988"/>
      <c r="L19" s="1988"/>
      <c r="M19" s="1357">
        <f>TRUNC(G19*J19,2)</f>
        <v>1.44</v>
      </c>
      <c r="N19" s="1316"/>
    </row>
    <row r="20" spans="1:14" s="1312" customFormat="1">
      <c r="A20" s="1313"/>
      <c r="B20" s="1339"/>
      <c r="C20" s="1340"/>
      <c r="D20" s="1341" t="s">
        <v>202</v>
      </c>
      <c r="E20" s="1347" t="str">
        <f>'COTAÇÃO PEDRA BRITADA N.1'!$A$10</f>
        <v>PEDRA BRITADA N. 1 (9,5 a 19 MM)</v>
      </c>
      <c r="F20" s="1348" t="s">
        <v>14101</v>
      </c>
      <c r="G20" s="1981">
        <v>1.4999999999999999E-2</v>
      </c>
      <c r="H20" s="1982"/>
      <c r="I20" s="1983"/>
      <c r="J20" s="1988">
        <f>'COTAÇÃO PEDRA BRITADA N.1'!C17</f>
        <v>165</v>
      </c>
      <c r="K20" s="1988">
        <v>0</v>
      </c>
      <c r="L20" s="1988">
        <v>0</v>
      </c>
      <c r="M20" s="1357">
        <f t="shared" ref="M20:M30" si="0">TRUNC(G20*J20,2)</f>
        <v>2.4700000000000002</v>
      </c>
      <c r="N20" s="1316"/>
    </row>
    <row r="21" spans="1:14" s="1312" customFormat="1" ht="36">
      <c r="A21" s="1313"/>
      <c r="B21" s="1339">
        <v>6879</v>
      </c>
      <c r="C21" s="1340"/>
      <c r="D21" s="1341" t="s">
        <v>452</v>
      </c>
      <c r="E21" s="1342" t="s">
        <v>745</v>
      </c>
      <c r="F21" s="1343" t="s">
        <v>33</v>
      </c>
      <c r="G21" s="1981">
        <v>8.0000000000000004E-4</v>
      </c>
      <c r="H21" s="1982"/>
      <c r="I21" s="1983"/>
      <c r="J21" s="2019">
        <v>214.5</v>
      </c>
      <c r="K21" s="2020" t="b">
        <v>0</v>
      </c>
      <c r="L21" s="2021" t="b">
        <v>0</v>
      </c>
      <c r="M21" s="1358">
        <f t="shared" si="0"/>
        <v>0.17</v>
      </c>
      <c r="N21" s="1316"/>
    </row>
    <row r="22" spans="1:14" s="1312" customFormat="1" ht="36">
      <c r="A22" s="1313"/>
      <c r="B22" s="1339">
        <v>6880</v>
      </c>
      <c r="C22" s="1340"/>
      <c r="D22" s="1341" t="s">
        <v>452</v>
      </c>
      <c r="E22" s="1342" t="s">
        <v>840</v>
      </c>
      <c r="F22" s="1343" t="s">
        <v>40</v>
      </c>
      <c r="G22" s="1981">
        <v>3.3E-3</v>
      </c>
      <c r="H22" s="1982"/>
      <c r="I22" s="1983"/>
      <c r="J22" s="2019">
        <v>78.94</v>
      </c>
      <c r="K22" s="2020" t="b">
        <v>0</v>
      </c>
      <c r="L22" s="2021" t="b">
        <v>0</v>
      </c>
      <c r="M22" s="1358">
        <f>TRUNC(G22*J22,2)</f>
        <v>0.26</v>
      </c>
      <c r="N22" s="1316"/>
    </row>
    <row r="23" spans="1:14" s="1312" customFormat="1" ht="24">
      <c r="A23" s="1313"/>
      <c r="B23" s="1339">
        <v>7030</v>
      </c>
      <c r="C23" s="1340"/>
      <c r="D23" s="1341" t="s">
        <v>452</v>
      </c>
      <c r="E23" s="1342" t="s">
        <v>746</v>
      </c>
      <c r="F23" s="1343" t="s">
        <v>33</v>
      </c>
      <c r="G23" s="1981">
        <v>4.0000000000000001E-3</v>
      </c>
      <c r="H23" s="1982"/>
      <c r="I23" s="1983"/>
      <c r="J23" s="2019">
        <v>285.81</v>
      </c>
      <c r="K23" s="2020" t="b">
        <v>0</v>
      </c>
      <c r="L23" s="2021" t="b">
        <v>0</v>
      </c>
      <c r="M23" s="1358">
        <f>TRUNC(G23*J23,2)</f>
        <v>1.1399999999999999</v>
      </c>
      <c r="N23" s="1316"/>
    </row>
    <row r="24" spans="1:14" s="1312" customFormat="1" ht="24">
      <c r="A24" s="1313"/>
      <c r="B24" s="1339">
        <f>'COMP. IMPRIMAÇÃO'!B21</f>
        <v>0</v>
      </c>
      <c r="C24" s="1340"/>
      <c r="D24" s="1341" t="s">
        <v>202</v>
      </c>
      <c r="E24" s="1347" t="s">
        <v>13711</v>
      </c>
      <c r="F24" s="1348" t="s">
        <v>14102</v>
      </c>
      <c r="G24" s="1981">
        <v>4.2</v>
      </c>
      <c r="H24" s="1982"/>
      <c r="I24" s="1983"/>
      <c r="J24" s="2022">
        <f>RR2C!D27</f>
        <v>3.2422826543502037</v>
      </c>
      <c r="K24" s="2023"/>
      <c r="L24" s="2024"/>
      <c r="M24" s="1357">
        <f t="shared" si="0"/>
        <v>13.61</v>
      </c>
      <c r="N24" s="1316"/>
    </row>
    <row r="25" spans="1:14" s="1312" customFormat="1" ht="60">
      <c r="A25" s="1313"/>
      <c r="B25" s="1339">
        <v>83362</v>
      </c>
      <c r="C25" s="1340"/>
      <c r="D25" s="1341" t="s">
        <v>452</v>
      </c>
      <c r="E25" s="1342" t="s">
        <v>753</v>
      </c>
      <c r="F25" s="1343" t="s">
        <v>33</v>
      </c>
      <c r="G25" s="1981">
        <v>1.2999999999999999E-3</v>
      </c>
      <c r="H25" s="1982"/>
      <c r="I25" s="1983"/>
      <c r="J25" s="1984">
        <v>258.42</v>
      </c>
      <c r="K25" s="1984" t="b">
        <v>0</v>
      </c>
      <c r="L25" s="1984" t="b">
        <v>0</v>
      </c>
      <c r="M25" s="1358">
        <f t="shared" si="0"/>
        <v>0.33</v>
      </c>
      <c r="N25" s="1316"/>
    </row>
    <row r="26" spans="1:14" s="1312" customFormat="1">
      <c r="A26" s="1313"/>
      <c r="B26" s="1339">
        <v>88316</v>
      </c>
      <c r="C26" s="1340"/>
      <c r="D26" s="1341" t="s">
        <v>452</v>
      </c>
      <c r="E26" s="1342" t="s">
        <v>150</v>
      </c>
      <c r="F26" s="1343" t="s">
        <v>36</v>
      </c>
      <c r="G26" s="1981">
        <v>3.2199999999999999E-2</v>
      </c>
      <c r="H26" s="1982"/>
      <c r="I26" s="1983"/>
      <c r="J26" s="1984">
        <v>19.29</v>
      </c>
      <c r="K26" s="1984" t="b">
        <v>0</v>
      </c>
      <c r="L26" s="1984" t="b">
        <v>0</v>
      </c>
      <c r="M26" s="1358">
        <f t="shared" si="0"/>
        <v>0.62</v>
      </c>
      <c r="N26" s="1316"/>
    </row>
    <row r="27" spans="1:14" s="1312" customFormat="1" ht="24">
      <c r="A27" s="1313"/>
      <c r="B27" s="1339">
        <v>89035</v>
      </c>
      <c r="C27" s="1340"/>
      <c r="D27" s="1341" t="s">
        <v>452</v>
      </c>
      <c r="E27" s="1342" t="s">
        <v>221</v>
      </c>
      <c r="F27" s="1343" t="s">
        <v>33</v>
      </c>
      <c r="G27" s="1981">
        <v>5.0000000000000001E-4</v>
      </c>
      <c r="H27" s="1982"/>
      <c r="I27" s="1983"/>
      <c r="J27" s="1984">
        <v>122.84</v>
      </c>
      <c r="K27" s="1984" t="b">
        <v>0</v>
      </c>
      <c r="L27" s="1984" t="b">
        <v>0</v>
      </c>
      <c r="M27" s="1358">
        <f t="shared" si="0"/>
        <v>0.06</v>
      </c>
      <c r="N27" s="1316"/>
    </row>
    <row r="28" spans="1:14" s="1312" customFormat="1" ht="24">
      <c r="A28" s="1313"/>
      <c r="B28" s="1339">
        <v>89036</v>
      </c>
      <c r="C28" s="1340"/>
      <c r="D28" s="1341" t="s">
        <v>452</v>
      </c>
      <c r="E28" s="1342" t="s">
        <v>242</v>
      </c>
      <c r="F28" s="1343" t="s">
        <v>40</v>
      </c>
      <c r="G28" s="1981">
        <v>3.5000000000000001E-3</v>
      </c>
      <c r="H28" s="1982"/>
      <c r="I28" s="1983"/>
      <c r="J28" s="1984">
        <v>34.93</v>
      </c>
      <c r="K28" s="1984" t="b">
        <v>0</v>
      </c>
      <c r="L28" s="1984" t="b">
        <v>0</v>
      </c>
      <c r="M28" s="1358">
        <f t="shared" si="0"/>
        <v>0.12</v>
      </c>
      <c r="N28" s="1316"/>
    </row>
    <row r="29" spans="1:14" s="1312" customFormat="1" ht="48">
      <c r="A29" s="1313"/>
      <c r="B29" s="1339">
        <v>91386</v>
      </c>
      <c r="C29" s="1340"/>
      <c r="D29" s="1341" t="s">
        <v>452</v>
      </c>
      <c r="E29" s="1342" t="s">
        <v>782</v>
      </c>
      <c r="F29" s="1343" t="s">
        <v>33</v>
      </c>
      <c r="G29" s="1981">
        <v>5.0000000000000001E-4</v>
      </c>
      <c r="H29" s="1982"/>
      <c r="I29" s="1983"/>
      <c r="J29" s="1984">
        <v>257.83999999999997</v>
      </c>
      <c r="K29" s="1984" t="b">
        <v>0</v>
      </c>
      <c r="L29" s="1984" t="b">
        <v>0</v>
      </c>
      <c r="M29" s="1358">
        <f t="shared" si="0"/>
        <v>0.12</v>
      </c>
      <c r="N29" s="1316"/>
    </row>
    <row r="30" spans="1:14" s="1312" customFormat="1" ht="60">
      <c r="A30" s="1313"/>
      <c r="B30" s="1339">
        <v>91486</v>
      </c>
      <c r="C30" s="1340"/>
      <c r="D30" s="1341" t="s">
        <v>452</v>
      </c>
      <c r="E30" s="1342" t="s">
        <v>876</v>
      </c>
      <c r="F30" s="1343" t="s">
        <v>40</v>
      </c>
      <c r="G30" s="1981">
        <v>2.7000000000000001E-3</v>
      </c>
      <c r="H30" s="1982"/>
      <c r="I30" s="1983"/>
      <c r="J30" s="1984">
        <v>52.07</v>
      </c>
      <c r="K30" s="1984" t="b">
        <v>0</v>
      </c>
      <c r="L30" s="1984" t="b">
        <v>0</v>
      </c>
      <c r="M30" s="1358">
        <f t="shared" si="0"/>
        <v>0.14000000000000001</v>
      </c>
      <c r="N30" s="1316"/>
    </row>
    <row r="31" spans="1:14" s="1312" customFormat="1" ht="15.75" customHeight="1" thickBot="1">
      <c r="A31" s="1350"/>
      <c r="B31" s="1985" t="s">
        <v>14097</v>
      </c>
      <c r="C31" s="1986"/>
      <c r="D31" s="1986"/>
      <c r="E31" s="1986"/>
      <c r="F31" s="1986"/>
      <c r="G31" s="1986"/>
      <c r="H31" s="1986"/>
      <c r="I31" s="1986"/>
      <c r="J31" s="1986"/>
      <c r="K31" s="1986"/>
      <c r="L31" s="1987"/>
      <c r="M31" s="1351">
        <f>SUM(M19:M30)</f>
        <v>20.48</v>
      </c>
      <c r="N31" s="1352"/>
    </row>
    <row r="32" spans="1:14" ht="31.5" customHeight="1">
      <c r="A32" s="2017" t="s">
        <v>14098</v>
      </c>
      <c r="B32" s="2017"/>
      <c r="C32" s="2017"/>
      <c r="D32" s="2017"/>
      <c r="E32" s="2018">
        <f>'COMP. IMPRIMAÇÃO'!E28</f>
        <v>44927</v>
      </c>
      <c r="F32" s="2018"/>
      <c r="G32" s="2018"/>
      <c r="H32" s="2018"/>
      <c r="I32" s="2018"/>
      <c r="J32" s="2018"/>
      <c r="K32" s="2018"/>
      <c r="L32" s="2018"/>
      <c r="M32" s="2018"/>
    </row>
  </sheetData>
  <mergeCells count="42">
    <mergeCell ref="A10:N10"/>
    <mergeCell ref="B1:M1"/>
    <mergeCell ref="B2:M2"/>
    <mergeCell ref="B3:M3"/>
    <mergeCell ref="B4:M4"/>
    <mergeCell ref="B5:M5"/>
    <mergeCell ref="D12:J13"/>
    <mergeCell ref="L12:M12"/>
    <mergeCell ref="L13:M13"/>
    <mergeCell ref="I15:L15"/>
    <mergeCell ref="B17:C18"/>
    <mergeCell ref="D17:D18"/>
    <mergeCell ref="E17:E18"/>
    <mergeCell ref="F17:F18"/>
    <mergeCell ref="G17:I18"/>
    <mergeCell ref="G19:I19"/>
    <mergeCell ref="J19:L19"/>
    <mergeCell ref="G20:I20"/>
    <mergeCell ref="J20:L20"/>
    <mergeCell ref="G21:I21"/>
    <mergeCell ref="J21:L21"/>
    <mergeCell ref="G22:I22"/>
    <mergeCell ref="J22:L22"/>
    <mergeCell ref="G23:I23"/>
    <mergeCell ref="J23:L23"/>
    <mergeCell ref="G24:I24"/>
    <mergeCell ref="J24:L24"/>
    <mergeCell ref="G25:I25"/>
    <mergeCell ref="J25:L25"/>
    <mergeCell ref="G26:I26"/>
    <mergeCell ref="J26:L26"/>
    <mergeCell ref="G27:I27"/>
    <mergeCell ref="J27:L27"/>
    <mergeCell ref="B31:L31"/>
    <mergeCell ref="A32:D32"/>
    <mergeCell ref="E32:M32"/>
    <mergeCell ref="G28:I28"/>
    <mergeCell ref="J28:L28"/>
    <mergeCell ref="G29:I29"/>
    <mergeCell ref="J29:L29"/>
    <mergeCell ref="G30:I30"/>
    <mergeCell ref="J30:L30"/>
  </mergeCells>
  <dataValidations count="2">
    <dataValidation type="list" allowBlank="1" showInputMessage="1" showErrorMessage="1" sqref="O19:O30">
      <formula1>#REF!</formula1>
    </dataValidation>
    <dataValidation type="list" allowBlank="1" showInputMessage="1" showErrorMessage="1" sqref="D19:D30">
      <formula1>$P$1:$P$4</formula1>
    </dataValidation>
  </dataValidations>
  <printOptions horizontalCentered="1" verticalCentered="1"/>
  <pageMargins left="0.70866141732283472" right="0.70866141732283472" top="0.74803149606299213" bottom="0.74803149606299213" header="0.31496062992125984" footer="0.31496062992125984"/>
  <pageSetup paperSize="9" scale="70" fitToHeight="0" orientation="landscape" blackAndWhite="1" r:id="rId1"/>
  <headerFooter alignWithMargins="0"/>
  <drawing r:id="rId2"/>
</worksheet>
</file>

<file path=xl/worksheets/sheet23.xml><?xml version="1.0" encoding="utf-8"?>
<worksheet xmlns="http://schemas.openxmlformats.org/spreadsheetml/2006/main" xmlns:r="http://schemas.openxmlformats.org/officeDocument/2006/relationships">
  <sheetPr codeName="Plan32">
    <tabColor theme="1" tint="0.34998626667073579"/>
  </sheetPr>
  <dimension ref="A1:HR24"/>
  <sheetViews>
    <sheetView showGridLines="0" view="pageBreakPreview" zoomScale="80" zoomScaleNormal="115" zoomScaleSheetLayoutView="80" workbookViewId="0">
      <selection activeCell="B9" sqref="B9:F9"/>
    </sheetView>
  </sheetViews>
  <sheetFormatPr defaultColWidth="9.140625" defaultRowHeight="15"/>
  <cols>
    <col min="2" max="2" width="23.85546875" bestFit="1" customWidth="1"/>
    <col min="3" max="3" width="14.140625" customWidth="1"/>
    <col min="4" max="4" width="11.7109375" bestFit="1" customWidth="1"/>
    <col min="5" max="5" width="62.5703125" customWidth="1"/>
    <col min="6" max="6" width="30.140625" customWidth="1"/>
    <col min="7" max="7" width="19" customWidth="1"/>
    <col min="8" max="8" width="25.42578125" customWidth="1"/>
    <col min="9" max="9" width="26.85546875" customWidth="1"/>
  </cols>
  <sheetData>
    <row r="1" spans="1:9" s="533" customFormat="1" ht="18">
      <c r="A1" s="1909" t="s">
        <v>2996</v>
      </c>
      <c r="B1" s="1910" t="s">
        <v>2996</v>
      </c>
      <c r="C1" s="1910"/>
      <c r="D1" s="1910"/>
      <c r="E1" s="1910"/>
      <c r="F1" s="1910"/>
      <c r="G1" s="1910"/>
      <c r="H1" s="1910"/>
      <c r="I1" s="1911"/>
    </row>
    <row r="2" spans="1:9" s="533" customFormat="1" ht="14.25">
      <c r="A2" s="1912" t="s">
        <v>2997</v>
      </c>
      <c r="B2" s="1913" t="s">
        <v>13994</v>
      </c>
      <c r="C2" s="1913"/>
      <c r="D2" s="1913"/>
      <c r="E2" s="1913"/>
      <c r="F2" s="1913"/>
      <c r="G2" s="1913"/>
      <c r="H2" s="1913"/>
      <c r="I2" s="1914"/>
    </row>
    <row r="3" spans="1:9" s="533" customFormat="1" ht="14.25">
      <c r="A3" s="1915" t="s">
        <v>2998</v>
      </c>
      <c r="B3" s="1916" t="s">
        <v>13995</v>
      </c>
      <c r="C3" s="1916"/>
      <c r="D3" s="1916"/>
      <c r="E3" s="1916"/>
      <c r="F3" s="1916"/>
      <c r="G3" s="1916"/>
      <c r="H3" s="1916"/>
      <c r="I3" s="1917"/>
    </row>
    <row r="4" spans="1:9" s="533" customFormat="1" ht="14.25">
      <c r="A4" s="1915" t="s">
        <v>3063</v>
      </c>
      <c r="B4" s="1916" t="s">
        <v>3063</v>
      </c>
      <c r="C4" s="1916"/>
      <c r="D4" s="1916"/>
      <c r="E4" s="1916"/>
      <c r="F4" s="1916"/>
      <c r="G4" s="1916"/>
      <c r="H4" s="1916"/>
      <c r="I4" s="1917"/>
    </row>
    <row r="5" spans="1:9" s="533" customFormat="1" ht="14.25">
      <c r="A5" s="1915" t="s">
        <v>2999</v>
      </c>
      <c r="B5" s="1916" t="s">
        <v>2999</v>
      </c>
      <c r="C5" s="1916"/>
      <c r="D5" s="1916"/>
      <c r="E5" s="1916"/>
      <c r="F5" s="1916"/>
      <c r="G5" s="1916"/>
      <c r="H5" s="1916"/>
      <c r="I5" s="1917"/>
    </row>
    <row r="6" spans="1:9" s="533" customFormat="1" ht="15" customHeight="1">
      <c r="A6" s="1142" t="s">
        <v>6</v>
      </c>
      <c r="B6" s="1907" t="str">
        <f>'REMOÇÃO DE PAV. ADUTORA'!B6:F6</f>
        <v xml:space="preserve">SISTEMA DE ABASTECIMENTO DE ÁGUA </v>
      </c>
      <c r="C6" s="1907"/>
      <c r="D6" s="1907"/>
      <c r="E6" s="1907"/>
      <c r="F6" s="1907"/>
      <c r="G6" s="1907"/>
      <c r="H6" s="1907"/>
      <c r="I6" s="1908"/>
    </row>
    <row r="7" spans="1:9" s="533" customFormat="1" ht="14.25">
      <c r="A7" s="534" t="s">
        <v>8</v>
      </c>
      <c r="B7" s="2048" t="str">
        <f>'REMOÇÃO DE PAV. ADUTORA'!B7:F7</f>
        <v>SETOR PIONEIRO - MUNICÍPIO DE APIACÁS</v>
      </c>
      <c r="C7" s="2048"/>
      <c r="D7" s="2048"/>
      <c r="E7" s="2048"/>
      <c r="F7" s="2048"/>
      <c r="G7" s="2048"/>
      <c r="H7" s="2048"/>
      <c r="I7" s="1890"/>
    </row>
    <row r="8" spans="1:9" s="533" customFormat="1" ht="14.25">
      <c r="A8" s="534" t="s">
        <v>13672</v>
      </c>
      <c r="B8" s="2048" t="str">
        <f>'REMOÇÃO DE PAV. ADUTORA'!B8:F8</f>
        <v>PREFEITURA MUNICIPAL DE APIACÁS</v>
      </c>
      <c r="C8" s="2048"/>
      <c r="D8" s="2048"/>
      <c r="E8" s="2048"/>
      <c r="F8" s="2048"/>
      <c r="G8" s="2048"/>
      <c r="H8" s="2048"/>
      <c r="I8" s="1890"/>
    </row>
    <row r="9" spans="1:9" s="533" customFormat="1" ht="15.75" customHeight="1">
      <c r="A9" s="1143" t="s">
        <v>3064</v>
      </c>
      <c r="B9" s="1891">
        <f ca="1">'REMOÇÃO DE PAV. ADUTORA'!B9:F9</f>
        <v>45167</v>
      </c>
      <c r="C9" s="1892"/>
      <c r="D9" s="1892"/>
      <c r="E9" s="1892"/>
      <c r="F9" s="1892"/>
      <c r="G9" s="1892"/>
      <c r="H9" s="1892"/>
      <c r="I9" s="1893"/>
    </row>
    <row r="10" spans="1:9" s="533" customFormat="1" ht="22.5" customHeight="1">
      <c r="A10" s="2049" t="s">
        <v>14103</v>
      </c>
      <c r="B10" s="2050"/>
      <c r="C10" s="2050"/>
      <c r="D10" s="2050"/>
      <c r="E10" s="2050"/>
      <c r="F10" s="2050"/>
      <c r="G10" s="2050"/>
      <c r="H10" s="2050"/>
      <c r="I10" s="2051"/>
    </row>
    <row r="11" spans="1:9" s="535" customFormat="1" ht="12.75" customHeight="1">
      <c r="A11" s="2052" t="s">
        <v>11</v>
      </c>
      <c r="B11" s="2053" t="s">
        <v>14104</v>
      </c>
      <c r="C11" s="1926" t="s">
        <v>14105</v>
      </c>
      <c r="D11" s="1926"/>
      <c r="E11" s="1926"/>
      <c r="F11" s="1926"/>
      <c r="G11" s="1926"/>
      <c r="H11" s="1926"/>
      <c r="I11" s="2054"/>
    </row>
    <row r="12" spans="1:9" s="535" customFormat="1" ht="12.75">
      <c r="A12" s="2052"/>
      <c r="B12" s="2053"/>
      <c r="C12" s="1926" t="s">
        <v>14106</v>
      </c>
      <c r="D12" s="1926"/>
      <c r="E12" s="2055" t="s">
        <v>14107</v>
      </c>
      <c r="F12" s="2055"/>
      <c r="G12" s="2055"/>
      <c r="H12" s="2055"/>
      <c r="I12" s="2056"/>
    </row>
    <row r="13" spans="1:9" s="535" customFormat="1" ht="22.5" customHeight="1">
      <c r="A13" s="2052"/>
      <c r="B13" s="2053"/>
      <c r="C13" s="1191" t="s">
        <v>14108</v>
      </c>
      <c r="D13" s="1191" t="s">
        <v>3377</v>
      </c>
      <c r="E13" s="1191" t="s">
        <v>14109</v>
      </c>
      <c r="F13" s="1191" t="s">
        <v>14110</v>
      </c>
      <c r="G13" s="1191" t="s">
        <v>199</v>
      </c>
      <c r="H13" s="1191" t="s">
        <v>200</v>
      </c>
      <c r="I13" s="536" t="s">
        <v>198</v>
      </c>
    </row>
    <row r="14" spans="1:9" s="535" customFormat="1" ht="20.100000000000001" customHeight="1">
      <c r="A14" s="1359" t="s">
        <v>1</v>
      </c>
      <c r="B14" s="1360">
        <v>44965</v>
      </c>
      <c r="C14" s="1361">
        <f>132*1.5</f>
        <v>198</v>
      </c>
      <c r="D14" s="1362" t="s">
        <v>14101</v>
      </c>
      <c r="E14" s="1361" t="s">
        <v>14111</v>
      </c>
      <c r="F14" s="1363" t="s">
        <v>14112</v>
      </c>
      <c r="G14" s="1361" t="s">
        <v>14113</v>
      </c>
      <c r="H14" s="1361" t="s">
        <v>14114</v>
      </c>
      <c r="I14" s="1364" t="s">
        <v>14115</v>
      </c>
    </row>
    <row r="15" spans="1:9" s="535" customFormat="1" ht="20.100000000000001" customHeight="1">
      <c r="A15" s="1365" t="s">
        <v>396</v>
      </c>
      <c r="B15" s="1366">
        <v>44987</v>
      </c>
      <c r="C15" s="1367">
        <f>90*1.5</f>
        <v>135</v>
      </c>
      <c r="D15" s="1368" t="s">
        <v>14101</v>
      </c>
      <c r="E15" s="1367" t="s">
        <v>14116</v>
      </c>
      <c r="F15" s="1369" t="s">
        <v>14117</v>
      </c>
      <c r="G15" s="1367" t="s">
        <v>14118</v>
      </c>
      <c r="H15" s="1367" t="s">
        <v>6777</v>
      </c>
      <c r="I15" s="1370" t="s">
        <v>14119</v>
      </c>
    </row>
    <row r="16" spans="1:9" s="535" customFormat="1" ht="20.100000000000001" customHeight="1">
      <c r="A16" s="1365" t="s">
        <v>384</v>
      </c>
      <c r="B16" s="1366">
        <v>44980</v>
      </c>
      <c r="C16" s="1367">
        <f>106.8*1.5</f>
        <v>160.19999999999999</v>
      </c>
      <c r="D16" s="1368" t="s">
        <v>14101</v>
      </c>
      <c r="E16" s="1367" t="s">
        <v>14120</v>
      </c>
      <c r="F16" s="1369" t="s">
        <v>14121</v>
      </c>
      <c r="G16" s="1367" t="s">
        <v>14122</v>
      </c>
      <c r="H16" s="1367" t="s">
        <v>14123</v>
      </c>
      <c r="I16" s="1370" t="s">
        <v>14124</v>
      </c>
    </row>
    <row r="17" spans="1:226" s="220" customFormat="1" ht="20.100000000000001" customHeight="1">
      <c r="A17" s="2037" t="s">
        <v>14125</v>
      </c>
      <c r="B17" s="2038"/>
      <c r="C17" s="1371">
        <f>C14</f>
        <v>198</v>
      </c>
      <c r="D17" s="1372"/>
      <c r="E17" s="1371"/>
      <c r="F17" s="1371"/>
      <c r="G17" s="1371"/>
      <c r="H17" s="1371"/>
      <c r="I17" s="1373"/>
      <c r="J17" s="1374"/>
      <c r="K17" s="1374"/>
      <c r="L17" s="1375"/>
      <c r="M17" s="1376"/>
      <c r="N17" s="1374"/>
      <c r="O17" s="1374"/>
      <c r="P17" s="1374"/>
      <c r="Q17" s="1374"/>
      <c r="R17" s="1375"/>
      <c r="S17" s="1376"/>
      <c r="T17" s="1374"/>
      <c r="U17" s="1374"/>
      <c r="V17" s="1374"/>
      <c r="W17" s="1374"/>
      <c r="X17" s="1375"/>
      <c r="Y17" s="1376"/>
      <c r="Z17" s="1374"/>
      <c r="AA17" s="1374"/>
      <c r="AB17" s="1374"/>
      <c r="AC17" s="1374"/>
      <c r="AD17" s="1375"/>
      <c r="AE17" s="1376"/>
      <c r="AF17" s="1374"/>
      <c r="AG17" s="1374"/>
      <c r="AH17" s="1374"/>
      <c r="AI17" s="1374"/>
      <c r="AJ17" s="1375"/>
      <c r="AK17" s="1376"/>
      <c r="AL17" s="1374"/>
      <c r="AM17" s="1374"/>
      <c r="AN17" s="1374"/>
      <c r="AO17" s="1374"/>
      <c r="AP17" s="1375"/>
      <c r="AQ17" s="1376"/>
      <c r="AR17" s="1374"/>
      <c r="AS17" s="1374"/>
      <c r="AT17" s="1374"/>
      <c r="AU17" s="1374"/>
      <c r="AV17" s="1375"/>
      <c r="AW17" s="1376"/>
      <c r="AX17" s="1374"/>
      <c r="AY17" s="1374"/>
      <c r="AZ17" s="1374"/>
      <c r="BA17" s="1374"/>
      <c r="BB17" s="1375"/>
      <c r="BC17" s="1376"/>
      <c r="BD17" s="1374"/>
      <c r="BE17" s="1374"/>
      <c r="BF17" s="1374"/>
      <c r="BG17" s="1374"/>
      <c r="BH17" s="1375"/>
      <c r="BI17" s="1376"/>
      <c r="BJ17" s="1374"/>
      <c r="BK17" s="1374"/>
      <c r="BL17" s="1374"/>
      <c r="BM17" s="1374"/>
      <c r="BN17" s="1375"/>
      <c r="BO17" s="1376"/>
      <c r="BP17" s="1374"/>
      <c r="BQ17" s="1374"/>
      <c r="BR17" s="1374"/>
      <c r="BS17" s="1374"/>
      <c r="BT17" s="1375"/>
      <c r="BU17" s="1376"/>
      <c r="BV17" s="1374"/>
      <c r="BW17" s="1374"/>
      <c r="BX17" s="1374"/>
      <c r="BY17" s="1374"/>
      <c r="BZ17" s="1375"/>
      <c r="CA17" s="1376"/>
      <c r="CB17" s="1374"/>
      <c r="CC17" s="1374"/>
      <c r="CD17" s="1374"/>
      <c r="CE17" s="1374"/>
      <c r="CF17" s="1375"/>
      <c r="CG17" s="1376"/>
      <c r="CH17" s="1374"/>
      <c r="CI17" s="1374"/>
      <c r="CJ17" s="1374"/>
      <c r="CK17" s="1374"/>
      <c r="CL17" s="1375"/>
      <c r="CM17" s="1376"/>
      <c r="CN17" s="1374"/>
      <c r="CO17" s="1374"/>
      <c r="CP17" s="1374"/>
      <c r="CQ17" s="1374"/>
      <c r="CR17" s="1375"/>
      <c r="CS17" s="1376"/>
      <c r="CT17" s="1374"/>
      <c r="CU17" s="1374"/>
      <c r="CV17" s="1374"/>
      <c r="CW17" s="1374"/>
      <c r="CX17" s="1375"/>
      <c r="CY17" s="1376"/>
      <c r="CZ17" s="1374"/>
      <c r="DA17" s="1374"/>
      <c r="DB17" s="1374"/>
      <c r="DC17" s="1374"/>
      <c r="DD17" s="1375"/>
      <c r="DE17" s="1376"/>
      <c r="DF17" s="1374"/>
      <c r="DG17" s="1374"/>
      <c r="DH17" s="1374"/>
      <c r="DI17" s="1374"/>
      <c r="DJ17" s="1375"/>
      <c r="DK17" s="1376"/>
      <c r="DL17" s="1374"/>
      <c r="DM17" s="1374"/>
      <c r="DN17" s="1374"/>
      <c r="DO17" s="1374"/>
      <c r="DP17" s="1375"/>
      <c r="DQ17" s="1376"/>
      <c r="DR17" s="1374"/>
      <c r="DS17" s="1374"/>
      <c r="DT17" s="1374"/>
      <c r="DU17" s="1374"/>
      <c r="DV17" s="1375"/>
      <c r="DW17" s="1376"/>
      <c r="DX17" s="1374"/>
      <c r="DY17" s="1374"/>
      <c r="DZ17" s="1374"/>
      <c r="EA17" s="1374"/>
      <c r="EB17" s="1375"/>
      <c r="EC17" s="1376"/>
      <c r="ED17" s="1374"/>
      <c r="EE17" s="1374"/>
      <c r="EF17" s="1374"/>
      <c r="EG17" s="1374"/>
      <c r="EH17" s="1375"/>
      <c r="EI17" s="1376"/>
      <c r="EJ17" s="1374"/>
      <c r="EK17" s="1374"/>
      <c r="EL17" s="1374"/>
      <c r="EM17" s="1374"/>
      <c r="EN17" s="1375"/>
      <c r="EO17" s="1376"/>
      <c r="EP17" s="1374"/>
      <c r="EQ17" s="1374"/>
      <c r="ER17" s="1374"/>
      <c r="ES17" s="1374"/>
      <c r="ET17" s="1375"/>
      <c r="EU17" s="1376"/>
      <c r="EV17" s="1374"/>
      <c r="EW17" s="1374"/>
      <c r="EX17" s="1374"/>
      <c r="EY17" s="1374"/>
      <c r="EZ17" s="1375"/>
      <c r="FA17" s="1376"/>
      <c r="FB17" s="1374"/>
      <c r="FC17" s="1374"/>
      <c r="FD17" s="1374"/>
      <c r="FE17" s="1374"/>
      <c r="FF17" s="1375"/>
      <c r="FG17" s="1376"/>
      <c r="FH17" s="1374"/>
      <c r="FI17" s="1374"/>
      <c r="FJ17" s="1374"/>
      <c r="FK17" s="1374"/>
      <c r="FL17" s="1375"/>
      <c r="FM17" s="1376"/>
      <c r="FN17" s="1374"/>
      <c r="FO17" s="1374"/>
      <c r="FP17" s="1374"/>
      <c r="FQ17" s="1374"/>
      <c r="FR17" s="1375"/>
      <c r="FS17" s="1376"/>
      <c r="FT17" s="1374"/>
      <c r="FU17" s="1374"/>
      <c r="FV17" s="1374"/>
      <c r="FW17" s="1374"/>
      <c r="FX17" s="1375"/>
      <c r="FY17" s="1376"/>
      <c r="FZ17" s="1374"/>
      <c r="GA17" s="1374"/>
      <c r="GB17" s="1374"/>
      <c r="GC17" s="1374"/>
      <c r="GD17" s="1375"/>
      <c r="GE17" s="1376"/>
      <c r="GF17" s="1374"/>
      <c r="GG17" s="1374"/>
      <c r="GH17" s="1374"/>
      <c r="GI17" s="1374"/>
      <c r="GJ17" s="1375"/>
      <c r="GK17" s="1376"/>
      <c r="GL17" s="1374"/>
      <c r="GM17" s="1374"/>
      <c r="GN17" s="1374"/>
      <c r="GO17" s="1374"/>
      <c r="GP17" s="1375"/>
      <c r="GQ17" s="1376"/>
      <c r="GR17" s="1374"/>
      <c r="GS17" s="1374"/>
      <c r="GT17" s="1374"/>
      <c r="GU17" s="1374"/>
      <c r="GV17" s="1375"/>
      <c r="GW17" s="1376"/>
      <c r="GX17" s="1374"/>
      <c r="GY17" s="1374"/>
      <c r="GZ17" s="1374"/>
      <c r="HA17" s="1374"/>
      <c r="HB17" s="1375"/>
      <c r="HC17" s="1376"/>
      <c r="HD17" s="1374"/>
      <c r="HE17" s="1374"/>
      <c r="HF17" s="1374"/>
      <c r="HG17" s="1374"/>
      <c r="HH17" s="1375"/>
      <c r="HI17" s="1376"/>
      <c r="HJ17" s="1374"/>
      <c r="HK17" s="1374"/>
      <c r="HL17" s="1374"/>
      <c r="HM17" s="1374"/>
      <c r="HN17" s="1375"/>
      <c r="HO17" s="1376"/>
      <c r="HP17" s="1374"/>
      <c r="HQ17" s="1374"/>
      <c r="HR17" s="1374"/>
    </row>
    <row r="18" spans="1:226" s="220" customFormat="1" ht="20.100000000000001" customHeight="1">
      <c r="A18" s="2039" t="s">
        <v>14126</v>
      </c>
      <c r="B18" s="2040"/>
      <c r="C18" s="2040"/>
      <c r="D18" s="2040"/>
      <c r="E18" s="2040"/>
      <c r="F18" s="2040"/>
      <c r="G18" s="2040"/>
      <c r="H18" s="2040"/>
      <c r="I18" s="2041"/>
      <c r="J18" s="1374"/>
      <c r="K18" s="1374"/>
      <c r="L18" s="1375"/>
      <c r="M18" s="1376"/>
      <c r="N18" s="1374"/>
      <c r="O18" s="1374"/>
      <c r="P18" s="1374"/>
      <c r="Q18" s="1374"/>
      <c r="R18" s="1375"/>
      <c r="S18" s="1376"/>
      <c r="T18" s="1374"/>
      <c r="U18" s="1374"/>
      <c r="V18" s="1374"/>
      <c r="W18" s="1374"/>
      <c r="X18" s="1375"/>
      <c r="Y18" s="1376"/>
      <c r="Z18" s="1374"/>
      <c r="AA18" s="1374"/>
      <c r="AB18" s="1374"/>
      <c r="AC18" s="1374"/>
      <c r="AD18" s="1375"/>
      <c r="AE18" s="1376"/>
      <c r="AF18" s="1374"/>
      <c r="AG18" s="1374"/>
      <c r="AH18" s="1374"/>
      <c r="AI18" s="1374"/>
      <c r="AJ18" s="1375"/>
      <c r="AK18" s="1376"/>
      <c r="AL18" s="1374"/>
      <c r="AM18" s="1374"/>
      <c r="AN18" s="1374"/>
      <c r="AO18" s="1374"/>
      <c r="AP18" s="1375"/>
      <c r="AQ18" s="1376"/>
      <c r="AR18" s="1374"/>
      <c r="AS18" s="1374"/>
      <c r="AT18" s="1374"/>
      <c r="AU18" s="1374"/>
      <c r="AV18" s="1375"/>
      <c r="AW18" s="1376"/>
      <c r="AX18" s="1374"/>
      <c r="AY18" s="1374"/>
      <c r="AZ18" s="1374"/>
      <c r="BA18" s="1374"/>
      <c r="BB18" s="1375"/>
      <c r="BC18" s="1376"/>
      <c r="BD18" s="1374"/>
      <c r="BE18" s="1374"/>
      <c r="BF18" s="1374"/>
      <c r="BG18" s="1374"/>
      <c r="BH18" s="1375"/>
      <c r="BI18" s="1376"/>
      <c r="BJ18" s="1374"/>
      <c r="BK18" s="1374"/>
      <c r="BL18" s="1374"/>
      <c r="BM18" s="1374"/>
      <c r="BN18" s="1375"/>
      <c r="BO18" s="1376"/>
      <c r="BP18" s="1374"/>
      <c r="BQ18" s="1374"/>
      <c r="BR18" s="1374"/>
      <c r="BS18" s="1374"/>
      <c r="BT18" s="1375"/>
      <c r="BU18" s="1376"/>
      <c r="BV18" s="1374"/>
      <c r="BW18" s="1374"/>
      <c r="BX18" s="1374"/>
      <c r="BY18" s="1374"/>
      <c r="BZ18" s="1375"/>
      <c r="CA18" s="1376"/>
      <c r="CB18" s="1374"/>
      <c r="CC18" s="1374"/>
      <c r="CD18" s="1374"/>
      <c r="CE18" s="1374"/>
      <c r="CF18" s="1375"/>
      <c r="CG18" s="1376"/>
      <c r="CH18" s="1374"/>
      <c r="CI18" s="1374"/>
      <c r="CJ18" s="1374"/>
      <c r="CK18" s="1374"/>
      <c r="CL18" s="1375"/>
      <c r="CM18" s="1376"/>
      <c r="CN18" s="1374"/>
      <c r="CO18" s="1374"/>
      <c r="CP18" s="1374"/>
      <c r="CQ18" s="1374"/>
      <c r="CR18" s="1375"/>
      <c r="CS18" s="1376"/>
      <c r="CT18" s="1374"/>
      <c r="CU18" s="1374"/>
      <c r="CV18" s="1374"/>
      <c r="CW18" s="1374"/>
      <c r="CX18" s="1375"/>
      <c r="CY18" s="1376"/>
      <c r="CZ18" s="1374"/>
      <c r="DA18" s="1374"/>
      <c r="DB18" s="1374"/>
      <c r="DC18" s="1374"/>
      <c r="DD18" s="1375"/>
      <c r="DE18" s="1376"/>
      <c r="DF18" s="1374"/>
      <c r="DG18" s="1374"/>
      <c r="DH18" s="1374"/>
      <c r="DI18" s="1374"/>
      <c r="DJ18" s="1375"/>
      <c r="DK18" s="1376"/>
      <c r="DL18" s="1374"/>
      <c r="DM18" s="1374"/>
      <c r="DN18" s="1374"/>
      <c r="DO18" s="1374"/>
      <c r="DP18" s="1375"/>
      <c r="DQ18" s="1376"/>
      <c r="DR18" s="1374"/>
      <c r="DS18" s="1374"/>
      <c r="DT18" s="1374"/>
      <c r="DU18" s="1374"/>
      <c r="DV18" s="1375"/>
      <c r="DW18" s="1376"/>
      <c r="DX18" s="1374"/>
      <c r="DY18" s="1374"/>
      <c r="DZ18" s="1374"/>
      <c r="EA18" s="1374"/>
      <c r="EB18" s="1375"/>
      <c r="EC18" s="1376"/>
      <c r="ED18" s="1374"/>
      <c r="EE18" s="1374"/>
      <c r="EF18" s="1374"/>
      <c r="EG18" s="1374"/>
      <c r="EH18" s="1375"/>
      <c r="EI18" s="1376"/>
      <c r="EJ18" s="1374"/>
      <c r="EK18" s="1374"/>
      <c r="EL18" s="1374"/>
      <c r="EM18" s="1374"/>
      <c r="EN18" s="1375"/>
      <c r="EO18" s="1376"/>
      <c r="EP18" s="1374"/>
      <c r="EQ18" s="1374"/>
      <c r="ER18" s="1374"/>
      <c r="ES18" s="1374"/>
      <c r="ET18" s="1375"/>
      <c r="EU18" s="1376"/>
      <c r="EV18" s="1374"/>
      <c r="EW18" s="1374"/>
      <c r="EX18" s="1374"/>
      <c r="EY18" s="1374"/>
      <c r="EZ18" s="1375"/>
      <c r="FA18" s="1376"/>
      <c r="FB18" s="1374"/>
      <c r="FC18" s="1374"/>
      <c r="FD18" s="1374"/>
      <c r="FE18" s="1374"/>
      <c r="FF18" s="1375"/>
      <c r="FG18" s="1376"/>
      <c r="FH18" s="1374"/>
      <c r="FI18" s="1374"/>
      <c r="FJ18" s="1374"/>
      <c r="FK18" s="1374"/>
      <c r="FL18" s="1375"/>
      <c r="FM18" s="1376"/>
      <c r="FN18" s="1374"/>
      <c r="FO18" s="1374"/>
      <c r="FP18" s="1374"/>
      <c r="FQ18" s="1374"/>
      <c r="FR18" s="1375"/>
      <c r="FS18" s="1376"/>
      <c r="FT18" s="1374"/>
      <c r="FU18" s="1374"/>
      <c r="FV18" s="1374"/>
      <c r="FW18" s="1374"/>
      <c r="FX18" s="1375"/>
      <c r="FY18" s="1376"/>
      <c r="FZ18" s="1374"/>
      <c r="GA18" s="1374"/>
      <c r="GB18" s="1374"/>
      <c r="GC18" s="1374"/>
      <c r="GD18" s="1375"/>
      <c r="GE18" s="1376"/>
      <c r="GF18" s="1374"/>
      <c r="GG18" s="1374"/>
      <c r="GH18" s="1374"/>
      <c r="GI18" s="1374"/>
      <c r="GJ18" s="1375"/>
      <c r="GK18" s="1376"/>
      <c r="GL18" s="1374"/>
      <c r="GM18" s="1374"/>
      <c r="GN18" s="1374"/>
      <c r="GO18" s="1374"/>
      <c r="GP18" s="1375"/>
      <c r="GQ18" s="1376"/>
      <c r="GR18" s="1374"/>
      <c r="GS18" s="1374"/>
      <c r="GT18" s="1374"/>
      <c r="GU18" s="1374"/>
      <c r="GV18" s="1375"/>
      <c r="GW18" s="1376"/>
      <c r="GX18" s="1374"/>
      <c r="GY18" s="1374"/>
      <c r="GZ18" s="1374"/>
      <c r="HA18" s="1374"/>
      <c r="HB18" s="1375"/>
      <c r="HC18" s="1376"/>
      <c r="HD18" s="1374"/>
      <c r="HE18" s="1374"/>
      <c r="HF18" s="1374"/>
      <c r="HG18" s="1374"/>
      <c r="HH18" s="1375"/>
      <c r="HI18" s="1376"/>
      <c r="HJ18" s="1374"/>
      <c r="HK18" s="1374"/>
      <c r="HL18" s="1374"/>
      <c r="HM18" s="1374"/>
      <c r="HN18" s="1375"/>
      <c r="HO18" s="1376"/>
      <c r="HP18" s="1374"/>
      <c r="HQ18" s="1374"/>
      <c r="HR18" s="1374"/>
    </row>
    <row r="19" spans="1:226" ht="20.100000000000001" customHeight="1">
      <c r="A19" s="2039" t="s">
        <v>14222</v>
      </c>
      <c r="B19" s="2040"/>
      <c r="C19" s="2040"/>
      <c r="D19" s="2040"/>
      <c r="E19" s="2040"/>
      <c r="F19" s="2040"/>
      <c r="G19" s="2040"/>
      <c r="H19" s="2040"/>
      <c r="I19" s="2041"/>
    </row>
    <row r="20" spans="1:226" ht="30" customHeight="1">
      <c r="A20" s="2042" t="s">
        <v>14127</v>
      </c>
      <c r="B20" s="2043"/>
      <c r="C20" s="2043"/>
      <c r="D20" s="2043"/>
      <c r="E20" s="2043"/>
      <c r="F20" s="2043"/>
      <c r="G20" s="2043"/>
      <c r="H20" s="2043"/>
      <c r="I20" s="2044"/>
    </row>
    <row r="21" spans="1:226" ht="30" customHeight="1">
      <c r="A21" s="2045" t="s">
        <v>14128</v>
      </c>
      <c r="B21" s="2046"/>
      <c r="C21" s="2046"/>
      <c r="D21" s="2046"/>
      <c r="E21" s="2046"/>
      <c r="F21" s="2046"/>
      <c r="G21" s="2046"/>
      <c r="H21" s="2046"/>
      <c r="I21" s="2047"/>
    </row>
    <row r="22" spans="1:226" ht="30" customHeight="1">
      <c r="A22" s="2031" t="s">
        <v>14129</v>
      </c>
      <c r="B22" s="2032"/>
      <c r="C22" s="2032"/>
      <c r="D22" s="2032"/>
      <c r="E22" s="2032"/>
      <c r="F22" s="2032"/>
      <c r="G22" s="2032"/>
      <c r="H22" s="2032"/>
      <c r="I22" s="2033"/>
    </row>
    <row r="23" spans="1:226" ht="30" customHeight="1">
      <c r="A23" s="2031" t="s">
        <v>14130</v>
      </c>
      <c r="B23" s="2032"/>
      <c r="C23" s="2032"/>
      <c r="D23" s="2032"/>
      <c r="E23" s="2032"/>
      <c r="F23" s="2032"/>
      <c r="G23" s="2032"/>
      <c r="H23" s="2032"/>
      <c r="I23" s="2033"/>
    </row>
    <row r="24" spans="1:226" ht="30" customHeight="1" thickBot="1">
      <c r="A24" s="2034" t="s">
        <v>14131</v>
      </c>
      <c r="B24" s="2035"/>
      <c r="C24" s="2035"/>
      <c r="D24" s="2035"/>
      <c r="E24" s="2035"/>
      <c r="F24" s="2035"/>
      <c r="G24" s="2035"/>
      <c r="H24" s="2035"/>
      <c r="I24" s="2036"/>
    </row>
  </sheetData>
  <mergeCells count="23">
    <mergeCell ref="B6:I6"/>
    <mergeCell ref="A1:I1"/>
    <mergeCell ref="A2:I2"/>
    <mergeCell ref="A3:I3"/>
    <mergeCell ref="A4:I4"/>
    <mergeCell ref="A5:I5"/>
    <mergeCell ref="B7:I7"/>
    <mergeCell ref="B8:I8"/>
    <mergeCell ref="B9:I9"/>
    <mergeCell ref="A10:I10"/>
    <mergeCell ref="A11:A13"/>
    <mergeCell ref="B11:B13"/>
    <mergeCell ref="C11:I11"/>
    <mergeCell ref="C12:D12"/>
    <mergeCell ref="E12:I12"/>
    <mergeCell ref="A23:I23"/>
    <mergeCell ref="A24:I24"/>
    <mergeCell ref="A17:B17"/>
    <mergeCell ref="A18:I18"/>
    <mergeCell ref="A19:I19"/>
    <mergeCell ref="A20:I20"/>
    <mergeCell ref="A21:I21"/>
    <mergeCell ref="A22:I22"/>
  </mergeCells>
  <printOptions horizontalCentered="1"/>
  <pageMargins left="0.15748031496062992" right="0.19685039370078741" top="0.78740157480314965" bottom="0.78740157480314965" header="0.15748031496062992" footer="0.31496062992125984"/>
  <pageSetup paperSize="9" scale="61" firstPageNumber="25" orientation="landscape" useFirstPageNumber="1" r:id="rId1"/>
  <headerFooter scaleWithDoc="0"/>
  <drawing r:id="rId2"/>
</worksheet>
</file>

<file path=xl/worksheets/sheet24.xml><?xml version="1.0" encoding="utf-8"?>
<worksheet xmlns="http://schemas.openxmlformats.org/spreadsheetml/2006/main" xmlns:r="http://schemas.openxmlformats.org/officeDocument/2006/relationships">
  <sheetPr codeName="Plan31">
    <tabColor theme="1" tint="0.34998626667073579"/>
  </sheetPr>
  <dimension ref="A1:HR24"/>
  <sheetViews>
    <sheetView showGridLines="0" view="pageBreakPreview" zoomScale="80" zoomScaleNormal="115" zoomScaleSheetLayoutView="80" workbookViewId="0">
      <selection activeCell="B9" sqref="B9:F9"/>
    </sheetView>
  </sheetViews>
  <sheetFormatPr defaultColWidth="9.140625" defaultRowHeight="15"/>
  <cols>
    <col min="2" max="2" width="23.85546875" bestFit="1" customWidth="1"/>
    <col min="3" max="3" width="14.140625" customWidth="1"/>
    <col min="4" max="4" width="11.7109375" bestFit="1" customWidth="1"/>
    <col min="5" max="5" width="59" customWidth="1"/>
    <col min="6" max="6" width="30.7109375" bestFit="1" customWidth="1"/>
    <col min="7" max="7" width="19" customWidth="1"/>
    <col min="8" max="8" width="27" customWidth="1"/>
    <col min="9" max="9" width="26.85546875" customWidth="1"/>
  </cols>
  <sheetData>
    <row r="1" spans="1:9" s="533" customFormat="1" ht="18">
      <c r="A1" s="1909" t="s">
        <v>2996</v>
      </c>
      <c r="B1" s="1910" t="s">
        <v>2996</v>
      </c>
      <c r="C1" s="1910"/>
      <c r="D1" s="1910"/>
      <c r="E1" s="1910"/>
      <c r="F1" s="1910"/>
      <c r="G1" s="1910"/>
      <c r="H1" s="1910"/>
      <c r="I1" s="1911"/>
    </row>
    <row r="2" spans="1:9" s="533" customFormat="1" ht="14.25">
      <c r="A2" s="1912" t="s">
        <v>2997</v>
      </c>
      <c r="B2" s="1913" t="s">
        <v>13994</v>
      </c>
      <c r="C2" s="1913"/>
      <c r="D2" s="1913"/>
      <c r="E2" s="1913"/>
      <c r="F2" s="1913"/>
      <c r="G2" s="1913"/>
      <c r="H2" s="1913"/>
      <c r="I2" s="1914"/>
    </row>
    <row r="3" spans="1:9" s="533" customFormat="1" ht="14.25">
      <c r="A3" s="1915" t="s">
        <v>2998</v>
      </c>
      <c r="B3" s="1916" t="s">
        <v>13995</v>
      </c>
      <c r="C3" s="1916"/>
      <c r="D3" s="1916"/>
      <c r="E3" s="1916"/>
      <c r="F3" s="1916"/>
      <c r="G3" s="1916"/>
      <c r="H3" s="1916"/>
      <c r="I3" s="1917"/>
    </row>
    <row r="4" spans="1:9" s="533" customFormat="1" ht="14.25">
      <c r="A4" s="1915" t="s">
        <v>3063</v>
      </c>
      <c r="B4" s="1916" t="s">
        <v>3063</v>
      </c>
      <c r="C4" s="1916"/>
      <c r="D4" s="1916"/>
      <c r="E4" s="1916"/>
      <c r="F4" s="1916"/>
      <c r="G4" s="1916"/>
      <c r="H4" s="1916"/>
      <c r="I4" s="1917"/>
    </row>
    <row r="5" spans="1:9" s="533" customFormat="1" ht="14.25">
      <c r="A5" s="1915" t="s">
        <v>2999</v>
      </c>
      <c r="B5" s="1916" t="s">
        <v>2999</v>
      </c>
      <c r="C5" s="1916"/>
      <c r="D5" s="1916"/>
      <c r="E5" s="1916"/>
      <c r="F5" s="1916"/>
      <c r="G5" s="1916"/>
      <c r="H5" s="1916"/>
      <c r="I5" s="1917"/>
    </row>
    <row r="6" spans="1:9" s="533" customFormat="1" ht="15" customHeight="1">
      <c r="A6" s="1142" t="s">
        <v>6</v>
      </c>
      <c r="B6" s="1907" t="str">
        <f>'REMOÇÃO DE PAV. ADUTORA'!B6:F6</f>
        <v xml:space="preserve">SISTEMA DE ABASTECIMENTO DE ÁGUA </v>
      </c>
      <c r="C6" s="1907"/>
      <c r="D6" s="1907"/>
      <c r="E6" s="1907"/>
      <c r="F6" s="1907"/>
      <c r="G6" s="1907"/>
      <c r="H6" s="1907"/>
      <c r="I6" s="1908"/>
    </row>
    <row r="7" spans="1:9" s="533" customFormat="1" ht="14.25">
      <c r="A7" s="534" t="s">
        <v>8</v>
      </c>
      <c r="B7" s="2048" t="str">
        <f>'REMOÇÃO DE PAV. ADUTORA'!B7:F7</f>
        <v>SETOR PIONEIRO - MUNICÍPIO DE APIACÁS</v>
      </c>
      <c r="C7" s="2048"/>
      <c r="D7" s="2048"/>
      <c r="E7" s="2048"/>
      <c r="F7" s="2048"/>
      <c r="G7" s="2048"/>
      <c r="H7" s="2048"/>
      <c r="I7" s="1890"/>
    </row>
    <row r="8" spans="1:9" s="533" customFormat="1" ht="14.25">
      <c r="A8" s="534" t="s">
        <v>13672</v>
      </c>
      <c r="B8" s="2048" t="str">
        <f>'REMOÇÃO DE PAV. ADUTORA'!B8:F8</f>
        <v>PREFEITURA MUNICIPAL DE APIACÁS</v>
      </c>
      <c r="C8" s="2048"/>
      <c r="D8" s="2048"/>
      <c r="E8" s="2048"/>
      <c r="F8" s="2048"/>
      <c r="G8" s="2048"/>
      <c r="H8" s="2048"/>
      <c r="I8" s="1890"/>
    </row>
    <row r="9" spans="1:9" s="533" customFormat="1" ht="15.75" customHeight="1">
      <c r="A9" s="1143" t="s">
        <v>3064</v>
      </c>
      <c r="B9" s="1891">
        <f ca="1">'REMOÇÃO DE PAV. ADUTORA'!B9:F9</f>
        <v>45167</v>
      </c>
      <c r="C9" s="1892"/>
      <c r="D9" s="1892"/>
      <c r="E9" s="1892"/>
      <c r="F9" s="1892"/>
      <c r="G9" s="1892"/>
      <c r="H9" s="1892"/>
      <c r="I9" s="1893"/>
    </row>
    <row r="10" spans="1:9" s="533" customFormat="1" ht="22.5" customHeight="1">
      <c r="A10" s="2049" t="s">
        <v>14132</v>
      </c>
      <c r="B10" s="2050"/>
      <c r="C10" s="2050"/>
      <c r="D10" s="2050"/>
      <c r="E10" s="2050"/>
      <c r="F10" s="2050"/>
      <c r="G10" s="2050"/>
      <c r="H10" s="2050"/>
      <c r="I10" s="2051"/>
    </row>
    <row r="11" spans="1:9" s="535" customFormat="1" ht="12.75" customHeight="1">
      <c r="A11" s="2052" t="s">
        <v>11</v>
      </c>
      <c r="B11" s="2053" t="s">
        <v>14104</v>
      </c>
      <c r="C11" s="1926" t="s">
        <v>14105</v>
      </c>
      <c r="D11" s="1926"/>
      <c r="E11" s="1926"/>
      <c r="F11" s="1926"/>
      <c r="G11" s="1926"/>
      <c r="H11" s="1926"/>
      <c r="I11" s="2054"/>
    </row>
    <row r="12" spans="1:9" s="535" customFormat="1" ht="12.75">
      <c r="A12" s="2052"/>
      <c r="B12" s="2053"/>
      <c r="C12" s="1926" t="s">
        <v>14106</v>
      </c>
      <c r="D12" s="1926"/>
      <c r="E12" s="2055" t="s">
        <v>14107</v>
      </c>
      <c r="F12" s="2055"/>
      <c r="G12" s="2055"/>
      <c r="H12" s="2055"/>
      <c r="I12" s="2056"/>
    </row>
    <row r="13" spans="1:9" s="535" customFormat="1" ht="22.5" customHeight="1">
      <c r="A13" s="2052"/>
      <c r="B13" s="2053"/>
      <c r="C13" s="1191" t="s">
        <v>14108</v>
      </c>
      <c r="D13" s="1191" t="s">
        <v>3377</v>
      </c>
      <c r="E13" s="1191" t="s">
        <v>14109</v>
      </c>
      <c r="F13" s="1191" t="s">
        <v>14110</v>
      </c>
      <c r="G13" s="1191" t="s">
        <v>199</v>
      </c>
      <c r="H13" s="1191" t="s">
        <v>200</v>
      </c>
      <c r="I13" s="536" t="s">
        <v>198</v>
      </c>
    </row>
    <row r="14" spans="1:9" s="535" customFormat="1" ht="20.100000000000001" customHeight="1">
      <c r="A14" s="1359" t="s">
        <v>1</v>
      </c>
      <c r="B14" s="1360">
        <f>'COTAÇÃO PEDRA BRITADA N.0'!B14</f>
        <v>44965</v>
      </c>
      <c r="C14" s="1361">
        <f>110*1.5</f>
        <v>165</v>
      </c>
      <c r="D14" s="1362" t="s">
        <v>14101</v>
      </c>
      <c r="E14" s="1361" t="str">
        <f>'COTAÇÃO PEDRA BRITADA N.0'!E14</f>
        <v>ITACARÉ COMÉRCIO DE PEDRAS</v>
      </c>
      <c r="F14" s="1363" t="str">
        <f>'COTAÇÃO PEDRA BRITADA N.0'!F14</f>
        <v>ALTA FLORESTA-MT</v>
      </c>
      <c r="G14" s="1361" t="str">
        <f>'COTAÇÃO PEDRA BRITADA N.0'!G14</f>
        <v>(66) 3521-1514</v>
      </c>
      <c r="H14" s="1361" t="str">
        <f>'COTAÇÃO PEDRA BRITADA N.0'!H14</f>
        <v>FRANCIELE</v>
      </c>
      <c r="I14" s="1364" t="str">
        <f>'COTAÇÃO PEDRA BRITADA N.0'!I14</f>
        <v>45.408.594/0001-02</v>
      </c>
    </row>
    <row r="15" spans="1:9" s="535" customFormat="1" ht="20.100000000000001" customHeight="1">
      <c r="A15" s="1365" t="s">
        <v>396</v>
      </c>
      <c r="B15" s="1366">
        <f>'COTAÇÃO PEDRA BRITADA N.0'!B15</f>
        <v>44987</v>
      </c>
      <c r="C15" s="1367">
        <f>95*1.5</f>
        <v>142.5</v>
      </c>
      <c r="D15" s="1368" t="s">
        <v>14101</v>
      </c>
      <c r="E15" s="1367" t="str">
        <f>'COTAÇÃO PEDRA BRITADA N.0'!E15</f>
        <v>ALMEIDA'S MINERAÇÃO E TERRAPLENAGEM</v>
      </c>
      <c r="F15" s="1369" t="str">
        <f>'COTAÇÃO PEDRA BRITADA N.0'!F15</f>
        <v>NOVA SANTA HELENA-MT</v>
      </c>
      <c r="G15" s="1367" t="str">
        <f>'COTAÇÃO PEDRA BRITADA N.0'!G15</f>
        <v>(66) 3531-0116</v>
      </c>
      <c r="H15" s="1367" t="str">
        <f>'COTAÇÃO PEDRA BRITADA N.0'!H15</f>
        <v>-</v>
      </c>
      <c r="I15" s="1370" t="str">
        <f>'COTAÇÃO PEDRA BRITADA N.0'!I15</f>
        <v>07.803.838/0002-43</v>
      </c>
    </row>
    <row r="16" spans="1:9" s="535" customFormat="1" ht="20.100000000000001" customHeight="1">
      <c r="A16" s="1365" t="s">
        <v>384</v>
      </c>
      <c r="B16" s="1366">
        <f>'COTAÇÃO PEDRA BRITADA N.0'!B16</f>
        <v>44980</v>
      </c>
      <c r="C16" s="1367">
        <f>100.2*1.5</f>
        <v>150.30000000000001</v>
      </c>
      <c r="D16" s="1368" t="s">
        <v>14101</v>
      </c>
      <c r="E16" s="1367" t="str">
        <f>'COTAÇÃO PEDRA BRITADA N.0'!E16</f>
        <v>TRANSPEDRA MINERAÇÃO EIRELLI EPP</v>
      </c>
      <c r="F16" s="1369" t="str">
        <f>'COTAÇÃO PEDRA BRITADA N.0'!F16</f>
        <v>MATUPA-MT</v>
      </c>
      <c r="G16" s="1367" t="str">
        <f>'COTAÇÃO PEDRA BRITADA N.0'!G16</f>
        <v>(66) 3511-4800</v>
      </c>
      <c r="H16" s="1367" t="str">
        <f>'COTAÇÃO PEDRA BRITADA N.0'!H16</f>
        <v>Kauã Queiroz</v>
      </c>
      <c r="I16" s="1370" t="str">
        <f>'COTAÇÃO PEDRA BRITADA N.0'!I16</f>
        <v>70.494.802/0001-80</v>
      </c>
    </row>
    <row r="17" spans="1:226" s="220" customFormat="1" ht="20.100000000000001" customHeight="1">
      <c r="A17" s="2037" t="s">
        <v>14125</v>
      </c>
      <c r="B17" s="2038"/>
      <c r="C17" s="1371">
        <f>C14</f>
        <v>165</v>
      </c>
      <c r="D17" s="1372"/>
      <c r="E17" s="1371"/>
      <c r="F17" s="1371"/>
      <c r="G17" s="1371"/>
      <c r="H17" s="1371"/>
      <c r="I17" s="1373"/>
      <c r="J17" s="1374"/>
      <c r="K17" s="1374"/>
      <c r="L17" s="1375"/>
      <c r="M17" s="1376"/>
      <c r="N17" s="1374"/>
      <c r="O17" s="1374"/>
      <c r="P17" s="1374"/>
      <c r="Q17" s="1374"/>
      <c r="R17" s="1375"/>
      <c r="S17" s="1376"/>
      <c r="T17" s="1374"/>
      <c r="U17" s="1374"/>
      <c r="V17" s="1374"/>
      <c r="W17" s="1374"/>
      <c r="X17" s="1375"/>
      <c r="Y17" s="1376"/>
      <c r="Z17" s="1374"/>
      <c r="AA17" s="1374"/>
      <c r="AB17" s="1374"/>
      <c r="AC17" s="1374"/>
      <c r="AD17" s="1375"/>
      <c r="AE17" s="1376"/>
      <c r="AF17" s="1374"/>
      <c r="AG17" s="1374"/>
      <c r="AH17" s="1374"/>
      <c r="AI17" s="1374"/>
      <c r="AJ17" s="1375"/>
      <c r="AK17" s="1376"/>
      <c r="AL17" s="1374"/>
      <c r="AM17" s="1374"/>
      <c r="AN17" s="1374"/>
      <c r="AO17" s="1374"/>
      <c r="AP17" s="1375"/>
      <c r="AQ17" s="1376"/>
      <c r="AR17" s="1374"/>
      <c r="AS17" s="1374"/>
      <c r="AT17" s="1374"/>
      <c r="AU17" s="1374"/>
      <c r="AV17" s="1375"/>
      <c r="AW17" s="1376"/>
      <c r="AX17" s="1374"/>
      <c r="AY17" s="1374"/>
      <c r="AZ17" s="1374"/>
      <c r="BA17" s="1374"/>
      <c r="BB17" s="1375"/>
      <c r="BC17" s="1376"/>
      <c r="BD17" s="1374"/>
      <c r="BE17" s="1374"/>
      <c r="BF17" s="1374"/>
      <c r="BG17" s="1374"/>
      <c r="BH17" s="1375"/>
      <c r="BI17" s="1376"/>
      <c r="BJ17" s="1374"/>
      <c r="BK17" s="1374"/>
      <c r="BL17" s="1374"/>
      <c r="BM17" s="1374"/>
      <c r="BN17" s="1375"/>
      <c r="BO17" s="1376"/>
      <c r="BP17" s="1374"/>
      <c r="BQ17" s="1374"/>
      <c r="BR17" s="1374"/>
      <c r="BS17" s="1374"/>
      <c r="BT17" s="1375"/>
      <c r="BU17" s="1376"/>
      <c r="BV17" s="1374"/>
      <c r="BW17" s="1374"/>
      <c r="BX17" s="1374"/>
      <c r="BY17" s="1374"/>
      <c r="BZ17" s="1375"/>
      <c r="CA17" s="1376"/>
      <c r="CB17" s="1374"/>
      <c r="CC17" s="1374"/>
      <c r="CD17" s="1374"/>
      <c r="CE17" s="1374"/>
      <c r="CF17" s="1375"/>
      <c r="CG17" s="1376"/>
      <c r="CH17" s="1374"/>
      <c r="CI17" s="1374"/>
      <c r="CJ17" s="1374"/>
      <c r="CK17" s="1374"/>
      <c r="CL17" s="1375"/>
      <c r="CM17" s="1376"/>
      <c r="CN17" s="1374"/>
      <c r="CO17" s="1374"/>
      <c r="CP17" s="1374"/>
      <c r="CQ17" s="1374"/>
      <c r="CR17" s="1375"/>
      <c r="CS17" s="1376"/>
      <c r="CT17" s="1374"/>
      <c r="CU17" s="1374"/>
      <c r="CV17" s="1374"/>
      <c r="CW17" s="1374"/>
      <c r="CX17" s="1375"/>
      <c r="CY17" s="1376"/>
      <c r="CZ17" s="1374"/>
      <c r="DA17" s="1374"/>
      <c r="DB17" s="1374"/>
      <c r="DC17" s="1374"/>
      <c r="DD17" s="1375"/>
      <c r="DE17" s="1376"/>
      <c r="DF17" s="1374"/>
      <c r="DG17" s="1374"/>
      <c r="DH17" s="1374"/>
      <c r="DI17" s="1374"/>
      <c r="DJ17" s="1375"/>
      <c r="DK17" s="1376"/>
      <c r="DL17" s="1374"/>
      <c r="DM17" s="1374"/>
      <c r="DN17" s="1374"/>
      <c r="DO17" s="1374"/>
      <c r="DP17" s="1375"/>
      <c r="DQ17" s="1376"/>
      <c r="DR17" s="1374"/>
      <c r="DS17" s="1374"/>
      <c r="DT17" s="1374"/>
      <c r="DU17" s="1374"/>
      <c r="DV17" s="1375"/>
      <c r="DW17" s="1376"/>
      <c r="DX17" s="1374"/>
      <c r="DY17" s="1374"/>
      <c r="DZ17" s="1374"/>
      <c r="EA17" s="1374"/>
      <c r="EB17" s="1375"/>
      <c r="EC17" s="1376"/>
      <c r="ED17" s="1374"/>
      <c r="EE17" s="1374"/>
      <c r="EF17" s="1374"/>
      <c r="EG17" s="1374"/>
      <c r="EH17" s="1375"/>
      <c r="EI17" s="1376"/>
      <c r="EJ17" s="1374"/>
      <c r="EK17" s="1374"/>
      <c r="EL17" s="1374"/>
      <c r="EM17" s="1374"/>
      <c r="EN17" s="1375"/>
      <c r="EO17" s="1376"/>
      <c r="EP17" s="1374"/>
      <c r="EQ17" s="1374"/>
      <c r="ER17" s="1374"/>
      <c r="ES17" s="1374"/>
      <c r="ET17" s="1375"/>
      <c r="EU17" s="1376"/>
      <c r="EV17" s="1374"/>
      <c r="EW17" s="1374"/>
      <c r="EX17" s="1374"/>
      <c r="EY17" s="1374"/>
      <c r="EZ17" s="1375"/>
      <c r="FA17" s="1376"/>
      <c r="FB17" s="1374"/>
      <c r="FC17" s="1374"/>
      <c r="FD17" s="1374"/>
      <c r="FE17" s="1374"/>
      <c r="FF17" s="1375"/>
      <c r="FG17" s="1376"/>
      <c r="FH17" s="1374"/>
      <c r="FI17" s="1374"/>
      <c r="FJ17" s="1374"/>
      <c r="FK17" s="1374"/>
      <c r="FL17" s="1375"/>
      <c r="FM17" s="1376"/>
      <c r="FN17" s="1374"/>
      <c r="FO17" s="1374"/>
      <c r="FP17" s="1374"/>
      <c r="FQ17" s="1374"/>
      <c r="FR17" s="1375"/>
      <c r="FS17" s="1376"/>
      <c r="FT17" s="1374"/>
      <c r="FU17" s="1374"/>
      <c r="FV17" s="1374"/>
      <c r="FW17" s="1374"/>
      <c r="FX17" s="1375"/>
      <c r="FY17" s="1376"/>
      <c r="FZ17" s="1374"/>
      <c r="GA17" s="1374"/>
      <c r="GB17" s="1374"/>
      <c r="GC17" s="1374"/>
      <c r="GD17" s="1375"/>
      <c r="GE17" s="1376"/>
      <c r="GF17" s="1374"/>
      <c r="GG17" s="1374"/>
      <c r="GH17" s="1374"/>
      <c r="GI17" s="1374"/>
      <c r="GJ17" s="1375"/>
      <c r="GK17" s="1376"/>
      <c r="GL17" s="1374"/>
      <c r="GM17" s="1374"/>
      <c r="GN17" s="1374"/>
      <c r="GO17" s="1374"/>
      <c r="GP17" s="1375"/>
      <c r="GQ17" s="1376"/>
      <c r="GR17" s="1374"/>
      <c r="GS17" s="1374"/>
      <c r="GT17" s="1374"/>
      <c r="GU17" s="1374"/>
      <c r="GV17" s="1375"/>
      <c r="GW17" s="1376"/>
      <c r="GX17" s="1374"/>
      <c r="GY17" s="1374"/>
      <c r="GZ17" s="1374"/>
      <c r="HA17" s="1374"/>
      <c r="HB17" s="1375"/>
      <c r="HC17" s="1376"/>
      <c r="HD17" s="1374"/>
      <c r="HE17" s="1374"/>
      <c r="HF17" s="1374"/>
      <c r="HG17" s="1374"/>
      <c r="HH17" s="1375"/>
      <c r="HI17" s="1376"/>
      <c r="HJ17" s="1374"/>
      <c r="HK17" s="1374"/>
      <c r="HL17" s="1374"/>
      <c r="HM17" s="1374"/>
      <c r="HN17" s="1375"/>
      <c r="HO17" s="1376"/>
      <c r="HP17" s="1374"/>
      <c r="HQ17" s="1374"/>
      <c r="HR17" s="1374"/>
    </row>
    <row r="18" spans="1:226" s="220" customFormat="1" ht="20.100000000000001" customHeight="1">
      <c r="A18" s="2039" t="str">
        <f>'COTAÇÃO PEDRA BRITADA N.0'!A18:I18</f>
        <v>* Para o cálculo dos valores em M³, foi-se adotado um peso específico 1,5 t/m³ (Execeto para valores de peso específico informados)</v>
      </c>
      <c r="B18" s="2040"/>
      <c r="C18" s="2040"/>
      <c r="D18" s="2040"/>
      <c r="E18" s="2040"/>
      <c r="F18" s="2040"/>
      <c r="G18" s="2040"/>
      <c r="H18" s="2040"/>
      <c r="I18" s="2041"/>
      <c r="J18" s="1374"/>
      <c r="K18" s="1374"/>
      <c r="L18" s="1375"/>
      <c r="M18" s="1376"/>
      <c r="N18" s="1374"/>
      <c r="O18" s="1374"/>
      <c r="P18" s="1374"/>
      <c r="Q18" s="1374"/>
      <c r="R18" s="1375"/>
      <c r="S18" s="1376"/>
      <c r="T18" s="1374"/>
      <c r="U18" s="1374"/>
      <c r="V18" s="1374"/>
      <c r="W18" s="1374"/>
      <c r="X18" s="1375"/>
      <c r="Y18" s="1376"/>
      <c r="Z18" s="1374"/>
      <c r="AA18" s="1374"/>
      <c r="AB18" s="1374"/>
      <c r="AC18" s="1374"/>
      <c r="AD18" s="1375"/>
      <c r="AE18" s="1376"/>
      <c r="AF18" s="1374"/>
      <c r="AG18" s="1374"/>
      <c r="AH18" s="1374"/>
      <c r="AI18" s="1374"/>
      <c r="AJ18" s="1375"/>
      <c r="AK18" s="1376"/>
      <c r="AL18" s="1374"/>
      <c r="AM18" s="1374"/>
      <c r="AN18" s="1374"/>
      <c r="AO18" s="1374"/>
      <c r="AP18" s="1375"/>
      <c r="AQ18" s="1376"/>
      <c r="AR18" s="1374"/>
      <c r="AS18" s="1374"/>
      <c r="AT18" s="1374"/>
      <c r="AU18" s="1374"/>
      <c r="AV18" s="1375"/>
      <c r="AW18" s="1376"/>
      <c r="AX18" s="1374"/>
      <c r="AY18" s="1374"/>
      <c r="AZ18" s="1374"/>
      <c r="BA18" s="1374"/>
      <c r="BB18" s="1375"/>
      <c r="BC18" s="1376"/>
      <c r="BD18" s="1374"/>
      <c r="BE18" s="1374"/>
      <c r="BF18" s="1374"/>
      <c r="BG18" s="1374"/>
      <c r="BH18" s="1375"/>
      <c r="BI18" s="1376"/>
      <c r="BJ18" s="1374"/>
      <c r="BK18" s="1374"/>
      <c r="BL18" s="1374"/>
      <c r="BM18" s="1374"/>
      <c r="BN18" s="1375"/>
      <c r="BO18" s="1376"/>
      <c r="BP18" s="1374"/>
      <c r="BQ18" s="1374"/>
      <c r="BR18" s="1374"/>
      <c r="BS18" s="1374"/>
      <c r="BT18" s="1375"/>
      <c r="BU18" s="1376"/>
      <c r="BV18" s="1374"/>
      <c r="BW18" s="1374"/>
      <c r="BX18" s="1374"/>
      <c r="BY18" s="1374"/>
      <c r="BZ18" s="1375"/>
      <c r="CA18" s="1376"/>
      <c r="CB18" s="1374"/>
      <c r="CC18" s="1374"/>
      <c r="CD18" s="1374"/>
      <c r="CE18" s="1374"/>
      <c r="CF18" s="1375"/>
      <c r="CG18" s="1376"/>
      <c r="CH18" s="1374"/>
      <c r="CI18" s="1374"/>
      <c r="CJ18" s="1374"/>
      <c r="CK18" s="1374"/>
      <c r="CL18" s="1375"/>
      <c r="CM18" s="1376"/>
      <c r="CN18" s="1374"/>
      <c r="CO18" s="1374"/>
      <c r="CP18" s="1374"/>
      <c r="CQ18" s="1374"/>
      <c r="CR18" s="1375"/>
      <c r="CS18" s="1376"/>
      <c r="CT18" s="1374"/>
      <c r="CU18" s="1374"/>
      <c r="CV18" s="1374"/>
      <c r="CW18" s="1374"/>
      <c r="CX18" s="1375"/>
      <c r="CY18" s="1376"/>
      <c r="CZ18" s="1374"/>
      <c r="DA18" s="1374"/>
      <c r="DB18" s="1374"/>
      <c r="DC18" s="1374"/>
      <c r="DD18" s="1375"/>
      <c r="DE18" s="1376"/>
      <c r="DF18" s="1374"/>
      <c r="DG18" s="1374"/>
      <c r="DH18" s="1374"/>
      <c r="DI18" s="1374"/>
      <c r="DJ18" s="1375"/>
      <c r="DK18" s="1376"/>
      <c r="DL18" s="1374"/>
      <c r="DM18" s="1374"/>
      <c r="DN18" s="1374"/>
      <c r="DO18" s="1374"/>
      <c r="DP18" s="1375"/>
      <c r="DQ18" s="1376"/>
      <c r="DR18" s="1374"/>
      <c r="DS18" s="1374"/>
      <c r="DT18" s="1374"/>
      <c r="DU18" s="1374"/>
      <c r="DV18" s="1375"/>
      <c r="DW18" s="1376"/>
      <c r="DX18" s="1374"/>
      <c r="DY18" s="1374"/>
      <c r="DZ18" s="1374"/>
      <c r="EA18" s="1374"/>
      <c r="EB18" s="1375"/>
      <c r="EC18" s="1376"/>
      <c r="ED18" s="1374"/>
      <c r="EE18" s="1374"/>
      <c r="EF18" s="1374"/>
      <c r="EG18" s="1374"/>
      <c r="EH18" s="1375"/>
      <c r="EI18" s="1376"/>
      <c r="EJ18" s="1374"/>
      <c r="EK18" s="1374"/>
      <c r="EL18" s="1374"/>
      <c r="EM18" s="1374"/>
      <c r="EN18" s="1375"/>
      <c r="EO18" s="1376"/>
      <c r="EP18" s="1374"/>
      <c r="EQ18" s="1374"/>
      <c r="ER18" s="1374"/>
      <c r="ES18" s="1374"/>
      <c r="ET18" s="1375"/>
      <c r="EU18" s="1376"/>
      <c r="EV18" s="1374"/>
      <c r="EW18" s="1374"/>
      <c r="EX18" s="1374"/>
      <c r="EY18" s="1374"/>
      <c r="EZ18" s="1375"/>
      <c r="FA18" s="1376"/>
      <c r="FB18" s="1374"/>
      <c r="FC18" s="1374"/>
      <c r="FD18" s="1374"/>
      <c r="FE18" s="1374"/>
      <c r="FF18" s="1375"/>
      <c r="FG18" s="1376"/>
      <c r="FH18" s="1374"/>
      <c r="FI18" s="1374"/>
      <c r="FJ18" s="1374"/>
      <c r="FK18" s="1374"/>
      <c r="FL18" s="1375"/>
      <c r="FM18" s="1376"/>
      <c r="FN18" s="1374"/>
      <c r="FO18" s="1374"/>
      <c r="FP18" s="1374"/>
      <c r="FQ18" s="1374"/>
      <c r="FR18" s="1375"/>
      <c r="FS18" s="1376"/>
      <c r="FT18" s="1374"/>
      <c r="FU18" s="1374"/>
      <c r="FV18" s="1374"/>
      <c r="FW18" s="1374"/>
      <c r="FX18" s="1375"/>
      <c r="FY18" s="1376"/>
      <c r="FZ18" s="1374"/>
      <c r="GA18" s="1374"/>
      <c r="GB18" s="1374"/>
      <c r="GC18" s="1374"/>
      <c r="GD18" s="1375"/>
      <c r="GE18" s="1376"/>
      <c r="GF18" s="1374"/>
      <c r="GG18" s="1374"/>
      <c r="GH18" s="1374"/>
      <c r="GI18" s="1374"/>
      <c r="GJ18" s="1375"/>
      <c r="GK18" s="1376"/>
      <c r="GL18" s="1374"/>
      <c r="GM18" s="1374"/>
      <c r="GN18" s="1374"/>
      <c r="GO18" s="1374"/>
      <c r="GP18" s="1375"/>
      <c r="GQ18" s="1376"/>
      <c r="GR18" s="1374"/>
      <c r="GS18" s="1374"/>
      <c r="GT18" s="1374"/>
      <c r="GU18" s="1374"/>
      <c r="GV18" s="1375"/>
      <c r="GW18" s="1376"/>
      <c r="GX18" s="1374"/>
      <c r="GY18" s="1374"/>
      <c r="GZ18" s="1374"/>
      <c r="HA18" s="1374"/>
      <c r="HB18" s="1375"/>
      <c r="HC18" s="1376"/>
      <c r="HD18" s="1374"/>
      <c r="HE18" s="1374"/>
      <c r="HF18" s="1374"/>
      <c r="HG18" s="1374"/>
      <c r="HH18" s="1375"/>
      <c r="HI18" s="1376"/>
      <c r="HJ18" s="1374"/>
      <c r="HK18" s="1374"/>
      <c r="HL18" s="1374"/>
      <c r="HM18" s="1374"/>
      <c r="HN18" s="1375"/>
      <c r="HO18" s="1376"/>
      <c r="HP18" s="1374"/>
      <c r="HQ18" s="1374"/>
      <c r="HR18" s="1374"/>
    </row>
    <row r="19" spans="1:226" ht="20.100000000000001" customHeight="1">
      <c r="A19" s="2039" t="str">
        <f>'COTAÇÃO PEDRA BRITADA N.0'!A19:I19</f>
        <v>* As cotações fornecidas pelas empresas seguem em anexo (Foi Utilizada a ITACARÉ, pois é a mais próxima e benefica ao Município de Apiacás - MT)</v>
      </c>
      <c r="B19" s="2040"/>
      <c r="C19" s="2040"/>
      <c r="D19" s="2040"/>
      <c r="E19" s="2040"/>
      <c r="F19" s="2040"/>
      <c r="G19" s="2040"/>
      <c r="H19" s="2040"/>
      <c r="I19" s="2041"/>
    </row>
    <row r="20" spans="1:226" ht="30" customHeight="1">
      <c r="A20" s="2057" t="s">
        <v>14127</v>
      </c>
      <c r="B20" s="2058"/>
      <c r="C20" s="2058"/>
      <c r="D20" s="2058"/>
      <c r="E20" s="2058"/>
      <c r="F20" s="2058"/>
      <c r="G20" s="2058"/>
      <c r="H20" s="2058"/>
      <c r="I20" s="2059"/>
    </row>
    <row r="21" spans="1:226" ht="30" customHeight="1">
      <c r="A21" s="2045" t="s">
        <v>14128</v>
      </c>
      <c r="B21" s="2046"/>
      <c r="C21" s="2046"/>
      <c r="D21" s="2046"/>
      <c r="E21" s="2046"/>
      <c r="F21" s="2046"/>
      <c r="G21" s="2046"/>
      <c r="H21" s="2046"/>
      <c r="I21" s="2047"/>
    </row>
    <row r="22" spans="1:226" ht="30" customHeight="1">
      <c r="A22" s="2031" t="s">
        <v>14129</v>
      </c>
      <c r="B22" s="2032"/>
      <c r="C22" s="2032"/>
      <c r="D22" s="2032"/>
      <c r="E22" s="2032"/>
      <c r="F22" s="2032"/>
      <c r="G22" s="2032"/>
      <c r="H22" s="2032"/>
      <c r="I22" s="2033"/>
    </row>
    <row r="23" spans="1:226" ht="30" customHeight="1">
      <c r="A23" s="2031" t="s">
        <v>14130</v>
      </c>
      <c r="B23" s="2032"/>
      <c r="C23" s="2032"/>
      <c r="D23" s="2032"/>
      <c r="E23" s="2032"/>
      <c r="F23" s="2032"/>
      <c r="G23" s="2032"/>
      <c r="H23" s="2032"/>
      <c r="I23" s="2033"/>
    </row>
    <row r="24" spans="1:226" ht="30" customHeight="1" thickBot="1">
      <c r="A24" s="2034" t="s">
        <v>14131</v>
      </c>
      <c r="B24" s="2035"/>
      <c r="C24" s="2035"/>
      <c r="D24" s="2035"/>
      <c r="E24" s="2035"/>
      <c r="F24" s="2035"/>
      <c r="G24" s="2035"/>
      <c r="H24" s="2035"/>
      <c r="I24" s="2036"/>
    </row>
  </sheetData>
  <mergeCells count="23">
    <mergeCell ref="B6:I6"/>
    <mergeCell ref="A1:I1"/>
    <mergeCell ref="A2:I2"/>
    <mergeCell ref="A3:I3"/>
    <mergeCell ref="A4:I4"/>
    <mergeCell ref="A5:I5"/>
    <mergeCell ref="B7:I7"/>
    <mergeCell ref="B8:I8"/>
    <mergeCell ref="B9:I9"/>
    <mergeCell ref="A10:I10"/>
    <mergeCell ref="A11:A13"/>
    <mergeCell ref="B11:B13"/>
    <mergeCell ref="C11:I11"/>
    <mergeCell ref="C12:D12"/>
    <mergeCell ref="E12:I12"/>
    <mergeCell ref="A23:I23"/>
    <mergeCell ref="A24:I24"/>
    <mergeCell ref="A17:B17"/>
    <mergeCell ref="A18:I18"/>
    <mergeCell ref="A19:I19"/>
    <mergeCell ref="A20:I20"/>
    <mergeCell ref="A21:I21"/>
    <mergeCell ref="A22:I22"/>
  </mergeCells>
  <printOptions horizontalCentered="1"/>
  <pageMargins left="0.15748031496062992" right="0.19685039370078741" top="0.78740157480314965" bottom="0.78740157480314965" header="0.15748031496062992" footer="0.31496062992125984"/>
  <pageSetup paperSize="9" scale="61" firstPageNumber="25" orientation="landscape" useFirstPageNumber="1" r:id="rId1"/>
  <headerFooter scaleWithDoc="0"/>
  <drawing r:id="rId2"/>
</worksheet>
</file>

<file path=xl/worksheets/sheet25.xml><?xml version="1.0" encoding="utf-8"?>
<worksheet xmlns="http://schemas.openxmlformats.org/spreadsheetml/2006/main" xmlns:r="http://schemas.openxmlformats.org/officeDocument/2006/relationships">
  <sheetPr codeName="Planilha30">
    <tabColor theme="1" tint="0.34998626667073579"/>
    <pageSetUpPr fitToPage="1"/>
  </sheetPr>
  <dimension ref="A1:M24"/>
  <sheetViews>
    <sheetView view="pageBreakPreview" zoomScaleSheetLayoutView="100" workbookViewId="0">
      <selection activeCell="B9" sqref="B9:F9"/>
    </sheetView>
  </sheetViews>
  <sheetFormatPr defaultRowHeight="15"/>
  <cols>
    <col min="1" max="1" width="36.28515625" style="1417" customWidth="1"/>
    <col min="2" max="2" width="12.7109375" style="1417" customWidth="1"/>
    <col min="3" max="3" width="18.140625" style="1417" customWidth="1"/>
    <col min="4" max="4" width="20.42578125" style="1417" customWidth="1"/>
    <col min="5" max="5" width="20" style="1417" hidden="1" customWidth="1"/>
    <col min="6" max="6" width="17.28515625" style="1417" customWidth="1"/>
    <col min="7" max="7" width="18.5703125" style="1417" customWidth="1"/>
    <col min="8" max="8" width="16.140625" style="1417" customWidth="1"/>
    <col min="9" max="9" width="22.5703125" style="1417" customWidth="1"/>
    <col min="10" max="10" width="19" style="1417" customWidth="1"/>
    <col min="11" max="12" width="19.140625" style="1417" customWidth="1"/>
    <col min="13" max="13" width="26.42578125" style="1421" customWidth="1"/>
  </cols>
  <sheetData>
    <row r="1" spans="1:13">
      <c r="A1" s="2065" t="s">
        <v>2996</v>
      </c>
      <c r="B1" s="2066"/>
      <c r="C1" s="2066"/>
      <c r="D1" s="2066"/>
      <c r="E1" s="2066"/>
      <c r="F1" s="2066"/>
      <c r="G1" s="2066"/>
      <c r="H1" s="2066"/>
      <c r="I1" s="2066"/>
      <c r="J1" s="2066"/>
      <c r="K1" s="2066"/>
      <c r="L1" s="2066"/>
      <c r="M1" s="2067"/>
    </row>
    <row r="2" spans="1:13">
      <c r="A2" s="2068" t="s">
        <v>13994</v>
      </c>
      <c r="B2" s="2069"/>
      <c r="C2" s="2069"/>
      <c r="D2" s="2069"/>
      <c r="E2" s="2069"/>
      <c r="F2" s="2069"/>
      <c r="G2" s="2069"/>
      <c r="H2" s="2069"/>
      <c r="I2" s="2069"/>
      <c r="J2" s="2069"/>
      <c r="K2" s="2069"/>
      <c r="L2" s="2069"/>
      <c r="M2" s="2070"/>
    </row>
    <row r="3" spans="1:13">
      <c r="A3" s="2071" t="s">
        <v>13995</v>
      </c>
      <c r="B3" s="2072"/>
      <c r="C3" s="2072"/>
      <c r="D3" s="2072"/>
      <c r="E3" s="2072"/>
      <c r="F3" s="2072"/>
      <c r="G3" s="2072"/>
      <c r="H3" s="2072"/>
      <c r="I3" s="2072"/>
      <c r="J3" s="2072"/>
      <c r="K3" s="2072"/>
      <c r="L3" s="2072"/>
      <c r="M3" s="2073"/>
    </row>
    <row r="4" spans="1:13">
      <c r="A4" s="2071" t="s">
        <v>3063</v>
      </c>
      <c r="B4" s="2072"/>
      <c r="C4" s="2072"/>
      <c r="D4" s="2072"/>
      <c r="E4" s="2072"/>
      <c r="F4" s="2072"/>
      <c r="G4" s="2072"/>
      <c r="H4" s="2072"/>
      <c r="I4" s="2072"/>
      <c r="J4" s="2072"/>
      <c r="K4" s="2072"/>
      <c r="L4" s="2072"/>
      <c r="M4" s="2073"/>
    </row>
    <row r="5" spans="1:13" ht="15.75" thickBot="1">
      <c r="A5" s="2074" t="s">
        <v>2999</v>
      </c>
      <c r="B5" s="2075"/>
      <c r="C5" s="2075"/>
      <c r="D5" s="2075"/>
      <c r="E5" s="2075"/>
      <c r="F5" s="2075"/>
      <c r="G5" s="2075"/>
      <c r="H5" s="2075"/>
      <c r="I5" s="2075"/>
      <c r="J5" s="2075"/>
      <c r="K5" s="2075"/>
      <c r="L5" s="2075"/>
      <c r="M5" s="2076"/>
    </row>
    <row r="6" spans="1:13">
      <c r="A6" s="1377" t="s">
        <v>14083</v>
      </c>
      <c r="B6" s="1378" t="str">
        <f>'REMOÇÃO DE PAV. ADUTORA'!B6:F6</f>
        <v xml:space="preserve">SISTEMA DE ABASTECIMENTO DE ÁGUA </v>
      </c>
      <c r="C6" s="1378"/>
      <c r="D6" s="1378"/>
      <c r="E6" s="1378"/>
      <c r="F6" s="1378"/>
      <c r="G6" s="1378"/>
      <c r="H6" s="1378"/>
      <c r="I6" s="1378"/>
      <c r="J6" s="1378"/>
      <c r="K6" s="1378"/>
      <c r="L6" s="1378"/>
      <c r="M6" s="1379"/>
    </row>
    <row r="7" spans="1:13">
      <c r="A7" s="1380" t="s">
        <v>14133</v>
      </c>
      <c r="B7" s="1427" t="str">
        <f>'REMOÇÃO DE PAV. ADUTORA'!B7:F7</f>
        <v>SETOR PIONEIRO - MUNICÍPIO DE APIACÁS</v>
      </c>
      <c r="C7" s="1381"/>
      <c r="D7" s="1381"/>
      <c r="E7" s="1381"/>
      <c r="F7" s="1381"/>
      <c r="G7" s="1381"/>
      <c r="H7" s="1381"/>
      <c r="I7" s="1381"/>
      <c r="J7" s="1381"/>
      <c r="K7" s="1381"/>
      <c r="L7" s="1381"/>
      <c r="M7" s="1382"/>
    </row>
    <row r="8" spans="1:13">
      <c r="A8" s="1380" t="s">
        <v>14134</v>
      </c>
      <c r="B8" s="1383" t="str">
        <f>'REMOÇÃO DE PAV. ADUTORA'!B8:F8</f>
        <v>PREFEITURA MUNICIPAL DE APIACÁS</v>
      </c>
      <c r="C8" s="1383"/>
      <c r="D8" s="1383"/>
      <c r="E8" s="1383"/>
      <c r="F8" s="1383"/>
      <c r="G8" s="1383"/>
      <c r="H8" s="1383"/>
      <c r="I8" s="1383"/>
      <c r="J8" s="1383"/>
      <c r="K8" s="1383"/>
      <c r="L8" s="1383"/>
      <c r="M8" s="1384"/>
    </row>
    <row r="9" spans="1:13" ht="15.75" thickBot="1">
      <c r="A9" s="1380" t="s">
        <v>7</v>
      </c>
      <c r="B9" s="1428">
        <f ca="1">'REMOÇÃO DE PAV. ADUTORA'!B9:F9</f>
        <v>45167</v>
      </c>
      <c r="C9" s="1385"/>
      <c r="D9" s="1385"/>
      <c r="E9" s="1385"/>
      <c r="F9" s="1385"/>
      <c r="G9" s="1385"/>
      <c r="H9" s="1385"/>
      <c r="I9" s="1385"/>
      <c r="J9" s="1385"/>
      <c r="K9" s="1385"/>
      <c r="L9" s="1385"/>
      <c r="M9" s="1386"/>
    </row>
    <row r="10" spans="1:13">
      <c r="A10" s="2077" t="s">
        <v>14135</v>
      </c>
      <c r="B10" s="2078"/>
      <c r="C10" s="2078"/>
      <c r="D10" s="2078"/>
      <c r="E10" s="2078"/>
      <c r="F10" s="2078"/>
      <c r="G10" s="2078"/>
      <c r="H10" s="2078"/>
      <c r="I10" s="2078"/>
      <c r="J10" s="2078"/>
      <c r="K10" s="2078"/>
      <c r="L10" s="2078"/>
      <c r="M10" s="2079"/>
    </row>
    <row r="11" spans="1:13" ht="31.5">
      <c r="A11" s="2060" t="s">
        <v>14136</v>
      </c>
      <c r="B11" s="1387" t="s">
        <v>14013</v>
      </c>
      <c r="C11" s="1388" t="s">
        <v>14137</v>
      </c>
      <c r="D11" s="1388" t="s">
        <v>14138</v>
      </c>
      <c r="E11" s="1388" t="s">
        <v>14139</v>
      </c>
      <c r="F11" s="1388" t="s">
        <v>14140</v>
      </c>
      <c r="G11" s="1388" t="s">
        <v>14141</v>
      </c>
      <c r="H11" s="1388" t="s">
        <v>14142</v>
      </c>
      <c r="I11" s="1388" t="s">
        <v>14143</v>
      </c>
      <c r="J11" s="1388" t="s">
        <v>14144</v>
      </c>
      <c r="K11" s="1388" t="s">
        <v>14145</v>
      </c>
      <c r="L11" s="1388" t="s">
        <v>14146</v>
      </c>
      <c r="M11" s="1389" t="s">
        <v>14147</v>
      </c>
    </row>
    <row r="12" spans="1:13">
      <c r="A12" s="2061"/>
      <c r="B12" s="1387" t="s">
        <v>14148</v>
      </c>
      <c r="C12" s="1390" t="s">
        <v>14015</v>
      </c>
      <c r="D12" s="1391" t="s">
        <v>14015</v>
      </c>
      <c r="E12" s="1391" t="s">
        <v>14015</v>
      </c>
      <c r="F12" s="1390" t="s">
        <v>14149</v>
      </c>
      <c r="G12" s="1390" t="s">
        <v>14149</v>
      </c>
      <c r="H12" s="1390" t="s">
        <v>14150</v>
      </c>
      <c r="I12" s="1390" t="s">
        <v>14150</v>
      </c>
      <c r="J12" s="1390" t="s">
        <v>14151</v>
      </c>
      <c r="K12" s="1390" t="s">
        <v>14152</v>
      </c>
      <c r="L12" s="1390" t="s">
        <v>14150</v>
      </c>
      <c r="M12" s="1392" t="s">
        <v>14150</v>
      </c>
    </row>
    <row r="13" spans="1:13">
      <c r="A13" s="1393" t="str">
        <f>'COTAÇÃO PEDRA BRITADA N.0'!E14</f>
        <v>ITACARÉ COMÉRCIO DE PEDRAS</v>
      </c>
      <c r="B13" s="1394">
        <v>168</v>
      </c>
      <c r="C13" s="1395">
        <f>TRUNC('TRANSP. BRITA (PAV) ADUTORA'!D29*'TRANSP. BRITA (PAV) ADUTORA'!E28,3)</f>
        <v>16.007999999999999</v>
      </c>
      <c r="D13" s="1396">
        <f>TRUNC('TRANSP. BRITA (PAV) ADUTORA'!D29*'TRANSP. BRITA (PAV) ADUTORA'!F28,2)</f>
        <v>32.89</v>
      </c>
      <c r="E13" s="1396">
        <v>0</v>
      </c>
      <c r="F13" s="1396">
        <f>'COTAÇÃO PEDRA BRITADA N.0'!C14</f>
        <v>198</v>
      </c>
      <c r="G13" s="1394">
        <f>'COTAÇÃO PEDRA BRITADA N.1'!C14</f>
        <v>165</v>
      </c>
      <c r="H13" s="1397">
        <f>TRUNC(F13*C13,2)</f>
        <v>3169.58</v>
      </c>
      <c r="I13" s="1397">
        <f>TRUNC((D13+E13)*G13,2)</f>
        <v>5426.85</v>
      </c>
      <c r="J13" s="1397">
        <f>TRUNC((C13+D13+E13)*B13,3)</f>
        <v>8214.8639999999996</v>
      </c>
      <c r="K13" s="1397">
        <v>0.57999999999999996</v>
      </c>
      <c r="L13" s="1397">
        <f>TRUNC($K$13*$J$13,2)</f>
        <v>4764.62</v>
      </c>
      <c r="M13" s="1398">
        <f>TRUNC(H13+I13+L13,2)</f>
        <v>13361.05</v>
      </c>
    </row>
    <row r="14" spans="1:13">
      <c r="A14" s="1399" t="str">
        <f>'COTAÇÃO PEDRA BRITADA N.0'!E15</f>
        <v>ALMEIDA'S MINERAÇÃO E TERRAPLENAGEM</v>
      </c>
      <c r="B14" s="1400">
        <v>364</v>
      </c>
      <c r="C14" s="1401">
        <f>C13</f>
        <v>16.007999999999999</v>
      </c>
      <c r="D14" s="1402">
        <f>D13</f>
        <v>32.89</v>
      </c>
      <c r="E14" s="1402">
        <v>0</v>
      </c>
      <c r="F14" s="1402">
        <f>'COTAÇÃO PEDRA BRITADA N.0'!C15</f>
        <v>135</v>
      </c>
      <c r="G14" s="1400">
        <f>'COTAÇÃO PEDRA BRITADA N.1'!C15</f>
        <v>142.5</v>
      </c>
      <c r="H14" s="1403">
        <f>TRUNC(F14*C14,2)</f>
        <v>2161.08</v>
      </c>
      <c r="I14" s="1403">
        <f>TRUNC((D14+E14)*G14,2)</f>
        <v>4686.82</v>
      </c>
      <c r="J14" s="1403">
        <f>TRUNC((C14+D14+E14)*B14,3)</f>
        <v>17798.871999999999</v>
      </c>
      <c r="K14" s="1403">
        <v>0.57999999999999996</v>
      </c>
      <c r="L14" s="1403">
        <f>TRUNC($K$14*$J$14,2)</f>
        <v>10323.34</v>
      </c>
      <c r="M14" s="1404">
        <f>TRUNC(H14+I14+L14,2)</f>
        <v>17171.240000000002</v>
      </c>
    </row>
    <row r="15" spans="1:13">
      <c r="A15" s="1405" t="str">
        <f>'COTAÇÃO PEDRA BRITADA N.0'!E16</f>
        <v>TRANSPEDRA MINERAÇÃO EIRELLI EPP</v>
      </c>
      <c r="B15" s="1406">
        <v>453</v>
      </c>
      <c r="C15" s="1407">
        <f>C14</f>
        <v>16.007999999999999</v>
      </c>
      <c r="D15" s="1408">
        <f>D14</f>
        <v>32.89</v>
      </c>
      <c r="E15" s="1408">
        <v>0</v>
      </c>
      <c r="F15" s="1408">
        <f>'COTAÇÃO PEDRA BRITADA N.0'!C16</f>
        <v>160.19999999999999</v>
      </c>
      <c r="G15" s="1406">
        <f>'COTAÇÃO PEDRA BRITADA N.1'!C16</f>
        <v>150.30000000000001</v>
      </c>
      <c r="H15" s="1409">
        <f>TRUNC(F15*C15,2)</f>
        <v>2564.48</v>
      </c>
      <c r="I15" s="1409">
        <f>TRUNC((D15+E15)*G15,2)</f>
        <v>4943.3599999999997</v>
      </c>
      <c r="J15" s="1409">
        <f>TRUNC((C15+D15+E15)*B15,3)</f>
        <v>22150.794000000002</v>
      </c>
      <c r="K15" s="1409">
        <v>0.57999999999999996</v>
      </c>
      <c r="L15" s="1409">
        <f>TRUNC($K$15*$J$15,2)</f>
        <v>12847.46</v>
      </c>
      <c r="M15" s="1410">
        <f>TRUNC(H15+I15+L15,2)</f>
        <v>20355.3</v>
      </c>
    </row>
    <row r="16" spans="1:13" ht="20.100000000000001" customHeight="1">
      <c r="A16" s="2062" t="s">
        <v>14153</v>
      </c>
      <c r="B16" s="2063"/>
      <c r="C16" s="2063"/>
      <c r="D16" s="2063"/>
      <c r="E16" s="2063"/>
      <c r="F16" s="2063"/>
      <c r="G16" s="2063"/>
      <c r="H16" s="2063"/>
      <c r="I16" s="2063"/>
      <c r="J16" s="2063"/>
      <c r="K16" s="2063"/>
      <c r="L16" s="2063"/>
      <c r="M16" s="2064"/>
    </row>
    <row r="17" spans="1:13" ht="20.100000000000001" customHeight="1">
      <c r="A17" s="1411" t="s">
        <v>14154</v>
      </c>
      <c r="B17" s="1412"/>
      <c r="C17" s="1412"/>
      <c r="D17" s="1412"/>
      <c r="E17" s="1412"/>
      <c r="F17" s="1412"/>
      <c r="G17" s="1412"/>
      <c r="H17" s="1412"/>
      <c r="I17" s="1412"/>
      <c r="J17" s="1412"/>
      <c r="K17" s="1412"/>
      <c r="L17" s="1412"/>
      <c r="M17" s="1413"/>
    </row>
    <row r="18" spans="1:13" ht="20.100000000000001" customHeight="1">
      <c r="A18" s="1411" t="s">
        <v>14155</v>
      </c>
      <c r="B18" s="1412"/>
      <c r="C18" s="1412"/>
      <c r="D18" s="1412"/>
      <c r="E18" s="1412"/>
      <c r="F18" s="1412"/>
      <c r="G18" s="1412"/>
      <c r="H18" s="1412"/>
      <c r="I18" s="1412"/>
      <c r="J18" s="1412"/>
      <c r="K18" s="1412"/>
      <c r="L18" s="1412"/>
      <c r="M18" s="1413"/>
    </row>
    <row r="19" spans="1:13" ht="20.100000000000001" customHeight="1" thickBot="1">
      <c r="A19" s="1414" t="s">
        <v>14156</v>
      </c>
      <c r="B19" s="1415"/>
      <c r="C19" s="1415"/>
      <c r="D19" s="1415"/>
      <c r="E19" s="1415"/>
      <c r="F19" s="1415"/>
      <c r="G19" s="1415"/>
      <c r="H19" s="1415"/>
      <c r="I19" s="1415"/>
      <c r="J19" s="1415"/>
      <c r="K19" s="1415"/>
      <c r="L19" s="1415"/>
      <c r="M19" s="1416"/>
    </row>
    <row r="21" spans="1:13">
      <c r="B21" s="1418"/>
      <c r="C21" s="1418"/>
      <c r="D21" s="1418"/>
      <c r="E21" s="1418"/>
      <c r="F21" s="1418"/>
      <c r="G21" s="1418"/>
      <c r="H21" s="1418"/>
      <c r="I21" s="1418"/>
      <c r="J21" s="1418"/>
      <c r="K21" s="1418"/>
      <c r="L21" s="1418"/>
      <c r="M21" s="1419"/>
    </row>
    <row r="22" spans="1:13">
      <c r="B22" s="1420"/>
      <c r="C22" s="1420"/>
      <c r="D22" s="1420"/>
      <c r="E22" s="1420"/>
      <c r="F22" s="1420"/>
      <c r="G22" s="1420"/>
      <c r="H22" s="1420"/>
      <c r="I22" s="1420"/>
      <c r="J22" s="1420"/>
      <c r="K22" s="1420"/>
      <c r="L22" s="1420"/>
    </row>
    <row r="24" spans="1:13">
      <c r="M24" s="1419"/>
    </row>
  </sheetData>
  <mergeCells count="8">
    <mergeCell ref="A11:A12"/>
    <mergeCell ref="A16:M16"/>
    <mergeCell ref="A1:M1"/>
    <mergeCell ref="A2:M2"/>
    <mergeCell ref="A3:M3"/>
    <mergeCell ref="A4:M4"/>
    <mergeCell ref="A5:M5"/>
    <mergeCell ref="A10:M10"/>
  </mergeCells>
  <printOptions horizontalCentered="1"/>
  <pageMargins left="0.70866141732283472" right="0.70866141732283472" top="0.74803149606299213" bottom="0.74803149606299213" header="0.31496062992125984" footer="0.31496062992125984"/>
  <pageSetup paperSize="9" scale="53" fitToHeight="0" orientation="landscape" r:id="rId1"/>
  <drawing r:id="rId2"/>
</worksheet>
</file>

<file path=xl/worksheets/sheet26.xml><?xml version="1.0" encoding="utf-8"?>
<worksheet xmlns="http://schemas.openxmlformats.org/spreadsheetml/2006/main" xmlns:r="http://schemas.openxmlformats.org/officeDocument/2006/relationships">
  <sheetPr codeName="Plan21">
    <tabColor theme="1" tint="0.34998626667073579"/>
  </sheetPr>
  <dimension ref="A1:HO65"/>
  <sheetViews>
    <sheetView showGridLines="0" view="pageBreakPreview" zoomScaleNormal="115" zoomScaleSheetLayoutView="100" workbookViewId="0">
      <selection activeCell="I18" sqref="I18"/>
    </sheetView>
  </sheetViews>
  <sheetFormatPr defaultColWidth="9.140625" defaultRowHeight="15"/>
  <cols>
    <col min="2" max="2" width="6" customWidth="1"/>
    <col min="3" max="3" width="45.85546875" customWidth="1"/>
    <col min="4" max="6" width="15.7109375" customWidth="1"/>
  </cols>
  <sheetData>
    <row r="1" spans="1:6" s="533" customFormat="1" ht="18">
      <c r="A1" s="1909" t="s">
        <v>2996</v>
      </c>
      <c r="B1" s="1910" t="s">
        <v>2996</v>
      </c>
      <c r="C1" s="1910" t="s">
        <v>2996</v>
      </c>
      <c r="D1" s="1910"/>
      <c r="E1" s="1910"/>
      <c r="F1" s="1911"/>
    </row>
    <row r="2" spans="1:6" s="533" customFormat="1" ht="14.25">
      <c r="A2" s="1912" t="s">
        <v>2997</v>
      </c>
      <c r="B2" s="1913" t="s">
        <v>13994</v>
      </c>
      <c r="C2" s="1913" t="s">
        <v>13994</v>
      </c>
      <c r="D2" s="1913"/>
      <c r="E2" s="1913"/>
      <c r="F2" s="1914"/>
    </row>
    <row r="3" spans="1:6" s="533" customFormat="1" ht="14.25">
      <c r="A3" s="1915" t="s">
        <v>2998</v>
      </c>
      <c r="B3" s="1916" t="s">
        <v>13995</v>
      </c>
      <c r="C3" s="1916" t="s">
        <v>13995</v>
      </c>
      <c r="D3" s="1916"/>
      <c r="E3" s="1916"/>
      <c r="F3" s="1917"/>
    </row>
    <row r="4" spans="1:6" s="533" customFormat="1" ht="14.25">
      <c r="A4" s="1915" t="s">
        <v>3063</v>
      </c>
      <c r="B4" s="1916" t="s">
        <v>3063</v>
      </c>
      <c r="C4" s="1916" t="s">
        <v>3063</v>
      </c>
      <c r="D4" s="1916"/>
      <c r="E4" s="1916"/>
      <c r="F4" s="1917"/>
    </row>
    <row r="5" spans="1:6" s="533" customFormat="1" ht="14.25">
      <c r="A5" s="1915" t="s">
        <v>2999</v>
      </c>
      <c r="B5" s="1916" t="s">
        <v>2999</v>
      </c>
      <c r="C5" s="1916" t="s">
        <v>2999</v>
      </c>
      <c r="D5" s="1916"/>
      <c r="E5" s="1916"/>
      <c r="F5" s="1917"/>
    </row>
    <row r="6" spans="1:6" s="533" customFormat="1" ht="15" customHeight="1">
      <c r="A6" s="1142" t="s">
        <v>6</v>
      </c>
      <c r="B6" s="1907" t="str">
        <f>'REMOÇÃO DE PAV. ADUTORA'!B6:F6</f>
        <v xml:space="preserve">SISTEMA DE ABASTECIMENTO DE ÁGUA </v>
      </c>
      <c r="C6" s="1907"/>
      <c r="D6" s="1907"/>
      <c r="E6" s="1907"/>
      <c r="F6" s="1908"/>
    </row>
    <row r="7" spans="1:6" s="533" customFormat="1" ht="14.25">
      <c r="A7" s="534" t="s">
        <v>8</v>
      </c>
      <c r="B7" s="2048" t="str">
        <f>'REMOÇÃO DE PAV. ADUTORA'!B7:F7</f>
        <v>SETOR PIONEIRO - MUNICÍPIO DE APIACÁS</v>
      </c>
      <c r="C7" s="2048"/>
      <c r="D7" s="2048"/>
      <c r="E7" s="2048"/>
      <c r="F7" s="1890"/>
    </row>
    <row r="8" spans="1:6" s="533" customFormat="1" ht="14.25">
      <c r="A8" s="534" t="s">
        <v>13672</v>
      </c>
      <c r="B8" s="2048" t="str">
        <f>'REMOÇÃO DE PAV. ADUTORA'!B8:F8</f>
        <v>PREFEITURA MUNICIPAL DE APIACÁS</v>
      </c>
      <c r="C8" s="2048"/>
      <c r="D8" s="2048"/>
      <c r="E8" s="2048"/>
      <c r="F8" s="1890"/>
    </row>
    <row r="9" spans="1:6" s="533" customFormat="1" ht="15.75" customHeight="1">
      <c r="A9" s="1143" t="s">
        <v>3064</v>
      </c>
      <c r="B9" s="1891">
        <f ca="1">'REMOÇÃO DE PAV. ADUTORA'!B9:F9</f>
        <v>45167</v>
      </c>
      <c r="C9" s="1930"/>
      <c r="D9" s="1930"/>
      <c r="E9" s="1930"/>
      <c r="F9" s="2083"/>
    </row>
    <row r="10" spans="1:6" s="533" customFormat="1" ht="22.5" customHeight="1">
      <c r="A10" s="1894" t="s">
        <v>14158</v>
      </c>
      <c r="B10" s="1895"/>
      <c r="C10" s="1895"/>
      <c r="D10" s="1895"/>
      <c r="E10" s="1895"/>
      <c r="F10" s="1896"/>
    </row>
    <row r="11" spans="1:6" s="535" customFormat="1" ht="12.75" customHeight="1">
      <c r="A11" s="1897" t="s">
        <v>11</v>
      </c>
      <c r="B11" s="1899" t="s">
        <v>13997</v>
      </c>
      <c r="C11" s="1900"/>
      <c r="D11" s="1903" t="s">
        <v>13998</v>
      </c>
      <c r="E11" s="1903" t="s">
        <v>13999</v>
      </c>
      <c r="F11" s="1905" t="s">
        <v>14000</v>
      </c>
    </row>
    <row r="12" spans="1:6" s="535" customFormat="1" ht="12.75">
      <c r="A12" s="1897"/>
      <c r="B12" s="1899"/>
      <c r="C12" s="1900"/>
      <c r="D12" s="1904"/>
      <c r="E12" s="1904"/>
      <c r="F12" s="1906"/>
    </row>
    <row r="13" spans="1:6" s="535" customFormat="1" ht="22.5" customHeight="1">
      <c r="A13" s="1898"/>
      <c r="B13" s="1901"/>
      <c r="C13" s="1902"/>
      <c r="D13" s="1233" t="s">
        <v>3379</v>
      </c>
      <c r="E13" s="1233" t="s">
        <v>3379</v>
      </c>
      <c r="F13" s="1234" t="s">
        <v>3378</v>
      </c>
    </row>
    <row r="14" spans="1:6" s="535" customFormat="1" ht="20.100000000000001" customHeight="1">
      <c r="A14" s="1235">
        <v>1</v>
      </c>
      <c r="B14" s="2080" t="s">
        <v>14159</v>
      </c>
      <c r="C14" s="2082"/>
      <c r="D14" s="1236">
        <v>80.2</v>
      </c>
      <c r="E14" s="1237">
        <v>0.6</v>
      </c>
      <c r="F14" s="1238">
        <f>TRUNC(E14*D14,2)</f>
        <v>48.12</v>
      </c>
    </row>
    <row r="15" spans="1:6" s="535" customFormat="1" ht="20.100000000000001" customHeight="1">
      <c r="A15" s="1235">
        <f>A14+1</f>
        <v>2</v>
      </c>
      <c r="B15" s="2080" t="s">
        <v>14160</v>
      </c>
      <c r="C15" s="2082"/>
      <c r="D15" s="1236">
        <v>34.130000000000003</v>
      </c>
      <c r="E15" s="1237">
        <v>0.6</v>
      </c>
      <c r="F15" s="1238">
        <f t="shared" ref="F15:F63" si="0">TRUNC(E15*D15,2)</f>
        <v>20.47</v>
      </c>
    </row>
    <row r="16" spans="1:6" s="535" customFormat="1" ht="20.100000000000001" customHeight="1">
      <c r="A16" s="1235">
        <f t="shared" ref="A16:A63" si="1">A15+1</f>
        <v>3</v>
      </c>
      <c r="B16" s="2080" t="s">
        <v>14161</v>
      </c>
      <c r="C16" s="2082"/>
      <c r="D16" s="1236">
        <v>74.87</v>
      </c>
      <c r="E16" s="1237">
        <v>0.6</v>
      </c>
      <c r="F16" s="1238">
        <f t="shared" si="0"/>
        <v>44.92</v>
      </c>
    </row>
    <row r="17" spans="1:6" s="535" customFormat="1" ht="20.100000000000001" customHeight="1">
      <c r="A17" s="1235">
        <f t="shared" si="1"/>
        <v>4</v>
      </c>
      <c r="B17" s="2080" t="s">
        <v>14162</v>
      </c>
      <c r="C17" s="2082"/>
      <c r="D17" s="1236">
        <v>138.08000000000001</v>
      </c>
      <c r="E17" s="1237">
        <v>0.6</v>
      </c>
      <c r="F17" s="1238">
        <f t="shared" si="0"/>
        <v>82.84</v>
      </c>
    </row>
    <row r="18" spans="1:6" s="535" customFormat="1" ht="20.100000000000001" customHeight="1">
      <c r="A18" s="1235">
        <f t="shared" si="1"/>
        <v>5</v>
      </c>
      <c r="B18" s="2080" t="s">
        <v>14163</v>
      </c>
      <c r="C18" s="2082"/>
      <c r="D18" s="1236">
        <v>122.83</v>
      </c>
      <c r="E18" s="1237">
        <v>0.6</v>
      </c>
      <c r="F18" s="1238">
        <f t="shared" si="0"/>
        <v>73.69</v>
      </c>
    </row>
    <row r="19" spans="1:6" s="535" customFormat="1" ht="20.100000000000001" customHeight="1">
      <c r="A19" s="1235">
        <f t="shared" si="1"/>
        <v>6</v>
      </c>
      <c r="B19" s="2080" t="s">
        <v>14164</v>
      </c>
      <c r="C19" s="2082"/>
      <c r="D19" s="1236">
        <v>121.99</v>
      </c>
      <c r="E19" s="1237">
        <v>0.6</v>
      </c>
      <c r="F19" s="1238">
        <f t="shared" si="0"/>
        <v>73.19</v>
      </c>
    </row>
    <row r="20" spans="1:6" s="535" customFormat="1" ht="20.100000000000001" customHeight="1">
      <c r="A20" s="1235">
        <f t="shared" si="1"/>
        <v>7</v>
      </c>
      <c r="B20" s="2080" t="s">
        <v>14165</v>
      </c>
      <c r="C20" s="2082"/>
      <c r="D20" s="1236">
        <v>126.41</v>
      </c>
      <c r="E20" s="1237">
        <v>0.6</v>
      </c>
      <c r="F20" s="1238">
        <f t="shared" si="0"/>
        <v>75.84</v>
      </c>
    </row>
    <row r="21" spans="1:6" s="535" customFormat="1" ht="20.100000000000001" customHeight="1">
      <c r="A21" s="1235">
        <f t="shared" si="1"/>
        <v>8</v>
      </c>
      <c r="B21" s="2080" t="s">
        <v>14166</v>
      </c>
      <c r="C21" s="2082"/>
      <c r="D21" s="1236">
        <v>125.11</v>
      </c>
      <c r="E21" s="1237">
        <v>0.6</v>
      </c>
      <c r="F21" s="1238">
        <f t="shared" si="0"/>
        <v>75.06</v>
      </c>
    </row>
    <row r="22" spans="1:6" s="535" customFormat="1" ht="20.100000000000001" customHeight="1">
      <c r="A22" s="1235">
        <f t="shared" si="1"/>
        <v>9</v>
      </c>
      <c r="B22" s="2080" t="s">
        <v>14167</v>
      </c>
      <c r="C22" s="2082"/>
      <c r="D22" s="1236">
        <v>79.38</v>
      </c>
      <c r="E22" s="1237">
        <v>0.6</v>
      </c>
      <c r="F22" s="1238">
        <f t="shared" si="0"/>
        <v>47.62</v>
      </c>
    </row>
    <row r="23" spans="1:6" s="535" customFormat="1" ht="20.100000000000001" customHeight="1">
      <c r="A23" s="1235">
        <f t="shared" si="1"/>
        <v>10</v>
      </c>
      <c r="B23" s="2080" t="s">
        <v>14168</v>
      </c>
      <c r="C23" s="2082"/>
      <c r="D23" s="1236">
        <v>86.34</v>
      </c>
      <c r="E23" s="1237">
        <v>0.6</v>
      </c>
      <c r="F23" s="1238">
        <f t="shared" si="0"/>
        <v>51.8</v>
      </c>
    </row>
    <row r="24" spans="1:6" s="535" customFormat="1" ht="20.100000000000001" customHeight="1">
      <c r="A24" s="1235">
        <f t="shared" si="1"/>
        <v>11</v>
      </c>
      <c r="B24" s="2080" t="s">
        <v>14169</v>
      </c>
      <c r="C24" s="2082"/>
      <c r="D24" s="1236">
        <v>84.41</v>
      </c>
      <c r="E24" s="1237">
        <v>0.6</v>
      </c>
      <c r="F24" s="1238">
        <f t="shared" si="0"/>
        <v>50.64</v>
      </c>
    </row>
    <row r="25" spans="1:6" s="535" customFormat="1" ht="20.100000000000001" customHeight="1">
      <c r="A25" s="1235">
        <f t="shared" si="1"/>
        <v>12</v>
      </c>
      <c r="B25" s="2080" t="s">
        <v>14170</v>
      </c>
      <c r="C25" s="2082"/>
      <c r="D25" s="1236">
        <v>85.01</v>
      </c>
      <c r="E25" s="1237">
        <v>0.6</v>
      </c>
      <c r="F25" s="1238">
        <f t="shared" si="0"/>
        <v>51</v>
      </c>
    </row>
    <row r="26" spans="1:6" s="535" customFormat="1" ht="20.100000000000001" customHeight="1">
      <c r="A26" s="1235">
        <f t="shared" si="1"/>
        <v>13</v>
      </c>
      <c r="B26" s="2080" t="s">
        <v>14171</v>
      </c>
      <c r="C26" s="2082"/>
      <c r="D26" s="1236">
        <v>81.849999999999994</v>
      </c>
      <c r="E26" s="1237">
        <v>0.6</v>
      </c>
      <c r="F26" s="1238">
        <f t="shared" si="0"/>
        <v>49.11</v>
      </c>
    </row>
    <row r="27" spans="1:6" s="535" customFormat="1" ht="20.100000000000001" customHeight="1">
      <c r="A27" s="1235">
        <f t="shared" si="1"/>
        <v>14</v>
      </c>
      <c r="B27" s="2080" t="s">
        <v>14172</v>
      </c>
      <c r="C27" s="2082"/>
      <c r="D27" s="1236">
        <v>76.680000000000007</v>
      </c>
      <c r="E27" s="1237">
        <v>0.6</v>
      </c>
      <c r="F27" s="1238">
        <f t="shared" si="0"/>
        <v>46</v>
      </c>
    </row>
    <row r="28" spans="1:6" s="535" customFormat="1" ht="20.100000000000001" customHeight="1">
      <c r="A28" s="1235">
        <f t="shared" si="1"/>
        <v>15</v>
      </c>
      <c r="B28" s="2080" t="s">
        <v>14173</v>
      </c>
      <c r="C28" s="2082"/>
      <c r="D28" s="1236">
        <v>138.26</v>
      </c>
      <c r="E28" s="1237">
        <v>0.6</v>
      </c>
      <c r="F28" s="1238">
        <f t="shared" si="0"/>
        <v>82.95</v>
      </c>
    </row>
    <row r="29" spans="1:6" s="535" customFormat="1" ht="20.100000000000001" customHeight="1">
      <c r="A29" s="1235">
        <f t="shared" si="1"/>
        <v>16</v>
      </c>
      <c r="B29" s="2080" t="s">
        <v>14174</v>
      </c>
      <c r="C29" s="2082"/>
      <c r="D29" s="1236">
        <v>136.72</v>
      </c>
      <c r="E29" s="1237">
        <v>0.6</v>
      </c>
      <c r="F29" s="1238">
        <f t="shared" si="0"/>
        <v>82.03</v>
      </c>
    </row>
    <row r="30" spans="1:6" s="535" customFormat="1" ht="20.100000000000001" customHeight="1">
      <c r="A30" s="1235">
        <f t="shared" si="1"/>
        <v>17</v>
      </c>
      <c r="B30" s="2080" t="s">
        <v>14175</v>
      </c>
      <c r="C30" s="2082"/>
      <c r="D30" s="1236">
        <v>136.05000000000001</v>
      </c>
      <c r="E30" s="1237">
        <v>0.6</v>
      </c>
      <c r="F30" s="1238">
        <f t="shared" si="0"/>
        <v>81.63</v>
      </c>
    </row>
    <row r="31" spans="1:6" s="535" customFormat="1" ht="20.100000000000001" customHeight="1">
      <c r="A31" s="1235">
        <f t="shared" si="1"/>
        <v>18</v>
      </c>
      <c r="B31" s="2080" t="s">
        <v>14176</v>
      </c>
      <c r="C31" s="2082"/>
      <c r="D31" s="1236">
        <v>98.83</v>
      </c>
      <c r="E31" s="1237">
        <v>0.6</v>
      </c>
      <c r="F31" s="1238">
        <f t="shared" si="0"/>
        <v>59.29</v>
      </c>
    </row>
    <row r="32" spans="1:6" s="535" customFormat="1" ht="20.100000000000001" customHeight="1">
      <c r="A32" s="1235">
        <f t="shared" si="1"/>
        <v>19</v>
      </c>
      <c r="B32" s="2080" t="s">
        <v>14177</v>
      </c>
      <c r="C32" s="2082"/>
      <c r="D32" s="1236">
        <v>100.99</v>
      </c>
      <c r="E32" s="1237">
        <v>0.6</v>
      </c>
      <c r="F32" s="1238">
        <f t="shared" si="0"/>
        <v>60.59</v>
      </c>
    </row>
    <row r="33" spans="1:6" s="535" customFormat="1" ht="20.100000000000001" customHeight="1">
      <c r="A33" s="1235">
        <f t="shared" si="1"/>
        <v>20</v>
      </c>
      <c r="B33" s="2080" t="s">
        <v>14178</v>
      </c>
      <c r="C33" s="2082"/>
      <c r="D33" s="1236">
        <v>91.21</v>
      </c>
      <c r="E33" s="1237">
        <v>0.6</v>
      </c>
      <c r="F33" s="1238">
        <f t="shared" si="0"/>
        <v>54.72</v>
      </c>
    </row>
    <row r="34" spans="1:6" s="535" customFormat="1" ht="20.100000000000001" customHeight="1">
      <c r="A34" s="1235">
        <f t="shared" si="1"/>
        <v>21</v>
      </c>
      <c r="B34" s="2080" t="s">
        <v>14179</v>
      </c>
      <c r="C34" s="2082"/>
      <c r="D34" s="1236">
        <v>32.11</v>
      </c>
      <c r="E34" s="1237">
        <v>0.6</v>
      </c>
      <c r="F34" s="1238">
        <f t="shared" si="0"/>
        <v>19.260000000000002</v>
      </c>
    </row>
    <row r="35" spans="1:6" s="535" customFormat="1" ht="20.100000000000001" customHeight="1">
      <c r="A35" s="1235">
        <f t="shared" si="1"/>
        <v>22</v>
      </c>
      <c r="B35" s="2080" t="s">
        <v>14180</v>
      </c>
      <c r="C35" s="2082"/>
      <c r="D35" s="1236">
        <v>91.11</v>
      </c>
      <c r="E35" s="1237">
        <v>0.6</v>
      </c>
      <c r="F35" s="1238">
        <f t="shared" si="0"/>
        <v>54.66</v>
      </c>
    </row>
    <row r="36" spans="1:6" s="535" customFormat="1" ht="20.100000000000001" customHeight="1">
      <c r="A36" s="1235">
        <f t="shared" si="1"/>
        <v>23</v>
      </c>
      <c r="B36" s="2080" t="s">
        <v>14181</v>
      </c>
      <c r="C36" s="2082"/>
      <c r="D36" s="1236">
        <v>34.11</v>
      </c>
      <c r="E36" s="1237">
        <v>0.6</v>
      </c>
      <c r="F36" s="1238">
        <f t="shared" si="0"/>
        <v>20.46</v>
      </c>
    </row>
    <row r="37" spans="1:6" s="535" customFormat="1" ht="20.100000000000001" customHeight="1">
      <c r="A37" s="1235">
        <f t="shared" si="1"/>
        <v>24</v>
      </c>
      <c r="B37" s="2080" t="s">
        <v>14182</v>
      </c>
      <c r="C37" s="2082"/>
      <c r="D37" s="1236">
        <v>111.92</v>
      </c>
      <c r="E37" s="1237">
        <v>0.6</v>
      </c>
      <c r="F37" s="1238">
        <f t="shared" si="0"/>
        <v>67.150000000000006</v>
      </c>
    </row>
    <row r="38" spans="1:6" s="535" customFormat="1" ht="20.100000000000001" customHeight="1">
      <c r="A38" s="1235">
        <f t="shared" si="1"/>
        <v>25</v>
      </c>
      <c r="B38" s="2080" t="s">
        <v>14183</v>
      </c>
      <c r="C38" s="2082"/>
      <c r="D38" s="1236">
        <v>81.63</v>
      </c>
      <c r="E38" s="1237">
        <v>0.6</v>
      </c>
      <c r="F38" s="1238">
        <f t="shared" si="0"/>
        <v>48.97</v>
      </c>
    </row>
    <row r="39" spans="1:6" s="535" customFormat="1" ht="20.100000000000001" customHeight="1">
      <c r="A39" s="1235">
        <f t="shared" si="1"/>
        <v>26</v>
      </c>
      <c r="B39" s="2080" t="s">
        <v>14184</v>
      </c>
      <c r="C39" s="2082"/>
      <c r="D39" s="1236">
        <v>84.53</v>
      </c>
      <c r="E39" s="1237">
        <v>0.6</v>
      </c>
      <c r="F39" s="1238">
        <f t="shared" si="0"/>
        <v>50.71</v>
      </c>
    </row>
    <row r="40" spans="1:6" s="535" customFormat="1" ht="20.100000000000001" customHeight="1">
      <c r="A40" s="1235">
        <f t="shared" si="1"/>
        <v>27</v>
      </c>
      <c r="B40" s="2080" t="s">
        <v>14185</v>
      </c>
      <c r="C40" s="2082"/>
      <c r="D40" s="1236">
        <v>81.08</v>
      </c>
      <c r="E40" s="1237">
        <v>0.6</v>
      </c>
      <c r="F40" s="1238">
        <f t="shared" si="0"/>
        <v>48.64</v>
      </c>
    </row>
    <row r="41" spans="1:6" s="535" customFormat="1" ht="20.100000000000001" customHeight="1">
      <c r="A41" s="1235">
        <f t="shared" si="1"/>
        <v>28</v>
      </c>
      <c r="B41" s="2080" t="s">
        <v>14186</v>
      </c>
      <c r="C41" s="2082"/>
      <c r="D41" s="1236">
        <v>90.34</v>
      </c>
      <c r="E41" s="1237">
        <v>0.6</v>
      </c>
      <c r="F41" s="1238">
        <f t="shared" si="0"/>
        <v>54.2</v>
      </c>
    </row>
    <row r="42" spans="1:6" s="535" customFormat="1" ht="20.100000000000001" customHeight="1">
      <c r="A42" s="1235">
        <f t="shared" si="1"/>
        <v>29</v>
      </c>
      <c r="B42" s="2080" t="s">
        <v>14187</v>
      </c>
      <c r="C42" s="2082"/>
      <c r="D42" s="1236">
        <v>85.65</v>
      </c>
      <c r="E42" s="1237">
        <v>0.6</v>
      </c>
      <c r="F42" s="1238">
        <f t="shared" si="0"/>
        <v>51.39</v>
      </c>
    </row>
    <row r="43" spans="1:6" s="535" customFormat="1" ht="20.100000000000001" customHeight="1">
      <c r="A43" s="1235">
        <f t="shared" si="1"/>
        <v>30</v>
      </c>
      <c r="B43" s="2080" t="s">
        <v>14188</v>
      </c>
      <c r="C43" s="2082"/>
      <c r="D43" s="1236">
        <v>87.44</v>
      </c>
      <c r="E43" s="1237">
        <v>0.6</v>
      </c>
      <c r="F43" s="1238">
        <f t="shared" si="0"/>
        <v>52.46</v>
      </c>
    </row>
    <row r="44" spans="1:6" s="535" customFormat="1" ht="20.100000000000001" customHeight="1">
      <c r="A44" s="1235">
        <f t="shared" si="1"/>
        <v>31</v>
      </c>
      <c r="B44" s="2080" t="s">
        <v>14189</v>
      </c>
      <c r="C44" s="2082"/>
      <c r="D44" s="1236">
        <v>90.7</v>
      </c>
      <c r="E44" s="1237">
        <v>0.6</v>
      </c>
      <c r="F44" s="1238">
        <f t="shared" si="0"/>
        <v>54.42</v>
      </c>
    </row>
    <row r="45" spans="1:6" s="535" customFormat="1" ht="20.100000000000001" customHeight="1">
      <c r="A45" s="1235">
        <f t="shared" si="1"/>
        <v>32</v>
      </c>
      <c r="B45" s="2080" t="s">
        <v>14190</v>
      </c>
      <c r="C45" s="2082"/>
      <c r="D45" s="1236">
        <v>78.069999999999993</v>
      </c>
      <c r="E45" s="1237">
        <v>0.6</v>
      </c>
      <c r="F45" s="1238">
        <f t="shared" si="0"/>
        <v>46.84</v>
      </c>
    </row>
    <row r="46" spans="1:6" s="535" customFormat="1" ht="20.100000000000001" customHeight="1">
      <c r="A46" s="1235">
        <f t="shared" si="1"/>
        <v>33</v>
      </c>
      <c r="B46" s="2080" t="s">
        <v>14191</v>
      </c>
      <c r="C46" s="2082"/>
      <c r="D46" s="1236">
        <v>84.54</v>
      </c>
      <c r="E46" s="1237">
        <v>0.6</v>
      </c>
      <c r="F46" s="1238">
        <f t="shared" si="0"/>
        <v>50.72</v>
      </c>
    </row>
    <row r="47" spans="1:6" s="535" customFormat="1" ht="20.100000000000001" customHeight="1">
      <c r="A47" s="1235">
        <f t="shared" si="1"/>
        <v>34</v>
      </c>
      <c r="B47" s="2080" t="s">
        <v>14192</v>
      </c>
      <c r="C47" s="2082"/>
      <c r="D47" s="1236">
        <v>80.97</v>
      </c>
      <c r="E47" s="1237">
        <v>0.6</v>
      </c>
      <c r="F47" s="1238">
        <f t="shared" si="0"/>
        <v>48.58</v>
      </c>
    </row>
    <row r="48" spans="1:6" s="535" customFormat="1" ht="20.100000000000001" customHeight="1">
      <c r="A48" s="1235">
        <f t="shared" si="1"/>
        <v>35</v>
      </c>
      <c r="B48" s="2080" t="s">
        <v>14193</v>
      </c>
      <c r="C48" s="2081"/>
      <c r="D48" s="1236">
        <v>26.81</v>
      </c>
      <c r="E48" s="1237">
        <v>0.6</v>
      </c>
      <c r="F48" s="1238">
        <f t="shared" si="0"/>
        <v>16.079999999999998</v>
      </c>
    </row>
    <row r="49" spans="1:223" s="535" customFormat="1" ht="20.100000000000001" customHeight="1">
      <c r="A49" s="1235">
        <f t="shared" si="1"/>
        <v>36</v>
      </c>
      <c r="B49" s="2080" t="s">
        <v>14194</v>
      </c>
      <c r="C49" s="2081"/>
      <c r="D49" s="1236">
        <v>168.98</v>
      </c>
      <c r="E49" s="1237">
        <v>0.6</v>
      </c>
      <c r="F49" s="1238">
        <f t="shared" si="0"/>
        <v>101.38</v>
      </c>
    </row>
    <row r="50" spans="1:223" s="535" customFormat="1" ht="20.100000000000001" customHeight="1">
      <c r="A50" s="1235">
        <f t="shared" si="1"/>
        <v>37</v>
      </c>
      <c r="B50" s="2080" t="s">
        <v>14195</v>
      </c>
      <c r="C50" s="2081"/>
      <c r="D50" s="1236">
        <v>135.36000000000001</v>
      </c>
      <c r="E50" s="1237">
        <v>0.6</v>
      </c>
      <c r="F50" s="1238">
        <f t="shared" si="0"/>
        <v>81.209999999999994</v>
      </c>
    </row>
    <row r="51" spans="1:223" s="535" customFormat="1" ht="20.100000000000001" customHeight="1">
      <c r="A51" s="1235">
        <f t="shared" si="1"/>
        <v>38</v>
      </c>
      <c r="B51" s="2080" t="s">
        <v>14196</v>
      </c>
      <c r="C51" s="2081"/>
      <c r="D51" s="1236">
        <v>97.63</v>
      </c>
      <c r="E51" s="1237">
        <v>0.6</v>
      </c>
      <c r="F51" s="1238">
        <f t="shared" si="0"/>
        <v>58.57</v>
      </c>
    </row>
    <row r="52" spans="1:223" s="535" customFormat="1" ht="20.100000000000001" customHeight="1">
      <c r="A52" s="1235">
        <f t="shared" si="1"/>
        <v>39</v>
      </c>
      <c r="B52" s="2080" t="s">
        <v>14197</v>
      </c>
      <c r="C52" s="2081"/>
      <c r="D52" s="1236">
        <v>171.87</v>
      </c>
      <c r="E52" s="1237">
        <v>0.6</v>
      </c>
      <c r="F52" s="1238">
        <f t="shared" si="0"/>
        <v>103.12</v>
      </c>
    </row>
    <row r="53" spans="1:223" s="535" customFormat="1" ht="20.100000000000001" customHeight="1">
      <c r="A53" s="1235">
        <f t="shared" si="1"/>
        <v>40</v>
      </c>
      <c r="B53" s="2080" t="s">
        <v>14198</v>
      </c>
      <c r="C53" s="2081"/>
      <c r="D53" s="1236">
        <v>89.68</v>
      </c>
      <c r="E53" s="1237">
        <v>0.6</v>
      </c>
      <c r="F53" s="1238">
        <f t="shared" si="0"/>
        <v>53.8</v>
      </c>
    </row>
    <row r="54" spans="1:223" s="535" customFormat="1" ht="20.100000000000001" customHeight="1">
      <c r="A54" s="1235">
        <f t="shared" si="1"/>
        <v>41</v>
      </c>
      <c r="B54" s="2080" t="s">
        <v>14199</v>
      </c>
      <c r="C54" s="2081"/>
      <c r="D54" s="1236">
        <v>96.97</v>
      </c>
      <c r="E54" s="1237">
        <v>0.6</v>
      </c>
      <c r="F54" s="1238">
        <f t="shared" si="0"/>
        <v>58.18</v>
      </c>
    </row>
    <row r="55" spans="1:223" s="535" customFormat="1" ht="20.100000000000001" customHeight="1">
      <c r="A55" s="1235">
        <f t="shared" si="1"/>
        <v>42</v>
      </c>
      <c r="B55" s="2080" t="s">
        <v>14200</v>
      </c>
      <c r="C55" s="2081"/>
      <c r="D55" s="1236">
        <v>101.54</v>
      </c>
      <c r="E55" s="1237">
        <v>0.6</v>
      </c>
      <c r="F55" s="1238">
        <f t="shared" si="0"/>
        <v>60.92</v>
      </c>
    </row>
    <row r="56" spans="1:223" s="535" customFormat="1" ht="20.100000000000001" customHeight="1">
      <c r="A56" s="1235">
        <f t="shared" si="1"/>
        <v>43</v>
      </c>
      <c r="B56" s="2080" t="s">
        <v>14201</v>
      </c>
      <c r="C56" s="2081"/>
      <c r="D56" s="1236">
        <v>83.97</v>
      </c>
      <c r="E56" s="1237">
        <v>0.6</v>
      </c>
      <c r="F56" s="1238">
        <f t="shared" si="0"/>
        <v>50.38</v>
      </c>
    </row>
    <row r="57" spans="1:223" s="535" customFormat="1" ht="20.100000000000001" customHeight="1">
      <c r="A57" s="1235">
        <f t="shared" si="1"/>
        <v>44</v>
      </c>
      <c r="B57" s="2080" t="s">
        <v>14202</v>
      </c>
      <c r="C57" s="2081"/>
      <c r="D57" s="1236">
        <v>93.71</v>
      </c>
      <c r="E57" s="1237">
        <v>0.6</v>
      </c>
      <c r="F57" s="1238">
        <f t="shared" si="0"/>
        <v>56.22</v>
      </c>
    </row>
    <row r="58" spans="1:223" s="535" customFormat="1" ht="20.100000000000001" customHeight="1">
      <c r="A58" s="1235">
        <f t="shared" si="1"/>
        <v>45</v>
      </c>
      <c r="B58" s="2080" t="s">
        <v>14203</v>
      </c>
      <c r="C58" s="2081"/>
      <c r="D58" s="1236">
        <v>79.19</v>
      </c>
      <c r="E58" s="1237">
        <v>0.6</v>
      </c>
      <c r="F58" s="1238">
        <f t="shared" si="0"/>
        <v>47.51</v>
      </c>
    </row>
    <row r="59" spans="1:223" s="535" customFormat="1" ht="20.100000000000001" customHeight="1">
      <c r="A59" s="1235">
        <f t="shared" si="1"/>
        <v>46</v>
      </c>
      <c r="B59" s="2080" t="s">
        <v>14204</v>
      </c>
      <c r="C59" s="2081"/>
      <c r="D59" s="1236">
        <v>81.53</v>
      </c>
      <c r="E59" s="1237">
        <v>0.6</v>
      </c>
      <c r="F59" s="1238">
        <f t="shared" si="0"/>
        <v>48.91</v>
      </c>
    </row>
    <row r="60" spans="1:223" s="535" customFormat="1" ht="20.100000000000001" customHeight="1">
      <c r="A60" s="1235">
        <f t="shared" si="1"/>
        <v>47</v>
      </c>
      <c r="B60" s="2080" t="s">
        <v>14205</v>
      </c>
      <c r="C60" s="2081"/>
      <c r="D60" s="1236">
        <v>83.43</v>
      </c>
      <c r="E60" s="1237">
        <v>0.6</v>
      </c>
      <c r="F60" s="1238">
        <f t="shared" si="0"/>
        <v>50.05</v>
      </c>
    </row>
    <row r="61" spans="1:223" s="535" customFormat="1" ht="20.100000000000001" customHeight="1">
      <c r="A61" s="1235">
        <f t="shared" si="1"/>
        <v>48</v>
      </c>
      <c r="B61" s="2080" t="s">
        <v>14206</v>
      </c>
      <c r="C61" s="2081"/>
      <c r="D61" s="1236">
        <v>71.14</v>
      </c>
      <c r="E61" s="1237">
        <v>0.6</v>
      </c>
      <c r="F61" s="1238">
        <f t="shared" si="0"/>
        <v>42.68</v>
      </c>
    </row>
    <row r="62" spans="1:223" s="535" customFormat="1" ht="20.100000000000001" customHeight="1">
      <c r="A62" s="1235">
        <f t="shared" si="1"/>
        <v>49</v>
      </c>
      <c r="B62" s="2080" t="s">
        <v>14207</v>
      </c>
      <c r="C62" s="2081"/>
      <c r="D62" s="1236">
        <v>126.75</v>
      </c>
      <c r="E62" s="1237">
        <v>0.6</v>
      </c>
      <c r="F62" s="1238">
        <f t="shared" si="0"/>
        <v>76.05</v>
      </c>
    </row>
    <row r="63" spans="1:223" s="535" customFormat="1" ht="20.100000000000001" customHeight="1">
      <c r="A63" s="1235">
        <f t="shared" si="1"/>
        <v>50</v>
      </c>
      <c r="B63" s="2080" t="s">
        <v>14208</v>
      </c>
      <c r="C63" s="2081"/>
      <c r="D63" s="1236">
        <v>120.18</v>
      </c>
      <c r="E63" s="1237">
        <v>0.6</v>
      </c>
      <c r="F63" s="1238">
        <f t="shared" si="0"/>
        <v>72.099999999999994</v>
      </c>
    </row>
    <row r="64" spans="1:223" s="220" customFormat="1" ht="20.100000000000001" customHeight="1" thickBot="1">
      <c r="A64" s="1886" t="s">
        <v>14005</v>
      </c>
      <c r="B64" s="1887"/>
      <c r="C64" s="1887"/>
      <c r="D64" s="1239">
        <f>SUM(D14:D63)</f>
        <v>4762.2900000000009</v>
      </c>
      <c r="E64" s="1240"/>
      <c r="F64" s="1241">
        <f>SUM(F14:F63)</f>
        <v>2857.1300000000006</v>
      </c>
      <c r="G64" s="433"/>
      <c r="H64" s="433"/>
      <c r="I64" s="1242"/>
      <c r="J64" s="1243"/>
      <c r="K64" s="433"/>
      <c r="L64" s="433"/>
      <c r="M64" s="433"/>
      <c r="N64" s="433"/>
      <c r="O64" s="1242"/>
      <c r="P64" s="1243"/>
      <c r="Q64" s="433"/>
      <c r="R64" s="433"/>
      <c r="S64" s="433"/>
      <c r="T64" s="433"/>
      <c r="U64" s="1242"/>
      <c r="V64" s="1243"/>
      <c r="W64" s="433"/>
      <c r="X64" s="433"/>
      <c r="Y64" s="433"/>
      <c r="Z64" s="433"/>
      <c r="AA64" s="1242"/>
      <c r="AB64" s="1243"/>
      <c r="AC64" s="433"/>
      <c r="AD64" s="433"/>
      <c r="AE64" s="433"/>
      <c r="AF64" s="433"/>
      <c r="AG64" s="1242"/>
      <c r="AH64" s="1243"/>
      <c r="AI64" s="433"/>
      <c r="AJ64" s="433"/>
      <c r="AK64" s="433"/>
      <c r="AL64" s="433"/>
      <c r="AM64" s="1242"/>
      <c r="AN64" s="1243"/>
      <c r="AO64" s="433"/>
      <c r="AP64" s="433"/>
      <c r="AQ64" s="433"/>
      <c r="AR64" s="433"/>
      <c r="AS64" s="1242"/>
      <c r="AT64" s="1243"/>
      <c r="AU64" s="433"/>
      <c r="AV64" s="433"/>
      <c r="AW64" s="433"/>
      <c r="AX64" s="433"/>
      <c r="AY64" s="1242"/>
      <c r="AZ64" s="1243"/>
      <c r="BA64" s="433"/>
      <c r="BB64" s="433"/>
      <c r="BC64" s="433"/>
      <c r="BD64" s="433"/>
      <c r="BE64" s="1242"/>
      <c r="BF64" s="1243"/>
      <c r="BG64" s="433"/>
      <c r="BH64" s="433"/>
      <c r="BI64" s="433"/>
      <c r="BJ64" s="433"/>
      <c r="BK64" s="1242"/>
      <c r="BL64" s="1243"/>
      <c r="BM64" s="433"/>
      <c r="BN64" s="433"/>
      <c r="BO64" s="433"/>
      <c r="BP64" s="433"/>
      <c r="BQ64" s="1242"/>
      <c r="BR64" s="1243"/>
      <c r="BS64" s="433"/>
      <c r="BT64" s="433"/>
      <c r="BU64" s="433"/>
      <c r="BV64" s="433"/>
      <c r="BW64" s="1242"/>
      <c r="BX64" s="1243"/>
      <c r="BY64" s="433"/>
      <c r="BZ64" s="433"/>
      <c r="CA64" s="433"/>
      <c r="CB64" s="433"/>
      <c r="CC64" s="1242"/>
      <c r="CD64" s="1243"/>
      <c r="CE64" s="433"/>
      <c r="CF64" s="433"/>
      <c r="CG64" s="433"/>
      <c r="CH64" s="433"/>
      <c r="CI64" s="1242"/>
      <c r="CJ64" s="1243"/>
      <c r="CK64" s="433"/>
      <c r="CL64" s="433"/>
      <c r="CM64" s="433"/>
      <c r="CN64" s="433"/>
      <c r="CO64" s="1242"/>
      <c r="CP64" s="1243"/>
      <c r="CQ64" s="433"/>
      <c r="CR64" s="433"/>
      <c r="CS64" s="433"/>
      <c r="CT64" s="433"/>
      <c r="CU64" s="1242"/>
      <c r="CV64" s="1243"/>
      <c r="CW64" s="433"/>
      <c r="CX64" s="433"/>
      <c r="CY64" s="433"/>
      <c r="CZ64" s="433"/>
      <c r="DA64" s="1242"/>
      <c r="DB64" s="1243"/>
      <c r="DC64" s="433"/>
      <c r="DD64" s="433"/>
      <c r="DE64" s="433"/>
      <c r="DF64" s="433"/>
      <c r="DG64" s="1242"/>
      <c r="DH64" s="1243"/>
      <c r="DI64" s="433"/>
      <c r="DJ64" s="433"/>
      <c r="DK64" s="433"/>
      <c r="DL64" s="433"/>
      <c r="DM64" s="1242"/>
      <c r="DN64" s="1243"/>
      <c r="DO64" s="433"/>
      <c r="DP64" s="433"/>
      <c r="DQ64" s="433"/>
      <c r="DR64" s="433"/>
      <c r="DS64" s="1242"/>
      <c r="DT64" s="1243"/>
      <c r="DU64" s="433"/>
      <c r="DV64" s="433"/>
      <c r="DW64" s="433"/>
      <c r="DX64" s="433"/>
      <c r="DY64" s="1242"/>
      <c r="DZ64" s="1243"/>
      <c r="EA64" s="433"/>
      <c r="EB64" s="433"/>
      <c r="EC64" s="433"/>
      <c r="ED64" s="433"/>
      <c r="EE64" s="1242"/>
      <c r="EF64" s="1243"/>
      <c r="EG64" s="433"/>
      <c r="EH64" s="433"/>
      <c r="EI64" s="433"/>
      <c r="EJ64" s="433"/>
      <c r="EK64" s="1242"/>
      <c r="EL64" s="1243"/>
      <c r="EM64" s="433"/>
      <c r="EN64" s="433"/>
      <c r="EO64" s="433"/>
      <c r="EP64" s="433"/>
      <c r="EQ64" s="1242"/>
      <c r="ER64" s="1243"/>
      <c r="ES64" s="433"/>
      <c r="ET64" s="433"/>
      <c r="EU64" s="433"/>
      <c r="EV64" s="433"/>
      <c r="EW64" s="1242"/>
      <c r="EX64" s="1243"/>
      <c r="EY64" s="433"/>
      <c r="EZ64" s="433"/>
      <c r="FA64" s="433"/>
      <c r="FB64" s="433"/>
      <c r="FC64" s="1242"/>
      <c r="FD64" s="1243"/>
      <c r="FE64" s="433"/>
      <c r="FF64" s="433"/>
      <c r="FG64" s="433"/>
      <c r="FH64" s="433"/>
      <c r="FI64" s="1242"/>
      <c r="FJ64" s="1243"/>
      <c r="FK64" s="433"/>
      <c r="FL64" s="433"/>
      <c r="FM64" s="433"/>
      <c r="FN64" s="433"/>
      <c r="FO64" s="1242"/>
      <c r="FP64" s="1243"/>
      <c r="FQ64" s="433"/>
      <c r="FR64" s="433"/>
      <c r="FS64" s="433"/>
      <c r="FT64" s="433"/>
      <c r="FU64" s="1242"/>
      <c r="FV64" s="1243"/>
      <c r="FW64" s="433"/>
      <c r="FX64" s="433"/>
      <c r="FY64" s="433"/>
      <c r="FZ64" s="433"/>
      <c r="GA64" s="1242"/>
      <c r="GB64" s="1243"/>
      <c r="GC64" s="433"/>
      <c r="GD64" s="433"/>
      <c r="GE64" s="433"/>
      <c r="GF64" s="433"/>
      <c r="GG64" s="1242"/>
      <c r="GH64" s="1243"/>
      <c r="GI64" s="433"/>
      <c r="GJ64" s="433"/>
      <c r="GK64" s="433"/>
      <c r="GL64" s="433"/>
      <c r="GM64" s="1242"/>
      <c r="GN64" s="1243"/>
      <c r="GO64" s="433"/>
      <c r="GP64" s="433"/>
      <c r="GQ64" s="433"/>
      <c r="GR64" s="433"/>
      <c r="GS64" s="1242"/>
      <c r="GT64" s="1243"/>
      <c r="GU64" s="433"/>
      <c r="GV64" s="433"/>
      <c r="GW64" s="433"/>
      <c r="GX64" s="433"/>
      <c r="GY64" s="1242"/>
      <c r="GZ64" s="1243"/>
      <c r="HA64" s="433"/>
      <c r="HB64" s="433"/>
      <c r="HC64" s="433"/>
      <c r="HD64" s="433"/>
      <c r="HE64" s="1242"/>
      <c r="HF64" s="1243"/>
      <c r="HG64" s="433"/>
      <c r="HH64" s="433"/>
      <c r="HI64" s="433"/>
      <c r="HJ64" s="433"/>
      <c r="HK64" s="1242"/>
      <c r="HL64" s="1243"/>
      <c r="HM64" s="433"/>
      <c r="HN64" s="433"/>
      <c r="HO64" s="433"/>
    </row>
    <row r="65" spans="5:5">
      <c r="E65" s="1244"/>
    </row>
  </sheetData>
  <mergeCells count="66">
    <mergeCell ref="B6:F6"/>
    <mergeCell ref="A1:F1"/>
    <mergeCell ref="A2:F2"/>
    <mergeCell ref="A3:F3"/>
    <mergeCell ref="A4:F4"/>
    <mergeCell ref="A5:F5"/>
    <mergeCell ref="B19:C19"/>
    <mergeCell ref="B7:F7"/>
    <mergeCell ref="B8:F8"/>
    <mergeCell ref="B9:F9"/>
    <mergeCell ref="A10:F10"/>
    <mergeCell ref="A11:A13"/>
    <mergeCell ref="B11:C13"/>
    <mergeCell ref="D11:D12"/>
    <mergeCell ref="E11:E12"/>
    <mergeCell ref="F11:F12"/>
    <mergeCell ref="B14:C14"/>
    <mergeCell ref="B15:C15"/>
    <mergeCell ref="B16:C16"/>
    <mergeCell ref="B17:C17"/>
    <mergeCell ref="B18:C18"/>
    <mergeCell ref="B31:C31"/>
    <mergeCell ref="B20:C20"/>
    <mergeCell ref="B21:C21"/>
    <mergeCell ref="B22:C22"/>
    <mergeCell ref="B23:C23"/>
    <mergeCell ref="B24:C24"/>
    <mergeCell ref="B25:C25"/>
    <mergeCell ref="B26:C26"/>
    <mergeCell ref="B27:C27"/>
    <mergeCell ref="B28:C28"/>
    <mergeCell ref="B29:C29"/>
    <mergeCell ref="B30:C30"/>
    <mergeCell ref="B43:C43"/>
    <mergeCell ref="B32:C32"/>
    <mergeCell ref="B33:C33"/>
    <mergeCell ref="B34:C34"/>
    <mergeCell ref="B35:C35"/>
    <mergeCell ref="B36:C36"/>
    <mergeCell ref="B37:C37"/>
    <mergeCell ref="B38:C38"/>
    <mergeCell ref="B39:C39"/>
    <mergeCell ref="B40:C40"/>
    <mergeCell ref="B41:C41"/>
    <mergeCell ref="B42:C42"/>
    <mergeCell ref="B55:C55"/>
    <mergeCell ref="B44:C44"/>
    <mergeCell ref="B45:C45"/>
    <mergeCell ref="B46:C46"/>
    <mergeCell ref="B47:C47"/>
    <mergeCell ref="B48:C48"/>
    <mergeCell ref="B49:C49"/>
    <mergeCell ref="B50:C50"/>
    <mergeCell ref="B51:C51"/>
    <mergeCell ref="B52:C52"/>
    <mergeCell ref="B53:C53"/>
    <mergeCell ref="B54:C54"/>
    <mergeCell ref="B62:C62"/>
    <mergeCell ref="B63:C63"/>
    <mergeCell ref="A64:C64"/>
    <mergeCell ref="B56:C56"/>
    <mergeCell ref="B57:C57"/>
    <mergeCell ref="B58:C58"/>
    <mergeCell ref="B59:C59"/>
    <mergeCell ref="B60:C60"/>
    <mergeCell ref="B61:C61"/>
  </mergeCells>
  <printOptions horizontalCentered="1"/>
  <pageMargins left="0.15748031496062992" right="0.19685039370078741" top="0.78740157480314965" bottom="0.78740157480314965" header="0.15748031496062992" footer="0.31496062992125984"/>
  <pageSetup paperSize="9" scale="61" firstPageNumber="25" orientation="landscape" useFirstPageNumber="1" r:id="rId1"/>
  <headerFooter scaleWithDoc="0"/>
  <drawing r:id="rId2"/>
</worksheet>
</file>

<file path=xl/worksheets/sheet27.xml><?xml version="1.0" encoding="utf-8"?>
<worksheet xmlns="http://schemas.openxmlformats.org/spreadsheetml/2006/main" xmlns:r="http://schemas.openxmlformats.org/officeDocument/2006/relationships">
  <sheetPr codeName="Plan12">
    <tabColor theme="1" tint="0.34998626667073579"/>
    <pageSetUpPr fitToPage="1"/>
  </sheetPr>
  <dimension ref="A1:HW74"/>
  <sheetViews>
    <sheetView showGridLines="0" view="pageBreakPreview" topLeftCell="B1" zoomScale="90" zoomScaleNormal="115" zoomScaleSheetLayoutView="90" workbookViewId="0">
      <selection activeCell="B9" sqref="B9:F9"/>
    </sheetView>
  </sheetViews>
  <sheetFormatPr defaultColWidth="9.140625" defaultRowHeight="15"/>
  <cols>
    <col min="2" max="2" width="6" customWidth="1"/>
    <col min="3" max="3" width="44.5703125" customWidth="1"/>
    <col min="4" max="6" width="15.7109375" customWidth="1"/>
    <col min="7" max="7" width="17" customWidth="1"/>
    <col min="8" max="8" width="13.7109375" customWidth="1"/>
    <col min="9" max="9" width="0.85546875" customWidth="1"/>
    <col min="10" max="10" width="19.28515625" hidden="1" customWidth="1"/>
    <col min="11" max="14" width="13.7109375" hidden="1" customWidth="1"/>
    <col min="16" max="16" width="12.7109375" bestFit="1" customWidth="1"/>
  </cols>
  <sheetData>
    <row r="1" spans="1:14" s="533" customFormat="1" ht="18">
      <c r="A1" s="1937" t="s">
        <v>2996</v>
      </c>
      <c r="B1" s="1938" t="s">
        <v>2996</v>
      </c>
      <c r="C1" s="1938" t="s">
        <v>2996</v>
      </c>
      <c r="D1" s="1938"/>
      <c r="E1" s="1938"/>
      <c r="F1" s="1938"/>
      <c r="G1" s="1938"/>
      <c r="H1" s="1938"/>
      <c r="I1" s="1938"/>
      <c r="J1" s="1938"/>
      <c r="K1" s="1938"/>
      <c r="L1" s="1938"/>
      <c r="M1" s="1938"/>
      <c r="N1" s="1939" t="s">
        <v>2996</v>
      </c>
    </row>
    <row r="2" spans="1:14" s="533" customFormat="1" ht="14.25">
      <c r="A2" s="1940" t="s">
        <v>2997</v>
      </c>
      <c r="B2" s="1913" t="s">
        <v>13994</v>
      </c>
      <c r="C2" s="1913" t="s">
        <v>13994</v>
      </c>
      <c r="D2" s="1913"/>
      <c r="E2" s="1913"/>
      <c r="F2" s="1913"/>
      <c r="G2" s="1913"/>
      <c r="H2" s="1913"/>
      <c r="I2" s="1913"/>
      <c r="J2" s="1913"/>
      <c r="K2" s="1913"/>
      <c r="L2" s="1913"/>
      <c r="M2" s="1913"/>
      <c r="N2" s="1941" t="s">
        <v>13994</v>
      </c>
    </row>
    <row r="3" spans="1:14" s="533" customFormat="1" ht="14.25">
      <c r="A3" s="1942" t="s">
        <v>2998</v>
      </c>
      <c r="B3" s="1916" t="s">
        <v>13995</v>
      </c>
      <c r="C3" s="1916" t="s">
        <v>13995</v>
      </c>
      <c r="D3" s="1916"/>
      <c r="E3" s="1916"/>
      <c r="F3" s="1916"/>
      <c r="G3" s="1916"/>
      <c r="H3" s="1916"/>
      <c r="I3" s="1916"/>
      <c r="J3" s="1916"/>
      <c r="K3" s="1916"/>
      <c r="L3" s="1916"/>
      <c r="M3" s="1916"/>
      <c r="N3" s="1943" t="s">
        <v>13995</v>
      </c>
    </row>
    <row r="4" spans="1:14" s="533" customFormat="1" ht="14.25">
      <c r="A4" s="1942" t="s">
        <v>3063</v>
      </c>
      <c r="B4" s="1916" t="s">
        <v>3063</v>
      </c>
      <c r="C4" s="1916" t="s">
        <v>3063</v>
      </c>
      <c r="D4" s="1916"/>
      <c r="E4" s="1916"/>
      <c r="F4" s="1916"/>
      <c r="G4" s="1916"/>
      <c r="H4" s="1916"/>
      <c r="I4" s="1916"/>
      <c r="J4" s="1916"/>
      <c r="K4" s="1916"/>
      <c r="L4" s="1916"/>
      <c r="M4" s="1916"/>
      <c r="N4" s="1943" t="s">
        <v>3063</v>
      </c>
    </row>
    <row r="5" spans="1:14" s="533" customFormat="1" ht="14.25">
      <c r="A5" s="1942" t="s">
        <v>2999</v>
      </c>
      <c r="B5" s="1916" t="s">
        <v>2999</v>
      </c>
      <c r="C5" s="1916" t="s">
        <v>2999</v>
      </c>
      <c r="D5" s="1916"/>
      <c r="E5" s="1916"/>
      <c r="F5" s="1916"/>
      <c r="G5" s="1916"/>
      <c r="H5" s="1916"/>
      <c r="I5" s="1916"/>
      <c r="J5" s="1916"/>
      <c r="K5" s="1916"/>
      <c r="L5" s="1916"/>
      <c r="M5" s="1916"/>
      <c r="N5" s="1943" t="s">
        <v>2999</v>
      </c>
    </row>
    <row r="6" spans="1:14" s="533" customFormat="1" ht="15" customHeight="1">
      <c r="A6" s="1245" t="s">
        <v>6</v>
      </c>
      <c r="B6" s="2084" t="str">
        <f>'REMOÇÃO DE PAV. ADUTORA'!B6:F6</f>
        <v xml:space="preserve">SISTEMA DE ABASTECIMENTO DE ÁGUA </v>
      </c>
      <c r="C6" s="2084"/>
      <c r="D6" s="2084"/>
      <c r="E6" s="2084"/>
      <c r="F6" s="2084"/>
      <c r="G6" s="2084"/>
      <c r="H6" s="2084"/>
      <c r="I6" s="2084"/>
      <c r="J6" s="2084"/>
      <c r="K6" s="2084"/>
      <c r="L6" s="2084"/>
      <c r="M6" s="2084"/>
      <c r="N6" s="2085"/>
    </row>
    <row r="7" spans="1:14" s="533" customFormat="1" ht="14.25">
      <c r="A7" s="1246" t="s">
        <v>8</v>
      </c>
      <c r="B7" s="2048" t="str">
        <f>'REMOÇÃO DE PAV. ADUTORA'!B7:F7</f>
        <v>SETOR PIONEIRO - MUNICÍPIO DE APIACÁS</v>
      </c>
      <c r="C7" s="2048"/>
      <c r="D7" s="2048"/>
      <c r="E7" s="2048"/>
      <c r="F7" s="2048"/>
      <c r="G7" s="2048"/>
      <c r="H7" s="2048"/>
      <c r="I7" s="2048"/>
      <c r="J7" s="2048"/>
      <c r="K7" s="2048"/>
      <c r="L7" s="2048"/>
      <c r="M7" s="2048"/>
      <c r="N7" s="1929"/>
    </row>
    <row r="8" spans="1:14" s="533" customFormat="1" ht="14.25">
      <c r="A8" s="1246" t="s">
        <v>13672</v>
      </c>
      <c r="B8" s="2048" t="str">
        <f>'REMOÇÃO DE PAV. ADUTORA'!B8:F8</f>
        <v>PREFEITURA MUNICIPAL DE APIACÁS</v>
      </c>
      <c r="C8" s="2048"/>
      <c r="D8" s="2048"/>
      <c r="E8" s="2048"/>
      <c r="F8" s="2048"/>
      <c r="G8" s="2048"/>
      <c r="H8" s="2048"/>
      <c r="I8" s="2048"/>
      <c r="J8" s="2048"/>
      <c r="K8" s="2048"/>
      <c r="L8" s="2048"/>
      <c r="M8" s="2048"/>
      <c r="N8" s="1929"/>
    </row>
    <row r="9" spans="1:14" s="533" customFormat="1" ht="15.75" customHeight="1">
      <c r="A9" s="1247" t="s">
        <v>3064</v>
      </c>
      <c r="B9" s="1891">
        <f ca="1">'REMOÇÃO DE PAV. ADUTORA'!B9:F9</f>
        <v>45167</v>
      </c>
      <c r="C9" s="1930"/>
      <c r="D9" s="1930"/>
      <c r="E9" s="1930"/>
      <c r="F9" s="1930"/>
      <c r="G9" s="1930"/>
      <c r="H9" s="1930"/>
      <c r="I9" s="1930"/>
      <c r="J9" s="1930"/>
      <c r="K9" s="1930"/>
      <c r="L9" s="1930"/>
      <c r="M9" s="1930"/>
      <c r="N9" s="1931"/>
    </row>
    <row r="10" spans="1:14" s="533" customFormat="1" ht="22.5" customHeight="1">
      <c r="A10" s="1932" t="s">
        <v>14209</v>
      </c>
      <c r="B10" s="1895"/>
      <c r="C10" s="1895"/>
      <c r="D10" s="1895"/>
      <c r="E10" s="1895"/>
      <c r="F10" s="1895"/>
      <c r="G10" s="1895"/>
      <c r="H10" s="1895"/>
      <c r="I10" s="1895"/>
      <c r="J10" s="1895"/>
      <c r="K10" s="1895"/>
      <c r="L10" s="1895"/>
      <c r="M10" s="1895"/>
      <c r="N10" s="1933"/>
    </row>
    <row r="11" spans="1:14" s="535" customFormat="1" ht="12.75" customHeight="1">
      <c r="A11" s="1934" t="s">
        <v>11</v>
      </c>
      <c r="B11" s="1899" t="s">
        <v>13997</v>
      </c>
      <c r="C11" s="1900"/>
      <c r="D11" s="1903" t="s">
        <v>13998</v>
      </c>
      <c r="E11" s="1903" t="s">
        <v>13999</v>
      </c>
      <c r="F11" s="1903" t="s">
        <v>14007</v>
      </c>
      <c r="G11" s="1923" t="s">
        <v>14008</v>
      </c>
      <c r="H11" s="1923" t="s">
        <v>14009</v>
      </c>
      <c r="I11" s="1249"/>
      <c r="J11" s="1925" t="s">
        <v>14010</v>
      </c>
      <c r="K11" s="1926" t="s">
        <v>14011</v>
      </c>
      <c r="L11" s="1926"/>
      <c r="M11" s="1926" t="s">
        <v>14012</v>
      </c>
      <c r="N11" s="1926"/>
    </row>
    <row r="12" spans="1:14" s="535" customFormat="1" ht="25.5">
      <c r="A12" s="1934"/>
      <c r="B12" s="1899"/>
      <c r="C12" s="1900"/>
      <c r="D12" s="1904"/>
      <c r="E12" s="1904"/>
      <c r="F12" s="1904"/>
      <c r="G12" s="1925"/>
      <c r="H12" s="1924"/>
      <c r="I12" s="1250"/>
      <c r="J12" s="1925"/>
      <c r="K12" s="1231" t="s">
        <v>14013</v>
      </c>
      <c r="L12" s="1248" t="s">
        <v>14014</v>
      </c>
      <c r="M12" s="1231" t="s">
        <v>14013</v>
      </c>
      <c r="N12" s="1248" t="s">
        <v>14014</v>
      </c>
    </row>
    <row r="13" spans="1:14" s="535" customFormat="1" ht="22.5" customHeight="1">
      <c r="A13" s="1935"/>
      <c r="B13" s="1901"/>
      <c r="C13" s="1902"/>
      <c r="D13" s="1233" t="s">
        <v>3379</v>
      </c>
      <c r="E13" s="1233" t="s">
        <v>3379</v>
      </c>
      <c r="F13" s="1233" t="s">
        <v>3378</v>
      </c>
      <c r="G13" s="1233" t="s">
        <v>3379</v>
      </c>
      <c r="H13" s="1233" t="s">
        <v>14015</v>
      </c>
      <c r="I13" s="1250"/>
      <c r="J13" s="1924"/>
      <c r="K13" s="1233" t="s">
        <v>14016</v>
      </c>
      <c r="L13" s="1233" t="s">
        <v>14017</v>
      </c>
      <c r="M13" s="1233" t="s">
        <v>14016</v>
      </c>
      <c r="N13" s="1233" t="s">
        <v>14017</v>
      </c>
    </row>
    <row r="14" spans="1:14" s="535" customFormat="1" ht="20.100000000000001" customHeight="1">
      <c r="A14" s="1251">
        <v>1</v>
      </c>
      <c r="B14" s="1927" t="str">
        <f>'REMOÇÃO DE PAV. REDE'!B14:C14</f>
        <v>T19</v>
      </c>
      <c r="C14" s="1928"/>
      <c r="D14" s="1252">
        <f>'REMOÇÃO DE PAV. REDE'!D14</f>
        <v>80.2</v>
      </c>
      <c r="E14" s="1252">
        <v>0.6</v>
      </c>
      <c r="F14" s="1253">
        <f t="shared" ref="F14" si="0">TRUNC(E14*D14,2)</f>
        <v>48.12</v>
      </c>
      <c r="G14" s="1254">
        <v>0.2</v>
      </c>
      <c r="H14" s="1255">
        <f t="shared" ref="H14:H63" si="1">TRUNC(F14*G14,3)</f>
        <v>9.6240000000000006</v>
      </c>
      <c r="I14" s="1256"/>
      <c r="J14" s="1254">
        <v>1.1499999999999999</v>
      </c>
      <c r="K14" s="1254">
        <v>0</v>
      </c>
      <c r="L14" s="1255">
        <f t="shared" ref="L14:L63" si="2">TRUNC(H14*J14*K14,3)</f>
        <v>0</v>
      </c>
      <c r="M14" s="1254">
        <v>33.6</v>
      </c>
      <c r="N14" s="1255">
        <f>TRUNC(H14*J14*M14,3)</f>
        <v>371.87099999999998</v>
      </c>
    </row>
    <row r="15" spans="1:14" s="535" customFormat="1" ht="20.100000000000001" customHeight="1">
      <c r="A15" s="1257">
        <f>A14+1</f>
        <v>2</v>
      </c>
      <c r="B15" s="1919" t="str">
        <f>'REMOÇÃO DE PAV. REDE'!B15:C15</f>
        <v>T20</v>
      </c>
      <c r="C15" s="1920"/>
      <c r="D15" s="1258">
        <f>'REMOÇÃO DE PAV. REDE'!D15</f>
        <v>34.130000000000003</v>
      </c>
      <c r="E15" s="1252">
        <v>0.6</v>
      </c>
      <c r="F15" s="1259">
        <f>TRUNC(E15*D15,2)</f>
        <v>20.47</v>
      </c>
      <c r="G15" s="1260">
        <v>0.2</v>
      </c>
      <c r="H15" s="1261">
        <f t="shared" si="1"/>
        <v>4.0940000000000003</v>
      </c>
      <c r="I15" s="1256"/>
      <c r="J15" s="1260">
        <v>1.1499999999999999</v>
      </c>
      <c r="K15" s="1260">
        <v>0</v>
      </c>
      <c r="L15" s="1261">
        <f t="shared" si="2"/>
        <v>0</v>
      </c>
      <c r="M15" s="1260">
        <v>33.6</v>
      </c>
      <c r="N15" s="1261">
        <f t="shared" ref="N15:N63" si="3">TRUNC(H15*J15*M15,3)</f>
        <v>158.19200000000001</v>
      </c>
    </row>
    <row r="16" spans="1:14" s="535" customFormat="1" ht="20.100000000000001" customHeight="1">
      <c r="A16" s="1257">
        <f t="shared" ref="A16:A63" si="4">A15+1</f>
        <v>3</v>
      </c>
      <c r="B16" s="1919" t="str">
        <f>'REMOÇÃO DE PAV. REDE'!B16:C16</f>
        <v>T21</v>
      </c>
      <c r="C16" s="1920"/>
      <c r="D16" s="1258">
        <f>'REMOÇÃO DE PAV. REDE'!D16</f>
        <v>74.87</v>
      </c>
      <c r="E16" s="1252">
        <v>0.6</v>
      </c>
      <c r="F16" s="1259">
        <f>TRUNC(E16*D16,2)</f>
        <v>44.92</v>
      </c>
      <c r="G16" s="1260">
        <v>0.2</v>
      </c>
      <c r="H16" s="1261">
        <f t="shared" si="1"/>
        <v>8.984</v>
      </c>
      <c r="I16" s="1256"/>
      <c r="J16" s="1260">
        <v>1.1499999999999999</v>
      </c>
      <c r="K16" s="1260">
        <v>0</v>
      </c>
      <c r="L16" s="1261">
        <f t="shared" si="2"/>
        <v>0</v>
      </c>
      <c r="M16" s="1260">
        <v>33.6</v>
      </c>
      <c r="N16" s="1261">
        <f t="shared" si="3"/>
        <v>347.14100000000002</v>
      </c>
    </row>
    <row r="17" spans="1:14" s="535" customFormat="1" ht="20.100000000000001" customHeight="1">
      <c r="A17" s="1257">
        <f t="shared" si="4"/>
        <v>4</v>
      </c>
      <c r="B17" s="1919" t="str">
        <f>'REMOÇÃO DE PAV. REDE'!B17:C17</f>
        <v>T22</v>
      </c>
      <c r="C17" s="1920"/>
      <c r="D17" s="1258">
        <f>'REMOÇÃO DE PAV. REDE'!D17</f>
        <v>138.08000000000001</v>
      </c>
      <c r="E17" s="1252">
        <v>0.6</v>
      </c>
      <c r="F17" s="1259">
        <f t="shared" ref="F17:F63" si="5">TRUNC(E17*D17,2)</f>
        <v>82.84</v>
      </c>
      <c r="G17" s="1260">
        <v>0.2</v>
      </c>
      <c r="H17" s="1261">
        <f t="shared" si="1"/>
        <v>16.568000000000001</v>
      </c>
      <c r="I17" s="1256"/>
      <c r="J17" s="1260">
        <v>1.1499999999999999</v>
      </c>
      <c r="K17" s="1260">
        <v>0</v>
      </c>
      <c r="L17" s="1261">
        <f t="shared" si="2"/>
        <v>0</v>
      </c>
      <c r="M17" s="1260">
        <v>33.6</v>
      </c>
      <c r="N17" s="1261">
        <f t="shared" si="3"/>
        <v>640.18700000000001</v>
      </c>
    </row>
    <row r="18" spans="1:14" s="535" customFormat="1" ht="20.100000000000001" customHeight="1">
      <c r="A18" s="1257">
        <f t="shared" si="4"/>
        <v>5</v>
      </c>
      <c r="B18" s="1919" t="str">
        <f>'REMOÇÃO DE PAV. REDE'!B18:C18</f>
        <v>T26</v>
      </c>
      <c r="C18" s="1920"/>
      <c r="D18" s="1258">
        <f>'REMOÇÃO DE PAV. REDE'!D18</f>
        <v>122.83</v>
      </c>
      <c r="E18" s="1252">
        <v>0.6</v>
      </c>
      <c r="F18" s="1259">
        <f t="shared" si="5"/>
        <v>73.69</v>
      </c>
      <c r="G18" s="1260">
        <v>0.2</v>
      </c>
      <c r="H18" s="1261">
        <f t="shared" si="1"/>
        <v>14.738</v>
      </c>
      <c r="I18" s="1256"/>
      <c r="J18" s="1260">
        <v>1.1499999999999999</v>
      </c>
      <c r="K18" s="1260">
        <v>0</v>
      </c>
      <c r="L18" s="1261">
        <f t="shared" si="2"/>
        <v>0</v>
      </c>
      <c r="M18" s="1260">
        <v>33.6</v>
      </c>
      <c r="N18" s="1261">
        <f t="shared" si="3"/>
        <v>569.476</v>
      </c>
    </row>
    <row r="19" spans="1:14" s="535" customFormat="1" ht="20.100000000000001" customHeight="1">
      <c r="A19" s="1257">
        <f t="shared" si="4"/>
        <v>6</v>
      </c>
      <c r="B19" s="1919" t="str">
        <f>'REMOÇÃO DE PAV. REDE'!B19:C19</f>
        <v>T27</v>
      </c>
      <c r="C19" s="1920"/>
      <c r="D19" s="1258">
        <f>'REMOÇÃO DE PAV. REDE'!D19</f>
        <v>121.99</v>
      </c>
      <c r="E19" s="1252">
        <v>0.6</v>
      </c>
      <c r="F19" s="1259">
        <f t="shared" si="5"/>
        <v>73.19</v>
      </c>
      <c r="G19" s="1260">
        <v>0.2</v>
      </c>
      <c r="H19" s="1261">
        <f t="shared" si="1"/>
        <v>14.638</v>
      </c>
      <c r="I19" s="1256"/>
      <c r="J19" s="1260">
        <v>1.1499999999999999</v>
      </c>
      <c r="K19" s="1260">
        <v>0</v>
      </c>
      <c r="L19" s="1261">
        <f t="shared" si="2"/>
        <v>0</v>
      </c>
      <c r="M19" s="1260">
        <v>33.6</v>
      </c>
      <c r="N19" s="1261">
        <f t="shared" si="3"/>
        <v>565.61199999999997</v>
      </c>
    </row>
    <row r="20" spans="1:14" s="535" customFormat="1" ht="20.100000000000001" customHeight="1">
      <c r="A20" s="1257">
        <f t="shared" si="4"/>
        <v>7</v>
      </c>
      <c r="B20" s="1919" t="str">
        <f>'REMOÇÃO DE PAV. REDE'!B20:C20</f>
        <v>T28</v>
      </c>
      <c r="C20" s="1920"/>
      <c r="D20" s="1258">
        <f>'REMOÇÃO DE PAV. REDE'!D20</f>
        <v>126.41</v>
      </c>
      <c r="E20" s="1252">
        <v>0.6</v>
      </c>
      <c r="F20" s="1259">
        <f t="shared" si="5"/>
        <v>75.84</v>
      </c>
      <c r="G20" s="1260">
        <v>0.2</v>
      </c>
      <c r="H20" s="1261">
        <f t="shared" si="1"/>
        <v>15.167999999999999</v>
      </c>
      <c r="I20" s="1256"/>
      <c r="J20" s="1260">
        <v>1.1499999999999999</v>
      </c>
      <c r="K20" s="1260">
        <v>0</v>
      </c>
      <c r="L20" s="1261">
        <f t="shared" si="2"/>
        <v>0</v>
      </c>
      <c r="M20" s="1260">
        <v>33.6</v>
      </c>
      <c r="N20" s="1261">
        <f t="shared" si="3"/>
        <v>586.09100000000001</v>
      </c>
    </row>
    <row r="21" spans="1:14" s="535" customFormat="1" ht="20.100000000000001" customHeight="1">
      <c r="A21" s="1257">
        <f t="shared" si="4"/>
        <v>8</v>
      </c>
      <c r="B21" s="1919" t="str">
        <f>'REMOÇÃO DE PAV. REDE'!B21:C21</f>
        <v>T29</v>
      </c>
      <c r="C21" s="1920"/>
      <c r="D21" s="1258">
        <f>'REMOÇÃO DE PAV. REDE'!D21</f>
        <v>125.11</v>
      </c>
      <c r="E21" s="1252">
        <v>0.6</v>
      </c>
      <c r="F21" s="1259">
        <f t="shared" si="5"/>
        <v>75.06</v>
      </c>
      <c r="G21" s="1260">
        <v>0.2</v>
      </c>
      <c r="H21" s="1261">
        <f t="shared" si="1"/>
        <v>15.012</v>
      </c>
      <c r="I21" s="1256"/>
      <c r="J21" s="1260">
        <v>1.1499999999999999</v>
      </c>
      <c r="K21" s="1260">
        <v>0</v>
      </c>
      <c r="L21" s="1261">
        <f t="shared" si="2"/>
        <v>0</v>
      </c>
      <c r="M21" s="1260">
        <v>33.6</v>
      </c>
      <c r="N21" s="1261">
        <f t="shared" si="3"/>
        <v>580.06299999999999</v>
      </c>
    </row>
    <row r="22" spans="1:14" s="535" customFormat="1" ht="20.100000000000001" customHeight="1">
      <c r="A22" s="1257">
        <f t="shared" si="4"/>
        <v>9</v>
      </c>
      <c r="B22" s="1919" t="str">
        <f>'REMOÇÃO DE PAV. REDE'!B22:C22</f>
        <v>T30</v>
      </c>
      <c r="C22" s="1920"/>
      <c r="D22" s="1258">
        <f>'REMOÇÃO DE PAV. REDE'!D22</f>
        <v>79.38</v>
      </c>
      <c r="E22" s="1252">
        <v>0.6</v>
      </c>
      <c r="F22" s="1259">
        <f t="shared" si="5"/>
        <v>47.62</v>
      </c>
      <c r="G22" s="1260">
        <v>0.2</v>
      </c>
      <c r="H22" s="1261">
        <f t="shared" si="1"/>
        <v>9.5239999999999991</v>
      </c>
      <c r="I22" s="1256"/>
      <c r="J22" s="1260">
        <v>1.1499999999999999</v>
      </c>
      <c r="K22" s="1260">
        <v>0</v>
      </c>
      <c r="L22" s="1261">
        <f t="shared" si="2"/>
        <v>0</v>
      </c>
      <c r="M22" s="1260">
        <v>33.6</v>
      </c>
      <c r="N22" s="1261">
        <f t="shared" si="3"/>
        <v>368.00700000000001</v>
      </c>
    </row>
    <row r="23" spans="1:14" s="535" customFormat="1" ht="20.100000000000001" customHeight="1">
      <c r="A23" s="1257">
        <f t="shared" si="4"/>
        <v>10</v>
      </c>
      <c r="B23" s="1919" t="str">
        <f>'REMOÇÃO DE PAV. REDE'!B23:C23</f>
        <v>T31</v>
      </c>
      <c r="C23" s="1920"/>
      <c r="D23" s="1258">
        <f>'REMOÇÃO DE PAV. REDE'!D23</f>
        <v>86.34</v>
      </c>
      <c r="E23" s="1252">
        <v>0.6</v>
      </c>
      <c r="F23" s="1259">
        <f t="shared" si="5"/>
        <v>51.8</v>
      </c>
      <c r="G23" s="1260">
        <v>0.2</v>
      </c>
      <c r="H23" s="1261">
        <f t="shared" si="1"/>
        <v>10.36</v>
      </c>
      <c r="I23" s="1256"/>
      <c r="J23" s="1260">
        <v>1.1499999999999999</v>
      </c>
      <c r="K23" s="1260">
        <v>0</v>
      </c>
      <c r="L23" s="1261">
        <f t="shared" si="2"/>
        <v>0</v>
      </c>
      <c r="M23" s="1260">
        <v>33.6</v>
      </c>
      <c r="N23" s="1261">
        <f t="shared" si="3"/>
        <v>400.31</v>
      </c>
    </row>
    <row r="24" spans="1:14" s="535" customFormat="1" ht="20.100000000000001" customHeight="1">
      <c r="A24" s="1257">
        <f t="shared" si="4"/>
        <v>11</v>
      </c>
      <c r="B24" s="1919" t="str">
        <f>'REMOÇÃO DE PAV. REDE'!B24:C24</f>
        <v>T32</v>
      </c>
      <c r="C24" s="1920"/>
      <c r="D24" s="1258">
        <f>'REMOÇÃO DE PAV. REDE'!D24</f>
        <v>84.41</v>
      </c>
      <c r="E24" s="1252">
        <v>0.6</v>
      </c>
      <c r="F24" s="1259">
        <f t="shared" si="5"/>
        <v>50.64</v>
      </c>
      <c r="G24" s="1260">
        <v>0.2</v>
      </c>
      <c r="H24" s="1261">
        <f t="shared" si="1"/>
        <v>10.128</v>
      </c>
      <c r="I24" s="1256"/>
      <c r="J24" s="1260">
        <v>1.1499999999999999</v>
      </c>
      <c r="K24" s="1260">
        <v>0</v>
      </c>
      <c r="L24" s="1261">
        <f t="shared" si="2"/>
        <v>0</v>
      </c>
      <c r="M24" s="1260">
        <v>33.6</v>
      </c>
      <c r="N24" s="1261">
        <f t="shared" si="3"/>
        <v>391.34500000000003</v>
      </c>
    </row>
    <row r="25" spans="1:14" s="535" customFormat="1" ht="20.100000000000001" customHeight="1">
      <c r="A25" s="1257">
        <f t="shared" si="4"/>
        <v>12</v>
      </c>
      <c r="B25" s="1919" t="str">
        <f>'REMOÇÃO DE PAV. REDE'!B25:C25</f>
        <v>T47</v>
      </c>
      <c r="C25" s="1920"/>
      <c r="D25" s="1258">
        <f>'REMOÇÃO DE PAV. REDE'!D25</f>
        <v>85.01</v>
      </c>
      <c r="E25" s="1252">
        <v>0.6</v>
      </c>
      <c r="F25" s="1259">
        <f t="shared" si="5"/>
        <v>51</v>
      </c>
      <c r="G25" s="1260">
        <v>0.2</v>
      </c>
      <c r="H25" s="1261">
        <f t="shared" si="1"/>
        <v>10.199999999999999</v>
      </c>
      <c r="I25" s="1256"/>
      <c r="J25" s="1260">
        <v>1.1499999999999999</v>
      </c>
      <c r="K25" s="1260">
        <v>0</v>
      </c>
      <c r="L25" s="1261">
        <f t="shared" si="2"/>
        <v>0</v>
      </c>
      <c r="M25" s="1260">
        <v>33.6</v>
      </c>
      <c r="N25" s="1261">
        <f t="shared" si="3"/>
        <v>394.12799999999999</v>
      </c>
    </row>
    <row r="26" spans="1:14" s="535" customFormat="1" ht="20.100000000000001" customHeight="1">
      <c r="A26" s="1257">
        <f t="shared" si="4"/>
        <v>13</v>
      </c>
      <c r="B26" s="1919" t="str">
        <f>'REMOÇÃO DE PAV. REDE'!B26:C26</f>
        <v>T48</v>
      </c>
      <c r="C26" s="1920"/>
      <c r="D26" s="1258">
        <f>'REMOÇÃO DE PAV. REDE'!D26</f>
        <v>81.849999999999994</v>
      </c>
      <c r="E26" s="1252">
        <v>0.6</v>
      </c>
      <c r="F26" s="1259">
        <f t="shared" si="5"/>
        <v>49.11</v>
      </c>
      <c r="G26" s="1260">
        <v>0.2</v>
      </c>
      <c r="H26" s="1261">
        <f t="shared" si="1"/>
        <v>9.8219999999999992</v>
      </c>
      <c r="I26" s="1256"/>
      <c r="J26" s="1260">
        <v>1.1499999999999999</v>
      </c>
      <c r="K26" s="1260">
        <v>0</v>
      </c>
      <c r="L26" s="1261">
        <f t="shared" si="2"/>
        <v>0</v>
      </c>
      <c r="M26" s="1260">
        <v>33.6</v>
      </c>
      <c r="N26" s="1261">
        <f t="shared" si="3"/>
        <v>379.52199999999999</v>
      </c>
    </row>
    <row r="27" spans="1:14" s="535" customFormat="1" ht="20.100000000000001" customHeight="1">
      <c r="A27" s="1257">
        <f t="shared" si="4"/>
        <v>14</v>
      </c>
      <c r="B27" s="1919" t="str">
        <f>'REMOÇÃO DE PAV. REDE'!B27:C27</f>
        <v>T49</v>
      </c>
      <c r="C27" s="1920"/>
      <c r="D27" s="1258">
        <f>'REMOÇÃO DE PAV. REDE'!D27</f>
        <v>76.680000000000007</v>
      </c>
      <c r="E27" s="1252">
        <v>0.6</v>
      </c>
      <c r="F27" s="1259">
        <f t="shared" si="5"/>
        <v>46</v>
      </c>
      <c r="G27" s="1260">
        <v>0.2</v>
      </c>
      <c r="H27" s="1261">
        <f t="shared" si="1"/>
        <v>9.1999999999999993</v>
      </c>
      <c r="I27" s="1256"/>
      <c r="J27" s="1260">
        <v>1.1499999999999999</v>
      </c>
      <c r="K27" s="1260">
        <v>0</v>
      </c>
      <c r="L27" s="1261">
        <f t="shared" si="2"/>
        <v>0</v>
      </c>
      <c r="M27" s="1260">
        <v>33.6</v>
      </c>
      <c r="N27" s="1261">
        <f t="shared" si="3"/>
        <v>355.488</v>
      </c>
    </row>
    <row r="28" spans="1:14" s="535" customFormat="1" ht="20.100000000000001" customHeight="1">
      <c r="A28" s="1257">
        <f t="shared" si="4"/>
        <v>15</v>
      </c>
      <c r="B28" s="1919" t="str">
        <f>'REMOÇÃO DE PAV. REDE'!B28:C28</f>
        <v>T50</v>
      </c>
      <c r="C28" s="1920"/>
      <c r="D28" s="1258">
        <f>'REMOÇÃO DE PAV. REDE'!D28</f>
        <v>138.26</v>
      </c>
      <c r="E28" s="1252">
        <v>0.6</v>
      </c>
      <c r="F28" s="1259">
        <f t="shared" si="5"/>
        <v>82.95</v>
      </c>
      <c r="G28" s="1260">
        <v>0.2</v>
      </c>
      <c r="H28" s="1261">
        <f t="shared" si="1"/>
        <v>16.59</v>
      </c>
      <c r="I28" s="1256"/>
      <c r="J28" s="1260">
        <v>1.1499999999999999</v>
      </c>
      <c r="K28" s="1260">
        <v>0</v>
      </c>
      <c r="L28" s="1261">
        <f t="shared" si="2"/>
        <v>0</v>
      </c>
      <c r="M28" s="1260">
        <v>33.6</v>
      </c>
      <c r="N28" s="1261">
        <f t="shared" si="3"/>
        <v>641.03700000000003</v>
      </c>
    </row>
    <row r="29" spans="1:14" s="535" customFormat="1" ht="20.100000000000001" customHeight="1">
      <c r="A29" s="1257">
        <f t="shared" si="4"/>
        <v>16</v>
      </c>
      <c r="B29" s="1919" t="str">
        <f>'REMOÇÃO DE PAV. REDE'!B29:C29</f>
        <v>T51</v>
      </c>
      <c r="C29" s="1920"/>
      <c r="D29" s="1258">
        <f>'REMOÇÃO DE PAV. REDE'!D29</f>
        <v>136.72</v>
      </c>
      <c r="E29" s="1252">
        <v>0.6</v>
      </c>
      <c r="F29" s="1259">
        <f t="shared" si="5"/>
        <v>82.03</v>
      </c>
      <c r="G29" s="1260">
        <v>0.2</v>
      </c>
      <c r="H29" s="1261">
        <f t="shared" si="1"/>
        <v>16.405999999999999</v>
      </c>
      <c r="I29" s="1256"/>
      <c r="J29" s="1260">
        <v>1.1499999999999999</v>
      </c>
      <c r="K29" s="1260">
        <v>0</v>
      </c>
      <c r="L29" s="1261">
        <f t="shared" si="2"/>
        <v>0</v>
      </c>
      <c r="M29" s="1260">
        <v>33.6</v>
      </c>
      <c r="N29" s="1261">
        <f t="shared" si="3"/>
        <v>633.92700000000002</v>
      </c>
    </row>
    <row r="30" spans="1:14" s="535" customFormat="1" ht="20.100000000000001" customHeight="1">
      <c r="A30" s="1257">
        <f t="shared" si="4"/>
        <v>17</v>
      </c>
      <c r="B30" s="1919" t="str">
        <f>'REMOÇÃO DE PAV. REDE'!B30:C30</f>
        <v>T52</v>
      </c>
      <c r="C30" s="1920"/>
      <c r="D30" s="1258">
        <f>'REMOÇÃO DE PAV. REDE'!D30</f>
        <v>136.05000000000001</v>
      </c>
      <c r="E30" s="1252">
        <v>0.6</v>
      </c>
      <c r="F30" s="1259">
        <f t="shared" si="5"/>
        <v>81.63</v>
      </c>
      <c r="G30" s="1260">
        <v>0.2</v>
      </c>
      <c r="H30" s="1261">
        <f t="shared" si="1"/>
        <v>16.326000000000001</v>
      </c>
      <c r="I30" s="1256"/>
      <c r="J30" s="1260">
        <v>1.1499999999999999</v>
      </c>
      <c r="K30" s="1260">
        <v>0</v>
      </c>
      <c r="L30" s="1261">
        <f t="shared" si="2"/>
        <v>0</v>
      </c>
      <c r="M30" s="1260">
        <v>33.6</v>
      </c>
      <c r="N30" s="1261">
        <f t="shared" si="3"/>
        <v>630.83600000000001</v>
      </c>
    </row>
    <row r="31" spans="1:14" s="535" customFormat="1" ht="20.100000000000001" customHeight="1">
      <c r="A31" s="1257">
        <f t="shared" si="4"/>
        <v>18</v>
      </c>
      <c r="B31" s="1919" t="str">
        <f>'REMOÇÃO DE PAV. REDE'!B31:C31</f>
        <v>T62</v>
      </c>
      <c r="C31" s="1920"/>
      <c r="D31" s="1258">
        <f>'REMOÇÃO DE PAV. REDE'!D31</f>
        <v>98.83</v>
      </c>
      <c r="E31" s="1252">
        <v>0.6</v>
      </c>
      <c r="F31" s="1259">
        <f t="shared" si="5"/>
        <v>59.29</v>
      </c>
      <c r="G31" s="1260">
        <v>0.2</v>
      </c>
      <c r="H31" s="1261">
        <f t="shared" si="1"/>
        <v>11.858000000000001</v>
      </c>
      <c r="I31" s="1256"/>
      <c r="J31" s="1260">
        <v>1.1499999999999999</v>
      </c>
      <c r="K31" s="1260">
        <v>0</v>
      </c>
      <c r="L31" s="1261">
        <f t="shared" si="2"/>
        <v>0</v>
      </c>
      <c r="M31" s="1260">
        <v>33.6</v>
      </c>
      <c r="N31" s="1261">
        <f t="shared" si="3"/>
        <v>458.19299999999998</v>
      </c>
    </row>
    <row r="32" spans="1:14" s="535" customFormat="1" ht="20.100000000000001" customHeight="1">
      <c r="A32" s="1257">
        <f t="shared" si="4"/>
        <v>19</v>
      </c>
      <c r="B32" s="1919" t="str">
        <f>'REMOÇÃO DE PAV. REDE'!B32:C32</f>
        <v>T63</v>
      </c>
      <c r="C32" s="1920"/>
      <c r="D32" s="1258">
        <f>'REMOÇÃO DE PAV. REDE'!D32</f>
        <v>100.99</v>
      </c>
      <c r="E32" s="1252">
        <v>0.6</v>
      </c>
      <c r="F32" s="1259">
        <f t="shared" si="5"/>
        <v>60.59</v>
      </c>
      <c r="G32" s="1260">
        <v>0.2</v>
      </c>
      <c r="H32" s="1261">
        <f t="shared" si="1"/>
        <v>12.118</v>
      </c>
      <c r="I32" s="1256"/>
      <c r="J32" s="1260">
        <v>1.1499999999999999</v>
      </c>
      <c r="K32" s="1260">
        <v>0</v>
      </c>
      <c r="L32" s="1261">
        <f t="shared" si="2"/>
        <v>0</v>
      </c>
      <c r="M32" s="1260">
        <v>33.6</v>
      </c>
      <c r="N32" s="1261">
        <f t="shared" si="3"/>
        <v>468.23899999999998</v>
      </c>
    </row>
    <row r="33" spans="1:14" s="535" customFormat="1" ht="20.100000000000001" customHeight="1">
      <c r="A33" s="1257">
        <f t="shared" si="4"/>
        <v>20</v>
      </c>
      <c r="B33" s="1919" t="str">
        <f>'REMOÇÃO DE PAV. REDE'!B33:C33</f>
        <v>T74</v>
      </c>
      <c r="C33" s="1920"/>
      <c r="D33" s="1258">
        <f>'REMOÇÃO DE PAV. REDE'!D33</f>
        <v>91.21</v>
      </c>
      <c r="E33" s="1252">
        <v>0.6</v>
      </c>
      <c r="F33" s="1259">
        <f t="shared" si="5"/>
        <v>54.72</v>
      </c>
      <c r="G33" s="1260">
        <v>0.2</v>
      </c>
      <c r="H33" s="1261">
        <f t="shared" si="1"/>
        <v>10.944000000000001</v>
      </c>
      <c r="I33" s="1256"/>
      <c r="J33" s="1260">
        <v>1.1499999999999999</v>
      </c>
      <c r="K33" s="1260">
        <v>0</v>
      </c>
      <c r="L33" s="1261">
        <f t="shared" si="2"/>
        <v>0</v>
      </c>
      <c r="M33" s="1260">
        <v>33.6</v>
      </c>
      <c r="N33" s="1261">
        <f t="shared" si="3"/>
        <v>422.87599999999998</v>
      </c>
    </row>
    <row r="34" spans="1:14" s="535" customFormat="1" ht="20.100000000000001" customHeight="1">
      <c r="A34" s="1257">
        <f t="shared" si="4"/>
        <v>21</v>
      </c>
      <c r="B34" s="1919" t="str">
        <f>'REMOÇÃO DE PAV. REDE'!B34:C34</f>
        <v>T75</v>
      </c>
      <c r="C34" s="1920"/>
      <c r="D34" s="1258">
        <f>'REMOÇÃO DE PAV. REDE'!D34</f>
        <v>32.11</v>
      </c>
      <c r="E34" s="1252">
        <v>0.6</v>
      </c>
      <c r="F34" s="1259">
        <f t="shared" si="5"/>
        <v>19.260000000000002</v>
      </c>
      <c r="G34" s="1260">
        <v>0.2</v>
      </c>
      <c r="H34" s="1261">
        <f t="shared" si="1"/>
        <v>3.8519999999999999</v>
      </c>
      <c r="I34" s="1256"/>
      <c r="J34" s="1260">
        <v>1.1499999999999999</v>
      </c>
      <c r="K34" s="1260">
        <v>0</v>
      </c>
      <c r="L34" s="1261">
        <f t="shared" si="2"/>
        <v>0</v>
      </c>
      <c r="M34" s="1260">
        <v>33.6</v>
      </c>
      <c r="N34" s="1261">
        <f t="shared" si="3"/>
        <v>148.84100000000001</v>
      </c>
    </row>
    <row r="35" spans="1:14" s="535" customFormat="1" ht="20.100000000000001" customHeight="1">
      <c r="A35" s="1257">
        <f t="shared" si="4"/>
        <v>22</v>
      </c>
      <c r="B35" s="1919" t="str">
        <f>'REMOÇÃO DE PAV. REDE'!B35:C35</f>
        <v>T76</v>
      </c>
      <c r="C35" s="1920"/>
      <c r="D35" s="1258">
        <f>'REMOÇÃO DE PAV. REDE'!D35</f>
        <v>91.11</v>
      </c>
      <c r="E35" s="1252">
        <v>0.6</v>
      </c>
      <c r="F35" s="1259">
        <f t="shared" si="5"/>
        <v>54.66</v>
      </c>
      <c r="G35" s="1260">
        <v>0.2</v>
      </c>
      <c r="H35" s="1261">
        <f t="shared" si="1"/>
        <v>10.932</v>
      </c>
      <c r="I35" s="1256"/>
      <c r="J35" s="1260">
        <v>1.1499999999999999</v>
      </c>
      <c r="K35" s="1260">
        <v>0</v>
      </c>
      <c r="L35" s="1261">
        <f t="shared" si="2"/>
        <v>0</v>
      </c>
      <c r="M35" s="1260">
        <v>33.6</v>
      </c>
      <c r="N35" s="1261">
        <f t="shared" si="3"/>
        <v>422.41199999999998</v>
      </c>
    </row>
    <row r="36" spans="1:14" s="535" customFormat="1" ht="20.100000000000001" customHeight="1">
      <c r="A36" s="1257">
        <f t="shared" si="4"/>
        <v>23</v>
      </c>
      <c r="B36" s="1919" t="str">
        <f>'REMOÇÃO DE PAV. REDE'!B36:C36</f>
        <v>T77</v>
      </c>
      <c r="C36" s="1920"/>
      <c r="D36" s="1258">
        <f>'REMOÇÃO DE PAV. REDE'!D36</f>
        <v>34.11</v>
      </c>
      <c r="E36" s="1252">
        <v>0.6</v>
      </c>
      <c r="F36" s="1259">
        <f t="shared" si="5"/>
        <v>20.46</v>
      </c>
      <c r="G36" s="1260">
        <v>0.2</v>
      </c>
      <c r="H36" s="1261">
        <f t="shared" si="1"/>
        <v>4.0919999999999996</v>
      </c>
      <c r="I36" s="1256"/>
      <c r="J36" s="1260">
        <v>1.1499999999999999</v>
      </c>
      <c r="K36" s="1260">
        <v>0</v>
      </c>
      <c r="L36" s="1261">
        <f t="shared" si="2"/>
        <v>0</v>
      </c>
      <c r="M36" s="1260">
        <v>33.6</v>
      </c>
      <c r="N36" s="1261">
        <f t="shared" si="3"/>
        <v>158.114</v>
      </c>
    </row>
    <row r="37" spans="1:14" s="535" customFormat="1" ht="20.100000000000001" customHeight="1">
      <c r="A37" s="1257">
        <f t="shared" si="4"/>
        <v>24</v>
      </c>
      <c r="B37" s="1919" t="str">
        <f>'REMOÇÃO DE PAV. REDE'!B37:C37</f>
        <v>T78</v>
      </c>
      <c r="C37" s="1920"/>
      <c r="D37" s="1258">
        <f>'REMOÇÃO DE PAV. REDE'!D37</f>
        <v>111.92</v>
      </c>
      <c r="E37" s="1252">
        <v>0.6</v>
      </c>
      <c r="F37" s="1259">
        <f t="shared" si="5"/>
        <v>67.150000000000006</v>
      </c>
      <c r="G37" s="1260">
        <v>0.2</v>
      </c>
      <c r="H37" s="1261">
        <f t="shared" si="1"/>
        <v>13.43</v>
      </c>
      <c r="I37" s="1256"/>
      <c r="J37" s="1260">
        <v>1.1499999999999999</v>
      </c>
      <c r="K37" s="1260">
        <v>0</v>
      </c>
      <c r="L37" s="1261">
        <f t="shared" si="2"/>
        <v>0</v>
      </c>
      <c r="M37" s="1260">
        <v>33.6</v>
      </c>
      <c r="N37" s="1261">
        <f t="shared" si="3"/>
        <v>518.93499999999995</v>
      </c>
    </row>
    <row r="38" spans="1:14" s="535" customFormat="1" ht="20.100000000000001" customHeight="1">
      <c r="A38" s="1257">
        <f t="shared" si="4"/>
        <v>25</v>
      </c>
      <c r="B38" s="1919" t="str">
        <f>'REMOÇÃO DE PAV. REDE'!B38:C38</f>
        <v>T79</v>
      </c>
      <c r="C38" s="1920"/>
      <c r="D38" s="1258">
        <f>'REMOÇÃO DE PAV. REDE'!D38</f>
        <v>81.63</v>
      </c>
      <c r="E38" s="1252">
        <v>0.6</v>
      </c>
      <c r="F38" s="1259">
        <f t="shared" si="5"/>
        <v>48.97</v>
      </c>
      <c r="G38" s="1260">
        <v>0.2</v>
      </c>
      <c r="H38" s="1261">
        <f t="shared" si="1"/>
        <v>9.7940000000000005</v>
      </c>
      <c r="I38" s="1256"/>
      <c r="J38" s="1260">
        <v>1.1499999999999999</v>
      </c>
      <c r="K38" s="1260">
        <v>0</v>
      </c>
      <c r="L38" s="1261">
        <f t="shared" si="2"/>
        <v>0</v>
      </c>
      <c r="M38" s="1260">
        <v>33.6</v>
      </c>
      <c r="N38" s="1261">
        <f t="shared" si="3"/>
        <v>378.44</v>
      </c>
    </row>
    <row r="39" spans="1:14" s="535" customFormat="1" ht="20.100000000000001" customHeight="1">
      <c r="A39" s="1257">
        <f t="shared" si="4"/>
        <v>26</v>
      </c>
      <c r="B39" s="1919" t="str">
        <f>'REMOÇÃO DE PAV. REDE'!B39:C39</f>
        <v>T80</v>
      </c>
      <c r="C39" s="1920"/>
      <c r="D39" s="1258">
        <f>'REMOÇÃO DE PAV. REDE'!D39</f>
        <v>84.53</v>
      </c>
      <c r="E39" s="1252">
        <v>0.6</v>
      </c>
      <c r="F39" s="1259">
        <f t="shared" si="5"/>
        <v>50.71</v>
      </c>
      <c r="G39" s="1260">
        <v>0.2</v>
      </c>
      <c r="H39" s="1261">
        <f t="shared" si="1"/>
        <v>10.141999999999999</v>
      </c>
      <c r="I39" s="1256"/>
      <c r="J39" s="1260">
        <v>1.1499999999999999</v>
      </c>
      <c r="K39" s="1260">
        <v>0</v>
      </c>
      <c r="L39" s="1261">
        <f t="shared" si="2"/>
        <v>0</v>
      </c>
      <c r="M39" s="1260">
        <v>33.6</v>
      </c>
      <c r="N39" s="1261">
        <f t="shared" si="3"/>
        <v>391.88600000000002</v>
      </c>
    </row>
    <row r="40" spans="1:14" s="535" customFormat="1" ht="20.100000000000001" customHeight="1">
      <c r="A40" s="1257">
        <f t="shared" si="4"/>
        <v>27</v>
      </c>
      <c r="B40" s="1919" t="str">
        <f>'REMOÇÃO DE PAV. REDE'!B40:C40</f>
        <v>T81</v>
      </c>
      <c r="C40" s="1920"/>
      <c r="D40" s="1258">
        <f>'REMOÇÃO DE PAV. REDE'!D40</f>
        <v>81.08</v>
      </c>
      <c r="E40" s="1252">
        <v>0.6</v>
      </c>
      <c r="F40" s="1259">
        <f t="shared" si="5"/>
        <v>48.64</v>
      </c>
      <c r="G40" s="1260">
        <v>0.2</v>
      </c>
      <c r="H40" s="1261">
        <f t="shared" si="1"/>
        <v>9.7279999999999998</v>
      </c>
      <c r="I40" s="1256"/>
      <c r="J40" s="1260">
        <v>1.1499999999999999</v>
      </c>
      <c r="K40" s="1260">
        <v>0</v>
      </c>
      <c r="L40" s="1261">
        <f t="shared" si="2"/>
        <v>0</v>
      </c>
      <c r="M40" s="1260">
        <v>33.6</v>
      </c>
      <c r="N40" s="1261">
        <f t="shared" si="3"/>
        <v>375.88900000000001</v>
      </c>
    </row>
    <row r="41" spans="1:14" s="535" customFormat="1" ht="20.100000000000001" customHeight="1">
      <c r="A41" s="1257">
        <f t="shared" si="4"/>
        <v>28</v>
      </c>
      <c r="B41" s="1919" t="str">
        <f>'REMOÇÃO DE PAV. REDE'!B41:C41</f>
        <v>T82</v>
      </c>
      <c r="C41" s="1920"/>
      <c r="D41" s="1258">
        <f>'REMOÇÃO DE PAV. REDE'!D41</f>
        <v>90.34</v>
      </c>
      <c r="E41" s="1252">
        <v>0.6</v>
      </c>
      <c r="F41" s="1259">
        <f t="shared" si="5"/>
        <v>54.2</v>
      </c>
      <c r="G41" s="1260">
        <v>0.2</v>
      </c>
      <c r="H41" s="1261">
        <f t="shared" si="1"/>
        <v>10.84</v>
      </c>
      <c r="I41" s="1256"/>
      <c r="J41" s="1260">
        <v>1.1499999999999999</v>
      </c>
      <c r="K41" s="1260">
        <v>0</v>
      </c>
      <c r="L41" s="1261">
        <f t="shared" si="2"/>
        <v>0</v>
      </c>
      <c r="M41" s="1260">
        <v>33.6</v>
      </c>
      <c r="N41" s="1261">
        <f t="shared" si="3"/>
        <v>418.85700000000003</v>
      </c>
    </row>
    <row r="42" spans="1:14" s="535" customFormat="1" ht="20.100000000000001" customHeight="1">
      <c r="A42" s="1257">
        <f t="shared" si="4"/>
        <v>29</v>
      </c>
      <c r="B42" s="1919" t="str">
        <f>'REMOÇÃO DE PAV. REDE'!B42:C42</f>
        <v>T83</v>
      </c>
      <c r="C42" s="1920"/>
      <c r="D42" s="1258">
        <f>'REMOÇÃO DE PAV. REDE'!D42</f>
        <v>85.65</v>
      </c>
      <c r="E42" s="1252">
        <v>0.6</v>
      </c>
      <c r="F42" s="1259">
        <f t="shared" si="5"/>
        <v>51.39</v>
      </c>
      <c r="G42" s="1260">
        <v>0.2</v>
      </c>
      <c r="H42" s="1261">
        <f t="shared" si="1"/>
        <v>10.278</v>
      </c>
      <c r="I42" s="1256"/>
      <c r="J42" s="1260">
        <v>1.1499999999999999</v>
      </c>
      <c r="K42" s="1260">
        <v>0</v>
      </c>
      <c r="L42" s="1261">
        <f t="shared" si="2"/>
        <v>0</v>
      </c>
      <c r="M42" s="1260">
        <v>33.6</v>
      </c>
      <c r="N42" s="1261">
        <f t="shared" si="3"/>
        <v>397.14100000000002</v>
      </c>
    </row>
    <row r="43" spans="1:14" s="535" customFormat="1" ht="20.100000000000001" customHeight="1">
      <c r="A43" s="1257">
        <f t="shared" si="4"/>
        <v>30</v>
      </c>
      <c r="B43" s="1919" t="str">
        <f>'REMOÇÃO DE PAV. REDE'!B43:C43</f>
        <v>T84</v>
      </c>
      <c r="C43" s="1920"/>
      <c r="D43" s="1258">
        <f>'REMOÇÃO DE PAV. REDE'!D43</f>
        <v>87.44</v>
      </c>
      <c r="E43" s="1252">
        <v>0.6</v>
      </c>
      <c r="F43" s="1259">
        <f t="shared" si="5"/>
        <v>52.46</v>
      </c>
      <c r="G43" s="1260">
        <v>0.2</v>
      </c>
      <c r="H43" s="1261">
        <f t="shared" si="1"/>
        <v>10.492000000000001</v>
      </c>
      <c r="I43" s="1256"/>
      <c r="J43" s="1260">
        <v>1.1499999999999999</v>
      </c>
      <c r="K43" s="1260">
        <v>0</v>
      </c>
      <c r="L43" s="1261">
        <f t="shared" si="2"/>
        <v>0</v>
      </c>
      <c r="M43" s="1260">
        <v>33.6</v>
      </c>
      <c r="N43" s="1261">
        <f t="shared" si="3"/>
        <v>405.41</v>
      </c>
    </row>
    <row r="44" spans="1:14" s="535" customFormat="1" ht="20.100000000000001" customHeight="1">
      <c r="A44" s="1257">
        <f t="shared" si="4"/>
        <v>31</v>
      </c>
      <c r="B44" s="1919" t="str">
        <f>'REMOÇÃO DE PAV. REDE'!B44:C44</f>
        <v>T85</v>
      </c>
      <c r="C44" s="1920"/>
      <c r="D44" s="1258">
        <f>'REMOÇÃO DE PAV. REDE'!D44</f>
        <v>90.7</v>
      </c>
      <c r="E44" s="1252">
        <v>0.6</v>
      </c>
      <c r="F44" s="1259">
        <f t="shared" si="5"/>
        <v>54.42</v>
      </c>
      <c r="G44" s="1260">
        <v>0.2</v>
      </c>
      <c r="H44" s="1261">
        <f t="shared" si="1"/>
        <v>10.884</v>
      </c>
      <c r="I44" s="1256"/>
      <c r="J44" s="1260">
        <v>1.1499999999999999</v>
      </c>
      <c r="K44" s="1260">
        <v>0</v>
      </c>
      <c r="L44" s="1261">
        <f t="shared" si="2"/>
        <v>0</v>
      </c>
      <c r="M44" s="1260">
        <v>33.6</v>
      </c>
      <c r="N44" s="1261">
        <f t="shared" si="3"/>
        <v>420.55700000000002</v>
      </c>
    </row>
    <row r="45" spans="1:14" s="535" customFormat="1" ht="20.100000000000001" customHeight="1">
      <c r="A45" s="1257">
        <f t="shared" si="4"/>
        <v>32</v>
      </c>
      <c r="B45" s="1919" t="str">
        <f>'REMOÇÃO DE PAV. REDE'!B45:C45</f>
        <v>T86</v>
      </c>
      <c r="C45" s="1920"/>
      <c r="D45" s="1258">
        <f>'REMOÇÃO DE PAV. REDE'!D45</f>
        <v>78.069999999999993</v>
      </c>
      <c r="E45" s="1252">
        <v>0.6</v>
      </c>
      <c r="F45" s="1259">
        <f t="shared" si="5"/>
        <v>46.84</v>
      </c>
      <c r="G45" s="1260">
        <v>0.2</v>
      </c>
      <c r="H45" s="1261">
        <f t="shared" si="1"/>
        <v>9.3680000000000003</v>
      </c>
      <c r="I45" s="1256"/>
      <c r="J45" s="1260">
        <v>1.1499999999999999</v>
      </c>
      <c r="K45" s="1260">
        <v>0</v>
      </c>
      <c r="L45" s="1261">
        <f t="shared" si="2"/>
        <v>0</v>
      </c>
      <c r="M45" s="1260">
        <v>33.6</v>
      </c>
      <c r="N45" s="1261">
        <f t="shared" si="3"/>
        <v>361.97899999999998</v>
      </c>
    </row>
    <row r="46" spans="1:14" s="535" customFormat="1" ht="20.100000000000001" customHeight="1">
      <c r="A46" s="1257">
        <f t="shared" si="4"/>
        <v>33</v>
      </c>
      <c r="B46" s="1919" t="str">
        <f>'REMOÇÃO DE PAV. REDE'!B46:C46</f>
        <v>T87</v>
      </c>
      <c r="C46" s="1920"/>
      <c r="D46" s="1258">
        <f>'REMOÇÃO DE PAV. REDE'!D46</f>
        <v>84.54</v>
      </c>
      <c r="E46" s="1252">
        <v>0.6</v>
      </c>
      <c r="F46" s="1259">
        <f t="shared" si="5"/>
        <v>50.72</v>
      </c>
      <c r="G46" s="1260">
        <v>0.2</v>
      </c>
      <c r="H46" s="1261">
        <f t="shared" si="1"/>
        <v>10.144</v>
      </c>
      <c r="I46" s="1256"/>
      <c r="J46" s="1260">
        <v>1.1499999999999999</v>
      </c>
      <c r="K46" s="1260">
        <v>0</v>
      </c>
      <c r="L46" s="1261">
        <f t="shared" si="2"/>
        <v>0</v>
      </c>
      <c r="M46" s="1260">
        <v>33.6</v>
      </c>
      <c r="N46" s="1261">
        <f t="shared" si="3"/>
        <v>391.964</v>
      </c>
    </row>
    <row r="47" spans="1:14" s="535" customFormat="1" ht="20.100000000000001" customHeight="1">
      <c r="A47" s="1257">
        <f t="shared" si="4"/>
        <v>34</v>
      </c>
      <c r="B47" s="1919" t="str">
        <f>'REMOÇÃO DE PAV. REDE'!B47:C47</f>
        <v>T88</v>
      </c>
      <c r="C47" s="1920"/>
      <c r="D47" s="1258">
        <f>'REMOÇÃO DE PAV. REDE'!D47</f>
        <v>80.97</v>
      </c>
      <c r="E47" s="1252">
        <v>0.6</v>
      </c>
      <c r="F47" s="1259">
        <f t="shared" si="5"/>
        <v>48.58</v>
      </c>
      <c r="G47" s="1260">
        <v>0.2</v>
      </c>
      <c r="H47" s="1261">
        <f t="shared" si="1"/>
        <v>9.7159999999999993</v>
      </c>
      <c r="I47" s="1256"/>
      <c r="J47" s="1260">
        <v>1.1499999999999999</v>
      </c>
      <c r="K47" s="1260">
        <v>0</v>
      </c>
      <c r="L47" s="1261">
        <f t="shared" si="2"/>
        <v>0</v>
      </c>
      <c r="M47" s="1260">
        <v>33.6</v>
      </c>
      <c r="N47" s="1261">
        <f t="shared" si="3"/>
        <v>375.42599999999999</v>
      </c>
    </row>
    <row r="48" spans="1:14" s="535" customFormat="1" ht="20.100000000000001" customHeight="1">
      <c r="A48" s="1257">
        <f t="shared" si="4"/>
        <v>35</v>
      </c>
      <c r="B48" s="1919" t="str">
        <f>'REMOÇÃO DE PAV. REDE'!B48:C48</f>
        <v>T99</v>
      </c>
      <c r="C48" s="1920"/>
      <c r="D48" s="1258">
        <f>'REMOÇÃO DE PAV. REDE'!D48</f>
        <v>26.81</v>
      </c>
      <c r="E48" s="1252">
        <v>0.6</v>
      </c>
      <c r="F48" s="1259">
        <f t="shared" si="5"/>
        <v>16.079999999999998</v>
      </c>
      <c r="G48" s="1260">
        <v>0.2</v>
      </c>
      <c r="H48" s="1261">
        <f t="shared" si="1"/>
        <v>3.2160000000000002</v>
      </c>
      <c r="I48" s="1256"/>
      <c r="J48" s="1260">
        <v>1.1499999999999999</v>
      </c>
      <c r="K48" s="1260">
        <v>0</v>
      </c>
      <c r="L48" s="1261">
        <f t="shared" si="2"/>
        <v>0</v>
      </c>
      <c r="M48" s="1260">
        <v>33.6</v>
      </c>
      <c r="N48" s="1261">
        <f t="shared" si="3"/>
        <v>124.26600000000001</v>
      </c>
    </row>
    <row r="49" spans="1:231" s="535" customFormat="1" ht="20.100000000000001" customHeight="1">
      <c r="A49" s="1257">
        <f t="shared" si="4"/>
        <v>36</v>
      </c>
      <c r="B49" s="1919" t="str">
        <f>'REMOÇÃO DE PAV. REDE'!B49:C49</f>
        <v>T101</v>
      </c>
      <c r="C49" s="1920"/>
      <c r="D49" s="1258">
        <f>'REMOÇÃO DE PAV. REDE'!D49</f>
        <v>168.98</v>
      </c>
      <c r="E49" s="1252">
        <v>0.6</v>
      </c>
      <c r="F49" s="1259">
        <f t="shared" si="5"/>
        <v>101.38</v>
      </c>
      <c r="G49" s="1260">
        <v>0.2</v>
      </c>
      <c r="H49" s="1261">
        <f t="shared" si="1"/>
        <v>20.276</v>
      </c>
      <c r="I49" s="1256"/>
      <c r="J49" s="1260">
        <v>1.1499999999999999</v>
      </c>
      <c r="K49" s="1260">
        <v>0</v>
      </c>
      <c r="L49" s="1261">
        <f t="shared" si="2"/>
        <v>0</v>
      </c>
      <c r="M49" s="1260">
        <v>33.6</v>
      </c>
      <c r="N49" s="1261">
        <f t="shared" si="3"/>
        <v>783.46400000000006</v>
      </c>
    </row>
    <row r="50" spans="1:231" s="535" customFormat="1" ht="20.100000000000001" customHeight="1">
      <c r="A50" s="1257">
        <f t="shared" si="4"/>
        <v>37</v>
      </c>
      <c r="B50" s="1919" t="str">
        <f>'REMOÇÃO DE PAV. REDE'!B50:C50</f>
        <v>T102</v>
      </c>
      <c r="C50" s="1920"/>
      <c r="D50" s="1258">
        <f>'REMOÇÃO DE PAV. REDE'!D50</f>
        <v>135.36000000000001</v>
      </c>
      <c r="E50" s="1252">
        <v>0.6</v>
      </c>
      <c r="F50" s="1259">
        <f t="shared" si="5"/>
        <v>81.209999999999994</v>
      </c>
      <c r="G50" s="1260">
        <v>0.2</v>
      </c>
      <c r="H50" s="1261">
        <f t="shared" si="1"/>
        <v>16.242000000000001</v>
      </c>
      <c r="I50" s="1256"/>
      <c r="J50" s="1260">
        <v>1.1499999999999999</v>
      </c>
      <c r="K50" s="1260">
        <v>0</v>
      </c>
      <c r="L50" s="1261">
        <f t="shared" si="2"/>
        <v>0</v>
      </c>
      <c r="M50" s="1260">
        <v>33.6</v>
      </c>
      <c r="N50" s="1261">
        <f t="shared" si="3"/>
        <v>627.59</v>
      </c>
    </row>
    <row r="51" spans="1:231" s="535" customFormat="1" ht="20.100000000000001" customHeight="1">
      <c r="A51" s="1257">
        <f t="shared" si="4"/>
        <v>38</v>
      </c>
      <c r="B51" s="1919" t="str">
        <f>'REMOÇÃO DE PAV. REDE'!B51:C51</f>
        <v>T105</v>
      </c>
      <c r="C51" s="1920"/>
      <c r="D51" s="1258">
        <f>'REMOÇÃO DE PAV. REDE'!D51</f>
        <v>97.63</v>
      </c>
      <c r="E51" s="1252">
        <v>0.6</v>
      </c>
      <c r="F51" s="1259">
        <f t="shared" si="5"/>
        <v>58.57</v>
      </c>
      <c r="G51" s="1260">
        <v>0.2</v>
      </c>
      <c r="H51" s="1261">
        <f t="shared" si="1"/>
        <v>11.714</v>
      </c>
      <c r="I51" s="1256"/>
      <c r="J51" s="1260">
        <v>1.1499999999999999</v>
      </c>
      <c r="K51" s="1260">
        <v>0</v>
      </c>
      <c r="L51" s="1261">
        <f t="shared" si="2"/>
        <v>0</v>
      </c>
      <c r="M51" s="1260">
        <v>33.6</v>
      </c>
      <c r="N51" s="1261">
        <f t="shared" si="3"/>
        <v>452.62799999999999</v>
      </c>
    </row>
    <row r="52" spans="1:231" s="535" customFormat="1" ht="20.100000000000001" customHeight="1">
      <c r="A52" s="1257">
        <f t="shared" si="4"/>
        <v>39</v>
      </c>
      <c r="B52" s="1919" t="str">
        <f>'REMOÇÃO DE PAV. REDE'!B52:C52</f>
        <v>T106</v>
      </c>
      <c r="C52" s="1920"/>
      <c r="D52" s="1258">
        <f>'REMOÇÃO DE PAV. REDE'!D52</f>
        <v>171.87</v>
      </c>
      <c r="E52" s="1252">
        <v>0.6</v>
      </c>
      <c r="F52" s="1259">
        <f t="shared" si="5"/>
        <v>103.12</v>
      </c>
      <c r="G52" s="1260">
        <v>0.2</v>
      </c>
      <c r="H52" s="1261">
        <f t="shared" si="1"/>
        <v>20.623999999999999</v>
      </c>
      <c r="I52" s="1256"/>
      <c r="J52" s="1260">
        <v>1.1499999999999999</v>
      </c>
      <c r="K52" s="1260">
        <v>0</v>
      </c>
      <c r="L52" s="1261">
        <f t="shared" si="2"/>
        <v>0</v>
      </c>
      <c r="M52" s="1260">
        <v>33.6</v>
      </c>
      <c r="N52" s="1261">
        <f t="shared" si="3"/>
        <v>796.91099999999994</v>
      </c>
    </row>
    <row r="53" spans="1:231" s="535" customFormat="1" ht="20.100000000000001" customHeight="1">
      <c r="A53" s="1257">
        <f t="shared" si="4"/>
        <v>40</v>
      </c>
      <c r="B53" s="1919" t="str">
        <f>'REMOÇÃO DE PAV. REDE'!B53:C53</f>
        <v>T107</v>
      </c>
      <c r="C53" s="1920"/>
      <c r="D53" s="1258">
        <f>'REMOÇÃO DE PAV. REDE'!D53</f>
        <v>89.68</v>
      </c>
      <c r="E53" s="1252">
        <v>0.6</v>
      </c>
      <c r="F53" s="1259">
        <f t="shared" si="5"/>
        <v>53.8</v>
      </c>
      <c r="G53" s="1260">
        <v>0.2</v>
      </c>
      <c r="H53" s="1261">
        <f t="shared" si="1"/>
        <v>10.76</v>
      </c>
      <c r="I53" s="1256"/>
      <c r="J53" s="1260">
        <v>1.1499999999999999</v>
      </c>
      <c r="K53" s="1260">
        <v>0</v>
      </c>
      <c r="L53" s="1261">
        <f t="shared" si="2"/>
        <v>0</v>
      </c>
      <c r="M53" s="1260">
        <v>33.6</v>
      </c>
      <c r="N53" s="1261">
        <f t="shared" si="3"/>
        <v>415.76600000000002</v>
      </c>
    </row>
    <row r="54" spans="1:231" s="535" customFormat="1" ht="20.100000000000001" customHeight="1">
      <c r="A54" s="1257">
        <f t="shared" si="4"/>
        <v>41</v>
      </c>
      <c r="B54" s="1919" t="str">
        <f>'REMOÇÃO DE PAV. REDE'!B54:C54</f>
        <v>T108</v>
      </c>
      <c r="C54" s="1920"/>
      <c r="D54" s="1258">
        <f>'REMOÇÃO DE PAV. REDE'!D54</f>
        <v>96.97</v>
      </c>
      <c r="E54" s="1252">
        <v>0.6</v>
      </c>
      <c r="F54" s="1259">
        <f t="shared" si="5"/>
        <v>58.18</v>
      </c>
      <c r="G54" s="1260">
        <v>0.2</v>
      </c>
      <c r="H54" s="1261">
        <f t="shared" si="1"/>
        <v>11.635999999999999</v>
      </c>
      <c r="I54" s="1256"/>
      <c r="J54" s="1260">
        <v>1.1499999999999999</v>
      </c>
      <c r="K54" s="1260">
        <v>0</v>
      </c>
      <c r="L54" s="1261">
        <f t="shared" si="2"/>
        <v>0</v>
      </c>
      <c r="M54" s="1260">
        <v>33.6</v>
      </c>
      <c r="N54" s="1261">
        <f t="shared" si="3"/>
        <v>449.61500000000001</v>
      </c>
    </row>
    <row r="55" spans="1:231" s="535" customFormat="1" ht="20.100000000000001" customHeight="1">
      <c r="A55" s="1257">
        <f t="shared" si="4"/>
        <v>42</v>
      </c>
      <c r="B55" s="1919" t="str">
        <f>'REMOÇÃO DE PAV. REDE'!B55:C55</f>
        <v>T109</v>
      </c>
      <c r="C55" s="1920"/>
      <c r="D55" s="1258">
        <f>'REMOÇÃO DE PAV. REDE'!D55</f>
        <v>101.54</v>
      </c>
      <c r="E55" s="1252">
        <v>0.6</v>
      </c>
      <c r="F55" s="1259">
        <f t="shared" si="5"/>
        <v>60.92</v>
      </c>
      <c r="G55" s="1260">
        <v>0.2</v>
      </c>
      <c r="H55" s="1261">
        <f t="shared" si="1"/>
        <v>12.183999999999999</v>
      </c>
      <c r="I55" s="1256"/>
      <c r="J55" s="1260">
        <v>1.1499999999999999</v>
      </c>
      <c r="K55" s="1260">
        <v>0</v>
      </c>
      <c r="L55" s="1261">
        <f t="shared" si="2"/>
        <v>0</v>
      </c>
      <c r="M55" s="1260">
        <v>33.6</v>
      </c>
      <c r="N55" s="1261">
        <f t="shared" si="3"/>
        <v>470.78899999999999</v>
      </c>
    </row>
    <row r="56" spans="1:231" s="535" customFormat="1" ht="20.100000000000001" customHeight="1">
      <c r="A56" s="1257">
        <f t="shared" si="4"/>
        <v>43</v>
      </c>
      <c r="B56" s="1919" t="str">
        <f>'REMOÇÃO DE PAV. REDE'!B56:C56</f>
        <v>T115</v>
      </c>
      <c r="C56" s="1920"/>
      <c r="D56" s="1258">
        <f>'REMOÇÃO DE PAV. REDE'!D56</f>
        <v>83.97</v>
      </c>
      <c r="E56" s="1252">
        <v>0.6</v>
      </c>
      <c r="F56" s="1259">
        <f t="shared" si="5"/>
        <v>50.38</v>
      </c>
      <c r="G56" s="1260">
        <v>0.2</v>
      </c>
      <c r="H56" s="1261">
        <f t="shared" si="1"/>
        <v>10.076000000000001</v>
      </c>
      <c r="I56" s="1256"/>
      <c r="J56" s="1260">
        <v>1.1499999999999999</v>
      </c>
      <c r="K56" s="1260">
        <v>0</v>
      </c>
      <c r="L56" s="1261">
        <f t="shared" si="2"/>
        <v>0</v>
      </c>
      <c r="M56" s="1260">
        <v>33.6</v>
      </c>
      <c r="N56" s="1261">
        <f t="shared" si="3"/>
        <v>389.33600000000001</v>
      </c>
    </row>
    <row r="57" spans="1:231" s="535" customFormat="1" ht="20.100000000000001" customHeight="1">
      <c r="A57" s="1257">
        <f t="shared" si="4"/>
        <v>44</v>
      </c>
      <c r="B57" s="1919" t="str">
        <f>'REMOÇÃO DE PAV. REDE'!B57:C57</f>
        <v>T116</v>
      </c>
      <c r="C57" s="1920"/>
      <c r="D57" s="1258">
        <f>'REMOÇÃO DE PAV. REDE'!D57</f>
        <v>93.71</v>
      </c>
      <c r="E57" s="1252">
        <v>0.6</v>
      </c>
      <c r="F57" s="1259">
        <f t="shared" si="5"/>
        <v>56.22</v>
      </c>
      <c r="G57" s="1260">
        <v>0.2</v>
      </c>
      <c r="H57" s="1261">
        <f t="shared" si="1"/>
        <v>11.244</v>
      </c>
      <c r="I57" s="1256"/>
      <c r="J57" s="1260">
        <v>1.1499999999999999</v>
      </c>
      <c r="K57" s="1260">
        <v>0</v>
      </c>
      <c r="L57" s="1261">
        <f t="shared" si="2"/>
        <v>0</v>
      </c>
      <c r="M57" s="1260">
        <v>33.6</v>
      </c>
      <c r="N57" s="1261">
        <f t="shared" si="3"/>
        <v>434.46800000000002</v>
      </c>
    </row>
    <row r="58" spans="1:231" s="535" customFormat="1" ht="20.100000000000001" customHeight="1">
      <c r="A58" s="1257">
        <f t="shared" si="4"/>
        <v>45</v>
      </c>
      <c r="B58" s="1919" t="str">
        <f>'REMOÇÃO DE PAV. REDE'!B58:C58</f>
        <v>T117</v>
      </c>
      <c r="C58" s="1920"/>
      <c r="D58" s="1258">
        <f>'REMOÇÃO DE PAV. REDE'!D58</f>
        <v>79.19</v>
      </c>
      <c r="E58" s="1252">
        <v>0.6</v>
      </c>
      <c r="F58" s="1259">
        <f t="shared" si="5"/>
        <v>47.51</v>
      </c>
      <c r="G58" s="1260">
        <v>0.2</v>
      </c>
      <c r="H58" s="1261">
        <f t="shared" si="1"/>
        <v>9.5020000000000007</v>
      </c>
      <c r="I58" s="1256"/>
      <c r="J58" s="1260">
        <v>1.1499999999999999</v>
      </c>
      <c r="K58" s="1260">
        <v>0</v>
      </c>
      <c r="L58" s="1261">
        <f t="shared" si="2"/>
        <v>0</v>
      </c>
      <c r="M58" s="1260">
        <v>33.6</v>
      </c>
      <c r="N58" s="1261">
        <f t="shared" si="3"/>
        <v>367.15699999999998</v>
      </c>
    </row>
    <row r="59" spans="1:231" s="535" customFormat="1" ht="20.100000000000001" customHeight="1">
      <c r="A59" s="1257">
        <f t="shared" si="4"/>
        <v>46</v>
      </c>
      <c r="B59" s="1919" t="str">
        <f>'REMOÇÃO DE PAV. REDE'!B59:C59</f>
        <v>T118</v>
      </c>
      <c r="C59" s="1920"/>
      <c r="D59" s="1258">
        <f>'REMOÇÃO DE PAV. REDE'!D59</f>
        <v>81.53</v>
      </c>
      <c r="E59" s="1252">
        <v>0.6</v>
      </c>
      <c r="F59" s="1259">
        <f t="shared" si="5"/>
        <v>48.91</v>
      </c>
      <c r="G59" s="1260">
        <v>0.2</v>
      </c>
      <c r="H59" s="1261">
        <f t="shared" si="1"/>
        <v>9.782</v>
      </c>
      <c r="I59" s="1256"/>
      <c r="J59" s="1260">
        <v>1.1499999999999999</v>
      </c>
      <c r="K59" s="1260">
        <v>0</v>
      </c>
      <c r="L59" s="1261">
        <f t="shared" si="2"/>
        <v>0</v>
      </c>
      <c r="M59" s="1260">
        <v>33.6</v>
      </c>
      <c r="N59" s="1261">
        <f t="shared" si="3"/>
        <v>377.976</v>
      </c>
    </row>
    <row r="60" spans="1:231" s="535" customFormat="1" ht="20.100000000000001" customHeight="1">
      <c r="A60" s="1257">
        <f t="shared" si="4"/>
        <v>47</v>
      </c>
      <c r="B60" s="1919" t="str">
        <f>'REMOÇÃO DE PAV. REDE'!B60:C60</f>
        <v>T119</v>
      </c>
      <c r="C60" s="1920"/>
      <c r="D60" s="1258">
        <f>'REMOÇÃO DE PAV. REDE'!D60</f>
        <v>83.43</v>
      </c>
      <c r="E60" s="1252">
        <v>0.6</v>
      </c>
      <c r="F60" s="1259">
        <f t="shared" si="5"/>
        <v>50.05</v>
      </c>
      <c r="G60" s="1260">
        <v>0.2</v>
      </c>
      <c r="H60" s="1261">
        <f t="shared" si="1"/>
        <v>10.01</v>
      </c>
      <c r="I60" s="1256"/>
      <c r="J60" s="1260">
        <v>1.1499999999999999</v>
      </c>
      <c r="K60" s="1260">
        <v>0</v>
      </c>
      <c r="L60" s="1261">
        <f t="shared" si="2"/>
        <v>0</v>
      </c>
      <c r="M60" s="1260">
        <v>33.6</v>
      </c>
      <c r="N60" s="1261">
        <f t="shared" si="3"/>
        <v>386.786</v>
      </c>
    </row>
    <row r="61" spans="1:231" s="535" customFormat="1" ht="20.100000000000001" customHeight="1">
      <c r="A61" s="1257">
        <f t="shared" si="4"/>
        <v>48</v>
      </c>
      <c r="B61" s="1919" t="str">
        <f>'REMOÇÃO DE PAV. REDE'!B61:C61</f>
        <v>T124</v>
      </c>
      <c r="C61" s="1920"/>
      <c r="D61" s="1258">
        <f>'REMOÇÃO DE PAV. REDE'!D61</f>
        <v>71.14</v>
      </c>
      <c r="E61" s="1252">
        <v>0.6</v>
      </c>
      <c r="F61" s="1259">
        <f t="shared" si="5"/>
        <v>42.68</v>
      </c>
      <c r="G61" s="1260">
        <v>0.2</v>
      </c>
      <c r="H61" s="1261">
        <f t="shared" si="1"/>
        <v>8.5359999999999996</v>
      </c>
      <c r="I61" s="1256"/>
      <c r="J61" s="1260">
        <v>1.1499999999999999</v>
      </c>
      <c r="K61" s="1260">
        <v>0</v>
      </c>
      <c r="L61" s="1261">
        <f t="shared" si="2"/>
        <v>0</v>
      </c>
      <c r="M61" s="1260">
        <v>33.6</v>
      </c>
      <c r="N61" s="1261">
        <f t="shared" si="3"/>
        <v>329.83100000000002</v>
      </c>
    </row>
    <row r="62" spans="1:231" s="535" customFormat="1" ht="20.100000000000001" customHeight="1">
      <c r="A62" s="1257">
        <f t="shared" si="4"/>
        <v>49</v>
      </c>
      <c r="B62" s="1919" t="str">
        <f>'REMOÇÃO DE PAV. REDE'!B62:C62</f>
        <v>T125</v>
      </c>
      <c r="C62" s="1920"/>
      <c r="D62" s="1258">
        <f>'REMOÇÃO DE PAV. REDE'!D62</f>
        <v>126.75</v>
      </c>
      <c r="E62" s="1252">
        <v>0.6</v>
      </c>
      <c r="F62" s="1259">
        <f t="shared" si="5"/>
        <v>76.05</v>
      </c>
      <c r="G62" s="1260">
        <v>0.2</v>
      </c>
      <c r="H62" s="1261">
        <f t="shared" si="1"/>
        <v>15.21</v>
      </c>
      <c r="I62" s="1256"/>
      <c r="J62" s="1260">
        <v>1.1499999999999999</v>
      </c>
      <c r="K62" s="1260">
        <v>0</v>
      </c>
      <c r="L62" s="1261">
        <f t="shared" si="2"/>
        <v>0</v>
      </c>
      <c r="M62" s="1260">
        <v>33.6</v>
      </c>
      <c r="N62" s="1261">
        <f t="shared" si="3"/>
        <v>587.71400000000006</v>
      </c>
    </row>
    <row r="63" spans="1:231" s="535" customFormat="1" ht="20.100000000000001" customHeight="1">
      <c r="A63" s="1257">
        <f t="shared" si="4"/>
        <v>50</v>
      </c>
      <c r="B63" s="1919" t="str">
        <f>'REMOÇÃO DE PAV. REDE'!B63:C63</f>
        <v>T126</v>
      </c>
      <c r="C63" s="1920"/>
      <c r="D63" s="1258">
        <f>'REMOÇÃO DE PAV. REDE'!D63</f>
        <v>120.18</v>
      </c>
      <c r="E63" s="1252">
        <v>0.6</v>
      </c>
      <c r="F63" s="1259">
        <f t="shared" si="5"/>
        <v>72.099999999999994</v>
      </c>
      <c r="G63" s="1260">
        <v>0.2</v>
      </c>
      <c r="H63" s="1261">
        <f t="shared" si="1"/>
        <v>14.42</v>
      </c>
      <c r="I63" s="1256"/>
      <c r="J63" s="1260">
        <v>1.1499999999999999</v>
      </c>
      <c r="K63" s="1260">
        <v>0</v>
      </c>
      <c r="L63" s="1261">
        <f t="shared" si="2"/>
        <v>0</v>
      </c>
      <c r="M63" s="1260">
        <v>33.6</v>
      </c>
      <c r="N63" s="1261">
        <f t="shared" si="3"/>
        <v>557.18799999999999</v>
      </c>
    </row>
    <row r="64" spans="1:231" s="220" customFormat="1" ht="20.100000000000001" customHeight="1">
      <c r="A64" s="1921" t="s">
        <v>14005</v>
      </c>
      <c r="B64" s="1922"/>
      <c r="C64" s="1922"/>
      <c r="D64" s="1262">
        <f>SUM(D14:D63)</f>
        <v>4762.2900000000009</v>
      </c>
      <c r="E64" s="1263"/>
      <c r="F64" s="1262">
        <f>SUM(F14:F63)</f>
        <v>2857.1300000000006</v>
      </c>
      <c r="G64" s="1262"/>
      <c r="H64" s="1262">
        <f>SUM(H14:H63)</f>
        <v>571.42600000000004</v>
      </c>
      <c r="I64" s="1264"/>
      <c r="J64" s="1262"/>
      <c r="K64" s="1262"/>
      <c r="L64" s="1262">
        <f>TRUNC(SUM(L14:L63),2)</f>
        <v>0</v>
      </c>
      <c r="M64" s="1262"/>
      <c r="N64" s="1262">
        <f>TRUNC(SUM(N14:N63),2)</f>
        <v>22079.87</v>
      </c>
      <c r="O64" s="433"/>
      <c r="P64" s="1265"/>
      <c r="Q64" s="1242"/>
      <c r="R64" s="1243"/>
      <c r="S64" s="433"/>
      <c r="T64" s="433"/>
      <c r="U64" s="433"/>
      <c r="V64" s="433"/>
      <c r="W64" s="1242"/>
      <c r="X64" s="1243"/>
      <c r="Y64" s="433"/>
      <c r="Z64" s="433"/>
      <c r="AA64" s="433"/>
      <c r="AB64" s="433"/>
      <c r="AC64" s="1242"/>
      <c r="AD64" s="1243"/>
      <c r="AE64" s="433"/>
      <c r="AF64" s="433"/>
      <c r="AG64" s="433"/>
      <c r="AH64" s="433"/>
      <c r="AI64" s="1242"/>
      <c r="AJ64" s="1243"/>
      <c r="AK64" s="433"/>
      <c r="AL64" s="433"/>
      <c r="AM64" s="433"/>
      <c r="AN64" s="433"/>
      <c r="AO64" s="1242"/>
      <c r="AP64" s="1243"/>
      <c r="AQ64" s="433"/>
      <c r="AR64" s="433"/>
      <c r="AS64" s="433"/>
      <c r="AT64" s="433"/>
      <c r="AU64" s="1242"/>
      <c r="AV64" s="1243"/>
      <c r="AW64" s="433"/>
      <c r="AX64" s="433"/>
      <c r="AY64" s="433"/>
      <c r="AZ64" s="433"/>
      <c r="BA64" s="1242"/>
      <c r="BB64" s="1243"/>
      <c r="BC64" s="433"/>
      <c r="BD64" s="433"/>
      <c r="BE64" s="433"/>
      <c r="BF64" s="433"/>
      <c r="BG64" s="1242"/>
      <c r="BH64" s="1243"/>
      <c r="BI64" s="433"/>
      <c r="BJ64" s="433"/>
      <c r="BK64" s="433"/>
      <c r="BL64" s="433"/>
      <c r="BM64" s="1242"/>
      <c r="BN64" s="1243"/>
      <c r="BO64" s="433"/>
      <c r="BP64" s="433"/>
      <c r="BQ64" s="433"/>
      <c r="BR64" s="433"/>
      <c r="BS64" s="1242"/>
      <c r="BT64" s="1243"/>
      <c r="BU64" s="433"/>
      <c r="BV64" s="433"/>
      <c r="BW64" s="433"/>
      <c r="BX64" s="433"/>
      <c r="BY64" s="1242"/>
      <c r="BZ64" s="1243"/>
      <c r="CA64" s="433"/>
      <c r="CB64" s="433"/>
      <c r="CC64" s="433"/>
      <c r="CD64" s="433"/>
      <c r="CE64" s="1242"/>
      <c r="CF64" s="1243"/>
      <c r="CG64" s="433"/>
      <c r="CH64" s="433"/>
      <c r="CI64" s="433"/>
      <c r="CJ64" s="433"/>
      <c r="CK64" s="1242"/>
      <c r="CL64" s="1243"/>
      <c r="CM64" s="433"/>
      <c r="CN64" s="433"/>
      <c r="CO64" s="433"/>
      <c r="CP64" s="433"/>
      <c r="CQ64" s="1242"/>
      <c r="CR64" s="1243"/>
      <c r="CS64" s="433"/>
      <c r="CT64" s="433"/>
      <c r="CU64" s="433"/>
      <c r="CV64" s="433"/>
      <c r="CW64" s="1242"/>
      <c r="CX64" s="1243"/>
      <c r="CY64" s="433"/>
      <c r="CZ64" s="433"/>
      <c r="DA64" s="433"/>
      <c r="DB64" s="433"/>
      <c r="DC64" s="1242"/>
      <c r="DD64" s="1243"/>
      <c r="DE64" s="433"/>
      <c r="DF64" s="433"/>
      <c r="DG64" s="433"/>
      <c r="DH64" s="433"/>
      <c r="DI64" s="1242"/>
      <c r="DJ64" s="1243"/>
      <c r="DK64" s="433"/>
      <c r="DL64" s="433"/>
      <c r="DM64" s="433"/>
      <c r="DN64" s="433"/>
      <c r="DO64" s="1242"/>
      <c r="DP64" s="1243"/>
      <c r="DQ64" s="433"/>
      <c r="DR64" s="433"/>
      <c r="DS64" s="433"/>
      <c r="DT64" s="433"/>
      <c r="DU64" s="1242"/>
      <c r="DV64" s="1243"/>
      <c r="DW64" s="433"/>
      <c r="DX64" s="433"/>
      <c r="DY64" s="433"/>
      <c r="DZ64" s="433"/>
      <c r="EA64" s="1242"/>
      <c r="EB64" s="1243"/>
      <c r="EC64" s="433"/>
      <c r="ED64" s="433"/>
      <c r="EE64" s="433"/>
      <c r="EF64" s="433"/>
      <c r="EG64" s="1242"/>
      <c r="EH64" s="1243"/>
      <c r="EI64" s="433"/>
      <c r="EJ64" s="433"/>
      <c r="EK64" s="433"/>
      <c r="EL64" s="433"/>
      <c r="EM64" s="1242"/>
      <c r="EN64" s="1243"/>
      <c r="EO64" s="433"/>
      <c r="EP64" s="433"/>
      <c r="EQ64" s="433"/>
      <c r="ER64" s="433"/>
      <c r="ES64" s="1242"/>
      <c r="ET64" s="1243"/>
      <c r="EU64" s="433"/>
      <c r="EV64" s="433"/>
      <c r="EW64" s="433"/>
      <c r="EX64" s="433"/>
      <c r="EY64" s="1242"/>
      <c r="EZ64" s="1243"/>
      <c r="FA64" s="433"/>
      <c r="FB64" s="433"/>
      <c r="FC64" s="433"/>
      <c r="FD64" s="433"/>
      <c r="FE64" s="1242"/>
      <c r="FF64" s="1243"/>
      <c r="FG64" s="433"/>
      <c r="FH64" s="433"/>
      <c r="FI64" s="433"/>
      <c r="FJ64" s="433"/>
      <c r="FK64" s="1242"/>
      <c r="FL64" s="1243"/>
      <c r="FM64" s="433"/>
      <c r="FN64" s="433"/>
      <c r="FO64" s="433"/>
      <c r="FP64" s="433"/>
      <c r="FQ64" s="1242"/>
      <c r="FR64" s="1243"/>
      <c r="FS64" s="433"/>
      <c r="FT64" s="433"/>
      <c r="FU64" s="433"/>
      <c r="FV64" s="433"/>
      <c r="FW64" s="1242"/>
      <c r="FX64" s="1243"/>
      <c r="FY64" s="433"/>
      <c r="FZ64" s="433"/>
      <c r="GA64" s="433"/>
      <c r="GB64" s="433"/>
      <c r="GC64" s="1242"/>
      <c r="GD64" s="1243"/>
      <c r="GE64" s="433"/>
      <c r="GF64" s="433"/>
      <c r="GG64" s="433"/>
      <c r="GH64" s="433"/>
      <c r="GI64" s="1242"/>
      <c r="GJ64" s="1243"/>
      <c r="GK64" s="433"/>
      <c r="GL64" s="433"/>
      <c r="GM64" s="433"/>
      <c r="GN64" s="433"/>
      <c r="GO64" s="1242"/>
      <c r="GP64" s="1243"/>
      <c r="GQ64" s="433"/>
      <c r="GR64" s="433"/>
      <c r="GS64" s="433"/>
      <c r="GT64" s="433"/>
      <c r="GU64" s="1242"/>
      <c r="GV64" s="1243"/>
      <c r="GW64" s="433"/>
      <c r="GX64" s="433"/>
      <c r="GY64" s="433"/>
      <c r="GZ64" s="433"/>
      <c r="HA64" s="1242"/>
      <c r="HB64" s="1243"/>
      <c r="HC64" s="433"/>
      <c r="HD64" s="433"/>
      <c r="HE64" s="433"/>
      <c r="HF64" s="433"/>
      <c r="HG64" s="1242"/>
      <c r="HH64" s="1243"/>
      <c r="HI64" s="433"/>
      <c r="HJ64" s="433"/>
      <c r="HK64" s="433"/>
      <c r="HL64" s="433"/>
      <c r="HM64" s="1242"/>
      <c r="HN64" s="1243"/>
      <c r="HO64" s="433"/>
      <c r="HP64" s="433"/>
      <c r="HQ64" s="433"/>
      <c r="HR64" s="433"/>
      <c r="HS64" s="1242"/>
      <c r="HT64" s="1243"/>
      <c r="HU64" s="433"/>
      <c r="HV64" s="433"/>
      <c r="HW64" s="433"/>
    </row>
    <row r="65" spans="1:14">
      <c r="A65" s="1266" t="s">
        <v>14027</v>
      </c>
      <c r="K65" s="405"/>
    </row>
    <row r="66" spans="1:14">
      <c r="A66" s="1266" t="s">
        <v>14028</v>
      </c>
    </row>
    <row r="67" spans="1:14">
      <c r="E67" s="1244"/>
    </row>
    <row r="68" spans="1:14">
      <c r="K68" s="1918" t="s">
        <v>14029</v>
      </c>
      <c r="L68" s="1918"/>
      <c r="M68" s="1918"/>
      <c r="N68" s="1918"/>
    </row>
    <row r="70" spans="1:14">
      <c r="K70" s="1244" t="s">
        <v>14030</v>
      </c>
      <c r="L70" s="1244" t="s">
        <v>14210</v>
      </c>
      <c r="M70" t="s">
        <v>14032</v>
      </c>
    </row>
    <row r="71" spans="1:14">
      <c r="L71" s="1244" t="s">
        <v>14211</v>
      </c>
      <c r="M71" t="s">
        <v>14034</v>
      </c>
    </row>
    <row r="72" spans="1:14">
      <c r="K72" t="s">
        <v>14035</v>
      </c>
    </row>
    <row r="73" spans="1:14">
      <c r="K73" s="396" t="s">
        <v>14036</v>
      </c>
    </row>
    <row r="74" spans="1:14">
      <c r="K74" s="396" t="s">
        <v>14037</v>
      </c>
    </row>
  </sheetData>
  <mergeCells count="72">
    <mergeCell ref="B6:N6"/>
    <mergeCell ref="A1:N1"/>
    <mergeCell ref="A2:N2"/>
    <mergeCell ref="A3:N3"/>
    <mergeCell ref="A4:N4"/>
    <mergeCell ref="A5:N5"/>
    <mergeCell ref="B7:N7"/>
    <mergeCell ref="B8:N8"/>
    <mergeCell ref="B9:N9"/>
    <mergeCell ref="A10:N10"/>
    <mergeCell ref="A11:A13"/>
    <mergeCell ref="B11:C13"/>
    <mergeCell ref="D11:D12"/>
    <mergeCell ref="E11:E12"/>
    <mergeCell ref="F11:F12"/>
    <mergeCell ref="G11:G12"/>
    <mergeCell ref="B21:C21"/>
    <mergeCell ref="H11:H12"/>
    <mergeCell ref="J11:J13"/>
    <mergeCell ref="K11:L11"/>
    <mergeCell ref="M11:N11"/>
    <mergeCell ref="B14:C14"/>
    <mergeCell ref="B15:C15"/>
    <mergeCell ref="B16:C16"/>
    <mergeCell ref="B17:C17"/>
    <mergeCell ref="B18:C18"/>
    <mergeCell ref="B19:C19"/>
    <mergeCell ref="B20:C20"/>
    <mergeCell ref="B33:C33"/>
    <mergeCell ref="B22:C22"/>
    <mergeCell ref="B23:C23"/>
    <mergeCell ref="B24:C24"/>
    <mergeCell ref="B25:C25"/>
    <mergeCell ref="B26:C26"/>
    <mergeCell ref="B27:C27"/>
    <mergeCell ref="B28:C28"/>
    <mergeCell ref="B29:C29"/>
    <mergeCell ref="B30:C30"/>
    <mergeCell ref="B31:C31"/>
    <mergeCell ref="B32:C32"/>
    <mergeCell ref="B45:C45"/>
    <mergeCell ref="B34:C34"/>
    <mergeCell ref="B35:C35"/>
    <mergeCell ref="B36:C36"/>
    <mergeCell ref="B37:C37"/>
    <mergeCell ref="B38:C38"/>
    <mergeCell ref="B39:C39"/>
    <mergeCell ref="B40:C40"/>
    <mergeCell ref="B41:C41"/>
    <mergeCell ref="B42:C42"/>
    <mergeCell ref="B43:C43"/>
    <mergeCell ref="B44:C44"/>
    <mergeCell ref="B57:C57"/>
    <mergeCell ref="B46:C46"/>
    <mergeCell ref="B47:C47"/>
    <mergeCell ref="B48:C48"/>
    <mergeCell ref="B49:C49"/>
    <mergeCell ref="B50:C50"/>
    <mergeCell ref="B51:C51"/>
    <mergeCell ref="B52:C52"/>
    <mergeCell ref="B53:C53"/>
    <mergeCell ref="B54:C54"/>
    <mergeCell ref="B55:C55"/>
    <mergeCell ref="B56:C56"/>
    <mergeCell ref="A64:C64"/>
    <mergeCell ref="K68:N68"/>
    <mergeCell ref="B58:C58"/>
    <mergeCell ref="B59:C59"/>
    <mergeCell ref="B60:C60"/>
    <mergeCell ref="B61:C61"/>
    <mergeCell ref="B62:C62"/>
    <mergeCell ref="B63:C63"/>
  </mergeCells>
  <printOptions horizontalCentered="1"/>
  <pageMargins left="0.7" right="0.7" top="0.75" bottom="0.75" header="0.3" footer="0.3"/>
  <pageSetup paperSize="9" scale="94" firstPageNumber="25" fitToHeight="0" orientation="landscape" useFirstPageNumber="1" r:id="rId1"/>
  <headerFooter scaleWithDoc="0"/>
  <drawing r:id="rId2"/>
</worksheet>
</file>

<file path=xl/worksheets/sheet28.xml><?xml version="1.0" encoding="utf-8"?>
<worksheet xmlns="http://schemas.openxmlformats.org/spreadsheetml/2006/main" xmlns:r="http://schemas.openxmlformats.org/officeDocument/2006/relationships">
  <sheetPr codeName="Plan13">
    <tabColor theme="1" tint="0.34998626667073579"/>
    <pageSetUpPr fitToPage="1"/>
  </sheetPr>
  <dimension ref="A1:HW74"/>
  <sheetViews>
    <sheetView showGridLines="0" view="pageBreakPreview" topLeftCell="A46" zoomScaleNormal="115" zoomScaleSheetLayoutView="100" workbookViewId="0">
      <selection activeCell="B9" sqref="B9:F9"/>
    </sheetView>
  </sheetViews>
  <sheetFormatPr defaultColWidth="9.140625" defaultRowHeight="15"/>
  <cols>
    <col min="2" max="2" width="6" customWidth="1"/>
    <col min="3" max="3" width="45.42578125" customWidth="1"/>
    <col min="4" max="6" width="15.7109375" customWidth="1"/>
    <col min="7" max="7" width="17" customWidth="1"/>
    <col min="8" max="8" width="13.7109375" customWidth="1"/>
    <col min="9" max="9" width="0.85546875" customWidth="1"/>
    <col min="10" max="10" width="19.28515625" hidden="1" customWidth="1"/>
    <col min="11" max="14" width="13.7109375" hidden="1" customWidth="1"/>
  </cols>
  <sheetData>
    <row r="1" spans="1:14" s="533" customFormat="1" ht="18">
      <c r="A1" s="1937" t="s">
        <v>2996</v>
      </c>
      <c r="B1" s="1938" t="s">
        <v>2996</v>
      </c>
      <c r="C1" s="1938" t="s">
        <v>2996</v>
      </c>
      <c r="D1" s="1938"/>
      <c r="E1" s="1938"/>
      <c r="F1" s="1938"/>
      <c r="G1" s="1938"/>
      <c r="H1" s="1938"/>
      <c r="I1" s="1938"/>
      <c r="J1" s="1938"/>
      <c r="K1" s="1938"/>
      <c r="L1" s="1938"/>
      <c r="M1" s="1938"/>
      <c r="N1" s="1939" t="s">
        <v>2996</v>
      </c>
    </row>
    <row r="2" spans="1:14" s="533" customFormat="1" ht="14.25">
      <c r="A2" s="1940" t="s">
        <v>2997</v>
      </c>
      <c r="B2" s="1913" t="s">
        <v>13994</v>
      </c>
      <c r="C2" s="1913" t="s">
        <v>13994</v>
      </c>
      <c r="D2" s="1913"/>
      <c r="E2" s="1913"/>
      <c r="F2" s="1913"/>
      <c r="G2" s="1913"/>
      <c r="H2" s="1913"/>
      <c r="I2" s="1913"/>
      <c r="J2" s="1913"/>
      <c r="K2" s="1913"/>
      <c r="L2" s="1913"/>
      <c r="M2" s="1913"/>
      <c r="N2" s="1941" t="s">
        <v>13994</v>
      </c>
    </row>
    <row r="3" spans="1:14" s="533" customFormat="1" ht="14.25">
      <c r="A3" s="1942" t="s">
        <v>2998</v>
      </c>
      <c r="B3" s="1916" t="s">
        <v>13995</v>
      </c>
      <c r="C3" s="1916" t="s">
        <v>13995</v>
      </c>
      <c r="D3" s="1916"/>
      <c r="E3" s="1916"/>
      <c r="F3" s="1916"/>
      <c r="G3" s="1916"/>
      <c r="H3" s="1916"/>
      <c r="I3" s="1916"/>
      <c r="J3" s="1916"/>
      <c r="K3" s="1916"/>
      <c r="L3" s="1916"/>
      <c r="M3" s="1916"/>
      <c r="N3" s="1943" t="s">
        <v>13995</v>
      </c>
    </row>
    <row r="4" spans="1:14" s="533" customFormat="1" ht="14.25">
      <c r="A4" s="1942" t="s">
        <v>3063</v>
      </c>
      <c r="B4" s="1916" t="s">
        <v>3063</v>
      </c>
      <c r="C4" s="1916" t="s">
        <v>3063</v>
      </c>
      <c r="D4" s="1916"/>
      <c r="E4" s="1916"/>
      <c r="F4" s="1916"/>
      <c r="G4" s="1916"/>
      <c r="H4" s="1916"/>
      <c r="I4" s="1916"/>
      <c r="J4" s="1916"/>
      <c r="K4" s="1916"/>
      <c r="L4" s="1916"/>
      <c r="M4" s="1916"/>
      <c r="N4" s="1943" t="s">
        <v>3063</v>
      </c>
    </row>
    <row r="5" spans="1:14" s="533" customFormat="1" ht="14.25">
      <c r="A5" s="1942" t="s">
        <v>2999</v>
      </c>
      <c r="B5" s="1916" t="s">
        <v>2999</v>
      </c>
      <c r="C5" s="1916" t="s">
        <v>2999</v>
      </c>
      <c r="D5" s="1916"/>
      <c r="E5" s="1916"/>
      <c r="F5" s="1916"/>
      <c r="G5" s="1916"/>
      <c r="H5" s="1916"/>
      <c r="I5" s="1916"/>
      <c r="J5" s="1916"/>
      <c r="K5" s="1916"/>
      <c r="L5" s="1916"/>
      <c r="M5" s="1916"/>
      <c r="N5" s="1943" t="s">
        <v>2999</v>
      </c>
    </row>
    <row r="6" spans="1:14" s="533" customFormat="1" ht="15" customHeight="1">
      <c r="A6" s="1245" t="s">
        <v>6</v>
      </c>
      <c r="B6" s="1907" t="str">
        <f>'REMOÇÃO DE PAV. ADUTORA'!B6:F6</f>
        <v xml:space="preserve">SISTEMA DE ABASTECIMENTO DE ÁGUA </v>
      </c>
      <c r="C6" s="1907"/>
      <c r="D6" s="1907"/>
      <c r="E6" s="1907"/>
      <c r="F6" s="1907"/>
      <c r="G6" s="1907"/>
      <c r="H6" s="1907"/>
      <c r="I6" s="1907"/>
      <c r="J6" s="1907"/>
      <c r="K6" s="1907"/>
      <c r="L6" s="1907"/>
      <c r="M6" s="1907"/>
      <c r="N6" s="1936"/>
    </row>
    <row r="7" spans="1:14" s="533" customFormat="1" ht="14.25">
      <c r="A7" s="1246" t="s">
        <v>8</v>
      </c>
      <c r="B7" s="1888" t="str">
        <f>'REMOÇÃO DE PAV. ADUTORA'!B7:F7</f>
        <v>SETOR PIONEIRO - MUNICÍPIO DE APIACÁS</v>
      </c>
      <c r="C7" s="1889"/>
      <c r="D7" s="1889"/>
      <c r="E7" s="1889"/>
      <c r="F7" s="1889"/>
      <c r="G7" s="1889"/>
      <c r="H7" s="1889"/>
      <c r="I7" s="1889"/>
      <c r="J7" s="1889"/>
      <c r="K7" s="1889"/>
      <c r="L7" s="1889"/>
      <c r="M7" s="1889"/>
      <c r="N7" s="1929"/>
    </row>
    <row r="8" spans="1:14" s="533" customFormat="1" ht="14.25">
      <c r="A8" s="1246" t="s">
        <v>13672</v>
      </c>
      <c r="B8" s="1889" t="str">
        <f>'REMOÇÃO DE PAV. ADUTORA'!B8:F8</f>
        <v>PREFEITURA MUNICIPAL DE APIACÁS</v>
      </c>
      <c r="C8" s="1889"/>
      <c r="D8" s="1889"/>
      <c r="E8" s="1889"/>
      <c r="F8" s="1889"/>
      <c r="G8" s="1889"/>
      <c r="H8" s="1889"/>
      <c r="I8" s="1889"/>
      <c r="J8" s="1889"/>
      <c r="K8" s="1889"/>
      <c r="L8" s="1889"/>
      <c r="M8" s="1889"/>
      <c r="N8" s="1929"/>
    </row>
    <row r="9" spans="1:14" s="533" customFormat="1" ht="15.75" customHeight="1">
      <c r="A9" s="1247" t="s">
        <v>3064</v>
      </c>
      <c r="B9" s="1891">
        <f ca="1">'REMOÇÃO DE PAV. ADUTORA'!B9:F9</f>
        <v>45167</v>
      </c>
      <c r="C9" s="1930"/>
      <c r="D9" s="1930"/>
      <c r="E9" s="1930"/>
      <c r="F9" s="1930"/>
      <c r="G9" s="1930"/>
      <c r="H9" s="1930"/>
      <c r="I9" s="1930"/>
      <c r="J9" s="1930"/>
      <c r="K9" s="1930"/>
      <c r="L9" s="1930"/>
      <c r="M9" s="1930"/>
      <c r="N9" s="1931"/>
    </row>
    <row r="10" spans="1:14" s="533" customFormat="1" ht="22.5" customHeight="1">
      <c r="A10" s="1932" t="s">
        <v>14212</v>
      </c>
      <c r="B10" s="1895"/>
      <c r="C10" s="1895"/>
      <c r="D10" s="1895"/>
      <c r="E10" s="1895"/>
      <c r="F10" s="1895"/>
      <c r="G10" s="1895"/>
      <c r="H10" s="1895"/>
      <c r="I10" s="1895"/>
      <c r="J10" s="1895"/>
      <c r="K10" s="1895"/>
      <c r="L10" s="1895"/>
      <c r="M10" s="1895"/>
      <c r="N10" s="1933"/>
    </row>
    <row r="11" spans="1:14" s="535" customFormat="1" ht="12.75" customHeight="1">
      <c r="A11" s="1934" t="s">
        <v>11</v>
      </c>
      <c r="B11" s="1899" t="s">
        <v>13997</v>
      </c>
      <c r="C11" s="1900"/>
      <c r="D11" s="1903" t="s">
        <v>13998</v>
      </c>
      <c r="E11" s="1903" t="s">
        <v>13999</v>
      </c>
      <c r="F11" s="1903" t="s">
        <v>14007</v>
      </c>
      <c r="G11" s="1923" t="s">
        <v>14008</v>
      </c>
      <c r="H11" s="1923" t="s">
        <v>14009</v>
      </c>
      <c r="I11" s="1249"/>
      <c r="J11" s="1925" t="s">
        <v>14010</v>
      </c>
      <c r="K11" s="1926" t="s">
        <v>14011</v>
      </c>
      <c r="L11" s="1926"/>
      <c r="M11" s="1926" t="s">
        <v>14039</v>
      </c>
      <c r="N11" s="1926"/>
    </row>
    <row r="12" spans="1:14" s="535" customFormat="1" ht="25.5">
      <c r="A12" s="1934"/>
      <c r="B12" s="1899"/>
      <c r="C12" s="1900"/>
      <c r="D12" s="1904"/>
      <c r="E12" s="1904"/>
      <c r="F12" s="1904"/>
      <c r="G12" s="1925"/>
      <c r="H12" s="1924"/>
      <c r="I12" s="1250"/>
      <c r="J12" s="1925"/>
      <c r="K12" s="1231" t="s">
        <v>14013</v>
      </c>
      <c r="L12" s="1248" t="s">
        <v>14014</v>
      </c>
      <c r="M12" s="1231" t="s">
        <v>14013</v>
      </c>
      <c r="N12" s="1248" t="s">
        <v>14014</v>
      </c>
    </row>
    <row r="13" spans="1:14" s="535" customFormat="1" ht="22.5" customHeight="1">
      <c r="A13" s="1935"/>
      <c r="B13" s="1901"/>
      <c r="C13" s="1902"/>
      <c r="D13" s="1233" t="s">
        <v>3379</v>
      </c>
      <c r="E13" s="1233" t="s">
        <v>3379</v>
      </c>
      <c r="F13" s="1233" t="s">
        <v>3378</v>
      </c>
      <c r="G13" s="1233" t="s">
        <v>3379</v>
      </c>
      <c r="H13" s="1233" t="s">
        <v>14015</v>
      </c>
      <c r="I13" s="1250"/>
      <c r="J13" s="1924"/>
      <c r="K13" s="1233" t="s">
        <v>14016</v>
      </c>
      <c r="L13" s="1233" t="s">
        <v>14017</v>
      </c>
      <c r="M13" s="1233" t="s">
        <v>14016</v>
      </c>
      <c r="N13" s="1233" t="s">
        <v>14017</v>
      </c>
    </row>
    <row r="14" spans="1:14" s="535" customFormat="1" ht="20.100000000000001" customHeight="1">
      <c r="A14" s="1251">
        <v>1</v>
      </c>
      <c r="B14" s="1927" t="str">
        <f>'BASE REDE'!B14</f>
        <v>T19</v>
      </c>
      <c r="C14" s="1928"/>
      <c r="D14" s="1252">
        <f>'BASE REDE'!D14</f>
        <v>80.2</v>
      </c>
      <c r="E14" s="1252">
        <f>'BASE REDE'!E14</f>
        <v>0.6</v>
      </c>
      <c r="F14" s="1253">
        <f t="shared" ref="F14:F63" si="0">TRUNC(E14*D14,2)</f>
        <v>48.12</v>
      </c>
      <c r="G14" s="1254">
        <v>0.2</v>
      </c>
      <c r="H14" s="1255">
        <f t="shared" ref="H14:H63" si="1">TRUNC(F14*G14,3)</f>
        <v>9.6240000000000006</v>
      </c>
      <c r="I14" s="1256"/>
      <c r="J14" s="1254">
        <v>1.1499999999999999</v>
      </c>
      <c r="K14" s="1254">
        <f>'BASE REDE'!K14</f>
        <v>0</v>
      </c>
      <c r="L14" s="1255">
        <f t="shared" ref="L14:L63" si="2">TRUNC(H14*J14*K14,3)</f>
        <v>0</v>
      </c>
      <c r="M14" s="1254">
        <f>'BASE REDE'!M14</f>
        <v>33.6</v>
      </c>
      <c r="N14" s="1255">
        <f t="shared" ref="N14:N63" si="3">TRUNC(H14*J14*M14,3)</f>
        <v>371.87099999999998</v>
      </c>
    </row>
    <row r="15" spans="1:14" s="535" customFormat="1" ht="20.100000000000001" customHeight="1">
      <c r="A15" s="1257">
        <f>A14+1</f>
        <v>2</v>
      </c>
      <c r="B15" s="1919" t="str">
        <f>'BASE REDE'!B15</f>
        <v>T20</v>
      </c>
      <c r="C15" s="1920"/>
      <c r="D15" s="1258">
        <f>'BASE REDE'!D15</f>
        <v>34.130000000000003</v>
      </c>
      <c r="E15" s="1258">
        <f>'BASE REDE'!E15</f>
        <v>0.6</v>
      </c>
      <c r="F15" s="1259">
        <f t="shared" si="0"/>
        <v>20.47</v>
      </c>
      <c r="G15" s="1260">
        <v>0.2</v>
      </c>
      <c r="H15" s="1261">
        <f t="shared" si="1"/>
        <v>4.0940000000000003</v>
      </c>
      <c r="I15" s="1256"/>
      <c r="J15" s="1260">
        <v>1.1499999999999999</v>
      </c>
      <c r="K15" s="1260">
        <f>'BASE REDE'!K15</f>
        <v>0</v>
      </c>
      <c r="L15" s="1261">
        <f t="shared" si="2"/>
        <v>0</v>
      </c>
      <c r="M15" s="1260">
        <f>'BASE REDE'!M15</f>
        <v>33.6</v>
      </c>
      <c r="N15" s="1261">
        <f t="shared" si="3"/>
        <v>158.19200000000001</v>
      </c>
    </row>
    <row r="16" spans="1:14" s="535" customFormat="1" ht="20.100000000000001" customHeight="1">
      <c r="A16" s="1257">
        <f t="shared" ref="A16:A63" si="4">A15+1</f>
        <v>3</v>
      </c>
      <c r="B16" s="1919" t="str">
        <f>'BASE REDE'!B16</f>
        <v>T21</v>
      </c>
      <c r="C16" s="1920"/>
      <c r="D16" s="1258">
        <f>'BASE REDE'!D16</f>
        <v>74.87</v>
      </c>
      <c r="E16" s="1258">
        <f>'BASE REDE'!E16</f>
        <v>0.6</v>
      </c>
      <c r="F16" s="1259">
        <f t="shared" si="0"/>
        <v>44.92</v>
      </c>
      <c r="G16" s="1260">
        <v>0.2</v>
      </c>
      <c r="H16" s="1261">
        <f t="shared" si="1"/>
        <v>8.984</v>
      </c>
      <c r="I16" s="1256"/>
      <c r="J16" s="1260">
        <v>1.1499999999999999</v>
      </c>
      <c r="K16" s="1260">
        <f>'BASE REDE'!K16</f>
        <v>0</v>
      </c>
      <c r="L16" s="1261">
        <f t="shared" si="2"/>
        <v>0</v>
      </c>
      <c r="M16" s="1260">
        <f>'BASE REDE'!M16</f>
        <v>33.6</v>
      </c>
      <c r="N16" s="1261">
        <f t="shared" si="3"/>
        <v>347.14100000000002</v>
      </c>
    </row>
    <row r="17" spans="1:14" s="535" customFormat="1" ht="20.100000000000001" customHeight="1">
      <c r="A17" s="1257">
        <f t="shared" si="4"/>
        <v>4</v>
      </c>
      <c r="B17" s="1919" t="str">
        <f>'BASE REDE'!B17</f>
        <v>T22</v>
      </c>
      <c r="C17" s="1920"/>
      <c r="D17" s="1258">
        <f>'BASE REDE'!D17</f>
        <v>138.08000000000001</v>
      </c>
      <c r="E17" s="1258">
        <f>'BASE REDE'!E17</f>
        <v>0.6</v>
      </c>
      <c r="F17" s="1259">
        <f t="shared" si="0"/>
        <v>82.84</v>
      </c>
      <c r="G17" s="1260">
        <v>0.2</v>
      </c>
      <c r="H17" s="1261">
        <f t="shared" si="1"/>
        <v>16.568000000000001</v>
      </c>
      <c r="I17" s="1256"/>
      <c r="J17" s="1260">
        <v>1.1499999999999999</v>
      </c>
      <c r="K17" s="1260">
        <f>'BASE REDE'!K17</f>
        <v>0</v>
      </c>
      <c r="L17" s="1261">
        <f t="shared" si="2"/>
        <v>0</v>
      </c>
      <c r="M17" s="1260">
        <f>'BASE REDE'!M17</f>
        <v>33.6</v>
      </c>
      <c r="N17" s="1261">
        <f t="shared" si="3"/>
        <v>640.18700000000001</v>
      </c>
    </row>
    <row r="18" spans="1:14" s="535" customFormat="1" ht="20.100000000000001" customHeight="1">
      <c r="A18" s="1257">
        <f t="shared" si="4"/>
        <v>5</v>
      </c>
      <c r="B18" s="1919" t="str">
        <f>'BASE REDE'!B18</f>
        <v>T26</v>
      </c>
      <c r="C18" s="1920"/>
      <c r="D18" s="1258">
        <f>'BASE REDE'!D18</f>
        <v>122.83</v>
      </c>
      <c r="E18" s="1258">
        <f>'BASE REDE'!E18</f>
        <v>0.6</v>
      </c>
      <c r="F18" s="1259">
        <f t="shared" si="0"/>
        <v>73.69</v>
      </c>
      <c r="G18" s="1260">
        <v>0.2</v>
      </c>
      <c r="H18" s="1261">
        <f t="shared" si="1"/>
        <v>14.738</v>
      </c>
      <c r="I18" s="1256"/>
      <c r="J18" s="1260">
        <v>1.1499999999999999</v>
      </c>
      <c r="K18" s="1260">
        <f>'BASE REDE'!K18</f>
        <v>0</v>
      </c>
      <c r="L18" s="1261">
        <f t="shared" si="2"/>
        <v>0</v>
      </c>
      <c r="M18" s="1260">
        <f>'BASE REDE'!M18</f>
        <v>33.6</v>
      </c>
      <c r="N18" s="1261">
        <f t="shared" si="3"/>
        <v>569.476</v>
      </c>
    </row>
    <row r="19" spans="1:14" s="535" customFormat="1" ht="20.100000000000001" customHeight="1">
      <c r="A19" s="1257">
        <f t="shared" si="4"/>
        <v>6</v>
      </c>
      <c r="B19" s="1919" t="str">
        <f>'BASE REDE'!B19</f>
        <v>T27</v>
      </c>
      <c r="C19" s="1920"/>
      <c r="D19" s="1258">
        <f>'BASE REDE'!D19</f>
        <v>121.99</v>
      </c>
      <c r="E19" s="1258">
        <f>'BASE REDE'!E19</f>
        <v>0.6</v>
      </c>
      <c r="F19" s="1259">
        <f t="shared" si="0"/>
        <v>73.19</v>
      </c>
      <c r="G19" s="1260">
        <v>0.2</v>
      </c>
      <c r="H19" s="1261">
        <f t="shared" si="1"/>
        <v>14.638</v>
      </c>
      <c r="I19" s="1256"/>
      <c r="J19" s="1260">
        <v>1.1499999999999999</v>
      </c>
      <c r="K19" s="1260">
        <f>'BASE REDE'!K19</f>
        <v>0</v>
      </c>
      <c r="L19" s="1261">
        <f t="shared" si="2"/>
        <v>0</v>
      </c>
      <c r="M19" s="1260">
        <f>'BASE REDE'!M19</f>
        <v>33.6</v>
      </c>
      <c r="N19" s="1261">
        <f t="shared" si="3"/>
        <v>565.61199999999997</v>
      </c>
    </row>
    <row r="20" spans="1:14" s="535" customFormat="1" ht="20.100000000000001" customHeight="1">
      <c r="A20" s="1257">
        <f t="shared" si="4"/>
        <v>7</v>
      </c>
      <c r="B20" s="1919" t="str">
        <f>'BASE REDE'!B20</f>
        <v>T28</v>
      </c>
      <c r="C20" s="1920"/>
      <c r="D20" s="1258">
        <f>'BASE REDE'!D20</f>
        <v>126.41</v>
      </c>
      <c r="E20" s="1258">
        <f>'BASE REDE'!E20</f>
        <v>0.6</v>
      </c>
      <c r="F20" s="1259">
        <f t="shared" si="0"/>
        <v>75.84</v>
      </c>
      <c r="G20" s="1260">
        <v>0.2</v>
      </c>
      <c r="H20" s="1261">
        <f t="shared" si="1"/>
        <v>15.167999999999999</v>
      </c>
      <c r="I20" s="1256"/>
      <c r="J20" s="1260">
        <v>1.1499999999999999</v>
      </c>
      <c r="K20" s="1260">
        <f>'BASE REDE'!K20</f>
        <v>0</v>
      </c>
      <c r="L20" s="1261">
        <f t="shared" si="2"/>
        <v>0</v>
      </c>
      <c r="M20" s="1260">
        <f>'BASE REDE'!M20</f>
        <v>33.6</v>
      </c>
      <c r="N20" s="1261">
        <f t="shared" si="3"/>
        <v>586.09100000000001</v>
      </c>
    </row>
    <row r="21" spans="1:14" s="535" customFormat="1" ht="20.100000000000001" customHeight="1">
      <c r="A21" s="1257">
        <f t="shared" si="4"/>
        <v>8</v>
      </c>
      <c r="B21" s="1919" t="str">
        <f>'BASE REDE'!B21</f>
        <v>T29</v>
      </c>
      <c r="C21" s="1920"/>
      <c r="D21" s="1258">
        <f>'BASE REDE'!D21</f>
        <v>125.11</v>
      </c>
      <c r="E21" s="1258">
        <f>'BASE REDE'!E21</f>
        <v>0.6</v>
      </c>
      <c r="F21" s="1259">
        <f t="shared" si="0"/>
        <v>75.06</v>
      </c>
      <c r="G21" s="1260">
        <v>0.2</v>
      </c>
      <c r="H21" s="1261">
        <f t="shared" si="1"/>
        <v>15.012</v>
      </c>
      <c r="I21" s="1256"/>
      <c r="J21" s="1260">
        <v>1.1499999999999999</v>
      </c>
      <c r="K21" s="1260">
        <f>'BASE REDE'!K21</f>
        <v>0</v>
      </c>
      <c r="L21" s="1261">
        <f t="shared" si="2"/>
        <v>0</v>
      </c>
      <c r="M21" s="1260">
        <f>'BASE REDE'!M21</f>
        <v>33.6</v>
      </c>
      <c r="N21" s="1261">
        <f t="shared" si="3"/>
        <v>580.06299999999999</v>
      </c>
    </row>
    <row r="22" spans="1:14" s="535" customFormat="1" ht="20.100000000000001" customHeight="1">
      <c r="A22" s="1257">
        <f t="shared" si="4"/>
        <v>9</v>
      </c>
      <c r="B22" s="1919" t="str">
        <f>'BASE REDE'!B22</f>
        <v>T30</v>
      </c>
      <c r="C22" s="1920"/>
      <c r="D22" s="1258">
        <f>'BASE REDE'!D22</f>
        <v>79.38</v>
      </c>
      <c r="E22" s="1258">
        <f>'BASE REDE'!E22</f>
        <v>0.6</v>
      </c>
      <c r="F22" s="1259">
        <f t="shared" si="0"/>
        <v>47.62</v>
      </c>
      <c r="G22" s="1260">
        <v>0.2</v>
      </c>
      <c r="H22" s="1261">
        <f t="shared" si="1"/>
        <v>9.5239999999999991</v>
      </c>
      <c r="I22" s="1256"/>
      <c r="J22" s="1260">
        <v>1.1499999999999999</v>
      </c>
      <c r="K22" s="1260">
        <f>'BASE REDE'!K22</f>
        <v>0</v>
      </c>
      <c r="L22" s="1261">
        <f t="shared" si="2"/>
        <v>0</v>
      </c>
      <c r="M22" s="1260">
        <f>'BASE REDE'!M22</f>
        <v>33.6</v>
      </c>
      <c r="N22" s="1261">
        <f t="shared" si="3"/>
        <v>368.00700000000001</v>
      </c>
    </row>
    <row r="23" spans="1:14" s="535" customFormat="1" ht="20.100000000000001" customHeight="1">
      <c r="A23" s="1257">
        <f t="shared" si="4"/>
        <v>10</v>
      </c>
      <c r="B23" s="1919" t="str">
        <f>'BASE REDE'!B23</f>
        <v>T31</v>
      </c>
      <c r="C23" s="1920"/>
      <c r="D23" s="1258">
        <f>'BASE REDE'!D23</f>
        <v>86.34</v>
      </c>
      <c r="E23" s="1258">
        <f>'BASE REDE'!E23</f>
        <v>0.6</v>
      </c>
      <c r="F23" s="1259">
        <f t="shared" si="0"/>
        <v>51.8</v>
      </c>
      <c r="G23" s="1260">
        <v>0.2</v>
      </c>
      <c r="H23" s="1261">
        <f t="shared" si="1"/>
        <v>10.36</v>
      </c>
      <c r="I23" s="1256"/>
      <c r="J23" s="1260">
        <v>1.1499999999999999</v>
      </c>
      <c r="K23" s="1260">
        <f>'BASE REDE'!K23</f>
        <v>0</v>
      </c>
      <c r="L23" s="1261">
        <f t="shared" si="2"/>
        <v>0</v>
      </c>
      <c r="M23" s="1260">
        <f>'BASE REDE'!M23</f>
        <v>33.6</v>
      </c>
      <c r="N23" s="1261">
        <f t="shared" si="3"/>
        <v>400.31</v>
      </c>
    </row>
    <row r="24" spans="1:14" s="535" customFormat="1" ht="20.100000000000001" customHeight="1">
      <c r="A24" s="1257">
        <f t="shared" si="4"/>
        <v>11</v>
      </c>
      <c r="B24" s="1919" t="str">
        <f>'BASE REDE'!B24</f>
        <v>T32</v>
      </c>
      <c r="C24" s="1920"/>
      <c r="D24" s="1258">
        <f>'BASE REDE'!D24</f>
        <v>84.41</v>
      </c>
      <c r="E24" s="1258">
        <f>'BASE REDE'!E24</f>
        <v>0.6</v>
      </c>
      <c r="F24" s="1259">
        <f t="shared" si="0"/>
        <v>50.64</v>
      </c>
      <c r="G24" s="1260">
        <v>0.2</v>
      </c>
      <c r="H24" s="1261">
        <f t="shared" si="1"/>
        <v>10.128</v>
      </c>
      <c r="I24" s="1256"/>
      <c r="J24" s="1260">
        <v>1.1499999999999999</v>
      </c>
      <c r="K24" s="1260">
        <f>'BASE REDE'!K24</f>
        <v>0</v>
      </c>
      <c r="L24" s="1261">
        <f t="shared" si="2"/>
        <v>0</v>
      </c>
      <c r="M24" s="1260">
        <f>'BASE REDE'!M24</f>
        <v>33.6</v>
      </c>
      <c r="N24" s="1261">
        <f t="shared" si="3"/>
        <v>391.34500000000003</v>
      </c>
    </row>
    <row r="25" spans="1:14" s="535" customFormat="1" ht="20.100000000000001" customHeight="1">
      <c r="A25" s="1257">
        <f t="shared" si="4"/>
        <v>12</v>
      </c>
      <c r="B25" s="1919" t="str">
        <f>'BASE REDE'!B25</f>
        <v>T47</v>
      </c>
      <c r="C25" s="1920"/>
      <c r="D25" s="1258">
        <f>'BASE REDE'!D25</f>
        <v>85.01</v>
      </c>
      <c r="E25" s="1258">
        <f>'BASE REDE'!E25</f>
        <v>0.6</v>
      </c>
      <c r="F25" s="1259">
        <f t="shared" si="0"/>
        <v>51</v>
      </c>
      <c r="G25" s="1260">
        <v>0.2</v>
      </c>
      <c r="H25" s="1261">
        <f t="shared" si="1"/>
        <v>10.199999999999999</v>
      </c>
      <c r="I25" s="1256"/>
      <c r="J25" s="1260">
        <v>1.1499999999999999</v>
      </c>
      <c r="K25" s="1260">
        <f>'BASE REDE'!K25</f>
        <v>0</v>
      </c>
      <c r="L25" s="1261">
        <f t="shared" si="2"/>
        <v>0</v>
      </c>
      <c r="M25" s="1260">
        <f>'BASE REDE'!M25</f>
        <v>33.6</v>
      </c>
      <c r="N25" s="1261">
        <f t="shared" si="3"/>
        <v>394.12799999999999</v>
      </c>
    </row>
    <row r="26" spans="1:14" s="535" customFormat="1" ht="20.100000000000001" customHeight="1">
      <c r="A26" s="1257">
        <f t="shared" si="4"/>
        <v>13</v>
      </c>
      <c r="B26" s="1919" t="str">
        <f>'BASE REDE'!B26</f>
        <v>T48</v>
      </c>
      <c r="C26" s="1920"/>
      <c r="D26" s="1258">
        <f>'BASE REDE'!D26</f>
        <v>81.849999999999994</v>
      </c>
      <c r="E26" s="1258">
        <f>'BASE REDE'!E26</f>
        <v>0.6</v>
      </c>
      <c r="F26" s="1259">
        <f t="shared" si="0"/>
        <v>49.11</v>
      </c>
      <c r="G26" s="1260">
        <v>0.2</v>
      </c>
      <c r="H26" s="1261">
        <f t="shared" si="1"/>
        <v>9.8219999999999992</v>
      </c>
      <c r="I26" s="1256"/>
      <c r="J26" s="1260">
        <v>1.1499999999999999</v>
      </c>
      <c r="K26" s="1260">
        <f>'BASE REDE'!K26</f>
        <v>0</v>
      </c>
      <c r="L26" s="1261">
        <f t="shared" si="2"/>
        <v>0</v>
      </c>
      <c r="M26" s="1260">
        <f>'BASE REDE'!M26</f>
        <v>33.6</v>
      </c>
      <c r="N26" s="1261">
        <f t="shared" si="3"/>
        <v>379.52199999999999</v>
      </c>
    </row>
    <row r="27" spans="1:14" s="535" customFormat="1" ht="20.100000000000001" customHeight="1">
      <c r="A27" s="1257">
        <f t="shared" si="4"/>
        <v>14</v>
      </c>
      <c r="B27" s="1919" t="str">
        <f>'BASE REDE'!B27</f>
        <v>T49</v>
      </c>
      <c r="C27" s="1920"/>
      <c r="D27" s="1258">
        <f>'BASE REDE'!D27</f>
        <v>76.680000000000007</v>
      </c>
      <c r="E27" s="1258">
        <f>'BASE REDE'!E27</f>
        <v>0.6</v>
      </c>
      <c r="F27" s="1259">
        <f t="shared" si="0"/>
        <v>46</v>
      </c>
      <c r="G27" s="1260">
        <v>0.2</v>
      </c>
      <c r="H27" s="1261">
        <f t="shared" si="1"/>
        <v>9.1999999999999993</v>
      </c>
      <c r="I27" s="1256"/>
      <c r="J27" s="1260">
        <v>1.1499999999999999</v>
      </c>
      <c r="K27" s="1260">
        <f>'BASE REDE'!K27</f>
        <v>0</v>
      </c>
      <c r="L27" s="1261">
        <f t="shared" si="2"/>
        <v>0</v>
      </c>
      <c r="M27" s="1260">
        <f>'BASE REDE'!M27</f>
        <v>33.6</v>
      </c>
      <c r="N27" s="1261">
        <f t="shared" si="3"/>
        <v>355.488</v>
      </c>
    </row>
    <row r="28" spans="1:14" s="535" customFormat="1" ht="20.100000000000001" customHeight="1">
      <c r="A28" s="1257">
        <f t="shared" si="4"/>
        <v>15</v>
      </c>
      <c r="B28" s="1919" t="str">
        <f>'BASE REDE'!B28</f>
        <v>T50</v>
      </c>
      <c r="C28" s="1920"/>
      <c r="D28" s="1258">
        <f>'BASE REDE'!D28</f>
        <v>138.26</v>
      </c>
      <c r="E28" s="1258">
        <f>'BASE REDE'!E28</f>
        <v>0.6</v>
      </c>
      <c r="F28" s="1259">
        <f t="shared" si="0"/>
        <v>82.95</v>
      </c>
      <c r="G28" s="1260">
        <v>0.2</v>
      </c>
      <c r="H28" s="1261">
        <f t="shared" si="1"/>
        <v>16.59</v>
      </c>
      <c r="I28" s="1256"/>
      <c r="J28" s="1260">
        <v>1.1499999999999999</v>
      </c>
      <c r="K28" s="1260">
        <f>'BASE REDE'!K28</f>
        <v>0</v>
      </c>
      <c r="L28" s="1261">
        <f t="shared" si="2"/>
        <v>0</v>
      </c>
      <c r="M28" s="1260">
        <f>'BASE REDE'!M28</f>
        <v>33.6</v>
      </c>
      <c r="N28" s="1261">
        <f t="shared" si="3"/>
        <v>641.03700000000003</v>
      </c>
    </row>
    <row r="29" spans="1:14" s="535" customFormat="1" ht="20.100000000000001" customHeight="1">
      <c r="A29" s="1257">
        <f t="shared" si="4"/>
        <v>16</v>
      </c>
      <c r="B29" s="1919" t="str">
        <f>'BASE REDE'!B29</f>
        <v>T51</v>
      </c>
      <c r="C29" s="1920"/>
      <c r="D29" s="1258">
        <f>'BASE REDE'!D29</f>
        <v>136.72</v>
      </c>
      <c r="E29" s="1258">
        <f>'BASE REDE'!E29</f>
        <v>0.6</v>
      </c>
      <c r="F29" s="1259">
        <f t="shared" si="0"/>
        <v>82.03</v>
      </c>
      <c r="G29" s="1260">
        <v>0.2</v>
      </c>
      <c r="H29" s="1261">
        <f t="shared" si="1"/>
        <v>16.405999999999999</v>
      </c>
      <c r="I29" s="1256"/>
      <c r="J29" s="1260">
        <v>1.1499999999999999</v>
      </c>
      <c r="K29" s="1260">
        <f>'BASE REDE'!K29</f>
        <v>0</v>
      </c>
      <c r="L29" s="1261">
        <f t="shared" si="2"/>
        <v>0</v>
      </c>
      <c r="M29" s="1260">
        <f>'BASE REDE'!M29</f>
        <v>33.6</v>
      </c>
      <c r="N29" s="1261">
        <f t="shared" si="3"/>
        <v>633.92700000000002</v>
      </c>
    </row>
    <row r="30" spans="1:14" s="535" customFormat="1" ht="20.100000000000001" customHeight="1">
      <c r="A30" s="1257">
        <f t="shared" si="4"/>
        <v>17</v>
      </c>
      <c r="B30" s="1919" t="str">
        <f>'BASE REDE'!B30</f>
        <v>T52</v>
      </c>
      <c r="C30" s="1920"/>
      <c r="D30" s="1258">
        <f>'BASE REDE'!D30</f>
        <v>136.05000000000001</v>
      </c>
      <c r="E30" s="1258">
        <f>'BASE REDE'!E30</f>
        <v>0.6</v>
      </c>
      <c r="F30" s="1259">
        <f t="shared" si="0"/>
        <v>81.63</v>
      </c>
      <c r="G30" s="1260">
        <v>0.2</v>
      </c>
      <c r="H30" s="1261">
        <f t="shared" si="1"/>
        <v>16.326000000000001</v>
      </c>
      <c r="I30" s="1256"/>
      <c r="J30" s="1260">
        <v>1.1499999999999999</v>
      </c>
      <c r="K30" s="1260">
        <f>'BASE REDE'!K30</f>
        <v>0</v>
      </c>
      <c r="L30" s="1261">
        <f t="shared" si="2"/>
        <v>0</v>
      </c>
      <c r="M30" s="1260">
        <f>'BASE REDE'!M30</f>
        <v>33.6</v>
      </c>
      <c r="N30" s="1261">
        <f t="shared" si="3"/>
        <v>630.83600000000001</v>
      </c>
    </row>
    <row r="31" spans="1:14" s="535" customFormat="1" ht="20.100000000000001" customHeight="1">
      <c r="A31" s="1257">
        <f t="shared" si="4"/>
        <v>18</v>
      </c>
      <c r="B31" s="1919" t="str">
        <f>'BASE REDE'!B31</f>
        <v>T62</v>
      </c>
      <c r="C31" s="1920"/>
      <c r="D31" s="1258">
        <f>'BASE REDE'!D31</f>
        <v>98.83</v>
      </c>
      <c r="E31" s="1258">
        <f>'BASE REDE'!E31</f>
        <v>0.6</v>
      </c>
      <c r="F31" s="1259">
        <f t="shared" si="0"/>
        <v>59.29</v>
      </c>
      <c r="G31" s="1260">
        <v>0.2</v>
      </c>
      <c r="H31" s="1261">
        <f t="shared" si="1"/>
        <v>11.858000000000001</v>
      </c>
      <c r="I31" s="1256"/>
      <c r="J31" s="1260">
        <v>1.1499999999999999</v>
      </c>
      <c r="K31" s="1260">
        <f>'BASE REDE'!K31</f>
        <v>0</v>
      </c>
      <c r="L31" s="1261">
        <f t="shared" si="2"/>
        <v>0</v>
      </c>
      <c r="M31" s="1260">
        <f>'BASE REDE'!M31</f>
        <v>33.6</v>
      </c>
      <c r="N31" s="1261">
        <f t="shared" si="3"/>
        <v>458.19299999999998</v>
      </c>
    </row>
    <row r="32" spans="1:14" s="535" customFormat="1" ht="20.100000000000001" customHeight="1">
      <c r="A32" s="1257">
        <f t="shared" si="4"/>
        <v>19</v>
      </c>
      <c r="B32" s="1919" t="str">
        <f>'BASE REDE'!B32</f>
        <v>T63</v>
      </c>
      <c r="C32" s="1920"/>
      <c r="D32" s="1258">
        <f>'BASE REDE'!D32</f>
        <v>100.99</v>
      </c>
      <c r="E32" s="1258">
        <f>'BASE REDE'!E32</f>
        <v>0.6</v>
      </c>
      <c r="F32" s="1259">
        <f t="shared" si="0"/>
        <v>60.59</v>
      </c>
      <c r="G32" s="1260">
        <v>0.2</v>
      </c>
      <c r="H32" s="1261">
        <f t="shared" si="1"/>
        <v>12.118</v>
      </c>
      <c r="I32" s="1256"/>
      <c r="J32" s="1260">
        <v>1.1499999999999999</v>
      </c>
      <c r="K32" s="1260">
        <f>'BASE REDE'!K32</f>
        <v>0</v>
      </c>
      <c r="L32" s="1261">
        <f t="shared" si="2"/>
        <v>0</v>
      </c>
      <c r="M32" s="1260">
        <f>'BASE REDE'!M32</f>
        <v>33.6</v>
      </c>
      <c r="N32" s="1261">
        <f t="shared" si="3"/>
        <v>468.23899999999998</v>
      </c>
    </row>
    <row r="33" spans="1:14" s="535" customFormat="1" ht="20.100000000000001" customHeight="1">
      <c r="A33" s="1257">
        <f t="shared" si="4"/>
        <v>20</v>
      </c>
      <c r="B33" s="1919" t="str">
        <f>'BASE REDE'!B33</f>
        <v>T74</v>
      </c>
      <c r="C33" s="1920"/>
      <c r="D33" s="1258">
        <f>'BASE REDE'!D33</f>
        <v>91.21</v>
      </c>
      <c r="E33" s="1258">
        <f>'BASE REDE'!E33</f>
        <v>0.6</v>
      </c>
      <c r="F33" s="1259">
        <f t="shared" si="0"/>
        <v>54.72</v>
      </c>
      <c r="G33" s="1260">
        <v>0.2</v>
      </c>
      <c r="H33" s="1261">
        <f t="shared" si="1"/>
        <v>10.944000000000001</v>
      </c>
      <c r="I33" s="1256"/>
      <c r="J33" s="1260">
        <v>1.1499999999999999</v>
      </c>
      <c r="K33" s="1260">
        <f>'BASE REDE'!K33</f>
        <v>0</v>
      </c>
      <c r="L33" s="1261">
        <f t="shared" si="2"/>
        <v>0</v>
      </c>
      <c r="M33" s="1260">
        <f>'BASE REDE'!M33</f>
        <v>33.6</v>
      </c>
      <c r="N33" s="1261">
        <f t="shared" si="3"/>
        <v>422.87599999999998</v>
      </c>
    </row>
    <row r="34" spans="1:14" s="535" customFormat="1" ht="20.100000000000001" customHeight="1">
      <c r="A34" s="1257">
        <f t="shared" si="4"/>
        <v>21</v>
      </c>
      <c r="B34" s="1919" t="str">
        <f>'BASE REDE'!B34</f>
        <v>T75</v>
      </c>
      <c r="C34" s="1920"/>
      <c r="D34" s="1258">
        <f>'BASE REDE'!D34</f>
        <v>32.11</v>
      </c>
      <c r="E34" s="1258">
        <f>'BASE REDE'!E34</f>
        <v>0.6</v>
      </c>
      <c r="F34" s="1259">
        <f t="shared" si="0"/>
        <v>19.260000000000002</v>
      </c>
      <c r="G34" s="1260">
        <v>0.2</v>
      </c>
      <c r="H34" s="1261">
        <f t="shared" si="1"/>
        <v>3.8519999999999999</v>
      </c>
      <c r="I34" s="1256"/>
      <c r="J34" s="1260">
        <v>1.1499999999999999</v>
      </c>
      <c r="K34" s="1260">
        <f>'BASE REDE'!K34</f>
        <v>0</v>
      </c>
      <c r="L34" s="1261">
        <f t="shared" si="2"/>
        <v>0</v>
      </c>
      <c r="M34" s="1260">
        <f>'BASE REDE'!M34</f>
        <v>33.6</v>
      </c>
      <c r="N34" s="1261">
        <f t="shared" si="3"/>
        <v>148.84100000000001</v>
      </c>
    </row>
    <row r="35" spans="1:14" s="535" customFormat="1" ht="20.100000000000001" customHeight="1">
      <c r="A35" s="1257">
        <f t="shared" si="4"/>
        <v>22</v>
      </c>
      <c r="B35" s="1919" t="str">
        <f>'BASE REDE'!B35</f>
        <v>T76</v>
      </c>
      <c r="C35" s="1920"/>
      <c r="D35" s="1258">
        <f>'BASE REDE'!D35</f>
        <v>91.11</v>
      </c>
      <c r="E35" s="1258">
        <f>'BASE REDE'!E35</f>
        <v>0.6</v>
      </c>
      <c r="F35" s="1259">
        <f t="shared" si="0"/>
        <v>54.66</v>
      </c>
      <c r="G35" s="1260">
        <v>0.2</v>
      </c>
      <c r="H35" s="1261">
        <f t="shared" si="1"/>
        <v>10.932</v>
      </c>
      <c r="I35" s="1256"/>
      <c r="J35" s="1260">
        <v>1.1499999999999999</v>
      </c>
      <c r="K35" s="1260">
        <f>'BASE REDE'!K35</f>
        <v>0</v>
      </c>
      <c r="L35" s="1261">
        <f t="shared" si="2"/>
        <v>0</v>
      </c>
      <c r="M35" s="1260">
        <f>'BASE REDE'!M35</f>
        <v>33.6</v>
      </c>
      <c r="N35" s="1261">
        <f t="shared" si="3"/>
        <v>422.41199999999998</v>
      </c>
    </row>
    <row r="36" spans="1:14" s="535" customFormat="1" ht="20.100000000000001" customHeight="1">
      <c r="A36" s="1257">
        <f t="shared" si="4"/>
        <v>23</v>
      </c>
      <c r="B36" s="1919" t="str">
        <f>'BASE REDE'!B36</f>
        <v>T77</v>
      </c>
      <c r="C36" s="1920"/>
      <c r="D36" s="1258">
        <f>'BASE REDE'!D36</f>
        <v>34.11</v>
      </c>
      <c r="E36" s="1258">
        <f>'BASE REDE'!E36</f>
        <v>0.6</v>
      </c>
      <c r="F36" s="1259">
        <f t="shared" si="0"/>
        <v>20.46</v>
      </c>
      <c r="G36" s="1260">
        <v>0.2</v>
      </c>
      <c r="H36" s="1261">
        <f t="shared" si="1"/>
        <v>4.0919999999999996</v>
      </c>
      <c r="I36" s="1256"/>
      <c r="J36" s="1260">
        <v>1.1499999999999999</v>
      </c>
      <c r="K36" s="1260">
        <f>'BASE REDE'!K36</f>
        <v>0</v>
      </c>
      <c r="L36" s="1261">
        <f t="shared" si="2"/>
        <v>0</v>
      </c>
      <c r="M36" s="1260">
        <f>'BASE REDE'!M36</f>
        <v>33.6</v>
      </c>
      <c r="N36" s="1261">
        <f t="shared" si="3"/>
        <v>158.114</v>
      </c>
    </row>
    <row r="37" spans="1:14" s="535" customFormat="1" ht="20.100000000000001" customHeight="1">
      <c r="A37" s="1257">
        <f t="shared" si="4"/>
        <v>24</v>
      </c>
      <c r="B37" s="1919" t="str">
        <f>'BASE REDE'!B37</f>
        <v>T78</v>
      </c>
      <c r="C37" s="1920"/>
      <c r="D37" s="1258">
        <f>'BASE REDE'!D37</f>
        <v>111.92</v>
      </c>
      <c r="E37" s="1258">
        <f>'BASE REDE'!E37</f>
        <v>0.6</v>
      </c>
      <c r="F37" s="1259">
        <f t="shared" si="0"/>
        <v>67.150000000000006</v>
      </c>
      <c r="G37" s="1260">
        <v>0.2</v>
      </c>
      <c r="H37" s="1261">
        <f t="shared" si="1"/>
        <v>13.43</v>
      </c>
      <c r="I37" s="1256"/>
      <c r="J37" s="1260">
        <v>1.1499999999999999</v>
      </c>
      <c r="K37" s="1260">
        <f>'BASE REDE'!K37</f>
        <v>0</v>
      </c>
      <c r="L37" s="1261">
        <f t="shared" si="2"/>
        <v>0</v>
      </c>
      <c r="M37" s="1260">
        <f>'BASE REDE'!M37</f>
        <v>33.6</v>
      </c>
      <c r="N37" s="1261">
        <f t="shared" si="3"/>
        <v>518.93499999999995</v>
      </c>
    </row>
    <row r="38" spans="1:14" s="535" customFormat="1" ht="20.100000000000001" customHeight="1">
      <c r="A38" s="1257">
        <f t="shared" si="4"/>
        <v>25</v>
      </c>
      <c r="B38" s="1919" t="str">
        <f>'BASE REDE'!B38</f>
        <v>T79</v>
      </c>
      <c r="C38" s="1920"/>
      <c r="D38" s="1258">
        <f>'BASE REDE'!D38</f>
        <v>81.63</v>
      </c>
      <c r="E38" s="1258">
        <f>'BASE REDE'!E38</f>
        <v>0.6</v>
      </c>
      <c r="F38" s="1259">
        <f t="shared" si="0"/>
        <v>48.97</v>
      </c>
      <c r="G38" s="1260">
        <v>0.2</v>
      </c>
      <c r="H38" s="1261">
        <f t="shared" si="1"/>
        <v>9.7940000000000005</v>
      </c>
      <c r="I38" s="1256"/>
      <c r="J38" s="1260">
        <v>1.1499999999999999</v>
      </c>
      <c r="K38" s="1260">
        <f>'BASE REDE'!K38</f>
        <v>0</v>
      </c>
      <c r="L38" s="1261">
        <f t="shared" si="2"/>
        <v>0</v>
      </c>
      <c r="M38" s="1260">
        <f>'BASE REDE'!M38</f>
        <v>33.6</v>
      </c>
      <c r="N38" s="1261">
        <f t="shared" si="3"/>
        <v>378.44</v>
      </c>
    </row>
    <row r="39" spans="1:14" s="535" customFormat="1" ht="20.100000000000001" customHeight="1">
      <c r="A39" s="1257">
        <f t="shared" si="4"/>
        <v>26</v>
      </c>
      <c r="B39" s="1919" t="str">
        <f>'BASE REDE'!B39</f>
        <v>T80</v>
      </c>
      <c r="C39" s="1920"/>
      <c r="D39" s="1258">
        <f>'BASE REDE'!D39</f>
        <v>84.53</v>
      </c>
      <c r="E39" s="1258">
        <f>'BASE REDE'!E39</f>
        <v>0.6</v>
      </c>
      <c r="F39" s="1259">
        <f t="shared" si="0"/>
        <v>50.71</v>
      </c>
      <c r="G39" s="1260">
        <v>0.2</v>
      </c>
      <c r="H39" s="1261">
        <f t="shared" si="1"/>
        <v>10.141999999999999</v>
      </c>
      <c r="I39" s="1256"/>
      <c r="J39" s="1260">
        <v>1.1499999999999999</v>
      </c>
      <c r="K39" s="1260">
        <f>'BASE REDE'!K39</f>
        <v>0</v>
      </c>
      <c r="L39" s="1261">
        <f t="shared" si="2"/>
        <v>0</v>
      </c>
      <c r="M39" s="1260">
        <f>'BASE REDE'!M39</f>
        <v>33.6</v>
      </c>
      <c r="N39" s="1261">
        <f t="shared" si="3"/>
        <v>391.88600000000002</v>
      </c>
    </row>
    <row r="40" spans="1:14" s="535" customFormat="1" ht="20.100000000000001" customHeight="1">
      <c r="A40" s="1257">
        <f t="shared" si="4"/>
        <v>27</v>
      </c>
      <c r="B40" s="1919" t="str">
        <f>'BASE REDE'!B40</f>
        <v>T81</v>
      </c>
      <c r="C40" s="1920"/>
      <c r="D40" s="1258">
        <f>'BASE REDE'!D40</f>
        <v>81.08</v>
      </c>
      <c r="E40" s="1258">
        <f>'BASE REDE'!E40</f>
        <v>0.6</v>
      </c>
      <c r="F40" s="1259">
        <f t="shared" si="0"/>
        <v>48.64</v>
      </c>
      <c r="G40" s="1260">
        <v>0.2</v>
      </c>
      <c r="H40" s="1261">
        <f t="shared" si="1"/>
        <v>9.7279999999999998</v>
      </c>
      <c r="I40" s="1256"/>
      <c r="J40" s="1260">
        <v>1.1499999999999999</v>
      </c>
      <c r="K40" s="1260">
        <f>'BASE REDE'!K40</f>
        <v>0</v>
      </c>
      <c r="L40" s="1261">
        <f t="shared" si="2"/>
        <v>0</v>
      </c>
      <c r="M40" s="1260">
        <f>'BASE REDE'!M40</f>
        <v>33.6</v>
      </c>
      <c r="N40" s="1261">
        <f t="shared" si="3"/>
        <v>375.88900000000001</v>
      </c>
    </row>
    <row r="41" spans="1:14" s="535" customFormat="1" ht="20.100000000000001" customHeight="1">
      <c r="A41" s="1257">
        <f t="shared" si="4"/>
        <v>28</v>
      </c>
      <c r="B41" s="1919" t="str">
        <f>'BASE REDE'!B41</f>
        <v>T82</v>
      </c>
      <c r="C41" s="1920"/>
      <c r="D41" s="1258">
        <f>'BASE REDE'!D41</f>
        <v>90.34</v>
      </c>
      <c r="E41" s="1258">
        <f>'BASE REDE'!E41</f>
        <v>0.6</v>
      </c>
      <c r="F41" s="1259">
        <f t="shared" si="0"/>
        <v>54.2</v>
      </c>
      <c r="G41" s="1260">
        <v>0.2</v>
      </c>
      <c r="H41" s="1261">
        <f t="shared" si="1"/>
        <v>10.84</v>
      </c>
      <c r="I41" s="1256"/>
      <c r="J41" s="1260">
        <v>1.1499999999999999</v>
      </c>
      <c r="K41" s="1260">
        <f>'BASE REDE'!K41</f>
        <v>0</v>
      </c>
      <c r="L41" s="1261">
        <f t="shared" si="2"/>
        <v>0</v>
      </c>
      <c r="M41" s="1260">
        <f>'BASE REDE'!M41</f>
        <v>33.6</v>
      </c>
      <c r="N41" s="1261">
        <f t="shared" si="3"/>
        <v>418.85700000000003</v>
      </c>
    </row>
    <row r="42" spans="1:14" s="535" customFormat="1" ht="20.100000000000001" customHeight="1">
      <c r="A42" s="1257">
        <f t="shared" si="4"/>
        <v>29</v>
      </c>
      <c r="B42" s="1919" t="str">
        <f>'BASE REDE'!B42</f>
        <v>T83</v>
      </c>
      <c r="C42" s="1920"/>
      <c r="D42" s="1258">
        <f>'BASE REDE'!D42</f>
        <v>85.65</v>
      </c>
      <c r="E42" s="1258">
        <f>'BASE REDE'!E42</f>
        <v>0.6</v>
      </c>
      <c r="F42" s="1259">
        <f t="shared" si="0"/>
        <v>51.39</v>
      </c>
      <c r="G42" s="1260">
        <v>0.2</v>
      </c>
      <c r="H42" s="1261">
        <f t="shared" si="1"/>
        <v>10.278</v>
      </c>
      <c r="I42" s="1256"/>
      <c r="J42" s="1260">
        <v>1.1499999999999999</v>
      </c>
      <c r="K42" s="1260">
        <f>'BASE REDE'!K42</f>
        <v>0</v>
      </c>
      <c r="L42" s="1261">
        <f t="shared" si="2"/>
        <v>0</v>
      </c>
      <c r="M42" s="1260">
        <f>'BASE REDE'!M42</f>
        <v>33.6</v>
      </c>
      <c r="N42" s="1261">
        <f t="shared" si="3"/>
        <v>397.14100000000002</v>
      </c>
    </row>
    <row r="43" spans="1:14" s="535" customFormat="1" ht="20.100000000000001" customHeight="1">
      <c r="A43" s="1257">
        <f t="shared" si="4"/>
        <v>30</v>
      </c>
      <c r="B43" s="1919" t="str">
        <f>'BASE REDE'!B43</f>
        <v>T84</v>
      </c>
      <c r="C43" s="1920"/>
      <c r="D43" s="1258">
        <f>'BASE REDE'!D43</f>
        <v>87.44</v>
      </c>
      <c r="E43" s="1258">
        <f>'BASE REDE'!E43</f>
        <v>0.6</v>
      </c>
      <c r="F43" s="1259">
        <f t="shared" si="0"/>
        <v>52.46</v>
      </c>
      <c r="G43" s="1260">
        <v>0.2</v>
      </c>
      <c r="H43" s="1261">
        <f t="shared" si="1"/>
        <v>10.492000000000001</v>
      </c>
      <c r="I43" s="1256"/>
      <c r="J43" s="1260">
        <v>1.1499999999999999</v>
      </c>
      <c r="K43" s="1260">
        <f>'BASE REDE'!K43</f>
        <v>0</v>
      </c>
      <c r="L43" s="1261">
        <f t="shared" si="2"/>
        <v>0</v>
      </c>
      <c r="M43" s="1260">
        <f>'BASE REDE'!M43</f>
        <v>33.6</v>
      </c>
      <c r="N43" s="1261">
        <f t="shared" si="3"/>
        <v>405.41</v>
      </c>
    </row>
    <row r="44" spans="1:14" s="535" customFormat="1" ht="20.100000000000001" customHeight="1">
      <c r="A44" s="1257">
        <f t="shared" si="4"/>
        <v>31</v>
      </c>
      <c r="B44" s="1919" t="str">
        <f>'BASE REDE'!B44</f>
        <v>T85</v>
      </c>
      <c r="C44" s="1920"/>
      <c r="D44" s="1258">
        <f>'BASE REDE'!D44</f>
        <v>90.7</v>
      </c>
      <c r="E44" s="1258">
        <f>'BASE REDE'!E44</f>
        <v>0.6</v>
      </c>
      <c r="F44" s="1259">
        <f t="shared" si="0"/>
        <v>54.42</v>
      </c>
      <c r="G44" s="1260">
        <v>0.2</v>
      </c>
      <c r="H44" s="1261">
        <f t="shared" si="1"/>
        <v>10.884</v>
      </c>
      <c r="I44" s="1256"/>
      <c r="J44" s="1260">
        <v>1.1499999999999999</v>
      </c>
      <c r="K44" s="1260">
        <f>'BASE REDE'!K44</f>
        <v>0</v>
      </c>
      <c r="L44" s="1261">
        <f t="shared" si="2"/>
        <v>0</v>
      </c>
      <c r="M44" s="1260">
        <f>'BASE REDE'!M44</f>
        <v>33.6</v>
      </c>
      <c r="N44" s="1261">
        <f t="shared" si="3"/>
        <v>420.55700000000002</v>
      </c>
    </row>
    <row r="45" spans="1:14" s="535" customFormat="1" ht="20.100000000000001" customHeight="1">
      <c r="A45" s="1257">
        <f t="shared" si="4"/>
        <v>32</v>
      </c>
      <c r="B45" s="1919" t="str">
        <f>'BASE REDE'!B45</f>
        <v>T86</v>
      </c>
      <c r="C45" s="1920"/>
      <c r="D45" s="1258">
        <f>'BASE REDE'!D45</f>
        <v>78.069999999999993</v>
      </c>
      <c r="E45" s="1258">
        <f>'BASE REDE'!E45</f>
        <v>0.6</v>
      </c>
      <c r="F45" s="1259">
        <f t="shared" si="0"/>
        <v>46.84</v>
      </c>
      <c r="G45" s="1260">
        <v>0.2</v>
      </c>
      <c r="H45" s="1261">
        <f t="shared" si="1"/>
        <v>9.3680000000000003</v>
      </c>
      <c r="I45" s="1256"/>
      <c r="J45" s="1260">
        <v>1.1499999999999999</v>
      </c>
      <c r="K45" s="1260">
        <f>'BASE REDE'!K45</f>
        <v>0</v>
      </c>
      <c r="L45" s="1261">
        <f t="shared" si="2"/>
        <v>0</v>
      </c>
      <c r="M45" s="1260">
        <f>'BASE REDE'!M45</f>
        <v>33.6</v>
      </c>
      <c r="N45" s="1261">
        <f t="shared" si="3"/>
        <v>361.97899999999998</v>
      </c>
    </row>
    <row r="46" spans="1:14" s="535" customFormat="1" ht="20.100000000000001" customHeight="1">
      <c r="A46" s="1257">
        <f t="shared" si="4"/>
        <v>33</v>
      </c>
      <c r="B46" s="1919" t="str">
        <f>'BASE REDE'!B46</f>
        <v>T87</v>
      </c>
      <c r="C46" s="1920"/>
      <c r="D46" s="1258">
        <f>'BASE REDE'!D46</f>
        <v>84.54</v>
      </c>
      <c r="E46" s="1258">
        <f>'BASE REDE'!E46</f>
        <v>0.6</v>
      </c>
      <c r="F46" s="1259">
        <f t="shared" si="0"/>
        <v>50.72</v>
      </c>
      <c r="G46" s="1260">
        <v>0.2</v>
      </c>
      <c r="H46" s="1261">
        <f t="shared" si="1"/>
        <v>10.144</v>
      </c>
      <c r="I46" s="1256"/>
      <c r="J46" s="1260">
        <v>1.1499999999999999</v>
      </c>
      <c r="K46" s="1260">
        <f>'BASE REDE'!K46</f>
        <v>0</v>
      </c>
      <c r="L46" s="1261">
        <f t="shared" si="2"/>
        <v>0</v>
      </c>
      <c r="M46" s="1260">
        <f>'BASE REDE'!M46</f>
        <v>33.6</v>
      </c>
      <c r="N46" s="1261">
        <f t="shared" si="3"/>
        <v>391.964</v>
      </c>
    </row>
    <row r="47" spans="1:14" s="535" customFormat="1" ht="20.100000000000001" customHeight="1">
      <c r="A47" s="1257">
        <f t="shared" si="4"/>
        <v>34</v>
      </c>
      <c r="B47" s="1919" t="str">
        <f>'BASE REDE'!B47</f>
        <v>T88</v>
      </c>
      <c r="C47" s="1920"/>
      <c r="D47" s="1258">
        <f>'BASE REDE'!D47</f>
        <v>80.97</v>
      </c>
      <c r="E47" s="1258">
        <f>'BASE REDE'!E47</f>
        <v>0.6</v>
      </c>
      <c r="F47" s="1259">
        <f t="shared" si="0"/>
        <v>48.58</v>
      </c>
      <c r="G47" s="1260">
        <v>0.2</v>
      </c>
      <c r="H47" s="1261">
        <f t="shared" si="1"/>
        <v>9.7159999999999993</v>
      </c>
      <c r="I47" s="1256"/>
      <c r="J47" s="1260">
        <v>1.1499999999999999</v>
      </c>
      <c r="K47" s="1260">
        <f>'BASE REDE'!K47</f>
        <v>0</v>
      </c>
      <c r="L47" s="1261">
        <f t="shared" si="2"/>
        <v>0</v>
      </c>
      <c r="M47" s="1260">
        <f>'BASE REDE'!M47</f>
        <v>33.6</v>
      </c>
      <c r="N47" s="1261">
        <f t="shared" si="3"/>
        <v>375.42599999999999</v>
      </c>
    </row>
    <row r="48" spans="1:14" s="535" customFormat="1" ht="20.100000000000001" customHeight="1">
      <c r="A48" s="1257">
        <f t="shared" si="4"/>
        <v>35</v>
      </c>
      <c r="B48" s="1919" t="str">
        <f>'BASE REDE'!B48</f>
        <v>T99</v>
      </c>
      <c r="C48" s="1920"/>
      <c r="D48" s="1258">
        <f>'BASE REDE'!D48</f>
        <v>26.81</v>
      </c>
      <c r="E48" s="1258">
        <f>'BASE REDE'!E48</f>
        <v>0.6</v>
      </c>
      <c r="F48" s="1259">
        <f t="shared" si="0"/>
        <v>16.079999999999998</v>
      </c>
      <c r="G48" s="1260">
        <v>0.2</v>
      </c>
      <c r="H48" s="1261">
        <f t="shared" si="1"/>
        <v>3.2160000000000002</v>
      </c>
      <c r="I48" s="1256"/>
      <c r="J48" s="1260">
        <v>1.1499999999999999</v>
      </c>
      <c r="K48" s="1260">
        <f>'BASE REDE'!K48</f>
        <v>0</v>
      </c>
      <c r="L48" s="1261">
        <f t="shared" si="2"/>
        <v>0</v>
      </c>
      <c r="M48" s="1260">
        <f>'BASE REDE'!M48</f>
        <v>33.6</v>
      </c>
      <c r="N48" s="1261">
        <f t="shared" si="3"/>
        <v>124.26600000000001</v>
      </c>
    </row>
    <row r="49" spans="1:231" s="535" customFormat="1" ht="20.100000000000001" customHeight="1">
      <c r="A49" s="1257">
        <f t="shared" si="4"/>
        <v>36</v>
      </c>
      <c r="B49" s="1919" t="str">
        <f>'BASE REDE'!B49</f>
        <v>T101</v>
      </c>
      <c r="C49" s="1920"/>
      <c r="D49" s="1258">
        <f>'BASE REDE'!D49</f>
        <v>168.98</v>
      </c>
      <c r="E49" s="1258">
        <f>'BASE REDE'!E49</f>
        <v>0.6</v>
      </c>
      <c r="F49" s="1259">
        <f t="shared" si="0"/>
        <v>101.38</v>
      </c>
      <c r="G49" s="1260">
        <v>0.2</v>
      </c>
      <c r="H49" s="1261">
        <f t="shared" si="1"/>
        <v>20.276</v>
      </c>
      <c r="I49" s="1256"/>
      <c r="J49" s="1260">
        <v>1.1499999999999999</v>
      </c>
      <c r="K49" s="1260">
        <f>'BASE REDE'!K49</f>
        <v>0</v>
      </c>
      <c r="L49" s="1261">
        <f t="shared" si="2"/>
        <v>0</v>
      </c>
      <c r="M49" s="1260">
        <f>'BASE REDE'!M49</f>
        <v>33.6</v>
      </c>
      <c r="N49" s="1261">
        <f t="shared" si="3"/>
        <v>783.46400000000006</v>
      </c>
    </row>
    <row r="50" spans="1:231" s="535" customFormat="1" ht="20.100000000000001" customHeight="1">
      <c r="A50" s="1257">
        <f t="shared" si="4"/>
        <v>37</v>
      </c>
      <c r="B50" s="1919" t="str">
        <f>'BASE REDE'!B50</f>
        <v>T102</v>
      </c>
      <c r="C50" s="1920"/>
      <c r="D50" s="1258">
        <f>'BASE REDE'!D50</f>
        <v>135.36000000000001</v>
      </c>
      <c r="E50" s="1258">
        <f>'BASE REDE'!E50</f>
        <v>0.6</v>
      </c>
      <c r="F50" s="1259">
        <f t="shared" si="0"/>
        <v>81.209999999999994</v>
      </c>
      <c r="G50" s="1260">
        <v>0.2</v>
      </c>
      <c r="H50" s="1261">
        <f t="shared" si="1"/>
        <v>16.242000000000001</v>
      </c>
      <c r="I50" s="1256"/>
      <c r="J50" s="1260">
        <v>1.1499999999999999</v>
      </c>
      <c r="K50" s="1260">
        <f>'BASE REDE'!K50</f>
        <v>0</v>
      </c>
      <c r="L50" s="1261">
        <f t="shared" si="2"/>
        <v>0</v>
      </c>
      <c r="M50" s="1260">
        <f>'BASE REDE'!M50</f>
        <v>33.6</v>
      </c>
      <c r="N50" s="1261">
        <f t="shared" si="3"/>
        <v>627.59</v>
      </c>
    </row>
    <row r="51" spans="1:231" s="535" customFormat="1" ht="20.100000000000001" customHeight="1">
      <c r="A51" s="1257">
        <f t="shared" si="4"/>
        <v>38</v>
      </c>
      <c r="B51" s="1919" t="str">
        <f>'BASE REDE'!B51</f>
        <v>T105</v>
      </c>
      <c r="C51" s="1920"/>
      <c r="D51" s="1258">
        <f>'BASE REDE'!D51</f>
        <v>97.63</v>
      </c>
      <c r="E51" s="1258">
        <f>'BASE REDE'!E51</f>
        <v>0.6</v>
      </c>
      <c r="F51" s="1259">
        <f t="shared" si="0"/>
        <v>58.57</v>
      </c>
      <c r="G51" s="1260">
        <v>0.2</v>
      </c>
      <c r="H51" s="1261">
        <f t="shared" si="1"/>
        <v>11.714</v>
      </c>
      <c r="I51" s="1256"/>
      <c r="J51" s="1260">
        <v>1.1499999999999999</v>
      </c>
      <c r="K51" s="1260">
        <f>'BASE REDE'!K51</f>
        <v>0</v>
      </c>
      <c r="L51" s="1261">
        <f t="shared" si="2"/>
        <v>0</v>
      </c>
      <c r="M51" s="1260">
        <f>'BASE REDE'!M51</f>
        <v>33.6</v>
      </c>
      <c r="N51" s="1261">
        <f t="shared" si="3"/>
        <v>452.62799999999999</v>
      </c>
    </row>
    <row r="52" spans="1:231" s="535" customFormat="1" ht="20.100000000000001" customHeight="1">
      <c r="A52" s="1257">
        <f t="shared" si="4"/>
        <v>39</v>
      </c>
      <c r="B52" s="1919" t="str">
        <f>'BASE REDE'!B52</f>
        <v>T106</v>
      </c>
      <c r="C52" s="1920"/>
      <c r="D52" s="1258">
        <f>'BASE REDE'!D52</f>
        <v>171.87</v>
      </c>
      <c r="E52" s="1258">
        <f>'BASE REDE'!E52</f>
        <v>0.6</v>
      </c>
      <c r="F52" s="1259">
        <f t="shared" si="0"/>
        <v>103.12</v>
      </c>
      <c r="G52" s="1260">
        <v>0.2</v>
      </c>
      <c r="H52" s="1261">
        <f t="shared" si="1"/>
        <v>20.623999999999999</v>
      </c>
      <c r="I52" s="1256"/>
      <c r="J52" s="1260">
        <v>1.1499999999999999</v>
      </c>
      <c r="K52" s="1260">
        <f>'BASE REDE'!K52</f>
        <v>0</v>
      </c>
      <c r="L52" s="1261">
        <f t="shared" si="2"/>
        <v>0</v>
      </c>
      <c r="M52" s="1260">
        <f>'BASE REDE'!M52</f>
        <v>33.6</v>
      </c>
      <c r="N52" s="1261">
        <f t="shared" si="3"/>
        <v>796.91099999999994</v>
      </c>
    </row>
    <row r="53" spans="1:231" s="535" customFormat="1" ht="20.100000000000001" customHeight="1">
      <c r="A53" s="1257">
        <f t="shared" si="4"/>
        <v>40</v>
      </c>
      <c r="B53" s="1919" t="str">
        <f>'BASE REDE'!B53</f>
        <v>T107</v>
      </c>
      <c r="C53" s="1920"/>
      <c r="D53" s="1258">
        <f>'BASE REDE'!D53</f>
        <v>89.68</v>
      </c>
      <c r="E53" s="1258">
        <f>'BASE REDE'!E53</f>
        <v>0.6</v>
      </c>
      <c r="F53" s="1259">
        <f t="shared" si="0"/>
        <v>53.8</v>
      </c>
      <c r="G53" s="1260">
        <v>0.2</v>
      </c>
      <c r="H53" s="1261">
        <f t="shared" si="1"/>
        <v>10.76</v>
      </c>
      <c r="I53" s="1256"/>
      <c r="J53" s="1260">
        <v>1.1499999999999999</v>
      </c>
      <c r="K53" s="1260">
        <f>'BASE REDE'!K53</f>
        <v>0</v>
      </c>
      <c r="L53" s="1261">
        <f t="shared" si="2"/>
        <v>0</v>
      </c>
      <c r="M53" s="1260">
        <f>'BASE REDE'!M53</f>
        <v>33.6</v>
      </c>
      <c r="N53" s="1261">
        <f t="shared" si="3"/>
        <v>415.76600000000002</v>
      </c>
    </row>
    <row r="54" spans="1:231" s="535" customFormat="1" ht="20.100000000000001" customHeight="1">
      <c r="A54" s="1257">
        <f t="shared" si="4"/>
        <v>41</v>
      </c>
      <c r="B54" s="1919" t="str">
        <f>'BASE REDE'!B54</f>
        <v>T108</v>
      </c>
      <c r="C54" s="1920"/>
      <c r="D54" s="1258">
        <f>'BASE REDE'!D54</f>
        <v>96.97</v>
      </c>
      <c r="E54" s="1258">
        <f>'BASE REDE'!E54</f>
        <v>0.6</v>
      </c>
      <c r="F54" s="1259">
        <f t="shared" si="0"/>
        <v>58.18</v>
      </c>
      <c r="G54" s="1260">
        <v>0.2</v>
      </c>
      <c r="H54" s="1261">
        <f t="shared" si="1"/>
        <v>11.635999999999999</v>
      </c>
      <c r="I54" s="1256"/>
      <c r="J54" s="1260">
        <v>1.1499999999999999</v>
      </c>
      <c r="K54" s="1260">
        <f>'BASE REDE'!K54</f>
        <v>0</v>
      </c>
      <c r="L54" s="1261">
        <f t="shared" si="2"/>
        <v>0</v>
      </c>
      <c r="M54" s="1260">
        <f>'BASE REDE'!M54</f>
        <v>33.6</v>
      </c>
      <c r="N54" s="1261">
        <f t="shared" si="3"/>
        <v>449.61500000000001</v>
      </c>
    </row>
    <row r="55" spans="1:231" s="535" customFormat="1" ht="20.100000000000001" customHeight="1">
      <c r="A55" s="1257">
        <f t="shared" si="4"/>
        <v>42</v>
      </c>
      <c r="B55" s="1919" t="str">
        <f>'BASE REDE'!B55</f>
        <v>T109</v>
      </c>
      <c r="C55" s="1920"/>
      <c r="D55" s="1258">
        <f>'BASE REDE'!D55</f>
        <v>101.54</v>
      </c>
      <c r="E55" s="1258">
        <f>'BASE REDE'!E55</f>
        <v>0.6</v>
      </c>
      <c r="F55" s="1259">
        <f t="shared" si="0"/>
        <v>60.92</v>
      </c>
      <c r="G55" s="1260">
        <v>0.2</v>
      </c>
      <c r="H55" s="1261">
        <f t="shared" si="1"/>
        <v>12.183999999999999</v>
      </c>
      <c r="I55" s="1256"/>
      <c r="J55" s="1260">
        <v>1.1499999999999999</v>
      </c>
      <c r="K55" s="1260">
        <f>'BASE REDE'!K55</f>
        <v>0</v>
      </c>
      <c r="L55" s="1261">
        <f t="shared" si="2"/>
        <v>0</v>
      </c>
      <c r="M55" s="1260">
        <f>'BASE REDE'!M55</f>
        <v>33.6</v>
      </c>
      <c r="N55" s="1261">
        <f t="shared" si="3"/>
        <v>470.78899999999999</v>
      </c>
    </row>
    <row r="56" spans="1:231" s="535" customFormat="1" ht="20.100000000000001" customHeight="1">
      <c r="A56" s="1257">
        <f t="shared" si="4"/>
        <v>43</v>
      </c>
      <c r="B56" s="1919" t="str">
        <f>'BASE REDE'!B56</f>
        <v>T115</v>
      </c>
      <c r="C56" s="1920"/>
      <c r="D56" s="1258">
        <f>'BASE REDE'!D56</f>
        <v>83.97</v>
      </c>
      <c r="E56" s="1258">
        <f>'BASE REDE'!E56</f>
        <v>0.6</v>
      </c>
      <c r="F56" s="1259">
        <f t="shared" si="0"/>
        <v>50.38</v>
      </c>
      <c r="G56" s="1260">
        <v>0.2</v>
      </c>
      <c r="H56" s="1261">
        <f t="shared" si="1"/>
        <v>10.076000000000001</v>
      </c>
      <c r="I56" s="1256"/>
      <c r="J56" s="1260">
        <v>1.1499999999999999</v>
      </c>
      <c r="K56" s="1260">
        <f>'BASE REDE'!K56</f>
        <v>0</v>
      </c>
      <c r="L56" s="1261">
        <f t="shared" si="2"/>
        <v>0</v>
      </c>
      <c r="M56" s="1260">
        <f>'BASE REDE'!M56</f>
        <v>33.6</v>
      </c>
      <c r="N56" s="1261">
        <f t="shared" si="3"/>
        <v>389.33600000000001</v>
      </c>
    </row>
    <row r="57" spans="1:231" s="535" customFormat="1" ht="20.100000000000001" customHeight="1">
      <c r="A57" s="1257">
        <f t="shared" si="4"/>
        <v>44</v>
      </c>
      <c r="B57" s="1919" t="str">
        <f>'BASE REDE'!B57</f>
        <v>T116</v>
      </c>
      <c r="C57" s="1920"/>
      <c r="D57" s="1258">
        <f>'BASE REDE'!D57</f>
        <v>93.71</v>
      </c>
      <c r="E57" s="1258">
        <f>'BASE REDE'!E57</f>
        <v>0.6</v>
      </c>
      <c r="F57" s="1259">
        <f t="shared" si="0"/>
        <v>56.22</v>
      </c>
      <c r="G57" s="1260">
        <v>0.2</v>
      </c>
      <c r="H57" s="1261">
        <f t="shared" si="1"/>
        <v>11.244</v>
      </c>
      <c r="I57" s="1256"/>
      <c r="J57" s="1260">
        <v>1.1499999999999999</v>
      </c>
      <c r="K57" s="1260">
        <f>'BASE REDE'!K57</f>
        <v>0</v>
      </c>
      <c r="L57" s="1261">
        <f t="shared" si="2"/>
        <v>0</v>
      </c>
      <c r="M57" s="1260">
        <f>'BASE REDE'!M57</f>
        <v>33.6</v>
      </c>
      <c r="N57" s="1261">
        <f t="shared" si="3"/>
        <v>434.46800000000002</v>
      </c>
    </row>
    <row r="58" spans="1:231" s="535" customFormat="1" ht="20.100000000000001" customHeight="1">
      <c r="A58" s="1257">
        <f t="shared" si="4"/>
        <v>45</v>
      </c>
      <c r="B58" s="1919" t="str">
        <f>'BASE REDE'!B58</f>
        <v>T117</v>
      </c>
      <c r="C58" s="1920"/>
      <c r="D58" s="1258">
        <f>'BASE REDE'!D58</f>
        <v>79.19</v>
      </c>
      <c r="E58" s="1258">
        <f>'BASE REDE'!E58</f>
        <v>0.6</v>
      </c>
      <c r="F58" s="1259">
        <f t="shared" si="0"/>
        <v>47.51</v>
      </c>
      <c r="G58" s="1260">
        <v>0.2</v>
      </c>
      <c r="H58" s="1261">
        <f t="shared" si="1"/>
        <v>9.5020000000000007</v>
      </c>
      <c r="I58" s="1256"/>
      <c r="J58" s="1260">
        <v>1.1499999999999999</v>
      </c>
      <c r="K58" s="1260">
        <f>'BASE REDE'!K58</f>
        <v>0</v>
      </c>
      <c r="L58" s="1261">
        <f t="shared" si="2"/>
        <v>0</v>
      </c>
      <c r="M58" s="1260">
        <f>'BASE REDE'!M58</f>
        <v>33.6</v>
      </c>
      <c r="N58" s="1261">
        <f t="shared" si="3"/>
        <v>367.15699999999998</v>
      </c>
    </row>
    <row r="59" spans="1:231" s="535" customFormat="1" ht="20.100000000000001" customHeight="1">
      <c r="A59" s="1257">
        <f t="shared" si="4"/>
        <v>46</v>
      </c>
      <c r="B59" s="1919" t="str">
        <f>'BASE REDE'!B59</f>
        <v>T118</v>
      </c>
      <c r="C59" s="1920"/>
      <c r="D59" s="1258">
        <f>'BASE REDE'!D59</f>
        <v>81.53</v>
      </c>
      <c r="E59" s="1258">
        <f>'BASE REDE'!E59</f>
        <v>0.6</v>
      </c>
      <c r="F59" s="1259">
        <f t="shared" si="0"/>
        <v>48.91</v>
      </c>
      <c r="G59" s="1260">
        <v>0.2</v>
      </c>
      <c r="H59" s="1261">
        <f t="shared" si="1"/>
        <v>9.782</v>
      </c>
      <c r="I59" s="1256"/>
      <c r="J59" s="1260">
        <v>1.1499999999999999</v>
      </c>
      <c r="K59" s="1260">
        <f>'BASE REDE'!K59</f>
        <v>0</v>
      </c>
      <c r="L59" s="1261">
        <f t="shared" si="2"/>
        <v>0</v>
      </c>
      <c r="M59" s="1260">
        <f>'BASE REDE'!M59</f>
        <v>33.6</v>
      </c>
      <c r="N59" s="1261">
        <f t="shared" si="3"/>
        <v>377.976</v>
      </c>
    </row>
    <row r="60" spans="1:231" s="535" customFormat="1" ht="20.100000000000001" customHeight="1">
      <c r="A60" s="1257">
        <f t="shared" si="4"/>
        <v>47</v>
      </c>
      <c r="B60" s="1919" t="str">
        <f>'BASE REDE'!B60</f>
        <v>T119</v>
      </c>
      <c r="C60" s="1920"/>
      <c r="D60" s="1258">
        <f>'BASE REDE'!D60</f>
        <v>83.43</v>
      </c>
      <c r="E60" s="1258">
        <f>'BASE REDE'!E60</f>
        <v>0.6</v>
      </c>
      <c r="F60" s="1259">
        <f t="shared" si="0"/>
        <v>50.05</v>
      </c>
      <c r="G60" s="1260">
        <v>0.2</v>
      </c>
      <c r="H60" s="1261">
        <f t="shared" si="1"/>
        <v>10.01</v>
      </c>
      <c r="I60" s="1256"/>
      <c r="J60" s="1260">
        <v>1.1499999999999999</v>
      </c>
      <c r="K60" s="1260">
        <f>'BASE REDE'!K60</f>
        <v>0</v>
      </c>
      <c r="L60" s="1261">
        <f t="shared" si="2"/>
        <v>0</v>
      </c>
      <c r="M60" s="1260">
        <f>'BASE REDE'!M60</f>
        <v>33.6</v>
      </c>
      <c r="N60" s="1261">
        <f t="shared" si="3"/>
        <v>386.786</v>
      </c>
    </row>
    <row r="61" spans="1:231" s="535" customFormat="1" ht="20.100000000000001" customHeight="1">
      <c r="A61" s="1257">
        <f t="shared" si="4"/>
        <v>48</v>
      </c>
      <c r="B61" s="1919" t="str">
        <f>'BASE REDE'!B61</f>
        <v>T124</v>
      </c>
      <c r="C61" s="1920"/>
      <c r="D61" s="1258">
        <f>'BASE REDE'!D61</f>
        <v>71.14</v>
      </c>
      <c r="E61" s="1258">
        <f>'BASE REDE'!E61</f>
        <v>0.6</v>
      </c>
      <c r="F61" s="1259">
        <f t="shared" si="0"/>
        <v>42.68</v>
      </c>
      <c r="G61" s="1260">
        <v>0.2</v>
      </c>
      <c r="H61" s="1261">
        <f t="shared" si="1"/>
        <v>8.5359999999999996</v>
      </c>
      <c r="I61" s="1256"/>
      <c r="J61" s="1260">
        <v>1.1499999999999999</v>
      </c>
      <c r="K61" s="1260">
        <f>'BASE REDE'!K61</f>
        <v>0</v>
      </c>
      <c r="L61" s="1261">
        <f t="shared" si="2"/>
        <v>0</v>
      </c>
      <c r="M61" s="1260">
        <f>'BASE REDE'!M61</f>
        <v>33.6</v>
      </c>
      <c r="N61" s="1261">
        <f t="shared" si="3"/>
        <v>329.83100000000002</v>
      </c>
    </row>
    <row r="62" spans="1:231" s="535" customFormat="1" ht="20.100000000000001" customHeight="1">
      <c r="A62" s="1257">
        <f t="shared" si="4"/>
        <v>49</v>
      </c>
      <c r="B62" s="1919" t="str">
        <f>'BASE REDE'!B62</f>
        <v>T125</v>
      </c>
      <c r="C62" s="1920"/>
      <c r="D62" s="1258">
        <f>'BASE REDE'!D62</f>
        <v>126.75</v>
      </c>
      <c r="E62" s="1258">
        <f>'BASE REDE'!E62</f>
        <v>0.6</v>
      </c>
      <c r="F62" s="1259">
        <f t="shared" si="0"/>
        <v>76.05</v>
      </c>
      <c r="G62" s="1260">
        <v>0.2</v>
      </c>
      <c r="H62" s="1261">
        <f t="shared" si="1"/>
        <v>15.21</v>
      </c>
      <c r="I62" s="1256"/>
      <c r="J62" s="1260">
        <v>1.1499999999999999</v>
      </c>
      <c r="K62" s="1260">
        <f>'BASE REDE'!K62</f>
        <v>0</v>
      </c>
      <c r="L62" s="1261">
        <f t="shared" si="2"/>
        <v>0</v>
      </c>
      <c r="M62" s="1260">
        <f>'BASE REDE'!M62</f>
        <v>33.6</v>
      </c>
      <c r="N62" s="1261">
        <f t="shared" si="3"/>
        <v>587.71400000000006</v>
      </c>
    </row>
    <row r="63" spans="1:231" s="535" customFormat="1" ht="20.100000000000001" customHeight="1">
      <c r="A63" s="1257">
        <f t="shared" si="4"/>
        <v>50</v>
      </c>
      <c r="B63" s="1919" t="str">
        <f>'BASE REDE'!B63</f>
        <v>T126</v>
      </c>
      <c r="C63" s="1920"/>
      <c r="D63" s="1258">
        <f>'BASE REDE'!D63</f>
        <v>120.18</v>
      </c>
      <c r="E63" s="1258">
        <f>'BASE REDE'!E63</f>
        <v>0.6</v>
      </c>
      <c r="F63" s="1259">
        <f t="shared" si="0"/>
        <v>72.099999999999994</v>
      </c>
      <c r="G63" s="1260">
        <v>0.2</v>
      </c>
      <c r="H63" s="1261">
        <f t="shared" si="1"/>
        <v>14.42</v>
      </c>
      <c r="I63" s="1256"/>
      <c r="J63" s="1260">
        <v>1.1499999999999999</v>
      </c>
      <c r="K63" s="1260">
        <f>'BASE REDE'!K63</f>
        <v>0</v>
      </c>
      <c r="L63" s="1261">
        <f t="shared" si="2"/>
        <v>0</v>
      </c>
      <c r="M63" s="1260">
        <f>'BASE REDE'!M63</f>
        <v>33.6</v>
      </c>
      <c r="N63" s="1261">
        <f t="shared" si="3"/>
        <v>557.18799999999999</v>
      </c>
    </row>
    <row r="64" spans="1:231" s="220" customFormat="1" ht="20.100000000000001" customHeight="1">
      <c r="A64" s="1921" t="s">
        <v>14005</v>
      </c>
      <c r="B64" s="1922"/>
      <c r="C64" s="1922"/>
      <c r="D64" s="1262">
        <f>SUM(D14:D63)</f>
        <v>4762.2900000000009</v>
      </c>
      <c r="E64" s="1263"/>
      <c r="F64" s="1262">
        <f>SUM(F14:F63)</f>
        <v>2857.1300000000006</v>
      </c>
      <c r="G64" s="1262"/>
      <c r="H64" s="1262">
        <f>SUM(H14:H63)</f>
        <v>571.42600000000004</v>
      </c>
      <c r="I64" s="1264"/>
      <c r="J64" s="1262"/>
      <c r="K64" s="1262"/>
      <c r="L64" s="1262">
        <f>TRUNC(SUM(L14:L63),2)</f>
        <v>0</v>
      </c>
      <c r="M64" s="1262"/>
      <c r="N64" s="1262">
        <f>TRUNC(SUM(N14:N63),2)</f>
        <v>22079.87</v>
      </c>
      <c r="O64" s="433"/>
      <c r="P64" s="433"/>
      <c r="Q64" s="1242"/>
      <c r="R64" s="1243"/>
      <c r="S64" s="433"/>
      <c r="T64" s="433"/>
      <c r="U64" s="433"/>
      <c r="V64" s="433"/>
      <c r="W64" s="1242"/>
      <c r="X64" s="1243"/>
      <c r="Y64" s="433"/>
      <c r="Z64" s="433"/>
      <c r="AA64" s="433"/>
      <c r="AB64" s="433"/>
      <c r="AC64" s="1242"/>
      <c r="AD64" s="1243"/>
      <c r="AE64" s="433"/>
      <c r="AF64" s="433"/>
      <c r="AG64" s="433"/>
      <c r="AH64" s="433"/>
      <c r="AI64" s="1242"/>
      <c r="AJ64" s="1243"/>
      <c r="AK64" s="433"/>
      <c r="AL64" s="433"/>
      <c r="AM64" s="433"/>
      <c r="AN64" s="433"/>
      <c r="AO64" s="1242"/>
      <c r="AP64" s="1243"/>
      <c r="AQ64" s="433"/>
      <c r="AR64" s="433"/>
      <c r="AS64" s="433"/>
      <c r="AT64" s="433"/>
      <c r="AU64" s="1242"/>
      <c r="AV64" s="1243"/>
      <c r="AW64" s="433"/>
      <c r="AX64" s="433"/>
      <c r="AY64" s="433"/>
      <c r="AZ64" s="433"/>
      <c r="BA64" s="1242"/>
      <c r="BB64" s="1243"/>
      <c r="BC64" s="433"/>
      <c r="BD64" s="433"/>
      <c r="BE64" s="433"/>
      <c r="BF64" s="433"/>
      <c r="BG64" s="1242"/>
      <c r="BH64" s="1243"/>
      <c r="BI64" s="433"/>
      <c r="BJ64" s="433"/>
      <c r="BK64" s="433"/>
      <c r="BL64" s="433"/>
      <c r="BM64" s="1242"/>
      <c r="BN64" s="1243"/>
      <c r="BO64" s="433"/>
      <c r="BP64" s="433"/>
      <c r="BQ64" s="433"/>
      <c r="BR64" s="433"/>
      <c r="BS64" s="1242"/>
      <c r="BT64" s="1243"/>
      <c r="BU64" s="433"/>
      <c r="BV64" s="433"/>
      <c r="BW64" s="433"/>
      <c r="BX64" s="433"/>
      <c r="BY64" s="1242"/>
      <c r="BZ64" s="1243"/>
      <c r="CA64" s="433"/>
      <c r="CB64" s="433"/>
      <c r="CC64" s="433"/>
      <c r="CD64" s="433"/>
      <c r="CE64" s="1242"/>
      <c r="CF64" s="1243"/>
      <c r="CG64" s="433"/>
      <c r="CH64" s="433"/>
      <c r="CI64" s="433"/>
      <c r="CJ64" s="433"/>
      <c r="CK64" s="1242"/>
      <c r="CL64" s="1243"/>
      <c r="CM64" s="433"/>
      <c r="CN64" s="433"/>
      <c r="CO64" s="433"/>
      <c r="CP64" s="433"/>
      <c r="CQ64" s="1242"/>
      <c r="CR64" s="1243"/>
      <c r="CS64" s="433"/>
      <c r="CT64" s="433"/>
      <c r="CU64" s="433"/>
      <c r="CV64" s="433"/>
      <c r="CW64" s="1242"/>
      <c r="CX64" s="1243"/>
      <c r="CY64" s="433"/>
      <c r="CZ64" s="433"/>
      <c r="DA64" s="433"/>
      <c r="DB64" s="433"/>
      <c r="DC64" s="1242"/>
      <c r="DD64" s="1243"/>
      <c r="DE64" s="433"/>
      <c r="DF64" s="433"/>
      <c r="DG64" s="433"/>
      <c r="DH64" s="433"/>
      <c r="DI64" s="1242"/>
      <c r="DJ64" s="1243"/>
      <c r="DK64" s="433"/>
      <c r="DL64" s="433"/>
      <c r="DM64" s="433"/>
      <c r="DN64" s="433"/>
      <c r="DO64" s="1242"/>
      <c r="DP64" s="1243"/>
      <c r="DQ64" s="433"/>
      <c r="DR64" s="433"/>
      <c r="DS64" s="433"/>
      <c r="DT64" s="433"/>
      <c r="DU64" s="1242"/>
      <c r="DV64" s="1243"/>
      <c r="DW64" s="433"/>
      <c r="DX64" s="433"/>
      <c r="DY64" s="433"/>
      <c r="DZ64" s="433"/>
      <c r="EA64" s="1242"/>
      <c r="EB64" s="1243"/>
      <c r="EC64" s="433"/>
      <c r="ED64" s="433"/>
      <c r="EE64" s="433"/>
      <c r="EF64" s="433"/>
      <c r="EG64" s="1242"/>
      <c r="EH64" s="1243"/>
      <c r="EI64" s="433"/>
      <c r="EJ64" s="433"/>
      <c r="EK64" s="433"/>
      <c r="EL64" s="433"/>
      <c r="EM64" s="1242"/>
      <c r="EN64" s="1243"/>
      <c r="EO64" s="433"/>
      <c r="EP64" s="433"/>
      <c r="EQ64" s="433"/>
      <c r="ER64" s="433"/>
      <c r="ES64" s="1242"/>
      <c r="ET64" s="1243"/>
      <c r="EU64" s="433"/>
      <c r="EV64" s="433"/>
      <c r="EW64" s="433"/>
      <c r="EX64" s="433"/>
      <c r="EY64" s="1242"/>
      <c r="EZ64" s="1243"/>
      <c r="FA64" s="433"/>
      <c r="FB64" s="433"/>
      <c r="FC64" s="433"/>
      <c r="FD64" s="433"/>
      <c r="FE64" s="1242"/>
      <c r="FF64" s="1243"/>
      <c r="FG64" s="433"/>
      <c r="FH64" s="433"/>
      <c r="FI64" s="433"/>
      <c r="FJ64" s="433"/>
      <c r="FK64" s="1242"/>
      <c r="FL64" s="1243"/>
      <c r="FM64" s="433"/>
      <c r="FN64" s="433"/>
      <c r="FO64" s="433"/>
      <c r="FP64" s="433"/>
      <c r="FQ64" s="1242"/>
      <c r="FR64" s="1243"/>
      <c r="FS64" s="433"/>
      <c r="FT64" s="433"/>
      <c r="FU64" s="433"/>
      <c r="FV64" s="433"/>
      <c r="FW64" s="1242"/>
      <c r="FX64" s="1243"/>
      <c r="FY64" s="433"/>
      <c r="FZ64" s="433"/>
      <c r="GA64" s="433"/>
      <c r="GB64" s="433"/>
      <c r="GC64" s="1242"/>
      <c r="GD64" s="1243"/>
      <c r="GE64" s="433"/>
      <c r="GF64" s="433"/>
      <c r="GG64" s="433"/>
      <c r="GH64" s="433"/>
      <c r="GI64" s="1242"/>
      <c r="GJ64" s="1243"/>
      <c r="GK64" s="433"/>
      <c r="GL64" s="433"/>
      <c r="GM64" s="433"/>
      <c r="GN64" s="433"/>
      <c r="GO64" s="1242"/>
      <c r="GP64" s="1243"/>
      <c r="GQ64" s="433"/>
      <c r="GR64" s="433"/>
      <c r="GS64" s="433"/>
      <c r="GT64" s="433"/>
      <c r="GU64" s="1242"/>
      <c r="GV64" s="1243"/>
      <c r="GW64" s="433"/>
      <c r="GX64" s="433"/>
      <c r="GY64" s="433"/>
      <c r="GZ64" s="433"/>
      <c r="HA64" s="1242"/>
      <c r="HB64" s="1243"/>
      <c r="HC64" s="433"/>
      <c r="HD64" s="433"/>
      <c r="HE64" s="433"/>
      <c r="HF64" s="433"/>
      <c r="HG64" s="1242"/>
      <c r="HH64" s="1243"/>
      <c r="HI64" s="433"/>
      <c r="HJ64" s="433"/>
      <c r="HK64" s="433"/>
      <c r="HL64" s="433"/>
      <c r="HM64" s="1242"/>
      <c r="HN64" s="1243"/>
      <c r="HO64" s="433"/>
      <c r="HP64" s="433"/>
      <c r="HQ64" s="433"/>
      <c r="HR64" s="433"/>
      <c r="HS64" s="1242"/>
      <c r="HT64" s="1243"/>
      <c r="HU64" s="433"/>
      <c r="HV64" s="433"/>
      <c r="HW64" s="433"/>
    </row>
    <row r="65" spans="1:14">
      <c r="A65" s="1266" t="str">
        <f>'BASE REDE'!A65</f>
        <v>¹ Transporte com caminhao basculante 14 m3, em via urbana pavimentada</v>
      </c>
      <c r="H65" s="678"/>
    </row>
    <row r="66" spans="1:14">
      <c r="A66" s="1266" t="str">
        <f>'BASE REDE'!A66</f>
        <v>² Transporte com caminhao basculante 14 m3, em via urbana em revestimento primário</v>
      </c>
      <c r="H66" s="678"/>
    </row>
    <row r="67" spans="1:14">
      <c r="E67" s="1244"/>
      <c r="K67" s="1918"/>
      <c r="L67" s="1918"/>
      <c r="M67" s="1918"/>
      <c r="N67" s="1918"/>
    </row>
    <row r="68" spans="1:14">
      <c r="K68" s="1918" t="s">
        <v>14029</v>
      </c>
      <c r="L68" s="1918"/>
      <c r="M68" s="1918"/>
      <c r="N68" s="1918"/>
    </row>
    <row r="70" spans="1:14">
      <c r="K70" s="1244" t="s">
        <v>14030</v>
      </c>
      <c r="L70" s="1244" t="s">
        <v>14210</v>
      </c>
      <c r="M70" t="s">
        <v>14032</v>
      </c>
    </row>
    <row r="71" spans="1:14">
      <c r="L71" s="1244" t="s">
        <v>14211</v>
      </c>
      <c r="M71" t="s">
        <v>14034</v>
      </c>
    </row>
    <row r="72" spans="1:14">
      <c r="K72" t="s">
        <v>14035</v>
      </c>
    </row>
    <row r="73" spans="1:14">
      <c r="K73" s="396" t="s">
        <v>14036</v>
      </c>
    </row>
    <row r="74" spans="1:14">
      <c r="K74" s="396" t="s">
        <v>14037</v>
      </c>
    </row>
  </sheetData>
  <mergeCells count="73">
    <mergeCell ref="B6:N6"/>
    <mergeCell ref="A1:N1"/>
    <mergeCell ref="A2:N2"/>
    <mergeCell ref="A3:N3"/>
    <mergeCell ref="A4:N4"/>
    <mergeCell ref="A5:N5"/>
    <mergeCell ref="B7:N7"/>
    <mergeCell ref="B8:N8"/>
    <mergeCell ref="B9:N9"/>
    <mergeCell ref="A10:N10"/>
    <mergeCell ref="A11:A13"/>
    <mergeCell ref="B11:C13"/>
    <mergeCell ref="D11:D12"/>
    <mergeCell ref="E11:E12"/>
    <mergeCell ref="F11:F12"/>
    <mergeCell ref="G11:G12"/>
    <mergeCell ref="B21:C21"/>
    <mergeCell ref="H11:H12"/>
    <mergeCell ref="J11:J13"/>
    <mergeCell ref="K11:L11"/>
    <mergeCell ref="M11:N11"/>
    <mergeCell ref="B14:C14"/>
    <mergeCell ref="B15:C15"/>
    <mergeCell ref="B16:C16"/>
    <mergeCell ref="B17:C17"/>
    <mergeCell ref="B18:C18"/>
    <mergeCell ref="B19:C19"/>
    <mergeCell ref="B20:C20"/>
    <mergeCell ref="B33:C33"/>
    <mergeCell ref="B22:C22"/>
    <mergeCell ref="B23:C23"/>
    <mergeCell ref="B24:C24"/>
    <mergeCell ref="B25:C25"/>
    <mergeCell ref="B26:C26"/>
    <mergeCell ref="B27:C27"/>
    <mergeCell ref="B28:C28"/>
    <mergeCell ref="B29:C29"/>
    <mergeCell ref="B30:C30"/>
    <mergeCell ref="B31:C31"/>
    <mergeCell ref="B32:C32"/>
    <mergeCell ref="B45:C45"/>
    <mergeCell ref="B34:C34"/>
    <mergeCell ref="B35:C35"/>
    <mergeCell ref="B36:C36"/>
    <mergeCell ref="B37:C37"/>
    <mergeCell ref="B38:C38"/>
    <mergeCell ref="B39:C39"/>
    <mergeCell ref="B40:C40"/>
    <mergeCell ref="B41:C41"/>
    <mergeCell ref="B42:C42"/>
    <mergeCell ref="B43:C43"/>
    <mergeCell ref="B44:C44"/>
    <mergeCell ref="B57:C57"/>
    <mergeCell ref="B46:C46"/>
    <mergeCell ref="B47:C47"/>
    <mergeCell ref="B48:C48"/>
    <mergeCell ref="B49:C49"/>
    <mergeCell ref="B50:C50"/>
    <mergeCell ref="B51:C51"/>
    <mergeCell ref="B52:C52"/>
    <mergeCell ref="B53:C53"/>
    <mergeCell ref="B54:C54"/>
    <mergeCell ref="B55:C55"/>
    <mergeCell ref="B56:C56"/>
    <mergeCell ref="A64:C64"/>
    <mergeCell ref="K67:N67"/>
    <mergeCell ref="K68:N68"/>
    <mergeCell ref="B58:C58"/>
    <mergeCell ref="B59:C59"/>
    <mergeCell ref="B60:C60"/>
    <mergeCell ref="B61:C61"/>
    <mergeCell ref="B62:C62"/>
    <mergeCell ref="B63:C63"/>
  </mergeCells>
  <printOptions horizontalCentered="1"/>
  <pageMargins left="0.7" right="0.7" top="0.75" bottom="0.75" header="0.3" footer="0.3"/>
  <pageSetup paperSize="9" scale="94" firstPageNumber="25" fitToHeight="0" orientation="landscape" useFirstPageNumber="1" r:id="rId1"/>
  <headerFooter scaleWithDoc="0"/>
  <drawing r:id="rId2"/>
</worksheet>
</file>

<file path=xl/worksheets/sheet29.xml><?xml version="1.0" encoding="utf-8"?>
<worksheet xmlns="http://schemas.openxmlformats.org/spreadsheetml/2006/main" xmlns:r="http://schemas.openxmlformats.org/officeDocument/2006/relationships">
  <sheetPr codeName="Plan22">
    <tabColor theme="1" tint="0.34998626667073579"/>
    <pageSetUpPr fitToPage="1"/>
  </sheetPr>
  <dimension ref="A1:HQ65"/>
  <sheetViews>
    <sheetView showGridLines="0" view="pageBreakPreview" zoomScaleNormal="115" zoomScaleSheetLayoutView="100" workbookViewId="0">
      <selection activeCell="B9" sqref="B9:F9"/>
    </sheetView>
  </sheetViews>
  <sheetFormatPr defaultColWidth="9.140625" defaultRowHeight="15"/>
  <cols>
    <col min="2" max="2" width="6" customWidth="1"/>
    <col min="3" max="3" width="45.85546875" customWidth="1"/>
    <col min="4" max="8" width="15.7109375" customWidth="1"/>
  </cols>
  <sheetData>
    <row r="1" spans="1:8" s="533" customFormat="1" ht="18">
      <c r="A1" s="1937" t="s">
        <v>2996</v>
      </c>
      <c r="B1" s="1938" t="s">
        <v>2996</v>
      </c>
      <c r="C1" s="1938" t="s">
        <v>2996</v>
      </c>
      <c r="D1" s="1938"/>
      <c r="E1" s="1938"/>
      <c r="F1" s="1938"/>
      <c r="G1" s="1938"/>
      <c r="H1" s="1939"/>
    </row>
    <row r="2" spans="1:8" s="533" customFormat="1" ht="14.25">
      <c r="A2" s="1940" t="s">
        <v>2997</v>
      </c>
      <c r="B2" s="1913" t="s">
        <v>13994</v>
      </c>
      <c r="C2" s="1913" t="s">
        <v>13994</v>
      </c>
      <c r="D2" s="1913"/>
      <c r="E2" s="1913"/>
      <c r="F2" s="1913"/>
      <c r="G2" s="1913"/>
      <c r="H2" s="1941"/>
    </row>
    <row r="3" spans="1:8" s="533" customFormat="1" ht="14.25">
      <c r="A3" s="1942" t="s">
        <v>2998</v>
      </c>
      <c r="B3" s="1916" t="s">
        <v>13995</v>
      </c>
      <c r="C3" s="1916" t="s">
        <v>13995</v>
      </c>
      <c r="D3" s="1916"/>
      <c r="E3" s="1916"/>
      <c r="F3" s="1916"/>
      <c r="G3" s="1916"/>
      <c r="H3" s="1943"/>
    </row>
    <row r="4" spans="1:8" s="533" customFormat="1" ht="14.25">
      <c r="A4" s="1942" t="s">
        <v>3063</v>
      </c>
      <c r="B4" s="1916" t="s">
        <v>3063</v>
      </c>
      <c r="C4" s="1916" t="s">
        <v>3063</v>
      </c>
      <c r="D4" s="1916"/>
      <c r="E4" s="1916"/>
      <c r="F4" s="1916"/>
      <c r="G4" s="1916"/>
      <c r="H4" s="1943"/>
    </row>
    <row r="5" spans="1:8" s="533" customFormat="1" ht="14.25">
      <c r="A5" s="1942" t="s">
        <v>2999</v>
      </c>
      <c r="B5" s="1916" t="s">
        <v>2999</v>
      </c>
      <c r="C5" s="1916" t="s">
        <v>2999</v>
      </c>
      <c r="D5" s="1916"/>
      <c r="E5" s="1916"/>
      <c r="F5" s="1916"/>
      <c r="G5" s="1916"/>
      <c r="H5" s="1943"/>
    </row>
    <row r="6" spans="1:8" s="533" customFormat="1" ht="15" customHeight="1">
      <c r="A6" s="1245" t="s">
        <v>6</v>
      </c>
      <c r="B6" s="1907" t="str">
        <f>'REMOÇÃO DE PAV. ADUTORA'!B6:F6</f>
        <v xml:space="preserve">SISTEMA DE ABASTECIMENTO DE ÁGUA </v>
      </c>
      <c r="C6" s="1907"/>
      <c r="D6" s="1907"/>
      <c r="E6" s="1907"/>
      <c r="F6" s="1907"/>
      <c r="G6" s="1907"/>
      <c r="H6" s="1936"/>
    </row>
    <row r="7" spans="1:8" s="533" customFormat="1" ht="14.25">
      <c r="A7" s="1246" t="s">
        <v>8</v>
      </c>
      <c r="B7" s="1888" t="str">
        <f>'REMOÇÃO DE PAV. ADUTORA'!B7:F7</f>
        <v>SETOR PIONEIRO - MUNICÍPIO DE APIACÁS</v>
      </c>
      <c r="C7" s="1889"/>
      <c r="D7" s="1889"/>
      <c r="E7" s="1889"/>
      <c r="F7" s="1889"/>
      <c r="G7" s="1889"/>
      <c r="H7" s="1929"/>
    </row>
    <row r="8" spans="1:8" s="533" customFormat="1" ht="14.25">
      <c r="A8" s="1246" t="s">
        <v>13672</v>
      </c>
      <c r="B8" s="1889" t="str">
        <f>'REMOÇÃO DE PAV. ADUTORA'!B8:F8</f>
        <v>PREFEITURA MUNICIPAL DE APIACÁS</v>
      </c>
      <c r="C8" s="1889"/>
      <c r="D8" s="1889"/>
      <c r="E8" s="1889"/>
      <c r="F8" s="1889"/>
      <c r="G8" s="1889"/>
      <c r="H8" s="1929"/>
    </row>
    <row r="9" spans="1:8" s="533" customFormat="1" ht="15.75" customHeight="1">
      <c r="A9" s="1247" t="s">
        <v>3064</v>
      </c>
      <c r="B9" s="1891">
        <f ca="1">'REMOÇÃO DE PAV. ADUTORA'!B9:F9</f>
        <v>45167</v>
      </c>
      <c r="C9" s="1930"/>
      <c r="D9" s="1930"/>
      <c r="E9" s="1930"/>
      <c r="F9" s="1930"/>
      <c r="G9" s="1930"/>
      <c r="H9" s="1931"/>
    </row>
    <row r="10" spans="1:8" s="533" customFormat="1" ht="22.5" customHeight="1">
      <c r="A10" s="1932" t="s">
        <v>14213</v>
      </c>
      <c r="B10" s="1895"/>
      <c r="C10" s="1895"/>
      <c r="D10" s="1895"/>
      <c r="E10" s="1895"/>
      <c r="F10" s="1895"/>
      <c r="G10" s="1895"/>
      <c r="H10" s="1933"/>
    </row>
    <row r="11" spans="1:8" s="535" customFormat="1" ht="12.75" customHeight="1">
      <c r="A11" s="1934" t="s">
        <v>11</v>
      </c>
      <c r="B11" s="1899" t="s">
        <v>13997</v>
      </c>
      <c r="C11" s="1900"/>
      <c r="D11" s="1903" t="s">
        <v>13998</v>
      </c>
      <c r="E11" s="1903" t="s">
        <v>13999</v>
      </c>
      <c r="F11" s="1923" t="s">
        <v>14000</v>
      </c>
      <c r="G11" s="1923" t="s">
        <v>14041</v>
      </c>
      <c r="H11" s="1923" t="s">
        <v>14042</v>
      </c>
    </row>
    <row r="12" spans="1:8" s="535" customFormat="1" ht="12.75">
      <c r="A12" s="1934"/>
      <c r="B12" s="1899"/>
      <c r="C12" s="1900"/>
      <c r="D12" s="1904"/>
      <c r="E12" s="1904"/>
      <c r="F12" s="1925"/>
      <c r="G12" s="1925"/>
      <c r="H12" s="1925"/>
    </row>
    <row r="13" spans="1:8" s="535" customFormat="1" ht="22.5" customHeight="1">
      <c r="A13" s="1935"/>
      <c r="B13" s="1901"/>
      <c r="C13" s="1902"/>
      <c r="D13" s="1233" t="s">
        <v>3379</v>
      </c>
      <c r="E13" s="1233" t="s">
        <v>3379</v>
      </c>
      <c r="F13" s="1233" t="s">
        <v>3378</v>
      </c>
      <c r="G13" s="1233" t="s">
        <v>14043</v>
      </c>
      <c r="H13" s="1233" t="s">
        <v>14044</v>
      </c>
    </row>
    <row r="14" spans="1:8" s="535" customFormat="1" ht="20.100000000000001" customHeight="1">
      <c r="A14" s="1267">
        <v>1</v>
      </c>
      <c r="B14" s="1884" t="str">
        <f>VLOOKUP(A14,'BASE REDE'!A:N,2,FALSE)</f>
        <v>T19</v>
      </c>
      <c r="C14" s="1885"/>
      <c r="D14" s="1236">
        <f>VLOOKUP(A14,'BASE REDE'!A:N,4,FALSE)</f>
        <v>80.2</v>
      </c>
      <c r="E14" s="1237">
        <f>VLOOKUP(A14,'BASE REDE'!A:N,5,FALSE)</f>
        <v>0.6</v>
      </c>
      <c r="F14" s="1268">
        <f>TRUNC(E14*D14,2)</f>
        <v>48.12</v>
      </c>
      <c r="G14" s="1269">
        <v>1.1999999999999999E-3</v>
      </c>
      <c r="H14" s="1270">
        <f t="shared" ref="H14:H63" si="0">TRUNC(F14*G14,3)</f>
        <v>5.7000000000000002E-2</v>
      </c>
    </row>
    <row r="15" spans="1:8" s="535" customFormat="1" ht="20.100000000000001" customHeight="1">
      <c r="A15" s="1267">
        <f>A14+1</f>
        <v>2</v>
      </c>
      <c r="B15" s="1884" t="str">
        <f>VLOOKUP(A15,'BASE REDE'!A:N,2,FALSE)</f>
        <v>T20</v>
      </c>
      <c r="C15" s="1885"/>
      <c r="D15" s="1236">
        <f>VLOOKUP(A15,'BASE REDE'!A:N,4,FALSE)</f>
        <v>34.130000000000003</v>
      </c>
      <c r="E15" s="1237">
        <f>VLOOKUP(A15,'BASE REDE'!A:N,5,FALSE)</f>
        <v>0.6</v>
      </c>
      <c r="F15" s="1268">
        <f t="shared" ref="F15:F63" si="1">TRUNC(E15*D15,2)</f>
        <v>20.47</v>
      </c>
      <c r="G15" s="1269">
        <v>1.1999999999999999E-3</v>
      </c>
      <c r="H15" s="1270">
        <f t="shared" si="0"/>
        <v>2.4E-2</v>
      </c>
    </row>
    <row r="16" spans="1:8" s="535" customFormat="1" ht="20.100000000000001" customHeight="1">
      <c r="A16" s="1267">
        <f t="shared" ref="A16:A63" si="2">A15+1</f>
        <v>3</v>
      </c>
      <c r="B16" s="1884" t="str">
        <f>VLOOKUP(A16,'BASE REDE'!A:N,2,FALSE)</f>
        <v>T21</v>
      </c>
      <c r="C16" s="1885"/>
      <c r="D16" s="1236">
        <f>VLOOKUP(A16,'BASE REDE'!A:N,4,FALSE)</f>
        <v>74.87</v>
      </c>
      <c r="E16" s="1237">
        <f>VLOOKUP(A16,'BASE REDE'!A:N,5,FALSE)</f>
        <v>0.6</v>
      </c>
      <c r="F16" s="1268">
        <f t="shared" si="1"/>
        <v>44.92</v>
      </c>
      <c r="G16" s="1269">
        <v>1.1999999999999999E-3</v>
      </c>
      <c r="H16" s="1270">
        <f t="shared" si="0"/>
        <v>5.2999999999999999E-2</v>
      </c>
    </row>
    <row r="17" spans="1:8" s="535" customFormat="1" ht="20.100000000000001" customHeight="1">
      <c r="A17" s="1267">
        <f t="shared" si="2"/>
        <v>4</v>
      </c>
      <c r="B17" s="1884" t="str">
        <f>VLOOKUP(A17,'BASE REDE'!A:N,2,FALSE)</f>
        <v>T22</v>
      </c>
      <c r="C17" s="1885"/>
      <c r="D17" s="1236">
        <f>VLOOKUP(A17,'BASE REDE'!A:N,4,FALSE)</f>
        <v>138.08000000000001</v>
      </c>
      <c r="E17" s="1237">
        <f>VLOOKUP(A17,'BASE REDE'!A:N,5,FALSE)</f>
        <v>0.6</v>
      </c>
      <c r="F17" s="1268">
        <f t="shared" si="1"/>
        <v>82.84</v>
      </c>
      <c r="G17" s="1269">
        <v>1.1999999999999999E-3</v>
      </c>
      <c r="H17" s="1270">
        <f t="shared" si="0"/>
        <v>9.9000000000000005E-2</v>
      </c>
    </row>
    <row r="18" spans="1:8" s="535" customFormat="1" ht="20.100000000000001" customHeight="1">
      <c r="A18" s="1267">
        <f t="shared" si="2"/>
        <v>5</v>
      </c>
      <c r="B18" s="1884" t="str">
        <f>VLOOKUP(A18,'BASE REDE'!A:N,2,FALSE)</f>
        <v>T26</v>
      </c>
      <c r="C18" s="1885"/>
      <c r="D18" s="1236">
        <f>VLOOKUP(A18,'BASE REDE'!A:N,4,FALSE)</f>
        <v>122.83</v>
      </c>
      <c r="E18" s="1237">
        <f>VLOOKUP(A18,'BASE REDE'!A:N,5,FALSE)</f>
        <v>0.6</v>
      </c>
      <c r="F18" s="1268">
        <f t="shared" si="1"/>
        <v>73.69</v>
      </c>
      <c r="G18" s="1269">
        <v>1.1999999999999999E-3</v>
      </c>
      <c r="H18" s="1270">
        <f t="shared" si="0"/>
        <v>8.7999999999999995E-2</v>
      </c>
    </row>
    <row r="19" spans="1:8" s="535" customFormat="1" ht="20.100000000000001" customHeight="1">
      <c r="A19" s="1267">
        <f t="shared" si="2"/>
        <v>6</v>
      </c>
      <c r="B19" s="1884" t="str">
        <f>VLOOKUP(A19,'BASE REDE'!A:N,2,FALSE)</f>
        <v>T27</v>
      </c>
      <c r="C19" s="1885"/>
      <c r="D19" s="1236">
        <f>VLOOKUP(A19,'BASE REDE'!A:N,4,FALSE)</f>
        <v>121.99</v>
      </c>
      <c r="E19" s="1237">
        <f>VLOOKUP(A19,'BASE REDE'!A:N,5,FALSE)</f>
        <v>0.6</v>
      </c>
      <c r="F19" s="1268">
        <f t="shared" si="1"/>
        <v>73.19</v>
      </c>
      <c r="G19" s="1269">
        <v>1.1999999999999999E-3</v>
      </c>
      <c r="H19" s="1270">
        <f t="shared" si="0"/>
        <v>8.6999999999999994E-2</v>
      </c>
    </row>
    <row r="20" spans="1:8" s="535" customFormat="1" ht="20.100000000000001" customHeight="1">
      <c r="A20" s="1267">
        <f t="shared" si="2"/>
        <v>7</v>
      </c>
      <c r="B20" s="1884" t="str">
        <f>VLOOKUP(A20,'BASE REDE'!A:N,2,FALSE)</f>
        <v>T28</v>
      </c>
      <c r="C20" s="1885"/>
      <c r="D20" s="1236">
        <f>VLOOKUP(A20,'BASE REDE'!A:N,4,FALSE)</f>
        <v>126.41</v>
      </c>
      <c r="E20" s="1237">
        <f>VLOOKUP(A20,'BASE REDE'!A:N,5,FALSE)</f>
        <v>0.6</v>
      </c>
      <c r="F20" s="1268">
        <f t="shared" si="1"/>
        <v>75.84</v>
      </c>
      <c r="G20" s="1269">
        <v>1.1999999999999999E-3</v>
      </c>
      <c r="H20" s="1270">
        <f t="shared" si="0"/>
        <v>9.0999999999999998E-2</v>
      </c>
    </row>
    <row r="21" spans="1:8" s="535" customFormat="1" ht="20.100000000000001" customHeight="1">
      <c r="A21" s="1267">
        <f t="shared" si="2"/>
        <v>8</v>
      </c>
      <c r="B21" s="1884" t="str">
        <f>VLOOKUP(A21,'BASE REDE'!A:N,2,FALSE)</f>
        <v>T29</v>
      </c>
      <c r="C21" s="1885"/>
      <c r="D21" s="1236">
        <f>VLOOKUP(A21,'BASE REDE'!A:N,4,FALSE)</f>
        <v>125.11</v>
      </c>
      <c r="E21" s="1237">
        <f>VLOOKUP(A21,'BASE REDE'!A:N,5,FALSE)</f>
        <v>0.6</v>
      </c>
      <c r="F21" s="1268">
        <f t="shared" si="1"/>
        <v>75.06</v>
      </c>
      <c r="G21" s="1269">
        <v>1.1999999999999999E-3</v>
      </c>
      <c r="H21" s="1270">
        <f t="shared" si="0"/>
        <v>0.09</v>
      </c>
    </row>
    <row r="22" spans="1:8" s="535" customFormat="1" ht="20.100000000000001" customHeight="1">
      <c r="A22" s="1267">
        <f t="shared" si="2"/>
        <v>9</v>
      </c>
      <c r="B22" s="1884" t="str">
        <f>VLOOKUP(A22,'BASE REDE'!A:N,2,FALSE)</f>
        <v>T30</v>
      </c>
      <c r="C22" s="1885"/>
      <c r="D22" s="1236">
        <f>VLOOKUP(A22,'BASE REDE'!A:N,4,FALSE)</f>
        <v>79.38</v>
      </c>
      <c r="E22" s="1237">
        <f>VLOOKUP(A22,'BASE REDE'!A:N,5,FALSE)</f>
        <v>0.6</v>
      </c>
      <c r="F22" s="1268">
        <f t="shared" si="1"/>
        <v>47.62</v>
      </c>
      <c r="G22" s="1269">
        <v>1.1999999999999999E-3</v>
      </c>
      <c r="H22" s="1270">
        <f t="shared" si="0"/>
        <v>5.7000000000000002E-2</v>
      </c>
    </row>
    <row r="23" spans="1:8" s="535" customFormat="1" ht="20.100000000000001" customHeight="1">
      <c r="A23" s="1267">
        <f t="shared" si="2"/>
        <v>10</v>
      </c>
      <c r="B23" s="1884" t="str">
        <f>VLOOKUP(A23,'BASE REDE'!A:N,2,FALSE)</f>
        <v>T31</v>
      </c>
      <c r="C23" s="1885"/>
      <c r="D23" s="1236">
        <f>VLOOKUP(A23,'BASE REDE'!A:N,4,FALSE)</f>
        <v>86.34</v>
      </c>
      <c r="E23" s="1237">
        <f>VLOOKUP(A23,'BASE REDE'!A:N,5,FALSE)</f>
        <v>0.6</v>
      </c>
      <c r="F23" s="1268">
        <f t="shared" si="1"/>
        <v>51.8</v>
      </c>
      <c r="G23" s="1269">
        <v>1.1999999999999999E-3</v>
      </c>
      <c r="H23" s="1270">
        <f t="shared" si="0"/>
        <v>6.2E-2</v>
      </c>
    </row>
    <row r="24" spans="1:8" s="535" customFormat="1" ht="20.100000000000001" customHeight="1">
      <c r="A24" s="1267">
        <f t="shared" si="2"/>
        <v>11</v>
      </c>
      <c r="B24" s="1884" t="str">
        <f>VLOOKUP(A24,'BASE REDE'!A:N,2,FALSE)</f>
        <v>T32</v>
      </c>
      <c r="C24" s="1885"/>
      <c r="D24" s="1236">
        <f>VLOOKUP(A24,'BASE REDE'!A:N,4,FALSE)</f>
        <v>84.41</v>
      </c>
      <c r="E24" s="1237">
        <f>VLOOKUP(A24,'BASE REDE'!A:N,5,FALSE)</f>
        <v>0.6</v>
      </c>
      <c r="F24" s="1268">
        <f t="shared" si="1"/>
        <v>50.64</v>
      </c>
      <c r="G24" s="1269">
        <v>1.1999999999999999E-3</v>
      </c>
      <c r="H24" s="1270">
        <f t="shared" si="0"/>
        <v>0.06</v>
      </c>
    </row>
    <row r="25" spans="1:8" s="535" customFormat="1" ht="20.100000000000001" customHeight="1">
      <c r="A25" s="1267">
        <f t="shared" si="2"/>
        <v>12</v>
      </c>
      <c r="B25" s="1884" t="str">
        <f>VLOOKUP(A25,'BASE REDE'!A:N,2,FALSE)</f>
        <v>T47</v>
      </c>
      <c r="C25" s="1885"/>
      <c r="D25" s="1236">
        <f>VLOOKUP(A25,'BASE REDE'!A:N,4,FALSE)</f>
        <v>85.01</v>
      </c>
      <c r="E25" s="1237">
        <f>VLOOKUP(A25,'BASE REDE'!A:N,5,FALSE)</f>
        <v>0.6</v>
      </c>
      <c r="F25" s="1268">
        <f t="shared" si="1"/>
        <v>51</v>
      </c>
      <c r="G25" s="1269">
        <v>1.1999999999999999E-3</v>
      </c>
      <c r="H25" s="1270">
        <f t="shared" si="0"/>
        <v>6.0999999999999999E-2</v>
      </c>
    </row>
    <row r="26" spans="1:8" s="535" customFormat="1" ht="20.100000000000001" customHeight="1">
      <c r="A26" s="1267">
        <f t="shared" si="2"/>
        <v>13</v>
      </c>
      <c r="B26" s="1884" t="str">
        <f>VLOOKUP(A26,'BASE REDE'!A:N,2,FALSE)</f>
        <v>T48</v>
      </c>
      <c r="C26" s="1885"/>
      <c r="D26" s="1236">
        <f>VLOOKUP(A26,'BASE REDE'!A:N,4,FALSE)</f>
        <v>81.849999999999994</v>
      </c>
      <c r="E26" s="1237">
        <f>VLOOKUP(A26,'BASE REDE'!A:N,5,FALSE)</f>
        <v>0.6</v>
      </c>
      <c r="F26" s="1268">
        <f t="shared" si="1"/>
        <v>49.11</v>
      </c>
      <c r="G26" s="1269">
        <v>1.1999999999999999E-3</v>
      </c>
      <c r="H26" s="1270">
        <f t="shared" si="0"/>
        <v>5.8000000000000003E-2</v>
      </c>
    </row>
    <row r="27" spans="1:8" s="535" customFormat="1" ht="20.100000000000001" customHeight="1">
      <c r="A27" s="1267">
        <f t="shared" si="2"/>
        <v>14</v>
      </c>
      <c r="B27" s="1884" t="str">
        <f>VLOOKUP(A27,'BASE REDE'!A:N,2,FALSE)</f>
        <v>T49</v>
      </c>
      <c r="C27" s="1885"/>
      <c r="D27" s="1236">
        <f>VLOOKUP(A27,'BASE REDE'!A:N,4,FALSE)</f>
        <v>76.680000000000007</v>
      </c>
      <c r="E27" s="1237">
        <f>VLOOKUP(A27,'BASE REDE'!A:N,5,FALSE)</f>
        <v>0.6</v>
      </c>
      <c r="F27" s="1268">
        <f t="shared" si="1"/>
        <v>46</v>
      </c>
      <c r="G27" s="1269">
        <v>1.1999999999999999E-3</v>
      </c>
      <c r="H27" s="1270">
        <f t="shared" si="0"/>
        <v>5.5E-2</v>
      </c>
    </row>
    <row r="28" spans="1:8" s="535" customFormat="1" ht="20.100000000000001" customHeight="1">
      <c r="A28" s="1267">
        <f t="shared" si="2"/>
        <v>15</v>
      </c>
      <c r="B28" s="1884" t="str">
        <f>VLOOKUP(A28,'BASE REDE'!A:N,2,FALSE)</f>
        <v>T50</v>
      </c>
      <c r="C28" s="1885"/>
      <c r="D28" s="1236">
        <f>VLOOKUP(A28,'BASE REDE'!A:N,4,FALSE)</f>
        <v>138.26</v>
      </c>
      <c r="E28" s="1237">
        <f>VLOOKUP(A28,'BASE REDE'!A:N,5,FALSE)</f>
        <v>0.6</v>
      </c>
      <c r="F28" s="1268">
        <f t="shared" si="1"/>
        <v>82.95</v>
      </c>
      <c r="G28" s="1269">
        <v>1.1999999999999999E-3</v>
      </c>
      <c r="H28" s="1270">
        <f t="shared" si="0"/>
        <v>9.9000000000000005E-2</v>
      </c>
    </row>
    <row r="29" spans="1:8" s="535" customFormat="1" ht="20.100000000000001" customHeight="1">
      <c r="A29" s="1267">
        <f t="shared" si="2"/>
        <v>16</v>
      </c>
      <c r="B29" s="1884" t="str">
        <f>VLOOKUP(A29,'BASE REDE'!A:N,2,FALSE)</f>
        <v>T51</v>
      </c>
      <c r="C29" s="1885"/>
      <c r="D29" s="1236">
        <f>VLOOKUP(A29,'BASE REDE'!A:N,4,FALSE)</f>
        <v>136.72</v>
      </c>
      <c r="E29" s="1237">
        <f>VLOOKUP(A29,'BASE REDE'!A:N,5,FALSE)</f>
        <v>0.6</v>
      </c>
      <c r="F29" s="1268">
        <f t="shared" si="1"/>
        <v>82.03</v>
      </c>
      <c r="G29" s="1269">
        <v>1.1999999999999999E-3</v>
      </c>
      <c r="H29" s="1270">
        <f t="shared" si="0"/>
        <v>9.8000000000000004E-2</v>
      </c>
    </row>
    <row r="30" spans="1:8" s="535" customFormat="1" ht="20.100000000000001" customHeight="1">
      <c r="A30" s="1267">
        <f t="shared" si="2"/>
        <v>17</v>
      </c>
      <c r="B30" s="1884" t="str">
        <f>VLOOKUP(A30,'BASE REDE'!A:N,2,FALSE)</f>
        <v>T52</v>
      </c>
      <c r="C30" s="1885"/>
      <c r="D30" s="1236">
        <f>VLOOKUP(A30,'BASE REDE'!A:N,4,FALSE)</f>
        <v>136.05000000000001</v>
      </c>
      <c r="E30" s="1237">
        <f>VLOOKUP(A30,'BASE REDE'!A:N,5,FALSE)</f>
        <v>0.6</v>
      </c>
      <c r="F30" s="1268">
        <f t="shared" si="1"/>
        <v>81.63</v>
      </c>
      <c r="G30" s="1269">
        <v>1.1999999999999999E-3</v>
      </c>
      <c r="H30" s="1270">
        <f t="shared" si="0"/>
        <v>9.7000000000000003E-2</v>
      </c>
    </row>
    <row r="31" spans="1:8" s="535" customFormat="1" ht="20.100000000000001" customHeight="1">
      <c r="A31" s="1267">
        <f t="shared" si="2"/>
        <v>18</v>
      </c>
      <c r="B31" s="1884" t="str">
        <f>VLOOKUP(A31,'BASE REDE'!A:N,2,FALSE)</f>
        <v>T62</v>
      </c>
      <c r="C31" s="1885"/>
      <c r="D31" s="1236">
        <f>VLOOKUP(A31,'BASE REDE'!A:N,4,FALSE)</f>
        <v>98.83</v>
      </c>
      <c r="E31" s="1237">
        <f>VLOOKUP(A31,'BASE REDE'!A:N,5,FALSE)</f>
        <v>0.6</v>
      </c>
      <c r="F31" s="1268">
        <f t="shared" si="1"/>
        <v>59.29</v>
      </c>
      <c r="G31" s="1269">
        <v>1.1999999999999999E-3</v>
      </c>
      <c r="H31" s="1270">
        <f t="shared" si="0"/>
        <v>7.0999999999999994E-2</v>
      </c>
    </row>
    <row r="32" spans="1:8" s="535" customFormat="1" ht="20.100000000000001" customHeight="1">
      <c r="A32" s="1267">
        <f t="shared" si="2"/>
        <v>19</v>
      </c>
      <c r="B32" s="1884" t="str">
        <f>VLOOKUP(A32,'BASE REDE'!A:N,2,FALSE)</f>
        <v>T63</v>
      </c>
      <c r="C32" s="1885"/>
      <c r="D32" s="1236">
        <f>VLOOKUP(A32,'BASE REDE'!A:N,4,FALSE)</f>
        <v>100.99</v>
      </c>
      <c r="E32" s="1237">
        <f>VLOOKUP(A32,'BASE REDE'!A:N,5,FALSE)</f>
        <v>0.6</v>
      </c>
      <c r="F32" s="1268">
        <f t="shared" si="1"/>
        <v>60.59</v>
      </c>
      <c r="G32" s="1269">
        <v>1.1999999999999999E-3</v>
      </c>
      <c r="H32" s="1270">
        <f t="shared" si="0"/>
        <v>7.1999999999999995E-2</v>
      </c>
    </row>
    <row r="33" spans="1:8" s="535" customFormat="1" ht="20.100000000000001" customHeight="1">
      <c r="A33" s="1267">
        <f t="shared" si="2"/>
        <v>20</v>
      </c>
      <c r="B33" s="1884" t="str">
        <f>VLOOKUP(A33,'BASE REDE'!A:N,2,FALSE)</f>
        <v>T74</v>
      </c>
      <c r="C33" s="1885"/>
      <c r="D33" s="1236">
        <f>VLOOKUP(A33,'BASE REDE'!A:N,4,FALSE)</f>
        <v>91.21</v>
      </c>
      <c r="E33" s="1237">
        <f>VLOOKUP(A33,'BASE REDE'!A:N,5,FALSE)</f>
        <v>0.6</v>
      </c>
      <c r="F33" s="1268">
        <f t="shared" si="1"/>
        <v>54.72</v>
      </c>
      <c r="G33" s="1269">
        <v>1.1999999999999999E-3</v>
      </c>
      <c r="H33" s="1270">
        <f t="shared" si="0"/>
        <v>6.5000000000000002E-2</v>
      </c>
    </row>
    <row r="34" spans="1:8" s="535" customFormat="1" ht="20.100000000000001" customHeight="1">
      <c r="A34" s="1267">
        <f t="shared" si="2"/>
        <v>21</v>
      </c>
      <c r="B34" s="1884" t="str">
        <f>VLOOKUP(A34,'BASE REDE'!A:N,2,FALSE)</f>
        <v>T75</v>
      </c>
      <c r="C34" s="1885"/>
      <c r="D34" s="1236">
        <f>VLOOKUP(A34,'BASE REDE'!A:N,4,FALSE)</f>
        <v>32.11</v>
      </c>
      <c r="E34" s="1237">
        <f>VLOOKUP(A34,'BASE REDE'!A:N,5,FALSE)</f>
        <v>0.6</v>
      </c>
      <c r="F34" s="1268">
        <f t="shared" si="1"/>
        <v>19.260000000000002</v>
      </c>
      <c r="G34" s="1269">
        <v>1.1999999999999999E-3</v>
      </c>
      <c r="H34" s="1270">
        <f t="shared" si="0"/>
        <v>2.3E-2</v>
      </c>
    </row>
    <row r="35" spans="1:8" s="535" customFormat="1" ht="20.100000000000001" customHeight="1">
      <c r="A35" s="1267">
        <f t="shared" si="2"/>
        <v>22</v>
      </c>
      <c r="B35" s="1884" t="str">
        <f>VLOOKUP(A35,'BASE REDE'!A:N,2,FALSE)</f>
        <v>T76</v>
      </c>
      <c r="C35" s="1885"/>
      <c r="D35" s="1236">
        <f>VLOOKUP(A35,'BASE REDE'!A:N,4,FALSE)</f>
        <v>91.11</v>
      </c>
      <c r="E35" s="1237">
        <f>VLOOKUP(A35,'BASE REDE'!A:N,5,FALSE)</f>
        <v>0.6</v>
      </c>
      <c r="F35" s="1268">
        <f t="shared" si="1"/>
        <v>54.66</v>
      </c>
      <c r="G35" s="1269">
        <v>1.1999999999999999E-3</v>
      </c>
      <c r="H35" s="1270">
        <f t="shared" si="0"/>
        <v>6.5000000000000002E-2</v>
      </c>
    </row>
    <row r="36" spans="1:8" s="535" customFormat="1" ht="20.100000000000001" customHeight="1">
      <c r="A36" s="1267">
        <f t="shared" si="2"/>
        <v>23</v>
      </c>
      <c r="B36" s="1884" t="str">
        <f>VLOOKUP(A36,'BASE REDE'!A:N,2,FALSE)</f>
        <v>T77</v>
      </c>
      <c r="C36" s="1885"/>
      <c r="D36" s="1236">
        <f>VLOOKUP(A36,'BASE REDE'!A:N,4,FALSE)</f>
        <v>34.11</v>
      </c>
      <c r="E36" s="1237">
        <f>VLOOKUP(A36,'BASE REDE'!A:N,5,FALSE)</f>
        <v>0.6</v>
      </c>
      <c r="F36" s="1268">
        <f t="shared" si="1"/>
        <v>20.46</v>
      </c>
      <c r="G36" s="1269">
        <v>1.1999999999999999E-3</v>
      </c>
      <c r="H36" s="1270">
        <f t="shared" si="0"/>
        <v>2.4E-2</v>
      </c>
    </row>
    <row r="37" spans="1:8" s="535" customFormat="1" ht="20.100000000000001" customHeight="1">
      <c r="A37" s="1267">
        <f t="shared" si="2"/>
        <v>24</v>
      </c>
      <c r="B37" s="1884" t="str">
        <f>VLOOKUP(A37,'BASE REDE'!A:N,2,FALSE)</f>
        <v>T78</v>
      </c>
      <c r="C37" s="1885"/>
      <c r="D37" s="1236">
        <f>VLOOKUP(A37,'BASE REDE'!A:N,4,FALSE)</f>
        <v>111.92</v>
      </c>
      <c r="E37" s="1237">
        <f>VLOOKUP(A37,'BASE REDE'!A:N,5,FALSE)</f>
        <v>0.6</v>
      </c>
      <c r="F37" s="1268">
        <f t="shared" si="1"/>
        <v>67.150000000000006</v>
      </c>
      <c r="G37" s="1269">
        <v>1.1999999999999999E-3</v>
      </c>
      <c r="H37" s="1270">
        <f t="shared" si="0"/>
        <v>0.08</v>
      </c>
    </row>
    <row r="38" spans="1:8" s="535" customFormat="1" ht="20.100000000000001" customHeight="1">
      <c r="A38" s="1267">
        <f t="shared" si="2"/>
        <v>25</v>
      </c>
      <c r="B38" s="1884" t="str">
        <f>VLOOKUP(A38,'BASE REDE'!A:N,2,FALSE)</f>
        <v>T79</v>
      </c>
      <c r="C38" s="1885"/>
      <c r="D38" s="1236">
        <f>VLOOKUP(A38,'BASE REDE'!A:N,4,FALSE)</f>
        <v>81.63</v>
      </c>
      <c r="E38" s="1237">
        <f>VLOOKUP(A38,'BASE REDE'!A:N,5,FALSE)</f>
        <v>0.6</v>
      </c>
      <c r="F38" s="1268">
        <f t="shared" si="1"/>
        <v>48.97</v>
      </c>
      <c r="G38" s="1269">
        <v>1.1999999999999999E-3</v>
      </c>
      <c r="H38" s="1270">
        <f t="shared" si="0"/>
        <v>5.8000000000000003E-2</v>
      </c>
    </row>
    <row r="39" spans="1:8" s="535" customFormat="1" ht="20.100000000000001" customHeight="1">
      <c r="A39" s="1267">
        <f t="shared" si="2"/>
        <v>26</v>
      </c>
      <c r="B39" s="1884" t="str">
        <f>VLOOKUP(A39,'BASE REDE'!A:N,2,FALSE)</f>
        <v>T80</v>
      </c>
      <c r="C39" s="1885"/>
      <c r="D39" s="1236">
        <f>VLOOKUP(A39,'BASE REDE'!A:N,4,FALSE)</f>
        <v>84.53</v>
      </c>
      <c r="E39" s="1237">
        <f>VLOOKUP(A39,'BASE REDE'!A:N,5,FALSE)</f>
        <v>0.6</v>
      </c>
      <c r="F39" s="1268">
        <f t="shared" si="1"/>
        <v>50.71</v>
      </c>
      <c r="G39" s="1269">
        <v>1.1999999999999999E-3</v>
      </c>
      <c r="H39" s="1270">
        <f t="shared" si="0"/>
        <v>0.06</v>
      </c>
    </row>
    <row r="40" spans="1:8" s="535" customFormat="1" ht="20.100000000000001" customHeight="1">
      <c r="A40" s="1267">
        <f t="shared" si="2"/>
        <v>27</v>
      </c>
      <c r="B40" s="1884" t="str">
        <f>VLOOKUP(A40,'BASE REDE'!A:N,2,FALSE)</f>
        <v>T81</v>
      </c>
      <c r="C40" s="1885"/>
      <c r="D40" s="1236">
        <f>VLOOKUP(A40,'BASE REDE'!A:N,4,FALSE)</f>
        <v>81.08</v>
      </c>
      <c r="E40" s="1237">
        <f>VLOOKUP(A40,'BASE REDE'!A:N,5,FALSE)</f>
        <v>0.6</v>
      </c>
      <c r="F40" s="1268">
        <f t="shared" si="1"/>
        <v>48.64</v>
      </c>
      <c r="G40" s="1269">
        <v>1.1999999999999999E-3</v>
      </c>
      <c r="H40" s="1270">
        <f t="shared" si="0"/>
        <v>5.8000000000000003E-2</v>
      </c>
    </row>
    <row r="41" spans="1:8" s="535" customFormat="1" ht="20.100000000000001" customHeight="1">
      <c r="A41" s="1267">
        <f t="shared" si="2"/>
        <v>28</v>
      </c>
      <c r="B41" s="1884" t="str">
        <f>VLOOKUP(A41,'BASE REDE'!A:N,2,FALSE)</f>
        <v>T82</v>
      </c>
      <c r="C41" s="1885"/>
      <c r="D41" s="1236">
        <f>VLOOKUP(A41,'BASE REDE'!A:N,4,FALSE)</f>
        <v>90.34</v>
      </c>
      <c r="E41" s="1237">
        <f>VLOOKUP(A41,'BASE REDE'!A:N,5,FALSE)</f>
        <v>0.6</v>
      </c>
      <c r="F41" s="1268">
        <f t="shared" si="1"/>
        <v>54.2</v>
      </c>
      <c r="G41" s="1269">
        <v>1.1999999999999999E-3</v>
      </c>
      <c r="H41" s="1270">
        <f t="shared" si="0"/>
        <v>6.5000000000000002E-2</v>
      </c>
    </row>
    <row r="42" spans="1:8" s="535" customFormat="1" ht="20.100000000000001" customHeight="1">
      <c r="A42" s="1267">
        <f t="shared" si="2"/>
        <v>29</v>
      </c>
      <c r="B42" s="1884" t="str">
        <f>VLOOKUP(A42,'BASE REDE'!A:N,2,FALSE)</f>
        <v>T83</v>
      </c>
      <c r="C42" s="1885"/>
      <c r="D42" s="1236">
        <f>VLOOKUP(A42,'BASE REDE'!A:N,4,FALSE)</f>
        <v>85.65</v>
      </c>
      <c r="E42" s="1237">
        <f>VLOOKUP(A42,'BASE REDE'!A:N,5,FALSE)</f>
        <v>0.6</v>
      </c>
      <c r="F42" s="1268">
        <f t="shared" si="1"/>
        <v>51.39</v>
      </c>
      <c r="G42" s="1269">
        <v>1.1999999999999999E-3</v>
      </c>
      <c r="H42" s="1270">
        <f t="shared" si="0"/>
        <v>6.0999999999999999E-2</v>
      </c>
    </row>
    <row r="43" spans="1:8" s="535" customFormat="1" ht="20.100000000000001" customHeight="1">
      <c r="A43" s="1267">
        <f t="shared" si="2"/>
        <v>30</v>
      </c>
      <c r="B43" s="1884" t="str">
        <f>VLOOKUP(A43,'BASE REDE'!A:N,2,FALSE)</f>
        <v>T84</v>
      </c>
      <c r="C43" s="1885"/>
      <c r="D43" s="1236">
        <f>VLOOKUP(A43,'BASE REDE'!A:N,4,FALSE)</f>
        <v>87.44</v>
      </c>
      <c r="E43" s="1237">
        <f>VLOOKUP(A43,'BASE REDE'!A:N,5,FALSE)</f>
        <v>0.6</v>
      </c>
      <c r="F43" s="1268">
        <f t="shared" si="1"/>
        <v>52.46</v>
      </c>
      <c r="G43" s="1269">
        <v>1.1999999999999999E-3</v>
      </c>
      <c r="H43" s="1270">
        <f t="shared" si="0"/>
        <v>6.2E-2</v>
      </c>
    </row>
    <row r="44" spans="1:8" s="535" customFormat="1" ht="20.100000000000001" customHeight="1">
      <c r="A44" s="1267">
        <f t="shared" si="2"/>
        <v>31</v>
      </c>
      <c r="B44" s="1884" t="str">
        <f>VLOOKUP(A44,'BASE REDE'!A:N,2,FALSE)</f>
        <v>T85</v>
      </c>
      <c r="C44" s="1885"/>
      <c r="D44" s="1236">
        <f>VLOOKUP(A44,'BASE REDE'!A:N,4,FALSE)</f>
        <v>90.7</v>
      </c>
      <c r="E44" s="1237">
        <f>VLOOKUP(A44,'BASE REDE'!A:N,5,FALSE)</f>
        <v>0.6</v>
      </c>
      <c r="F44" s="1268">
        <f t="shared" si="1"/>
        <v>54.42</v>
      </c>
      <c r="G44" s="1269">
        <v>1.1999999999999999E-3</v>
      </c>
      <c r="H44" s="1270">
        <f t="shared" si="0"/>
        <v>6.5000000000000002E-2</v>
      </c>
    </row>
    <row r="45" spans="1:8" s="535" customFormat="1" ht="20.100000000000001" customHeight="1">
      <c r="A45" s="1267">
        <f t="shared" si="2"/>
        <v>32</v>
      </c>
      <c r="B45" s="1884" t="str">
        <f>VLOOKUP(A45,'BASE REDE'!A:N,2,FALSE)</f>
        <v>T86</v>
      </c>
      <c r="C45" s="1885"/>
      <c r="D45" s="1236">
        <f>VLOOKUP(A45,'BASE REDE'!A:N,4,FALSE)</f>
        <v>78.069999999999993</v>
      </c>
      <c r="E45" s="1237">
        <f>VLOOKUP(A45,'BASE REDE'!A:N,5,FALSE)</f>
        <v>0.6</v>
      </c>
      <c r="F45" s="1268">
        <f t="shared" si="1"/>
        <v>46.84</v>
      </c>
      <c r="G45" s="1269">
        <v>1.1999999999999999E-3</v>
      </c>
      <c r="H45" s="1270">
        <f t="shared" si="0"/>
        <v>5.6000000000000001E-2</v>
      </c>
    </row>
    <row r="46" spans="1:8" s="535" customFormat="1" ht="20.100000000000001" customHeight="1">
      <c r="A46" s="1267">
        <f t="shared" si="2"/>
        <v>33</v>
      </c>
      <c r="B46" s="1884" t="str">
        <f>VLOOKUP(A46,'BASE REDE'!A:N,2,FALSE)</f>
        <v>T87</v>
      </c>
      <c r="C46" s="1885"/>
      <c r="D46" s="1236">
        <f>VLOOKUP(A46,'BASE REDE'!A:N,4,FALSE)</f>
        <v>84.54</v>
      </c>
      <c r="E46" s="1237">
        <f>VLOOKUP(A46,'BASE REDE'!A:N,5,FALSE)</f>
        <v>0.6</v>
      </c>
      <c r="F46" s="1268">
        <f t="shared" si="1"/>
        <v>50.72</v>
      </c>
      <c r="G46" s="1269">
        <v>1.1999999999999999E-3</v>
      </c>
      <c r="H46" s="1270">
        <f t="shared" si="0"/>
        <v>0.06</v>
      </c>
    </row>
    <row r="47" spans="1:8" s="535" customFormat="1" ht="20.100000000000001" customHeight="1">
      <c r="A47" s="1267">
        <f t="shared" si="2"/>
        <v>34</v>
      </c>
      <c r="B47" s="1884" t="str">
        <f>VLOOKUP(A47,'BASE REDE'!A:N,2,FALSE)</f>
        <v>T88</v>
      </c>
      <c r="C47" s="1885"/>
      <c r="D47" s="1236">
        <f>VLOOKUP(A47,'BASE REDE'!A:N,4,FALSE)</f>
        <v>80.97</v>
      </c>
      <c r="E47" s="1237">
        <f>VLOOKUP(A47,'BASE REDE'!A:N,5,FALSE)</f>
        <v>0.6</v>
      </c>
      <c r="F47" s="1268">
        <f t="shared" si="1"/>
        <v>48.58</v>
      </c>
      <c r="G47" s="1269">
        <v>1.1999999999999999E-3</v>
      </c>
      <c r="H47" s="1270">
        <f t="shared" si="0"/>
        <v>5.8000000000000003E-2</v>
      </c>
    </row>
    <row r="48" spans="1:8" s="535" customFormat="1" ht="20.100000000000001" customHeight="1">
      <c r="A48" s="1267">
        <f t="shared" si="2"/>
        <v>35</v>
      </c>
      <c r="B48" s="1884" t="str">
        <f>VLOOKUP(A48,'BASE REDE'!A:N,2,FALSE)</f>
        <v>T99</v>
      </c>
      <c r="C48" s="1885"/>
      <c r="D48" s="1236">
        <f>VLOOKUP(A48,'BASE REDE'!A:N,4,FALSE)</f>
        <v>26.81</v>
      </c>
      <c r="E48" s="1237">
        <f>VLOOKUP(A48,'BASE REDE'!A:N,5,FALSE)</f>
        <v>0.6</v>
      </c>
      <c r="F48" s="1268">
        <f t="shared" si="1"/>
        <v>16.079999999999998</v>
      </c>
      <c r="G48" s="1269">
        <v>1.1999999999999999E-3</v>
      </c>
      <c r="H48" s="1270">
        <f t="shared" si="0"/>
        <v>1.9E-2</v>
      </c>
    </row>
    <row r="49" spans="1:225" s="535" customFormat="1" ht="20.100000000000001" customHeight="1">
      <c r="A49" s="1267">
        <f t="shared" si="2"/>
        <v>36</v>
      </c>
      <c r="B49" s="1884" t="str">
        <f>VLOOKUP(A49,'BASE REDE'!A:N,2,FALSE)</f>
        <v>T101</v>
      </c>
      <c r="C49" s="1885"/>
      <c r="D49" s="1236">
        <f>VLOOKUP(A49,'BASE REDE'!A:N,4,FALSE)</f>
        <v>168.98</v>
      </c>
      <c r="E49" s="1237">
        <f>VLOOKUP(A49,'BASE REDE'!A:N,5,FALSE)</f>
        <v>0.6</v>
      </c>
      <c r="F49" s="1268">
        <f t="shared" si="1"/>
        <v>101.38</v>
      </c>
      <c r="G49" s="1269">
        <v>1.1999999999999999E-3</v>
      </c>
      <c r="H49" s="1270">
        <f t="shared" si="0"/>
        <v>0.121</v>
      </c>
    </row>
    <row r="50" spans="1:225" s="535" customFormat="1" ht="20.100000000000001" customHeight="1">
      <c r="A50" s="1267">
        <f t="shared" si="2"/>
        <v>37</v>
      </c>
      <c r="B50" s="1884" t="str">
        <f>VLOOKUP(A50,'BASE REDE'!A:N,2,FALSE)</f>
        <v>T102</v>
      </c>
      <c r="C50" s="1885"/>
      <c r="D50" s="1236">
        <f>VLOOKUP(A50,'BASE REDE'!A:N,4,FALSE)</f>
        <v>135.36000000000001</v>
      </c>
      <c r="E50" s="1237">
        <f>VLOOKUP(A50,'BASE REDE'!A:N,5,FALSE)</f>
        <v>0.6</v>
      </c>
      <c r="F50" s="1268">
        <f t="shared" si="1"/>
        <v>81.209999999999994</v>
      </c>
      <c r="G50" s="1269">
        <v>1.1999999999999999E-3</v>
      </c>
      <c r="H50" s="1270">
        <f t="shared" si="0"/>
        <v>9.7000000000000003E-2</v>
      </c>
    </row>
    <row r="51" spans="1:225" s="535" customFormat="1" ht="20.100000000000001" customHeight="1">
      <c r="A51" s="1267">
        <f t="shared" si="2"/>
        <v>38</v>
      </c>
      <c r="B51" s="1884" t="str">
        <f>VLOOKUP(A51,'BASE REDE'!A:N,2,FALSE)</f>
        <v>T105</v>
      </c>
      <c r="C51" s="1885"/>
      <c r="D51" s="1236">
        <f>VLOOKUP(A51,'BASE REDE'!A:N,4,FALSE)</f>
        <v>97.63</v>
      </c>
      <c r="E51" s="1237">
        <f>VLOOKUP(A51,'BASE REDE'!A:N,5,FALSE)</f>
        <v>0.6</v>
      </c>
      <c r="F51" s="1268">
        <f t="shared" si="1"/>
        <v>58.57</v>
      </c>
      <c r="G51" s="1269">
        <v>1.1999999999999999E-3</v>
      </c>
      <c r="H51" s="1270">
        <f t="shared" si="0"/>
        <v>7.0000000000000007E-2</v>
      </c>
    </row>
    <row r="52" spans="1:225" s="535" customFormat="1" ht="20.100000000000001" customHeight="1">
      <c r="A52" s="1267">
        <f t="shared" si="2"/>
        <v>39</v>
      </c>
      <c r="B52" s="1884" t="str">
        <f>VLOOKUP(A52,'BASE REDE'!A:N,2,FALSE)</f>
        <v>T106</v>
      </c>
      <c r="C52" s="1885"/>
      <c r="D52" s="1236">
        <f>VLOOKUP(A52,'BASE REDE'!A:N,4,FALSE)</f>
        <v>171.87</v>
      </c>
      <c r="E52" s="1237">
        <f>VLOOKUP(A52,'BASE REDE'!A:N,5,FALSE)</f>
        <v>0.6</v>
      </c>
      <c r="F52" s="1268">
        <f t="shared" si="1"/>
        <v>103.12</v>
      </c>
      <c r="G52" s="1269">
        <v>1.1999999999999999E-3</v>
      </c>
      <c r="H52" s="1270">
        <f t="shared" si="0"/>
        <v>0.123</v>
      </c>
    </row>
    <row r="53" spans="1:225" s="535" customFormat="1" ht="20.100000000000001" customHeight="1">
      <c r="A53" s="1267">
        <f t="shared" si="2"/>
        <v>40</v>
      </c>
      <c r="B53" s="1884" t="str">
        <f>VLOOKUP(A53,'BASE REDE'!A:N,2,FALSE)</f>
        <v>T107</v>
      </c>
      <c r="C53" s="1885"/>
      <c r="D53" s="1236">
        <f>VLOOKUP(A53,'BASE REDE'!A:N,4,FALSE)</f>
        <v>89.68</v>
      </c>
      <c r="E53" s="1237">
        <f>VLOOKUP(A53,'BASE REDE'!A:N,5,FALSE)</f>
        <v>0.6</v>
      </c>
      <c r="F53" s="1268">
        <f t="shared" si="1"/>
        <v>53.8</v>
      </c>
      <c r="G53" s="1269">
        <v>1.1999999999999999E-3</v>
      </c>
      <c r="H53" s="1270">
        <f t="shared" si="0"/>
        <v>6.4000000000000001E-2</v>
      </c>
    </row>
    <row r="54" spans="1:225" s="535" customFormat="1" ht="20.100000000000001" customHeight="1">
      <c r="A54" s="1267">
        <f t="shared" si="2"/>
        <v>41</v>
      </c>
      <c r="B54" s="1884" t="str">
        <f>VLOOKUP(A54,'BASE REDE'!A:N,2,FALSE)</f>
        <v>T108</v>
      </c>
      <c r="C54" s="1885"/>
      <c r="D54" s="1236">
        <f>VLOOKUP(A54,'BASE REDE'!A:N,4,FALSE)</f>
        <v>96.97</v>
      </c>
      <c r="E54" s="1237">
        <f>VLOOKUP(A54,'BASE REDE'!A:N,5,FALSE)</f>
        <v>0.6</v>
      </c>
      <c r="F54" s="1268">
        <f t="shared" si="1"/>
        <v>58.18</v>
      </c>
      <c r="G54" s="1269">
        <v>1.1999999999999999E-3</v>
      </c>
      <c r="H54" s="1270">
        <f t="shared" si="0"/>
        <v>6.9000000000000006E-2</v>
      </c>
    </row>
    <row r="55" spans="1:225" s="535" customFormat="1" ht="20.100000000000001" customHeight="1">
      <c r="A55" s="1267">
        <f t="shared" si="2"/>
        <v>42</v>
      </c>
      <c r="B55" s="1884" t="str">
        <f>VLOOKUP(A55,'BASE REDE'!A:N,2,FALSE)</f>
        <v>T109</v>
      </c>
      <c r="C55" s="1885"/>
      <c r="D55" s="1236">
        <f>VLOOKUP(A55,'BASE REDE'!A:N,4,FALSE)</f>
        <v>101.54</v>
      </c>
      <c r="E55" s="1237">
        <f>VLOOKUP(A55,'BASE REDE'!A:N,5,FALSE)</f>
        <v>0.6</v>
      </c>
      <c r="F55" s="1268">
        <f t="shared" si="1"/>
        <v>60.92</v>
      </c>
      <c r="G55" s="1269">
        <v>1.1999999999999999E-3</v>
      </c>
      <c r="H55" s="1270">
        <f t="shared" si="0"/>
        <v>7.2999999999999995E-2</v>
      </c>
    </row>
    <row r="56" spans="1:225" s="535" customFormat="1" ht="20.100000000000001" customHeight="1">
      <c r="A56" s="1267">
        <f t="shared" si="2"/>
        <v>43</v>
      </c>
      <c r="B56" s="1884" t="str">
        <f>VLOOKUP(A56,'BASE REDE'!A:N,2,FALSE)</f>
        <v>T115</v>
      </c>
      <c r="C56" s="1885"/>
      <c r="D56" s="1236">
        <f>VLOOKUP(A56,'BASE REDE'!A:N,4,FALSE)</f>
        <v>83.97</v>
      </c>
      <c r="E56" s="1237">
        <f>VLOOKUP(A56,'BASE REDE'!A:N,5,FALSE)</f>
        <v>0.6</v>
      </c>
      <c r="F56" s="1268">
        <f t="shared" si="1"/>
        <v>50.38</v>
      </c>
      <c r="G56" s="1269">
        <v>1.1999999999999999E-3</v>
      </c>
      <c r="H56" s="1270">
        <f t="shared" si="0"/>
        <v>0.06</v>
      </c>
    </row>
    <row r="57" spans="1:225" s="535" customFormat="1" ht="20.100000000000001" customHeight="1">
      <c r="A57" s="1267">
        <f t="shared" si="2"/>
        <v>44</v>
      </c>
      <c r="B57" s="1884" t="str">
        <f>VLOOKUP(A57,'BASE REDE'!A:N,2,FALSE)</f>
        <v>T116</v>
      </c>
      <c r="C57" s="1885"/>
      <c r="D57" s="1236">
        <f>VLOOKUP(A57,'BASE REDE'!A:N,4,FALSE)</f>
        <v>93.71</v>
      </c>
      <c r="E57" s="1237">
        <f>VLOOKUP(A57,'BASE REDE'!A:N,5,FALSE)</f>
        <v>0.6</v>
      </c>
      <c r="F57" s="1268">
        <f t="shared" si="1"/>
        <v>56.22</v>
      </c>
      <c r="G57" s="1269">
        <v>1.1999999999999999E-3</v>
      </c>
      <c r="H57" s="1270">
        <f t="shared" si="0"/>
        <v>6.7000000000000004E-2</v>
      </c>
    </row>
    <row r="58" spans="1:225" s="535" customFormat="1" ht="20.100000000000001" customHeight="1">
      <c r="A58" s="1267">
        <f t="shared" si="2"/>
        <v>45</v>
      </c>
      <c r="B58" s="1884" t="str">
        <f>VLOOKUP(A58,'BASE REDE'!A:N,2,FALSE)</f>
        <v>T117</v>
      </c>
      <c r="C58" s="1885"/>
      <c r="D58" s="1236">
        <f>VLOOKUP(A58,'BASE REDE'!A:N,4,FALSE)</f>
        <v>79.19</v>
      </c>
      <c r="E58" s="1237">
        <f>VLOOKUP(A58,'BASE REDE'!A:N,5,FALSE)</f>
        <v>0.6</v>
      </c>
      <c r="F58" s="1268">
        <f t="shared" si="1"/>
        <v>47.51</v>
      </c>
      <c r="G58" s="1269">
        <v>1.1999999999999999E-3</v>
      </c>
      <c r="H58" s="1270">
        <f t="shared" si="0"/>
        <v>5.7000000000000002E-2</v>
      </c>
    </row>
    <row r="59" spans="1:225" s="535" customFormat="1" ht="20.100000000000001" customHeight="1">
      <c r="A59" s="1267">
        <f t="shared" si="2"/>
        <v>46</v>
      </c>
      <c r="B59" s="1884" t="str">
        <f>VLOOKUP(A59,'BASE REDE'!A:N,2,FALSE)</f>
        <v>T118</v>
      </c>
      <c r="C59" s="1885"/>
      <c r="D59" s="1236">
        <f>VLOOKUP(A59,'BASE REDE'!A:N,4,FALSE)</f>
        <v>81.53</v>
      </c>
      <c r="E59" s="1237">
        <f>VLOOKUP(A59,'BASE REDE'!A:N,5,FALSE)</f>
        <v>0.6</v>
      </c>
      <c r="F59" s="1268">
        <f t="shared" si="1"/>
        <v>48.91</v>
      </c>
      <c r="G59" s="1269">
        <v>1.1999999999999999E-3</v>
      </c>
      <c r="H59" s="1270">
        <f t="shared" si="0"/>
        <v>5.8000000000000003E-2</v>
      </c>
    </row>
    <row r="60" spans="1:225" s="535" customFormat="1" ht="20.100000000000001" customHeight="1">
      <c r="A60" s="1267">
        <f t="shared" si="2"/>
        <v>47</v>
      </c>
      <c r="B60" s="1884" t="str">
        <f>VLOOKUP(A60,'BASE REDE'!A:N,2,FALSE)</f>
        <v>T119</v>
      </c>
      <c r="C60" s="1885"/>
      <c r="D60" s="1236">
        <f>VLOOKUP(A60,'BASE REDE'!A:N,4,FALSE)</f>
        <v>83.43</v>
      </c>
      <c r="E60" s="1237">
        <f>VLOOKUP(A60,'BASE REDE'!A:N,5,FALSE)</f>
        <v>0.6</v>
      </c>
      <c r="F60" s="1268">
        <f t="shared" si="1"/>
        <v>50.05</v>
      </c>
      <c r="G60" s="1269">
        <v>1.1999999999999999E-3</v>
      </c>
      <c r="H60" s="1270">
        <f t="shared" si="0"/>
        <v>0.06</v>
      </c>
    </row>
    <row r="61" spans="1:225" s="535" customFormat="1" ht="20.100000000000001" customHeight="1">
      <c r="A61" s="1267">
        <f t="shared" si="2"/>
        <v>48</v>
      </c>
      <c r="B61" s="1884" t="str">
        <f>VLOOKUP(A61,'BASE REDE'!A:N,2,FALSE)</f>
        <v>T124</v>
      </c>
      <c r="C61" s="1885"/>
      <c r="D61" s="1236">
        <f>VLOOKUP(A61,'BASE REDE'!A:N,4,FALSE)</f>
        <v>71.14</v>
      </c>
      <c r="E61" s="1237">
        <f>VLOOKUP(A61,'BASE REDE'!A:N,5,FALSE)</f>
        <v>0.6</v>
      </c>
      <c r="F61" s="1268">
        <f t="shared" si="1"/>
        <v>42.68</v>
      </c>
      <c r="G61" s="1269">
        <v>1.1999999999999999E-3</v>
      </c>
      <c r="H61" s="1270">
        <f t="shared" si="0"/>
        <v>5.0999999999999997E-2</v>
      </c>
    </row>
    <row r="62" spans="1:225" s="535" customFormat="1" ht="20.100000000000001" customHeight="1">
      <c r="A62" s="1267">
        <f t="shared" si="2"/>
        <v>49</v>
      </c>
      <c r="B62" s="1884" t="str">
        <f>VLOOKUP(A62,'BASE REDE'!A:N,2,FALSE)</f>
        <v>T125</v>
      </c>
      <c r="C62" s="1885"/>
      <c r="D62" s="1236">
        <f>VLOOKUP(A62,'BASE REDE'!A:N,4,FALSE)</f>
        <v>126.75</v>
      </c>
      <c r="E62" s="1237">
        <f>VLOOKUP(A62,'BASE REDE'!A:N,5,FALSE)</f>
        <v>0.6</v>
      </c>
      <c r="F62" s="1268">
        <f t="shared" si="1"/>
        <v>76.05</v>
      </c>
      <c r="G62" s="1269">
        <v>1.1999999999999999E-3</v>
      </c>
      <c r="H62" s="1270">
        <f t="shared" si="0"/>
        <v>9.0999999999999998E-2</v>
      </c>
    </row>
    <row r="63" spans="1:225" s="535" customFormat="1" ht="20.100000000000001" customHeight="1">
      <c r="A63" s="1267">
        <f t="shared" si="2"/>
        <v>50</v>
      </c>
      <c r="B63" s="1884" t="str">
        <f>VLOOKUP(A63,'BASE REDE'!A:N,2,FALSE)</f>
        <v>T126</v>
      </c>
      <c r="C63" s="1885"/>
      <c r="D63" s="1236">
        <f>VLOOKUP(A63,'BASE REDE'!A:N,4,FALSE)</f>
        <v>120.18</v>
      </c>
      <c r="E63" s="1237">
        <f>VLOOKUP(A63,'BASE REDE'!A:N,5,FALSE)</f>
        <v>0.6</v>
      </c>
      <c r="F63" s="1268">
        <f t="shared" si="1"/>
        <v>72.099999999999994</v>
      </c>
      <c r="G63" s="1269">
        <v>1.1999999999999999E-3</v>
      </c>
      <c r="H63" s="1270">
        <f t="shared" si="0"/>
        <v>8.5999999999999993E-2</v>
      </c>
    </row>
    <row r="64" spans="1:225" s="220" customFormat="1" ht="20.100000000000001" customHeight="1">
      <c r="A64" s="1921" t="s">
        <v>14005</v>
      </c>
      <c r="B64" s="1922"/>
      <c r="C64" s="1922"/>
      <c r="D64" s="1262">
        <f>SUM(D14:D63)</f>
        <v>4762.2900000000009</v>
      </c>
      <c r="E64" s="1263"/>
      <c r="F64" s="1262">
        <f>SUM(F14:F63)</f>
        <v>2857.1300000000006</v>
      </c>
      <c r="G64" s="1262"/>
      <c r="H64" s="1262">
        <f>TRUNC(SUM(H14:H63),2)</f>
        <v>3.4</v>
      </c>
      <c r="I64" s="433"/>
      <c r="J64" s="433"/>
      <c r="K64" s="1242"/>
      <c r="L64" s="1243"/>
      <c r="M64" s="433"/>
      <c r="N64" s="433"/>
      <c r="O64" s="433"/>
      <c r="P64" s="433"/>
      <c r="Q64" s="1242"/>
      <c r="R64" s="1243"/>
      <c r="S64" s="433"/>
      <c r="T64" s="433"/>
      <c r="U64" s="433"/>
      <c r="V64" s="433"/>
      <c r="W64" s="1242"/>
      <c r="X64" s="1243"/>
      <c r="Y64" s="433"/>
      <c r="Z64" s="433"/>
      <c r="AA64" s="433"/>
      <c r="AB64" s="433"/>
      <c r="AC64" s="1242"/>
      <c r="AD64" s="1243"/>
      <c r="AE64" s="433"/>
      <c r="AF64" s="433"/>
      <c r="AG64" s="433"/>
      <c r="AH64" s="433"/>
      <c r="AI64" s="1242"/>
      <c r="AJ64" s="1243"/>
      <c r="AK64" s="433"/>
      <c r="AL64" s="433"/>
      <c r="AM64" s="433"/>
      <c r="AN64" s="433"/>
      <c r="AO64" s="1242"/>
      <c r="AP64" s="1243"/>
      <c r="AQ64" s="433"/>
      <c r="AR64" s="433"/>
      <c r="AS64" s="433"/>
      <c r="AT64" s="433"/>
      <c r="AU64" s="1242"/>
      <c r="AV64" s="1243"/>
      <c r="AW64" s="433"/>
      <c r="AX64" s="433"/>
      <c r="AY64" s="433"/>
      <c r="AZ64" s="433"/>
      <c r="BA64" s="1242"/>
      <c r="BB64" s="1243"/>
      <c r="BC64" s="433"/>
      <c r="BD64" s="433"/>
      <c r="BE64" s="433"/>
      <c r="BF64" s="433"/>
      <c r="BG64" s="1242"/>
      <c r="BH64" s="1243"/>
      <c r="BI64" s="433"/>
      <c r="BJ64" s="433"/>
      <c r="BK64" s="433"/>
      <c r="BL64" s="433"/>
      <c r="BM64" s="1242"/>
      <c r="BN64" s="1243"/>
      <c r="BO64" s="433"/>
      <c r="BP64" s="433"/>
      <c r="BQ64" s="433"/>
      <c r="BR64" s="433"/>
      <c r="BS64" s="1242"/>
      <c r="BT64" s="1243"/>
      <c r="BU64" s="433"/>
      <c r="BV64" s="433"/>
      <c r="BW64" s="433"/>
      <c r="BX64" s="433"/>
      <c r="BY64" s="1242"/>
      <c r="BZ64" s="1243"/>
      <c r="CA64" s="433"/>
      <c r="CB64" s="433"/>
      <c r="CC64" s="433"/>
      <c r="CD64" s="433"/>
      <c r="CE64" s="1242"/>
      <c r="CF64" s="1243"/>
      <c r="CG64" s="433"/>
      <c r="CH64" s="433"/>
      <c r="CI64" s="433"/>
      <c r="CJ64" s="433"/>
      <c r="CK64" s="1242"/>
      <c r="CL64" s="1243"/>
      <c r="CM64" s="433"/>
      <c r="CN64" s="433"/>
      <c r="CO64" s="433"/>
      <c r="CP64" s="433"/>
      <c r="CQ64" s="1242"/>
      <c r="CR64" s="1243"/>
      <c r="CS64" s="433"/>
      <c r="CT64" s="433"/>
      <c r="CU64" s="433"/>
      <c r="CV64" s="433"/>
      <c r="CW64" s="1242"/>
      <c r="CX64" s="1243"/>
      <c r="CY64" s="433"/>
      <c r="CZ64" s="433"/>
      <c r="DA64" s="433"/>
      <c r="DB64" s="433"/>
      <c r="DC64" s="1242"/>
      <c r="DD64" s="1243"/>
      <c r="DE64" s="433"/>
      <c r="DF64" s="433"/>
      <c r="DG64" s="433"/>
      <c r="DH64" s="433"/>
      <c r="DI64" s="1242"/>
      <c r="DJ64" s="1243"/>
      <c r="DK64" s="433"/>
      <c r="DL64" s="433"/>
      <c r="DM64" s="433"/>
      <c r="DN64" s="433"/>
      <c r="DO64" s="1242"/>
      <c r="DP64" s="1243"/>
      <c r="DQ64" s="433"/>
      <c r="DR64" s="433"/>
      <c r="DS64" s="433"/>
      <c r="DT64" s="433"/>
      <c r="DU64" s="1242"/>
      <c r="DV64" s="1243"/>
      <c r="DW64" s="433"/>
      <c r="DX64" s="433"/>
      <c r="DY64" s="433"/>
      <c r="DZ64" s="433"/>
      <c r="EA64" s="1242"/>
      <c r="EB64" s="1243"/>
      <c r="EC64" s="433"/>
      <c r="ED64" s="433"/>
      <c r="EE64" s="433"/>
      <c r="EF64" s="433"/>
      <c r="EG64" s="1242"/>
      <c r="EH64" s="1243"/>
      <c r="EI64" s="433"/>
      <c r="EJ64" s="433"/>
      <c r="EK64" s="433"/>
      <c r="EL64" s="433"/>
      <c r="EM64" s="1242"/>
      <c r="EN64" s="1243"/>
      <c r="EO64" s="433"/>
      <c r="EP64" s="433"/>
      <c r="EQ64" s="433"/>
      <c r="ER64" s="433"/>
      <c r="ES64" s="1242"/>
      <c r="ET64" s="1243"/>
      <c r="EU64" s="433"/>
      <c r="EV64" s="433"/>
      <c r="EW64" s="433"/>
      <c r="EX64" s="433"/>
      <c r="EY64" s="1242"/>
      <c r="EZ64" s="1243"/>
      <c r="FA64" s="433"/>
      <c r="FB64" s="433"/>
      <c r="FC64" s="433"/>
      <c r="FD64" s="433"/>
      <c r="FE64" s="1242"/>
      <c r="FF64" s="1243"/>
      <c r="FG64" s="433"/>
      <c r="FH64" s="433"/>
      <c r="FI64" s="433"/>
      <c r="FJ64" s="433"/>
      <c r="FK64" s="1242"/>
      <c r="FL64" s="1243"/>
      <c r="FM64" s="433"/>
      <c r="FN64" s="433"/>
      <c r="FO64" s="433"/>
      <c r="FP64" s="433"/>
      <c r="FQ64" s="1242"/>
      <c r="FR64" s="1243"/>
      <c r="FS64" s="433"/>
      <c r="FT64" s="433"/>
      <c r="FU64" s="433"/>
      <c r="FV64" s="433"/>
      <c r="FW64" s="1242"/>
      <c r="FX64" s="1243"/>
      <c r="FY64" s="433"/>
      <c r="FZ64" s="433"/>
      <c r="GA64" s="433"/>
      <c r="GB64" s="433"/>
      <c r="GC64" s="1242"/>
      <c r="GD64" s="1243"/>
      <c r="GE64" s="433"/>
      <c r="GF64" s="433"/>
      <c r="GG64" s="433"/>
      <c r="GH64" s="433"/>
      <c r="GI64" s="1242"/>
      <c r="GJ64" s="1243"/>
      <c r="GK64" s="433"/>
      <c r="GL64" s="433"/>
      <c r="GM64" s="433"/>
      <c r="GN64" s="433"/>
      <c r="GO64" s="1242"/>
      <c r="GP64" s="1243"/>
      <c r="GQ64" s="433"/>
      <c r="GR64" s="433"/>
      <c r="GS64" s="433"/>
      <c r="GT64" s="433"/>
      <c r="GU64" s="1242"/>
      <c r="GV64" s="1243"/>
      <c r="GW64" s="433"/>
      <c r="GX64" s="433"/>
      <c r="GY64" s="433"/>
      <c r="GZ64" s="433"/>
      <c r="HA64" s="1242"/>
      <c r="HB64" s="1243"/>
      <c r="HC64" s="433"/>
      <c r="HD64" s="433"/>
      <c r="HE64" s="433"/>
      <c r="HF64" s="433"/>
      <c r="HG64" s="1242"/>
      <c r="HH64" s="1243"/>
      <c r="HI64" s="433"/>
      <c r="HJ64" s="433"/>
      <c r="HK64" s="433"/>
      <c r="HL64" s="433"/>
      <c r="HM64" s="1242"/>
      <c r="HN64" s="1243"/>
      <c r="HO64" s="433"/>
      <c r="HP64" s="433"/>
      <c r="HQ64" s="433"/>
    </row>
    <row r="65" spans="5:5">
      <c r="E65" s="1244"/>
    </row>
  </sheetData>
  <mergeCells count="68">
    <mergeCell ref="B6:H6"/>
    <mergeCell ref="A1:H1"/>
    <mergeCell ref="A2:H2"/>
    <mergeCell ref="A3:H3"/>
    <mergeCell ref="A4:H4"/>
    <mergeCell ref="A5:H5"/>
    <mergeCell ref="B18:C18"/>
    <mergeCell ref="B7:H7"/>
    <mergeCell ref="B8:H8"/>
    <mergeCell ref="B9:H9"/>
    <mergeCell ref="A10:H10"/>
    <mergeCell ref="A11:A13"/>
    <mergeCell ref="B11:C13"/>
    <mergeCell ref="D11:D12"/>
    <mergeCell ref="E11:E12"/>
    <mergeCell ref="F11:F12"/>
    <mergeCell ref="G11:G12"/>
    <mergeCell ref="H11:H12"/>
    <mergeCell ref="B14:C14"/>
    <mergeCell ref="B15:C15"/>
    <mergeCell ref="B16:C16"/>
    <mergeCell ref="B17:C17"/>
    <mergeCell ref="B30:C30"/>
    <mergeCell ref="B19:C19"/>
    <mergeCell ref="B20:C20"/>
    <mergeCell ref="B21:C21"/>
    <mergeCell ref="B22:C22"/>
    <mergeCell ref="B23:C23"/>
    <mergeCell ref="B24:C24"/>
    <mergeCell ref="B25:C25"/>
    <mergeCell ref="B26:C26"/>
    <mergeCell ref="B27:C27"/>
    <mergeCell ref="B28:C28"/>
    <mergeCell ref="B29:C29"/>
    <mergeCell ref="B42:C42"/>
    <mergeCell ref="B31:C31"/>
    <mergeCell ref="B32:C32"/>
    <mergeCell ref="B33:C33"/>
    <mergeCell ref="B34:C34"/>
    <mergeCell ref="B35:C35"/>
    <mergeCell ref="B36:C36"/>
    <mergeCell ref="B37:C37"/>
    <mergeCell ref="B38:C38"/>
    <mergeCell ref="B39:C39"/>
    <mergeCell ref="B40:C40"/>
    <mergeCell ref="B41:C41"/>
    <mergeCell ref="B54:C54"/>
    <mergeCell ref="B43:C43"/>
    <mergeCell ref="B44:C44"/>
    <mergeCell ref="B45:C45"/>
    <mergeCell ref="B46:C46"/>
    <mergeCell ref="B47:C47"/>
    <mergeCell ref="B48:C48"/>
    <mergeCell ref="B49:C49"/>
    <mergeCell ref="B50:C50"/>
    <mergeCell ref="B51:C51"/>
    <mergeCell ref="B52:C52"/>
    <mergeCell ref="B53:C53"/>
    <mergeCell ref="B61:C61"/>
    <mergeCell ref="B62:C62"/>
    <mergeCell ref="B63:C63"/>
    <mergeCell ref="A64:C64"/>
    <mergeCell ref="B55:C55"/>
    <mergeCell ref="B56:C56"/>
    <mergeCell ref="B57:C57"/>
    <mergeCell ref="B58:C58"/>
    <mergeCell ref="B59:C59"/>
    <mergeCell ref="B60:C60"/>
  </mergeCells>
  <printOptions horizontalCentered="1"/>
  <pageMargins left="0.7" right="0.7" top="0.46" bottom="0.75" header="0.3" footer="0.3"/>
  <pageSetup paperSize="9" scale="62" firstPageNumber="25" fitToHeight="0" orientation="portrait" useFirstPageNumber="1" r:id="rId1"/>
  <headerFooter scaleWithDoc="0"/>
  <drawing r:id="rId2"/>
</worksheet>
</file>

<file path=xl/worksheets/sheet3.xml><?xml version="1.0" encoding="utf-8"?>
<worksheet xmlns="http://schemas.openxmlformats.org/spreadsheetml/2006/main" xmlns:r="http://schemas.openxmlformats.org/officeDocument/2006/relationships">
  <sheetPr codeName="Planilha4">
    <tabColor rgb="FFFFCCFF"/>
  </sheetPr>
  <dimension ref="A1:S329"/>
  <sheetViews>
    <sheetView tabSelected="1" view="pageBreakPreview" topLeftCell="A168" zoomScale="70" zoomScaleNormal="130" zoomScaleSheetLayoutView="70" workbookViewId="0">
      <selection activeCell="G203" sqref="G203"/>
    </sheetView>
  </sheetViews>
  <sheetFormatPr defaultRowHeight="12.75"/>
  <cols>
    <col min="1" max="1" width="3.85546875" style="5" customWidth="1"/>
    <col min="2" max="2" width="1.140625" style="5" customWidth="1"/>
    <col min="3" max="3" width="2.5703125" style="5" bestFit="1" customWidth="1"/>
    <col min="4" max="4" width="2.5703125" style="2" customWidth="1"/>
    <col min="5" max="5" width="2.85546875" style="2" customWidth="1"/>
    <col min="6" max="6" width="10.42578125" style="6" customWidth="1"/>
    <col min="7" max="7" width="18.7109375" style="6" customWidth="1"/>
    <col min="8" max="8" width="101.28515625" style="55" customWidth="1"/>
    <col min="9" max="9" width="12.42578125" style="6" customWidth="1"/>
    <col min="10" max="10" width="14.28515625" style="8" customWidth="1"/>
    <col min="11" max="11" width="13.5703125" style="8" customWidth="1"/>
    <col min="12" max="12" width="13" style="8" customWidth="1"/>
    <col min="13" max="13" width="19.28515625" style="8" bestFit="1" customWidth="1"/>
    <col min="14" max="14" width="34.85546875" style="9" customWidth="1"/>
    <col min="15" max="15" width="29.28515625" style="10" bestFit="1" customWidth="1"/>
    <col min="16" max="16" width="30.42578125" style="5" bestFit="1" customWidth="1"/>
    <col min="17" max="17" width="23.85546875" style="5" customWidth="1"/>
    <col min="18" max="18" width="12.7109375" style="5" bestFit="1" customWidth="1"/>
    <col min="19" max="19" width="13.85546875" style="5" bestFit="1" customWidth="1"/>
    <col min="20" max="259" width="9.140625" style="5"/>
    <col min="260" max="260" width="8" style="5" customWidth="1"/>
    <col min="261" max="261" width="10.5703125" style="5" customWidth="1"/>
    <col min="262" max="262" width="8.5703125" style="5" customWidth="1"/>
    <col min="263" max="263" width="14.42578125" style="5" customWidth="1"/>
    <col min="264" max="264" width="75.140625" style="5" customWidth="1"/>
    <col min="265" max="265" width="12.42578125" style="5" customWidth="1"/>
    <col min="266" max="266" width="10.140625" style="5" customWidth="1"/>
    <col min="267" max="267" width="13.5703125" style="5" customWidth="1"/>
    <col min="268" max="268" width="11.42578125" style="5" customWidth="1"/>
    <col min="269" max="269" width="19.28515625" style="5" bestFit="1" customWidth="1"/>
    <col min="270" max="270" width="34.85546875" style="5" customWidth="1"/>
    <col min="271" max="271" width="8" style="5" bestFit="1" customWidth="1"/>
    <col min="272" max="272" width="30.42578125" style="5" bestFit="1" customWidth="1"/>
    <col min="273" max="273" width="11.7109375" style="5" bestFit="1" customWidth="1"/>
    <col min="274" max="274" width="9.140625" style="5"/>
    <col min="275" max="275" width="13.85546875" style="5" bestFit="1" customWidth="1"/>
    <col min="276" max="515" width="9.140625" style="5"/>
    <col min="516" max="516" width="8" style="5" customWidth="1"/>
    <col min="517" max="517" width="10.5703125" style="5" customWidth="1"/>
    <col min="518" max="518" width="8.5703125" style="5" customWidth="1"/>
    <col min="519" max="519" width="14.42578125" style="5" customWidth="1"/>
    <col min="520" max="520" width="75.140625" style="5" customWidth="1"/>
    <col min="521" max="521" width="12.42578125" style="5" customWidth="1"/>
    <col min="522" max="522" width="10.140625" style="5" customWidth="1"/>
    <col min="523" max="523" width="13.5703125" style="5" customWidth="1"/>
    <col min="524" max="524" width="11.42578125" style="5" customWidth="1"/>
    <col min="525" max="525" width="19.28515625" style="5" bestFit="1" customWidth="1"/>
    <col min="526" max="526" width="34.85546875" style="5" customWidth="1"/>
    <col min="527" max="527" width="8" style="5" bestFit="1" customWidth="1"/>
    <col min="528" max="528" width="30.42578125" style="5" bestFit="1" customWidth="1"/>
    <col min="529" max="529" width="11.7109375" style="5" bestFit="1" customWidth="1"/>
    <col min="530" max="530" width="9.140625" style="5"/>
    <col min="531" max="531" width="13.85546875" style="5" bestFit="1" customWidth="1"/>
    <col min="532" max="771" width="9.140625" style="5"/>
    <col min="772" max="772" width="8" style="5" customWidth="1"/>
    <col min="773" max="773" width="10.5703125" style="5" customWidth="1"/>
    <col min="774" max="774" width="8.5703125" style="5" customWidth="1"/>
    <col min="775" max="775" width="14.42578125" style="5" customWidth="1"/>
    <col min="776" max="776" width="75.140625" style="5" customWidth="1"/>
    <col min="777" max="777" width="12.42578125" style="5" customWidth="1"/>
    <col min="778" max="778" width="10.140625" style="5" customWidth="1"/>
    <col min="779" max="779" width="13.5703125" style="5" customWidth="1"/>
    <col min="780" max="780" width="11.42578125" style="5" customWidth="1"/>
    <col min="781" max="781" width="19.28515625" style="5" bestFit="1" customWidth="1"/>
    <col min="782" max="782" width="34.85546875" style="5" customWidth="1"/>
    <col min="783" max="783" width="8" style="5" bestFit="1" customWidth="1"/>
    <col min="784" max="784" width="30.42578125" style="5" bestFit="1" customWidth="1"/>
    <col min="785" max="785" width="11.7109375" style="5" bestFit="1" customWidth="1"/>
    <col min="786" max="786" width="9.140625" style="5"/>
    <col min="787" max="787" width="13.85546875" style="5" bestFit="1" customWidth="1"/>
    <col min="788" max="1027" width="9.140625" style="5"/>
    <col min="1028" max="1028" width="8" style="5" customWidth="1"/>
    <col min="1029" max="1029" width="10.5703125" style="5" customWidth="1"/>
    <col min="1030" max="1030" width="8.5703125" style="5" customWidth="1"/>
    <col min="1031" max="1031" width="14.42578125" style="5" customWidth="1"/>
    <col min="1032" max="1032" width="75.140625" style="5" customWidth="1"/>
    <col min="1033" max="1033" width="12.42578125" style="5" customWidth="1"/>
    <col min="1034" max="1034" width="10.140625" style="5" customWidth="1"/>
    <col min="1035" max="1035" width="13.5703125" style="5" customWidth="1"/>
    <col min="1036" max="1036" width="11.42578125" style="5" customWidth="1"/>
    <col min="1037" max="1037" width="19.28515625" style="5" bestFit="1" customWidth="1"/>
    <col min="1038" max="1038" width="34.85546875" style="5" customWidth="1"/>
    <col min="1039" max="1039" width="8" style="5" bestFit="1" customWidth="1"/>
    <col min="1040" max="1040" width="30.42578125" style="5" bestFit="1" customWidth="1"/>
    <col min="1041" max="1041" width="11.7109375" style="5" bestFit="1" customWidth="1"/>
    <col min="1042" max="1042" width="9.140625" style="5"/>
    <col min="1043" max="1043" width="13.85546875" style="5" bestFit="1" customWidth="1"/>
    <col min="1044" max="1283" width="9.140625" style="5"/>
    <col min="1284" max="1284" width="8" style="5" customWidth="1"/>
    <col min="1285" max="1285" width="10.5703125" style="5" customWidth="1"/>
    <col min="1286" max="1286" width="8.5703125" style="5" customWidth="1"/>
    <col min="1287" max="1287" width="14.42578125" style="5" customWidth="1"/>
    <col min="1288" max="1288" width="75.140625" style="5" customWidth="1"/>
    <col min="1289" max="1289" width="12.42578125" style="5" customWidth="1"/>
    <col min="1290" max="1290" width="10.140625" style="5" customWidth="1"/>
    <col min="1291" max="1291" width="13.5703125" style="5" customWidth="1"/>
    <col min="1292" max="1292" width="11.42578125" style="5" customWidth="1"/>
    <col min="1293" max="1293" width="19.28515625" style="5" bestFit="1" customWidth="1"/>
    <col min="1294" max="1294" width="34.85546875" style="5" customWidth="1"/>
    <col min="1295" max="1295" width="8" style="5" bestFit="1" customWidth="1"/>
    <col min="1296" max="1296" width="30.42578125" style="5" bestFit="1" customWidth="1"/>
    <col min="1297" max="1297" width="11.7109375" style="5" bestFit="1" customWidth="1"/>
    <col min="1298" max="1298" width="9.140625" style="5"/>
    <col min="1299" max="1299" width="13.85546875" style="5" bestFit="1" customWidth="1"/>
    <col min="1300" max="1539" width="9.140625" style="5"/>
    <col min="1540" max="1540" width="8" style="5" customWidth="1"/>
    <col min="1541" max="1541" width="10.5703125" style="5" customWidth="1"/>
    <col min="1542" max="1542" width="8.5703125" style="5" customWidth="1"/>
    <col min="1543" max="1543" width="14.42578125" style="5" customWidth="1"/>
    <col min="1544" max="1544" width="75.140625" style="5" customWidth="1"/>
    <col min="1545" max="1545" width="12.42578125" style="5" customWidth="1"/>
    <col min="1546" max="1546" width="10.140625" style="5" customWidth="1"/>
    <col min="1547" max="1547" width="13.5703125" style="5" customWidth="1"/>
    <col min="1548" max="1548" width="11.42578125" style="5" customWidth="1"/>
    <col min="1549" max="1549" width="19.28515625" style="5" bestFit="1" customWidth="1"/>
    <col min="1550" max="1550" width="34.85546875" style="5" customWidth="1"/>
    <col min="1551" max="1551" width="8" style="5" bestFit="1" customWidth="1"/>
    <col min="1552" max="1552" width="30.42578125" style="5" bestFit="1" customWidth="1"/>
    <col min="1553" max="1553" width="11.7109375" style="5" bestFit="1" customWidth="1"/>
    <col min="1554" max="1554" width="9.140625" style="5"/>
    <col min="1555" max="1555" width="13.85546875" style="5" bestFit="1" customWidth="1"/>
    <col min="1556" max="1795" width="9.140625" style="5"/>
    <col min="1796" max="1796" width="8" style="5" customWidth="1"/>
    <col min="1797" max="1797" width="10.5703125" style="5" customWidth="1"/>
    <col min="1798" max="1798" width="8.5703125" style="5" customWidth="1"/>
    <col min="1799" max="1799" width="14.42578125" style="5" customWidth="1"/>
    <col min="1800" max="1800" width="75.140625" style="5" customWidth="1"/>
    <col min="1801" max="1801" width="12.42578125" style="5" customWidth="1"/>
    <col min="1802" max="1802" width="10.140625" style="5" customWidth="1"/>
    <col min="1803" max="1803" width="13.5703125" style="5" customWidth="1"/>
    <col min="1804" max="1804" width="11.42578125" style="5" customWidth="1"/>
    <col min="1805" max="1805" width="19.28515625" style="5" bestFit="1" customWidth="1"/>
    <col min="1806" max="1806" width="34.85546875" style="5" customWidth="1"/>
    <col min="1807" max="1807" width="8" style="5" bestFit="1" customWidth="1"/>
    <col min="1808" max="1808" width="30.42578125" style="5" bestFit="1" customWidth="1"/>
    <col min="1809" max="1809" width="11.7109375" style="5" bestFit="1" customWidth="1"/>
    <col min="1810" max="1810" width="9.140625" style="5"/>
    <col min="1811" max="1811" width="13.85546875" style="5" bestFit="1" customWidth="1"/>
    <col min="1812" max="2051" width="9.140625" style="5"/>
    <col min="2052" max="2052" width="8" style="5" customWidth="1"/>
    <col min="2053" max="2053" width="10.5703125" style="5" customWidth="1"/>
    <col min="2054" max="2054" width="8.5703125" style="5" customWidth="1"/>
    <col min="2055" max="2055" width="14.42578125" style="5" customWidth="1"/>
    <col min="2056" max="2056" width="75.140625" style="5" customWidth="1"/>
    <col min="2057" max="2057" width="12.42578125" style="5" customWidth="1"/>
    <col min="2058" max="2058" width="10.140625" style="5" customWidth="1"/>
    <col min="2059" max="2059" width="13.5703125" style="5" customWidth="1"/>
    <col min="2060" max="2060" width="11.42578125" style="5" customWidth="1"/>
    <col min="2061" max="2061" width="19.28515625" style="5" bestFit="1" customWidth="1"/>
    <col min="2062" max="2062" width="34.85546875" style="5" customWidth="1"/>
    <col min="2063" max="2063" width="8" style="5" bestFit="1" customWidth="1"/>
    <col min="2064" max="2064" width="30.42578125" style="5" bestFit="1" customWidth="1"/>
    <col min="2065" max="2065" width="11.7109375" style="5" bestFit="1" customWidth="1"/>
    <col min="2066" max="2066" width="9.140625" style="5"/>
    <col min="2067" max="2067" width="13.85546875" style="5" bestFit="1" customWidth="1"/>
    <col min="2068" max="2307" width="9.140625" style="5"/>
    <col min="2308" max="2308" width="8" style="5" customWidth="1"/>
    <col min="2309" max="2309" width="10.5703125" style="5" customWidth="1"/>
    <col min="2310" max="2310" width="8.5703125" style="5" customWidth="1"/>
    <col min="2311" max="2311" width="14.42578125" style="5" customWidth="1"/>
    <col min="2312" max="2312" width="75.140625" style="5" customWidth="1"/>
    <col min="2313" max="2313" width="12.42578125" style="5" customWidth="1"/>
    <col min="2314" max="2314" width="10.140625" style="5" customWidth="1"/>
    <col min="2315" max="2315" width="13.5703125" style="5" customWidth="1"/>
    <col min="2316" max="2316" width="11.42578125" style="5" customWidth="1"/>
    <col min="2317" max="2317" width="19.28515625" style="5" bestFit="1" customWidth="1"/>
    <col min="2318" max="2318" width="34.85546875" style="5" customWidth="1"/>
    <col min="2319" max="2319" width="8" style="5" bestFit="1" customWidth="1"/>
    <col min="2320" max="2320" width="30.42578125" style="5" bestFit="1" customWidth="1"/>
    <col min="2321" max="2321" width="11.7109375" style="5" bestFit="1" customWidth="1"/>
    <col min="2322" max="2322" width="9.140625" style="5"/>
    <col min="2323" max="2323" width="13.85546875" style="5" bestFit="1" customWidth="1"/>
    <col min="2324" max="2563" width="9.140625" style="5"/>
    <col min="2564" max="2564" width="8" style="5" customWidth="1"/>
    <col min="2565" max="2565" width="10.5703125" style="5" customWidth="1"/>
    <col min="2566" max="2566" width="8.5703125" style="5" customWidth="1"/>
    <col min="2567" max="2567" width="14.42578125" style="5" customWidth="1"/>
    <col min="2568" max="2568" width="75.140625" style="5" customWidth="1"/>
    <col min="2569" max="2569" width="12.42578125" style="5" customWidth="1"/>
    <col min="2570" max="2570" width="10.140625" style="5" customWidth="1"/>
    <col min="2571" max="2571" width="13.5703125" style="5" customWidth="1"/>
    <col min="2572" max="2572" width="11.42578125" style="5" customWidth="1"/>
    <col min="2573" max="2573" width="19.28515625" style="5" bestFit="1" customWidth="1"/>
    <col min="2574" max="2574" width="34.85546875" style="5" customWidth="1"/>
    <col min="2575" max="2575" width="8" style="5" bestFit="1" customWidth="1"/>
    <col min="2576" max="2576" width="30.42578125" style="5" bestFit="1" customWidth="1"/>
    <col min="2577" max="2577" width="11.7109375" style="5" bestFit="1" customWidth="1"/>
    <col min="2578" max="2578" width="9.140625" style="5"/>
    <col min="2579" max="2579" width="13.85546875" style="5" bestFit="1" customWidth="1"/>
    <col min="2580" max="2819" width="9.140625" style="5"/>
    <col min="2820" max="2820" width="8" style="5" customWidth="1"/>
    <col min="2821" max="2821" width="10.5703125" style="5" customWidth="1"/>
    <col min="2822" max="2822" width="8.5703125" style="5" customWidth="1"/>
    <col min="2823" max="2823" width="14.42578125" style="5" customWidth="1"/>
    <col min="2824" max="2824" width="75.140625" style="5" customWidth="1"/>
    <col min="2825" max="2825" width="12.42578125" style="5" customWidth="1"/>
    <col min="2826" max="2826" width="10.140625" style="5" customWidth="1"/>
    <col min="2827" max="2827" width="13.5703125" style="5" customWidth="1"/>
    <col min="2828" max="2828" width="11.42578125" style="5" customWidth="1"/>
    <col min="2829" max="2829" width="19.28515625" style="5" bestFit="1" customWidth="1"/>
    <col min="2830" max="2830" width="34.85546875" style="5" customWidth="1"/>
    <col min="2831" max="2831" width="8" style="5" bestFit="1" customWidth="1"/>
    <col min="2832" max="2832" width="30.42578125" style="5" bestFit="1" customWidth="1"/>
    <col min="2833" max="2833" width="11.7109375" style="5" bestFit="1" customWidth="1"/>
    <col min="2834" max="2834" width="9.140625" style="5"/>
    <col min="2835" max="2835" width="13.85546875" style="5" bestFit="1" customWidth="1"/>
    <col min="2836" max="3075" width="9.140625" style="5"/>
    <col min="3076" max="3076" width="8" style="5" customWidth="1"/>
    <col min="3077" max="3077" width="10.5703125" style="5" customWidth="1"/>
    <col min="3078" max="3078" width="8.5703125" style="5" customWidth="1"/>
    <col min="3079" max="3079" width="14.42578125" style="5" customWidth="1"/>
    <col min="3080" max="3080" width="75.140625" style="5" customWidth="1"/>
    <col min="3081" max="3081" width="12.42578125" style="5" customWidth="1"/>
    <col min="3082" max="3082" width="10.140625" style="5" customWidth="1"/>
    <col min="3083" max="3083" width="13.5703125" style="5" customWidth="1"/>
    <col min="3084" max="3084" width="11.42578125" style="5" customWidth="1"/>
    <col min="3085" max="3085" width="19.28515625" style="5" bestFit="1" customWidth="1"/>
    <col min="3086" max="3086" width="34.85546875" style="5" customWidth="1"/>
    <col min="3087" max="3087" width="8" style="5" bestFit="1" customWidth="1"/>
    <col min="3088" max="3088" width="30.42578125" style="5" bestFit="1" customWidth="1"/>
    <col min="3089" max="3089" width="11.7109375" style="5" bestFit="1" customWidth="1"/>
    <col min="3090" max="3090" width="9.140625" style="5"/>
    <col min="3091" max="3091" width="13.85546875" style="5" bestFit="1" customWidth="1"/>
    <col min="3092" max="3331" width="9.140625" style="5"/>
    <col min="3332" max="3332" width="8" style="5" customWidth="1"/>
    <col min="3333" max="3333" width="10.5703125" style="5" customWidth="1"/>
    <col min="3334" max="3334" width="8.5703125" style="5" customWidth="1"/>
    <col min="3335" max="3335" width="14.42578125" style="5" customWidth="1"/>
    <col min="3336" max="3336" width="75.140625" style="5" customWidth="1"/>
    <col min="3337" max="3337" width="12.42578125" style="5" customWidth="1"/>
    <col min="3338" max="3338" width="10.140625" style="5" customWidth="1"/>
    <col min="3339" max="3339" width="13.5703125" style="5" customWidth="1"/>
    <col min="3340" max="3340" width="11.42578125" style="5" customWidth="1"/>
    <col min="3341" max="3341" width="19.28515625" style="5" bestFit="1" customWidth="1"/>
    <col min="3342" max="3342" width="34.85546875" style="5" customWidth="1"/>
    <col min="3343" max="3343" width="8" style="5" bestFit="1" customWidth="1"/>
    <col min="3344" max="3344" width="30.42578125" style="5" bestFit="1" customWidth="1"/>
    <col min="3345" max="3345" width="11.7109375" style="5" bestFit="1" customWidth="1"/>
    <col min="3346" max="3346" width="9.140625" style="5"/>
    <col min="3347" max="3347" width="13.85546875" style="5" bestFit="1" customWidth="1"/>
    <col min="3348" max="3587" width="9.140625" style="5"/>
    <col min="3588" max="3588" width="8" style="5" customWidth="1"/>
    <col min="3589" max="3589" width="10.5703125" style="5" customWidth="1"/>
    <col min="3590" max="3590" width="8.5703125" style="5" customWidth="1"/>
    <col min="3591" max="3591" width="14.42578125" style="5" customWidth="1"/>
    <col min="3592" max="3592" width="75.140625" style="5" customWidth="1"/>
    <col min="3593" max="3593" width="12.42578125" style="5" customWidth="1"/>
    <col min="3594" max="3594" width="10.140625" style="5" customWidth="1"/>
    <col min="3595" max="3595" width="13.5703125" style="5" customWidth="1"/>
    <col min="3596" max="3596" width="11.42578125" style="5" customWidth="1"/>
    <col min="3597" max="3597" width="19.28515625" style="5" bestFit="1" customWidth="1"/>
    <col min="3598" max="3598" width="34.85546875" style="5" customWidth="1"/>
    <col min="3599" max="3599" width="8" style="5" bestFit="1" customWidth="1"/>
    <col min="3600" max="3600" width="30.42578125" style="5" bestFit="1" customWidth="1"/>
    <col min="3601" max="3601" width="11.7109375" style="5" bestFit="1" customWidth="1"/>
    <col min="3602" max="3602" width="9.140625" style="5"/>
    <col min="3603" max="3603" width="13.85546875" style="5" bestFit="1" customWidth="1"/>
    <col min="3604" max="3843" width="9.140625" style="5"/>
    <col min="3844" max="3844" width="8" style="5" customWidth="1"/>
    <col min="3845" max="3845" width="10.5703125" style="5" customWidth="1"/>
    <col min="3846" max="3846" width="8.5703125" style="5" customWidth="1"/>
    <col min="3847" max="3847" width="14.42578125" style="5" customWidth="1"/>
    <col min="3848" max="3848" width="75.140625" style="5" customWidth="1"/>
    <col min="3849" max="3849" width="12.42578125" style="5" customWidth="1"/>
    <col min="3850" max="3850" width="10.140625" style="5" customWidth="1"/>
    <col min="3851" max="3851" width="13.5703125" style="5" customWidth="1"/>
    <col min="3852" max="3852" width="11.42578125" style="5" customWidth="1"/>
    <col min="3853" max="3853" width="19.28515625" style="5" bestFit="1" customWidth="1"/>
    <col min="3854" max="3854" width="34.85546875" style="5" customWidth="1"/>
    <col min="3855" max="3855" width="8" style="5" bestFit="1" customWidth="1"/>
    <col min="3856" max="3856" width="30.42578125" style="5" bestFit="1" customWidth="1"/>
    <col min="3857" max="3857" width="11.7109375" style="5" bestFit="1" customWidth="1"/>
    <col min="3858" max="3858" width="9.140625" style="5"/>
    <col min="3859" max="3859" width="13.85546875" style="5" bestFit="1" customWidth="1"/>
    <col min="3860" max="4099" width="9.140625" style="5"/>
    <col min="4100" max="4100" width="8" style="5" customWidth="1"/>
    <col min="4101" max="4101" width="10.5703125" style="5" customWidth="1"/>
    <col min="4102" max="4102" width="8.5703125" style="5" customWidth="1"/>
    <col min="4103" max="4103" width="14.42578125" style="5" customWidth="1"/>
    <col min="4104" max="4104" width="75.140625" style="5" customWidth="1"/>
    <col min="4105" max="4105" width="12.42578125" style="5" customWidth="1"/>
    <col min="4106" max="4106" width="10.140625" style="5" customWidth="1"/>
    <col min="4107" max="4107" width="13.5703125" style="5" customWidth="1"/>
    <col min="4108" max="4108" width="11.42578125" style="5" customWidth="1"/>
    <col min="4109" max="4109" width="19.28515625" style="5" bestFit="1" customWidth="1"/>
    <col min="4110" max="4110" width="34.85546875" style="5" customWidth="1"/>
    <col min="4111" max="4111" width="8" style="5" bestFit="1" customWidth="1"/>
    <col min="4112" max="4112" width="30.42578125" style="5" bestFit="1" customWidth="1"/>
    <col min="4113" max="4113" width="11.7109375" style="5" bestFit="1" customWidth="1"/>
    <col min="4114" max="4114" width="9.140625" style="5"/>
    <col min="4115" max="4115" width="13.85546875" style="5" bestFit="1" customWidth="1"/>
    <col min="4116" max="4355" width="9.140625" style="5"/>
    <col min="4356" max="4356" width="8" style="5" customWidth="1"/>
    <col min="4357" max="4357" width="10.5703125" style="5" customWidth="1"/>
    <col min="4358" max="4358" width="8.5703125" style="5" customWidth="1"/>
    <col min="4359" max="4359" width="14.42578125" style="5" customWidth="1"/>
    <col min="4360" max="4360" width="75.140625" style="5" customWidth="1"/>
    <col min="4361" max="4361" width="12.42578125" style="5" customWidth="1"/>
    <col min="4362" max="4362" width="10.140625" style="5" customWidth="1"/>
    <col min="4363" max="4363" width="13.5703125" style="5" customWidth="1"/>
    <col min="4364" max="4364" width="11.42578125" style="5" customWidth="1"/>
    <col min="4365" max="4365" width="19.28515625" style="5" bestFit="1" customWidth="1"/>
    <col min="4366" max="4366" width="34.85546875" style="5" customWidth="1"/>
    <col min="4367" max="4367" width="8" style="5" bestFit="1" customWidth="1"/>
    <col min="4368" max="4368" width="30.42578125" style="5" bestFit="1" customWidth="1"/>
    <col min="4369" max="4369" width="11.7109375" style="5" bestFit="1" customWidth="1"/>
    <col min="4370" max="4370" width="9.140625" style="5"/>
    <col min="4371" max="4371" width="13.85546875" style="5" bestFit="1" customWidth="1"/>
    <col min="4372" max="4611" width="9.140625" style="5"/>
    <col min="4612" max="4612" width="8" style="5" customWidth="1"/>
    <col min="4613" max="4613" width="10.5703125" style="5" customWidth="1"/>
    <col min="4614" max="4614" width="8.5703125" style="5" customWidth="1"/>
    <col min="4615" max="4615" width="14.42578125" style="5" customWidth="1"/>
    <col min="4616" max="4616" width="75.140625" style="5" customWidth="1"/>
    <col min="4617" max="4617" width="12.42578125" style="5" customWidth="1"/>
    <col min="4618" max="4618" width="10.140625" style="5" customWidth="1"/>
    <col min="4619" max="4619" width="13.5703125" style="5" customWidth="1"/>
    <col min="4620" max="4620" width="11.42578125" style="5" customWidth="1"/>
    <col min="4621" max="4621" width="19.28515625" style="5" bestFit="1" customWidth="1"/>
    <col min="4622" max="4622" width="34.85546875" style="5" customWidth="1"/>
    <col min="4623" max="4623" width="8" style="5" bestFit="1" customWidth="1"/>
    <col min="4624" max="4624" width="30.42578125" style="5" bestFit="1" customWidth="1"/>
    <col min="4625" max="4625" width="11.7109375" style="5" bestFit="1" customWidth="1"/>
    <col min="4626" max="4626" width="9.140625" style="5"/>
    <col min="4627" max="4627" width="13.85546875" style="5" bestFit="1" customWidth="1"/>
    <col min="4628" max="4867" width="9.140625" style="5"/>
    <col min="4868" max="4868" width="8" style="5" customWidth="1"/>
    <col min="4869" max="4869" width="10.5703125" style="5" customWidth="1"/>
    <col min="4870" max="4870" width="8.5703125" style="5" customWidth="1"/>
    <col min="4871" max="4871" width="14.42578125" style="5" customWidth="1"/>
    <col min="4872" max="4872" width="75.140625" style="5" customWidth="1"/>
    <col min="4873" max="4873" width="12.42578125" style="5" customWidth="1"/>
    <col min="4874" max="4874" width="10.140625" style="5" customWidth="1"/>
    <col min="4875" max="4875" width="13.5703125" style="5" customWidth="1"/>
    <col min="4876" max="4876" width="11.42578125" style="5" customWidth="1"/>
    <col min="4877" max="4877" width="19.28515625" style="5" bestFit="1" customWidth="1"/>
    <col min="4878" max="4878" width="34.85546875" style="5" customWidth="1"/>
    <col min="4879" max="4879" width="8" style="5" bestFit="1" customWidth="1"/>
    <col min="4880" max="4880" width="30.42578125" style="5" bestFit="1" customWidth="1"/>
    <col min="4881" max="4881" width="11.7109375" style="5" bestFit="1" customWidth="1"/>
    <col min="4882" max="4882" width="9.140625" style="5"/>
    <col min="4883" max="4883" width="13.85546875" style="5" bestFit="1" customWidth="1"/>
    <col min="4884" max="5123" width="9.140625" style="5"/>
    <col min="5124" max="5124" width="8" style="5" customWidth="1"/>
    <col min="5125" max="5125" width="10.5703125" style="5" customWidth="1"/>
    <col min="5126" max="5126" width="8.5703125" style="5" customWidth="1"/>
    <col min="5127" max="5127" width="14.42578125" style="5" customWidth="1"/>
    <col min="5128" max="5128" width="75.140625" style="5" customWidth="1"/>
    <col min="5129" max="5129" width="12.42578125" style="5" customWidth="1"/>
    <col min="5130" max="5130" width="10.140625" style="5" customWidth="1"/>
    <col min="5131" max="5131" width="13.5703125" style="5" customWidth="1"/>
    <col min="5132" max="5132" width="11.42578125" style="5" customWidth="1"/>
    <col min="5133" max="5133" width="19.28515625" style="5" bestFit="1" customWidth="1"/>
    <col min="5134" max="5134" width="34.85546875" style="5" customWidth="1"/>
    <col min="5135" max="5135" width="8" style="5" bestFit="1" customWidth="1"/>
    <col min="5136" max="5136" width="30.42578125" style="5" bestFit="1" customWidth="1"/>
    <col min="5137" max="5137" width="11.7109375" style="5" bestFit="1" customWidth="1"/>
    <col min="5138" max="5138" width="9.140625" style="5"/>
    <col min="5139" max="5139" width="13.85546875" style="5" bestFit="1" customWidth="1"/>
    <col min="5140" max="5379" width="9.140625" style="5"/>
    <col min="5380" max="5380" width="8" style="5" customWidth="1"/>
    <col min="5381" max="5381" width="10.5703125" style="5" customWidth="1"/>
    <col min="5382" max="5382" width="8.5703125" style="5" customWidth="1"/>
    <col min="5383" max="5383" width="14.42578125" style="5" customWidth="1"/>
    <col min="5384" max="5384" width="75.140625" style="5" customWidth="1"/>
    <col min="5385" max="5385" width="12.42578125" style="5" customWidth="1"/>
    <col min="5386" max="5386" width="10.140625" style="5" customWidth="1"/>
    <col min="5387" max="5387" width="13.5703125" style="5" customWidth="1"/>
    <col min="5388" max="5388" width="11.42578125" style="5" customWidth="1"/>
    <col min="5389" max="5389" width="19.28515625" style="5" bestFit="1" customWidth="1"/>
    <col min="5390" max="5390" width="34.85546875" style="5" customWidth="1"/>
    <col min="5391" max="5391" width="8" style="5" bestFit="1" customWidth="1"/>
    <col min="5392" max="5392" width="30.42578125" style="5" bestFit="1" customWidth="1"/>
    <col min="5393" max="5393" width="11.7109375" style="5" bestFit="1" customWidth="1"/>
    <col min="5394" max="5394" width="9.140625" style="5"/>
    <col min="5395" max="5395" width="13.85546875" style="5" bestFit="1" customWidth="1"/>
    <col min="5396" max="5635" width="9.140625" style="5"/>
    <col min="5636" max="5636" width="8" style="5" customWidth="1"/>
    <col min="5637" max="5637" width="10.5703125" style="5" customWidth="1"/>
    <col min="5638" max="5638" width="8.5703125" style="5" customWidth="1"/>
    <col min="5639" max="5639" width="14.42578125" style="5" customWidth="1"/>
    <col min="5640" max="5640" width="75.140625" style="5" customWidth="1"/>
    <col min="5641" max="5641" width="12.42578125" style="5" customWidth="1"/>
    <col min="5642" max="5642" width="10.140625" style="5" customWidth="1"/>
    <col min="5643" max="5643" width="13.5703125" style="5" customWidth="1"/>
    <col min="5644" max="5644" width="11.42578125" style="5" customWidth="1"/>
    <col min="5645" max="5645" width="19.28515625" style="5" bestFit="1" customWidth="1"/>
    <col min="5646" max="5646" width="34.85546875" style="5" customWidth="1"/>
    <col min="5647" max="5647" width="8" style="5" bestFit="1" customWidth="1"/>
    <col min="5648" max="5648" width="30.42578125" style="5" bestFit="1" customWidth="1"/>
    <col min="5649" max="5649" width="11.7109375" style="5" bestFit="1" customWidth="1"/>
    <col min="5650" max="5650" width="9.140625" style="5"/>
    <col min="5651" max="5651" width="13.85546875" style="5" bestFit="1" customWidth="1"/>
    <col min="5652" max="5891" width="9.140625" style="5"/>
    <col min="5892" max="5892" width="8" style="5" customWidth="1"/>
    <col min="5893" max="5893" width="10.5703125" style="5" customWidth="1"/>
    <col min="5894" max="5894" width="8.5703125" style="5" customWidth="1"/>
    <col min="5895" max="5895" width="14.42578125" style="5" customWidth="1"/>
    <col min="5896" max="5896" width="75.140625" style="5" customWidth="1"/>
    <col min="5897" max="5897" width="12.42578125" style="5" customWidth="1"/>
    <col min="5898" max="5898" width="10.140625" style="5" customWidth="1"/>
    <col min="5899" max="5899" width="13.5703125" style="5" customWidth="1"/>
    <col min="5900" max="5900" width="11.42578125" style="5" customWidth="1"/>
    <col min="5901" max="5901" width="19.28515625" style="5" bestFit="1" customWidth="1"/>
    <col min="5902" max="5902" width="34.85546875" style="5" customWidth="1"/>
    <col min="5903" max="5903" width="8" style="5" bestFit="1" customWidth="1"/>
    <col min="5904" max="5904" width="30.42578125" style="5" bestFit="1" customWidth="1"/>
    <col min="5905" max="5905" width="11.7109375" style="5" bestFit="1" customWidth="1"/>
    <col min="5906" max="5906" width="9.140625" style="5"/>
    <col min="5907" max="5907" width="13.85546875" style="5" bestFit="1" customWidth="1"/>
    <col min="5908" max="6147" width="9.140625" style="5"/>
    <col min="6148" max="6148" width="8" style="5" customWidth="1"/>
    <col min="6149" max="6149" width="10.5703125" style="5" customWidth="1"/>
    <col min="6150" max="6150" width="8.5703125" style="5" customWidth="1"/>
    <col min="6151" max="6151" width="14.42578125" style="5" customWidth="1"/>
    <col min="6152" max="6152" width="75.140625" style="5" customWidth="1"/>
    <col min="6153" max="6153" width="12.42578125" style="5" customWidth="1"/>
    <col min="6154" max="6154" width="10.140625" style="5" customWidth="1"/>
    <col min="6155" max="6155" width="13.5703125" style="5" customWidth="1"/>
    <col min="6156" max="6156" width="11.42578125" style="5" customWidth="1"/>
    <col min="6157" max="6157" width="19.28515625" style="5" bestFit="1" customWidth="1"/>
    <col min="6158" max="6158" width="34.85546875" style="5" customWidth="1"/>
    <col min="6159" max="6159" width="8" style="5" bestFit="1" customWidth="1"/>
    <col min="6160" max="6160" width="30.42578125" style="5" bestFit="1" customWidth="1"/>
    <col min="6161" max="6161" width="11.7109375" style="5" bestFit="1" customWidth="1"/>
    <col min="6162" max="6162" width="9.140625" style="5"/>
    <col min="6163" max="6163" width="13.85546875" style="5" bestFit="1" customWidth="1"/>
    <col min="6164" max="6403" width="9.140625" style="5"/>
    <col min="6404" max="6404" width="8" style="5" customWidth="1"/>
    <col min="6405" max="6405" width="10.5703125" style="5" customWidth="1"/>
    <col min="6406" max="6406" width="8.5703125" style="5" customWidth="1"/>
    <col min="6407" max="6407" width="14.42578125" style="5" customWidth="1"/>
    <col min="6408" max="6408" width="75.140625" style="5" customWidth="1"/>
    <col min="6409" max="6409" width="12.42578125" style="5" customWidth="1"/>
    <col min="6410" max="6410" width="10.140625" style="5" customWidth="1"/>
    <col min="6411" max="6411" width="13.5703125" style="5" customWidth="1"/>
    <col min="6412" max="6412" width="11.42578125" style="5" customWidth="1"/>
    <col min="6413" max="6413" width="19.28515625" style="5" bestFit="1" customWidth="1"/>
    <col min="6414" max="6414" width="34.85546875" style="5" customWidth="1"/>
    <col min="6415" max="6415" width="8" style="5" bestFit="1" customWidth="1"/>
    <col min="6416" max="6416" width="30.42578125" style="5" bestFit="1" customWidth="1"/>
    <col min="6417" max="6417" width="11.7109375" style="5" bestFit="1" customWidth="1"/>
    <col min="6418" max="6418" width="9.140625" style="5"/>
    <col min="6419" max="6419" width="13.85546875" style="5" bestFit="1" customWidth="1"/>
    <col min="6420" max="6659" width="9.140625" style="5"/>
    <col min="6660" max="6660" width="8" style="5" customWidth="1"/>
    <col min="6661" max="6661" width="10.5703125" style="5" customWidth="1"/>
    <col min="6662" max="6662" width="8.5703125" style="5" customWidth="1"/>
    <col min="6663" max="6663" width="14.42578125" style="5" customWidth="1"/>
    <col min="6664" max="6664" width="75.140625" style="5" customWidth="1"/>
    <col min="6665" max="6665" width="12.42578125" style="5" customWidth="1"/>
    <col min="6666" max="6666" width="10.140625" style="5" customWidth="1"/>
    <col min="6667" max="6667" width="13.5703125" style="5" customWidth="1"/>
    <col min="6668" max="6668" width="11.42578125" style="5" customWidth="1"/>
    <col min="6669" max="6669" width="19.28515625" style="5" bestFit="1" customWidth="1"/>
    <col min="6670" max="6670" width="34.85546875" style="5" customWidth="1"/>
    <col min="6671" max="6671" width="8" style="5" bestFit="1" customWidth="1"/>
    <col min="6672" max="6672" width="30.42578125" style="5" bestFit="1" customWidth="1"/>
    <col min="6673" max="6673" width="11.7109375" style="5" bestFit="1" customWidth="1"/>
    <col min="6674" max="6674" width="9.140625" style="5"/>
    <col min="6675" max="6675" width="13.85546875" style="5" bestFit="1" customWidth="1"/>
    <col min="6676" max="6915" width="9.140625" style="5"/>
    <col min="6916" max="6916" width="8" style="5" customWidth="1"/>
    <col min="6917" max="6917" width="10.5703125" style="5" customWidth="1"/>
    <col min="6918" max="6918" width="8.5703125" style="5" customWidth="1"/>
    <col min="6919" max="6919" width="14.42578125" style="5" customWidth="1"/>
    <col min="6920" max="6920" width="75.140625" style="5" customWidth="1"/>
    <col min="6921" max="6921" width="12.42578125" style="5" customWidth="1"/>
    <col min="6922" max="6922" width="10.140625" style="5" customWidth="1"/>
    <col min="6923" max="6923" width="13.5703125" style="5" customWidth="1"/>
    <col min="6924" max="6924" width="11.42578125" style="5" customWidth="1"/>
    <col min="6925" max="6925" width="19.28515625" style="5" bestFit="1" customWidth="1"/>
    <col min="6926" max="6926" width="34.85546875" style="5" customWidth="1"/>
    <col min="6927" max="6927" width="8" style="5" bestFit="1" customWidth="1"/>
    <col min="6928" max="6928" width="30.42578125" style="5" bestFit="1" customWidth="1"/>
    <col min="6929" max="6929" width="11.7109375" style="5" bestFit="1" customWidth="1"/>
    <col min="6930" max="6930" width="9.140625" style="5"/>
    <col min="6931" max="6931" width="13.85546875" style="5" bestFit="1" customWidth="1"/>
    <col min="6932" max="7171" width="9.140625" style="5"/>
    <col min="7172" max="7172" width="8" style="5" customWidth="1"/>
    <col min="7173" max="7173" width="10.5703125" style="5" customWidth="1"/>
    <col min="7174" max="7174" width="8.5703125" style="5" customWidth="1"/>
    <col min="7175" max="7175" width="14.42578125" style="5" customWidth="1"/>
    <col min="7176" max="7176" width="75.140625" style="5" customWidth="1"/>
    <col min="7177" max="7177" width="12.42578125" style="5" customWidth="1"/>
    <col min="7178" max="7178" width="10.140625" style="5" customWidth="1"/>
    <col min="7179" max="7179" width="13.5703125" style="5" customWidth="1"/>
    <col min="7180" max="7180" width="11.42578125" style="5" customWidth="1"/>
    <col min="7181" max="7181" width="19.28515625" style="5" bestFit="1" customWidth="1"/>
    <col min="7182" max="7182" width="34.85546875" style="5" customWidth="1"/>
    <col min="7183" max="7183" width="8" style="5" bestFit="1" customWidth="1"/>
    <col min="7184" max="7184" width="30.42578125" style="5" bestFit="1" customWidth="1"/>
    <col min="7185" max="7185" width="11.7109375" style="5" bestFit="1" customWidth="1"/>
    <col min="7186" max="7186" width="9.140625" style="5"/>
    <col min="7187" max="7187" width="13.85546875" style="5" bestFit="1" customWidth="1"/>
    <col min="7188" max="7427" width="9.140625" style="5"/>
    <col min="7428" max="7428" width="8" style="5" customWidth="1"/>
    <col min="7429" max="7429" width="10.5703125" style="5" customWidth="1"/>
    <col min="7430" max="7430" width="8.5703125" style="5" customWidth="1"/>
    <col min="7431" max="7431" width="14.42578125" style="5" customWidth="1"/>
    <col min="7432" max="7432" width="75.140625" style="5" customWidth="1"/>
    <col min="7433" max="7433" width="12.42578125" style="5" customWidth="1"/>
    <col min="7434" max="7434" width="10.140625" style="5" customWidth="1"/>
    <col min="7435" max="7435" width="13.5703125" style="5" customWidth="1"/>
    <col min="7436" max="7436" width="11.42578125" style="5" customWidth="1"/>
    <col min="7437" max="7437" width="19.28515625" style="5" bestFit="1" customWidth="1"/>
    <col min="7438" max="7438" width="34.85546875" style="5" customWidth="1"/>
    <col min="7439" max="7439" width="8" style="5" bestFit="1" customWidth="1"/>
    <col min="7440" max="7440" width="30.42578125" style="5" bestFit="1" customWidth="1"/>
    <col min="7441" max="7441" width="11.7109375" style="5" bestFit="1" customWidth="1"/>
    <col min="7442" max="7442" width="9.140625" style="5"/>
    <col min="7443" max="7443" width="13.85546875" style="5" bestFit="1" customWidth="1"/>
    <col min="7444" max="7683" width="9.140625" style="5"/>
    <col min="7684" max="7684" width="8" style="5" customWidth="1"/>
    <col min="7685" max="7685" width="10.5703125" style="5" customWidth="1"/>
    <col min="7686" max="7686" width="8.5703125" style="5" customWidth="1"/>
    <col min="7687" max="7687" width="14.42578125" style="5" customWidth="1"/>
    <col min="7688" max="7688" width="75.140625" style="5" customWidth="1"/>
    <col min="7689" max="7689" width="12.42578125" style="5" customWidth="1"/>
    <col min="7690" max="7690" width="10.140625" style="5" customWidth="1"/>
    <col min="7691" max="7691" width="13.5703125" style="5" customWidth="1"/>
    <col min="7692" max="7692" width="11.42578125" style="5" customWidth="1"/>
    <col min="7693" max="7693" width="19.28515625" style="5" bestFit="1" customWidth="1"/>
    <col min="7694" max="7694" width="34.85546875" style="5" customWidth="1"/>
    <col min="7695" max="7695" width="8" style="5" bestFit="1" customWidth="1"/>
    <col min="7696" max="7696" width="30.42578125" style="5" bestFit="1" customWidth="1"/>
    <col min="7697" max="7697" width="11.7109375" style="5" bestFit="1" customWidth="1"/>
    <col min="7698" max="7698" width="9.140625" style="5"/>
    <col min="7699" max="7699" width="13.85546875" style="5" bestFit="1" customWidth="1"/>
    <col min="7700" max="7939" width="9.140625" style="5"/>
    <col min="7940" max="7940" width="8" style="5" customWidth="1"/>
    <col min="7941" max="7941" width="10.5703125" style="5" customWidth="1"/>
    <col min="7942" max="7942" width="8.5703125" style="5" customWidth="1"/>
    <col min="7943" max="7943" width="14.42578125" style="5" customWidth="1"/>
    <col min="7944" max="7944" width="75.140625" style="5" customWidth="1"/>
    <col min="7945" max="7945" width="12.42578125" style="5" customWidth="1"/>
    <col min="7946" max="7946" width="10.140625" style="5" customWidth="1"/>
    <col min="7947" max="7947" width="13.5703125" style="5" customWidth="1"/>
    <col min="7948" max="7948" width="11.42578125" style="5" customWidth="1"/>
    <col min="7949" max="7949" width="19.28515625" style="5" bestFit="1" customWidth="1"/>
    <col min="7950" max="7950" width="34.85546875" style="5" customWidth="1"/>
    <col min="7951" max="7951" width="8" style="5" bestFit="1" customWidth="1"/>
    <col min="7952" max="7952" width="30.42578125" style="5" bestFit="1" customWidth="1"/>
    <col min="7953" max="7953" width="11.7109375" style="5" bestFit="1" customWidth="1"/>
    <col min="7954" max="7954" width="9.140625" style="5"/>
    <col min="7955" max="7955" width="13.85546875" style="5" bestFit="1" customWidth="1"/>
    <col min="7956" max="8195" width="9.140625" style="5"/>
    <col min="8196" max="8196" width="8" style="5" customWidth="1"/>
    <col min="8197" max="8197" width="10.5703125" style="5" customWidth="1"/>
    <col min="8198" max="8198" width="8.5703125" style="5" customWidth="1"/>
    <col min="8199" max="8199" width="14.42578125" style="5" customWidth="1"/>
    <col min="8200" max="8200" width="75.140625" style="5" customWidth="1"/>
    <col min="8201" max="8201" width="12.42578125" style="5" customWidth="1"/>
    <col min="8202" max="8202" width="10.140625" style="5" customWidth="1"/>
    <col min="8203" max="8203" width="13.5703125" style="5" customWidth="1"/>
    <col min="8204" max="8204" width="11.42578125" style="5" customWidth="1"/>
    <col min="8205" max="8205" width="19.28515625" style="5" bestFit="1" customWidth="1"/>
    <col min="8206" max="8206" width="34.85546875" style="5" customWidth="1"/>
    <col min="8207" max="8207" width="8" style="5" bestFit="1" customWidth="1"/>
    <col min="8208" max="8208" width="30.42578125" style="5" bestFit="1" customWidth="1"/>
    <col min="8209" max="8209" width="11.7109375" style="5" bestFit="1" customWidth="1"/>
    <col min="8210" max="8210" width="9.140625" style="5"/>
    <col min="8211" max="8211" width="13.85546875" style="5" bestFit="1" customWidth="1"/>
    <col min="8212" max="8451" width="9.140625" style="5"/>
    <col min="8452" max="8452" width="8" style="5" customWidth="1"/>
    <col min="8453" max="8453" width="10.5703125" style="5" customWidth="1"/>
    <col min="8454" max="8454" width="8.5703125" style="5" customWidth="1"/>
    <col min="8455" max="8455" width="14.42578125" style="5" customWidth="1"/>
    <col min="8456" max="8456" width="75.140625" style="5" customWidth="1"/>
    <col min="8457" max="8457" width="12.42578125" style="5" customWidth="1"/>
    <col min="8458" max="8458" width="10.140625" style="5" customWidth="1"/>
    <col min="8459" max="8459" width="13.5703125" style="5" customWidth="1"/>
    <col min="8460" max="8460" width="11.42578125" style="5" customWidth="1"/>
    <col min="8461" max="8461" width="19.28515625" style="5" bestFit="1" customWidth="1"/>
    <col min="8462" max="8462" width="34.85546875" style="5" customWidth="1"/>
    <col min="8463" max="8463" width="8" style="5" bestFit="1" customWidth="1"/>
    <col min="8464" max="8464" width="30.42578125" style="5" bestFit="1" customWidth="1"/>
    <col min="8465" max="8465" width="11.7109375" style="5" bestFit="1" customWidth="1"/>
    <col min="8466" max="8466" width="9.140625" style="5"/>
    <col min="8467" max="8467" width="13.85546875" style="5" bestFit="1" customWidth="1"/>
    <col min="8468" max="8707" width="9.140625" style="5"/>
    <col min="8708" max="8708" width="8" style="5" customWidth="1"/>
    <col min="8709" max="8709" width="10.5703125" style="5" customWidth="1"/>
    <col min="8710" max="8710" width="8.5703125" style="5" customWidth="1"/>
    <col min="8711" max="8711" width="14.42578125" style="5" customWidth="1"/>
    <col min="8712" max="8712" width="75.140625" style="5" customWidth="1"/>
    <col min="8713" max="8713" width="12.42578125" style="5" customWidth="1"/>
    <col min="8714" max="8714" width="10.140625" style="5" customWidth="1"/>
    <col min="8715" max="8715" width="13.5703125" style="5" customWidth="1"/>
    <col min="8716" max="8716" width="11.42578125" style="5" customWidth="1"/>
    <col min="8717" max="8717" width="19.28515625" style="5" bestFit="1" customWidth="1"/>
    <col min="8718" max="8718" width="34.85546875" style="5" customWidth="1"/>
    <col min="8719" max="8719" width="8" style="5" bestFit="1" customWidth="1"/>
    <col min="8720" max="8720" width="30.42578125" style="5" bestFit="1" customWidth="1"/>
    <col min="8721" max="8721" width="11.7109375" style="5" bestFit="1" customWidth="1"/>
    <col min="8722" max="8722" width="9.140625" style="5"/>
    <col min="8723" max="8723" width="13.85546875" style="5" bestFit="1" customWidth="1"/>
    <col min="8724" max="8963" width="9.140625" style="5"/>
    <col min="8964" max="8964" width="8" style="5" customWidth="1"/>
    <col min="8965" max="8965" width="10.5703125" style="5" customWidth="1"/>
    <col min="8966" max="8966" width="8.5703125" style="5" customWidth="1"/>
    <col min="8967" max="8967" width="14.42578125" style="5" customWidth="1"/>
    <col min="8968" max="8968" width="75.140625" style="5" customWidth="1"/>
    <col min="8969" max="8969" width="12.42578125" style="5" customWidth="1"/>
    <col min="8970" max="8970" width="10.140625" style="5" customWidth="1"/>
    <col min="8971" max="8971" width="13.5703125" style="5" customWidth="1"/>
    <col min="8972" max="8972" width="11.42578125" style="5" customWidth="1"/>
    <col min="8973" max="8973" width="19.28515625" style="5" bestFit="1" customWidth="1"/>
    <col min="8974" max="8974" width="34.85546875" style="5" customWidth="1"/>
    <col min="8975" max="8975" width="8" style="5" bestFit="1" customWidth="1"/>
    <col min="8976" max="8976" width="30.42578125" style="5" bestFit="1" customWidth="1"/>
    <col min="8977" max="8977" width="11.7109375" style="5" bestFit="1" customWidth="1"/>
    <col min="8978" max="8978" width="9.140625" style="5"/>
    <col min="8979" max="8979" width="13.85546875" style="5" bestFit="1" customWidth="1"/>
    <col min="8980" max="9219" width="9.140625" style="5"/>
    <col min="9220" max="9220" width="8" style="5" customWidth="1"/>
    <col min="9221" max="9221" width="10.5703125" style="5" customWidth="1"/>
    <col min="9222" max="9222" width="8.5703125" style="5" customWidth="1"/>
    <col min="9223" max="9223" width="14.42578125" style="5" customWidth="1"/>
    <col min="9224" max="9224" width="75.140625" style="5" customWidth="1"/>
    <col min="9225" max="9225" width="12.42578125" style="5" customWidth="1"/>
    <col min="9226" max="9226" width="10.140625" style="5" customWidth="1"/>
    <col min="9227" max="9227" width="13.5703125" style="5" customWidth="1"/>
    <col min="9228" max="9228" width="11.42578125" style="5" customWidth="1"/>
    <col min="9229" max="9229" width="19.28515625" style="5" bestFit="1" customWidth="1"/>
    <col min="9230" max="9230" width="34.85546875" style="5" customWidth="1"/>
    <col min="9231" max="9231" width="8" style="5" bestFit="1" customWidth="1"/>
    <col min="9232" max="9232" width="30.42578125" style="5" bestFit="1" customWidth="1"/>
    <col min="9233" max="9233" width="11.7109375" style="5" bestFit="1" customWidth="1"/>
    <col min="9234" max="9234" width="9.140625" style="5"/>
    <col min="9235" max="9235" width="13.85546875" style="5" bestFit="1" customWidth="1"/>
    <col min="9236" max="9475" width="9.140625" style="5"/>
    <col min="9476" max="9476" width="8" style="5" customWidth="1"/>
    <col min="9477" max="9477" width="10.5703125" style="5" customWidth="1"/>
    <col min="9478" max="9478" width="8.5703125" style="5" customWidth="1"/>
    <col min="9479" max="9479" width="14.42578125" style="5" customWidth="1"/>
    <col min="9480" max="9480" width="75.140625" style="5" customWidth="1"/>
    <col min="9481" max="9481" width="12.42578125" style="5" customWidth="1"/>
    <col min="9482" max="9482" width="10.140625" style="5" customWidth="1"/>
    <col min="9483" max="9483" width="13.5703125" style="5" customWidth="1"/>
    <col min="9484" max="9484" width="11.42578125" style="5" customWidth="1"/>
    <col min="9485" max="9485" width="19.28515625" style="5" bestFit="1" customWidth="1"/>
    <col min="9486" max="9486" width="34.85546875" style="5" customWidth="1"/>
    <col min="9487" max="9487" width="8" style="5" bestFit="1" customWidth="1"/>
    <col min="9488" max="9488" width="30.42578125" style="5" bestFit="1" customWidth="1"/>
    <col min="9489" max="9489" width="11.7109375" style="5" bestFit="1" customWidth="1"/>
    <col min="9490" max="9490" width="9.140625" style="5"/>
    <col min="9491" max="9491" width="13.85546875" style="5" bestFit="1" customWidth="1"/>
    <col min="9492" max="9731" width="9.140625" style="5"/>
    <col min="9732" max="9732" width="8" style="5" customWidth="1"/>
    <col min="9733" max="9733" width="10.5703125" style="5" customWidth="1"/>
    <col min="9734" max="9734" width="8.5703125" style="5" customWidth="1"/>
    <col min="9735" max="9735" width="14.42578125" style="5" customWidth="1"/>
    <col min="9736" max="9736" width="75.140625" style="5" customWidth="1"/>
    <col min="9737" max="9737" width="12.42578125" style="5" customWidth="1"/>
    <col min="9738" max="9738" width="10.140625" style="5" customWidth="1"/>
    <col min="9739" max="9739" width="13.5703125" style="5" customWidth="1"/>
    <col min="9740" max="9740" width="11.42578125" style="5" customWidth="1"/>
    <col min="9741" max="9741" width="19.28515625" style="5" bestFit="1" customWidth="1"/>
    <col min="9742" max="9742" width="34.85546875" style="5" customWidth="1"/>
    <col min="9743" max="9743" width="8" style="5" bestFit="1" customWidth="1"/>
    <col min="9744" max="9744" width="30.42578125" style="5" bestFit="1" customWidth="1"/>
    <col min="9745" max="9745" width="11.7109375" style="5" bestFit="1" customWidth="1"/>
    <col min="9746" max="9746" width="9.140625" style="5"/>
    <col min="9747" max="9747" width="13.85546875" style="5" bestFit="1" customWidth="1"/>
    <col min="9748" max="9987" width="9.140625" style="5"/>
    <col min="9988" max="9988" width="8" style="5" customWidth="1"/>
    <col min="9989" max="9989" width="10.5703125" style="5" customWidth="1"/>
    <col min="9990" max="9990" width="8.5703125" style="5" customWidth="1"/>
    <col min="9991" max="9991" width="14.42578125" style="5" customWidth="1"/>
    <col min="9992" max="9992" width="75.140625" style="5" customWidth="1"/>
    <col min="9993" max="9993" width="12.42578125" style="5" customWidth="1"/>
    <col min="9994" max="9994" width="10.140625" style="5" customWidth="1"/>
    <col min="9995" max="9995" width="13.5703125" style="5" customWidth="1"/>
    <col min="9996" max="9996" width="11.42578125" style="5" customWidth="1"/>
    <col min="9997" max="9997" width="19.28515625" style="5" bestFit="1" customWidth="1"/>
    <col min="9998" max="9998" width="34.85546875" style="5" customWidth="1"/>
    <col min="9999" max="9999" width="8" style="5" bestFit="1" customWidth="1"/>
    <col min="10000" max="10000" width="30.42578125" style="5" bestFit="1" customWidth="1"/>
    <col min="10001" max="10001" width="11.7109375" style="5" bestFit="1" customWidth="1"/>
    <col min="10002" max="10002" width="9.140625" style="5"/>
    <col min="10003" max="10003" width="13.85546875" style="5" bestFit="1" customWidth="1"/>
    <col min="10004" max="10243" width="9.140625" style="5"/>
    <col min="10244" max="10244" width="8" style="5" customWidth="1"/>
    <col min="10245" max="10245" width="10.5703125" style="5" customWidth="1"/>
    <col min="10246" max="10246" width="8.5703125" style="5" customWidth="1"/>
    <col min="10247" max="10247" width="14.42578125" style="5" customWidth="1"/>
    <col min="10248" max="10248" width="75.140625" style="5" customWidth="1"/>
    <col min="10249" max="10249" width="12.42578125" style="5" customWidth="1"/>
    <col min="10250" max="10250" width="10.140625" style="5" customWidth="1"/>
    <col min="10251" max="10251" width="13.5703125" style="5" customWidth="1"/>
    <col min="10252" max="10252" width="11.42578125" style="5" customWidth="1"/>
    <col min="10253" max="10253" width="19.28515625" style="5" bestFit="1" customWidth="1"/>
    <col min="10254" max="10254" width="34.85546875" style="5" customWidth="1"/>
    <col min="10255" max="10255" width="8" style="5" bestFit="1" customWidth="1"/>
    <col min="10256" max="10256" width="30.42578125" style="5" bestFit="1" customWidth="1"/>
    <col min="10257" max="10257" width="11.7109375" style="5" bestFit="1" customWidth="1"/>
    <col min="10258" max="10258" width="9.140625" style="5"/>
    <col min="10259" max="10259" width="13.85546875" style="5" bestFit="1" customWidth="1"/>
    <col min="10260" max="10499" width="9.140625" style="5"/>
    <col min="10500" max="10500" width="8" style="5" customWidth="1"/>
    <col min="10501" max="10501" width="10.5703125" style="5" customWidth="1"/>
    <col min="10502" max="10502" width="8.5703125" style="5" customWidth="1"/>
    <col min="10503" max="10503" width="14.42578125" style="5" customWidth="1"/>
    <col min="10504" max="10504" width="75.140625" style="5" customWidth="1"/>
    <col min="10505" max="10505" width="12.42578125" style="5" customWidth="1"/>
    <col min="10506" max="10506" width="10.140625" style="5" customWidth="1"/>
    <col min="10507" max="10507" width="13.5703125" style="5" customWidth="1"/>
    <col min="10508" max="10508" width="11.42578125" style="5" customWidth="1"/>
    <col min="10509" max="10509" width="19.28515625" style="5" bestFit="1" customWidth="1"/>
    <col min="10510" max="10510" width="34.85546875" style="5" customWidth="1"/>
    <col min="10511" max="10511" width="8" style="5" bestFit="1" customWidth="1"/>
    <col min="10512" max="10512" width="30.42578125" style="5" bestFit="1" customWidth="1"/>
    <col min="10513" max="10513" width="11.7109375" style="5" bestFit="1" customWidth="1"/>
    <col min="10514" max="10514" width="9.140625" style="5"/>
    <col min="10515" max="10515" width="13.85546875" style="5" bestFit="1" customWidth="1"/>
    <col min="10516" max="10755" width="9.140625" style="5"/>
    <col min="10756" max="10756" width="8" style="5" customWidth="1"/>
    <col min="10757" max="10757" width="10.5703125" style="5" customWidth="1"/>
    <col min="10758" max="10758" width="8.5703125" style="5" customWidth="1"/>
    <col min="10759" max="10759" width="14.42578125" style="5" customWidth="1"/>
    <col min="10760" max="10760" width="75.140625" style="5" customWidth="1"/>
    <col min="10761" max="10761" width="12.42578125" style="5" customWidth="1"/>
    <col min="10762" max="10762" width="10.140625" style="5" customWidth="1"/>
    <col min="10763" max="10763" width="13.5703125" style="5" customWidth="1"/>
    <col min="10764" max="10764" width="11.42578125" style="5" customWidth="1"/>
    <col min="10765" max="10765" width="19.28515625" style="5" bestFit="1" customWidth="1"/>
    <col min="10766" max="10766" width="34.85546875" style="5" customWidth="1"/>
    <col min="10767" max="10767" width="8" style="5" bestFit="1" customWidth="1"/>
    <col min="10768" max="10768" width="30.42578125" style="5" bestFit="1" customWidth="1"/>
    <col min="10769" max="10769" width="11.7109375" style="5" bestFit="1" customWidth="1"/>
    <col min="10770" max="10770" width="9.140625" style="5"/>
    <col min="10771" max="10771" width="13.85546875" style="5" bestFit="1" customWidth="1"/>
    <col min="10772" max="11011" width="9.140625" style="5"/>
    <col min="11012" max="11012" width="8" style="5" customWidth="1"/>
    <col min="11013" max="11013" width="10.5703125" style="5" customWidth="1"/>
    <col min="11014" max="11014" width="8.5703125" style="5" customWidth="1"/>
    <col min="11015" max="11015" width="14.42578125" style="5" customWidth="1"/>
    <col min="11016" max="11016" width="75.140625" style="5" customWidth="1"/>
    <col min="11017" max="11017" width="12.42578125" style="5" customWidth="1"/>
    <col min="11018" max="11018" width="10.140625" style="5" customWidth="1"/>
    <col min="11019" max="11019" width="13.5703125" style="5" customWidth="1"/>
    <col min="11020" max="11020" width="11.42578125" style="5" customWidth="1"/>
    <col min="11021" max="11021" width="19.28515625" style="5" bestFit="1" customWidth="1"/>
    <col min="11022" max="11022" width="34.85546875" style="5" customWidth="1"/>
    <col min="11023" max="11023" width="8" style="5" bestFit="1" customWidth="1"/>
    <col min="11024" max="11024" width="30.42578125" style="5" bestFit="1" customWidth="1"/>
    <col min="11025" max="11025" width="11.7109375" style="5" bestFit="1" customWidth="1"/>
    <col min="11026" max="11026" width="9.140625" style="5"/>
    <col min="11027" max="11027" width="13.85546875" style="5" bestFit="1" customWidth="1"/>
    <col min="11028" max="11267" width="9.140625" style="5"/>
    <col min="11268" max="11268" width="8" style="5" customWidth="1"/>
    <col min="11269" max="11269" width="10.5703125" style="5" customWidth="1"/>
    <col min="11270" max="11270" width="8.5703125" style="5" customWidth="1"/>
    <col min="11271" max="11271" width="14.42578125" style="5" customWidth="1"/>
    <col min="11272" max="11272" width="75.140625" style="5" customWidth="1"/>
    <col min="11273" max="11273" width="12.42578125" style="5" customWidth="1"/>
    <col min="11274" max="11274" width="10.140625" style="5" customWidth="1"/>
    <col min="11275" max="11275" width="13.5703125" style="5" customWidth="1"/>
    <col min="11276" max="11276" width="11.42578125" style="5" customWidth="1"/>
    <col min="11277" max="11277" width="19.28515625" style="5" bestFit="1" customWidth="1"/>
    <col min="11278" max="11278" width="34.85546875" style="5" customWidth="1"/>
    <col min="11279" max="11279" width="8" style="5" bestFit="1" customWidth="1"/>
    <col min="11280" max="11280" width="30.42578125" style="5" bestFit="1" customWidth="1"/>
    <col min="11281" max="11281" width="11.7109375" style="5" bestFit="1" customWidth="1"/>
    <col min="11282" max="11282" width="9.140625" style="5"/>
    <col min="11283" max="11283" width="13.85546875" style="5" bestFit="1" customWidth="1"/>
    <col min="11284" max="11523" width="9.140625" style="5"/>
    <col min="11524" max="11524" width="8" style="5" customWidth="1"/>
    <col min="11525" max="11525" width="10.5703125" style="5" customWidth="1"/>
    <col min="11526" max="11526" width="8.5703125" style="5" customWidth="1"/>
    <col min="11527" max="11527" width="14.42578125" style="5" customWidth="1"/>
    <col min="11528" max="11528" width="75.140625" style="5" customWidth="1"/>
    <col min="11529" max="11529" width="12.42578125" style="5" customWidth="1"/>
    <col min="11530" max="11530" width="10.140625" style="5" customWidth="1"/>
    <col min="11531" max="11531" width="13.5703125" style="5" customWidth="1"/>
    <col min="11532" max="11532" width="11.42578125" style="5" customWidth="1"/>
    <col min="11533" max="11533" width="19.28515625" style="5" bestFit="1" customWidth="1"/>
    <col min="11534" max="11534" width="34.85546875" style="5" customWidth="1"/>
    <col min="11535" max="11535" width="8" style="5" bestFit="1" customWidth="1"/>
    <col min="11536" max="11536" width="30.42578125" style="5" bestFit="1" customWidth="1"/>
    <col min="11537" max="11537" width="11.7109375" style="5" bestFit="1" customWidth="1"/>
    <col min="11538" max="11538" width="9.140625" style="5"/>
    <col min="11539" max="11539" width="13.85546875" style="5" bestFit="1" customWidth="1"/>
    <col min="11540" max="11779" width="9.140625" style="5"/>
    <col min="11780" max="11780" width="8" style="5" customWidth="1"/>
    <col min="11781" max="11781" width="10.5703125" style="5" customWidth="1"/>
    <col min="11782" max="11782" width="8.5703125" style="5" customWidth="1"/>
    <col min="11783" max="11783" width="14.42578125" style="5" customWidth="1"/>
    <col min="11784" max="11784" width="75.140625" style="5" customWidth="1"/>
    <col min="11785" max="11785" width="12.42578125" style="5" customWidth="1"/>
    <col min="11786" max="11786" width="10.140625" style="5" customWidth="1"/>
    <col min="11787" max="11787" width="13.5703125" style="5" customWidth="1"/>
    <col min="11788" max="11788" width="11.42578125" style="5" customWidth="1"/>
    <col min="11789" max="11789" width="19.28515625" style="5" bestFit="1" customWidth="1"/>
    <col min="11790" max="11790" width="34.85546875" style="5" customWidth="1"/>
    <col min="11791" max="11791" width="8" style="5" bestFit="1" customWidth="1"/>
    <col min="11792" max="11792" width="30.42578125" style="5" bestFit="1" customWidth="1"/>
    <col min="11793" max="11793" width="11.7109375" style="5" bestFit="1" customWidth="1"/>
    <col min="11794" max="11794" width="9.140625" style="5"/>
    <col min="11795" max="11795" width="13.85546875" style="5" bestFit="1" customWidth="1"/>
    <col min="11796" max="12035" width="9.140625" style="5"/>
    <col min="12036" max="12036" width="8" style="5" customWidth="1"/>
    <col min="12037" max="12037" width="10.5703125" style="5" customWidth="1"/>
    <col min="12038" max="12038" width="8.5703125" style="5" customWidth="1"/>
    <col min="12039" max="12039" width="14.42578125" style="5" customWidth="1"/>
    <col min="12040" max="12040" width="75.140625" style="5" customWidth="1"/>
    <col min="12041" max="12041" width="12.42578125" style="5" customWidth="1"/>
    <col min="12042" max="12042" width="10.140625" style="5" customWidth="1"/>
    <col min="12043" max="12043" width="13.5703125" style="5" customWidth="1"/>
    <col min="12044" max="12044" width="11.42578125" style="5" customWidth="1"/>
    <col min="12045" max="12045" width="19.28515625" style="5" bestFit="1" customWidth="1"/>
    <col min="12046" max="12046" width="34.85546875" style="5" customWidth="1"/>
    <col min="12047" max="12047" width="8" style="5" bestFit="1" customWidth="1"/>
    <col min="12048" max="12048" width="30.42578125" style="5" bestFit="1" customWidth="1"/>
    <col min="12049" max="12049" width="11.7109375" style="5" bestFit="1" customWidth="1"/>
    <col min="12050" max="12050" width="9.140625" style="5"/>
    <col min="12051" max="12051" width="13.85546875" style="5" bestFit="1" customWidth="1"/>
    <col min="12052" max="12291" width="9.140625" style="5"/>
    <col min="12292" max="12292" width="8" style="5" customWidth="1"/>
    <col min="12293" max="12293" width="10.5703125" style="5" customWidth="1"/>
    <col min="12294" max="12294" width="8.5703125" style="5" customWidth="1"/>
    <col min="12295" max="12295" width="14.42578125" style="5" customWidth="1"/>
    <col min="12296" max="12296" width="75.140625" style="5" customWidth="1"/>
    <col min="12297" max="12297" width="12.42578125" style="5" customWidth="1"/>
    <col min="12298" max="12298" width="10.140625" style="5" customWidth="1"/>
    <col min="12299" max="12299" width="13.5703125" style="5" customWidth="1"/>
    <col min="12300" max="12300" width="11.42578125" style="5" customWidth="1"/>
    <col min="12301" max="12301" width="19.28515625" style="5" bestFit="1" customWidth="1"/>
    <col min="12302" max="12302" width="34.85546875" style="5" customWidth="1"/>
    <col min="12303" max="12303" width="8" style="5" bestFit="1" customWidth="1"/>
    <col min="12304" max="12304" width="30.42578125" style="5" bestFit="1" customWidth="1"/>
    <col min="12305" max="12305" width="11.7109375" style="5" bestFit="1" customWidth="1"/>
    <col min="12306" max="12306" width="9.140625" style="5"/>
    <col min="12307" max="12307" width="13.85546875" style="5" bestFit="1" customWidth="1"/>
    <col min="12308" max="12547" width="9.140625" style="5"/>
    <col min="12548" max="12548" width="8" style="5" customWidth="1"/>
    <col min="12549" max="12549" width="10.5703125" style="5" customWidth="1"/>
    <col min="12550" max="12550" width="8.5703125" style="5" customWidth="1"/>
    <col min="12551" max="12551" width="14.42578125" style="5" customWidth="1"/>
    <col min="12552" max="12552" width="75.140625" style="5" customWidth="1"/>
    <col min="12553" max="12553" width="12.42578125" style="5" customWidth="1"/>
    <col min="12554" max="12554" width="10.140625" style="5" customWidth="1"/>
    <col min="12555" max="12555" width="13.5703125" style="5" customWidth="1"/>
    <col min="12556" max="12556" width="11.42578125" style="5" customWidth="1"/>
    <col min="12557" max="12557" width="19.28515625" style="5" bestFit="1" customWidth="1"/>
    <col min="12558" max="12558" width="34.85546875" style="5" customWidth="1"/>
    <col min="12559" max="12559" width="8" style="5" bestFit="1" customWidth="1"/>
    <col min="12560" max="12560" width="30.42578125" style="5" bestFit="1" customWidth="1"/>
    <col min="12561" max="12561" width="11.7109375" style="5" bestFit="1" customWidth="1"/>
    <col min="12562" max="12562" width="9.140625" style="5"/>
    <col min="12563" max="12563" width="13.85546875" style="5" bestFit="1" customWidth="1"/>
    <col min="12564" max="12803" width="9.140625" style="5"/>
    <col min="12804" max="12804" width="8" style="5" customWidth="1"/>
    <col min="12805" max="12805" width="10.5703125" style="5" customWidth="1"/>
    <col min="12806" max="12806" width="8.5703125" style="5" customWidth="1"/>
    <col min="12807" max="12807" width="14.42578125" style="5" customWidth="1"/>
    <col min="12808" max="12808" width="75.140625" style="5" customWidth="1"/>
    <col min="12809" max="12809" width="12.42578125" style="5" customWidth="1"/>
    <col min="12810" max="12810" width="10.140625" style="5" customWidth="1"/>
    <col min="12811" max="12811" width="13.5703125" style="5" customWidth="1"/>
    <col min="12812" max="12812" width="11.42578125" style="5" customWidth="1"/>
    <col min="12813" max="12813" width="19.28515625" style="5" bestFit="1" customWidth="1"/>
    <col min="12814" max="12814" width="34.85546875" style="5" customWidth="1"/>
    <col min="12815" max="12815" width="8" style="5" bestFit="1" customWidth="1"/>
    <col min="12816" max="12816" width="30.42578125" style="5" bestFit="1" customWidth="1"/>
    <col min="12817" max="12817" width="11.7109375" style="5" bestFit="1" customWidth="1"/>
    <col min="12818" max="12818" width="9.140625" style="5"/>
    <col min="12819" max="12819" width="13.85546875" style="5" bestFit="1" customWidth="1"/>
    <col min="12820" max="13059" width="9.140625" style="5"/>
    <col min="13060" max="13060" width="8" style="5" customWidth="1"/>
    <col min="13061" max="13061" width="10.5703125" style="5" customWidth="1"/>
    <col min="13062" max="13062" width="8.5703125" style="5" customWidth="1"/>
    <col min="13063" max="13063" width="14.42578125" style="5" customWidth="1"/>
    <col min="13064" max="13064" width="75.140625" style="5" customWidth="1"/>
    <col min="13065" max="13065" width="12.42578125" style="5" customWidth="1"/>
    <col min="13066" max="13066" width="10.140625" style="5" customWidth="1"/>
    <col min="13067" max="13067" width="13.5703125" style="5" customWidth="1"/>
    <col min="13068" max="13068" width="11.42578125" style="5" customWidth="1"/>
    <col min="13069" max="13069" width="19.28515625" style="5" bestFit="1" customWidth="1"/>
    <col min="13070" max="13070" width="34.85546875" style="5" customWidth="1"/>
    <col min="13071" max="13071" width="8" style="5" bestFit="1" customWidth="1"/>
    <col min="13072" max="13072" width="30.42578125" style="5" bestFit="1" customWidth="1"/>
    <col min="13073" max="13073" width="11.7109375" style="5" bestFit="1" customWidth="1"/>
    <col min="13074" max="13074" width="9.140625" style="5"/>
    <col min="13075" max="13075" width="13.85546875" style="5" bestFit="1" customWidth="1"/>
    <col min="13076" max="13315" width="9.140625" style="5"/>
    <col min="13316" max="13316" width="8" style="5" customWidth="1"/>
    <col min="13317" max="13317" width="10.5703125" style="5" customWidth="1"/>
    <col min="13318" max="13318" width="8.5703125" style="5" customWidth="1"/>
    <col min="13319" max="13319" width="14.42578125" style="5" customWidth="1"/>
    <col min="13320" max="13320" width="75.140625" style="5" customWidth="1"/>
    <col min="13321" max="13321" width="12.42578125" style="5" customWidth="1"/>
    <col min="13322" max="13322" width="10.140625" style="5" customWidth="1"/>
    <col min="13323" max="13323" width="13.5703125" style="5" customWidth="1"/>
    <col min="13324" max="13324" width="11.42578125" style="5" customWidth="1"/>
    <col min="13325" max="13325" width="19.28515625" style="5" bestFit="1" customWidth="1"/>
    <col min="13326" max="13326" width="34.85546875" style="5" customWidth="1"/>
    <col min="13327" max="13327" width="8" style="5" bestFit="1" customWidth="1"/>
    <col min="13328" max="13328" width="30.42578125" style="5" bestFit="1" customWidth="1"/>
    <col min="13329" max="13329" width="11.7109375" style="5" bestFit="1" customWidth="1"/>
    <col min="13330" max="13330" width="9.140625" style="5"/>
    <col min="13331" max="13331" width="13.85546875" style="5" bestFit="1" customWidth="1"/>
    <col min="13332" max="13571" width="9.140625" style="5"/>
    <col min="13572" max="13572" width="8" style="5" customWidth="1"/>
    <col min="13573" max="13573" width="10.5703125" style="5" customWidth="1"/>
    <col min="13574" max="13574" width="8.5703125" style="5" customWidth="1"/>
    <col min="13575" max="13575" width="14.42578125" style="5" customWidth="1"/>
    <col min="13576" max="13576" width="75.140625" style="5" customWidth="1"/>
    <col min="13577" max="13577" width="12.42578125" style="5" customWidth="1"/>
    <col min="13578" max="13578" width="10.140625" style="5" customWidth="1"/>
    <col min="13579" max="13579" width="13.5703125" style="5" customWidth="1"/>
    <col min="13580" max="13580" width="11.42578125" style="5" customWidth="1"/>
    <col min="13581" max="13581" width="19.28515625" style="5" bestFit="1" customWidth="1"/>
    <col min="13582" max="13582" width="34.85546875" style="5" customWidth="1"/>
    <col min="13583" max="13583" width="8" style="5" bestFit="1" customWidth="1"/>
    <col min="13584" max="13584" width="30.42578125" style="5" bestFit="1" customWidth="1"/>
    <col min="13585" max="13585" width="11.7109375" style="5" bestFit="1" customWidth="1"/>
    <col min="13586" max="13586" width="9.140625" style="5"/>
    <col min="13587" max="13587" width="13.85546875" style="5" bestFit="1" customWidth="1"/>
    <col min="13588" max="13827" width="9.140625" style="5"/>
    <col min="13828" max="13828" width="8" style="5" customWidth="1"/>
    <col min="13829" max="13829" width="10.5703125" style="5" customWidth="1"/>
    <col min="13830" max="13830" width="8.5703125" style="5" customWidth="1"/>
    <col min="13831" max="13831" width="14.42578125" style="5" customWidth="1"/>
    <col min="13832" max="13832" width="75.140625" style="5" customWidth="1"/>
    <col min="13833" max="13833" width="12.42578125" style="5" customWidth="1"/>
    <col min="13834" max="13834" width="10.140625" style="5" customWidth="1"/>
    <col min="13835" max="13835" width="13.5703125" style="5" customWidth="1"/>
    <col min="13836" max="13836" width="11.42578125" style="5" customWidth="1"/>
    <col min="13837" max="13837" width="19.28515625" style="5" bestFit="1" customWidth="1"/>
    <col min="13838" max="13838" width="34.85546875" style="5" customWidth="1"/>
    <col min="13839" max="13839" width="8" style="5" bestFit="1" customWidth="1"/>
    <col min="13840" max="13840" width="30.42578125" style="5" bestFit="1" customWidth="1"/>
    <col min="13841" max="13841" width="11.7109375" style="5" bestFit="1" customWidth="1"/>
    <col min="13842" max="13842" width="9.140625" style="5"/>
    <col min="13843" max="13843" width="13.85546875" style="5" bestFit="1" customWidth="1"/>
    <col min="13844" max="14083" width="9.140625" style="5"/>
    <col min="14084" max="14084" width="8" style="5" customWidth="1"/>
    <col min="14085" max="14085" width="10.5703125" style="5" customWidth="1"/>
    <col min="14086" max="14086" width="8.5703125" style="5" customWidth="1"/>
    <col min="14087" max="14087" width="14.42578125" style="5" customWidth="1"/>
    <col min="14088" max="14088" width="75.140625" style="5" customWidth="1"/>
    <col min="14089" max="14089" width="12.42578125" style="5" customWidth="1"/>
    <col min="14090" max="14090" width="10.140625" style="5" customWidth="1"/>
    <col min="14091" max="14091" width="13.5703125" style="5" customWidth="1"/>
    <col min="14092" max="14092" width="11.42578125" style="5" customWidth="1"/>
    <col min="14093" max="14093" width="19.28515625" style="5" bestFit="1" customWidth="1"/>
    <col min="14094" max="14094" width="34.85546875" style="5" customWidth="1"/>
    <col min="14095" max="14095" width="8" style="5" bestFit="1" customWidth="1"/>
    <col min="14096" max="14096" width="30.42578125" style="5" bestFit="1" customWidth="1"/>
    <col min="14097" max="14097" width="11.7109375" style="5" bestFit="1" customWidth="1"/>
    <col min="14098" max="14098" width="9.140625" style="5"/>
    <col min="14099" max="14099" width="13.85546875" style="5" bestFit="1" customWidth="1"/>
    <col min="14100" max="14339" width="9.140625" style="5"/>
    <col min="14340" max="14340" width="8" style="5" customWidth="1"/>
    <col min="14341" max="14341" width="10.5703125" style="5" customWidth="1"/>
    <col min="14342" max="14342" width="8.5703125" style="5" customWidth="1"/>
    <col min="14343" max="14343" width="14.42578125" style="5" customWidth="1"/>
    <col min="14344" max="14344" width="75.140625" style="5" customWidth="1"/>
    <col min="14345" max="14345" width="12.42578125" style="5" customWidth="1"/>
    <col min="14346" max="14346" width="10.140625" style="5" customWidth="1"/>
    <col min="14347" max="14347" width="13.5703125" style="5" customWidth="1"/>
    <col min="14348" max="14348" width="11.42578125" style="5" customWidth="1"/>
    <col min="14349" max="14349" width="19.28515625" style="5" bestFit="1" customWidth="1"/>
    <col min="14350" max="14350" width="34.85546875" style="5" customWidth="1"/>
    <col min="14351" max="14351" width="8" style="5" bestFit="1" customWidth="1"/>
    <col min="14352" max="14352" width="30.42578125" style="5" bestFit="1" customWidth="1"/>
    <col min="14353" max="14353" width="11.7109375" style="5" bestFit="1" customWidth="1"/>
    <col min="14354" max="14354" width="9.140625" style="5"/>
    <col min="14355" max="14355" width="13.85546875" style="5" bestFit="1" customWidth="1"/>
    <col min="14356" max="14595" width="9.140625" style="5"/>
    <col min="14596" max="14596" width="8" style="5" customWidth="1"/>
    <col min="14597" max="14597" width="10.5703125" style="5" customWidth="1"/>
    <col min="14598" max="14598" width="8.5703125" style="5" customWidth="1"/>
    <col min="14599" max="14599" width="14.42578125" style="5" customWidth="1"/>
    <col min="14600" max="14600" width="75.140625" style="5" customWidth="1"/>
    <col min="14601" max="14601" width="12.42578125" style="5" customWidth="1"/>
    <col min="14602" max="14602" width="10.140625" style="5" customWidth="1"/>
    <col min="14603" max="14603" width="13.5703125" style="5" customWidth="1"/>
    <col min="14604" max="14604" width="11.42578125" style="5" customWidth="1"/>
    <col min="14605" max="14605" width="19.28515625" style="5" bestFit="1" customWidth="1"/>
    <col min="14606" max="14606" width="34.85546875" style="5" customWidth="1"/>
    <col min="14607" max="14607" width="8" style="5" bestFit="1" customWidth="1"/>
    <col min="14608" max="14608" width="30.42578125" style="5" bestFit="1" customWidth="1"/>
    <col min="14609" max="14609" width="11.7109375" style="5" bestFit="1" customWidth="1"/>
    <col min="14610" max="14610" width="9.140625" style="5"/>
    <col min="14611" max="14611" width="13.85546875" style="5" bestFit="1" customWidth="1"/>
    <col min="14612" max="14851" width="9.140625" style="5"/>
    <col min="14852" max="14852" width="8" style="5" customWidth="1"/>
    <col min="14853" max="14853" width="10.5703125" style="5" customWidth="1"/>
    <col min="14854" max="14854" width="8.5703125" style="5" customWidth="1"/>
    <col min="14855" max="14855" width="14.42578125" style="5" customWidth="1"/>
    <col min="14856" max="14856" width="75.140625" style="5" customWidth="1"/>
    <col min="14857" max="14857" width="12.42578125" style="5" customWidth="1"/>
    <col min="14858" max="14858" width="10.140625" style="5" customWidth="1"/>
    <col min="14859" max="14859" width="13.5703125" style="5" customWidth="1"/>
    <col min="14860" max="14860" width="11.42578125" style="5" customWidth="1"/>
    <col min="14861" max="14861" width="19.28515625" style="5" bestFit="1" customWidth="1"/>
    <col min="14862" max="14862" width="34.85546875" style="5" customWidth="1"/>
    <col min="14863" max="14863" width="8" style="5" bestFit="1" customWidth="1"/>
    <col min="14864" max="14864" width="30.42578125" style="5" bestFit="1" customWidth="1"/>
    <col min="14865" max="14865" width="11.7109375" style="5" bestFit="1" customWidth="1"/>
    <col min="14866" max="14866" width="9.140625" style="5"/>
    <col min="14867" max="14867" width="13.85546875" style="5" bestFit="1" customWidth="1"/>
    <col min="14868" max="15107" width="9.140625" style="5"/>
    <col min="15108" max="15108" width="8" style="5" customWidth="1"/>
    <col min="15109" max="15109" width="10.5703125" style="5" customWidth="1"/>
    <col min="15110" max="15110" width="8.5703125" style="5" customWidth="1"/>
    <col min="15111" max="15111" width="14.42578125" style="5" customWidth="1"/>
    <col min="15112" max="15112" width="75.140625" style="5" customWidth="1"/>
    <col min="15113" max="15113" width="12.42578125" style="5" customWidth="1"/>
    <col min="15114" max="15114" width="10.140625" style="5" customWidth="1"/>
    <col min="15115" max="15115" width="13.5703125" style="5" customWidth="1"/>
    <col min="15116" max="15116" width="11.42578125" style="5" customWidth="1"/>
    <col min="15117" max="15117" width="19.28515625" style="5" bestFit="1" customWidth="1"/>
    <col min="15118" max="15118" width="34.85546875" style="5" customWidth="1"/>
    <col min="15119" max="15119" width="8" style="5" bestFit="1" customWidth="1"/>
    <col min="15120" max="15120" width="30.42578125" style="5" bestFit="1" customWidth="1"/>
    <col min="15121" max="15121" width="11.7109375" style="5" bestFit="1" customWidth="1"/>
    <col min="15122" max="15122" width="9.140625" style="5"/>
    <col min="15123" max="15123" width="13.85546875" style="5" bestFit="1" customWidth="1"/>
    <col min="15124" max="15363" width="9.140625" style="5"/>
    <col min="15364" max="15364" width="8" style="5" customWidth="1"/>
    <col min="15365" max="15365" width="10.5703125" style="5" customWidth="1"/>
    <col min="15366" max="15366" width="8.5703125" style="5" customWidth="1"/>
    <col min="15367" max="15367" width="14.42578125" style="5" customWidth="1"/>
    <col min="15368" max="15368" width="75.140625" style="5" customWidth="1"/>
    <col min="15369" max="15369" width="12.42578125" style="5" customWidth="1"/>
    <col min="15370" max="15370" width="10.140625" style="5" customWidth="1"/>
    <col min="15371" max="15371" width="13.5703125" style="5" customWidth="1"/>
    <col min="15372" max="15372" width="11.42578125" style="5" customWidth="1"/>
    <col min="15373" max="15373" width="19.28515625" style="5" bestFit="1" customWidth="1"/>
    <col min="15374" max="15374" width="34.85546875" style="5" customWidth="1"/>
    <col min="15375" max="15375" width="8" style="5" bestFit="1" customWidth="1"/>
    <col min="15376" max="15376" width="30.42578125" style="5" bestFit="1" customWidth="1"/>
    <col min="15377" max="15377" width="11.7109375" style="5" bestFit="1" customWidth="1"/>
    <col min="15378" max="15378" width="9.140625" style="5"/>
    <col min="15379" max="15379" width="13.85546875" style="5" bestFit="1" customWidth="1"/>
    <col min="15380" max="15619" width="9.140625" style="5"/>
    <col min="15620" max="15620" width="8" style="5" customWidth="1"/>
    <col min="15621" max="15621" width="10.5703125" style="5" customWidth="1"/>
    <col min="15622" max="15622" width="8.5703125" style="5" customWidth="1"/>
    <col min="15623" max="15623" width="14.42578125" style="5" customWidth="1"/>
    <col min="15624" max="15624" width="75.140625" style="5" customWidth="1"/>
    <col min="15625" max="15625" width="12.42578125" style="5" customWidth="1"/>
    <col min="15626" max="15626" width="10.140625" style="5" customWidth="1"/>
    <col min="15627" max="15627" width="13.5703125" style="5" customWidth="1"/>
    <col min="15628" max="15628" width="11.42578125" style="5" customWidth="1"/>
    <col min="15629" max="15629" width="19.28515625" style="5" bestFit="1" customWidth="1"/>
    <col min="15630" max="15630" width="34.85546875" style="5" customWidth="1"/>
    <col min="15631" max="15631" width="8" style="5" bestFit="1" customWidth="1"/>
    <col min="15632" max="15632" width="30.42578125" style="5" bestFit="1" customWidth="1"/>
    <col min="15633" max="15633" width="11.7109375" style="5" bestFit="1" customWidth="1"/>
    <col min="15634" max="15634" width="9.140625" style="5"/>
    <col min="15635" max="15635" width="13.85546875" style="5" bestFit="1" customWidth="1"/>
    <col min="15636" max="15875" width="9.140625" style="5"/>
    <col min="15876" max="15876" width="8" style="5" customWidth="1"/>
    <col min="15877" max="15877" width="10.5703125" style="5" customWidth="1"/>
    <col min="15878" max="15878" width="8.5703125" style="5" customWidth="1"/>
    <col min="15879" max="15879" width="14.42578125" style="5" customWidth="1"/>
    <col min="15880" max="15880" width="75.140625" style="5" customWidth="1"/>
    <col min="15881" max="15881" width="12.42578125" style="5" customWidth="1"/>
    <col min="15882" max="15882" width="10.140625" style="5" customWidth="1"/>
    <col min="15883" max="15883" width="13.5703125" style="5" customWidth="1"/>
    <col min="15884" max="15884" width="11.42578125" style="5" customWidth="1"/>
    <col min="15885" max="15885" width="19.28515625" style="5" bestFit="1" customWidth="1"/>
    <col min="15886" max="15886" width="34.85546875" style="5" customWidth="1"/>
    <col min="15887" max="15887" width="8" style="5" bestFit="1" customWidth="1"/>
    <col min="15888" max="15888" width="30.42578125" style="5" bestFit="1" customWidth="1"/>
    <col min="15889" max="15889" width="11.7109375" style="5" bestFit="1" customWidth="1"/>
    <col min="15890" max="15890" width="9.140625" style="5"/>
    <col min="15891" max="15891" width="13.85546875" style="5" bestFit="1" customWidth="1"/>
    <col min="15892" max="16131" width="9.140625" style="5"/>
    <col min="16132" max="16132" width="8" style="5" customWidth="1"/>
    <col min="16133" max="16133" width="10.5703125" style="5" customWidth="1"/>
    <col min="16134" max="16134" width="8.5703125" style="5" customWidth="1"/>
    <col min="16135" max="16135" width="14.42578125" style="5" customWidth="1"/>
    <col min="16136" max="16136" width="75.140625" style="5" customWidth="1"/>
    <col min="16137" max="16137" width="12.42578125" style="5" customWidth="1"/>
    <col min="16138" max="16138" width="10.140625" style="5" customWidth="1"/>
    <col min="16139" max="16139" width="13.5703125" style="5" customWidth="1"/>
    <col min="16140" max="16140" width="11.42578125" style="5" customWidth="1"/>
    <col min="16141" max="16141" width="19.28515625" style="5" bestFit="1" customWidth="1"/>
    <col min="16142" max="16142" width="34.85546875" style="5" customWidth="1"/>
    <col min="16143" max="16143" width="8" style="5" bestFit="1" customWidth="1"/>
    <col min="16144" max="16144" width="30.42578125" style="5" bestFit="1" customWidth="1"/>
    <col min="16145" max="16145" width="11.7109375" style="5" bestFit="1" customWidth="1"/>
    <col min="16146" max="16146" width="9.140625" style="5"/>
    <col min="16147" max="16147" width="13.85546875" style="5" bestFit="1" customWidth="1"/>
    <col min="16148" max="16384" width="9.140625" style="5"/>
  </cols>
  <sheetData>
    <row r="1" spans="4:16" ht="13.5" thickBot="1"/>
    <row r="2" spans="4:16" s="1" customFormat="1" ht="38.25" thickBot="1">
      <c r="D2" s="2"/>
      <c r="E2" s="2"/>
      <c r="F2" s="3" t="s">
        <v>4</v>
      </c>
      <c r="G2" s="4"/>
      <c r="H2" s="329" t="s">
        <v>6958</v>
      </c>
      <c r="J2" s="145"/>
      <c r="K2" s="145"/>
      <c r="O2" s="425"/>
      <c r="P2" s="444" t="s">
        <v>2890</v>
      </c>
    </row>
    <row r="3" spans="4:16" ht="18.75" thickBot="1">
      <c r="H3" s="7"/>
      <c r="N3" s="443" t="s">
        <v>2890</v>
      </c>
      <c r="O3" s="426" t="s">
        <v>2705</v>
      </c>
      <c r="P3" s="21"/>
    </row>
    <row r="4" spans="4:16" s="11" customFormat="1" ht="10.5" customHeight="1" thickBot="1">
      <c r="D4" s="12"/>
      <c r="E4" s="12"/>
      <c r="F4" s="624"/>
      <c r="G4" s="74"/>
      <c r="H4" s="76"/>
      <c r="I4" s="74"/>
      <c r="J4" s="75"/>
      <c r="K4" s="75"/>
      <c r="L4" s="75"/>
      <c r="M4" s="77"/>
      <c r="N4" s="11" t="s">
        <v>2891</v>
      </c>
      <c r="O4" s="426" t="s">
        <v>2706</v>
      </c>
      <c r="P4" s="21"/>
    </row>
    <row r="5" spans="4:16" ht="62.25" customHeight="1" thickBot="1">
      <c r="D5" s="19"/>
      <c r="E5" s="19"/>
      <c r="F5" s="1572"/>
      <c r="G5" s="1573"/>
      <c r="H5" s="1595" t="s">
        <v>2</v>
      </c>
      <c r="I5" s="1595"/>
      <c r="J5" s="1578"/>
      <c r="K5" s="1579"/>
      <c r="L5" s="1590" t="s">
        <v>13979</v>
      </c>
      <c r="M5" s="1591"/>
      <c r="N5" s="5"/>
      <c r="P5" s="21"/>
    </row>
    <row r="6" spans="4:16" ht="30.75" customHeight="1" thickBot="1">
      <c r="D6" s="19"/>
      <c r="E6" s="19"/>
      <c r="F6" s="1574"/>
      <c r="G6" s="1575"/>
      <c r="H6" s="1596"/>
      <c r="I6" s="1596"/>
      <c r="J6" s="1580"/>
      <c r="K6" s="1581"/>
      <c r="L6" s="1592" t="s">
        <v>2705</v>
      </c>
      <c r="M6" s="1593"/>
      <c r="N6" s="5"/>
      <c r="P6" s="21"/>
    </row>
    <row r="7" spans="4:16" ht="51.75" customHeight="1" thickBot="1">
      <c r="F7" s="1574"/>
      <c r="G7" s="1575"/>
      <c r="H7" s="1594" t="s">
        <v>4288</v>
      </c>
      <c r="I7" s="1594"/>
      <c r="J7" s="1580"/>
      <c r="K7" s="1581"/>
      <c r="L7" s="748" t="s">
        <v>6839</v>
      </c>
      <c r="M7" s="622">
        <f>'BDI '!G30</f>
        <v>0.26440000000000002</v>
      </c>
      <c r="N7" s="20"/>
    </row>
    <row r="8" spans="4:16" ht="51.75" customHeight="1" thickBot="1">
      <c r="F8" s="1576"/>
      <c r="G8" s="1577"/>
      <c r="H8" s="1584" t="s">
        <v>6978</v>
      </c>
      <c r="I8" s="1585"/>
      <c r="J8" s="1582"/>
      <c r="K8" s="1583"/>
      <c r="L8" s="749" t="s">
        <v>6840</v>
      </c>
      <c r="M8" s="334">
        <f>'BDI DIF'!I31</f>
        <v>0.16800000000000001</v>
      </c>
      <c r="N8" s="20"/>
    </row>
    <row r="9" spans="4:16" s="21" customFormat="1" ht="18.75" thickBot="1">
      <c r="D9" s="22"/>
      <c r="E9" s="22"/>
      <c r="F9" s="1586" t="s">
        <v>467</v>
      </c>
      <c r="G9" s="1587"/>
      <c r="H9" s="1587"/>
      <c r="I9" s="1587"/>
      <c r="J9" s="1587"/>
      <c r="K9" s="1587"/>
      <c r="L9" s="1588"/>
      <c r="M9" s="1589"/>
      <c r="N9" s="23"/>
      <c r="O9" s="24"/>
    </row>
    <row r="10" spans="4:16" s="11" customFormat="1" ht="6.75" thickBot="1">
      <c r="D10" s="12"/>
      <c r="E10" s="12"/>
      <c r="F10" s="13"/>
      <c r="G10" s="14"/>
      <c r="H10" s="85"/>
      <c r="I10" s="14"/>
      <c r="J10" s="15"/>
      <c r="K10" s="15"/>
      <c r="L10" s="15"/>
      <c r="M10" s="16"/>
      <c r="N10" s="17"/>
      <c r="O10" s="18"/>
    </row>
    <row r="11" spans="4:16" s="21" customFormat="1" ht="18">
      <c r="D11" s="22"/>
      <c r="E11" s="22"/>
      <c r="F11" s="316" t="s">
        <v>6</v>
      </c>
      <c r="G11" s="1571" t="s">
        <v>6768</v>
      </c>
      <c r="H11" s="1571"/>
      <c r="I11" s="1571"/>
      <c r="J11" s="1571"/>
      <c r="K11" s="1571"/>
      <c r="L11" s="317" t="s">
        <v>7</v>
      </c>
      <c r="M11" s="318">
        <f ca="1">TODAY()</f>
        <v>45167</v>
      </c>
      <c r="N11" s="25"/>
    </row>
    <row r="12" spans="4:16" s="21" customFormat="1" ht="18.75" thickBot="1">
      <c r="D12" s="22"/>
      <c r="E12" s="22"/>
      <c r="F12" s="316" t="s">
        <v>8</v>
      </c>
      <c r="G12" s="1607" t="s">
        <v>6979</v>
      </c>
      <c r="H12" s="1608"/>
      <c r="I12" s="1608"/>
      <c r="J12" s="1608"/>
      <c r="K12" s="1606" t="s">
        <v>9</v>
      </c>
      <c r="L12" s="1606"/>
      <c r="M12" s="197">
        <f>IF(L6=O4,'ENCARGOS SOCIAIS'!G46,'ENCARGOS SOCIAIS'!E46)</f>
        <v>0.80449999999999999</v>
      </c>
      <c r="N12" s="26"/>
      <c r="O12" s="24"/>
    </row>
    <row r="13" spans="4:16" s="21" customFormat="1" ht="18.75" thickBot="1">
      <c r="D13" s="22"/>
      <c r="E13" s="22"/>
      <c r="F13" s="1599" t="s">
        <v>10</v>
      </c>
      <c r="G13" s="1600"/>
      <c r="H13" s="1600"/>
      <c r="I13" s="1600"/>
      <c r="J13" s="1600"/>
      <c r="K13" s="1600"/>
      <c r="L13" s="1600"/>
      <c r="M13" s="1601"/>
      <c r="N13" s="27"/>
      <c r="O13" s="24"/>
    </row>
    <row r="14" spans="4:16" ht="30.75" thickBot="1">
      <c r="F14" s="28" t="s">
        <v>11</v>
      </c>
      <c r="G14" s="29" t="s">
        <v>12</v>
      </c>
      <c r="H14" s="29" t="s">
        <v>13</v>
      </c>
      <c r="I14" s="29" t="s">
        <v>14</v>
      </c>
      <c r="J14" s="30" t="s">
        <v>15</v>
      </c>
      <c r="K14" s="30" t="s">
        <v>16</v>
      </c>
      <c r="L14" s="30" t="s">
        <v>17</v>
      </c>
      <c r="M14" s="31" t="s">
        <v>18</v>
      </c>
      <c r="N14" s="32"/>
    </row>
    <row r="15" spans="4:16" s="33" customFormat="1" ht="6" thickBot="1">
      <c r="D15" s="34"/>
      <c r="E15" s="34"/>
      <c r="F15" s="35"/>
      <c r="G15" s="36"/>
      <c r="H15" s="36"/>
      <c r="I15" s="36"/>
      <c r="J15" s="146"/>
      <c r="K15" s="146"/>
      <c r="L15" s="36"/>
      <c r="M15" s="37"/>
      <c r="N15" s="38"/>
      <c r="O15" s="39"/>
    </row>
    <row r="16" spans="4:16" s="33" customFormat="1" ht="6" thickBot="1">
      <c r="D16" s="34"/>
      <c r="E16" s="34"/>
      <c r="F16" s="40"/>
      <c r="G16" s="41"/>
      <c r="H16" s="42"/>
      <c r="I16" s="41"/>
      <c r="J16" s="43"/>
      <c r="K16" s="43"/>
      <c r="L16" s="43"/>
      <c r="M16" s="44"/>
      <c r="N16" s="45"/>
      <c r="O16" s="39"/>
    </row>
    <row r="17" spans="1:18" ht="18.75" thickBot="1">
      <c r="F17" s="1602" t="str">
        <f>G11</f>
        <v xml:space="preserve">SISTEMA DE ABASTECIMENTO DE ÁGUA </v>
      </c>
      <c r="G17" s="1603"/>
      <c r="H17" s="1603"/>
      <c r="I17" s="1603"/>
      <c r="J17" s="1603"/>
      <c r="K17" s="1603"/>
      <c r="L17" s="1604"/>
      <c r="M17" s="1605"/>
      <c r="N17" s="46"/>
      <c r="O17" s="5"/>
      <c r="P17" s="8"/>
    </row>
    <row r="18" spans="1:18" s="33" customFormat="1" ht="6" thickBot="1">
      <c r="D18" s="34"/>
      <c r="E18" s="34"/>
      <c r="F18" s="47"/>
      <c r="G18" s="48"/>
      <c r="H18" s="49"/>
      <c r="I18" s="48"/>
      <c r="J18" s="50"/>
      <c r="K18" s="50"/>
      <c r="L18" s="50"/>
      <c r="M18" s="51"/>
      <c r="N18" s="45"/>
      <c r="O18" s="39"/>
    </row>
    <row r="19" spans="1:18" s="45" customFormat="1" ht="6" thickBot="1">
      <c r="D19" s="52"/>
      <c r="E19" s="52"/>
      <c r="F19" s="53"/>
      <c r="G19" s="53"/>
      <c r="H19" s="53"/>
      <c r="I19" s="53"/>
      <c r="J19" s="147"/>
      <c r="K19" s="147"/>
      <c r="L19" s="53"/>
      <c r="M19" s="53"/>
      <c r="N19" s="54"/>
    </row>
    <row r="20" spans="1:18" s="302" customFormat="1" ht="16.5" thickBot="1">
      <c r="A20" s="305">
        <f ca="1">IF(LEN(D20),OFFSET(A20,-1,0)+1,A19)</f>
        <v>1</v>
      </c>
      <c r="B20" s="305">
        <f ca="1">IF(OR(C20=1,D20=1),SUMIF($A$20:A20,A20,$C$20:C20),"")</f>
        <v>0</v>
      </c>
      <c r="C20" s="305" t="str">
        <f t="shared" ref="C20:C92" si="0">IF(G20&gt;0,1,"")</f>
        <v/>
      </c>
      <c r="D20" s="387">
        <f t="shared" ref="D20:D92" si="1">IF(AND(CONCATENATE(G20,H20,I20,J20,K20,L20,M20)=H20&amp;M20,CONCATENATE(G20,H20,I20,J20,K20,L20,M20)&lt;&gt;"",M20&lt;&gt;""),1,"")</f>
        <v>1</v>
      </c>
      <c r="E20" s="387"/>
      <c r="F20" s="491" t="str">
        <f t="shared" ref="F20:F92" ca="1" si="2">IF(B20&lt;&gt;"",A20&amp;"."&amp;B20,"")</f>
        <v>1.0</v>
      </c>
      <c r="G20" s="149"/>
      <c r="H20" s="150" t="s">
        <v>586</v>
      </c>
      <c r="I20" s="151"/>
      <c r="J20" s="152"/>
      <c r="K20" s="153"/>
      <c r="L20" s="153"/>
      <c r="M20" s="154">
        <f>SUM(M21)</f>
        <v>158058.09</v>
      </c>
      <c r="N20" s="301"/>
      <c r="O20" s="305"/>
    </row>
    <row r="21" spans="1:18" s="1035" customFormat="1" ht="16.5" thickBot="1">
      <c r="A21" s="1035">
        <f t="shared" ref="A21:A92" ca="1" si="3">IF(LEN(D21),OFFSET(A21,-1,0)+1,OFFSET(A21,-1,0))</f>
        <v>1</v>
      </c>
      <c r="B21" s="1035">
        <f ca="1">IF(OR(C21=1,D21=1),SUMIF($A$20:A21,A21,$C$20:C21),"")</f>
        <v>1</v>
      </c>
      <c r="C21" s="1035">
        <f t="shared" si="0"/>
        <v>1</v>
      </c>
      <c r="D21" s="1039" t="str">
        <f t="shared" si="1"/>
        <v/>
      </c>
      <c r="E21" s="1039"/>
      <c r="F21" s="314" t="str">
        <f t="shared" ca="1" si="2"/>
        <v>1.1</v>
      </c>
      <c r="G21" s="295" t="str">
        <f>'COMPOSIÇÃO CIVIL'!$B$13</f>
        <v>AMM CIV 001</v>
      </c>
      <c r="H21" s="313" t="str">
        <f>VLOOKUP($G21,IF(LEFT($G21,3)="AMM",COMPOSIÇÕES!$B$1:$E$4184,'BANCO DE DADOS JAN-23 SERV'!$B$2:$F$7195),2,FALSE)</f>
        <v>ADMINISTRAÇÃO LOCAL</v>
      </c>
      <c r="I21" s="295" t="str">
        <f>VLOOKUP($G21,IF(LEFT($G21,3)="AMM",COMPOSIÇÕES!$B$1:$E$4184,'BANCO DE DADOS JAN-23 SERV'!$B$2:$F$7195),3,FALSE)</f>
        <v>UN</v>
      </c>
      <c r="J21" s="1118">
        <v>1</v>
      </c>
      <c r="K21" s="1119">
        <f>VLOOKUP($G21,IF(LEFT($G21,3)="AMM",COMPOSIÇÕES!$B$1:$E$4184,'BANCO DE DADOS JAN-23 SERV'!$B$2:$F$7195),4,FALSE)</f>
        <v>125006.39999999999</v>
      </c>
      <c r="L21" s="1119">
        <f>IF($P$2="OUTROS",TRUNC(K21*(1+$M$7),2),ROUND(K21*(1+$M$7),2))</f>
        <v>158058.09</v>
      </c>
      <c r="M21" s="1120">
        <f>IF($P$2="OUTROS",TRUNC(L21*J21,2),ROUND(L21*J21,2))</f>
        <v>158058.09</v>
      </c>
      <c r="N21" s="1040"/>
      <c r="O21" s="758" t="str">
        <f>'COMPOSIÇÃO CIVIL'!H24</f>
        <v>MESTRE DE OBRAS COM ENCARGOS COMPLEMENTARES: 8HR*5DIAS*4SEMANAS*6MESES ENGENHEIRO CIVIL DE OBRA JUNIOR COM ENCARGOS COMPLEMENTARES: 4HR*5DIAS*4SEMANAS*6MESES VIGIA NOTURNO COM ENCARGOS COMPLEMENTARES: 12HR*5DIAS*4SEMANAS*6MESES</v>
      </c>
      <c r="P21" s="1040" t="str">
        <f ca="1">F21</f>
        <v>1.1</v>
      </c>
      <c r="Q21" s="1040"/>
      <c r="R21" s="1038"/>
    </row>
    <row r="22" spans="1:18" s="307" customFormat="1" ht="16.5" customHeight="1" thickBot="1">
      <c r="A22" s="305">
        <f t="shared" ca="1" si="3"/>
        <v>1</v>
      </c>
      <c r="B22" s="305" t="str">
        <f>IF(OR(C22=1,D22=1),SUMIF($A$20:A22,A22,$C$20:C22),"")</f>
        <v/>
      </c>
      <c r="C22" s="305" t="str">
        <f t="shared" si="0"/>
        <v/>
      </c>
      <c r="D22" s="387" t="str">
        <f t="shared" si="1"/>
        <v/>
      </c>
      <c r="E22" s="387"/>
      <c r="F22" s="155" t="str">
        <f t="shared" si="2"/>
        <v/>
      </c>
      <c r="G22" s="155"/>
      <c r="H22" s="155"/>
      <c r="I22" s="155"/>
      <c r="J22" s="156"/>
      <c r="K22" s="156"/>
      <c r="L22" s="155"/>
      <c r="M22" s="155"/>
      <c r="N22" s="306"/>
    </row>
    <row r="23" spans="1:18" s="302" customFormat="1" ht="16.5" thickBot="1">
      <c r="A23" s="305">
        <f t="shared" ca="1" si="3"/>
        <v>2</v>
      </c>
      <c r="B23" s="305">
        <f ca="1">IF(OR(C23=1,D23=1),SUMIF($A$20:A23,A23,$C$20:C23),"")</f>
        <v>0</v>
      </c>
      <c r="C23" s="305" t="str">
        <f t="shared" si="0"/>
        <v/>
      </c>
      <c r="D23" s="387">
        <f t="shared" si="1"/>
        <v>1</v>
      </c>
      <c r="E23" s="387"/>
      <c r="F23" s="148" t="str">
        <f t="shared" ca="1" si="2"/>
        <v>2.0</v>
      </c>
      <c r="G23" s="149"/>
      <c r="H23" s="150" t="s">
        <v>464</v>
      </c>
      <c r="I23" s="151"/>
      <c r="J23" s="152"/>
      <c r="K23" s="153"/>
      <c r="L23" s="153"/>
      <c r="M23" s="154">
        <f>SUM(M24:M29)</f>
        <v>59725.23</v>
      </c>
      <c r="N23" s="301"/>
      <c r="O23" s="305"/>
    </row>
    <row r="24" spans="1:18" s="1035" customFormat="1" ht="16.5" thickBot="1">
      <c r="A24" s="1035">
        <f t="shared" ca="1" si="3"/>
        <v>2</v>
      </c>
      <c r="B24" s="1035">
        <f ca="1">IF(OR(C24=1,D24=1),SUMIF($A$20:A24,A24,$C$20:C24),"")</f>
        <v>1</v>
      </c>
      <c r="C24" s="1035">
        <f t="shared" si="0"/>
        <v>1</v>
      </c>
      <c r="D24" s="1039" t="str">
        <f t="shared" si="1"/>
        <v/>
      </c>
      <c r="E24" s="1039"/>
      <c r="F24" s="1104" t="str">
        <f t="shared" ca="1" si="2"/>
        <v>2.1</v>
      </c>
      <c r="G24" s="1090" t="str">
        <f>'COMPOSIÇÃO CIVIL'!B28</f>
        <v>AMM CIV 002</v>
      </c>
      <c r="H24" s="1089" t="str">
        <f>VLOOKUP($G24,IF(LEFT($G24,3)="AMM",COMPOSIÇÕES!$B$1:$E$4184,'BANCO DE DADOS JAN-23 SERV'!$B$2:$F$7195),2,FALSE)</f>
        <v>PLACA DE OBRA EM CHAPA DE ACO GALVANIZADO</v>
      </c>
      <c r="I24" s="1090" t="str">
        <f>VLOOKUP($G24,IF(LEFT($G24,3)="AMM",COMPOSIÇÕES!$B$1:$E$4184,'BANCO DE DADOS JAN-23 SERV'!$B$2:$F$7195),3,FALSE)</f>
        <v>M2</v>
      </c>
      <c r="J24" s="1105">
        <f>TRUNC(2.25*3.6,2)</f>
        <v>8.1</v>
      </c>
      <c r="K24" s="1091">
        <f>VLOOKUP($G24,IF(LEFT($G24,3)="AMM",COMPOSIÇÕES!$B$1:$E$4184,'BANCO DE DADOS JAN-23 SERV'!$B$2:$F$7195),4,FALSE)</f>
        <v>418.35</v>
      </c>
      <c r="L24" s="1091">
        <f t="shared" ref="L24:L28" si="4">IF($P$2="OUTROS",TRUNC(K24*(1+$M$7),2),ROUND(K24*(1+$M$7),2))</f>
        <v>528.96</v>
      </c>
      <c r="M24" s="1106">
        <f t="shared" ref="M24:M28" si="5">IF($P$2="OUTROS",TRUNC(L24*J24,2),ROUND(L24*J24,2))</f>
        <v>4284.58</v>
      </c>
      <c r="N24" s="1040"/>
      <c r="O24" s="758" t="s">
        <v>7012</v>
      </c>
      <c r="P24" s="1040" t="str">
        <f t="shared" ref="P24:P28" ca="1" si="6">F24</f>
        <v>2.1</v>
      </c>
      <c r="R24" s="1038"/>
    </row>
    <row r="25" spans="1:18" s="1035" customFormat="1" ht="30.75" thickBot="1">
      <c r="A25" s="1035">
        <f t="shared" ref="A25" ca="1" si="7">IF(LEN(D25),OFFSET(A25,-1,0)+1,OFFSET(A25,-1,0))</f>
        <v>2</v>
      </c>
      <c r="B25" s="1035">
        <f ca="1">IF(OR(C25=1,D25=1),SUMIF($A$20:A25,A25,$C$20:C25),"")</f>
        <v>2</v>
      </c>
      <c r="C25" s="1035">
        <f t="shared" ref="C25" si="8">IF(G25&gt;0,1,"")</f>
        <v>1</v>
      </c>
      <c r="D25" s="1036" t="str">
        <f>IF(AND(CONCATENATE(G25,H25,I25,J25,K25,L25,M25)=H25&amp;M25,CONCATENATE(G25,H25,I25,J25,K25,L25,M25)&lt;&gt;"",M25&lt;&gt;""),1,"")</f>
        <v/>
      </c>
      <c r="E25" s="1036"/>
      <c r="F25" s="448" t="str">
        <f t="shared" ref="F25" ca="1" si="9">IF(B25&lt;&gt;"",A25&amp;"."&amp;B25,"")</f>
        <v>2.2</v>
      </c>
      <c r="G25" s="446" t="str">
        <f>'COMPOSIÇÃO CIVIL'!B48</f>
        <v>AMM CIV 004</v>
      </c>
      <c r="H25" s="447" t="str">
        <f>VLOOKUP($G25,IF(LEFT($G25,3)="AMM",COMPOSIÇÕES!$B$1:$E$4184,'BANCO DE DADOS JAN-23 SERV'!$B$2:$F$7195),2,FALSE)</f>
        <v>LIMPEZA MECANIZADA DO TERRENO C/ RETROESCAVADEIRA (VEGETAÇÃO RASTEIRA) INCLUSIVE CARGA E TRANSPORTE - DMT ATÉ 1KM</v>
      </c>
      <c r="I25" s="446" t="str">
        <f>VLOOKUP($G25,IF(LEFT($G25,3)="AMM",COMPOSIÇÕES!$B$1:$E$4184,'BANCO DE DADOS JAN-23 SERV'!$B$2:$F$7195),3,FALSE)</f>
        <v>M2</v>
      </c>
      <c r="J25" s="1116">
        <f>20*30</f>
        <v>600</v>
      </c>
      <c r="K25" s="1113">
        <f>VLOOKUP($G25,IF(LEFT($G25,3)="AMM",COMPOSIÇÕES!$B$1:$E$4184,'BANCO DE DADOS JAN-23 SERV'!$B$2:$F$7195),4,FALSE)</f>
        <v>2.1</v>
      </c>
      <c r="L25" s="1113">
        <f t="shared" ref="L25" si="10">IF($P$2="OUTROS",TRUNC(K25*(1+$M$7),2),ROUND(K25*(1+$M$7),2))</f>
        <v>2.66</v>
      </c>
      <c r="M25" s="1107">
        <f>IF($P$2="OUTROS",TRUNC(L25*J25,2),ROUND(L25*J25,2))</f>
        <v>1596</v>
      </c>
      <c r="N25" s="1037"/>
      <c r="O25" s="758" t="s">
        <v>7203</v>
      </c>
      <c r="P25" s="1037" t="str">
        <f t="shared" ref="P25" ca="1" si="11">F25</f>
        <v>2.2</v>
      </c>
      <c r="R25" s="1038"/>
    </row>
    <row r="26" spans="1:18" s="1035" customFormat="1" ht="16.5" thickBot="1">
      <c r="A26" s="1035">
        <f t="shared" ref="A26" ca="1" si="12">IF(LEN(D26),OFFSET(A26,-1,0)+1,OFFSET(A26,-1,0))</f>
        <v>2</v>
      </c>
      <c r="B26" s="1035">
        <f ca="1">IF(OR(C26=1,D26=1),SUMIF($A$20:A26,A26,$C$20:C26),"")</f>
        <v>3</v>
      </c>
      <c r="C26" s="1035">
        <f t="shared" ref="C26" si="13">IF(G26&gt;0,1,"")</f>
        <v>1</v>
      </c>
      <c r="D26" s="1039" t="str">
        <f t="shared" ref="D26" si="14">IF(AND(CONCATENATE(G26,H26,I26,J26,K26,L26,M26)=H26&amp;M26,CONCATENATE(G26,H26,I26,J26,K26,L26,M26)&lt;&gt;"",M26&lt;&gt;""),1,"")</f>
        <v/>
      </c>
      <c r="E26" s="1039"/>
      <c r="F26" s="448" t="str">
        <f t="shared" ref="F26" ca="1" si="15">IF(B26&lt;&gt;"",A26&amp;"."&amp;B26,"")</f>
        <v>2.3</v>
      </c>
      <c r="G26" s="1117" t="str">
        <f>'COMPOSIÇÃO CIVIL'!B59</f>
        <v>AMM CIV 005</v>
      </c>
      <c r="H26" s="447" t="str">
        <f>VLOOKUP($G26,IF(LEFT($G26,3)="AMM",COMPOSIÇÕES!$B$1:$E$4184,'BANCO DE DADOS JAN-23 SERV'!$B$2:$F$7195),2,FALSE)</f>
        <v>LOCAÇÃO DE CONTAINER - BANHEIRO COM CHUVEIRO E VASOS   (4,30 X 2,30M)</v>
      </c>
      <c r="I26" s="446" t="str">
        <f>VLOOKUP($G26,IF(LEFT($G26,3)="AMM",COMPOSIÇÕES!$B$1:$E$4184,'BANCO DE DADOS JAN-23 SERV'!$B$2:$F$7195),3,FALSE)</f>
        <v>MÊS</v>
      </c>
      <c r="J26" s="1113">
        <v>6</v>
      </c>
      <c r="K26" s="1113">
        <f>VLOOKUP($G26,IF(LEFT($G26,3)="AMM",COMPOSIÇÕES!$B$1:$E$4184,'BANCO DE DADOS JAN-23 SERV'!$B$2:$F$7195),4,FALSE)</f>
        <v>900.38</v>
      </c>
      <c r="L26" s="1113">
        <f t="shared" ref="L26" si="16">IF($P$2="OUTROS",TRUNC(K26*(1+$M$7),2),ROUND(K26*(1+$M$7),2))</f>
        <v>1138.44</v>
      </c>
      <c r="M26" s="1107">
        <f t="shared" ref="M26" si="17">IF($P$2="OUTROS",TRUNC(L26*J26,2),ROUND(L26*J26,2))</f>
        <v>6830.64</v>
      </c>
      <c r="N26" s="1040"/>
      <c r="O26" s="1041" t="s">
        <v>7204</v>
      </c>
      <c r="P26" s="1040" t="str">
        <f t="shared" ref="P26" ca="1" si="18">F26</f>
        <v>2.3</v>
      </c>
      <c r="R26" s="1038"/>
    </row>
    <row r="27" spans="1:18" s="1035" customFormat="1" ht="30.75" thickBot="1">
      <c r="A27" s="1035">
        <f t="shared" ca="1" si="3"/>
        <v>2</v>
      </c>
      <c r="B27" s="1035">
        <f ca="1">IF(OR(C27=1,D27=1),SUMIF($A$20:A27,A27,$C$20:C27),"")</f>
        <v>4</v>
      </c>
      <c r="C27" s="1035">
        <f t="shared" si="0"/>
        <v>1</v>
      </c>
      <c r="D27" s="1039" t="str">
        <f t="shared" si="1"/>
        <v/>
      </c>
      <c r="E27" s="1039"/>
      <c r="F27" s="448" t="str">
        <f t="shared" ca="1" si="2"/>
        <v>2.4</v>
      </c>
      <c r="G27" s="446">
        <v>93584</v>
      </c>
      <c r="H27" s="447" t="str">
        <f>VLOOKUP($G27,IF(LEFT($G27,3)="AMM",COMPOSIÇÕES!$B$1:$E$4184,'BANCO DE DADOS JAN-23 SERV'!$B$2:$F$7195),2,FALSE)</f>
        <v>EXECUÇÃO DE DEPÓSITO EM CANTEIRO DE OBRA EM CHAPA DE MADEIRA COMPENSADA, NÃO INCLUSO MOBILIÁRIO. AF_04/2016</v>
      </c>
      <c r="I27" s="446" t="str">
        <f>VLOOKUP($G27,IF(LEFT($G27,3)="AMM",COMPOSIÇÕES!$B$1:$E$4184,'BANCO DE DADOS JAN-23 SERV'!$B$2:$F$7195),3,FALSE)</f>
        <v>M2</v>
      </c>
      <c r="J27" s="1116">
        <f>(6*6)</f>
        <v>36</v>
      </c>
      <c r="K27" s="1113">
        <f>VLOOKUP($G27,IF(LEFT($G27,3)="AMM",COMPOSIÇÕES!$B$1:$E$4184,'BANCO DE DADOS JAN-23 SERV'!$B$2:$F$7195),4,FALSE)</f>
        <v>904.03</v>
      </c>
      <c r="L27" s="1113">
        <f t="shared" si="4"/>
        <v>1143.06</v>
      </c>
      <c r="M27" s="1107">
        <f t="shared" si="5"/>
        <v>41150.160000000003</v>
      </c>
      <c r="N27" s="1040"/>
      <c r="O27" s="1041" t="s">
        <v>7205</v>
      </c>
      <c r="P27" s="1040" t="str">
        <f t="shared" ca="1" si="6"/>
        <v>2.4</v>
      </c>
      <c r="R27" s="1038"/>
    </row>
    <row r="28" spans="1:18" s="1035" customFormat="1" ht="16.5" thickBot="1">
      <c r="A28" s="1035">
        <f t="shared" ref="A28:A30" ca="1" si="19">IF(LEN(D28),OFFSET(A28,-1,0)+1,OFFSET(A28,-1,0))</f>
        <v>2</v>
      </c>
      <c r="B28" s="1035">
        <f ca="1">IF(OR(C28=1,D28=1),SUMIF($A$20:A28,A28,$C$20:C28),"")</f>
        <v>5</v>
      </c>
      <c r="C28" s="1035">
        <f>IF(G28&gt;0,1,"")</f>
        <v>1</v>
      </c>
      <c r="D28" s="1039" t="str">
        <f>IF(AND(CONCATENATE(G28,H28,I28,J28,K28,L28,M28)=H28&amp;M28,CONCATENATE(G28,H28,I28,J28,K28,L28,M28)&lt;&gt;"",M28&lt;&gt;""),1,"")</f>
        <v/>
      </c>
      <c r="E28" s="1039"/>
      <c r="F28" s="571" t="str">
        <f t="shared" ca="1" si="2"/>
        <v>2.5</v>
      </c>
      <c r="G28" s="571">
        <v>98458</v>
      </c>
      <c r="H28" s="574" t="str">
        <f>VLOOKUP($G28,IF(LEFT($G28,3)="AMM",COMPOSIÇÕES!$B$1:$E$4184,'BANCO DE DADOS JAN-23 SERV'!$B$2:$F$7195),2,FALSE)</f>
        <v>TAPUME COM COMPENSADO DE MADEIRA. AF_05/2018</v>
      </c>
      <c r="I28" s="571" t="str">
        <f>VLOOKUP($G28,IF(LEFT($G28,3)="AMM",COMPOSIÇÕES!$B$1:$E$4184,'BANCO DE DADOS JAN-23 SERV'!$B$2:$F$7195),3,FALSE)</f>
        <v>M2</v>
      </c>
      <c r="J28" s="1102">
        <f>24</f>
        <v>24</v>
      </c>
      <c r="K28" s="697">
        <f>VLOOKUP($G28,IF(LEFT($G28,3)="AMM",COMPOSIÇÕES!$B$1:$E$4184,'BANCO DE DADOS JAN-23 SERV'!$B$2:$F$7195),4,FALSE)</f>
        <v>141.41</v>
      </c>
      <c r="L28" s="697">
        <f t="shared" si="4"/>
        <v>178.8</v>
      </c>
      <c r="M28" s="1086">
        <f t="shared" si="5"/>
        <v>4291.2</v>
      </c>
      <c r="N28" s="1040"/>
      <c r="O28" s="758" t="s">
        <v>6969</v>
      </c>
      <c r="P28" s="1040" t="str">
        <f t="shared" ca="1" si="6"/>
        <v>2.5</v>
      </c>
      <c r="R28" s="1038"/>
    </row>
    <row r="29" spans="1:18" s="302" customFormat="1" ht="30.75" thickBot="1">
      <c r="A29" s="302">
        <f t="shared" ref="A29" ca="1" si="20">IF(LEN(D29),OFFSET(A29,-1,0)+1,OFFSET(A29,-1,0))</f>
        <v>2</v>
      </c>
      <c r="B29" s="302">
        <f ca="1">IF(OR(C29=1,D29=1),SUMIF($A$20:A29,A29,$C$20:C29),"")</f>
        <v>6</v>
      </c>
      <c r="C29" s="302">
        <f>IF(G29&gt;0,1,"")</f>
        <v>1</v>
      </c>
      <c r="D29" s="317" t="str">
        <f>IF(AND(CONCATENATE(G29,H29,I29,J29,K29,L29,M29)=H29&amp;M29,CONCATENATE(G29,H29,I29,J29,K29,L29,M29)&lt;&gt;"",M29&lt;&gt;""),1,"")</f>
        <v/>
      </c>
      <c r="E29" s="317"/>
      <c r="F29" s="571" t="str">
        <f t="shared" ref="F29" ca="1" si="21">IF(B29&lt;&gt;"",A29&amp;"."&amp;B29,"")</f>
        <v>2.6</v>
      </c>
      <c r="G29" s="571">
        <v>99059</v>
      </c>
      <c r="H29" s="574" t="str">
        <f>VLOOKUP($G29,IF(LEFT($G29,3)="AMM",COMPOSIÇÕES!$B$1:$E$4184,'BANCO DE DADOS JAN-23 SERV'!$B$2:$F$7195),2,FALSE)</f>
        <v>LOCACAO CONVENCIONAL DE OBRA, UTILIZANDO GABARITO DE TÁBUAS CORRIDAS PONTALETADAS A CADA 2,00M -  2 UTILIZAÇÕES. AF_10/2018</v>
      </c>
      <c r="I29" s="571" t="str">
        <f>VLOOKUP($G29,IF(LEFT($G29,3)="AMM",COMPOSIÇÕES!$B$1:$E$4184,'BANCO DE DADOS JAN-23 SERV'!$B$2:$F$7195),3,FALSE)</f>
        <v>M</v>
      </c>
      <c r="J29" s="1102">
        <f>TRUNC(((3.71+0.5+0.5)*2)+((5.964+0.5+0.5)*2),2)</f>
        <v>23.34</v>
      </c>
      <c r="K29" s="697">
        <f>VLOOKUP($G29,IF(LEFT($G29,3)="AMM",COMPOSIÇÕES!$B$1:$E$4184,'BANCO DE DADOS JAN-23 SERV'!$B$2:$F$7195),4,FALSE)</f>
        <v>53.29</v>
      </c>
      <c r="L29" s="697">
        <f t="shared" ref="L29" si="22">IF($P$2="OUTROS",TRUNC(K29*(1+$M$7),2),ROUND(K29*(1+$M$7),2))</f>
        <v>67.38</v>
      </c>
      <c r="M29" s="1086">
        <f t="shared" ref="M29" si="23">IF($P$2="OUTROS",TRUNC(L29*J29,2),ROUND(L29*J29,2))</f>
        <v>1572.65</v>
      </c>
      <c r="N29" s="1186"/>
      <c r="O29" s="833" t="s">
        <v>14220</v>
      </c>
      <c r="P29" s="1186" t="str">
        <f t="shared" ref="P29" ca="1" si="24">F29</f>
        <v>2.6</v>
      </c>
      <c r="R29" s="642"/>
    </row>
    <row r="30" spans="1:18" s="45" customFormat="1" ht="16.5" customHeight="1" thickBot="1">
      <c r="A30" s="305">
        <f t="shared" ca="1" si="19"/>
        <v>2</v>
      </c>
      <c r="B30" s="305" t="str">
        <f>IF(OR(C30=1,D30=1),SUMIF($A$20:A30,A30,$C$20:C30),"")</f>
        <v/>
      </c>
      <c r="C30" s="305" t="str">
        <f t="shared" ref="C30" si="25">IF(G30&gt;0,1,"")</f>
        <v/>
      </c>
      <c r="D30" s="387" t="str">
        <f t="shared" ref="D30" si="26">IF(AND(CONCATENATE(G30,H30,I30,J30,K30,L30,M30)=H30&amp;M30,CONCATENATE(G30,H30,I30,J30,K30,L30,M30)&lt;&gt;"",M30&lt;&gt;""),1,"")</f>
        <v/>
      </c>
      <c r="E30" s="387"/>
      <c r="F30" s="53"/>
      <c r="G30" s="53"/>
      <c r="H30" s="53"/>
      <c r="I30" s="53"/>
      <c r="J30" s="147"/>
      <c r="K30" s="147"/>
      <c r="L30" s="53"/>
      <c r="M30" s="53"/>
      <c r="N30" s="54"/>
    </row>
    <row r="31" spans="1:18" s="302" customFormat="1" ht="16.5" customHeight="1">
      <c r="A31" s="305">
        <f t="shared" ref="A31:A42" ca="1" si="27">IF(LEN(D31),OFFSET(A31,-1,0)+1,OFFSET(A31,-1,0))</f>
        <v>3</v>
      </c>
      <c r="B31" s="305">
        <f ca="1">IF(OR(C31=1,D31=1),SUMIF($A$20:A31,A31,$C$20:C31),"")</f>
        <v>0</v>
      </c>
      <c r="C31" s="305" t="str">
        <f t="shared" ref="C31:C42" si="28">IF(G31&gt;0,1,"")</f>
        <v/>
      </c>
      <c r="D31" s="387">
        <f t="shared" ref="D31:D42" si="29">IF(AND(CONCATENATE(G31,H31,I31,J31,K31,L31,M31)=H31&amp;M31,CONCATENATE(G31,H31,I31,J31,K31,L31,M31)&lt;&gt;"",M31&lt;&gt;""),1,"")</f>
        <v>1</v>
      </c>
      <c r="E31" s="387"/>
      <c r="F31" s="491" t="str">
        <f t="shared" ref="F31:F42" ca="1" si="30">IF(B31&lt;&gt;"",A31&amp;"."&amp;B31,"")</f>
        <v>3.0</v>
      </c>
      <c r="G31" s="682"/>
      <c r="H31" s="683" t="s">
        <v>6980</v>
      </c>
      <c r="I31" s="684"/>
      <c r="J31" s="685"/>
      <c r="K31" s="686"/>
      <c r="L31" s="686"/>
      <c r="M31" s="687">
        <f>SUM(M33:M63)</f>
        <v>1135604.1900000002</v>
      </c>
      <c r="N31" s="641"/>
      <c r="O31" s="305"/>
    </row>
    <row r="32" spans="1:18" s="305" customFormat="1" ht="16.5" customHeight="1" thickBot="1">
      <c r="A32" s="305">
        <f t="shared" ca="1" si="27"/>
        <v>3</v>
      </c>
      <c r="B32" s="305" t="str">
        <f>IF(OR(C32=1,D32=1),SUMIF($A$20:A32,A32,$C$20:C32),"")</f>
        <v/>
      </c>
      <c r="C32" s="305" t="str">
        <f t="shared" si="28"/>
        <v/>
      </c>
      <c r="D32" s="387" t="str">
        <f t="shared" si="29"/>
        <v/>
      </c>
      <c r="E32" s="387"/>
      <c r="F32" s="380" t="str">
        <f t="shared" si="30"/>
        <v/>
      </c>
      <c r="G32" s="377"/>
      <c r="H32" s="381" t="s">
        <v>6949</v>
      </c>
      <c r="I32" s="377"/>
      <c r="J32" s="382"/>
      <c r="K32" s="378"/>
      <c r="L32" s="378"/>
      <c r="M32" s="379"/>
      <c r="N32" s="301"/>
      <c r="O32" s="420"/>
      <c r="P32" s="304"/>
      <c r="R32" s="304"/>
    </row>
    <row r="33" spans="1:18" s="1429" customFormat="1" ht="23.25" customHeight="1" thickBot="1">
      <c r="A33" s="1429">
        <f t="shared" ca="1" si="27"/>
        <v>3</v>
      </c>
      <c r="B33" s="1429">
        <f ca="1">IF(OR(C33=1,D33=1),SUMIF($A$20:A33,A33,$C$20:C33),"")</f>
        <v>1</v>
      </c>
      <c r="C33" s="1429">
        <f t="shared" si="28"/>
        <v>1</v>
      </c>
      <c r="D33" s="1430" t="str">
        <f t="shared" si="29"/>
        <v/>
      </c>
      <c r="E33" s="1430"/>
      <c r="F33" s="1431" t="str">
        <f t="shared" ca="1" si="30"/>
        <v>3.1</v>
      </c>
      <c r="G33" s="1432">
        <v>99063</v>
      </c>
      <c r="H33" s="1433" t="str">
        <f>VLOOKUP($G33,IF(LEFT($G33,3)="AMM",COMPOSIÇÕES!$B$1:$E$4184,'BANCO DE DADOS JAN-23 SERV'!$B$2:$F$7195),2,FALSE)</f>
        <v>LOCAÇÃO DE REDE DE ÁGUA OU ESGOTO. AF_10/2018</v>
      </c>
      <c r="I33" s="1434" t="str">
        <f>VLOOKUP($G33,IF(LEFT($G33,3)="AMM",COMPOSIÇÕES!$B$1:$E$4184,'BANCO DE DADOS JAN-23 SERV'!$B$2:$F$7195),3,FALSE)</f>
        <v>M</v>
      </c>
      <c r="J33" s="1435">
        <f>J39</f>
        <v>3655</v>
      </c>
      <c r="K33" s="1436">
        <f>VLOOKUP($G33,IF(LEFT($G33,3)="AMM",COMPOSIÇÕES!$B$1:$E$4184,'BANCO DE DADOS JAN-23 SERV'!$B$2:$F$7195),4,FALSE)</f>
        <v>4.59</v>
      </c>
      <c r="L33" s="1437">
        <f t="shared" ref="L33:L34" si="31">IF($P$2="OUTROS",TRUNC(K33*(1+$M$7),2),ROUND(K33*(1+$M$7),2))</f>
        <v>5.8</v>
      </c>
      <c r="M33" s="1093">
        <f t="shared" ref="M33:M34" si="32">IF($P$2="OUTROS",TRUNC(L33*J33,2),ROUND(L33*J33,2))</f>
        <v>21199</v>
      </c>
      <c r="N33" s="1438"/>
      <c r="O33" s="1439" t="s">
        <v>14218</v>
      </c>
      <c r="P33" s="1438" t="str">
        <f t="shared" ref="P33:P34" ca="1" si="33">F33</f>
        <v>3.1</v>
      </c>
    </row>
    <row r="34" spans="1:18" s="1429" customFormat="1" ht="23.25" customHeight="1" thickBot="1">
      <c r="A34" s="1429">
        <f t="shared" ca="1" si="27"/>
        <v>3</v>
      </c>
      <c r="B34" s="1429">
        <f ca="1">IF(OR(C34=1,D34=1),SUMIF($A$20:A34,A34,$C$20:C34),"")</f>
        <v>2</v>
      </c>
      <c r="C34" s="1429">
        <f t="shared" si="28"/>
        <v>1</v>
      </c>
      <c r="D34" s="1430" t="str">
        <f t="shared" si="29"/>
        <v/>
      </c>
      <c r="E34" s="1430"/>
      <c r="F34" s="1440" t="str">
        <f t="shared" ca="1" si="30"/>
        <v>3.2</v>
      </c>
      <c r="G34" s="1440" t="str">
        <f>'COMP SAA'!B27</f>
        <v>AMM SAA 002</v>
      </c>
      <c r="H34" s="1441" t="str">
        <f>VLOOKUP($G34,IF(LEFT($G34,3)="AMM",COMPOSIÇÕES!$B$1:$E$4184,'BANCO DE DADOS JAN-23 SERV'!$B$2:$F$7195),2,FALSE)</f>
        <v>ELABORAÇÃO DE CADASTRO DE REDE INCLUSIVE DESENHISTA</v>
      </c>
      <c r="I34" s="1442" t="str">
        <f>VLOOKUP($G34,IF(LEFT($G34,3)="AMM",COMPOSIÇÕES!$B$1:$E$4184,'BANCO DE DADOS JAN-23 SERV'!$B$2:$F$7195),3,FALSE)</f>
        <v>M</v>
      </c>
      <c r="J34" s="1443">
        <f>J33</f>
        <v>3655</v>
      </c>
      <c r="K34" s="1444">
        <f>VLOOKUP($G34,IF(LEFT($G34,3)="AMM",COMPOSIÇÕES!$B$1:$E$4184,'BANCO DE DADOS JAN-23 SERV'!$B$2:$F$7195),4,FALSE)</f>
        <v>0.84000000000000008</v>
      </c>
      <c r="L34" s="1444">
        <f t="shared" si="31"/>
        <v>1.06</v>
      </c>
      <c r="M34" s="1083">
        <f t="shared" si="32"/>
        <v>3874.3</v>
      </c>
      <c r="N34" s="1438"/>
      <c r="O34" s="1439" t="s">
        <v>14219</v>
      </c>
      <c r="P34" s="1438" t="str">
        <f t="shared" ca="1" si="33"/>
        <v>3.2</v>
      </c>
    </row>
    <row r="35" spans="1:18" s="1429" customFormat="1" ht="60.75" thickBot="1">
      <c r="A35" s="1429">
        <f t="shared" ca="1" si="27"/>
        <v>3</v>
      </c>
      <c r="B35" s="1429">
        <f ca="1">IF(OR(C35=1,D35=1),SUMIF($A$20:A35,A35,$C$20:C35),"")</f>
        <v>3</v>
      </c>
      <c r="C35" s="1429">
        <f t="shared" si="28"/>
        <v>1</v>
      </c>
      <c r="D35" s="1445" t="str">
        <f t="shared" si="29"/>
        <v/>
      </c>
      <c r="E35" s="1445"/>
      <c r="F35" s="1446" t="str">
        <f t="shared" ca="1" si="30"/>
        <v>3.3</v>
      </c>
      <c r="G35" s="1447">
        <v>102326</v>
      </c>
      <c r="H35" s="1448" t="str">
        <f>VLOOKUP($G35,IF(LEFT($G35,3)="AMM",COMPOSIÇÕES!$B$1:$E$4184,'BANCO DE DADOS JAN-23 SERV'!$B$2:$F$7195),2,FALSE)</f>
        <v>ESCAVAÇÃO MECANIZADA DE VALA COM PROF. ATÉ 1,5 M (MÉDIA MONTANTE E JUSANTE/UMA COMPOSIÇÃO POR TRECHO), RETROESCAV. (0,26 M3), LARGURA MENOR  QUE 0,8 M, EM SOLO DE 2A CATEGORIA, EM LOCAIS COM BAIXO NÍVEL DE NTERFERÊNCIA. AF_02/2021</v>
      </c>
      <c r="I35" s="1447" t="str">
        <f>VLOOKUP($G35,IF(LEFT($G35,3)="AMM",COMPOSIÇÕES!$B$1:$E$4184,'BANCO DE DADOS JAN-23 SERV'!$B$2:$F$7195),3,FALSE)</f>
        <v>M3</v>
      </c>
      <c r="J35" s="1449">
        <f>J39*0.6*1.27</f>
        <v>2785.11</v>
      </c>
      <c r="K35" s="1450">
        <f>VLOOKUP($G35,IF(LEFT($G35,3)="AMM",COMPOSIÇÕES!$B$1:$E$4184,'BANCO DE DADOS JAN-23 SERV'!$B$2:$F$7195),4,FALSE)</f>
        <v>9.7200000000000006</v>
      </c>
      <c r="L35" s="1450">
        <f>IF($P$2="OUTROS",TRUNC(K35*(1+$M$7),2),ROUND(K35*(1+$M$7),2))</f>
        <v>12.29</v>
      </c>
      <c r="M35" s="1426">
        <f>IF($P$2="OUTROS",TRUNC(L35*J35,2),ROUND(L35*J35,2))</f>
        <v>34229</v>
      </c>
      <c r="N35" s="1186"/>
      <c r="O35" s="1439" t="s">
        <v>14221</v>
      </c>
      <c r="P35" s="1186" t="str">
        <f ca="1">F35</f>
        <v>3.3</v>
      </c>
      <c r="R35" s="1451"/>
    </row>
    <row r="36" spans="1:18" s="1035" customFormat="1" ht="30.75" thickBot="1">
      <c r="A36" s="1035">
        <f t="shared" ca="1" si="27"/>
        <v>3</v>
      </c>
      <c r="B36" s="1035">
        <f ca="1">IF(OR(C36=1,D36=1),SUMIF($A$20:A36,A36,$C$20:C36),"")</f>
        <v>4</v>
      </c>
      <c r="C36" s="1035">
        <f t="shared" si="28"/>
        <v>1</v>
      </c>
      <c r="D36" s="1036" t="str">
        <f t="shared" si="29"/>
        <v/>
      </c>
      <c r="E36" s="1036"/>
      <c r="F36" s="611" t="str">
        <f t="shared" ca="1" si="30"/>
        <v>3.4</v>
      </c>
      <c r="G36" s="561">
        <v>101622</v>
      </c>
      <c r="H36" s="574" t="str">
        <f>VLOOKUP($G36,IF(LEFT($G36,3)="AMM",COMPOSIÇÕES!$B$1:$E$4184,'BANCO DE DADOS JAN-23 SERV'!$B$2:$F$7195),2,FALSE)</f>
        <v>PREPARO DE FUNDO DE VALA COM LARGURA MENOR QUE 1,5 M, COM CAMADA DE AREIA, LANÇAMENTO MECANIZADO. AF_08/2020</v>
      </c>
      <c r="I36" s="571" t="str">
        <f>VLOOKUP($G36,IF(LEFT($G36,3)="AMM",COMPOSIÇÕES!$B$1:$E$4184,'BANCO DE DADOS JAN-23 SERV'!$B$2:$F$7195),3,FALSE)</f>
        <v>M3</v>
      </c>
      <c r="J36" s="1114">
        <f>TRUNC(SUM(J39)*0.6*0.1,2)</f>
        <v>219.3</v>
      </c>
      <c r="K36" s="697">
        <f>VLOOKUP($G36,IF(LEFT($G36,3)="AMM",COMPOSIÇÕES!$B$1:$E$4184,'BANCO DE DADOS JAN-23 SERV'!$B$2:$F$7195),4,FALSE)</f>
        <v>220.37</v>
      </c>
      <c r="L36" s="697">
        <f>IF($P$2="OUTROS",TRUNC(K36*(1+$M$7),2),ROUND(K36*(1+$M$7),2))</f>
        <v>278.64</v>
      </c>
      <c r="M36" s="1111">
        <f>IF($P$2="OUTROS",TRUNC(L36*J36,2),ROUND(L36*J36,2))</f>
        <v>61105.75</v>
      </c>
      <c r="N36" s="1037"/>
      <c r="O36" s="758" t="s">
        <v>7206</v>
      </c>
      <c r="P36" s="1037" t="str">
        <f ca="1">F36</f>
        <v>3.4</v>
      </c>
      <c r="R36" s="1038"/>
    </row>
    <row r="37" spans="1:18" s="1035" customFormat="1" ht="60.75" thickBot="1">
      <c r="A37" s="1035">
        <f t="shared" ca="1" si="27"/>
        <v>3</v>
      </c>
      <c r="B37" s="1035">
        <f ca="1">IF(OR(C37=1,D37=1),SUMIF($A$20:A37,A37,$C$20:C37),"")</f>
        <v>5</v>
      </c>
      <c r="C37" s="1035">
        <f>IF(G37&gt;0,1,"")</f>
        <v>1</v>
      </c>
      <c r="D37" s="1036" t="str">
        <f>IF(AND(CONCATENATE(G37,H37,I37,J37,K37,L37,M37)=H37&amp;M37,CONCATENATE(G37,H37,I37,J37,K37,L37,M37)&lt;&gt;"",M37&lt;&gt;""),1,"")</f>
        <v/>
      </c>
      <c r="E37" s="1036"/>
      <c r="F37" s="611" t="str">
        <f t="shared" ca="1" si="30"/>
        <v>3.5</v>
      </c>
      <c r="G37" s="561">
        <v>93380</v>
      </c>
      <c r="H37" s="574" t="str">
        <f>VLOOKUP($G37,IF(LEFT($G37,3)="AMM",COMPOSIÇÕES!$B$1:$E$4184,'BANCO DE DADOS JAN-23 SERV'!$B$2:$F$7195),2,FALSE)</f>
        <v>REATERRO MECANIZADO DE VALA COM RETROESCAVADEIRA (CAPACIDADE DA CAÇAMBA DA RETRO: 0,26 M³ / POTÊNCIA: 88 HP), LARGURA ATÉ 0,8 M, PROFUNDIDADE DE 1,5 A 3,0 M, COM SOLO DE 1ª CATEGORIA EM LOCAIS COM BAIXO NÍVEL DE INTERFERÊNCIA. AF_04/2016</v>
      </c>
      <c r="I37" s="571" t="str">
        <f>VLOOKUP($G37,IF(LEFT($G37,3)="AMM",COMPOSIÇÕES!$B$1:$E$4184,'BANCO DE DADOS JAN-23 SERV'!$B$2:$F$7195),3,FALSE)</f>
        <v>M3</v>
      </c>
      <c r="J37" s="1115">
        <f>TRUNC(J35-82.92-1716-J36,2)</f>
        <v>766.89</v>
      </c>
      <c r="K37" s="697">
        <f>VLOOKUP($G37,IF(LEFT($G37,3)="AMM",COMPOSIÇÕES!$B$1:$E$4184,'BANCO DE DADOS JAN-23 SERV'!$B$2:$F$7195),4,FALSE)</f>
        <v>12.52</v>
      </c>
      <c r="L37" s="697">
        <f>IF($P$2="OUTROS",TRUNC(K37*(1+$M$7),2),ROUND(K37*(1+$M$7),2))</f>
        <v>15.83</v>
      </c>
      <c r="M37" s="1111">
        <f>IF($P$2="OUTROS",TRUNC(L37*J37,2),ROUND(L37*J37,2))</f>
        <v>12139.87</v>
      </c>
      <c r="N37" s="1037"/>
      <c r="O37" s="758" t="s">
        <v>13992</v>
      </c>
      <c r="P37" s="1037" t="str">
        <f ca="1">F37</f>
        <v>3.5</v>
      </c>
      <c r="R37" s="1038"/>
    </row>
    <row r="38" spans="1:18" s="305" customFormat="1" ht="16.5" customHeight="1" thickBot="1">
      <c r="A38" s="305">
        <f t="shared" ref="A38:A40" ca="1" si="34">IF(LEN(D38),OFFSET(A38,-1,0)+1,OFFSET(A38,-1,0))</f>
        <v>3</v>
      </c>
      <c r="B38" s="305" t="str">
        <f>IF(OR(C38=1,D38=1),SUMIF($A$20:A38,A38,$C$20:C38),"")</f>
        <v/>
      </c>
      <c r="C38" s="305" t="str">
        <f t="shared" ref="C38:C40" si="35">IF(G38&gt;0,1,"")</f>
        <v/>
      </c>
      <c r="D38" s="387" t="str">
        <f t="shared" ref="D38:D39" si="36">IF(AND(CONCATENATE(G38,H38,I38,J38,K38,L38,M38)=H38&amp;M38,CONCATENATE(G38,H38,I38,J38,K38,L38,M38)&lt;&gt;"",M38&lt;&gt;""),1,"")</f>
        <v/>
      </c>
      <c r="E38" s="387"/>
      <c r="F38" s="380" t="str">
        <f t="shared" ref="F38:F40" si="37">IF(B38&lt;&gt;"",A38&amp;"."&amp;B38,"")</f>
        <v/>
      </c>
      <c r="G38" s="377"/>
      <c r="H38" s="381" t="s">
        <v>7101</v>
      </c>
      <c r="I38" s="377"/>
      <c r="J38" s="382"/>
      <c r="K38" s="378"/>
      <c r="L38" s="378"/>
      <c r="M38" s="379"/>
      <c r="N38" s="301"/>
      <c r="O38" s="420"/>
      <c r="P38" s="304"/>
      <c r="R38" s="304"/>
    </row>
    <row r="39" spans="1:18" s="1035" customFormat="1" ht="30.75" thickBot="1">
      <c r="A39" s="1035">
        <f t="shared" ca="1" si="34"/>
        <v>3</v>
      </c>
      <c r="B39" s="1035">
        <f ca="1">IF(OR(C39=1,D39=1),SUMIF($A$20:A39,A39,$C$20:C39),"")</f>
        <v>6</v>
      </c>
      <c r="C39" s="1035">
        <f t="shared" si="35"/>
        <v>1</v>
      </c>
      <c r="D39" s="1039" t="str">
        <f t="shared" si="36"/>
        <v/>
      </c>
      <c r="E39" s="1039"/>
      <c r="F39" s="1104" t="str">
        <f t="shared" ca="1" si="37"/>
        <v>3.6</v>
      </c>
      <c r="G39" s="1090" t="str">
        <f>'COMP SAA'!B417</f>
        <v>AMM SAA 017</v>
      </c>
      <c r="H39" s="1089" t="str">
        <f>VLOOKUP($G39,IF(LEFT($G39,3)="AMM",COMPOSIÇÕES!$B$1:$E$4184,'BANCO DE DADOS JAN-23 SERV'!$B$2:$F$7195),2,FALSE)</f>
        <v xml:space="preserve">TUBO PVC DEFOFO, JEI, 1 MPA, DN 150 MM, PARA REDE DE  AGUA (NBR 7665) - FORNECIMENTO E ASSENTAMENTO                                                                                                                                                                                                                                                                                                                                                                                                                              </v>
      </c>
      <c r="I39" s="1090" t="str">
        <f>VLOOKUP($G39,IF(LEFT($G39,3)="AMM",COMPOSIÇÕES!$B$1:$E$4184,'BANCO DE DADOS JAN-23 SERV'!$B$2:$F$7195),3,FALSE)</f>
        <v>M</v>
      </c>
      <c r="J39" s="632">
        <v>3655</v>
      </c>
      <c r="K39" s="1091">
        <f>VLOOKUP($G39,IF(LEFT($G39,3)="AMM",COMPOSIÇÕES!$B$1:$E$4184,'BANCO DE DADOS JAN-23 SERV'!$B$2:$F$7195),4,FALSE)</f>
        <v>137.68</v>
      </c>
      <c r="L39" s="1091">
        <f t="shared" ref="L39:L40" si="38">IF($P$2="OUTROS",TRUNC(K39*(1+$M$7),2),ROUND(K39*(1+$M$7),2))</f>
        <v>174.08</v>
      </c>
      <c r="M39" s="1106">
        <f t="shared" ref="M39" si="39">IF($P$2="OUTROS",TRUNC(L39*J39,2),ROUND(L39*J39,2))</f>
        <v>636262.40000000002</v>
      </c>
      <c r="N39" s="1040"/>
      <c r="O39" s="758" t="s">
        <v>7207</v>
      </c>
      <c r="P39" s="1040" t="str">
        <f t="shared" ref="P39:P40" ca="1" si="40">F39</f>
        <v>3.6</v>
      </c>
      <c r="R39" s="1038"/>
    </row>
    <row r="40" spans="1:18" s="1035" customFormat="1" ht="30.75" thickBot="1">
      <c r="A40" s="1035">
        <f t="shared" ca="1" si="34"/>
        <v>3</v>
      </c>
      <c r="B40" s="1035">
        <f ca="1">IF(OR(C40=1,D40=1),SUMIF($A$20:A40,A40,$C$20:C40),"")</f>
        <v>7</v>
      </c>
      <c r="C40" s="1035">
        <f t="shared" si="35"/>
        <v>1</v>
      </c>
      <c r="D40" s="1036" t="str">
        <f>IF(AND(CONCATENATE(G40,H40,I40,J40,K40,L40,M40)=H40&amp;M40,CONCATENATE(G40,H40,I40,J40,K40,L40,M40)&lt;&gt;"",M40&lt;&gt;""),1,"")</f>
        <v/>
      </c>
      <c r="E40" s="1036"/>
      <c r="F40" s="448" t="str">
        <f t="shared" ca="1" si="37"/>
        <v>3.7</v>
      </c>
      <c r="G40" s="446" t="str">
        <f>'COMP SAA'!B424</f>
        <v>AMM SAA 018</v>
      </c>
      <c r="H40" s="447" t="str">
        <f>VLOOKUP($G40,IF(LEFT($G40,3)="AMM",COMPOSIÇÕES!$B$1:$E$4184,'BANCO DE DADOS JAN-23 SERV'!$B$2:$F$7195),2,FALSE)</f>
        <v>FORNECIMENO E ASSENTAMENTO DE ABRAÇADEIRA CIRCULAR EM AÇO GALVANIZADO - DN 200 MM</v>
      </c>
      <c r="I40" s="446" t="str">
        <f>VLOOKUP($G40,IF(LEFT($G40,3)="AMM",COMPOSIÇÕES!$B$1:$E$4184,'BANCO DE DADOS JAN-23 SERV'!$B$2:$F$7195),3,FALSE)</f>
        <v>UN</v>
      </c>
      <c r="J40" s="632">
        <v>35</v>
      </c>
      <c r="K40" s="1113">
        <f>VLOOKUP($G40,IF(LEFT($G40,3)="AMM",COMPOSIÇÕES!$B$1:$E$4184,'BANCO DE DADOS JAN-23 SERV'!$B$2:$F$7195),4,FALSE)</f>
        <v>108.58</v>
      </c>
      <c r="L40" s="1113">
        <f t="shared" si="38"/>
        <v>137.29</v>
      </c>
      <c r="M40" s="1107">
        <f>IF($P$2="OUTROS",TRUNC(L40*J40,2),ROUND(L40*J40,2))</f>
        <v>4805.1499999999996</v>
      </c>
      <c r="N40" s="1037"/>
      <c r="O40" s="758" t="s">
        <v>7208</v>
      </c>
      <c r="P40" s="1037" t="str">
        <f t="shared" ca="1" si="40"/>
        <v>3.7</v>
      </c>
      <c r="R40" s="1038"/>
    </row>
    <row r="41" spans="1:18" s="305" customFormat="1" ht="16.5" customHeight="1" thickBot="1">
      <c r="A41" s="305">
        <f t="shared" ca="1" si="27"/>
        <v>3</v>
      </c>
      <c r="B41" s="305" t="str">
        <f>IF(OR(C41=1,D41=1),SUMIF($A$20:A41,A41,$C$20:C41),"")</f>
        <v/>
      </c>
      <c r="C41" s="305" t="str">
        <f t="shared" si="28"/>
        <v/>
      </c>
      <c r="D41" s="387" t="str">
        <f t="shared" si="29"/>
        <v/>
      </c>
      <c r="E41" s="387"/>
      <c r="F41" s="380" t="str">
        <f t="shared" si="30"/>
        <v/>
      </c>
      <c r="G41" s="377"/>
      <c r="H41" s="381" t="s">
        <v>7102</v>
      </c>
      <c r="I41" s="377"/>
      <c r="J41" s="382"/>
      <c r="K41" s="378"/>
      <c r="L41" s="378"/>
      <c r="M41" s="379"/>
      <c r="N41" s="301"/>
      <c r="O41" s="420"/>
      <c r="P41" s="304"/>
      <c r="R41" s="304"/>
    </row>
    <row r="42" spans="1:18" s="1035" customFormat="1" ht="16.5" thickBot="1">
      <c r="A42" s="1035">
        <f t="shared" ca="1" si="27"/>
        <v>3</v>
      </c>
      <c r="B42" s="1035">
        <f ca="1">IF(OR(C42=1,D42=1),SUMIF($A$20:A42,A42,$C$20:C42),"")</f>
        <v>8</v>
      </c>
      <c r="C42" s="1035">
        <f t="shared" si="28"/>
        <v>1</v>
      </c>
      <c r="D42" s="1036" t="str">
        <f t="shared" si="29"/>
        <v/>
      </c>
      <c r="E42" s="1036"/>
      <c r="F42" s="611" t="str">
        <f t="shared" ca="1" si="30"/>
        <v>3.8</v>
      </c>
      <c r="G42" s="571" t="str">
        <f>'COMP SAA'!B440</f>
        <v>AMM SAA 019</v>
      </c>
      <c r="H42" s="574" t="str">
        <f>VLOOKUP($G42,IF(LEFT($G42,3)="AMM",COMPOSIÇÕES!$B$1:$E$4184,'BANCO DE DADOS JAN-23 SERV'!$B$2:$F$7195),2,FALSE)</f>
        <v>CURVA 90º EM PVC DEFOFO, DN 150MM - FORNECIMENTO E ASSENTAMENTO</v>
      </c>
      <c r="I42" s="571" t="str">
        <f>VLOOKUP($G42,IF(LEFT($G42,3)="AMM",COMPOSIÇÕES!$B$1:$E$4184,'BANCO DE DADOS JAN-23 SERV'!$B$2:$F$7195),3,FALSE)</f>
        <v>M</v>
      </c>
      <c r="J42" s="632">
        <v>8</v>
      </c>
      <c r="K42" s="697">
        <f>VLOOKUP($G42,IF(LEFT($G42,3)="AMM",COMPOSIÇÕES!$B$1:$E$4184,'BANCO DE DADOS JAN-23 SERV'!$B$2:$F$7195),4,FALSE)</f>
        <v>329.08000000000004</v>
      </c>
      <c r="L42" s="697">
        <f t="shared" ref="L42" si="41">IF($P$2="OUTROS",TRUNC(K42*(1+$M$7),2),ROUND(K42*(1+$M$7),2))</f>
        <v>416.09</v>
      </c>
      <c r="M42" s="1112">
        <f t="shared" ref="M42" si="42">IF($P$2="OUTROS",TRUNC(L42*J42,2),ROUND(L42*J42,2))</f>
        <v>3328.72</v>
      </c>
      <c r="N42" s="1048"/>
      <c r="O42" s="755" t="s">
        <v>6970</v>
      </c>
      <c r="P42" s="1048" t="str">
        <f t="shared" ref="P42" ca="1" si="43">F42</f>
        <v>3.8</v>
      </c>
      <c r="R42" s="1038"/>
    </row>
    <row r="43" spans="1:18" s="1035" customFormat="1" ht="16.5" thickBot="1">
      <c r="A43" s="1035">
        <f t="shared" ref="A43:A45" ca="1" si="44">IF(LEN(D43),OFFSET(A43,-1,0)+1,OFFSET(A43,-1,0))</f>
        <v>3</v>
      </c>
      <c r="B43" s="1035">
        <f ca="1">IF(OR(C43=1,D43=1),SUMIF($A$20:A43,A43,$C$20:C43),"")</f>
        <v>9</v>
      </c>
      <c r="C43" s="1035">
        <f t="shared" ref="C43:C45" si="45">IF(G43&gt;0,1,"")</f>
        <v>1</v>
      </c>
      <c r="D43" s="1036" t="str">
        <f t="shared" ref="D43:D45" si="46">IF(AND(CONCATENATE(G43,H43,I43,J43,K43,L43,M43)=H43&amp;M43,CONCATENATE(G43,H43,I43,J43,K43,L43,M43)&lt;&gt;"",M43&lt;&gt;""),1,"")</f>
        <v/>
      </c>
      <c r="E43" s="1036"/>
      <c r="F43" s="611" t="str">
        <f t="shared" ref="F43:F45" ca="1" si="47">IF(B43&lt;&gt;"",A43&amp;"."&amp;B43,"")</f>
        <v>3.9</v>
      </c>
      <c r="G43" s="571" t="str">
        <f>'COMP SAA'!B458</f>
        <v>AMM SAA 020</v>
      </c>
      <c r="H43" s="574" t="str">
        <f>VLOOKUP($G43,IF(LEFT($G43,3)="AMM",COMPOSIÇÕES!$B$1:$E$4184,'BANCO DE DADOS JAN-23 SERV'!$B$2:$F$7195),2,FALSE)</f>
        <v>CURVA 45º EM PVC DEFOFO, DN 150MM - FORNECIMENTO E ASSENTAMENTO</v>
      </c>
      <c r="I43" s="571" t="str">
        <f>VLOOKUP($G43,IF(LEFT($G43,3)="AMM",COMPOSIÇÕES!$B$1:$E$4184,'BANCO DE DADOS JAN-23 SERV'!$B$2:$F$7195),3,FALSE)</f>
        <v>M</v>
      </c>
      <c r="J43" s="632">
        <v>1</v>
      </c>
      <c r="K43" s="697">
        <f>VLOOKUP($G43,IF(LEFT($G43,3)="AMM",COMPOSIÇÕES!$B$1:$E$4184,'BANCO DE DADOS JAN-23 SERV'!$B$2:$F$7195),4,FALSE)</f>
        <v>524.58000000000004</v>
      </c>
      <c r="L43" s="697">
        <f t="shared" ref="L43" si="48">IF($P$2="OUTROS",TRUNC(K43*(1+$M$7),2),ROUND(K43*(1+$M$7),2))</f>
        <v>663.28</v>
      </c>
      <c r="M43" s="1112">
        <f t="shared" ref="M43" si="49">IF($P$2="OUTROS",TRUNC(L43*J43,2),ROUND(L43*J43,2))</f>
        <v>663.28</v>
      </c>
      <c r="N43" s="1048"/>
      <c r="O43" s="755" t="s">
        <v>6970</v>
      </c>
      <c r="P43" s="1048" t="str">
        <f t="shared" ref="P43" ca="1" si="50">F43</f>
        <v>3.9</v>
      </c>
      <c r="R43" s="1038"/>
    </row>
    <row r="44" spans="1:18" s="305" customFormat="1" ht="16.5" customHeight="1" thickBot="1">
      <c r="A44" s="305">
        <f t="shared" ca="1" si="44"/>
        <v>3</v>
      </c>
      <c r="B44" s="305" t="str">
        <f>IF(OR(C44=1,D44=1),SUMIF($A$20:A44,A44,$C$20:C44),"")</f>
        <v/>
      </c>
      <c r="C44" s="305" t="str">
        <f t="shared" si="45"/>
        <v/>
      </c>
      <c r="D44" s="387" t="str">
        <f t="shared" si="46"/>
        <v/>
      </c>
      <c r="E44" s="387"/>
      <c r="F44" s="380" t="str">
        <f t="shared" si="47"/>
        <v/>
      </c>
      <c r="G44" s="377"/>
      <c r="H44" s="381" t="s">
        <v>7103</v>
      </c>
      <c r="I44" s="377"/>
      <c r="J44" s="382"/>
      <c r="K44" s="378"/>
      <c r="L44" s="378"/>
      <c r="M44" s="379"/>
      <c r="N44" s="301"/>
      <c r="O44" s="420"/>
      <c r="P44" s="304"/>
      <c r="R44" s="304"/>
    </row>
    <row r="45" spans="1:18" s="1035" customFormat="1" ht="16.5" thickBot="1">
      <c r="A45" s="1035">
        <f t="shared" ca="1" si="44"/>
        <v>3</v>
      </c>
      <c r="B45" s="1035">
        <f ca="1">IF(OR(C45=1,D45=1),SUMIF($A$20:A45,A45,$C$20:C45),"")</f>
        <v>10</v>
      </c>
      <c r="C45" s="1035">
        <f t="shared" si="45"/>
        <v>1</v>
      </c>
      <c r="D45" s="1036" t="str">
        <f t="shared" si="46"/>
        <v/>
      </c>
      <c r="E45" s="1036"/>
      <c r="F45" s="611" t="str">
        <f t="shared" ca="1" si="47"/>
        <v>3.10</v>
      </c>
      <c r="G45" s="571" t="str">
        <f>'COMP SAA'!B476</f>
        <v>AMM SAA 021</v>
      </c>
      <c r="H45" s="574" t="str">
        <f>VLOOKUP($G45,IF(LEFT($G45,3)="AMM",COMPOSIÇÕES!$B$1:$E$4184,'BANCO DE DADOS JAN-23 SERV'!$B$2:$F$7195),2,FALSE)</f>
        <v>CONJUNTO MOTO BOMBA - Q: 14 L/S - HM: 35 M.C.A - FORNECIMENTO E INSTALAÇÃO</v>
      </c>
      <c r="I45" s="571" t="str">
        <f>VLOOKUP($G45,IF(LEFT($G45,3)="AMM",COMPOSIÇÕES!$B$1:$E$4184,'BANCO DE DADOS JAN-23 SERV'!$B$2:$F$7195),3,FALSE)</f>
        <v>UN</v>
      </c>
      <c r="J45" s="632">
        <v>2</v>
      </c>
      <c r="K45" s="697">
        <f>VLOOKUP($G45,IF(LEFT($G45,3)="AMM",COMPOSIÇÕES!$B$1:$E$4184,'BANCO DE DADOS JAN-23 SERV'!$B$2:$F$7195),4,FALSE)</f>
        <v>12769.44</v>
      </c>
      <c r="L45" s="697">
        <f t="shared" ref="L45:L46" si="51">IF($P$2="OUTROS",TRUNC(K45*(1+$M$7),2),ROUND(K45*(1+$M$7),2))</f>
        <v>16145.68</v>
      </c>
      <c r="M45" s="1112">
        <f t="shared" ref="M45:M46" si="52">IF($P$2="OUTROS",TRUNC(L45*J45,2),ROUND(L45*J45,2))</f>
        <v>32291.360000000001</v>
      </c>
      <c r="N45" s="1048"/>
      <c r="O45" s="755" t="s">
        <v>7209</v>
      </c>
      <c r="P45" s="1048" t="str">
        <f t="shared" ref="P45:P46" ca="1" si="53">F45</f>
        <v>3.10</v>
      </c>
      <c r="R45" s="1038"/>
    </row>
    <row r="46" spans="1:18" s="1035" customFormat="1" ht="30.75" thickBot="1">
      <c r="A46" s="1035">
        <f t="shared" ref="A46:A48" ca="1" si="54">IF(LEN(D46),OFFSET(A46,-1,0)+1,OFFSET(A46,-1,0))</f>
        <v>3</v>
      </c>
      <c r="B46" s="1035">
        <f ca="1">IF(OR(C46=1,D46=1),SUMIF($A$20:A46,A46,$C$20:C46),"")</f>
        <v>11</v>
      </c>
      <c r="C46" s="1035">
        <f t="shared" ref="C46:C48" si="55">IF(G46&gt;0,1,"")</f>
        <v>1</v>
      </c>
      <c r="D46" s="1036" t="str">
        <f t="shared" ref="D46:D48" si="56">IF(AND(CONCATENATE(G46,H46,I46,J46,K46,L46,M46)=H46&amp;M46,CONCATENATE(G46,H46,I46,J46,K46,L46,M46)&lt;&gt;"",M46&lt;&gt;""),1,"")</f>
        <v/>
      </c>
      <c r="E46" s="1036"/>
      <c r="F46" s="611" t="str">
        <f t="shared" ref="F46:F48" ca="1" si="57">IF(B46&lt;&gt;"",A46&amp;"."&amp;B46,"")</f>
        <v>3.11</v>
      </c>
      <c r="G46" s="571" t="str">
        <f>'COMP SAA'!B493</f>
        <v>AMM SAA 022</v>
      </c>
      <c r="H46" s="574" t="str">
        <f>VLOOKUP($G46,IF(LEFT($G46,3)="AMM",COMPOSIÇÕES!$B$1:$E$4184,'BANCO DE DADOS JAN-23 SERV'!$B$2:$F$7195),2,FALSE)</f>
        <v>FORNECIMENTO E ASSENTAMENTO DE TUBOS E CONEXÕES EM FF PN 10 - INTALAÇÕES DE SUCÇÃO/RECALQUE/BARRILETE</v>
      </c>
      <c r="I46" s="571" t="str">
        <f>VLOOKUP($G46,IF(LEFT($G46,3)="AMM",COMPOSIÇÕES!$B$1:$E$4184,'BANCO DE DADOS JAN-23 SERV'!$B$2:$F$7195),3,FALSE)</f>
        <v>UN</v>
      </c>
      <c r="J46" s="632">
        <v>1</v>
      </c>
      <c r="K46" s="697">
        <f>VLOOKUP($G46,IF(LEFT($G46,3)="AMM",COMPOSIÇÕES!$B$1:$E$4184,'BANCO DE DADOS JAN-23 SERV'!$B$2:$F$7195),4,FALSE)</f>
        <v>62948.880000000005</v>
      </c>
      <c r="L46" s="697">
        <f t="shared" si="51"/>
        <v>79592.56</v>
      </c>
      <c r="M46" s="1112">
        <f t="shared" si="52"/>
        <v>79592.56</v>
      </c>
      <c r="N46" s="1048"/>
      <c r="O46" s="755" t="s">
        <v>6970</v>
      </c>
      <c r="P46" s="1048" t="str">
        <f t="shared" ca="1" si="53"/>
        <v>3.11</v>
      </c>
      <c r="R46" s="1038"/>
    </row>
    <row r="47" spans="1:18" s="305" customFormat="1" ht="16.5" customHeight="1" thickBot="1">
      <c r="A47" s="305">
        <f t="shared" ca="1" si="54"/>
        <v>3</v>
      </c>
      <c r="B47" s="305" t="str">
        <f>IF(OR(C47=1,D47=1),SUMIF($A$20:A47,A47,$C$20:C47),"")</f>
        <v/>
      </c>
      <c r="C47" s="305" t="str">
        <f t="shared" si="55"/>
        <v/>
      </c>
      <c r="D47" s="387" t="str">
        <f t="shared" si="56"/>
        <v/>
      </c>
      <c r="E47" s="387"/>
      <c r="F47" s="380" t="str">
        <f t="shared" si="57"/>
        <v/>
      </c>
      <c r="G47" s="377"/>
      <c r="H47" s="381" t="s">
        <v>7104</v>
      </c>
      <c r="I47" s="377"/>
      <c r="J47" s="382"/>
      <c r="K47" s="378"/>
      <c r="L47" s="378"/>
      <c r="M47" s="379"/>
      <c r="N47" s="301"/>
      <c r="O47" s="420"/>
      <c r="P47" s="304"/>
      <c r="R47" s="304"/>
    </row>
    <row r="48" spans="1:18" s="1035" customFormat="1" ht="30.75" thickBot="1">
      <c r="A48" s="1035">
        <f t="shared" ca="1" si="54"/>
        <v>3</v>
      </c>
      <c r="B48" s="1035">
        <f ca="1">IF(OR(C48=1,D48=1),SUMIF($A$20:A48,A48,$C$20:C48),"")</f>
        <v>12</v>
      </c>
      <c r="C48" s="1035">
        <f t="shared" si="55"/>
        <v>1</v>
      </c>
      <c r="D48" s="1036" t="str">
        <f t="shared" si="56"/>
        <v/>
      </c>
      <c r="E48" s="1036"/>
      <c r="F48" s="611" t="str">
        <f t="shared" ca="1" si="57"/>
        <v>3.12</v>
      </c>
      <c r="G48" s="571" t="str">
        <f>'COMP SAA'!B697</f>
        <v>AMM SAA 023</v>
      </c>
      <c r="H48" s="574" t="str">
        <f>VLOOKUP($G48,IF(LEFT($G48,3)="AMM",COMPOSIÇÕES!$B$1:$E$4184,'BANCO DE DADOS JAN-23 SERV'!$B$2:$F$7195),2,FALSE)</f>
        <v>TUBOS E CONEXÕES (ABRIGO DE VÁLVULA VENTOSA) - FORNECIMENTO E INSTALAÇÃO</v>
      </c>
      <c r="I48" s="571" t="str">
        <f>VLOOKUP($G48,IF(LEFT($G48,3)="AMM",COMPOSIÇÕES!$B$1:$E$4184,'BANCO DE DADOS JAN-23 SERV'!$B$2:$F$7195),3,FALSE)</f>
        <v>UN</v>
      </c>
      <c r="J48" s="632">
        <v>4</v>
      </c>
      <c r="K48" s="697">
        <f>VLOOKUP($G48,IF(LEFT($G48,3)="AMM",COMPOSIÇÕES!$B$1:$E$4184,'BANCO DE DADOS JAN-23 SERV'!$B$2:$F$7195),4,FALSE)</f>
        <v>7965.52</v>
      </c>
      <c r="L48" s="697">
        <f t="shared" ref="L48:L49" si="58">IF($P$2="OUTROS",TRUNC(K48*(1+$M$7),2),ROUND(K48*(1+$M$7),2))</f>
        <v>10071.6</v>
      </c>
      <c r="M48" s="1112">
        <f t="shared" ref="M48:M49" si="59">IF($P$2="OUTROS",TRUNC(L48*J48,2),ROUND(L48*J48,2))</f>
        <v>40286.400000000001</v>
      </c>
      <c r="N48" s="1048"/>
      <c r="O48" s="1062" t="s">
        <v>6970</v>
      </c>
      <c r="P48" s="1048" t="str">
        <f t="shared" ref="P48:P49" ca="1" si="60">F48</f>
        <v>3.12</v>
      </c>
      <c r="R48" s="1038"/>
    </row>
    <row r="49" spans="1:18" s="1035" customFormat="1" ht="16.5" thickBot="1">
      <c r="A49" s="1035">
        <f t="shared" ref="A49" ca="1" si="61">IF(LEN(D49),OFFSET(A49,-1,0)+1,OFFSET(A49,-1,0))</f>
        <v>3</v>
      </c>
      <c r="B49" s="1035">
        <f ca="1">IF(OR(C49=1,D49=1),SUMIF($A$20:A49,A49,$C$20:C49),"")</f>
        <v>13</v>
      </c>
      <c r="C49" s="1035">
        <f t="shared" ref="C49" si="62">IF(G49&gt;0,1,"")</f>
        <v>1</v>
      </c>
      <c r="D49" s="1036" t="str">
        <f t="shared" ref="D49" si="63">IF(AND(CONCATENATE(G49,H49,I49,J49,K49,L49,M49)=H49&amp;M49,CONCATENATE(G49,H49,I49,J49,K49,L49,M49)&lt;&gt;"",M49&lt;&gt;""),1,"")</f>
        <v/>
      </c>
      <c r="E49" s="1036"/>
      <c r="F49" s="611" t="str">
        <f t="shared" ref="F49" ca="1" si="64">IF(B49&lt;&gt;"",A49&amp;"."&amp;B49,"")</f>
        <v>3.13</v>
      </c>
      <c r="G49" s="571" t="str">
        <f>'COMP SAA'!B787</f>
        <v>AMM SAA 024</v>
      </c>
      <c r="H49" s="574" t="str">
        <f>VLOOKUP($G49,IF(LEFT($G49,3)="AMM",COMPOSIÇÕES!$B$1:$E$4184,'BANCO DE DADOS JAN-23 SERV'!$B$2:$F$7195),2,FALSE)</f>
        <v>ABRIGO DE VÁLVULA VENTOSA- DIMENSÕES DE ACORDO COM O PROJETO</v>
      </c>
      <c r="I49" s="571" t="str">
        <f>VLOOKUP($G49,IF(LEFT($G49,3)="AMM",COMPOSIÇÕES!$B$1:$E$4184,'BANCO DE DADOS JAN-23 SERV'!$B$2:$F$7195),3,FALSE)</f>
        <v>UN</v>
      </c>
      <c r="J49" s="632">
        <v>4</v>
      </c>
      <c r="K49" s="697">
        <f>VLOOKUP($G49,IF(LEFT($G49,3)="AMM",COMPOSIÇÕES!$B$1:$E$4184,'BANCO DE DADOS JAN-23 SERV'!$B$2:$F$7195),4,FALSE)</f>
        <v>1896.85</v>
      </c>
      <c r="L49" s="697">
        <f t="shared" si="58"/>
        <v>2398.38</v>
      </c>
      <c r="M49" s="1112">
        <f t="shared" si="59"/>
        <v>9593.52</v>
      </c>
      <c r="N49" s="1048"/>
      <c r="O49" s="1062" t="s">
        <v>6970</v>
      </c>
      <c r="P49" s="1048" t="str">
        <f t="shared" ca="1" si="60"/>
        <v>3.13</v>
      </c>
      <c r="R49" s="1038"/>
    </row>
    <row r="50" spans="1:18" s="1035" customFormat="1" ht="16.5" thickBot="1">
      <c r="A50" s="1035">
        <f t="shared" ref="A50:A53" ca="1" si="65">IF(LEN(D50),OFFSET(A50,-1,0)+1,OFFSET(A50,-1,0))</f>
        <v>3</v>
      </c>
      <c r="B50" s="1035">
        <f ca="1">IF(OR(C50=1,D50=1),SUMIF($A$20:A50,A50,$C$20:C50),"")</f>
        <v>14</v>
      </c>
      <c r="C50" s="1035">
        <f t="shared" ref="C50:C53" si="66">IF(G50&gt;0,1,"")</f>
        <v>1</v>
      </c>
      <c r="D50" s="1036" t="str">
        <f t="shared" ref="D50:D53" si="67">IF(AND(CONCATENATE(G50,H50,I50,J50,K50,L50,M50)=H50&amp;M50,CONCATENATE(G50,H50,I50,J50,K50,L50,M50)&lt;&gt;"",M50&lt;&gt;""),1,"")</f>
        <v/>
      </c>
      <c r="E50" s="1036"/>
      <c r="F50" s="611" t="str">
        <f t="shared" ref="F50:F53" ca="1" si="68">IF(B50&lt;&gt;"",A50&amp;"."&amp;B50,"")</f>
        <v>3.14</v>
      </c>
      <c r="G50" s="571" t="str">
        <f>'COMP SAA'!B809</f>
        <v>AMM SAA 025</v>
      </c>
      <c r="H50" s="574" t="str">
        <f>VLOOKUP($G50,IF(LEFT($G50,3)="AMM",COMPOSIÇÕES!$B$1:$E$4184,'BANCO DE DADOS JAN-23 SERV'!$B$2:$F$7195),2,FALSE)</f>
        <v>FORNECIMENO E ASSENTAMENTO DE TAMPÃO DE FERRO DÚCTIL - DN 600 MM</v>
      </c>
      <c r="I50" s="571" t="str">
        <f>VLOOKUP($G50,IF(LEFT($G50,3)="AMM",COMPOSIÇÕES!$B$1:$E$4184,'BANCO DE DADOS JAN-23 SERV'!$B$2:$F$7195),3,FALSE)</f>
        <v>UN</v>
      </c>
      <c r="J50" s="632">
        <v>4</v>
      </c>
      <c r="K50" s="697">
        <f>VLOOKUP($G50,IF(LEFT($G50,3)="AMM",COMPOSIÇÕES!$B$1:$E$4184,'BANCO DE DADOS JAN-23 SERV'!$B$2:$F$7195),4,FALSE)</f>
        <v>800.46</v>
      </c>
      <c r="L50" s="697">
        <f t="shared" ref="L50" si="69">IF($P$2="OUTROS",TRUNC(K50*(1+$M$7),2),ROUND(K50*(1+$M$7),2))</f>
        <v>1012.1</v>
      </c>
      <c r="M50" s="1112">
        <f t="shared" ref="M50" si="70">IF($P$2="OUTROS",TRUNC(L50*J50,2),ROUND(L50*J50,2))</f>
        <v>4048.4</v>
      </c>
      <c r="N50" s="1048"/>
      <c r="O50" s="1062" t="s">
        <v>6970</v>
      </c>
      <c r="P50" s="1048" t="str">
        <f t="shared" ref="P50" ca="1" si="71">F50</f>
        <v>3.14</v>
      </c>
      <c r="R50" s="1038"/>
    </row>
    <row r="51" spans="1:18" s="305" customFormat="1" ht="16.5" customHeight="1" thickBot="1">
      <c r="A51" s="305">
        <f t="shared" ca="1" si="65"/>
        <v>3</v>
      </c>
      <c r="B51" s="305" t="str">
        <f>IF(OR(C51=1,D51=1),SUMIF($A$20:A51,A51,$C$20:C51),"")</f>
        <v/>
      </c>
      <c r="C51" s="305" t="str">
        <f t="shared" si="66"/>
        <v/>
      </c>
      <c r="D51" s="387" t="str">
        <f t="shared" si="67"/>
        <v/>
      </c>
      <c r="E51" s="387"/>
      <c r="F51" s="380" t="str">
        <f t="shared" si="68"/>
        <v/>
      </c>
      <c r="G51" s="377"/>
      <c r="H51" s="381" t="s">
        <v>7135</v>
      </c>
      <c r="I51" s="377"/>
      <c r="J51" s="382"/>
      <c r="K51" s="378"/>
      <c r="L51" s="378"/>
      <c r="M51" s="379"/>
      <c r="N51" s="301"/>
      <c r="O51" s="420"/>
      <c r="P51" s="304"/>
      <c r="R51" s="304"/>
    </row>
    <row r="52" spans="1:18" s="1035" customFormat="1" ht="16.5" thickBot="1">
      <c r="A52" s="1035">
        <f t="shared" ca="1" si="65"/>
        <v>3</v>
      </c>
      <c r="B52" s="1035">
        <f ca="1">IF(OR(C52=1,D52=1),SUMIF($A$20:A52,A52,$C$20:C52),"")</f>
        <v>15</v>
      </c>
      <c r="C52" s="1035">
        <f t="shared" si="66"/>
        <v>1</v>
      </c>
      <c r="D52" s="1036" t="str">
        <f t="shared" si="67"/>
        <v/>
      </c>
      <c r="E52" s="1036"/>
      <c r="F52" s="611" t="str">
        <f t="shared" ca="1" si="68"/>
        <v>3.15</v>
      </c>
      <c r="G52" s="571" t="str">
        <f>'COMP SAA'!B820</f>
        <v>AMM SAA 026</v>
      </c>
      <c r="H52" s="574" t="str">
        <f>VLOOKUP($G52,IF(LEFT($G52,3)="AMM",COMPOSIÇÕES!$B$1:$E$4184,'BANCO DE DADOS JAN-23 SERV'!$B$2:$F$7195),2,FALSE)</f>
        <v>CONEXÕES E TUBULAÇÕES (DESCARGA DE REDE) - FORNECIMENTO E INSTALAÇÃO</v>
      </c>
      <c r="I52" s="571" t="str">
        <f>VLOOKUP($G52,IF(LEFT($G52,3)="AMM",COMPOSIÇÕES!$B$1:$E$4184,'BANCO DE DADOS JAN-23 SERV'!$B$2:$F$7195),3,FALSE)</f>
        <v>UN</v>
      </c>
      <c r="J52" s="632">
        <v>4</v>
      </c>
      <c r="K52" s="697">
        <f>VLOOKUP($G52,IF(LEFT($G52,3)="AMM",COMPOSIÇÕES!$B$1:$E$4184,'BANCO DE DADOS JAN-23 SERV'!$B$2:$F$7195),4,FALSE)</f>
        <v>9079.07</v>
      </c>
      <c r="L52" s="697">
        <f t="shared" ref="L52:L54" si="72">IF($P$2="OUTROS",TRUNC(K52*(1+$M$7),2),ROUND(K52*(1+$M$7),2))</f>
        <v>11479.58</v>
      </c>
      <c r="M52" s="1112">
        <f t="shared" ref="M52:M54" si="73">IF($P$2="OUTROS",TRUNC(L52*J52,2),ROUND(L52*J52,2))</f>
        <v>45918.32</v>
      </c>
      <c r="N52" s="1048"/>
      <c r="O52" s="1062" t="s">
        <v>6970</v>
      </c>
      <c r="P52" s="1048" t="str">
        <f t="shared" ref="P52:P54" ca="1" si="74">F52</f>
        <v>3.15</v>
      </c>
      <c r="Q52" s="1042" t="e">
        <f>SUM(#REF!)</f>
        <v>#REF!</v>
      </c>
      <c r="R52" s="1038"/>
    </row>
    <row r="53" spans="1:18" s="1035" customFormat="1" ht="16.5" thickBot="1">
      <c r="A53" s="1035">
        <f t="shared" ca="1" si="65"/>
        <v>3</v>
      </c>
      <c r="B53" s="1035">
        <f ca="1">IF(OR(C53=1,D53=1),SUMIF($A$20:A53,A53,$C$20:C53),"")</f>
        <v>16</v>
      </c>
      <c r="C53" s="1035">
        <f t="shared" si="66"/>
        <v>1</v>
      </c>
      <c r="D53" s="1036" t="str">
        <f t="shared" si="67"/>
        <v/>
      </c>
      <c r="E53" s="1036"/>
      <c r="F53" s="611" t="str">
        <f t="shared" ca="1" si="68"/>
        <v>3.16</v>
      </c>
      <c r="G53" s="571" t="str">
        <f>'COMP SAA'!B901</f>
        <v>AMM SAA 027</v>
      </c>
      <c r="H53" s="574" t="str">
        <f>VLOOKUP($G53,IF(LEFT($G53,3)="AMM",COMPOSIÇÕES!$B$1:$E$4184,'BANCO DE DADOS JAN-23 SERV'!$B$2:$F$7195),2,FALSE)</f>
        <v>ABRIGO DE DESCARGA - DIMENSÕES DE ACORDO COM O PROJETO</v>
      </c>
      <c r="I53" s="571" t="str">
        <f>VLOOKUP($G53,IF(LEFT($G53,3)="AMM",COMPOSIÇÕES!$B$1:$E$4184,'BANCO DE DADOS JAN-23 SERV'!$B$2:$F$7195),3,FALSE)</f>
        <v>UN</v>
      </c>
      <c r="J53" s="632">
        <v>4</v>
      </c>
      <c r="K53" s="697">
        <f>VLOOKUP($G53,IF(LEFT($G53,3)="AMM",COMPOSIÇÕES!$B$1:$E$4184,'BANCO DE DADOS JAN-23 SERV'!$B$2:$F$7195),4,FALSE)</f>
        <v>2431.0000000000005</v>
      </c>
      <c r="L53" s="697">
        <f t="shared" si="72"/>
        <v>3073.76</v>
      </c>
      <c r="M53" s="1112">
        <f t="shared" si="73"/>
        <v>12295.04</v>
      </c>
      <c r="N53" s="1048"/>
      <c r="O53" s="1062" t="s">
        <v>6970</v>
      </c>
      <c r="P53" s="1048" t="str">
        <f t="shared" ca="1" si="74"/>
        <v>3.16</v>
      </c>
      <c r="R53" s="1038"/>
    </row>
    <row r="54" spans="1:18" s="1035" customFormat="1" ht="16.5" thickBot="1">
      <c r="A54" s="1035">
        <f t="shared" ref="A54:A86" ca="1" si="75">IF(LEN(D54),OFFSET(A54,-1,0)+1,OFFSET(A54,-1,0))</f>
        <v>3</v>
      </c>
      <c r="B54" s="1035">
        <f ca="1">IF(OR(C54=1,D54=1),SUMIF($A$20:A54,A54,$C$20:C54),"")</f>
        <v>17</v>
      </c>
      <c r="C54" s="1035">
        <f t="shared" ref="C54:C86" si="76">IF(G54&gt;0,1,"")</f>
        <v>1</v>
      </c>
      <c r="D54" s="1036" t="str">
        <f t="shared" ref="D54:D86" si="77">IF(AND(CONCATENATE(G54,H54,I54,J54,K54,L54,M54)=H54&amp;M54,CONCATENATE(G54,H54,I54,J54,K54,L54,M54)&lt;&gt;"",M54&lt;&gt;""),1,"")</f>
        <v/>
      </c>
      <c r="E54" s="1036"/>
      <c r="F54" s="611" t="str">
        <f t="shared" ref="F54:F86" ca="1" si="78">IF(B54&lt;&gt;"",A54&amp;"."&amp;B54,"")</f>
        <v>3.17</v>
      </c>
      <c r="G54" s="571" t="str">
        <f>'COMP SAA'!B809</f>
        <v>AMM SAA 025</v>
      </c>
      <c r="H54" s="574" t="str">
        <f>VLOOKUP($G54,IF(LEFT($G54,3)="AMM",COMPOSIÇÕES!$B$1:$E$4184,'BANCO DE DADOS JAN-23 SERV'!$B$2:$F$7195),2,FALSE)</f>
        <v>FORNECIMENO E ASSENTAMENTO DE TAMPÃO DE FERRO DÚCTIL - DN 600 MM</v>
      </c>
      <c r="I54" s="571" t="str">
        <f>VLOOKUP($G54,IF(LEFT($G54,3)="AMM",COMPOSIÇÕES!$B$1:$E$4184,'BANCO DE DADOS JAN-23 SERV'!$B$2:$F$7195),3,FALSE)</f>
        <v>UN</v>
      </c>
      <c r="J54" s="632">
        <v>4</v>
      </c>
      <c r="K54" s="697">
        <f>VLOOKUP($G54,IF(LEFT($G54,3)="AMM",COMPOSIÇÕES!$B$1:$E$4184,'BANCO DE DADOS JAN-23 SERV'!$B$2:$F$7195),4,FALSE)</f>
        <v>800.46</v>
      </c>
      <c r="L54" s="697">
        <f t="shared" si="72"/>
        <v>1012.1</v>
      </c>
      <c r="M54" s="1112">
        <f t="shared" si="73"/>
        <v>4048.4</v>
      </c>
      <c r="N54" s="1048"/>
      <c r="O54" s="1062" t="s">
        <v>6970</v>
      </c>
      <c r="P54" s="1048" t="str">
        <f t="shared" ca="1" si="74"/>
        <v>3.17</v>
      </c>
      <c r="R54" s="1038"/>
    </row>
    <row r="55" spans="1:18" s="305" customFormat="1" ht="16.5" customHeight="1" thickBot="1">
      <c r="A55" s="305">
        <f t="shared" ca="1" si="75"/>
        <v>3</v>
      </c>
      <c r="B55" s="305" t="str">
        <f>IF(OR(C55=1,D55=1),SUMIF($A$20:A55,A55,$C$20:C55),"")</f>
        <v/>
      </c>
      <c r="C55" s="305" t="str">
        <f t="shared" si="76"/>
        <v/>
      </c>
      <c r="D55" s="387" t="str">
        <f t="shared" si="77"/>
        <v/>
      </c>
      <c r="E55" s="387"/>
      <c r="F55" s="380" t="str">
        <f t="shared" si="78"/>
        <v/>
      </c>
      <c r="G55" s="377"/>
      <c r="H55" s="381" t="s">
        <v>7146</v>
      </c>
      <c r="I55" s="377"/>
      <c r="J55" s="382"/>
      <c r="K55" s="378"/>
      <c r="L55" s="378"/>
      <c r="M55" s="379"/>
      <c r="N55" s="301"/>
      <c r="O55" s="420"/>
      <c r="P55" s="304"/>
      <c r="R55" s="304"/>
    </row>
    <row r="56" spans="1:18" s="1429" customFormat="1" ht="30.75" thickBot="1">
      <c r="A56" s="1429">
        <f t="shared" ref="A56:A61" ca="1" si="79">IF(LEN(D56),OFFSET(A56,-1,0)+1,OFFSET(A56,-1,0))</f>
        <v>3</v>
      </c>
      <c r="B56" s="1429">
        <f ca="1">IF(OR(C56=1,D56=1),SUMIF($A$20:A56,A56,$C$20:C56),"")</f>
        <v>18</v>
      </c>
      <c r="C56" s="1429">
        <f t="shared" ref="C56:C61" si="80">IF(G56&gt;0,1,"")</f>
        <v>1</v>
      </c>
      <c r="D56" s="1445" t="str">
        <f t="shared" ref="D56:D61" si="81">IF(AND(CONCATENATE(G56,H56,I56,J56,K56,L56,M56)=H56&amp;M56,CONCATENATE(G56,H56,I56,J56,K56,L56,M56)&lt;&gt;"",M56&lt;&gt;""),1,"")</f>
        <v/>
      </c>
      <c r="E56" s="1445"/>
      <c r="F56" s="1442" t="str">
        <f t="shared" ref="F56:F61" ca="1" si="82">IF(B56&lt;&gt;"",A56&amp;"."&amp;B56,"")</f>
        <v>3.18</v>
      </c>
      <c r="G56" s="1442">
        <v>97636</v>
      </c>
      <c r="H56" s="1441" t="str">
        <f>VLOOKUP($G56,IF(LEFT($G56,3)="AMM",COMPOSIÇÕES!$B$1:$E$4184,'BANCO DE DADOS JAN-23 SERV'!$B$2:$F$7195),2,FALSE)</f>
        <v>DEMOLIÇÃO PARCIAL DE PAVIMENTO ASFÁLTICO, DE FORMA MECANIZADA, SEM REAPROVEITAMENTO. AF_12/2017</v>
      </c>
      <c r="I56" s="1442" t="str">
        <f>VLOOKUP($G56,IF(LEFT($G56,3)="AMM",COMPOSIÇÕES!$B$1:$E$4184,'BANCO DE DADOS JAN-23 SERV'!$B$2:$F$7195),3,FALSE)</f>
        <v>M2</v>
      </c>
      <c r="J56" s="1443">
        <f>TRUNC('REMOÇÃO DE PAV. ADUTORA'!F18,2)</f>
        <v>429</v>
      </c>
      <c r="K56" s="1444">
        <f>VLOOKUP($G56,IF(LEFT($G56,3)="AMM",COMPOSIÇÕES!$B$1:$E$4184,'BANCO DE DADOS JAN-23 SERV'!$B$2:$F$7195),4,FALSE)</f>
        <v>16.059999999999999</v>
      </c>
      <c r="L56" s="1444">
        <f t="shared" ref="L56:L63" si="83">IF($P$2="OUTROS",TRUNC(K56*(1+$M$7),2),ROUND(K56*(1+$M$7),2))</f>
        <v>20.309999999999999</v>
      </c>
      <c r="M56" s="1086">
        <f t="shared" ref="M56:M63" si="84">IF($P$2="OUTROS",TRUNC(L56*J56,2),ROUND(L56*J56,2))</f>
        <v>8712.99</v>
      </c>
      <c r="N56" s="1186"/>
      <c r="O56" s="1439" t="s">
        <v>7210</v>
      </c>
      <c r="P56" s="1186" t="str">
        <f t="shared" ref="P56:P63" ca="1" si="85">F56</f>
        <v>3.18</v>
      </c>
      <c r="R56" s="1451"/>
    </row>
    <row r="57" spans="1:18" s="1429" customFormat="1" ht="45.75" thickBot="1">
      <c r="A57" s="1429">
        <f t="shared" ref="A57" ca="1" si="86">IF(LEN(D57),OFFSET(A57,-1,0)+1,OFFSET(A57,-1,0))</f>
        <v>3</v>
      </c>
      <c r="B57" s="1429">
        <f ca="1">IF(OR(C57=1,D57=1),SUMIF($A$20:A57,A57,$C$20:C57),"")</f>
        <v>19</v>
      </c>
      <c r="C57" s="1429">
        <f t="shared" ref="C57" si="87">IF(G57&gt;0,1,"")</f>
        <v>1</v>
      </c>
      <c r="D57" s="1445" t="str">
        <f t="shared" ref="D57" si="88">IF(AND(CONCATENATE(G57,H57,I57,J57,K57,L57,M57)=H57&amp;M57,CONCATENATE(G57,H57,I57,J57,K57,L57,M57)&lt;&gt;"",M57&lt;&gt;""),1,"")</f>
        <v/>
      </c>
      <c r="E57" s="1445"/>
      <c r="F57" s="1442" t="str">
        <f t="shared" ref="F57" ca="1" si="89">IF(B57&lt;&gt;"",A57&amp;"."&amp;B57,"")</f>
        <v>3.19</v>
      </c>
      <c r="G57" s="1442">
        <v>101836</v>
      </c>
      <c r="H57" s="1441" t="str">
        <f>VLOOKUP($G57,IF(LEFT($G57,3)="AMM",COMPOSIÇÕES!$B$1:$E$4184,'BANCO DE DADOS JAN-23 SERV'!$B$2:$F$7195),2,FALSE)</f>
        <v>RECOMPOSIÇÃO DE BASE E OU SUB-BASE PARA FECHAMENTO DE VALAS DE SOLOS DE COMPORTAMENTO LATERÍTICO (ARENOSO) - INCLUSO RETIRADA E COLOCAÇÃO DO MATERIAL. AF_12/2020</v>
      </c>
      <c r="I57" s="1442" t="str">
        <f>VLOOKUP($G57,IF(LEFT($G57,3)="AMM",COMPOSIÇÕES!$B$1:$E$4184,'BANCO DE DADOS JAN-23 SERV'!$B$2:$F$7195),3,FALSE)</f>
        <v>M3</v>
      </c>
      <c r="J57" s="1443">
        <f>TRUNC('BASE ADUTORA'!H27+'SUB BASE ADUTORA'!H27,2)</f>
        <v>877.2</v>
      </c>
      <c r="K57" s="1444">
        <f>VLOOKUP($G57,IF(LEFT($G57,3)="AMM",COMPOSIÇÕES!$B$1:$E$4184,'BANCO DE DADOS JAN-23 SERV'!$B$2:$F$7195),4,FALSE)</f>
        <v>23.38</v>
      </c>
      <c r="L57" s="1444">
        <f t="shared" si="83"/>
        <v>29.56</v>
      </c>
      <c r="M57" s="1086">
        <f t="shared" si="84"/>
        <v>25930.03</v>
      </c>
      <c r="N57" s="1186"/>
      <c r="O57" s="1439" t="s">
        <v>7210</v>
      </c>
      <c r="P57" s="1186" t="str">
        <f t="shared" ca="1" si="85"/>
        <v>3.19</v>
      </c>
      <c r="R57" s="1451"/>
    </row>
    <row r="58" spans="1:18" s="1429" customFormat="1" ht="16.5" thickBot="1">
      <c r="A58" s="1429">
        <f t="shared" ca="1" si="79"/>
        <v>3</v>
      </c>
      <c r="B58" s="1429">
        <f ca="1">IF(OR(C58=1,D58=1),SUMIF($A$20:A58,A58,$C$20:C58),"")</f>
        <v>20</v>
      </c>
      <c r="C58" s="1429">
        <f t="shared" si="80"/>
        <v>1</v>
      </c>
      <c r="D58" s="1445" t="str">
        <f t="shared" si="81"/>
        <v/>
      </c>
      <c r="E58" s="1445"/>
      <c r="F58" s="1442" t="str">
        <f t="shared" ca="1" si="82"/>
        <v>3.20</v>
      </c>
      <c r="G58" s="1452" t="str">
        <f>'COMP. IMPRIMAÇÃO'!D15</f>
        <v>COMP PAV 001</v>
      </c>
      <c r="H58" s="1441" t="str">
        <f>'COMP. IMPRIMAÇÃO'!D12</f>
        <v>EXECUÇÃO DE IMPRIMAÇÃO COM ASFALTO DILUÍDO CM-30. AF_11/2019</v>
      </c>
      <c r="I58" s="1442" t="str">
        <f>'COMP. IMPRIMAÇÃO'!L13</f>
        <v>M2</v>
      </c>
      <c r="J58" s="1443">
        <f>TRUNC('IMPRIMAÇÃO ADUTORA'!F27,2)</f>
        <v>2193</v>
      </c>
      <c r="K58" s="1444">
        <f>TRUNC('COMP. IMPRIMAÇÃO'!M27,2)</f>
        <v>7.5</v>
      </c>
      <c r="L58" s="1444">
        <f t="shared" si="83"/>
        <v>9.48</v>
      </c>
      <c r="M58" s="1086">
        <f t="shared" si="84"/>
        <v>20789.64</v>
      </c>
      <c r="N58" s="1186"/>
      <c r="O58" s="1439" t="s">
        <v>7211</v>
      </c>
      <c r="P58" s="1186" t="str">
        <f t="shared" ca="1" si="85"/>
        <v>3.20</v>
      </c>
      <c r="R58" s="1451"/>
    </row>
    <row r="59" spans="1:18" s="1429" customFormat="1" ht="30.75" thickBot="1">
      <c r="A59" s="1429">
        <f t="shared" ca="1" si="79"/>
        <v>3</v>
      </c>
      <c r="B59" s="1429">
        <f ca="1">IF(OR(C59=1,D59=1),SUMIF($A$20:A59,A59,$C$20:C59),"")</f>
        <v>21</v>
      </c>
      <c r="C59" s="1429">
        <f t="shared" si="80"/>
        <v>1</v>
      </c>
      <c r="D59" s="1445" t="str">
        <f t="shared" si="81"/>
        <v/>
      </c>
      <c r="E59" s="1445"/>
      <c r="F59" s="1442" t="str">
        <f t="shared" ca="1" si="82"/>
        <v>3.21</v>
      </c>
      <c r="G59" s="1453" t="str">
        <f>'COMP. TSD'!D15</f>
        <v>COMP PAV 002</v>
      </c>
      <c r="H59" s="1441" t="str">
        <f>'COMP. TSD'!D12</f>
        <v>PAVIMENTO COM TRATAMENTO SUPERFICIAL DUPLO, COM EMULSÃO ASFÁLTICA RR-2C, COM BANHO DILUÍDO. AF_01/2020</v>
      </c>
      <c r="I59" s="1442" t="str">
        <f>'COMP. TSD'!L13</f>
        <v>M2</v>
      </c>
      <c r="J59" s="1443">
        <f>TRUNC('TSD ADUTORA'!F27,2)</f>
        <v>2193</v>
      </c>
      <c r="K59" s="1444">
        <f>TRUNC('COMP. TSD'!M31,2)</f>
        <v>20.48</v>
      </c>
      <c r="L59" s="1444">
        <f t="shared" si="83"/>
        <v>25.89</v>
      </c>
      <c r="M59" s="1086">
        <f t="shared" si="84"/>
        <v>56776.77</v>
      </c>
      <c r="N59" s="1186"/>
      <c r="O59" s="1439" t="s">
        <v>7210</v>
      </c>
      <c r="P59" s="1186" t="str">
        <f t="shared" ca="1" si="85"/>
        <v>3.21</v>
      </c>
      <c r="R59" s="1451"/>
    </row>
    <row r="60" spans="1:18" s="1429" customFormat="1" ht="30.75" thickBot="1">
      <c r="A60" s="1429">
        <f t="shared" ca="1" si="79"/>
        <v>3</v>
      </c>
      <c r="B60" s="1429">
        <f ca="1">IF(OR(C60=1,D60=1),SUMIF($A$20:A60,A60,$C$20:C60),"")</f>
        <v>22</v>
      </c>
      <c r="C60" s="1429">
        <f t="shared" si="80"/>
        <v>1</v>
      </c>
      <c r="D60" s="1445" t="str">
        <f t="shared" si="81"/>
        <v/>
      </c>
      <c r="E60" s="1445"/>
      <c r="F60" s="1442" t="str">
        <f t="shared" ca="1" si="82"/>
        <v>3.22</v>
      </c>
      <c r="G60" s="1442">
        <v>95876</v>
      </c>
      <c r="H60" s="1441" t="str">
        <f>VLOOKUP($G60,IF(LEFT($G60,3)="AMM",COMPOSIÇÕES!$B$1:$E$4184,'BANCO DE DADOS JAN-23 SERV'!$B$2:$F$7195),2,FALSE)</f>
        <v>TRANSPORTE COM CAMINHÃO BASCULANTE DE 14 M³, EM VIA URBANA PAVIMENTADA, DMT ATÉ 30 KM (UNIDADE: M3XKM). AF_07/2020</v>
      </c>
      <c r="I60" s="1442" t="str">
        <f>VLOOKUP($G60,IF(LEFT($G60,3)="AMM",COMPOSIÇÕES!$B$1:$E$4184,'BANCO DE DADOS JAN-23 SERV'!$B$2:$F$7195),3,FALSE)</f>
        <v>M3XKM</v>
      </c>
      <c r="J60" s="1443">
        <f>TRUNC('TRANSP. BRITA (PAV) ADUTORA'!H29,2)</f>
        <v>1467.11</v>
      </c>
      <c r="K60" s="1444">
        <f>VLOOKUP($G60,IF(LEFT($G60,3)="AMM",COMPOSIÇÕES!$B$1:$E$4184,'BANCO DE DADOS JAN-23 SERV'!$B$2:$F$7195),4,FALSE)</f>
        <v>1.9</v>
      </c>
      <c r="L60" s="1444">
        <f t="shared" si="83"/>
        <v>2.4</v>
      </c>
      <c r="M60" s="1086">
        <f t="shared" si="84"/>
        <v>3521.06</v>
      </c>
      <c r="N60" s="1186"/>
      <c r="O60" s="1439" t="s">
        <v>7210</v>
      </c>
      <c r="P60" s="1186" t="str">
        <f t="shared" ca="1" si="85"/>
        <v>3.22</v>
      </c>
      <c r="Q60" s="1454"/>
      <c r="R60" s="1451"/>
    </row>
    <row r="61" spans="1:18" s="1429" customFormat="1" ht="30.75" thickBot="1">
      <c r="A61" s="1429">
        <f t="shared" ca="1" si="79"/>
        <v>3</v>
      </c>
      <c r="B61" s="1429">
        <f ca="1">IF(OR(C61=1,D61=1),SUMIF($A$20:A61,A61,$C$20:C61),"")</f>
        <v>23</v>
      </c>
      <c r="C61" s="1429">
        <f t="shared" si="80"/>
        <v>1</v>
      </c>
      <c r="D61" s="1445" t="str">
        <f t="shared" si="81"/>
        <v/>
      </c>
      <c r="E61" s="1445"/>
      <c r="F61" s="1442" t="str">
        <f t="shared" ca="1" si="82"/>
        <v>3.23</v>
      </c>
      <c r="G61" s="1440">
        <v>93593</v>
      </c>
      <c r="H61" s="1441" t="str">
        <f>VLOOKUP($G61,IF(LEFT($G61,3)="AMM",COMPOSIÇÕES!$B$1:$E$4184,'BANCO DE DADOS JAN-23 SERV'!$B$2:$F$7195),2,FALSE)</f>
        <v>TRANSPORTE COM CAMINHÃO BASCULANTE DE 14 M³, EM VIA URBANA PAVIMENTADA, ADICIONAL PARA DMT EXCEDENTE A 30 KM (UNIDADE: M3XKM). AF_07/2020</v>
      </c>
      <c r="I61" s="1442" t="str">
        <f>VLOOKUP($G61,IF(LEFT($G61,3)="AMM",COMPOSIÇÕES!$B$1:$E$4184,'BANCO DE DADOS JAN-23 SERV'!$B$2:$F$7195),3,FALSE)</f>
        <v>M3XKM</v>
      </c>
      <c r="J61" s="1443">
        <f>TRUNC('TRANSP. BRITA (PAV) ADUTORA'!J29,2)</f>
        <v>6748.73</v>
      </c>
      <c r="K61" s="1444">
        <f>VLOOKUP($G61,IF(LEFT($G61,3)="AMM",COMPOSIÇÕES!$B$1:$E$4184,'BANCO DE DADOS JAN-23 SERV'!$B$2:$F$7195),4,FALSE)</f>
        <v>0.76</v>
      </c>
      <c r="L61" s="1444">
        <f t="shared" si="83"/>
        <v>0.96</v>
      </c>
      <c r="M61" s="1086">
        <f t="shared" si="84"/>
        <v>6478.78</v>
      </c>
      <c r="N61" s="1186"/>
      <c r="O61" s="1439" t="s">
        <v>7211</v>
      </c>
      <c r="P61" s="1186" t="str">
        <f t="shared" ca="1" si="85"/>
        <v>3.23</v>
      </c>
      <c r="R61" s="1451"/>
    </row>
    <row r="62" spans="1:18" s="1429" customFormat="1" ht="30.75" thickBot="1">
      <c r="A62" s="1429">
        <f t="shared" ca="1" si="75"/>
        <v>3</v>
      </c>
      <c r="B62" s="1429">
        <f ca="1">IF(OR(C62=1,D62=1),SUMIF($A$20:A62,A62,$C$20:C62),"")</f>
        <v>24</v>
      </c>
      <c r="C62" s="1429">
        <f t="shared" si="76"/>
        <v>1</v>
      </c>
      <c r="D62" s="1445" t="str">
        <f t="shared" si="77"/>
        <v/>
      </c>
      <c r="E62" s="1445"/>
      <c r="F62" s="1442" t="str">
        <f t="shared" ca="1" si="78"/>
        <v>3.24</v>
      </c>
      <c r="G62" s="1442">
        <v>102330</v>
      </c>
      <c r="H62" s="1441" t="str">
        <f>VLOOKUP($G62,IF(LEFT($G62,3)="AMM",COMPOSIÇÕES!$B$1:$E$4184,'BANCO DE DADOS JAN-23 SERV'!$B$2:$F$7195),2,FALSE)</f>
        <v>TRANSPORTE COM CAMINHÃO TANQUE DE TRANSPORTE DE MATERIAL ASFÁLTICO DE 30000 L, EM VIA URBANA PAVIMENTADA, DMT ATÉ 30KM (UNIDADE: TXKM). AF_07/2020</v>
      </c>
      <c r="I62" s="1442" t="str">
        <f>VLOOKUP($G62,IF(LEFT($G62,3)="AMM",COMPOSIÇÕES!$B$1:$E$4184,'BANCO DE DADOS JAN-23 SERV'!$B$2:$F$7195),3,FALSE)</f>
        <v>TXKM</v>
      </c>
      <c r="J62" s="1443">
        <f>TRUNC('TRANSP. EMULSÃO PAV ADUTORA'!I28+'TRANSP. EMULSÃO PAV ADUTORA'!I48,2)</f>
        <v>354.87</v>
      </c>
      <c r="K62" s="1444">
        <f>VLOOKUP($G62,IF(LEFT($G62,3)="AMM",COMPOSIÇÕES!$B$1:$E$4184,'BANCO DE DADOS JAN-23 SERV'!$B$2:$F$7195),4,FALSE)</f>
        <v>1.3</v>
      </c>
      <c r="L62" s="1444">
        <f t="shared" si="83"/>
        <v>1.64</v>
      </c>
      <c r="M62" s="1086">
        <f t="shared" si="84"/>
        <v>581.99</v>
      </c>
      <c r="N62" s="1186"/>
      <c r="O62" s="1439" t="s">
        <v>7210</v>
      </c>
      <c r="P62" s="1186" t="str">
        <f t="shared" ca="1" si="85"/>
        <v>3.24</v>
      </c>
      <c r="R62" s="1451"/>
    </row>
    <row r="63" spans="1:18" s="1429" customFormat="1" ht="45.75" thickBot="1">
      <c r="A63" s="1429">
        <f t="shared" ca="1" si="75"/>
        <v>3</v>
      </c>
      <c r="B63" s="1429">
        <f ca="1">IF(OR(C63=1,D63=1),SUMIF($A$20:A63,A63,$C$20:C63),"")</f>
        <v>25</v>
      </c>
      <c r="C63" s="1429">
        <f t="shared" si="76"/>
        <v>1</v>
      </c>
      <c r="D63" s="1445" t="str">
        <f t="shared" si="77"/>
        <v/>
      </c>
      <c r="E63" s="1445"/>
      <c r="F63" s="1442" t="str">
        <f t="shared" ca="1" si="78"/>
        <v>3.25</v>
      </c>
      <c r="G63" s="1440">
        <v>102331</v>
      </c>
      <c r="H63" s="1441" t="str">
        <f>VLOOKUP($G63,IF(LEFT($G63,3)="AMM",COMPOSIÇÕES!$B$1:$E$4184,'BANCO DE DADOS JAN-23 SERV'!$B$2:$F$7195),2,FALSE)</f>
        <v>TRANSPORTE COM CAMINHÃO TANQUE DE TRANSPORTE DE MATERIAL ASFÁLTICO DE 30000 L, EM VIA URBANA PAVIMENTADA, ADICIONAL PARA DMT EXCEDENTE A 30 KM (UNIDADE: TXKM). AF_07/2020</v>
      </c>
      <c r="I63" s="1442" t="str">
        <f>VLOOKUP($G63,IF(LEFT($G63,3)="AMM",COMPOSIÇÕES!$B$1:$E$4184,'BANCO DE DADOS JAN-23 SERV'!$B$2:$F$7195),3,FALSE)</f>
        <v>TXKM</v>
      </c>
      <c r="J63" s="1443">
        <f>TRUNC('TRANSP. EMULSÃO PAV ADUTORA'!K28+'TRANSP. EMULSÃO PAV ADUTORA'!K48,2)</f>
        <v>11142.91</v>
      </c>
      <c r="K63" s="1444">
        <f>VLOOKUP($G63,IF(LEFT($G63,3)="AMM",COMPOSIÇÕES!$B$1:$E$4184,'BANCO DE DADOS JAN-23 SERV'!$B$2:$F$7195),4,FALSE)</f>
        <v>0.51</v>
      </c>
      <c r="L63" s="1444">
        <f t="shared" si="83"/>
        <v>0.64</v>
      </c>
      <c r="M63" s="1086">
        <f t="shared" si="84"/>
        <v>7131.46</v>
      </c>
      <c r="N63" s="1186"/>
      <c r="O63" s="1439" t="s">
        <v>7211</v>
      </c>
      <c r="P63" s="1186" t="str">
        <f t="shared" ca="1" si="85"/>
        <v>3.25</v>
      </c>
      <c r="R63" s="1451"/>
    </row>
    <row r="64" spans="1:18" s="307" customFormat="1" ht="16.5" customHeight="1" thickBot="1">
      <c r="A64" s="305">
        <f t="shared" ca="1" si="75"/>
        <v>3</v>
      </c>
      <c r="B64" s="305" t="str">
        <f>IF(OR(C64=1,D64=1),SUMIF($A$20:A64,A64,$C$20:C64),"")</f>
        <v/>
      </c>
      <c r="C64" s="305" t="str">
        <f t="shared" si="76"/>
        <v/>
      </c>
      <c r="D64" s="387" t="str">
        <f t="shared" si="77"/>
        <v/>
      </c>
      <c r="E64" s="387"/>
      <c r="F64" s="155" t="str">
        <f t="shared" si="78"/>
        <v/>
      </c>
      <c r="G64" s="155"/>
      <c r="H64" s="155"/>
      <c r="I64" s="155"/>
      <c r="J64" s="156"/>
      <c r="K64" s="156"/>
      <c r="L64" s="155"/>
      <c r="M64" s="155"/>
      <c r="N64" s="306"/>
    </row>
    <row r="65" spans="1:17" s="302" customFormat="1" ht="16.5" customHeight="1" thickBot="1">
      <c r="A65" s="305">
        <f t="shared" ca="1" si="75"/>
        <v>4</v>
      </c>
      <c r="B65" s="305">
        <f ca="1">IF(OR(C65=1,D65=1),SUMIF($A$20:A65,A65,$C$20:C65),"")</f>
        <v>0</v>
      </c>
      <c r="C65" s="305" t="str">
        <f t="shared" si="76"/>
        <v/>
      </c>
      <c r="D65" s="387">
        <f t="shared" si="77"/>
        <v>1</v>
      </c>
      <c r="E65" s="387"/>
      <c r="F65" s="148" t="str">
        <f t="shared" ca="1" si="78"/>
        <v>4.0</v>
      </c>
      <c r="G65" s="149"/>
      <c r="H65" s="150" t="s">
        <v>7157</v>
      </c>
      <c r="I65" s="151"/>
      <c r="J65" s="152"/>
      <c r="K65" s="153"/>
      <c r="L65" s="153"/>
      <c r="M65" s="154">
        <f>SUM(M66:M91)</f>
        <v>33422.449999999997</v>
      </c>
      <c r="N65" s="301"/>
      <c r="O65" s="305"/>
      <c r="Q65" s="441" t="e">
        <f>SUM(J36,#REF!,#REF!)</f>
        <v>#REF!</v>
      </c>
    </row>
    <row r="66" spans="1:17" s="1035" customFormat="1" ht="45.75" thickBot="1">
      <c r="A66" s="1035">
        <f t="shared" ca="1" si="75"/>
        <v>4</v>
      </c>
      <c r="B66" s="1035">
        <f ca="1">IF(OR(C66=1,D66=1),SUMIF($A$20:A66,A66,$C$20:C66),"")</f>
        <v>1</v>
      </c>
      <c r="C66" s="1035">
        <f t="shared" si="76"/>
        <v>1</v>
      </c>
      <c r="D66" s="1036" t="str">
        <f t="shared" si="77"/>
        <v/>
      </c>
      <c r="E66" s="1036"/>
      <c r="F66" s="561" t="str">
        <f t="shared" ca="1" si="78"/>
        <v>4.1</v>
      </c>
      <c r="G66" s="561">
        <v>92990</v>
      </c>
      <c r="H66" s="574" t="str">
        <f>VLOOKUP($G66,IF(LEFT($G66,3)="AMM",COMPOSIÇÕES!$B$1:$E$4184,'BANCO DE DADOS JAN-23 SERV'!$B$2:$F$7195),2,FALSE)</f>
        <v>CABO DE COBRE FLEXÍVEL ISOLADO, 70 MM², ANTI-CHAMA 0,6/1,0 KV, PARA REDE ENTERRADA DE DISTRIBUIÇÃO DE ENERGIA ELÉTRICA - FORNECIMENTO E INSTALAÇÃO. AF_12/2021</v>
      </c>
      <c r="I66" s="571" t="str">
        <f>VLOOKUP($G66,IF(LEFT($G66,3)="AMM",COMPOSIÇÕES!$B$1:$E$4184,'BANCO DE DADOS JAN-23 SERV'!$B$2:$F$7195),3,FALSE)</f>
        <v>M</v>
      </c>
      <c r="J66" s="632">
        <v>51</v>
      </c>
      <c r="K66" s="697">
        <f>VLOOKUP($G66,IF(LEFT($G66,3)="AMM",COMPOSIÇÕES!$B$1:$E$4184,'BANCO DE DADOS JAN-23 SERV'!$B$2:$F$7195),4,FALSE)</f>
        <v>72.900000000000006</v>
      </c>
      <c r="L66" s="697">
        <f t="shared" ref="L66:L80" si="90">IF($P$2="OUTROS",TRUNC(K66*(1+$M$7),2),ROUND(K66*(1+$M$7),2))</f>
        <v>92.17</v>
      </c>
      <c r="M66" s="1083">
        <f t="shared" ref="M66:M80" si="91">IF($P$2="OUTROS",TRUNC(L66*J66,2),ROUND(L66*J66,2))</f>
        <v>4700.67</v>
      </c>
      <c r="N66" s="1037"/>
      <c r="O66" s="758" t="s">
        <v>6975</v>
      </c>
      <c r="P66" s="1037" t="str">
        <f t="shared" ref="P66:P80" ca="1" si="92">F66</f>
        <v>4.1</v>
      </c>
    </row>
    <row r="67" spans="1:17" s="1035" customFormat="1" ht="30.75" thickBot="1">
      <c r="A67" s="1035">
        <f t="shared" ca="1" si="75"/>
        <v>4</v>
      </c>
      <c r="B67" s="1035">
        <f ca="1">IF(OR(C67=1,D67=1),SUMIF($A$20:A67,A67,$C$20:C67),"")</f>
        <v>2</v>
      </c>
      <c r="C67" s="1035">
        <f t="shared" si="76"/>
        <v>1</v>
      </c>
      <c r="D67" s="1036" t="str">
        <f t="shared" si="77"/>
        <v/>
      </c>
      <c r="E67" s="1036"/>
      <c r="F67" s="561" t="str">
        <f t="shared" ca="1" si="78"/>
        <v>4.2</v>
      </c>
      <c r="G67" s="561">
        <v>92980</v>
      </c>
      <c r="H67" s="574" t="str">
        <f>VLOOKUP($G67,IF(LEFT($G67,3)="AMM",COMPOSIÇÕES!$B$1:$E$4184,'BANCO DE DADOS JAN-23 SERV'!$B$2:$F$7195),2,FALSE)</f>
        <v>CABO DE COBRE FLEXÍVEL ISOLADO, 10 MM², ANTI-CHAMA 0,6/1,0 KV, PARA DISTRIBUIÇÃO - FORNECIMENTO E INSTALAÇÃO. AF_12/2015</v>
      </c>
      <c r="I67" s="571" t="str">
        <f>VLOOKUP($G67,IF(LEFT($G67,3)="AMM",COMPOSIÇÕES!$B$1:$E$4184,'BANCO DE DADOS JAN-23 SERV'!$B$2:$F$7195),3,FALSE)</f>
        <v>M</v>
      </c>
      <c r="J67" s="632">
        <v>113</v>
      </c>
      <c r="K67" s="697">
        <f>VLOOKUP($G67,IF(LEFT($G67,3)="AMM",COMPOSIÇÕES!$B$1:$E$4184,'BANCO DE DADOS JAN-23 SERV'!$B$2:$F$7195),4,FALSE)</f>
        <v>10.029999999999999</v>
      </c>
      <c r="L67" s="697">
        <f t="shared" si="90"/>
        <v>12.68</v>
      </c>
      <c r="M67" s="1083">
        <f t="shared" si="91"/>
        <v>1432.84</v>
      </c>
      <c r="N67" s="1037"/>
      <c r="O67" s="758" t="s">
        <v>6975</v>
      </c>
      <c r="P67" s="1037" t="str">
        <f t="shared" ca="1" si="92"/>
        <v>4.2</v>
      </c>
    </row>
    <row r="68" spans="1:17" s="1035" customFormat="1" ht="30.75" thickBot="1">
      <c r="A68" s="1035">
        <f t="shared" ca="1" si="75"/>
        <v>4</v>
      </c>
      <c r="B68" s="1035">
        <f ca="1">IF(OR(C68=1,D68=1),SUMIF($A$20:A68,A68,$C$20:C68),"")</f>
        <v>3</v>
      </c>
      <c r="C68" s="1035">
        <f t="shared" si="76"/>
        <v>1</v>
      </c>
      <c r="D68" s="1036" t="str">
        <f t="shared" si="77"/>
        <v/>
      </c>
      <c r="E68" s="1036"/>
      <c r="F68" s="561" t="str">
        <f t="shared" ca="1" si="78"/>
        <v>4.3</v>
      </c>
      <c r="G68" s="561">
        <v>92982</v>
      </c>
      <c r="H68" s="574" t="str">
        <f>VLOOKUP($G68,IF(LEFT($G68,3)="AMM",COMPOSIÇÕES!$B$1:$E$4184,'BANCO DE DADOS JAN-23 SERV'!$B$2:$F$7195),2,FALSE)</f>
        <v>CABO DE COBRE FLEXÍVEL ISOLADO, 16 MM², ANTI-CHAMA 0,6/1,0 KV, PARA DISTRIBUIÇÃO - FORNECIMENTO E INSTALAÇÃO. AF_12/2015</v>
      </c>
      <c r="I68" s="571" t="str">
        <f>VLOOKUP($G68,IF(LEFT($G68,3)="AMM",COMPOSIÇÕES!$B$1:$E$4184,'BANCO DE DADOS JAN-23 SERV'!$B$2:$F$7195),3,FALSE)</f>
        <v>M</v>
      </c>
      <c r="J68" s="632">
        <v>4</v>
      </c>
      <c r="K68" s="697">
        <f>VLOOKUP($G68,IF(LEFT($G68,3)="AMM",COMPOSIÇÕES!$B$1:$E$4184,'BANCO DE DADOS JAN-23 SERV'!$B$2:$F$7195),4,FALSE)</f>
        <v>15.9</v>
      </c>
      <c r="L68" s="697">
        <f t="shared" si="90"/>
        <v>20.100000000000001</v>
      </c>
      <c r="M68" s="1083">
        <f t="shared" si="91"/>
        <v>80.400000000000006</v>
      </c>
      <c r="N68" s="1037"/>
      <c r="O68" s="758" t="s">
        <v>6975</v>
      </c>
      <c r="P68" s="1037" t="str">
        <f t="shared" ca="1" si="92"/>
        <v>4.3</v>
      </c>
    </row>
    <row r="69" spans="1:17" s="1035" customFormat="1" ht="45.75" thickBot="1">
      <c r="A69" s="1035">
        <f t="shared" ca="1" si="75"/>
        <v>4</v>
      </c>
      <c r="B69" s="1035">
        <f ca="1">IF(OR(C69=1,D69=1),SUMIF($A$20:A69,A69,$C$20:C69),"")</f>
        <v>4</v>
      </c>
      <c r="C69" s="1035">
        <f t="shared" si="76"/>
        <v>1</v>
      </c>
      <c r="D69" s="1036" t="str">
        <f t="shared" si="77"/>
        <v/>
      </c>
      <c r="E69" s="1036"/>
      <c r="F69" s="561" t="str">
        <f t="shared" ca="1" si="78"/>
        <v>4.4</v>
      </c>
      <c r="G69" s="561">
        <v>92988</v>
      </c>
      <c r="H69" s="574" t="str">
        <f>VLOOKUP($G69,IF(LEFT($G69,3)="AMM",COMPOSIÇÕES!$B$1:$E$4184,'BANCO DE DADOS JAN-23 SERV'!$B$2:$F$7195),2,FALSE)</f>
        <v>CABO DE COBRE FLEXÍVEL ISOLADO, 50 MM², ANTI-CHAMA 0,6/1,0 KV, PARA REDE ENTERRADA DE DISTRIBUIÇÃO DE ENERGIA ELÉTRICA - FORNECIMENTO E INSTALAÇÃO. AF_12/2021</v>
      </c>
      <c r="I69" s="571" t="str">
        <f>VLOOKUP($G69,IF(LEFT($G69,3)="AMM",COMPOSIÇÕES!$B$1:$E$4184,'BANCO DE DADOS JAN-23 SERV'!$B$2:$F$7195),3,FALSE)</f>
        <v>M</v>
      </c>
      <c r="J69" s="632">
        <v>13</v>
      </c>
      <c r="K69" s="697">
        <f>VLOOKUP($G69,IF(LEFT($G69,3)="AMM",COMPOSIÇÕES!$B$1:$E$4184,'BANCO DE DADOS JAN-23 SERV'!$B$2:$F$7195),4,FALSE)</f>
        <v>52.58</v>
      </c>
      <c r="L69" s="697">
        <f t="shared" si="90"/>
        <v>66.48</v>
      </c>
      <c r="M69" s="1083">
        <f t="shared" si="91"/>
        <v>864.24</v>
      </c>
      <c r="N69" s="1037"/>
      <c r="O69" s="758" t="s">
        <v>6975</v>
      </c>
      <c r="P69" s="1037" t="str">
        <f t="shared" ca="1" si="92"/>
        <v>4.4</v>
      </c>
    </row>
    <row r="70" spans="1:17" s="1035" customFormat="1" ht="45.75" thickBot="1">
      <c r="A70" s="1035">
        <f t="shared" ca="1" si="75"/>
        <v>4</v>
      </c>
      <c r="B70" s="1035">
        <f ca="1">IF(OR(C70=1,D70=1),SUMIF($A$20:A70,A70,$C$20:C70),"")</f>
        <v>5</v>
      </c>
      <c r="C70" s="1035">
        <f t="shared" si="76"/>
        <v>1</v>
      </c>
      <c r="D70" s="1036" t="str">
        <f t="shared" si="77"/>
        <v/>
      </c>
      <c r="E70" s="1036"/>
      <c r="F70" s="561" t="str">
        <f t="shared" ca="1" si="78"/>
        <v>4.5</v>
      </c>
      <c r="G70" s="561">
        <v>92986</v>
      </c>
      <c r="H70" s="574" t="str">
        <f>VLOOKUP($G70,IF(LEFT($G70,3)="AMM",COMPOSIÇÕES!$B$1:$E$4184,'BANCO DE DADOS JAN-23 SERV'!$B$2:$F$7195),2,FALSE)</f>
        <v>CABO DE COBRE FLEXÍVEL ISOLADO, 35 MM², ANTI-CHAMA 0,6/1,0 KV, PARA REDE ENTERRADA DE DISTRIBUIÇÃO DE ENERGIA ELÉTRICA - FORNECIMENTO E INSTALAÇÃO. AF_12/2021</v>
      </c>
      <c r="I70" s="571" t="str">
        <f>VLOOKUP($G70,IF(LEFT($G70,3)="AMM",COMPOSIÇÕES!$B$1:$E$4184,'BANCO DE DADOS JAN-23 SERV'!$B$2:$F$7195),3,FALSE)</f>
        <v>M</v>
      </c>
      <c r="J70" s="632">
        <v>14</v>
      </c>
      <c r="K70" s="697">
        <f>VLOOKUP($G70,IF(LEFT($G70,3)="AMM",COMPOSIÇÕES!$B$1:$E$4184,'BANCO DE DADOS JAN-23 SERV'!$B$2:$F$7195),4,FALSE)</f>
        <v>36.130000000000003</v>
      </c>
      <c r="L70" s="697">
        <f t="shared" si="90"/>
        <v>45.68</v>
      </c>
      <c r="M70" s="1083">
        <f t="shared" si="91"/>
        <v>639.52</v>
      </c>
      <c r="N70" s="1037"/>
      <c r="O70" s="758" t="s">
        <v>6975</v>
      </c>
      <c r="P70" s="1037" t="str">
        <f t="shared" ca="1" si="92"/>
        <v>4.5</v>
      </c>
    </row>
    <row r="71" spans="1:17" s="1035" customFormat="1" ht="30.75" thickBot="1">
      <c r="A71" s="1035">
        <f t="shared" ca="1" si="75"/>
        <v>4</v>
      </c>
      <c r="B71" s="1035">
        <f ca="1">IF(OR(C71=1,D71=1),SUMIF($A$20:A71,A71,$C$20:C71),"")</f>
        <v>6</v>
      </c>
      <c r="C71" s="1035">
        <f t="shared" si="76"/>
        <v>1</v>
      </c>
      <c r="D71" s="1036" t="str">
        <f t="shared" si="77"/>
        <v/>
      </c>
      <c r="E71" s="1036"/>
      <c r="F71" s="561" t="str">
        <f t="shared" ca="1" si="78"/>
        <v>4.6</v>
      </c>
      <c r="G71" s="561">
        <v>93673</v>
      </c>
      <c r="H71" s="574" t="str">
        <f>VLOOKUP($G71,IF(LEFT($G71,3)="AMM",COMPOSIÇÕES!$B$1:$E$4184,'BANCO DE DADOS JAN-23 SERV'!$B$2:$F$7195),2,FALSE)</f>
        <v>DISJUNTOR TRIPOLAR TIPO DIN, CORRENTE NOMINAL DE 50A - FORNECIMENTO E INSTALAÇÃO. AF_10/2020</v>
      </c>
      <c r="I71" s="571" t="str">
        <f>VLOOKUP($G71,IF(LEFT($G71,3)="AMM",COMPOSIÇÕES!$B$1:$E$4184,'BANCO DE DADOS JAN-23 SERV'!$B$2:$F$7195),3,FALSE)</f>
        <v>UN</v>
      </c>
      <c r="J71" s="632">
        <v>2</v>
      </c>
      <c r="K71" s="697">
        <f>VLOOKUP($G71,IF(LEFT($G71,3)="AMM",COMPOSIÇÕES!$B$1:$E$4184,'BANCO DE DADOS JAN-23 SERV'!$B$2:$F$7195),4,FALSE)</f>
        <v>101.14</v>
      </c>
      <c r="L71" s="697">
        <f t="shared" si="90"/>
        <v>127.88</v>
      </c>
      <c r="M71" s="1083">
        <f t="shared" si="91"/>
        <v>255.76</v>
      </c>
      <c r="N71" s="1037"/>
      <c r="O71" s="758" t="s">
        <v>6975</v>
      </c>
      <c r="P71" s="1037" t="str">
        <f t="shared" ca="1" si="92"/>
        <v>4.6</v>
      </c>
    </row>
    <row r="72" spans="1:17" s="1035" customFormat="1" ht="45.75" thickBot="1">
      <c r="A72" s="1035">
        <f t="shared" ca="1" si="75"/>
        <v>4</v>
      </c>
      <c r="B72" s="1035">
        <f ca="1">IF(OR(C72=1,D72=1),SUMIF($A$20:A72,A72,$C$20:C72),"")</f>
        <v>7</v>
      </c>
      <c r="C72" s="1035">
        <f t="shared" si="76"/>
        <v>1</v>
      </c>
      <c r="D72" s="1036" t="str">
        <f t="shared" si="77"/>
        <v/>
      </c>
      <c r="E72" s="1036"/>
      <c r="F72" s="561" t="str">
        <f t="shared" ca="1" si="78"/>
        <v>4.7</v>
      </c>
      <c r="G72" s="561">
        <v>101882</v>
      </c>
      <c r="H72" s="574" t="str">
        <f>VLOOKUP($G72,IF(LEFT($G72,3)="AMM",COMPOSIÇÕES!$B$1:$E$4184,'BANCO DE DADOS JAN-23 SERV'!$B$2:$F$7195),2,FALSE)</f>
        <v>QUADRO DE DISTRIBUIÇÃO DE ENERGIA EM CHAPA DE AÇO GALVANIZADO, DE EMBUTIR, COM BARRAMENTO TRIFÁSICO, PARA 30 DISJUNTORES DIN 225A - FORNECIMENTO E INSTALAÇÃO. AF_10/2020</v>
      </c>
      <c r="I72" s="571" t="str">
        <f>VLOOKUP($G72,IF(LEFT($G72,3)="AMM",COMPOSIÇÕES!$B$1:$E$4184,'BANCO DE DADOS JAN-23 SERV'!$B$2:$F$7195),3,FALSE)</f>
        <v>UN</v>
      </c>
      <c r="J72" s="632">
        <v>1</v>
      </c>
      <c r="K72" s="697">
        <f>VLOOKUP($G72,IF(LEFT($G72,3)="AMM",COMPOSIÇÕES!$B$1:$E$4184,'BANCO DE DADOS JAN-23 SERV'!$B$2:$F$7195),4,FALSE)</f>
        <v>1373.04</v>
      </c>
      <c r="L72" s="697">
        <f t="shared" si="90"/>
        <v>1736.07</v>
      </c>
      <c r="M72" s="1083">
        <f t="shared" si="91"/>
        <v>1736.07</v>
      </c>
      <c r="N72" s="1037"/>
      <c r="O72" s="758" t="s">
        <v>6975</v>
      </c>
      <c r="P72" s="1037" t="str">
        <f t="shared" ca="1" si="92"/>
        <v>4.7</v>
      </c>
    </row>
    <row r="73" spans="1:17" s="1035" customFormat="1" ht="30.75" thickBot="1">
      <c r="A73" s="1035">
        <f t="shared" ca="1" si="75"/>
        <v>4</v>
      </c>
      <c r="B73" s="1035">
        <f ca="1">IF(OR(C73=1,D73=1),SUMIF($A$20:A73,A73,$C$20:C73),"")</f>
        <v>8</v>
      </c>
      <c r="C73" s="1035">
        <f t="shared" si="76"/>
        <v>1</v>
      </c>
      <c r="D73" s="1036" t="str">
        <f t="shared" si="77"/>
        <v/>
      </c>
      <c r="E73" s="1036"/>
      <c r="F73" s="561" t="str">
        <f t="shared" ca="1" si="78"/>
        <v>4.8</v>
      </c>
      <c r="G73" s="561">
        <v>97667</v>
      </c>
      <c r="H73" s="574" t="str">
        <f>VLOOKUP($G73,IF(LEFT($G73,3)="AMM",COMPOSIÇÕES!$B$1:$E$4184,'BANCO DE DADOS JAN-23 SERV'!$B$2:$F$7195),2,FALSE)</f>
        <v>ELETRODUTO FLEXÍVEL CORRUGADO, PEAD, DN 50 (1 1/2"), PARA REDE ENTERRADA DE DISTRIBUIÇÃO DE ENERGIA ELÉTRICA - FORNECIMENTO E INSTALAÇÃO. AF_12/2021</v>
      </c>
      <c r="I73" s="571" t="str">
        <f>VLOOKUP($G73,IF(LEFT($G73,3)="AMM",COMPOSIÇÕES!$B$1:$E$4184,'BANCO DE DADOS JAN-23 SERV'!$B$2:$F$7195),3,FALSE)</f>
        <v>M</v>
      </c>
      <c r="J73" s="632">
        <v>50</v>
      </c>
      <c r="K73" s="697">
        <f>VLOOKUP($G73,IF(LEFT($G73,3)="AMM",COMPOSIÇÕES!$B$1:$E$4184,'BANCO DE DADOS JAN-23 SERV'!$B$2:$F$7195),4,FALSE)</f>
        <v>8.52</v>
      </c>
      <c r="L73" s="697">
        <f t="shared" si="90"/>
        <v>10.77</v>
      </c>
      <c r="M73" s="1083">
        <f t="shared" si="91"/>
        <v>538.5</v>
      </c>
      <c r="N73" s="1037"/>
      <c r="O73" s="758" t="s">
        <v>6975</v>
      </c>
      <c r="P73" s="1037" t="str">
        <f t="shared" ca="1" si="92"/>
        <v>4.8</v>
      </c>
    </row>
    <row r="74" spans="1:17" s="1035" customFormat="1" ht="30.75" thickBot="1">
      <c r="A74" s="1035">
        <f t="shared" ca="1" si="75"/>
        <v>4</v>
      </c>
      <c r="B74" s="1035">
        <f ca="1">IF(OR(C74=1,D74=1),SUMIF($A$20:A74,A74,$C$20:C74),"")</f>
        <v>9</v>
      </c>
      <c r="C74" s="1035">
        <f t="shared" si="76"/>
        <v>1</v>
      </c>
      <c r="D74" s="1036" t="str">
        <f t="shared" si="77"/>
        <v/>
      </c>
      <c r="E74" s="1036"/>
      <c r="F74" s="561" t="str">
        <f t="shared" ca="1" si="78"/>
        <v>4.9</v>
      </c>
      <c r="G74" s="561">
        <v>97886</v>
      </c>
      <c r="H74" s="574" t="str">
        <f>VLOOKUP($G74,IF(LEFT($G74,3)="AMM",COMPOSIÇÕES!$B$1:$E$4184,'BANCO DE DADOS JAN-23 SERV'!$B$2:$F$7195),2,FALSE)</f>
        <v>CAIXA ENTERRADA ELÉTRICA RETANGULAR, EM ALVENARIA COM TIJOLOS CERÂMICOS MACIÇOS, FUNDO COM BRITA, DIMENSÕES INTERNAS: 0,3X0,3X0,3 M. AF_12/2020</v>
      </c>
      <c r="I74" s="571" t="str">
        <f>VLOOKUP($G74,IF(LEFT($G74,3)="AMM",COMPOSIÇÕES!$B$1:$E$4184,'BANCO DE DADOS JAN-23 SERV'!$B$2:$F$7195),3,FALSE)</f>
        <v>UN</v>
      </c>
      <c r="J74" s="632">
        <v>4</v>
      </c>
      <c r="K74" s="697">
        <f>VLOOKUP($G74,IF(LEFT($G74,3)="AMM",COMPOSIÇÕES!$B$1:$E$4184,'BANCO DE DADOS JAN-23 SERV'!$B$2:$F$7195),4,FALSE)</f>
        <v>162.82</v>
      </c>
      <c r="L74" s="697">
        <f t="shared" si="90"/>
        <v>205.87</v>
      </c>
      <c r="M74" s="1083">
        <f t="shared" si="91"/>
        <v>823.48</v>
      </c>
      <c r="N74" s="1037"/>
      <c r="O74" s="758" t="s">
        <v>6975</v>
      </c>
      <c r="P74" s="1037" t="str">
        <f t="shared" ca="1" si="92"/>
        <v>4.9</v>
      </c>
    </row>
    <row r="75" spans="1:17" s="1035" customFormat="1" ht="30.75" thickBot="1">
      <c r="A75" s="1035">
        <f t="shared" ca="1" si="75"/>
        <v>4</v>
      </c>
      <c r="B75" s="1035">
        <f ca="1">IF(OR(C75=1,D75=1),SUMIF($A$20:A75,A75,$C$20:C75),"")</f>
        <v>10</v>
      </c>
      <c r="C75" s="1035">
        <f t="shared" si="76"/>
        <v>1</v>
      </c>
      <c r="D75" s="1036" t="str">
        <f t="shared" si="77"/>
        <v/>
      </c>
      <c r="E75" s="1036"/>
      <c r="F75" s="561" t="str">
        <f t="shared" ca="1" si="78"/>
        <v>4.10</v>
      </c>
      <c r="G75" s="561">
        <v>97888</v>
      </c>
      <c r="H75" s="574" t="str">
        <f>VLOOKUP($G75,IF(LEFT($G75,3)="AMM",COMPOSIÇÕES!$B$1:$E$4184,'BANCO DE DADOS JAN-23 SERV'!$B$2:$F$7195),2,FALSE)</f>
        <v>CAIXA ENTERRADA ELÉTRICA RETANGULAR, EM ALVENARIA COM TIJOLOS CERÂMICOS MACIÇOS, FUNDO COM BRITA, DIMENSÕES INTERNAS: 0,6X0,6X0,6 M. AF_12/2020</v>
      </c>
      <c r="I75" s="571" t="str">
        <f>VLOOKUP($G75,IF(LEFT($G75,3)="AMM",COMPOSIÇÕES!$B$1:$E$4184,'BANCO DE DADOS JAN-23 SERV'!$B$2:$F$7195),3,FALSE)</f>
        <v>UN</v>
      </c>
      <c r="J75" s="632">
        <v>2</v>
      </c>
      <c r="K75" s="697">
        <f>VLOOKUP($G75,IF(LEFT($G75,3)="AMM",COMPOSIÇÕES!$B$1:$E$4184,'BANCO DE DADOS JAN-23 SERV'!$B$2:$F$7195),4,FALSE)</f>
        <v>502.26</v>
      </c>
      <c r="L75" s="697">
        <f t="shared" si="90"/>
        <v>635.05999999999995</v>
      </c>
      <c r="M75" s="1083">
        <f t="shared" si="91"/>
        <v>1270.1199999999999</v>
      </c>
      <c r="N75" s="1037"/>
      <c r="O75" s="758" t="s">
        <v>6975</v>
      </c>
      <c r="P75" s="1037" t="str">
        <f t="shared" ca="1" si="92"/>
        <v>4.10</v>
      </c>
    </row>
    <row r="76" spans="1:17" s="1035" customFormat="1" ht="30.75" thickBot="1">
      <c r="A76" s="1035">
        <f t="shared" ca="1" si="75"/>
        <v>4</v>
      </c>
      <c r="B76" s="1035">
        <f ca="1">IF(OR(C76=1,D76=1),SUMIF($A$20:A76,A76,$C$20:C76),"")</f>
        <v>11</v>
      </c>
      <c r="C76" s="1035">
        <f t="shared" si="76"/>
        <v>1</v>
      </c>
      <c r="D76" s="1036" t="str">
        <f t="shared" si="77"/>
        <v/>
      </c>
      <c r="E76" s="1036"/>
      <c r="F76" s="561" t="str">
        <f t="shared" ca="1" si="78"/>
        <v>4.11</v>
      </c>
      <c r="G76" s="561">
        <v>93358</v>
      </c>
      <c r="H76" s="574" t="str">
        <f>VLOOKUP($G76,IF(LEFT($G76,3)="AMM",COMPOSIÇÕES!$B$1:$E$4184,'BANCO DE DADOS JAN-23 SERV'!$B$2:$F$7195),2,FALSE)</f>
        <v>ESCAVAÇÃO MANUAL DE VALA COM PROFUNDIDADE MENOR OU IGUAL A 1,30 M. AF_02/2021</v>
      </c>
      <c r="I76" s="571" t="str">
        <f>VLOOKUP($G76,IF(LEFT($G76,3)="AMM",COMPOSIÇÕES!$B$1:$E$4184,'BANCO DE DADOS JAN-23 SERV'!$B$2:$F$7195),3,FALSE)</f>
        <v>M3</v>
      </c>
      <c r="J76" s="632">
        <f>J73*0.5*0.3</f>
        <v>7.5</v>
      </c>
      <c r="K76" s="697">
        <f>VLOOKUP($G76,IF(LEFT($G76,3)="AMM",COMPOSIÇÕES!$B$1:$E$4184,'BANCO DE DADOS JAN-23 SERV'!$B$2:$F$7195),4,FALSE)</f>
        <v>68.91</v>
      </c>
      <c r="L76" s="697">
        <f t="shared" si="90"/>
        <v>87.13</v>
      </c>
      <c r="M76" s="1083">
        <f t="shared" si="91"/>
        <v>653.48</v>
      </c>
      <c r="N76" s="1037"/>
      <c r="O76" s="758" t="s">
        <v>6975</v>
      </c>
      <c r="P76" s="1037" t="str">
        <f t="shared" ca="1" si="92"/>
        <v>4.11</v>
      </c>
    </row>
    <row r="77" spans="1:17" s="1035" customFormat="1" ht="16.5" thickBot="1">
      <c r="A77" s="1035">
        <f t="shared" ca="1" si="75"/>
        <v>4</v>
      </c>
      <c r="B77" s="1035">
        <f ca="1">IF(OR(C77=1,D77=1),SUMIF($A$20:A77,A77,$C$20:C77),"")</f>
        <v>12</v>
      </c>
      <c r="C77" s="1035">
        <f t="shared" si="76"/>
        <v>1</v>
      </c>
      <c r="D77" s="1036" t="str">
        <f t="shared" si="77"/>
        <v/>
      </c>
      <c r="E77" s="1036"/>
      <c r="F77" s="561" t="str">
        <f t="shared" ca="1" si="78"/>
        <v>4.12</v>
      </c>
      <c r="G77" s="561">
        <v>93382</v>
      </c>
      <c r="H77" s="574" t="str">
        <f>VLOOKUP($G77,IF(LEFT($G77,3)="AMM",COMPOSIÇÕES!$B$1:$E$4184,'BANCO DE DADOS JAN-23 SERV'!$B$2:$F$7195),2,FALSE)</f>
        <v>REATERRO MANUAL DE VALAS COM COMPACTAÇÃO MECANIZADA. AF_04/2016</v>
      </c>
      <c r="I77" s="571" t="str">
        <f>VLOOKUP($G77,IF(LEFT($G77,3)="AMM",COMPOSIÇÕES!$B$1:$E$4184,'BANCO DE DADOS JAN-23 SERV'!$B$2:$F$7195),3,FALSE)</f>
        <v>M3</v>
      </c>
      <c r="J77" s="632">
        <f>J73*0.5*0.3</f>
        <v>7.5</v>
      </c>
      <c r="K77" s="697">
        <f>VLOOKUP($G77,IF(LEFT($G77,3)="AMM",COMPOSIÇÕES!$B$1:$E$4184,'BANCO DE DADOS JAN-23 SERV'!$B$2:$F$7195),4,FALSE)</f>
        <v>24.33</v>
      </c>
      <c r="L77" s="697">
        <f t="shared" si="90"/>
        <v>30.76</v>
      </c>
      <c r="M77" s="1083">
        <f t="shared" si="91"/>
        <v>230.7</v>
      </c>
      <c r="N77" s="1037"/>
      <c r="O77" s="758" t="s">
        <v>6975</v>
      </c>
      <c r="P77" s="1037" t="str">
        <f t="shared" ca="1" si="92"/>
        <v>4.12</v>
      </c>
    </row>
    <row r="78" spans="1:17" s="1035" customFormat="1" ht="30.75" thickBot="1">
      <c r="A78" s="1035">
        <f t="shared" ca="1" si="75"/>
        <v>4</v>
      </c>
      <c r="B78" s="1035">
        <f ca="1">IF(OR(C78=1,D78=1),SUMIF($A$20:A78,A78,$C$20:C78),"")</f>
        <v>13</v>
      </c>
      <c r="C78" s="1035">
        <f t="shared" si="76"/>
        <v>1</v>
      </c>
      <c r="D78" s="1036" t="str">
        <f t="shared" si="77"/>
        <v/>
      </c>
      <c r="E78" s="1036"/>
      <c r="F78" s="561" t="str">
        <f t="shared" ca="1" si="78"/>
        <v>4.13</v>
      </c>
      <c r="G78" s="561">
        <v>96985</v>
      </c>
      <c r="H78" s="574" t="str">
        <f>VLOOKUP($G78,IF(LEFT($G78,3)="AMM",COMPOSIÇÕES!$B$1:$E$4184,'BANCO DE DADOS JAN-23 SERV'!$B$2:$F$7195),2,FALSE)</f>
        <v>HASTE DE ATERRAMENTO 5/8  PARA SPDA - FORNECIMENTO E INSTALAÇÃO. AF_12/2017</v>
      </c>
      <c r="I78" s="571" t="str">
        <f>VLOOKUP($G78,IF(LEFT($G78,3)="AMM",COMPOSIÇÕES!$B$1:$E$4184,'BANCO DE DADOS JAN-23 SERV'!$B$2:$F$7195),3,FALSE)</f>
        <v>UN</v>
      </c>
      <c r="J78" s="632">
        <v>3</v>
      </c>
      <c r="K78" s="697">
        <f>VLOOKUP($G78,IF(LEFT($G78,3)="AMM",COMPOSIÇÕES!$B$1:$E$4184,'BANCO DE DADOS JAN-23 SERV'!$B$2:$F$7195),4,FALSE)</f>
        <v>82.76</v>
      </c>
      <c r="L78" s="697">
        <f t="shared" si="90"/>
        <v>104.64</v>
      </c>
      <c r="M78" s="1083">
        <f t="shared" si="91"/>
        <v>313.92</v>
      </c>
      <c r="N78" s="1037"/>
      <c r="O78" s="758" t="s">
        <v>6975</v>
      </c>
      <c r="P78" s="1037" t="str">
        <f t="shared" ca="1" si="92"/>
        <v>4.13</v>
      </c>
    </row>
    <row r="79" spans="1:17" s="1035" customFormat="1" ht="30.75" thickBot="1">
      <c r="A79" s="1035">
        <f t="shared" ca="1" si="75"/>
        <v>4</v>
      </c>
      <c r="B79" s="1035">
        <f ca="1">IF(OR(C79=1,D79=1),SUMIF($A$20:A79,A79,$C$20:C79),"")</f>
        <v>14</v>
      </c>
      <c r="C79" s="1035">
        <f t="shared" si="76"/>
        <v>1</v>
      </c>
      <c r="D79" s="1036" t="str">
        <f t="shared" si="77"/>
        <v/>
      </c>
      <c r="E79" s="1036"/>
      <c r="F79" s="561" t="str">
        <f t="shared" ca="1" si="78"/>
        <v>4.14</v>
      </c>
      <c r="G79" s="1084">
        <v>98111</v>
      </c>
      <c r="H79" s="574" t="str">
        <f>VLOOKUP($G79,IF(LEFT($G79,3)="AMM",COMPOSIÇÕES!$B$1:$E$4184,'BANCO DE DADOS JAN-23 SERV'!$B$2:$F$7195),2,FALSE)</f>
        <v>CAIXA DE INSPEÇÃO PARA ATERRAMENTO, CIRCULAR, EM POLIETILENO, DIÂMETRO INTERNO = 0,3 M. AF_12/2020</v>
      </c>
      <c r="I79" s="571" t="str">
        <f>VLOOKUP($G79,IF(LEFT($G79,3)="AMM",COMPOSIÇÕES!$B$1:$E$4184,'BANCO DE DADOS JAN-23 SERV'!$B$2:$F$7195),3,FALSE)</f>
        <v>UN</v>
      </c>
      <c r="J79" s="632">
        <v>3</v>
      </c>
      <c r="K79" s="697">
        <f>VLOOKUP($G79,IF(LEFT($G79,3)="AMM",COMPOSIÇÕES!$B$1:$E$4184,'BANCO DE DADOS JAN-23 SERV'!$B$2:$F$7195),4,FALSE)</f>
        <v>61.09</v>
      </c>
      <c r="L79" s="697">
        <f t="shared" si="90"/>
        <v>77.239999999999995</v>
      </c>
      <c r="M79" s="1083">
        <f t="shared" si="91"/>
        <v>231.72</v>
      </c>
      <c r="N79" s="1037"/>
      <c r="O79" s="758" t="s">
        <v>6975</v>
      </c>
      <c r="P79" s="1037" t="str">
        <f t="shared" ca="1" si="92"/>
        <v>4.14</v>
      </c>
    </row>
    <row r="80" spans="1:17" s="1035" customFormat="1" ht="30.75" thickBot="1">
      <c r="A80" s="1035">
        <f t="shared" ca="1" si="75"/>
        <v>4</v>
      </c>
      <c r="B80" s="1035">
        <f ca="1">IF(OR(C80=1,D80=1),SUMIF($A$20:A80,A80,$C$20:C80),"")</f>
        <v>15</v>
      </c>
      <c r="C80" s="1035">
        <f t="shared" si="76"/>
        <v>1</v>
      </c>
      <c r="D80" s="1036" t="str">
        <f t="shared" si="77"/>
        <v/>
      </c>
      <c r="E80" s="1036"/>
      <c r="F80" s="851" t="str">
        <f t="shared" ca="1" si="78"/>
        <v>4.15</v>
      </c>
      <c r="G80" s="856" t="str">
        <f>'COMP. SPDA '!B16</f>
        <v>AMM SPDA 001</v>
      </c>
      <c r="H80" s="750" t="str">
        <f>VLOOKUP($G80,IF(LEFT($G80,3)="AMM",COMPOSIÇÕES!$B$1:$E$4184,'BANCO DE DADOS JAN-23 SERV'!$B$2:$F$7195),2,FALSE)</f>
        <v>FORNECIMENTO E INSTALAÇÃO DE CONECTOR EM LATÃO TIPO MINI-GAR PARA CABOS DE 16 A 50MM²</v>
      </c>
      <c r="I80" s="751" t="str">
        <f>VLOOKUP($G80,IF(LEFT($G80,3)="AMM",COMPOSIÇÕES!$B$1:$E$4184,'BANCO DE DADOS JAN-23 SERV'!$B$2:$F$7195),3,FALSE)</f>
        <v>UN</v>
      </c>
      <c r="J80" s="632">
        <v>3</v>
      </c>
      <c r="K80" s="852">
        <f>VLOOKUP($G80,IF(LEFT($G80,3)="AMM",COMPOSIÇÕES!$B$1:$E$4184,'BANCO DE DADOS JAN-23 SERV'!$B$2:$F$7195),4,FALSE)</f>
        <v>21.83</v>
      </c>
      <c r="L80" s="852">
        <f t="shared" si="90"/>
        <v>27.6</v>
      </c>
      <c r="M80" s="853">
        <f t="shared" si="91"/>
        <v>82.8</v>
      </c>
      <c r="N80" s="1037"/>
      <c r="O80" s="758" t="s">
        <v>6975</v>
      </c>
      <c r="P80" s="1037" t="str">
        <f t="shared" ca="1" si="92"/>
        <v>4.15</v>
      </c>
    </row>
    <row r="81" spans="1:18" s="302" customFormat="1" ht="16.5" thickBot="1">
      <c r="A81" s="305">
        <f t="shared" ca="1" si="75"/>
        <v>4</v>
      </c>
      <c r="B81" s="305" t="str">
        <f>IF(OR(C81=1,D81=1),SUMIF($A$20:A81,A81,$C$20:C81),"")</f>
        <v/>
      </c>
      <c r="C81" s="305" t="str">
        <f t="shared" si="76"/>
        <v/>
      </c>
      <c r="D81" s="387" t="str">
        <f t="shared" si="77"/>
        <v/>
      </c>
      <c r="E81" s="387"/>
      <c r="F81" s="388" t="str">
        <f t="shared" si="78"/>
        <v/>
      </c>
      <c r="G81" s="389"/>
      <c r="H81" s="363" t="s">
        <v>7158</v>
      </c>
      <c r="I81" s="390"/>
      <c r="J81" s="391"/>
      <c r="K81" s="330"/>
      <c r="L81" s="391"/>
      <c r="M81" s="331"/>
      <c r="N81" s="301"/>
      <c r="O81" s="305"/>
    </row>
    <row r="82" spans="1:18" s="1035" customFormat="1" ht="30.75" thickBot="1">
      <c r="A82" s="1035">
        <f t="shared" ca="1" si="75"/>
        <v>4</v>
      </c>
      <c r="B82" s="1035">
        <f ca="1">IF(OR(C82=1,D82=1),SUMIF($A$20:A82,A82,$C$20:C82),"")</f>
        <v>16</v>
      </c>
      <c r="C82" s="1035">
        <f t="shared" si="76"/>
        <v>1</v>
      </c>
      <c r="D82" s="1036" t="str">
        <f t="shared" si="77"/>
        <v/>
      </c>
      <c r="E82" s="1036"/>
      <c r="F82" s="561" t="str">
        <f t="shared" ca="1" si="78"/>
        <v>4.16</v>
      </c>
      <c r="G82" s="561" t="str">
        <f>'COMP. ELETRICO '!B14</f>
        <v>AMM ELE 001</v>
      </c>
      <c r="H82" s="574" t="str">
        <f>VLOOKUP($G82,IF(LEFT($G82,3)="AMM",COMPOSIÇÕES!$B$1:$E$4184,'BANCO DE DADOS JAN-23 SERV'!$B$2:$F$7195),2,FALSE)</f>
        <v>FORNECIMENTO E INSTALAÇÃO DE DISPOSITIVO DPS CLASSE II, 1 POLO, TENSAO MAXIMA DE 175 V, CORRENTE MAXIMA DE *45* KA (TIPO AC)</v>
      </c>
      <c r="I82" s="571" t="str">
        <f>VLOOKUP($G82,IF(LEFT($G82,3)="AMM",COMPOSIÇÕES!$B$1:$E$4184,'BANCO DE DADOS JAN-23 SERV'!$B$2:$F$7195),3,FALSE)</f>
        <v>UN</v>
      </c>
      <c r="J82" s="632">
        <v>4</v>
      </c>
      <c r="K82" s="697">
        <f>VLOOKUP($G82,IF(LEFT($G82,3)="AMM",COMPOSIÇÕES!$B$1:$E$4184,'BANCO DE DADOS JAN-23 SERV'!$B$2:$F$7195),4,FALSE)</f>
        <v>122.17999999999999</v>
      </c>
      <c r="L82" s="697">
        <f t="shared" ref="L82:L91" si="93">IF($P$2="OUTROS",TRUNC(K82*(1+$M$7),2),ROUND(K82*(1+$M$7),2))</f>
        <v>154.47999999999999</v>
      </c>
      <c r="M82" s="1083">
        <f t="shared" ref="M82:M91" si="94">IF($P$2="OUTROS",TRUNC(L82*J82,2),ROUND(L82*J82,2))</f>
        <v>617.91999999999996</v>
      </c>
      <c r="N82" s="1037"/>
      <c r="O82" s="758" t="s">
        <v>6975</v>
      </c>
      <c r="P82" s="1037" t="str">
        <f t="shared" ref="P82:P91" ca="1" si="95">F82</f>
        <v>4.16</v>
      </c>
      <c r="R82" s="1038"/>
    </row>
    <row r="83" spans="1:18" s="1035" customFormat="1" ht="16.5" thickBot="1">
      <c r="A83" s="1035">
        <f t="shared" ca="1" si="75"/>
        <v>4</v>
      </c>
      <c r="B83" s="1035">
        <f ca="1">IF(OR(C83=1,D83=1),SUMIF($A$20:A83,A83,$C$20:C83),"")</f>
        <v>17</v>
      </c>
      <c r="C83" s="1035">
        <f t="shared" si="76"/>
        <v>1</v>
      </c>
      <c r="D83" s="1036" t="str">
        <f t="shared" si="77"/>
        <v/>
      </c>
      <c r="E83" s="1036"/>
      <c r="F83" s="561" t="str">
        <f t="shared" ca="1" si="78"/>
        <v>4.17</v>
      </c>
      <c r="G83" s="561" t="str">
        <f>'COMP. ELETRICO '!B23</f>
        <v>AMM ELE 002</v>
      </c>
      <c r="H83" s="574" t="str">
        <f>VLOOKUP($G83,IF(LEFT($G83,3)="AMM",COMPOSIÇÕES!$B$1:$E$4184,'BANCO DE DADOS JAN-23 SERV'!$B$2:$F$7195),2,FALSE)</f>
        <v>FORNECIMENTO E INSTALAÇÃO DE PLACA DE SINALIZAÇÃO DE ENERGIA (20X20CM)</v>
      </c>
      <c r="I83" s="571" t="str">
        <f>VLOOKUP($G83,IF(LEFT($G83,3)="AMM",COMPOSIÇÕES!$B$1:$E$4184,'BANCO DE DADOS JAN-23 SERV'!$B$2:$F$7195),3,FALSE)</f>
        <v>UN</v>
      </c>
      <c r="J83" s="632">
        <v>1</v>
      </c>
      <c r="K83" s="697">
        <f>VLOOKUP($G83,IF(LEFT($G83,3)="AMM",COMPOSIÇÕES!$B$1:$E$4184,'BANCO DE DADOS JAN-23 SERV'!$B$2:$F$7195),4,FALSE)</f>
        <v>42.15</v>
      </c>
      <c r="L83" s="697">
        <f t="shared" si="93"/>
        <v>53.29</v>
      </c>
      <c r="M83" s="1083">
        <f t="shared" si="94"/>
        <v>53.29</v>
      </c>
      <c r="N83" s="1037"/>
      <c r="O83" s="758" t="s">
        <v>6975</v>
      </c>
      <c r="P83" s="1037" t="str">
        <f t="shared" ca="1" si="95"/>
        <v>4.17</v>
      </c>
      <c r="R83" s="1038"/>
    </row>
    <row r="84" spans="1:18" s="1035" customFormat="1" ht="16.5" thickBot="1">
      <c r="A84" s="1035">
        <f t="shared" ca="1" si="75"/>
        <v>4</v>
      </c>
      <c r="B84" s="1035">
        <f ca="1">IF(OR(C84=1,D84=1),SUMIF($A$20:A84,A84,$C$20:C84),"")</f>
        <v>18</v>
      </c>
      <c r="C84" s="1035">
        <f t="shared" si="76"/>
        <v>1</v>
      </c>
      <c r="D84" s="1036" t="str">
        <f t="shared" si="77"/>
        <v/>
      </c>
      <c r="E84" s="1036"/>
      <c r="F84" s="561" t="str">
        <f t="shared" ca="1" si="78"/>
        <v>4.18</v>
      </c>
      <c r="G84" s="561" t="str">
        <f>'COMP. ELETRICO '!B33</f>
        <v>AMM ELE 003</v>
      </c>
      <c r="H84" s="574" t="str">
        <f>VLOOKUP($G84,IF(LEFT($G84,3)="AMM",COMPOSIÇÕES!$B$1:$E$4184,'BANCO DE DADOS JAN-23 SERV'!$B$2:$F$7195),2,FALSE)</f>
        <v xml:space="preserve">ARAME DE AÇO GALVANIZADO No. 12 BWG </v>
      </c>
      <c r="I84" s="571" t="str">
        <f>VLOOKUP($G84,IF(LEFT($G84,3)="AMM",COMPOSIÇÕES!$B$1:$E$4184,'BANCO DE DADOS JAN-23 SERV'!$B$2:$F$7195),3,FALSE)</f>
        <v>M</v>
      </c>
      <c r="J84" s="632">
        <v>5</v>
      </c>
      <c r="K84" s="697">
        <f>VLOOKUP($G84,IF(LEFT($G84,3)="AMM",COMPOSIÇÕES!$B$1:$E$4184,'BANCO DE DADOS JAN-23 SERV'!$B$2:$F$7195),4,FALSE)</f>
        <v>2.8</v>
      </c>
      <c r="L84" s="697">
        <f t="shared" si="93"/>
        <v>3.54</v>
      </c>
      <c r="M84" s="1083">
        <f t="shared" si="94"/>
        <v>17.7</v>
      </c>
      <c r="N84" s="1037"/>
      <c r="O84" s="758" t="s">
        <v>6975</v>
      </c>
      <c r="P84" s="1037" t="str">
        <f t="shared" ca="1" si="95"/>
        <v>4.18</v>
      </c>
      <c r="R84" s="1038"/>
    </row>
    <row r="85" spans="1:18" s="1035" customFormat="1" ht="30.75" thickBot="1">
      <c r="A85" s="1035">
        <f t="shared" ca="1" si="75"/>
        <v>4</v>
      </c>
      <c r="B85" s="1035">
        <f ca="1">IF(OR(C85=1,D85=1),SUMIF($A$20:A85,A85,$C$20:C85),"")</f>
        <v>19</v>
      </c>
      <c r="C85" s="1035">
        <f t="shared" si="76"/>
        <v>1</v>
      </c>
      <c r="D85" s="1036" t="str">
        <f t="shared" si="77"/>
        <v/>
      </c>
      <c r="E85" s="1036"/>
      <c r="F85" s="561" t="str">
        <f t="shared" ca="1" si="78"/>
        <v>4.19</v>
      </c>
      <c r="G85" s="561" t="str">
        <f>'COMP. ELETRICO '!B42</f>
        <v>AMM ELE 004</v>
      </c>
      <c r="H85" s="574" t="str">
        <f>VLOOKUP($G85,IF(LEFT($G85,3)="AMM",COMPOSIÇÕES!$B$1:$E$4184,'BANCO DE DADOS JAN-23 SERV'!$B$2:$F$7195),2,FALSE)</f>
        <v>FORNECIMENTO E INSTALAÇAO DE PADRÃO DE ENTRADA DE ENERGIA CATEGORIA "T5" (ENERGISA)</v>
      </c>
      <c r="I85" s="571" t="str">
        <f>VLOOKUP($G85,IF(LEFT($G85,3)="AMM",COMPOSIÇÕES!$B$1:$E$4184,'BANCO DE DADOS JAN-23 SERV'!$B$2:$F$7195),3,FALSE)</f>
        <v>UN</v>
      </c>
      <c r="J85" s="632">
        <v>1</v>
      </c>
      <c r="K85" s="697">
        <f>VLOOKUP($G85,IF(LEFT($G85,3)="AMM",COMPOSIÇÕES!$B$1:$E$4184,'BANCO DE DADOS JAN-23 SERV'!$B$2:$F$7195),4,FALSE)</f>
        <v>11627.55</v>
      </c>
      <c r="L85" s="697">
        <f t="shared" si="93"/>
        <v>14701.87</v>
      </c>
      <c r="M85" s="1083">
        <f t="shared" si="94"/>
        <v>14701.87</v>
      </c>
      <c r="N85" s="1037"/>
      <c r="O85" s="758" t="s">
        <v>6975</v>
      </c>
      <c r="P85" s="1037" t="str">
        <f t="shared" ca="1" si="95"/>
        <v>4.19</v>
      </c>
      <c r="R85" s="1038"/>
    </row>
    <row r="86" spans="1:18" s="1035" customFormat="1" ht="30.75" thickBot="1">
      <c r="A86" s="1035">
        <f t="shared" ca="1" si="75"/>
        <v>4</v>
      </c>
      <c r="B86" s="1035">
        <f ca="1">IF(OR(C86=1,D86=1),SUMIF($A$20:A86,A86,$C$20:C86),"")</f>
        <v>20</v>
      </c>
      <c r="C86" s="1035">
        <f t="shared" si="76"/>
        <v>1</v>
      </c>
      <c r="D86" s="1036" t="str">
        <f t="shared" si="77"/>
        <v/>
      </c>
      <c r="E86" s="1036"/>
      <c r="F86" s="561" t="str">
        <f t="shared" ca="1" si="78"/>
        <v>4.20</v>
      </c>
      <c r="G86" s="561" t="str">
        <f>'COMP. ELETRICO '!B58</f>
        <v>AMM ELE 005</v>
      </c>
      <c r="H86" s="574" t="str">
        <f>VLOOKUP($G86,IF(LEFT($G86,3)="AMM",COMPOSIÇÕES!$B$1:$E$4184,'BANCO DE DADOS JAN-23 SERV'!$B$2:$F$7195),2,FALSE)</f>
        <v>MURETA MEDIÇÃO ALVEN. 1 1/2 V.(35CM) REBOC.C/PINTURA ACRÍL. E LAJE CONC. 20MPA MALHA 8.0MM CADA 10CM REVEST.C/ARGAMASSA 1:3 C/ IMPERMEABILIZANTE</v>
      </c>
      <c r="I86" s="571" t="str">
        <f>VLOOKUP($G86,IF(LEFT($G86,3)="AMM",COMPOSIÇÕES!$B$1:$E$4184,'BANCO DE DADOS JAN-23 SERV'!$B$2:$F$7195),3,FALSE)</f>
        <v>M2</v>
      </c>
      <c r="J86" s="632">
        <v>3</v>
      </c>
      <c r="K86" s="697">
        <f>VLOOKUP($G86,IF(LEFT($G86,3)="AMM",COMPOSIÇÕES!$B$1:$E$4184,'BANCO DE DADOS JAN-23 SERV'!$B$2:$F$7195),4,FALSE)</f>
        <v>593.91</v>
      </c>
      <c r="L86" s="697">
        <f t="shared" si="93"/>
        <v>750.94</v>
      </c>
      <c r="M86" s="1083">
        <f t="shared" si="94"/>
        <v>2252.8200000000002</v>
      </c>
      <c r="N86" s="1037"/>
      <c r="O86" s="758" t="s">
        <v>6975</v>
      </c>
      <c r="P86" s="1037" t="str">
        <f t="shared" ca="1" si="95"/>
        <v>4.20</v>
      </c>
      <c r="R86" s="1038"/>
    </row>
    <row r="87" spans="1:18" s="1035" customFormat="1" ht="16.5" thickBot="1">
      <c r="A87" s="1035">
        <f t="shared" ref="A87:A91" ca="1" si="96">IF(LEN(D87),OFFSET(A87,-1,0)+1,OFFSET(A87,-1,0))</f>
        <v>4</v>
      </c>
      <c r="B87" s="1035">
        <f ca="1">IF(OR(C87=1,D87=1),SUMIF($A$20:A87,A87,$C$20:C87),"")</f>
        <v>21</v>
      </c>
      <c r="C87" s="1035">
        <f t="shared" ref="C87:C91" si="97">IF(G87&gt;0,1,"")</f>
        <v>1</v>
      </c>
      <c r="D87" s="1036" t="str">
        <f t="shared" ref="D87:D91" si="98">IF(AND(CONCATENATE(G87,H87,I87,J87,K87,L87,M87)=H87&amp;M87,CONCATENATE(G87,H87,I87,J87,K87,L87,M87)&lt;&gt;"",M87&lt;&gt;""),1,"")</f>
        <v/>
      </c>
      <c r="E87" s="1036"/>
      <c r="F87" s="561" t="str">
        <f t="shared" ref="F87:F91" ca="1" si="99">IF(B87&lt;&gt;"",A87&amp;"."&amp;B87,"")</f>
        <v>4.21</v>
      </c>
      <c r="G87" s="561" t="str">
        <f>'COMP. ELETRICO '!B91</f>
        <v>AMM ELE 006</v>
      </c>
      <c r="H87" s="574" t="str">
        <f>VLOOKUP($G87,IF(LEFT($G87,3)="AMM",COMPOSIÇÕES!$B$1:$E$4184,'BANCO DE DADOS JAN-23 SERV'!$B$2:$F$7195),2,FALSE)</f>
        <v>CABO DE COBRE NU 35MM2 - FORNECIMENTO E INSTALACAO</v>
      </c>
      <c r="I87" s="571" t="str">
        <f>VLOOKUP($G87,IF(LEFT($G87,3)="AMM",COMPOSIÇÕES!$B$1:$E$4184,'BANCO DE DADOS JAN-23 SERV'!$B$2:$F$7195),3,FALSE)</f>
        <v>M</v>
      </c>
      <c r="J87" s="632">
        <v>7</v>
      </c>
      <c r="K87" s="697">
        <f>VLOOKUP($G87,IF(LEFT($G87,3)="AMM",COMPOSIÇÕES!$B$1:$E$4184,'BANCO DE DADOS JAN-23 SERV'!$B$2:$F$7195),4,FALSE)</f>
        <v>42.64</v>
      </c>
      <c r="L87" s="697">
        <f t="shared" si="93"/>
        <v>53.91</v>
      </c>
      <c r="M87" s="1083">
        <f t="shared" si="94"/>
        <v>377.37</v>
      </c>
      <c r="N87" s="1037"/>
      <c r="O87" s="758" t="s">
        <v>6975</v>
      </c>
      <c r="P87" s="1037" t="str">
        <f t="shared" ca="1" si="95"/>
        <v>4.21</v>
      </c>
      <c r="R87" s="1038"/>
    </row>
    <row r="88" spans="1:18" s="1035" customFormat="1" ht="30.75" thickBot="1">
      <c r="A88" s="1035">
        <f t="shared" ca="1" si="96"/>
        <v>4</v>
      </c>
      <c r="B88" s="1035">
        <f ca="1">IF(OR(C88=1,D88=1),SUMIF($A$20:A88,A88,$C$20:C88),"")</f>
        <v>22</v>
      </c>
      <c r="C88" s="1035">
        <f t="shared" si="97"/>
        <v>1</v>
      </c>
      <c r="D88" s="1036" t="str">
        <f t="shared" si="98"/>
        <v/>
      </c>
      <c r="E88" s="1036"/>
      <c r="F88" s="561" t="str">
        <f t="shared" ca="1" si="99"/>
        <v>4.22</v>
      </c>
      <c r="G88" s="561" t="str">
        <f>'COMP. ELETRICO '!B100</f>
        <v>AMM ELE 007</v>
      </c>
      <c r="H88" s="574" t="str">
        <f>VLOOKUP($G88,IF(LEFT($G88,3)="AMM",COMPOSIÇÕES!$B$1:$E$4184,'BANCO DE DADOS JAN-23 SERV'!$B$2:$F$7195),2,FALSE)</f>
        <v>TERMINAL OU CONECTOR DE PRESSAO - PARA CABO 10MM2 - FORNECIMENTO E INSTALACAO</v>
      </c>
      <c r="I88" s="571" t="str">
        <f>VLOOKUP($G88,IF(LEFT($G88,3)="AMM",COMPOSIÇÕES!$B$1:$E$4184,'BANCO DE DADOS JAN-23 SERV'!$B$2:$F$7195),3,FALSE)</f>
        <v>UN</v>
      </c>
      <c r="J88" s="632">
        <v>8</v>
      </c>
      <c r="K88" s="697">
        <f>VLOOKUP($G88,IF(LEFT($G88,3)="AMM",COMPOSIÇÕES!$B$1:$E$4184,'BANCO DE DADOS JAN-23 SERV'!$B$2:$F$7195),4,FALSE)</f>
        <v>11.53</v>
      </c>
      <c r="L88" s="697">
        <f t="shared" si="93"/>
        <v>14.58</v>
      </c>
      <c r="M88" s="1083">
        <f t="shared" si="94"/>
        <v>116.64</v>
      </c>
      <c r="N88" s="1037"/>
      <c r="O88" s="758" t="s">
        <v>6975</v>
      </c>
      <c r="P88" s="1037" t="str">
        <f t="shared" ca="1" si="95"/>
        <v>4.22</v>
      </c>
      <c r="R88" s="1038"/>
    </row>
    <row r="89" spans="1:18" s="1035" customFormat="1" ht="30.75" thickBot="1">
      <c r="A89" s="1035">
        <f t="shared" ca="1" si="96"/>
        <v>4</v>
      </c>
      <c r="B89" s="1035">
        <f ca="1">IF(OR(C89=1,D89=1),SUMIF($A$20:A89,A89,$C$20:C89),"")</f>
        <v>23</v>
      </c>
      <c r="C89" s="1035">
        <f t="shared" si="97"/>
        <v>1</v>
      </c>
      <c r="D89" s="1036" t="str">
        <f t="shared" si="98"/>
        <v/>
      </c>
      <c r="E89" s="1036"/>
      <c r="F89" s="561" t="str">
        <f t="shared" ca="1" si="99"/>
        <v>4.23</v>
      </c>
      <c r="G89" s="561" t="str">
        <f>'COMP. ELETRICO '!B109</f>
        <v>AMM ELE 008</v>
      </c>
      <c r="H89" s="574" t="str">
        <f>VLOOKUP($G89,IF(LEFT($G89,3)="AMM",COMPOSIÇÕES!$B$1:$E$4184,'BANCO DE DADOS JAN-23 SERV'!$B$2:$F$7195),2,FALSE)</f>
        <v>TERMINAL OU CONECTOR DE PRESSAO - PARA CABO 35MM2 - FORNECIMENTO E INSTALACAO</v>
      </c>
      <c r="I89" s="571" t="str">
        <f>VLOOKUP($G89,IF(LEFT($G89,3)="AMM",COMPOSIÇÕES!$B$1:$E$4184,'BANCO DE DADOS JAN-23 SERV'!$B$2:$F$7195),3,FALSE)</f>
        <v>UN</v>
      </c>
      <c r="J89" s="632">
        <v>2</v>
      </c>
      <c r="K89" s="697">
        <f>VLOOKUP($G89,IF(LEFT($G89,3)="AMM",COMPOSIÇÕES!$B$1:$E$4184,'BANCO DE DADOS JAN-23 SERV'!$B$2:$F$7195),4,FALSE)</f>
        <v>12.94</v>
      </c>
      <c r="L89" s="697">
        <f t="shared" si="93"/>
        <v>16.36</v>
      </c>
      <c r="M89" s="1083">
        <f t="shared" si="94"/>
        <v>32.72</v>
      </c>
      <c r="N89" s="1037"/>
      <c r="O89" s="758" t="s">
        <v>6975</v>
      </c>
      <c r="P89" s="1037" t="str">
        <f t="shared" ca="1" si="95"/>
        <v>4.23</v>
      </c>
      <c r="R89" s="1038"/>
    </row>
    <row r="90" spans="1:18" s="1035" customFormat="1" ht="30.75" thickBot="1">
      <c r="A90" s="1035">
        <f t="shared" ca="1" si="96"/>
        <v>4</v>
      </c>
      <c r="B90" s="1035">
        <f ca="1">IF(OR(C90=1,D90=1),SUMIF($A$20:A90,A90,$C$20:C90),"")</f>
        <v>24</v>
      </c>
      <c r="C90" s="1035">
        <f t="shared" si="97"/>
        <v>1</v>
      </c>
      <c r="D90" s="1036" t="str">
        <f t="shared" si="98"/>
        <v/>
      </c>
      <c r="E90" s="1036"/>
      <c r="F90" s="561" t="str">
        <f t="shared" ca="1" si="99"/>
        <v>4.24</v>
      </c>
      <c r="G90" s="561" t="str">
        <f>'COMP. ELETRICO '!B118</f>
        <v>AMM ELE 009</v>
      </c>
      <c r="H90" s="574" t="str">
        <f>VLOOKUP($G90,IF(LEFT($G90,3)="AMM",COMPOSIÇÕES!$B$1:$E$4184,'BANCO DE DADOS JAN-23 SERV'!$B$2:$F$7195),2,FALSE)</f>
        <v>TERMINAL OU CONECTOR DE PRESSAO - PARA CABO 70MM2 - FORNECIMENTO E INSTALACAO</v>
      </c>
      <c r="I90" s="571" t="str">
        <f>VLOOKUP($G90,IF(LEFT($G90,3)="AMM",COMPOSIÇÕES!$B$1:$E$4184,'BANCO DE DADOS JAN-23 SERV'!$B$2:$F$7195),3,FALSE)</f>
        <v>UN</v>
      </c>
      <c r="J90" s="632">
        <v>6</v>
      </c>
      <c r="K90" s="697">
        <f>VLOOKUP($G90,IF(LEFT($G90,3)="AMM",COMPOSIÇÕES!$B$1:$E$4184,'BANCO DE DADOS JAN-23 SERV'!$B$2:$F$7195),4,FALSE)</f>
        <v>15.73</v>
      </c>
      <c r="L90" s="697">
        <f t="shared" si="93"/>
        <v>19.89</v>
      </c>
      <c r="M90" s="1083">
        <f t="shared" si="94"/>
        <v>119.34</v>
      </c>
      <c r="N90" s="1037"/>
      <c r="O90" s="758" t="s">
        <v>6975</v>
      </c>
      <c r="P90" s="1037" t="str">
        <f t="shared" ca="1" si="95"/>
        <v>4.24</v>
      </c>
      <c r="R90" s="1038"/>
    </row>
    <row r="91" spans="1:18" s="1035" customFormat="1" ht="30.75" thickBot="1">
      <c r="A91" s="1035">
        <f t="shared" ca="1" si="96"/>
        <v>4</v>
      </c>
      <c r="B91" s="1035">
        <f ca="1">IF(OR(C91=1,D91=1),SUMIF($A$20:A91,A91,$C$20:C91),"")</f>
        <v>25</v>
      </c>
      <c r="C91" s="1035">
        <f t="shared" si="97"/>
        <v>1</v>
      </c>
      <c r="D91" s="1036" t="str">
        <f t="shared" si="98"/>
        <v/>
      </c>
      <c r="E91" s="1036"/>
      <c r="F91" s="561" t="str">
        <f t="shared" ca="1" si="99"/>
        <v>4.25</v>
      </c>
      <c r="G91" s="561" t="str">
        <f>'COMP. ELETRICO '!B127</f>
        <v>AMM ELE 010</v>
      </c>
      <c r="H91" s="574" t="str">
        <f>VLOOKUP($G91,IF(LEFT($G91,3)="AMM",COMPOSIÇÕES!$B$1:$E$4184,'BANCO DE DADOS JAN-23 SERV'!$B$2:$F$7195),2,FALSE)</f>
        <v>FORNECIMENTO E INSTALAÇÃO DE DISJUNTOR TERMOMAGNETICO TRIPOLAR 150 A / 600 V, TIPO FXD / ICC - 35 KA</v>
      </c>
      <c r="I91" s="571" t="str">
        <f>VLOOKUP($G91,IF(LEFT($G91,3)="AMM",COMPOSIÇÕES!$B$1:$E$4184,'BANCO DE DADOS JAN-23 SERV'!$B$2:$F$7195),3,FALSE)</f>
        <v xml:space="preserve">UN    </v>
      </c>
      <c r="J91" s="632">
        <v>2</v>
      </c>
      <c r="K91" s="697">
        <f>VLOOKUP($G91,IF(LEFT($G91,3)="AMM",COMPOSIÇÕES!$B$1:$E$4184,'BANCO DE DADOS JAN-23 SERV'!$B$2:$F$7195),4,FALSE)</f>
        <v>505.6</v>
      </c>
      <c r="L91" s="697">
        <f t="shared" si="93"/>
        <v>639.28</v>
      </c>
      <c r="M91" s="1083">
        <f t="shared" si="94"/>
        <v>1278.56</v>
      </c>
      <c r="N91" s="1037"/>
      <c r="O91" s="758" t="s">
        <v>6975</v>
      </c>
      <c r="P91" s="1037" t="str">
        <f t="shared" ca="1" si="95"/>
        <v>4.25</v>
      </c>
      <c r="R91" s="1038"/>
    </row>
    <row r="92" spans="1:18" s="307" customFormat="1" ht="16.5" customHeight="1" thickBot="1">
      <c r="A92" s="305">
        <f t="shared" ca="1" si="3"/>
        <v>4</v>
      </c>
      <c r="B92" s="305" t="str">
        <f>IF(OR(C92=1,D92=1),SUMIF($A$20:A92,A92,$C$20:C92),"")</f>
        <v/>
      </c>
      <c r="C92" s="305" t="str">
        <f t="shared" si="0"/>
        <v/>
      </c>
      <c r="D92" s="387" t="str">
        <f t="shared" si="1"/>
        <v/>
      </c>
      <c r="E92" s="387"/>
      <c r="F92" s="155" t="str">
        <f t="shared" si="2"/>
        <v/>
      </c>
      <c r="G92" s="155"/>
      <c r="H92" s="155"/>
      <c r="I92" s="155"/>
      <c r="J92" s="156"/>
      <c r="K92" s="156"/>
      <c r="L92" s="155"/>
      <c r="M92" s="155"/>
      <c r="N92" s="306"/>
    </row>
    <row r="93" spans="1:18" s="302" customFormat="1" ht="15.75" customHeight="1">
      <c r="A93" s="305">
        <f t="shared" ref="A93:A96" ca="1" si="100">IF(LEN(D93),OFFSET(A93,-1,0)+1,OFFSET(A93,-1,0))</f>
        <v>5</v>
      </c>
      <c r="B93" s="305">
        <f ca="1">IF(OR(C93=1,D93=1),SUMIF($A$20:A93,A93,$C$20:C93),"")</f>
        <v>0</v>
      </c>
      <c r="C93" s="305" t="str">
        <f t="shared" ref="C93:C96" si="101">IF(G93&gt;0,1,"")</f>
        <v/>
      </c>
      <c r="D93" s="387">
        <f t="shared" ref="D93:D120" si="102">IF(AND(CONCATENATE(G93,H93,I93,J93,K93,L93,M93)=H93&amp;M93,CONCATENATE(G93,H93,I93,J93,K93,L93,M93)&lt;&gt;"",M93&lt;&gt;""),1,"")</f>
        <v>1</v>
      </c>
      <c r="E93" s="387"/>
      <c r="F93" s="166" t="str">
        <f t="shared" ref="F93:F120" ca="1" si="103">IF(B93&lt;&gt;"",A93&amp;"."&amp;B93,"")</f>
        <v>5.0</v>
      </c>
      <c r="G93" s="167"/>
      <c r="H93" s="168" t="s">
        <v>6771</v>
      </c>
      <c r="I93" s="169"/>
      <c r="J93" s="170"/>
      <c r="K93" s="171"/>
      <c r="L93" s="171"/>
      <c r="M93" s="345">
        <f>SUM(M96:M116)</f>
        <v>108569.42</v>
      </c>
      <c r="N93" s="301"/>
      <c r="O93" s="305"/>
    </row>
    <row r="94" spans="1:18" s="814" customFormat="1" ht="16.5" customHeight="1">
      <c r="A94" s="814">
        <f t="shared" ref="A94" ca="1" si="104">IF(LEN(D94),OFFSET(A94,-1,0)+1,OFFSET(A94,-1,0))</f>
        <v>5</v>
      </c>
      <c r="B94" s="814" t="str">
        <f>IF(OR(C94=1,D94=1),SUMIF($A$20:A94,A94,$C$20:C94),"")</f>
        <v/>
      </c>
      <c r="C94" s="814" t="str">
        <f t="shared" ref="C94" si="105">IF(G94&gt;0,1,"")</f>
        <v/>
      </c>
      <c r="D94" s="815" t="str">
        <f t="shared" ref="D94" si="106">IF(AND(CONCATENATE(G94,H94,I94,J94,K94,L94,M94)=H94&amp;M94,CONCATENATE(G94,H94,I94,J94,K94,L94,M94)&lt;&gt;"",M94&lt;&gt;""),1,"")</f>
        <v/>
      </c>
      <c r="E94" s="815"/>
      <c r="F94" s="816" t="str">
        <f t="shared" ref="F94" si="107">IF(B94&lt;&gt;"",A94&amp;"."&amp;B94,"")</f>
        <v/>
      </c>
      <c r="G94" s="817"/>
      <c r="H94" s="818" t="s">
        <v>6949</v>
      </c>
      <c r="I94" s="817"/>
      <c r="J94" s="819"/>
      <c r="K94" s="820"/>
      <c r="L94" s="820"/>
      <c r="M94" s="821"/>
      <c r="N94" s="822"/>
      <c r="O94" s="823"/>
      <c r="P94" s="824"/>
      <c r="R94" s="824"/>
    </row>
    <row r="95" spans="1:18" s="305" customFormat="1" ht="16.5" customHeight="1" thickBot="1">
      <c r="A95" s="305">
        <f t="shared" ca="1" si="100"/>
        <v>5</v>
      </c>
      <c r="B95" s="305" t="str">
        <f>IF(OR(C95=1,D95=1),SUMIF($A$20:A95,A95,$C$20:C95),"")</f>
        <v/>
      </c>
      <c r="C95" s="305" t="str">
        <f t="shared" si="101"/>
        <v/>
      </c>
      <c r="D95" s="387" t="str">
        <f t="shared" si="102"/>
        <v/>
      </c>
      <c r="E95" s="387"/>
      <c r="F95" s="380" t="str">
        <f t="shared" si="103"/>
        <v/>
      </c>
      <c r="G95" s="377"/>
      <c r="H95" s="381" t="s">
        <v>2426</v>
      </c>
      <c r="I95" s="377"/>
      <c r="J95" s="382"/>
      <c r="K95" s="378"/>
      <c r="L95" s="378"/>
      <c r="M95" s="379"/>
      <c r="N95" s="301"/>
      <c r="O95" s="420"/>
      <c r="P95" s="304"/>
      <c r="R95" s="304"/>
    </row>
    <row r="96" spans="1:18" s="1035" customFormat="1" ht="30.75" thickBot="1">
      <c r="A96" s="1035">
        <f t="shared" ca="1" si="100"/>
        <v>5</v>
      </c>
      <c r="B96" s="1035">
        <f ca="1">IF(OR(C96=1,D96=1),SUMIF($A$20:A96,A96,$C$20:C96),"")</f>
        <v>1</v>
      </c>
      <c r="C96" s="1035">
        <f t="shared" si="101"/>
        <v>1</v>
      </c>
      <c r="D96" s="1036" t="str">
        <f t="shared" si="102"/>
        <v/>
      </c>
      <c r="E96" s="1036"/>
      <c r="F96" s="1104" t="str">
        <f t="shared" ca="1" si="103"/>
        <v>5.1</v>
      </c>
      <c r="G96" s="1090">
        <v>96522</v>
      </c>
      <c r="H96" s="1089" t="str">
        <f>VLOOKUP($G96,IF(LEFT($G96,3)="AMM",COMPOSIÇÕES!$B$1:$E$4184,'BANCO DE DADOS JAN-23 SERV'!$B$2:$F$7195),2,FALSE)</f>
        <v>ESCAVAÇÃO MANUAL PARA BLOCO DE COROAMENTO OU SAPATA (SEM ESCAVAÇÃO PARA COLOCAÇÃO DE FÔRMAS). AF_06/2017</v>
      </c>
      <c r="I96" s="1090" t="str">
        <f>VLOOKUP($G96,IF(LEFT($G96,3)="AMM",COMPOSIÇÕES!$B$1:$E$4184,'BANCO DE DADOS JAN-23 SERV'!$B$2:$F$7195),3,FALSE)</f>
        <v>M3</v>
      </c>
      <c r="J96" s="1105">
        <f>'M.C. FUNDAÇÃO RES. 150M3'!K17</f>
        <v>39.270000000000003</v>
      </c>
      <c r="K96" s="1092">
        <f>VLOOKUP($G96,IF(LEFT($G96,3)="AMM",COMPOSIÇÕES!$B$1:$E$4184,'BANCO DE DADOS JAN-23 SERV'!$B$2:$F$7195),4,FALSE)</f>
        <v>123.78</v>
      </c>
      <c r="L96" s="1092">
        <f>IF($P$2="OUTROS",TRUNC(K96*(1+$M$7),2),ROUND(K96*(1+$M$7),2))</f>
        <v>156.51</v>
      </c>
      <c r="M96" s="1106">
        <f>IF($P$2="OUTROS",TRUNC(L96*J96,2),ROUND(L96*J96,2))</f>
        <v>6146.15</v>
      </c>
      <c r="N96" s="1037"/>
      <c r="O96" s="758" t="s">
        <v>6971</v>
      </c>
      <c r="P96" s="1037" t="str">
        <f ca="1">F96</f>
        <v>5.1</v>
      </c>
      <c r="R96" s="1038"/>
    </row>
    <row r="97" spans="1:18" s="1035" customFormat="1" ht="16.5" customHeight="1" thickBot="1">
      <c r="A97" s="1035">
        <f t="shared" ref="A97:A120" ca="1" si="108">IF(LEN(D97),OFFSET(A97,-1,0)+1,OFFSET(A97,-1,0))</f>
        <v>5</v>
      </c>
      <c r="B97" s="1035">
        <f ca="1">IF(OR(C97=1,D97=1),SUMIF($A$20:A97,A97,$C$20:C97),"")</f>
        <v>2</v>
      </c>
      <c r="C97" s="1035">
        <f t="shared" ref="C97:C120" si="109">IF(G97&gt;0,1,"")</f>
        <v>1</v>
      </c>
      <c r="D97" s="1036" t="str">
        <f t="shared" si="102"/>
        <v/>
      </c>
      <c r="E97" s="1036"/>
      <c r="F97" s="448" t="str">
        <f t="shared" ca="1" si="103"/>
        <v>5.2</v>
      </c>
      <c r="G97" s="634">
        <v>96995</v>
      </c>
      <c r="H97" s="447" t="str">
        <f>VLOOKUP($G97,IF(LEFT($G97,3)="AMM",COMPOSIÇÕES!$B$1:$E$4184,'BANCO DE DADOS JAN-23 SERV'!$B$2:$F$7195),2,FALSE)</f>
        <v>REATERRO MANUAL APILOADO COM SOQUETE. AF_10/2017</v>
      </c>
      <c r="I97" s="446" t="str">
        <f>VLOOKUP($G97,IF(LEFT($G97,3)="AMM",COMPOSIÇÕES!$B$1:$E$4184,'BANCO DE DADOS JAN-23 SERV'!$B$2:$F$7195),3,FALSE)</f>
        <v>M3</v>
      </c>
      <c r="J97" s="1102">
        <f>J96-J102</f>
        <v>12.340000000000003</v>
      </c>
      <c r="K97" s="1092">
        <f>VLOOKUP($G97,IF(LEFT($G97,3)="AMM",COMPOSIÇÕES!$B$1:$E$4184,'BANCO DE DADOS JAN-23 SERV'!$B$2:$F$7195),4,FALSE)</f>
        <v>41.78</v>
      </c>
      <c r="L97" s="1092">
        <f>IF($P$2="OUTROS",TRUNC(K97*(1+$M$7),2),ROUND(K97*(1+$M$7),2))</f>
        <v>52.83</v>
      </c>
      <c r="M97" s="1107">
        <f>IF($P$2="OUTROS",TRUNC(L97*J97,2),ROUND(L97*J97,2))</f>
        <v>651.91999999999996</v>
      </c>
      <c r="N97" s="1037"/>
      <c r="O97" s="758" t="s">
        <v>6972</v>
      </c>
      <c r="P97" s="1037" t="str">
        <f ca="1">F97</f>
        <v>5.2</v>
      </c>
      <c r="R97" s="1038"/>
    </row>
    <row r="98" spans="1:18" s="1035" customFormat="1" ht="30.75" thickBot="1">
      <c r="A98" s="1035">
        <f t="shared" ca="1" si="108"/>
        <v>5</v>
      </c>
      <c r="B98" s="1035">
        <f ca="1">IF(OR(C98=1,D98=1),SUMIF($A$20:A98,A98,$C$20:C98),"")</f>
        <v>3</v>
      </c>
      <c r="C98" s="1035">
        <f>IF(G98&gt;0,1,"")</f>
        <v>1</v>
      </c>
      <c r="D98" s="1036" t="str">
        <f>IF(AND(CONCATENATE(G98,H98,I98,J98,K98,L98,M98)=H98&amp;M98,CONCATENATE(G98,H98,I98,J98,K98,L98,M98)&lt;&gt;"",M98&lt;&gt;""),1,"")</f>
        <v/>
      </c>
      <c r="E98" s="1036"/>
      <c r="F98" s="613" t="str">
        <f t="shared" ca="1" si="103"/>
        <v>5.3</v>
      </c>
      <c r="G98" s="1108">
        <v>101616</v>
      </c>
      <c r="H98" s="449" t="str">
        <f>VLOOKUP($G98,IF(LEFT($G98,3)="AMM",COMPOSIÇÕES!$B$1:$E$4184,'BANCO DE DADOS JAN-23 SERV'!$B$2:$F$7195),2,FALSE)</f>
        <v>PREPARO DE FUNDO DE VALA COM LARGURA MENOR QUE 1,5 M (ACERTO DO SOLO NATURAL). AF_08/2020</v>
      </c>
      <c r="I98" s="450" t="str">
        <f>VLOOKUP($G98,IF(LEFT($G98,3)="AMM",COMPOSIÇÕES!$B$1:$E$4184,'BANCO DE DADOS JAN-23 SERV'!$B$2:$F$7195),3,FALSE)</f>
        <v>M2</v>
      </c>
      <c r="J98" s="1109">
        <f>'M.C. FUNDAÇÃO RES. 150M3'!M17</f>
        <v>22.14</v>
      </c>
      <c r="K98" s="1092">
        <f>VLOOKUP($G98,IF(LEFT($G98,3)="AMM",COMPOSIÇÕES!$B$1:$E$4184,'BANCO DE DADOS JAN-23 SERV'!$B$2:$F$7195),4,FALSE)</f>
        <v>5.0199999999999996</v>
      </c>
      <c r="L98" s="1092">
        <f>IF($P$2="OUTROS",TRUNC(K98*(1+$M$7),2),ROUND(K98*(1+$M$7),2))</f>
        <v>6.35</v>
      </c>
      <c r="M98" s="1110">
        <f>IF($P$2="OUTROS",TRUNC(L98*J98,2),ROUND(L98*J98,2))</f>
        <v>140.59</v>
      </c>
      <c r="N98" s="1037"/>
      <c r="O98" s="758" t="s">
        <v>6971</v>
      </c>
      <c r="P98" s="1037" t="str">
        <f ca="1">F98</f>
        <v>5.3</v>
      </c>
      <c r="R98" s="1038"/>
    </row>
    <row r="99" spans="1:18" s="305" customFormat="1" ht="16.5" customHeight="1">
      <c r="A99" s="305">
        <f t="shared" ref="A99" ca="1" si="110">IF(LEN(D99),OFFSET(A99,-1,0)+1,OFFSET(A99,-1,0))</f>
        <v>5</v>
      </c>
      <c r="B99" s="305" t="str">
        <f>IF(OR(C99=1,D99=1),SUMIF($A$20:A99,A99,$C$20:C99),"")</f>
        <v/>
      </c>
      <c r="C99" s="305" t="str">
        <f t="shared" ref="C99" si="111">IF(G99&gt;0,1,"")</f>
        <v/>
      </c>
      <c r="D99" s="387" t="str">
        <f t="shared" ref="D99" si="112">IF(AND(CONCATENATE(G99,H99,I99,J99,K99,L99,M99)=H99&amp;M99,CONCATENATE(G99,H99,I99,J99,K99,L99,M99)&lt;&gt;"",M99&lt;&gt;""),1,"")</f>
        <v/>
      </c>
      <c r="E99" s="387"/>
      <c r="F99" s="380" t="str">
        <f t="shared" ref="F99" si="113">IF(B99&lt;&gt;"",A99&amp;"."&amp;B99,"")</f>
        <v/>
      </c>
      <c r="G99" s="377"/>
      <c r="H99" s="392" t="s">
        <v>6950</v>
      </c>
      <c r="I99" s="377"/>
      <c r="J99" s="382"/>
      <c r="K99" s="378"/>
      <c r="L99" s="378"/>
      <c r="M99" s="379"/>
      <c r="N99" s="301"/>
      <c r="O99" s="420"/>
      <c r="P99" s="304"/>
      <c r="R99" s="304"/>
    </row>
    <row r="100" spans="1:18" s="305" customFormat="1" ht="16.5" customHeight="1" thickBot="1">
      <c r="A100" s="305">
        <f t="shared" ca="1" si="108"/>
        <v>5</v>
      </c>
      <c r="B100" s="305" t="str">
        <f>IF(OR(C100=1,D100=1),SUMIF($A$20:A100,A100,$C$20:C100),"")</f>
        <v/>
      </c>
      <c r="C100" s="305" t="str">
        <f t="shared" si="109"/>
        <v/>
      </c>
      <c r="D100" s="387" t="str">
        <f t="shared" si="102"/>
        <v/>
      </c>
      <c r="E100" s="387"/>
      <c r="F100" s="380" t="str">
        <f t="shared" si="103"/>
        <v/>
      </c>
      <c r="G100" s="377"/>
      <c r="H100" s="392" t="s">
        <v>6948</v>
      </c>
      <c r="I100" s="377"/>
      <c r="J100" s="382"/>
      <c r="K100" s="378"/>
      <c r="L100" s="378"/>
      <c r="M100" s="379"/>
      <c r="N100" s="301"/>
      <c r="O100" s="420"/>
      <c r="P100" s="304"/>
      <c r="R100" s="304"/>
    </row>
    <row r="101" spans="1:18" s="1035" customFormat="1" ht="30.75" thickBot="1">
      <c r="A101" s="1035">
        <f t="shared" ca="1" si="108"/>
        <v>5</v>
      </c>
      <c r="B101" s="1035">
        <f ca="1">IF(OR(C101=1,D101=1),SUMIF($A$20:A101,A101,$C$20:C101),"")</f>
        <v>4</v>
      </c>
      <c r="C101" s="1035">
        <f t="shared" si="109"/>
        <v>1</v>
      </c>
      <c r="D101" s="1036" t="str">
        <f t="shared" si="102"/>
        <v/>
      </c>
      <c r="E101" s="1036"/>
      <c r="F101" s="571" t="str">
        <f t="shared" ca="1" si="103"/>
        <v>5.4</v>
      </c>
      <c r="G101" s="561">
        <v>96619</v>
      </c>
      <c r="H101" s="574" t="str">
        <f>VLOOKUP($G101,IF(LEFT($G101,3)="AMM",COMPOSIÇÕES!$B$1:$E$4184,'BANCO DE DADOS JAN-23 SERV'!$B$2:$F$7195),2,FALSE)</f>
        <v>LASTRO DE CONCRETO MAGRO, APLICADO EM BLOCOS DE COROAMENTO OU SAPATAS, ESPESSURA DE 5 CM. AF_08/2017</v>
      </c>
      <c r="I101" s="571" t="str">
        <f>VLOOKUP($G101,IF(LEFT($G101,3)="AMM",COMPOSIÇÕES!$B$1:$E$4184,'BANCO DE DADOS JAN-23 SERV'!$B$2:$F$7195),3,FALSE)</f>
        <v>M2</v>
      </c>
      <c r="J101" s="1102">
        <f>'M.C. FUNDAÇÃO RES. 150M3'!M17</f>
        <v>22.14</v>
      </c>
      <c r="K101" s="697">
        <f>VLOOKUP($G101,IF(LEFT($G101,3)="AMM",COMPOSIÇÕES!$B$1:$E$4184,'BANCO DE DADOS JAN-23 SERV'!$B$2:$F$7195),4,FALSE)</f>
        <v>32.56</v>
      </c>
      <c r="L101" s="697">
        <f t="shared" ref="L101:L106" si="114">IF($P$2="OUTROS",TRUNC(K101*(1+$M$7),2),ROUND(K101*(1+$M$7),2))</f>
        <v>41.17</v>
      </c>
      <c r="M101" s="1086">
        <f t="shared" ref="M101:M106" si="115">IF($P$2="OUTROS",TRUNC(L101*J101,2),ROUND(L101*J101,2))</f>
        <v>911.5</v>
      </c>
      <c r="N101" s="1037"/>
      <c r="O101" s="758" t="s">
        <v>6971</v>
      </c>
      <c r="P101" s="1037" t="str">
        <f t="shared" ref="P101:P106" ca="1" si="116">F101</f>
        <v>5.4</v>
      </c>
      <c r="R101" s="1038"/>
    </row>
    <row r="102" spans="1:18" s="1035" customFormat="1" ht="30.75" thickBot="1">
      <c r="A102" s="1035">
        <f t="shared" ca="1" si="108"/>
        <v>5</v>
      </c>
      <c r="B102" s="1035">
        <f ca="1">IF(OR(C102=1,D102=1),SUMIF($A$20:A102,A102,$C$20:C102),"")</f>
        <v>5</v>
      </c>
      <c r="C102" s="1035">
        <f t="shared" si="109"/>
        <v>1</v>
      </c>
      <c r="D102" s="1036" t="str">
        <f t="shared" si="102"/>
        <v/>
      </c>
      <c r="E102" s="1036"/>
      <c r="F102" s="571" t="str">
        <f t="shared" ca="1" si="103"/>
        <v>5.5</v>
      </c>
      <c r="G102" s="561">
        <v>94965</v>
      </c>
      <c r="H102" s="574" t="str">
        <f>VLOOKUP($G102,IF(LEFT($G102,3)="AMM",COMPOSIÇÕES!$B$1:$E$4184,'BANCO DE DADOS JAN-23 SERV'!$B$2:$F$7195),2,FALSE)</f>
        <v>CONCRETO FCK = 25MPA, TRAÇO 1:2,3:2,7 (EM MASSA SECA DE CIMENTO/ AREIA MÉDIA/ BRITA 1) - PREPARO MECÂNICO COM BETONEIRA 400 L. AF_05/2021</v>
      </c>
      <c r="I102" s="571" t="str">
        <f>VLOOKUP($G102,IF(LEFT($G102,3)="AMM",COMPOSIÇÕES!$B$1:$E$4184,'BANCO DE DADOS JAN-23 SERV'!$B$2:$F$7195),3,FALSE)</f>
        <v>M3</v>
      </c>
      <c r="J102" s="632">
        <v>26.93</v>
      </c>
      <c r="K102" s="697">
        <f>VLOOKUP($G102,IF(LEFT($G102,3)="AMM",COMPOSIÇÕES!$B$1:$E$4184,'BANCO DE DADOS JAN-23 SERV'!$B$2:$F$7195),4,FALSE)</f>
        <v>557.22</v>
      </c>
      <c r="L102" s="697">
        <f t="shared" si="114"/>
        <v>704.55</v>
      </c>
      <c r="M102" s="1086">
        <f t="shared" si="115"/>
        <v>18973.53</v>
      </c>
      <c r="N102" s="1037"/>
      <c r="O102" s="758" t="s">
        <v>6972</v>
      </c>
      <c r="P102" s="1037" t="str">
        <f t="shared" ca="1" si="116"/>
        <v>5.5</v>
      </c>
      <c r="R102" s="1038"/>
    </row>
    <row r="103" spans="1:18" s="1035" customFormat="1" ht="30.75" thickBot="1">
      <c r="A103" s="1035">
        <f t="shared" ref="A103:A105" ca="1" si="117">IF(LEN(D103),OFFSET(A103,-1,0)+1,OFFSET(A103,-1,0))</f>
        <v>5</v>
      </c>
      <c r="B103" s="1035">
        <f ca="1">IF(OR(C103=1,D103=1),SUMIF($A$20:A103,A103,$C$20:C103),"")</f>
        <v>6</v>
      </c>
      <c r="C103" s="1035">
        <f t="shared" ref="C103:C105" si="118">IF(G103&gt;0,1,"")</f>
        <v>1</v>
      </c>
      <c r="D103" s="1036" t="str">
        <f t="shared" ref="D103:D105" si="119">IF(AND(CONCATENATE(G103,H103,I103,J103,K103,L103,M103)=H103&amp;M103,CONCATENATE(G103,H103,I103,J103,K103,L103,M103)&lt;&gt;"",M103&lt;&gt;""),1,"")</f>
        <v/>
      </c>
      <c r="E103" s="1036"/>
      <c r="F103" s="571" t="str">
        <f t="shared" ref="F103:F105" ca="1" si="120">IF(B103&lt;&gt;"",A103&amp;"."&amp;B103,"")</f>
        <v>5.6</v>
      </c>
      <c r="G103" s="561">
        <v>103670</v>
      </c>
      <c r="H103" s="574" t="str">
        <f>VLOOKUP($G103,IF(LEFT($G103,3)="AMM",COMPOSIÇÕES!$B$1:$E$4184,'BANCO DE DADOS JAN-23 SERV'!$B$2:$F$7195),2,FALSE)</f>
        <v>LANÇAMENTO COM USO DE BALDES, ADENSAMENTO E ACABAMENTO DE CONCRETO EM ESTRUTURAS. AF_02/2022</v>
      </c>
      <c r="I103" s="571" t="str">
        <f>VLOOKUP($G103,IF(LEFT($G103,3)="AMM",COMPOSIÇÕES!$B$1:$E$4184,'BANCO DE DADOS JAN-23 SERV'!$B$2:$F$7195),3,FALSE)</f>
        <v>M3</v>
      </c>
      <c r="J103" s="632">
        <f>J102</f>
        <v>26.93</v>
      </c>
      <c r="K103" s="697">
        <f>VLOOKUP($G103,IF(LEFT($G103,3)="AMM",COMPOSIÇÕES!$B$1:$E$4184,'BANCO DE DADOS JAN-23 SERV'!$B$2:$F$7195),4,FALSE)</f>
        <v>237.09</v>
      </c>
      <c r="L103" s="697">
        <f t="shared" si="114"/>
        <v>299.77999999999997</v>
      </c>
      <c r="M103" s="1086">
        <f t="shared" si="115"/>
        <v>8073.08</v>
      </c>
      <c r="N103" s="1037"/>
      <c r="O103" s="758" t="s">
        <v>6972</v>
      </c>
      <c r="P103" s="1037" t="str">
        <f t="shared" ca="1" si="116"/>
        <v>5.6</v>
      </c>
      <c r="R103" s="1038"/>
    </row>
    <row r="104" spans="1:18" s="1035" customFormat="1" ht="30.75" thickBot="1">
      <c r="A104" s="1035">
        <f t="shared" ca="1" si="117"/>
        <v>5</v>
      </c>
      <c r="B104" s="1035">
        <f ca="1">IF(OR(C104=1,D104=1),SUMIF($A$20:A104,A104,$C$20:C104),"")</f>
        <v>7</v>
      </c>
      <c r="C104" s="1035">
        <f t="shared" si="118"/>
        <v>1</v>
      </c>
      <c r="D104" s="1036" t="str">
        <f t="shared" si="119"/>
        <v/>
      </c>
      <c r="E104" s="1036"/>
      <c r="F104" s="571" t="str">
        <f t="shared" ca="1" si="120"/>
        <v>5.7</v>
      </c>
      <c r="G104" s="561">
        <v>96534</v>
      </c>
      <c r="H104" s="574" t="str">
        <f>VLOOKUP($G104,IF(LEFT($G104,3)="AMM",COMPOSIÇÕES!$B$1:$E$4184,'BANCO DE DADOS JAN-23 SERV'!$B$2:$F$7195),2,FALSE)</f>
        <v>FABRICAÇÃO, MONTAGEM E DESMONTAGEM DE FÔRMA PARA BLOCO DE COROAMENTO, EM MADEIRA SERRADA, E=25 MM, 4 UTILIZAÇÕES. AF_06/2017</v>
      </c>
      <c r="I104" s="571" t="str">
        <f>VLOOKUP($G104,IF(LEFT($G104,3)="AMM",COMPOSIÇÕES!$B$1:$E$4184,'BANCO DE DADOS JAN-23 SERV'!$B$2:$F$7195),3,FALSE)</f>
        <v>M2</v>
      </c>
      <c r="J104" s="632">
        <v>24.32</v>
      </c>
      <c r="K104" s="697">
        <f>VLOOKUP($G104,IF(LEFT($G104,3)="AMM",COMPOSIÇÕES!$B$1:$E$4184,'BANCO DE DADOS JAN-23 SERV'!$B$2:$F$7195),4,FALSE)</f>
        <v>81.52</v>
      </c>
      <c r="L104" s="697">
        <f t="shared" si="114"/>
        <v>103.07</v>
      </c>
      <c r="M104" s="1086">
        <f t="shared" si="115"/>
        <v>2506.66</v>
      </c>
      <c r="N104" s="1037"/>
      <c r="O104" s="758" t="s">
        <v>6972</v>
      </c>
      <c r="P104" s="1037" t="str">
        <f t="shared" ca="1" si="116"/>
        <v>5.7</v>
      </c>
      <c r="R104" s="1038"/>
    </row>
    <row r="105" spans="1:18" s="1035" customFormat="1" ht="30.75" thickBot="1">
      <c r="A105" s="1035">
        <f t="shared" ca="1" si="117"/>
        <v>5</v>
      </c>
      <c r="B105" s="1035">
        <f ca="1">IF(OR(C105=1,D105=1),SUMIF($A$20:A105,A105,$C$20:C105),"")</f>
        <v>8</v>
      </c>
      <c r="C105" s="1035">
        <f t="shared" si="118"/>
        <v>1</v>
      </c>
      <c r="D105" s="1036" t="str">
        <f t="shared" si="119"/>
        <v/>
      </c>
      <c r="E105" s="1036"/>
      <c r="F105" s="571" t="str">
        <f t="shared" ca="1" si="120"/>
        <v>5.8</v>
      </c>
      <c r="G105" s="561">
        <v>96544</v>
      </c>
      <c r="H105" s="574" t="str">
        <f>VLOOKUP($G105,IF(LEFT($G105,3)="AMM",COMPOSIÇÕES!$B$1:$E$4184,'BANCO DE DADOS JAN-23 SERV'!$B$2:$F$7195),2,FALSE)</f>
        <v>ARMAÇÃO DE BLOCO, VIGA BALDRAME OU SAPATA UTILIZANDO AÇO CA-50 DE 6,3 MM - MONTAGEM. AF_06/2017</v>
      </c>
      <c r="I105" s="571" t="str">
        <f>VLOOKUP($G105,IF(LEFT($G105,3)="AMM",COMPOSIÇÕES!$B$1:$E$4184,'BANCO DE DADOS JAN-23 SERV'!$B$2:$F$7195),3,FALSE)</f>
        <v>KG</v>
      </c>
      <c r="J105" s="632">
        <v>610.1</v>
      </c>
      <c r="K105" s="697">
        <f>VLOOKUP($G105,IF(LEFT($G105,3)="AMM",COMPOSIÇÕES!$B$1:$E$4184,'BANCO DE DADOS JAN-23 SERV'!$B$2:$F$7195),4,FALSE)</f>
        <v>18.420000000000002</v>
      </c>
      <c r="L105" s="697">
        <f t="shared" si="114"/>
        <v>23.29</v>
      </c>
      <c r="M105" s="1086">
        <f t="shared" si="115"/>
        <v>14209.23</v>
      </c>
      <c r="N105" s="1037"/>
      <c r="O105" s="758" t="s">
        <v>6972</v>
      </c>
      <c r="P105" s="1037" t="str">
        <f t="shared" ca="1" si="116"/>
        <v>5.8</v>
      </c>
      <c r="R105" s="1038"/>
    </row>
    <row r="106" spans="1:18" s="1035" customFormat="1" ht="30.75" thickBot="1">
      <c r="A106" s="1035">
        <f t="shared" ca="1" si="108"/>
        <v>5</v>
      </c>
      <c r="B106" s="1035">
        <f ca="1">IF(OR(C106=1,D106=1),SUMIF($A$20:A106,A106,$C$20:C106),"")</f>
        <v>9</v>
      </c>
      <c r="C106" s="1035">
        <f t="shared" si="109"/>
        <v>1</v>
      </c>
      <c r="D106" s="1036" t="str">
        <f t="shared" si="102"/>
        <v/>
      </c>
      <c r="E106" s="1036"/>
      <c r="F106" s="571" t="str">
        <f t="shared" ca="1" si="103"/>
        <v>5.9</v>
      </c>
      <c r="G106" s="561">
        <v>96545</v>
      </c>
      <c r="H106" s="574" t="str">
        <f>VLOOKUP($G106,IF(LEFT($G106,3)="AMM",COMPOSIÇÕES!$B$1:$E$4184,'BANCO DE DADOS JAN-23 SERV'!$B$2:$F$7195),2,FALSE)</f>
        <v>ARMAÇÃO DE BLOCO, VIGA BALDRAME OU SAPATA UTILIZANDO AÇO CA-50 DE 8 MM - MONTAGEM. AF_06/2017</v>
      </c>
      <c r="I106" s="571" t="str">
        <f>VLOOKUP($G106,IF(LEFT($G106,3)="AMM",COMPOSIÇÕES!$B$1:$E$4184,'BANCO DE DADOS JAN-23 SERV'!$B$2:$F$7195),3,FALSE)</f>
        <v>KG</v>
      </c>
      <c r="J106" s="1103">
        <v>55.5</v>
      </c>
      <c r="K106" s="697">
        <f>VLOOKUP($G106,IF(LEFT($G106,3)="AMM",COMPOSIÇÕES!$B$1:$E$4184,'BANCO DE DADOS JAN-23 SERV'!$B$2:$F$7195),4,FALSE)</f>
        <v>17.54</v>
      </c>
      <c r="L106" s="697">
        <f t="shared" si="114"/>
        <v>22.18</v>
      </c>
      <c r="M106" s="1086">
        <f t="shared" si="115"/>
        <v>1230.99</v>
      </c>
      <c r="N106" s="1037"/>
      <c r="O106" s="758" t="s">
        <v>6972</v>
      </c>
      <c r="P106" s="1037" t="str">
        <f t="shared" ca="1" si="116"/>
        <v>5.9</v>
      </c>
      <c r="R106" s="1038"/>
    </row>
    <row r="107" spans="1:18" s="305" customFormat="1" ht="16.5" customHeight="1" thickBot="1">
      <c r="A107" s="305">
        <f t="shared" ca="1" si="108"/>
        <v>5</v>
      </c>
      <c r="B107" s="305" t="str">
        <f>IF(OR(C107=1,D107=1),SUMIF($A$20:A107,A107,$C$20:C107),"")</f>
        <v/>
      </c>
      <c r="C107" s="305" t="str">
        <f t="shared" si="109"/>
        <v/>
      </c>
      <c r="D107" s="387" t="str">
        <f t="shared" si="102"/>
        <v/>
      </c>
      <c r="E107" s="387"/>
      <c r="F107" s="380" t="str">
        <f t="shared" si="103"/>
        <v/>
      </c>
      <c r="G107" s="377"/>
      <c r="H107" s="392" t="s">
        <v>13754</v>
      </c>
      <c r="I107" s="377"/>
      <c r="J107" s="382"/>
      <c r="K107" s="378"/>
      <c r="L107" s="378"/>
      <c r="M107" s="379"/>
      <c r="N107" s="301"/>
      <c r="O107" s="420"/>
      <c r="P107" s="304"/>
      <c r="R107" s="304"/>
    </row>
    <row r="108" spans="1:18" s="1429" customFormat="1" ht="30.75" thickBot="1">
      <c r="A108" s="1429">
        <f t="shared" ca="1" si="108"/>
        <v>5</v>
      </c>
      <c r="B108" s="1429">
        <f ca="1">IF(OR(C108=1,D108=1),SUMIF($A$20:A108,A108,$C$20:C108),"")</f>
        <v>10</v>
      </c>
      <c r="C108" s="1429">
        <f t="shared" si="109"/>
        <v>1</v>
      </c>
      <c r="D108" s="1445" t="str">
        <f t="shared" si="102"/>
        <v/>
      </c>
      <c r="E108" s="1445"/>
      <c r="F108" s="1442" t="str">
        <f t="shared" ca="1" si="103"/>
        <v>5.10</v>
      </c>
      <c r="G108" s="1440">
        <v>95602</v>
      </c>
      <c r="H108" s="1441" t="str">
        <f>VLOOKUP($G108,IF(LEFT($G108,3)="AMM",COMPOSIÇÕES!$B$1:$E$4184,'BANCO DE DADOS JAN-23 SERV'!$B$2:$F$7195),2,FALSE)</f>
        <v>ARRASAMENTO MECANICO DE ESTACA DE CONCRETO ARMADO, DIAMETROS DE 41 CM A 60 CM. AF_05/2021</v>
      </c>
      <c r="I108" s="1442" t="str">
        <f>VLOOKUP($G108,IF(LEFT($G108,3)="AMM",COMPOSIÇÕES!$B$1:$E$4184,'BANCO DE DADOS JAN-23 SERV'!$B$2:$F$7195),3,FALSE)</f>
        <v>UN</v>
      </c>
      <c r="J108" s="1443">
        <v>10</v>
      </c>
      <c r="K108" s="1444">
        <f>VLOOKUP($G108,IF(LEFT($G108,3)="AMM",COMPOSIÇÕES!$B$1:$E$4184,'BANCO DE DADOS JAN-23 SERV'!$B$2:$F$7195),4,FALSE)</f>
        <v>19.37</v>
      </c>
      <c r="L108" s="1444">
        <f>IF($P$2="OUTROS",TRUNC(K108*(1+$M$7),2),ROUND(K108*(1+$M$7),2))</f>
        <v>24.49</v>
      </c>
      <c r="M108" s="1086">
        <f>IF($P$2="OUTROS",TRUNC(L108*J108,2),ROUND(L108*J108,2))</f>
        <v>244.9</v>
      </c>
      <c r="N108" s="1186"/>
      <c r="O108" s="1439" t="s">
        <v>6972</v>
      </c>
      <c r="P108" s="1186" t="str">
        <f ca="1">F108</f>
        <v>5.10</v>
      </c>
      <c r="R108" s="1451"/>
    </row>
    <row r="109" spans="1:18" s="1429" customFormat="1" ht="45.75" thickBot="1">
      <c r="A109" s="1429">
        <f t="shared" ca="1" si="108"/>
        <v>5</v>
      </c>
      <c r="B109" s="1429">
        <f ca="1">IF(OR(C109=1,D109=1),SUMIF($A$20:A109,A109,$C$20:C109),"")</f>
        <v>11</v>
      </c>
      <c r="C109" s="1429">
        <f t="shared" si="109"/>
        <v>1</v>
      </c>
      <c r="D109" s="1445" t="str">
        <f t="shared" si="102"/>
        <v/>
      </c>
      <c r="E109" s="1445"/>
      <c r="F109" s="1442" t="str">
        <f t="shared" ca="1" si="103"/>
        <v>5.11</v>
      </c>
      <c r="G109" s="1440">
        <v>100652</v>
      </c>
      <c r="H109" s="1441" t="str">
        <f>VLOOKUP($G109,IF(LEFT($G109,3)="AMM",COMPOSIÇÕES!$B$1:$E$4184,'BANCO DE DADOS JAN-23 SERV'!$B$2:$F$7195),2,FALSE)</f>
        <v>ESTACA HÉLICE CONTÍNUA , DIÂMETRO DE 50 CM, INCLUSO CONCRETO FCK=30MPA E ARMADURA MÍNIMA (EXCLUSIVE MOBILIZAÇÃO, DESMOBILIZAÇÃO E BOMBEAMENTO). AF_12/2019</v>
      </c>
      <c r="I109" s="1442" t="str">
        <f>VLOOKUP($G109,IF(LEFT($G109,3)="AMM",COMPOSIÇÕES!$B$1:$E$4184,'BANCO DE DADOS JAN-23 SERV'!$B$2:$F$7195),3,FALSE)</f>
        <v>M</v>
      </c>
      <c r="J109" s="1443">
        <f>J108*8</f>
        <v>80</v>
      </c>
      <c r="K109" s="1444">
        <f>VLOOKUP($G109,IF(LEFT($G109,3)="AMM",COMPOSIÇÕES!$B$1:$E$4184,'BANCO DE DADOS JAN-23 SERV'!$B$2:$F$7195),4,FALSE)</f>
        <v>336.21</v>
      </c>
      <c r="L109" s="1444">
        <f>IF($P$2="OUTROS",TRUNC(K109*(1+$M$7),2),ROUND(K109*(1+$M$7),2))</f>
        <v>425.1</v>
      </c>
      <c r="M109" s="1086">
        <f>IF($P$2="OUTROS",TRUNC(L109*J109,2),ROUND(L109*J109,2))</f>
        <v>34008</v>
      </c>
      <c r="N109" s="1186"/>
      <c r="O109" s="1439" t="s">
        <v>6972</v>
      </c>
      <c r="P109" s="1186" t="str">
        <f ca="1">F109</f>
        <v>5.11</v>
      </c>
      <c r="R109" s="1451"/>
    </row>
    <row r="110" spans="1:18" s="305" customFormat="1" ht="16.5" customHeight="1">
      <c r="A110" s="305">
        <f t="shared" ref="A110:A113" ca="1" si="121">IF(LEN(D110),OFFSET(A110,-1,0)+1,OFFSET(A110,-1,0))</f>
        <v>5</v>
      </c>
      <c r="B110" s="305" t="str">
        <f>IF(OR(C110=1,D110=1),SUMIF($A$20:A110,A110,$C$20:C110),"")</f>
        <v/>
      </c>
      <c r="C110" s="305" t="str">
        <f t="shared" ref="C110:C113" si="122">IF(G110&gt;0,1,"")</f>
        <v/>
      </c>
      <c r="D110" s="387" t="str">
        <f t="shared" ref="D110:D113" si="123">IF(AND(CONCATENATE(G110,H110,I110,J110,K110,L110,M110)=H110&amp;M110,CONCATENATE(G110,H110,I110,J110,K110,L110,M110)&lt;&gt;"",M110&lt;&gt;""),1,"")</f>
        <v/>
      </c>
      <c r="E110" s="387"/>
      <c r="F110" s="380" t="str">
        <f t="shared" ref="F110:F113" si="124">IF(B110&lt;&gt;"",A110&amp;"."&amp;B110,"")</f>
        <v/>
      </c>
      <c r="G110" s="377"/>
      <c r="H110" s="392" t="s">
        <v>13755</v>
      </c>
      <c r="I110" s="377"/>
      <c r="J110" s="382"/>
      <c r="K110" s="378"/>
      <c r="L110" s="378"/>
      <c r="M110" s="379"/>
      <c r="N110" s="301"/>
      <c r="O110" s="420"/>
      <c r="P110" s="304"/>
      <c r="R110" s="304"/>
    </row>
    <row r="111" spans="1:18" s="305" customFormat="1" ht="16.5" customHeight="1" thickBot="1">
      <c r="A111" s="305">
        <f t="shared" ca="1" si="121"/>
        <v>5</v>
      </c>
      <c r="B111" s="305" t="str">
        <f>IF(OR(C111=1,D111=1),SUMIF($A$20:A111,A111,$C$20:C111),"")</f>
        <v/>
      </c>
      <c r="C111" s="305" t="str">
        <f t="shared" si="122"/>
        <v/>
      </c>
      <c r="D111" s="387" t="str">
        <f t="shared" si="123"/>
        <v/>
      </c>
      <c r="E111" s="387"/>
      <c r="F111" s="380" t="str">
        <f t="shared" si="124"/>
        <v/>
      </c>
      <c r="G111" s="377"/>
      <c r="H111" s="392" t="s">
        <v>13753</v>
      </c>
      <c r="I111" s="377"/>
      <c r="J111" s="382"/>
      <c r="K111" s="378"/>
      <c r="L111" s="378"/>
      <c r="M111" s="379"/>
      <c r="N111" s="301"/>
      <c r="O111" s="420"/>
      <c r="P111" s="304"/>
      <c r="R111" s="304"/>
    </row>
    <row r="112" spans="1:18" s="1429" customFormat="1" ht="30.75" thickBot="1">
      <c r="A112" s="1429">
        <f t="shared" ca="1" si="121"/>
        <v>5</v>
      </c>
      <c r="B112" s="1429">
        <f ca="1">IF(OR(C112=1,D112=1),SUMIF($A$20:A112,A112,$C$20:C112),"")</f>
        <v>12</v>
      </c>
      <c r="C112" s="1429">
        <f t="shared" si="122"/>
        <v>1</v>
      </c>
      <c r="D112" s="1445" t="str">
        <f t="shared" si="123"/>
        <v/>
      </c>
      <c r="E112" s="1445"/>
      <c r="F112" s="1442" t="str">
        <f t="shared" ca="1" si="124"/>
        <v>5.12</v>
      </c>
      <c r="G112" s="1440">
        <v>92763</v>
      </c>
      <c r="H112" s="1441" t="str">
        <f>VLOOKUP($G112,IF(LEFT($G112,3)="AMM",COMPOSIÇÕES!$B$1:$E$4184,'BANCO DE DADOS JAN-23 SERV'!$B$2:$F$7195),2,FALSE)</f>
        <v>ARMAÇÃO DE PILAR OU VIGA DE ESTRUTURA CONVENCIONAL DE CONCRETO ARMADO UTILIZANDO AÇO CA-50 DE 12,5 MM - MONTAGEM. AF_06/2022</v>
      </c>
      <c r="I112" s="1442" t="str">
        <f>VLOOKUP($G112,IF(LEFT($G112,3)="AMM",COMPOSIÇÕES!$B$1:$E$4184,'BANCO DE DADOS JAN-23 SERV'!$B$2:$F$7195),3,FALSE)</f>
        <v>KG</v>
      </c>
      <c r="J112" s="1443">
        <v>490.4</v>
      </c>
      <c r="K112" s="1444">
        <f>VLOOKUP($G112,IF(LEFT($G112,3)="AMM",COMPOSIÇÕES!$B$1:$E$4184,'BANCO DE DADOS JAN-23 SERV'!$B$2:$F$7195),4,FALSE)</f>
        <v>12.23</v>
      </c>
      <c r="L112" s="1444">
        <f>IF($P$2="OUTROS",TRUNC(K112*(1+$M$7),2),ROUND(K112*(1+$M$7),2))</f>
        <v>15.46</v>
      </c>
      <c r="M112" s="1086">
        <f>IF($P$2="OUTROS",TRUNC(L112*J112,2),ROUND(L112*J112,2))</f>
        <v>7581.58</v>
      </c>
      <c r="N112" s="1186"/>
      <c r="O112" s="1439" t="s">
        <v>6972</v>
      </c>
      <c r="P112" s="1186" t="str">
        <f ca="1">F112</f>
        <v>5.12</v>
      </c>
      <c r="R112" s="1451"/>
    </row>
    <row r="113" spans="1:19" s="1429" customFormat="1" ht="30.75" thickBot="1">
      <c r="A113" s="1429">
        <f t="shared" ca="1" si="121"/>
        <v>5</v>
      </c>
      <c r="B113" s="1429">
        <f ca="1">IF(OR(C113=1,D113=1),SUMIF($A$20:A113,A113,$C$20:C113),"")</f>
        <v>13</v>
      </c>
      <c r="C113" s="1429">
        <f t="shared" si="122"/>
        <v>1</v>
      </c>
      <c r="D113" s="1445" t="str">
        <f t="shared" si="123"/>
        <v/>
      </c>
      <c r="E113" s="1445"/>
      <c r="F113" s="1442" t="str">
        <f t="shared" ca="1" si="124"/>
        <v>5.13</v>
      </c>
      <c r="G113" s="1440">
        <v>92759</v>
      </c>
      <c r="H113" s="1441" t="str">
        <f>VLOOKUP($G113,IF(LEFT($G113,3)="AMM",COMPOSIÇÕES!$B$1:$E$4184,'BANCO DE DADOS JAN-23 SERV'!$B$2:$F$7195),2,FALSE)</f>
        <v>ARMAÇÃO DE PILAR OU VIGA DE ESTRUTURA CONVENCIONAL DE CONCRETO ARMADO UTILIZANDO AÇO CA-60 DE 5,0 MM - MONTAGEM. AF_06/2022</v>
      </c>
      <c r="I113" s="1442" t="str">
        <f>VLOOKUP($G113,IF(LEFT($G113,3)="AMM",COMPOSIÇÕES!$B$1:$E$4184,'BANCO DE DADOS JAN-23 SERV'!$B$2:$F$7195),3,FALSE)</f>
        <v>KG</v>
      </c>
      <c r="J113" s="1443">
        <v>181.7</v>
      </c>
      <c r="K113" s="1444">
        <f>VLOOKUP($G113,IF(LEFT($G113,3)="AMM",COMPOSIÇÕES!$B$1:$E$4184,'BANCO DE DADOS JAN-23 SERV'!$B$2:$F$7195),4,FALSE)</f>
        <v>16.27</v>
      </c>
      <c r="L113" s="1444">
        <f>IF($P$2="OUTROS",TRUNC(K113*(1+$M$7),2),ROUND(K113*(1+$M$7),2))</f>
        <v>20.57</v>
      </c>
      <c r="M113" s="1086">
        <f>IF($P$2="OUTROS",TRUNC(L113*J113,2),ROUND(L113*J113,2))</f>
        <v>3737.57</v>
      </c>
      <c r="N113" s="1186"/>
      <c r="O113" s="1439" t="s">
        <v>6972</v>
      </c>
      <c r="P113" s="1186" t="str">
        <f ca="1">F113</f>
        <v>5.13</v>
      </c>
      <c r="R113" s="1451"/>
    </row>
    <row r="114" spans="1:19" s="305" customFormat="1" ht="16.5" customHeight="1" thickBot="1">
      <c r="A114" s="305">
        <f t="shared" ref="A114:A116" ca="1" si="125">IF(LEN(D114),OFFSET(A114,-1,0)+1,OFFSET(A114,-1,0))</f>
        <v>5</v>
      </c>
      <c r="B114" s="305" t="str">
        <f>IF(OR(C114=1,D114=1),SUMIF($A$20:A114,A114,$C$20:C114),"")</f>
        <v/>
      </c>
      <c r="C114" s="305" t="str">
        <f t="shared" ref="C114:C116" si="126">IF(G114&gt;0,1,"")</f>
        <v/>
      </c>
      <c r="D114" s="387" t="str">
        <f t="shared" ref="D114:D116" si="127">IF(AND(CONCATENATE(G114,H114,I114,J114,K114,L114,M114)=H114&amp;M114,CONCATENATE(G114,H114,I114,J114,K114,L114,M114)&lt;&gt;"",M114&lt;&gt;""),1,"")</f>
        <v/>
      </c>
      <c r="E114" s="387"/>
      <c r="F114" s="380" t="str">
        <f t="shared" ref="F114:F116" si="128">IF(B114&lt;&gt;"",A114&amp;"."&amp;B114,"")</f>
        <v/>
      </c>
      <c r="G114" s="377"/>
      <c r="H114" s="392" t="s">
        <v>13756</v>
      </c>
      <c r="I114" s="377"/>
      <c r="J114" s="382"/>
      <c r="K114" s="378"/>
      <c r="L114" s="378"/>
      <c r="M114" s="379"/>
      <c r="N114" s="301"/>
      <c r="O114" s="420"/>
      <c r="P114" s="304"/>
      <c r="R114" s="304"/>
    </row>
    <row r="115" spans="1:19" s="1429" customFormat="1" ht="45.75" thickBot="1">
      <c r="A115" s="1429">
        <f t="shared" ca="1" si="125"/>
        <v>5</v>
      </c>
      <c r="B115" s="1429">
        <f ca="1">IF(OR(C115=1,D115=1),SUMIF($A$20:A115,A115,$C$20:C115),"")</f>
        <v>14</v>
      </c>
      <c r="C115" s="1429">
        <f t="shared" si="126"/>
        <v>1</v>
      </c>
      <c r="D115" s="1445" t="str">
        <f t="shared" si="127"/>
        <v/>
      </c>
      <c r="E115" s="1445"/>
      <c r="F115" s="1442" t="str">
        <f t="shared" ca="1" si="128"/>
        <v>5.14</v>
      </c>
      <c r="G115" s="1440" t="str">
        <f>'COMPOSIÇÃO ESTRUTURAL'!B13</f>
        <v>AMM EST 001</v>
      </c>
      <c r="H115" s="1441" t="str">
        <f>VLOOKUP($G115,IF(LEFT($G115,3)="AMM",COMPOSIÇÕES!$B$1:$E$4184,'BANCO DE DADOS JAN-23 SERV'!$B$2:$F$7195),2,FALSE)</f>
        <v>MOBILIZAÇÃO DE PERFURATRIZ HIDRÁULICA SOBRE CAMINHÃO TRUCADO (C/ TERCEIRO EIXO) ELETRÔNICO - POTÊNCIA 231CV - PBT = 22000KG - DIST. ENTRE EIXOS 5170 MM</v>
      </c>
      <c r="I115" s="1442" t="str">
        <f>VLOOKUP($G115,IF(LEFT($G115,3)="AMM",COMPOSIÇÕES!$B$1:$E$4184,'BANCO DE DADOS JAN-23 SERV'!$B$2:$F$7195),3,FALSE)</f>
        <v>UN</v>
      </c>
      <c r="J115" s="1443">
        <v>1</v>
      </c>
      <c r="K115" s="1444">
        <f>VLOOKUP($G115,IF(LEFT($G115,3)="AMM",COMPOSIÇÕES!$B$1:$E$4184,'BANCO DE DADOS JAN-23 SERV'!$B$2:$F$7195),4,FALSE)</f>
        <v>4015.23</v>
      </c>
      <c r="L115" s="1444">
        <f>IF($P$2="OUTROS",TRUNC(K115*(1+$M$7),2),ROUND(K115*(1+$M$7),2))</f>
        <v>5076.8599999999997</v>
      </c>
      <c r="M115" s="1086">
        <f>IF($P$2="OUTROS",TRUNC(L115*J115,2),ROUND(L115*J115,2))</f>
        <v>5076.8599999999997</v>
      </c>
      <c r="N115" s="1186"/>
      <c r="O115" s="1439" t="s">
        <v>6972</v>
      </c>
      <c r="P115" s="1186" t="str">
        <f ca="1">F115</f>
        <v>5.14</v>
      </c>
      <c r="R115" s="1451"/>
    </row>
    <row r="116" spans="1:19" s="1429" customFormat="1" ht="45.75" thickBot="1">
      <c r="A116" s="1429">
        <f t="shared" ca="1" si="125"/>
        <v>5</v>
      </c>
      <c r="B116" s="1429">
        <f ca="1">IF(OR(C116=1,D116=1),SUMIF($A$20:A116,A116,$C$20:C116),"")</f>
        <v>15</v>
      </c>
      <c r="C116" s="1429">
        <f t="shared" si="126"/>
        <v>1</v>
      </c>
      <c r="D116" s="1445" t="str">
        <f t="shared" si="127"/>
        <v/>
      </c>
      <c r="E116" s="1445"/>
      <c r="F116" s="1442" t="str">
        <f t="shared" ca="1" si="128"/>
        <v>5.15</v>
      </c>
      <c r="G116" s="1440" t="str">
        <f>'COMPOSIÇÃO ESTRUTURAL'!B72</f>
        <v>AMM EST 002</v>
      </c>
      <c r="H116" s="1441" t="str">
        <f>VLOOKUP($G116,IF(LEFT($G116,3)="AMM",COMPOSIÇÕES!$B$1:$E$4184,'BANCO DE DADOS JAN-23 SERV'!$B$2:$F$7195),2,FALSE)</f>
        <v>DESMOBILIZAÇÃO DE PERFURATRIZ HIDRÁULICA SOBRE CAMINHÃO TRUCADO (C/ TERCEIRO EIXO) ELETRÔNICO - POTÊNCIA 231CV - PBT = 22000KG - DIST. ENTRE EIXOS 5170 MM</v>
      </c>
      <c r="I116" s="1442" t="str">
        <f>VLOOKUP($G116,IF(LEFT($G116,3)="AMM",COMPOSIÇÕES!$B$1:$E$4184,'BANCO DE DADOS JAN-23 SERV'!$B$2:$F$7195),3,FALSE)</f>
        <v>UN</v>
      </c>
      <c r="J116" s="1443">
        <v>1</v>
      </c>
      <c r="K116" s="1444">
        <f>VLOOKUP($G116,IF(LEFT($G116,3)="AMM",COMPOSIÇÕES!$B$1:$E$4184,'BANCO DE DADOS JAN-23 SERV'!$B$2:$F$7195),4,FALSE)</f>
        <v>4015.23</v>
      </c>
      <c r="L116" s="1444">
        <f>IF($P$2="OUTROS",TRUNC(K116*(1+$M$7),2),ROUND(K116*(1+$M$7),2))</f>
        <v>5076.8599999999997</v>
      </c>
      <c r="M116" s="1086">
        <f>IF($P$2="OUTROS",TRUNC(L116*J116,2),ROUND(L116*J116,2))</f>
        <v>5076.8599999999997</v>
      </c>
      <c r="N116" s="1186"/>
      <c r="O116" s="1439" t="s">
        <v>6972</v>
      </c>
      <c r="P116" s="1186" t="str">
        <f ca="1">F116</f>
        <v>5.15</v>
      </c>
      <c r="R116" s="1451"/>
    </row>
    <row r="117" spans="1:19" s="307" customFormat="1" ht="16.5" customHeight="1" thickBot="1">
      <c r="A117" s="305">
        <f t="shared" ca="1" si="108"/>
        <v>5</v>
      </c>
      <c r="B117" s="305" t="str">
        <f>IF(OR(C117=1,D117=1),SUMIF($A$20:A117,A117,$C$20:C117),"")</f>
        <v/>
      </c>
      <c r="C117" s="305" t="str">
        <f t="shared" si="109"/>
        <v/>
      </c>
      <c r="D117" s="387" t="str">
        <f t="shared" si="102"/>
        <v/>
      </c>
      <c r="E117" s="387"/>
      <c r="F117" s="155" t="str">
        <f t="shared" si="103"/>
        <v/>
      </c>
      <c r="G117" s="155"/>
      <c r="H117" s="155"/>
      <c r="I117" s="155"/>
      <c r="J117" s="156"/>
      <c r="K117" s="156"/>
      <c r="L117" s="155"/>
      <c r="M117" s="155"/>
      <c r="N117" s="306"/>
    </row>
    <row r="118" spans="1:19" s="302" customFormat="1" ht="16.5" customHeight="1" thickBot="1">
      <c r="A118" s="305">
        <f t="shared" ca="1" si="108"/>
        <v>6</v>
      </c>
      <c r="B118" s="305">
        <f ca="1">IF(OR(C118=1,D118=1),SUMIF($A$20:A118,A118,$C$20:C118),"")</f>
        <v>0</v>
      </c>
      <c r="C118" s="305" t="str">
        <f t="shared" si="109"/>
        <v/>
      </c>
      <c r="D118" s="387">
        <f t="shared" si="102"/>
        <v>1</v>
      </c>
      <c r="E118" s="387"/>
      <c r="F118" s="157" t="str">
        <f t="shared" ca="1" si="103"/>
        <v>6.0</v>
      </c>
      <c r="G118" s="158"/>
      <c r="H118" s="159" t="s">
        <v>6772</v>
      </c>
      <c r="I118" s="160"/>
      <c r="J118" s="161"/>
      <c r="K118" s="162"/>
      <c r="L118" s="162"/>
      <c r="M118" s="163">
        <f>SUM(M119:M125)</f>
        <v>493377.26</v>
      </c>
      <c r="N118" s="301"/>
      <c r="O118" s="305"/>
    </row>
    <row r="119" spans="1:19" s="1035" customFormat="1" ht="60.75" thickBot="1">
      <c r="A119" s="1035">
        <f t="shared" ca="1" si="108"/>
        <v>6</v>
      </c>
      <c r="B119" s="1035">
        <f ca="1">IF(OR(C119=1,D119=1),SUMIF($A$20:A119,A119,$C$20:C119),"")</f>
        <v>1</v>
      </c>
      <c r="C119" s="1035">
        <f t="shared" si="109"/>
        <v>1</v>
      </c>
      <c r="D119" s="1036" t="str">
        <f t="shared" si="102"/>
        <v/>
      </c>
      <c r="E119" s="1036"/>
      <c r="F119" s="1088" t="str">
        <f t="shared" ca="1" si="103"/>
        <v>6.1</v>
      </c>
      <c r="G119" s="1085" t="str">
        <f>'COMP SAA'!B71</f>
        <v>AMM SAA 006</v>
      </c>
      <c r="H119" s="1089" t="str">
        <f>VLOOKUP($G119,IF(LEFT($G119,3)="AMM",COMPOSIÇÕES!$B$1:$E$4184,'BANCO DE DADOS JAN-23 SERV'!$B$2:$F$7195),2,FALSE)</f>
        <v>FORNECIMENTO E INSTALAÇÃO DE RESERVATÓRIO METÁLICO TIPO TAÇA COLUNA SECA COM CAPACIDADE UTIL DE 150 M³, COM DRENO PARA LIMPEZA,  RESPIRO, BOCA DE VISITA, ESCADA INTERNA, ESCADA EXTERNA TIPO MARINHEIRO COM GUARDA CORPO, SUPORTE PARA PARA-RAIO E ISOLADORES E FRETE</v>
      </c>
      <c r="I119" s="1090" t="str">
        <f>VLOOKUP($G119,IF(LEFT($G119,3)="AMM",COMPOSIÇÕES!$B$1:$E$4184,'BANCO DE DADOS JAN-23 SERV'!$B$2:$F$7195),3,FALSE)</f>
        <v>UN</v>
      </c>
      <c r="J119" s="1094">
        <v>1</v>
      </c>
      <c r="K119" s="1091">
        <f>VLOOKUP($G119,IF(LEFT($G119,3)="AMM",COMPOSIÇÕES!$B$1:$E$4184,'BANCO DE DADOS JAN-23 SERV'!$B$2:$F$7195),4,FALSE)</f>
        <v>327900</v>
      </c>
      <c r="L119" s="1092">
        <f t="shared" ref="L119:L120" si="129">IF($P$2="OUTROS",TRUNC(K119*(1+$M$7),2),ROUND(K119*(1+$M$7),2))</f>
        <v>414596.76</v>
      </c>
      <c r="M119" s="1093">
        <f t="shared" ref="M119:M120" si="130">IF($P$2="OUTROS",TRUNC(L119*J119,2),ROUND(L119*J119,2))</f>
        <v>414596.76</v>
      </c>
      <c r="N119" s="1037"/>
      <c r="O119" s="758" t="s">
        <v>7019</v>
      </c>
      <c r="P119" s="1037" t="str">
        <f t="shared" ref="P119:P120" ca="1" si="131">F119</f>
        <v>6.1</v>
      </c>
    </row>
    <row r="120" spans="1:19" s="1035" customFormat="1" ht="24.75" customHeight="1" thickBot="1">
      <c r="A120" s="1035">
        <f t="shared" ca="1" si="108"/>
        <v>6</v>
      </c>
      <c r="B120" s="1035">
        <f ca="1">IF(OR(C120=1,D120=1),SUMIF($A$20:A120,A120,$C$20:C120),"")</f>
        <v>2</v>
      </c>
      <c r="C120" s="1035">
        <f t="shared" si="109"/>
        <v>1</v>
      </c>
      <c r="D120" s="1036" t="str">
        <f t="shared" si="102"/>
        <v/>
      </c>
      <c r="E120" s="1036"/>
      <c r="F120" s="1095" t="str">
        <f t="shared" ca="1" si="103"/>
        <v>6.2</v>
      </c>
      <c r="G120" s="1096" t="str">
        <f>'COMP SAA'!B84</f>
        <v>AMM SAA 007</v>
      </c>
      <c r="H120" s="1097" t="str">
        <f>VLOOKUP($G120,IF(LEFT($G120,3)="AMM",COMPOSIÇÕES!$B$1:$E$4184,'BANCO DE DADOS JAN-23 SERV'!$B$2:$F$7195),2,FALSE)</f>
        <v>TRANSPORTE DO RESERVATÓRIO ATÉ O LOCAL DA OBRA</v>
      </c>
      <c r="I120" s="1098" t="str">
        <f>VLOOKUP($G120,IF(LEFT($G120,3)="AMM",COMPOSIÇÕES!$B$1:$E$4184,'BANCO DE DADOS JAN-23 SERV'!$B$2:$F$7195),3,FALSE)</f>
        <v>UN</v>
      </c>
      <c r="J120" s="1099">
        <v>1</v>
      </c>
      <c r="K120" s="1100">
        <f>VLOOKUP($G120,IF(LEFT($G120,3)="AMM",COMPOSIÇÕES!$B$1:$E$4184,'BANCO DE DADOS JAN-23 SERV'!$B$2:$F$7195),4,FALSE)</f>
        <v>6008.5</v>
      </c>
      <c r="L120" s="1092">
        <f t="shared" si="129"/>
        <v>7597.15</v>
      </c>
      <c r="M120" s="1101">
        <f t="shared" si="130"/>
        <v>7597.15</v>
      </c>
      <c r="N120" s="1037"/>
      <c r="O120" s="758" t="s">
        <v>6973</v>
      </c>
      <c r="P120" s="1037" t="str">
        <f t="shared" ca="1" si="131"/>
        <v>6.2</v>
      </c>
    </row>
    <row r="121" spans="1:19" s="1035" customFormat="1" ht="30.75" thickBot="1">
      <c r="A121" s="1035">
        <f t="shared" ref="A121" ca="1" si="132">IF(LEN(D121),OFFSET(A121,-1,0)+1,OFFSET(A121,-1,0))</f>
        <v>6</v>
      </c>
      <c r="B121" s="1035">
        <f ca="1">IF(OR(C121=1,D121=1),SUMIF($A$20:A121,A121,$C$20:C121),"")</f>
        <v>3</v>
      </c>
      <c r="C121" s="1035">
        <f t="shared" ref="C121" si="133">IF(G121&gt;0,1,"")</f>
        <v>1</v>
      </c>
      <c r="D121" s="1036" t="str">
        <f t="shared" ref="D121" si="134">IF(AND(CONCATENATE(G121,H121,I121,J121,K121,L121,M121)=H121&amp;M121,CONCATENATE(G121,H121,I121,J121,K121,L121,M121)&lt;&gt;"",M121&lt;&gt;""),1,"")</f>
        <v/>
      </c>
      <c r="E121" s="1036"/>
      <c r="F121" s="1095" t="str">
        <f t="shared" ref="F121" ca="1" si="135">IF(B121&lt;&gt;"",A121&amp;"."&amp;B121,"")</f>
        <v>6.3</v>
      </c>
      <c r="G121" s="1096" t="str">
        <f>'COMP SAA'!B14</f>
        <v>AMM SAA 001</v>
      </c>
      <c r="H121" s="1097" t="str">
        <f>VLOOKUP($G121,IF(LEFT($G121,3)="AMM",COMPOSIÇÕES!$B$1:$E$4184,'BANCO DE DADOS JAN-23 SERV'!$B$2:$F$7195),2,FALSE)</f>
        <v>FORNECIMENTO E INSTALAÇÃO DE ADESIVO DA LOGOMARCA DO ÓRGÃO FINANCIADOR PARA O RESERVATÓRIO 2,0 M X 1,5 M</v>
      </c>
      <c r="I121" s="1098" t="str">
        <f>VLOOKUP($G121,IF(LEFT($G121,3)="AMM",COMPOSIÇÕES!$B$1:$E$4184,'BANCO DE DADOS JAN-23 SERV'!$B$2:$F$7195),3,FALSE)</f>
        <v>UN</v>
      </c>
      <c r="J121" s="1099">
        <v>1</v>
      </c>
      <c r="K121" s="1100">
        <f>VLOOKUP($G121,IF(LEFT($G121,3)="AMM",COMPOSIÇÕES!$B$1:$E$4184,'BANCO DE DADOS JAN-23 SERV'!$B$2:$F$7195),4,FALSE)</f>
        <v>380</v>
      </c>
      <c r="L121" s="1092">
        <f t="shared" ref="L121" si="136">IF($P$2="OUTROS",TRUNC(K121*(1+$M$7),2),ROUND(K121*(1+$M$7),2))</f>
        <v>480.47</v>
      </c>
      <c r="M121" s="1101">
        <f t="shared" ref="M121" si="137">IF($P$2="OUTROS",TRUNC(L121*J121,2),ROUND(L121*J121,2))</f>
        <v>480.47</v>
      </c>
      <c r="N121" s="1037"/>
      <c r="O121" s="758" t="s">
        <v>6974</v>
      </c>
      <c r="P121" s="1037" t="str">
        <f t="shared" ref="P121" ca="1" si="138">F121</f>
        <v>6.3</v>
      </c>
    </row>
    <row r="122" spans="1:19" s="302" customFormat="1" ht="16.5" customHeight="1" thickBot="1">
      <c r="A122" s="305">
        <f ca="1">IF(LEN(D122),OFFSET(A122,-1,0)+1,OFFSET(A122,-1,0))</f>
        <v>6</v>
      </c>
      <c r="B122" s="305" t="str">
        <f>IF(OR(C122=1,D122=1),SUMIF($A$20:A122,A122,$C$20:C122),"")</f>
        <v/>
      </c>
      <c r="C122" s="305" t="str">
        <f>IF(G122&gt;0,1,"")</f>
        <v/>
      </c>
      <c r="D122" s="387" t="str">
        <f>IF(AND(CONCATENATE(G122,H122,I122,J122,K122,L122,M122)=H122&amp;M122,CONCATENATE(G122,H122,I122,J122,K122,L122,M122)&lt;&gt;"",M122&lt;&gt;""),1,"")</f>
        <v/>
      </c>
      <c r="E122" s="387"/>
      <c r="F122" s="383" t="str">
        <f>IF(B122&lt;&gt;"",A122&amp;"."&amp;B122,"")</f>
        <v/>
      </c>
      <c r="G122" s="384"/>
      <c r="H122" s="349" t="s">
        <v>6857</v>
      </c>
      <c r="I122" s="385"/>
      <c r="J122" s="386"/>
      <c r="K122" s="211"/>
      <c r="L122" s="386"/>
      <c r="M122" s="212"/>
      <c r="N122" s="301"/>
      <c r="O122" s="305"/>
      <c r="R122" s="302">
        <f>J136*(1.2+0.06+0.1)*0.6</f>
        <v>7926.9503999999997</v>
      </c>
    </row>
    <row r="123" spans="1:19" s="1035" customFormat="1" ht="30.75" thickBot="1">
      <c r="A123" s="1035">
        <f t="shared" ref="A123" ca="1" si="139">IF(LEN(D123),OFFSET(A123,-1,0)+1,OFFSET(A123,-1,0))</f>
        <v>6</v>
      </c>
      <c r="B123" s="1035">
        <f ca="1">IF(OR(C123=1,D123=1),SUMIF($A$20:A123,A123,$C$20:C123),"")</f>
        <v>4</v>
      </c>
      <c r="C123" s="1035">
        <f t="shared" ref="C123" si="140">IF(G123&gt;0,1,"")</f>
        <v>1</v>
      </c>
      <c r="D123" s="1036" t="str">
        <f t="shared" ref="D123" si="141">IF(AND(CONCATENATE(G123,H123,I123,J123,K123,L123,M123)=H123&amp;M123,CONCATENATE(G123,H123,I123,J123,K123,L123,M123)&lt;&gt;"",M123&lt;&gt;""),1,"")</f>
        <v/>
      </c>
      <c r="E123" s="1036"/>
      <c r="F123" s="851" t="str">
        <f t="shared" ref="F123" ca="1" si="142">IF(B123&lt;&gt;"",A123&amp;"."&amp;B123,"")</f>
        <v>6.4</v>
      </c>
      <c r="G123" s="856" t="str">
        <f>'COMP SAA'!B98</f>
        <v>AMM SAA 008</v>
      </c>
      <c r="H123" s="750" t="str">
        <f>VLOOKUP($G123,IF(LEFT($G123,3)="AMM",COMPOSIÇÕES!$B$1:$E$4184,'BANCO DE DADOS JAN-23 SERV'!$B$2:$F$7195),2,FALSE)</f>
        <v>FORNECIMENTO E ASSENTAMENTO DE MATERIAIS HIDRÁULICOS DA ADUTORA DE ÁGUA TRATADA ATÉ A ENTRADA DO RESERVATÓRIO</v>
      </c>
      <c r="I123" s="751" t="str">
        <f>VLOOKUP($G123,IF(LEFT($G123,3)="AMM",COMPOSIÇÕES!$B$1:$E$4184,'BANCO DE DADOS JAN-23 SERV'!$B$2:$F$7195),3,FALSE)</f>
        <v xml:space="preserve">UN </v>
      </c>
      <c r="J123" s="857">
        <v>1</v>
      </c>
      <c r="K123" s="852">
        <f>VLOOKUP($G123,IF(LEFT($G123,3)="AMM",COMPOSIÇÕES!$B$1:$E$4184,'BANCO DE DADOS JAN-23 SERV'!$B$2:$F$7195),4,FALSE)</f>
        <v>37753.47</v>
      </c>
      <c r="L123" s="852">
        <f t="shared" ref="L123" si="143">IF($P$2="OUTROS",TRUNC(K123*(1+$M$7),2),ROUND(K123*(1+$M$7),2))</f>
        <v>47735.49</v>
      </c>
      <c r="M123" s="853">
        <f t="shared" ref="M123" si="144">IF($P$2="OUTROS",TRUNC(L123*J123,2),ROUND(L123*J123,2))</f>
        <v>47735.49</v>
      </c>
      <c r="N123" s="1037"/>
      <c r="O123" s="758" t="s">
        <v>6970</v>
      </c>
      <c r="P123" s="1037" t="str">
        <f t="shared" ref="P123" ca="1" si="145">F123</f>
        <v>6.4</v>
      </c>
    </row>
    <row r="124" spans="1:19" s="1035" customFormat="1" ht="30.75" thickBot="1">
      <c r="A124" s="1035">
        <f t="shared" ref="A124" ca="1" si="146">IF(LEN(D124),OFFSET(A124,-1,0)+1,OFFSET(A124,-1,0))</f>
        <v>6</v>
      </c>
      <c r="B124" s="1035">
        <f ca="1">IF(OR(C124=1,D124=1),SUMIF($A$20:A124,A124,$C$20:C124),"")</f>
        <v>5</v>
      </c>
      <c r="C124" s="1035">
        <f t="shared" ref="C124" si="147">IF(G124&gt;0,1,"")</f>
        <v>1</v>
      </c>
      <c r="D124" s="1036" t="str">
        <f t="shared" ref="D124" si="148">IF(AND(CONCATENATE(G124,H124,I124,J124,K124,L124,M124)=H124&amp;M124,CONCATENATE(G124,H124,I124,J124,K124,L124,M124)&lt;&gt;"",M124&lt;&gt;""),1,"")</f>
        <v/>
      </c>
      <c r="E124" s="1036"/>
      <c r="F124" s="851" t="str">
        <f t="shared" ref="F124" ca="1" si="149">IF(B124&lt;&gt;"",A124&amp;"."&amp;B124,"")</f>
        <v>6.5</v>
      </c>
      <c r="G124" s="856" t="str">
        <f>'COMP SAA'!B237</f>
        <v>AMM SAA 010</v>
      </c>
      <c r="H124" s="750" t="str">
        <f>VLOOKUP($G124,IF(LEFT($G124,3)="AMM",COMPOSIÇÕES!$B$1:$E$4184,'BANCO DE DADOS JAN-23 SERV'!$B$2:$F$7195),2,FALSE)</f>
        <v>FORNECIMENTO E ASSENTAMENTO DE MATERIAIS HIDRÁULICOS EXTRAVASOR DO RESERVATÓRIO</v>
      </c>
      <c r="I124" s="751" t="str">
        <f>VLOOKUP($G124,IF(LEFT($G124,3)="AMM",COMPOSIÇÕES!$B$1:$E$4184,'BANCO DE DADOS JAN-23 SERV'!$B$2:$F$7195),3,FALSE)</f>
        <v xml:space="preserve">UN </v>
      </c>
      <c r="J124" s="857">
        <v>1</v>
      </c>
      <c r="K124" s="852">
        <f>VLOOKUP($G124,IF(LEFT($G124,3)="AMM",COMPOSIÇÕES!$B$1:$E$4184,'BANCO DE DADOS JAN-23 SERV'!$B$2:$F$7195),4,FALSE)</f>
        <v>1175.22</v>
      </c>
      <c r="L124" s="852">
        <f t="shared" ref="L124" si="150">IF($P$2="OUTROS",TRUNC(K124*(1+$M$7),2),ROUND(K124*(1+$M$7),2))</f>
        <v>1485.95</v>
      </c>
      <c r="M124" s="853">
        <f t="shared" ref="M124" si="151">IF($P$2="OUTROS",TRUNC(L124*J124,2),ROUND(L124*J124,2))</f>
        <v>1485.95</v>
      </c>
      <c r="N124" s="1037"/>
      <c r="O124" s="758" t="s">
        <v>6970</v>
      </c>
      <c r="P124" s="1037" t="str">
        <f t="shared" ref="P124" ca="1" si="152">F124</f>
        <v>6.5</v>
      </c>
      <c r="R124" s="1035">
        <f>J137*(1.2+0.1+0.1)*0.6</f>
        <v>2025.6096000000002</v>
      </c>
      <c r="S124" s="1035">
        <f>SUM(R122:R124)</f>
        <v>9952.56</v>
      </c>
    </row>
    <row r="125" spans="1:19" s="1035" customFormat="1" ht="30.75" thickBot="1">
      <c r="A125" s="1035">
        <f t="shared" ref="A125" ca="1" si="153">IF(LEN(D125),OFFSET(A125,-1,0)+1,OFFSET(A125,-1,0))</f>
        <v>6</v>
      </c>
      <c r="B125" s="1035">
        <f ca="1">IF(OR(C125=1,D125=1),SUMIF($A$20:A125,A125,$C$20:C125),"")</f>
        <v>6</v>
      </c>
      <c r="C125" s="1035">
        <f t="shared" ref="C125" si="154">IF(G125&gt;0,1,"")</f>
        <v>1</v>
      </c>
      <c r="D125" s="1036" t="str">
        <f t="shared" ref="D125" si="155">IF(AND(CONCATENATE(G125,H125,I125,J125,K125,L125,M125)=H125&amp;M125,CONCATENATE(G125,H125,I125,J125,K125,L125,M125)&lt;&gt;"",M125&lt;&gt;""),1,"")</f>
        <v/>
      </c>
      <c r="E125" s="1036"/>
      <c r="F125" s="851" t="str">
        <f t="shared" ref="F125" ca="1" si="156">IF(B125&lt;&gt;"",A125&amp;"."&amp;B125,"")</f>
        <v>6.6</v>
      </c>
      <c r="G125" s="856" t="str">
        <f>'COMP SAA'!B276</f>
        <v>AMM SAA 011</v>
      </c>
      <c r="H125" s="750" t="str">
        <f>VLOOKUP($G125,IF(LEFT($G125,3)="AMM",COMPOSIÇÕES!$B$1:$E$4184,'BANCO DE DADOS JAN-23 SERV'!$B$2:$F$7195),2,FALSE)</f>
        <v>FORNECIMENTO E ASSENTAMENTO DE MATERIAIS HIDRÁULICOS DO RESERVATÓRIO A REDE DE DISTRIBUIÇÃO</v>
      </c>
      <c r="I125" s="751" t="str">
        <f>VLOOKUP($G125,IF(LEFT($G125,3)="AMM",COMPOSIÇÕES!$B$1:$E$4184,'BANCO DE DADOS JAN-23 SERV'!$B$2:$F$7195),3,FALSE)</f>
        <v xml:space="preserve">UN </v>
      </c>
      <c r="J125" s="857">
        <v>1</v>
      </c>
      <c r="K125" s="852">
        <f>VLOOKUP($G125,IF(LEFT($G125,3)="AMM",COMPOSIÇÕES!$B$1:$E$4184,'BANCO DE DADOS JAN-23 SERV'!$B$2:$F$7195),4,FALSE)</f>
        <v>16989.43</v>
      </c>
      <c r="L125" s="852">
        <f t="shared" ref="L125" si="157">IF($P$2="OUTROS",TRUNC(K125*(1+$M$7),2),ROUND(K125*(1+$M$7),2))</f>
        <v>21481.439999999999</v>
      </c>
      <c r="M125" s="853">
        <f t="shared" ref="M125" si="158">IF($P$2="OUTROS",TRUNC(L125*J125,2),ROUND(L125*J125,2))</f>
        <v>21481.439999999999</v>
      </c>
      <c r="N125" s="1037"/>
      <c r="O125" s="758" t="s">
        <v>6970</v>
      </c>
      <c r="P125" s="1037" t="str">
        <f t="shared" ref="P125" ca="1" si="159">F125</f>
        <v>6.6</v>
      </c>
    </row>
    <row r="126" spans="1:19" s="307" customFormat="1" ht="16.5" customHeight="1" thickBot="1">
      <c r="A126" s="305">
        <f t="shared" ref="A126:A136" ca="1" si="160">IF(LEN(D126),OFFSET(A126,-1,0)+1,OFFSET(A126,-1,0))</f>
        <v>6</v>
      </c>
      <c r="B126" s="305" t="str">
        <f>IF(OR(C126=1,D126=1),SUMIF($A$20:A126,A126,$C$20:C126),"")</f>
        <v/>
      </c>
      <c r="C126" s="305" t="str">
        <f t="shared" ref="C126:C136" si="161">IF(G126&gt;0,1,"")</f>
        <v/>
      </c>
      <c r="D126" s="387" t="str">
        <f t="shared" ref="D126:D136" si="162">IF(AND(CONCATENATE(G126,H126,I126,J126,K126,L126,M126)=H126&amp;M126,CONCATENATE(G126,H126,I126,J126,K126,L126,M126)&lt;&gt;"",M126&lt;&gt;""),1,"")</f>
        <v/>
      </c>
      <c r="E126" s="387"/>
      <c r="F126" s="155" t="str">
        <f t="shared" ref="F126:F136" si="163">IF(B126&lt;&gt;"",A126&amp;"."&amp;B126,"")</f>
        <v/>
      </c>
      <c r="G126" s="155"/>
      <c r="H126" s="155"/>
      <c r="I126" s="155"/>
      <c r="J126" s="156"/>
      <c r="K126" s="156"/>
      <c r="L126" s="155"/>
      <c r="M126" s="155"/>
      <c r="N126" s="306"/>
    </row>
    <row r="127" spans="1:19" s="302" customFormat="1" ht="16.5" customHeight="1">
      <c r="A127" s="305">
        <f t="shared" ca="1" si="160"/>
        <v>7</v>
      </c>
      <c r="B127" s="305">
        <f ca="1">IF(OR(C127=1,D127=1),SUMIF($A$20:A127,A127,$C$20:C127),"")</f>
        <v>0</v>
      </c>
      <c r="C127" s="305" t="str">
        <f t="shared" si="161"/>
        <v/>
      </c>
      <c r="D127" s="387">
        <f t="shared" si="162"/>
        <v>1</v>
      </c>
      <c r="E127" s="387"/>
      <c r="F127" s="148" t="str">
        <f t="shared" ca="1" si="163"/>
        <v>7.0</v>
      </c>
      <c r="G127" s="149"/>
      <c r="H127" s="150" t="s">
        <v>6773</v>
      </c>
      <c r="I127" s="151"/>
      <c r="J127" s="152"/>
      <c r="K127" s="153"/>
      <c r="L127" s="153"/>
      <c r="M127" s="154">
        <f>SUM(M129:M147)</f>
        <v>1265582.2100000002</v>
      </c>
      <c r="N127" s="301"/>
      <c r="O127" s="305"/>
    </row>
    <row r="128" spans="1:19" s="302" customFormat="1" ht="16.5" thickBot="1">
      <c r="A128" s="305">
        <f t="shared" ref="A128" ca="1" si="164">IF(LEN(D128),OFFSET(A128,-1,0)+1,OFFSET(A128,-1,0))</f>
        <v>7</v>
      </c>
      <c r="B128" s="305" t="str">
        <f>IF(OR(C128=1,D128=1),SUMIF($A$20:A128,A128,$C$20:C128),"")</f>
        <v/>
      </c>
      <c r="C128" s="305" t="str">
        <f t="shared" ref="C128" si="165">IF(G128&gt;0,1,"")</f>
        <v/>
      </c>
      <c r="D128" s="387" t="str">
        <f t="shared" ref="D128" si="166">IF(AND(CONCATENATE(G128,H128,I128,J128,K128,L128,M128)=H128&amp;M128,CONCATENATE(G128,H128,I128,J128,K128,L128,M128)&lt;&gt;"",M128&lt;&gt;""),1,"")</f>
        <v/>
      </c>
      <c r="E128" s="387"/>
      <c r="F128" s="388" t="str">
        <f t="shared" ref="F128" si="167">IF(B128&lt;&gt;"",A128&amp;"."&amp;B128,"")</f>
        <v/>
      </c>
      <c r="G128" s="389"/>
      <c r="H128" s="363" t="s">
        <v>6769</v>
      </c>
      <c r="I128" s="390"/>
      <c r="J128" s="391"/>
      <c r="K128" s="330"/>
      <c r="L128" s="391"/>
      <c r="M128" s="331"/>
      <c r="N128" s="301"/>
      <c r="O128" s="305"/>
    </row>
    <row r="129" spans="1:17" s="1035" customFormat="1" ht="23.25" customHeight="1" thickBot="1">
      <c r="A129" s="1035">
        <f t="shared" ca="1" si="160"/>
        <v>7</v>
      </c>
      <c r="B129" s="1035">
        <f ca="1">IF(OR(C129=1,D129=1),SUMIF($A$20:A129,A129,$C$20:C129),"")</f>
        <v>1</v>
      </c>
      <c r="C129" s="1035">
        <f t="shared" si="161"/>
        <v>1</v>
      </c>
      <c r="D129" s="1039" t="str">
        <f t="shared" si="162"/>
        <v/>
      </c>
      <c r="E129" s="1039"/>
      <c r="F129" s="1088" t="str">
        <f t="shared" ca="1" si="163"/>
        <v>7.1</v>
      </c>
      <c r="G129" s="1085">
        <v>99063</v>
      </c>
      <c r="H129" s="1089" t="str">
        <f>VLOOKUP($G129,IF(LEFT($G129,3)="AMM",COMPOSIÇÕES!$B$1:$E$4184,'BANCO DE DADOS JAN-23 SERV'!$B$2:$F$7195),2,FALSE)</f>
        <v>LOCAÇÃO DE REDE DE ÁGUA OU ESGOTO. AF_10/2018</v>
      </c>
      <c r="I129" s="1090" t="str">
        <f>VLOOKUP($G129,IF(LEFT($G129,3)="AMM",COMPOSIÇÕES!$B$1:$E$4184,'BANCO DE DADOS JAN-23 SERV'!$B$2:$F$7195),3,FALSE)</f>
        <v>M</v>
      </c>
      <c r="J129" s="1094">
        <f>SUM(J136:J137)</f>
        <v>12125.84</v>
      </c>
      <c r="K129" s="1091">
        <f>VLOOKUP($G129,IF(LEFT($G129,3)="AMM",COMPOSIÇÕES!$B$1:$E$4184,'BANCO DE DADOS JAN-23 SERV'!$B$2:$F$7195),4,FALSE)</f>
        <v>4.59</v>
      </c>
      <c r="L129" s="1092">
        <f t="shared" ref="L129:L134" si="168">IF($P$2="OUTROS",TRUNC(K129*(1+$M$7),2),ROUND(K129*(1+$M$7),2))</f>
        <v>5.8</v>
      </c>
      <c r="M129" s="1093">
        <f t="shared" ref="M129:M134" si="169">IF($P$2="OUTROS",TRUNC(L129*J129,2),ROUND(L129*J129,2))</f>
        <v>70329.87</v>
      </c>
      <c r="N129" s="1040"/>
      <c r="O129" s="758" t="s">
        <v>7016</v>
      </c>
      <c r="P129" s="1040" t="str">
        <f t="shared" ref="P129:P134" ca="1" si="170">F129</f>
        <v>7.1</v>
      </c>
    </row>
    <row r="130" spans="1:17" s="1035" customFormat="1" ht="23.25" customHeight="1" thickBot="1">
      <c r="A130" s="1035">
        <f t="shared" ca="1" si="160"/>
        <v>7</v>
      </c>
      <c r="B130" s="1035">
        <f ca="1">IF(OR(C130=1,D130=1),SUMIF($A$20:A130,A130,$C$20:C130),"")</f>
        <v>2</v>
      </c>
      <c r="C130" s="1035">
        <f t="shared" si="161"/>
        <v>1</v>
      </c>
      <c r="D130" s="1039" t="str">
        <f t="shared" si="162"/>
        <v/>
      </c>
      <c r="E130" s="1039"/>
      <c r="F130" s="854" t="str">
        <f t="shared" ca="1" si="163"/>
        <v>7.2</v>
      </c>
      <c r="G130" s="561" t="str">
        <f>'COMP SAA'!B27</f>
        <v>AMM SAA 002</v>
      </c>
      <c r="H130" s="447" t="str">
        <f>VLOOKUP($G130,IF(LEFT($G130,3)="AMM",COMPOSIÇÕES!$B$1:$E$4184,'BANCO DE DADOS JAN-23 SERV'!$B$2:$F$7195),2,FALSE)</f>
        <v>ELABORAÇÃO DE CADASTRO DE REDE INCLUSIVE DESENHISTA</v>
      </c>
      <c r="I130" s="571" t="str">
        <f>VLOOKUP($G130,IF(LEFT($G130,3)="AMM",COMPOSIÇÕES!$B$1:$E$4184,'BANCO DE DADOS JAN-23 SERV'!$B$2:$F$7195),3,FALSE)</f>
        <v>M</v>
      </c>
      <c r="J130" s="632">
        <f>J129</f>
        <v>12125.84</v>
      </c>
      <c r="K130" s="697">
        <f>VLOOKUP($G130,IF(LEFT($G130,3)="AMM",COMPOSIÇÕES!$B$1:$E$4184,'BANCO DE DADOS JAN-23 SERV'!$B$2:$F$7195),4,FALSE)</f>
        <v>0.84000000000000008</v>
      </c>
      <c r="L130" s="697">
        <f t="shared" si="168"/>
        <v>1.06</v>
      </c>
      <c r="M130" s="855">
        <f t="shared" si="169"/>
        <v>12853.39</v>
      </c>
      <c r="N130" s="1040"/>
      <c r="O130" s="758" t="s">
        <v>7017</v>
      </c>
      <c r="P130" s="1040" t="str">
        <f t="shared" ca="1" si="170"/>
        <v>7.2</v>
      </c>
    </row>
    <row r="131" spans="1:17" s="1035" customFormat="1" ht="60.75" thickBot="1">
      <c r="A131" s="1035">
        <f t="shared" ref="A131:A132" ca="1" si="171">IF(LEN(D131),OFFSET(A131,-1,0)+1,OFFSET(A131,-1,0))</f>
        <v>7</v>
      </c>
      <c r="B131" s="1035">
        <f ca="1">IF(OR(C131=1,D131=1),SUMIF($A$20:A131,A131,$C$20:C131),"")</f>
        <v>3</v>
      </c>
      <c r="C131" s="1035">
        <f t="shared" ref="C131:C132" si="172">IF(G131&gt;0,1,"")</f>
        <v>1</v>
      </c>
      <c r="D131" s="1039" t="str">
        <f t="shared" ref="D131:D132" si="173">IF(AND(CONCATENATE(G131,H131,I131,J131,K131,L131,M131)=H131&amp;M131,CONCATENATE(G131,H131,I131,J131,K131,L131,M131)&lt;&gt;"",M131&lt;&gt;""),1,"")</f>
        <v/>
      </c>
      <c r="E131" s="1039"/>
      <c r="F131" s="851" t="str">
        <f t="shared" ref="F131:F132" ca="1" si="174">IF(B131&lt;&gt;"",A131&amp;"."&amp;B131,"")</f>
        <v>7.3</v>
      </c>
      <c r="G131" s="856">
        <v>90105</v>
      </c>
      <c r="H131" s="750" t="str">
        <f>VLOOKUP($G131,IF(LEFT($G131,3)="AMM",COMPOSIÇÕES!$B$1:$E$4184,'BANCO DE DADOS JAN-23 SERV'!$B$2:$F$7195),2,FALSE)</f>
        <v>ESCAVAÇÃO MECANIZADA DE VALA COM PROFUNDIDADE ATÉ 1,5 M (MÉDIA MONTANTE E JUSANTE/UMA COMPOSIÇÃO POR TRECHO), RETROESCAV. (0,26 M3), LARGURA MENOR QUE 0,8 M, EM SOLO DE 1A CATEGORIA, LOCAIS COM BAIXO NÍVEL DE INTERFERÊNCIA. AF_02/2021</v>
      </c>
      <c r="I131" s="751" t="str">
        <f>VLOOKUP($G131,IF(LEFT($G131,3)="AMM",COMPOSIÇÕES!$B$1:$E$4184,'BANCO DE DADOS JAN-23 SERV'!$B$2:$F$7195),3,FALSE)</f>
        <v>M3</v>
      </c>
      <c r="J131" s="857">
        <f>TRUNC((J136*(1.2+0.06+0.1)*0.6)+(J137*(1.2+0.1+0.1)*0.6),2)</f>
        <v>9952.56</v>
      </c>
      <c r="K131" s="852">
        <f>VLOOKUP($G131,IF(LEFT($G131,3)="AMM",COMPOSIÇÕES!$B$1:$E$4184,'BANCO DE DADOS JAN-23 SERV'!$B$2:$F$7195),4,FALSE)</f>
        <v>7.76</v>
      </c>
      <c r="L131" s="852">
        <f t="shared" si="168"/>
        <v>9.81</v>
      </c>
      <c r="M131" s="853">
        <f t="shared" si="169"/>
        <v>97634.61</v>
      </c>
      <c r="N131" s="1040"/>
      <c r="O131" s="758" t="s">
        <v>7020</v>
      </c>
      <c r="P131" s="1040" t="str">
        <f t="shared" ca="1" si="170"/>
        <v>7.3</v>
      </c>
    </row>
    <row r="132" spans="1:17" s="1035" customFormat="1" ht="60.75" thickBot="1">
      <c r="A132" s="1035">
        <f t="shared" ca="1" si="171"/>
        <v>7</v>
      </c>
      <c r="B132" s="1035">
        <f ca="1">IF(OR(C132=1,D132=1),SUMIF($A$20:A132,A132,$C$20:C132),"")</f>
        <v>4</v>
      </c>
      <c r="C132" s="1035">
        <f t="shared" si="172"/>
        <v>1</v>
      </c>
      <c r="D132" s="1039" t="str">
        <f t="shared" si="173"/>
        <v/>
      </c>
      <c r="E132" s="1039"/>
      <c r="F132" s="854" t="str">
        <f t="shared" ca="1" si="174"/>
        <v>7.4</v>
      </c>
      <c r="G132" s="561">
        <v>93378</v>
      </c>
      <c r="H132" s="574" t="str">
        <f>VLOOKUP($G132,IF(LEFT($G132,3)="AMM",COMPOSIÇÕES!$B$1:$E$4184,'BANCO DE DADOS JAN-23 SERV'!$B$2:$F$7195),2,FALSE)</f>
        <v>REATERRO MECANIZADO DE VALA COM RETROESCAVADEIRA (CAPACIDADE DA CAÇAMBA DA RETRO: 0,26 M³ / POTÊNCIA: 88 HP), LARGURA ATÉ 0,8 M, PROFUNDIDADE ATÉ 1,5 M, COM SOLO DE 1ª CATEGORIA EM LOCAIS COM BAIXO NÍVEL DE INTERFERÊNCIA. AF_04/2016</v>
      </c>
      <c r="I132" s="571" t="str">
        <f>VLOOKUP($G132,IF(LEFT($G132,3)="AMM",COMPOSIÇÕES!$B$1:$E$4184,'BANCO DE DADOS JAN-23 SERV'!$B$2:$F$7195),3,FALSE)</f>
        <v>M3</v>
      </c>
      <c r="J132" s="632">
        <f>TRUNC(J131-((3.14*((0.03^2)*J136)))+((3.14*((0.055^2)*J137)))-1142.95-J133,2)</f>
        <v>8077.51</v>
      </c>
      <c r="K132" s="697">
        <f>VLOOKUP($G132,IF(LEFT($G132,3)="AMM",COMPOSIÇÕES!$B$1:$E$4184,'BANCO DE DADOS JAN-23 SERV'!$B$2:$F$7195),4,FALSE)</f>
        <v>19.48</v>
      </c>
      <c r="L132" s="697">
        <f t="shared" si="168"/>
        <v>24.63</v>
      </c>
      <c r="M132" s="855">
        <f t="shared" si="169"/>
        <v>198949.07</v>
      </c>
      <c r="N132" s="1040"/>
      <c r="O132" s="758" t="s">
        <v>7021</v>
      </c>
      <c r="P132" s="1040" t="str">
        <f t="shared" ca="1" si="170"/>
        <v>7.4</v>
      </c>
      <c r="Q132" s="1042"/>
    </row>
    <row r="133" spans="1:17" s="1035" customFormat="1" ht="30.75" thickBot="1">
      <c r="A133" s="1035">
        <f t="shared" ref="A133" ca="1" si="175">IF(LEN(D133),OFFSET(A133,-1,0)+1,OFFSET(A133,-1,0))</f>
        <v>7</v>
      </c>
      <c r="B133" s="1035">
        <f ca="1">IF(OR(C133=1,D133=1),SUMIF($A$20:A133,A133,$C$20:C133),"")</f>
        <v>5</v>
      </c>
      <c r="C133" s="1035">
        <f t="shared" ref="C133" si="176">IF(G133&gt;0,1,"")</f>
        <v>1</v>
      </c>
      <c r="D133" s="1039" t="str">
        <f t="shared" ref="D133" si="177">IF(AND(CONCATENATE(G133,H133,I133,J133,K133,L133,M133)=H133&amp;M133,CONCATENATE(G133,H133,I133,J133,K133,L133,M133)&lt;&gt;"",M133&lt;&gt;""),1,"")</f>
        <v/>
      </c>
      <c r="E133" s="1039"/>
      <c r="F133" s="854" t="str">
        <f t="shared" ref="F133" ca="1" si="178">IF(B133&lt;&gt;"",A133&amp;"."&amp;B133,"")</f>
        <v>7.5</v>
      </c>
      <c r="G133" s="561">
        <v>101618</v>
      </c>
      <c r="H133" s="574" t="str">
        <f>VLOOKUP($G133,IF(LEFT($G133,3)="AMM",COMPOSIÇÕES!$B$1:$E$4184,'BANCO DE DADOS JAN-23 SERV'!$B$2:$F$7195),2,FALSE)</f>
        <v>PREPARO DE FUNDO DE VALA COM LARGURA MENOR QUE 1,5 M, COM CAMADA DE AREIA, LANÇAMENTO MANUAL. AF_08/2020</v>
      </c>
      <c r="I133" s="571" t="str">
        <f>VLOOKUP($G133,IF(LEFT($G133,3)="AMM",COMPOSIÇÕES!$B$1:$E$4184,'BANCO DE DADOS JAN-23 SERV'!$B$2:$F$7195),3,FALSE)</f>
        <v>M3</v>
      </c>
      <c r="J133" s="632">
        <f>TRUNC(J129*0.6*0.1,2)</f>
        <v>727.55</v>
      </c>
      <c r="K133" s="697">
        <f>VLOOKUP($G133,IF(LEFT($G133,3)="AMM",COMPOSIÇÕES!$B$1:$E$4184,'BANCO DE DADOS JAN-23 SERV'!$B$2:$F$7195),4,FALSE)</f>
        <v>240.53</v>
      </c>
      <c r="L133" s="697">
        <f t="shared" si="168"/>
        <v>304.13</v>
      </c>
      <c r="M133" s="855">
        <f t="shared" si="169"/>
        <v>221269.78</v>
      </c>
      <c r="N133" s="1040"/>
      <c r="O133" s="758" t="s">
        <v>14224</v>
      </c>
      <c r="P133" s="1040" t="str">
        <f t="shared" ca="1" si="170"/>
        <v>7.5</v>
      </c>
    </row>
    <row r="134" spans="1:17" s="1035" customFormat="1" ht="30.75" thickBot="1">
      <c r="A134" s="1035">
        <f t="shared" ref="A134" ca="1" si="179">IF(LEN(D134),OFFSET(A134,-1,0)+1,OFFSET(A134,-1,0))</f>
        <v>7</v>
      </c>
      <c r="B134" s="1035">
        <f ca="1">IF(OR(C134=1,D134=1),SUMIF($A$20:A134,A134,$C$20:C134),"")</f>
        <v>6</v>
      </c>
      <c r="C134" s="1035">
        <f t="shared" ref="C134" si="180">IF(G134&gt;0,1,"")</f>
        <v>1</v>
      </c>
      <c r="D134" s="1039" t="str">
        <f t="shared" ref="D134" si="181">IF(AND(CONCATENATE(G134,H134,I134,J134,K134,L134,M134)=H134&amp;M134,CONCATENATE(G134,H134,I134,J134,K134,L134,M134)&lt;&gt;"",M134&lt;&gt;""),1,"")</f>
        <v/>
      </c>
      <c r="E134" s="1039"/>
      <c r="F134" s="851" t="str">
        <f t="shared" ref="F134" ca="1" si="182">IF(B134&lt;&gt;"",A134&amp;"."&amp;B134,"")</f>
        <v>7.6</v>
      </c>
      <c r="G134" s="856">
        <v>97914</v>
      </c>
      <c r="H134" s="750" t="str">
        <f>VLOOKUP($G134,IF(LEFT($G134,3)="AMM",COMPOSIÇÕES!$B$1:$E$4184,'BANCO DE DADOS JAN-23 SERV'!$B$2:$F$7195),2,FALSE)</f>
        <v>TRANSPORTE COM CAMINHÃO BASCULANTE DE 6 M³, EM VIA URBANA PAVIMENTADA, DMT ATÉ 30 KM (UNIDADE: M3XKM). AF_07/2020</v>
      </c>
      <c r="I134" s="751" t="str">
        <f>VLOOKUP($G134,IF(LEFT($G134,3)="AMM",COMPOSIÇÕES!$B$1:$E$4184,'BANCO DE DADOS JAN-23 SERV'!$B$2:$F$7195),3,FALSE)</f>
        <v>M3XKM</v>
      </c>
      <c r="J134" s="857">
        <f>TRUNC((J131-J132)*5,2)</f>
        <v>9375.25</v>
      </c>
      <c r="K134" s="852">
        <f>VLOOKUP($G134,IF(LEFT($G134,3)="AMM",COMPOSIÇÕES!$B$1:$E$4184,'BANCO DE DADOS JAN-23 SERV'!$B$2:$F$7195),4,FALSE)</f>
        <v>2.67</v>
      </c>
      <c r="L134" s="852">
        <f t="shared" si="168"/>
        <v>3.38</v>
      </c>
      <c r="M134" s="853">
        <f t="shared" si="169"/>
        <v>31688.35</v>
      </c>
      <c r="N134" s="1040"/>
      <c r="O134" s="758" t="s">
        <v>14223</v>
      </c>
      <c r="P134" s="1040" t="str">
        <f t="shared" ca="1" si="170"/>
        <v>7.6</v>
      </c>
      <c r="Q134" s="1035">
        <f>((3.14*((0.055^2)*J137)))</f>
        <v>22.905062839999999</v>
      </c>
    </row>
    <row r="135" spans="1:17" s="302" customFormat="1" ht="16.5" thickBot="1">
      <c r="A135" s="305">
        <f t="shared" ca="1" si="160"/>
        <v>7</v>
      </c>
      <c r="B135" s="305" t="str">
        <f>IF(OR(C135=1,D135=1),SUMIF($A$20:A135,A135,$C$20:C135),"")</f>
        <v/>
      </c>
      <c r="C135" s="305" t="str">
        <f t="shared" si="161"/>
        <v/>
      </c>
      <c r="D135" s="387" t="str">
        <f t="shared" si="162"/>
        <v/>
      </c>
      <c r="E135" s="387"/>
      <c r="F135" s="388" t="str">
        <f t="shared" si="163"/>
        <v/>
      </c>
      <c r="G135" s="389"/>
      <c r="H135" s="363" t="s">
        <v>6857</v>
      </c>
      <c r="I135" s="390"/>
      <c r="J135" s="391"/>
      <c r="K135" s="330"/>
      <c r="L135" s="391"/>
      <c r="M135" s="331"/>
      <c r="N135" s="301"/>
      <c r="O135" s="305"/>
    </row>
    <row r="136" spans="1:17" s="1035" customFormat="1" ht="38.25" customHeight="1" thickBot="1">
      <c r="A136" s="1035">
        <f t="shared" ca="1" si="160"/>
        <v>7</v>
      </c>
      <c r="B136" s="1035">
        <f ca="1">IF(OR(C136=1,D136=1),SUMIF($A$20:A136,A136,$C$20:C136),"")</f>
        <v>7</v>
      </c>
      <c r="C136" s="1035">
        <f t="shared" si="161"/>
        <v>1</v>
      </c>
      <c r="D136" s="1036" t="str">
        <f t="shared" si="162"/>
        <v/>
      </c>
      <c r="E136" s="1036"/>
      <c r="F136" s="1088" t="str">
        <f t="shared" ca="1" si="163"/>
        <v>7.7</v>
      </c>
      <c r="G136" s="1085" t="str">
        <f>'COMP SAA'!B357</f>
        <v>AMM SAA 012</v>
      </c>
      <c r="H136" s="1089" t="str">
        <f>VLOOKUP($G136,IF(LEFT($G136,3)="AMM",COMPOSIÇÕES!$B$1:$E$4184,'BANCO DE DADOS JAN-23 SERV'!$B$2:$F$7195),2,FALSE)</f>
        <v>FORNECIMENTO E ASSENTAMENTO DE TUBO PVC PBA JEI, CLASSE 12, DN 50MM, PARA REDE DE ÁGUA</v>
      </c>
      <c r="I136" s="1090" t="str">
        <f>VLOOKUP($G136,IF(LEFT($G136,3)="AMM",COMPOSIÇÕES!$B$1:$E$4184,'BANCO DE DADOS JAN-23 SERV'!$B$2:$F$7195),3,FALSE)</f>
        <v>M</v>
      </c>
      <c r="J136" s="1094">
        <v>9714.4</v>
      </c>
      <c r="K136" s="1091">
        <f>VLOOKUP($G136,IF(LEFT($G136,3)="AMM",COMPOSIÇÕES!$B$1:$E$4184,'BANCO DE DADOS JAN-23 SERV'!$B$2:$F$7195),4,FALSE)</f>
        <v>18.36</v>
      </c>
      <c r="L136" s="697">
        <f t="shared" ref="L136" si="183">IF($P$2="OUTROS",TRUNC(K136*(1+$M$7),2),ROUND(K136*(1+$M$7),2))</f>
        <v>23.21</v>
      </c>
      <c r="M136" s="1093">
        <f t="shared" ref="M136" si="184">IF($P$2="OUTROS",TRUNC(L136*J136,2),ROUND(L136*J136,2))</f>
        <v>225471.22</v>
      </c>
      <c r="N136" s="1037"/>
      <c r="O136" s="758" t="s">
        <v>6970</v>
      </c>
      <c r="P136" s="1037" t="str">
        <f t="shared" ref="P136" ca="1" si="185">F136</f>
        <v>7.7</v>
      </c>
    </row>
    <row r="137" spans="1:17" s="1035" customFormat="1" ht="38.25" customHeight="1" thickBot="1">
      <c r="A137" s="1035">
        <f t="shared" ref="A137" ca="1" si="186">IF(LEN(D137),OFFSET(A137,-1,0)+1,OFFSET(A137,-1,0))</f>
        <v>7</v>
      </c>
      <c r="B137" s="1035">
        <f ca="1">IF(OR(C137=1,D137=1),SUMIF($A$20:A137,A137,$C$20:C137),"")</f>
        <v>8</v>
      </c>
      <c r="C137" s="1035">
        <f t="shared" ref="C137" si="187">IF(G137&gt;0,1,"")</f>
        <v>1</v>
      </c>
      <c r="D137" s="1036" t="str">
        <f t="shared" ref="D137" si="188">IF(AND(CONCATENATE(G137,H137,I137,J137,K137,L137,M137)=H137&amp;M137,CONCATENATE(G137,H137,I137,J137,K137,L137,M137)&lt;&gt;"",M137&lt;&gt;""),1,"")</f>
        <v/>
      </c>
      <c r="E137" s="1036"/>
      <c r="F137" s="851" t="str">
        <f t="shared" ref="F137" ca="1" si="189">IF(B137&lt;&gt;"",A137&amp;"."&amp;B137,"")</f>
        <v>7.8</v>
      </c>
      <c r="G137" s="856" t="str">
        <f>'COMP SAA'!B367</f>
        <v>AMM SAA 013</v>
      </c>
      <c r="H137" s="750" t="str">
        <f>VLOOKUP($G137,IF(LEFT($G137,3)="AMM",COMPOSIÇÕES!$B$1:$E$4184,'BANCO DE DADOS JAN-23 SERV'!$B$2:$F$7195),2,FALSE)</f>
        <v>FORNECIMENTO E ASSENTAMENTO DE TUBO PVC PBA JEI, CLASSE 12, DN 100MM, PARA REDE DE ÁGUA</v>
      </c>
      <c r="I137" s="751" t="str">
        <f>VLOOKUP($G137,IF(LEFT($G137,3)="AMM",COMPOSIÇÕES!$B$1:$E$4184,'BANCO DE DADOS JAN-23 SERV'!$B$2:$F$7195),3,FALSE)</f>
        <v>M</v>
      </c>
      <c r="J137" s="857">
        <v>2411.44</v>
      </c>
      <c r="K137" s="852">
        <f>VLOOKUP($G137,IF(LEFT($G137,3)="AMM",COMPOSIÇÕES!$B$1:$E$4184,'BANCO DE DADOS JAN-23 SERV'!$B$2:$F$7195),4,FALSE)</f>
        <v>60.82</v>
      </c>
      <c r="L137" s="852">
        <f t="shared" ref="L137" si="190">IF($P$2="OUTROS",TRUNC(K137*(1+$M$7),2),ROUND(K137*(1+$M$7),2))</f>
        <v>76.900000000000006</v>
      </c>
      <c r="M137" s="853">
        <f t="shared" ref="M137" si="191">IF($P$2="OUTROS",TRUNC(L137*J137,2),ROUND(L137*J137,2))</f>
        <v>185439.74</v>
      </c>
      <c r="N137" s="1037"/>
      <c r="O137" s="758" t="s">
        <v>6970</v>
      </c>
      <c r="P137" s="1037" t="str">
        <f t="shared" ref="P137" ca="1" si="192">F137</f>
        <v>7.8</v>
      </c>
    </row>
    <row r="138" spans="1:17" s="1035" customFormat="1" ht="38.25" customHeight="1" thickBot="1">
      <c r="A138" s="1035">
        <f t="shared" ref="A138" ca="1" si="193">IF(LEN(D138),OFFSET(A138,-1,0)+1,OFFSET(A138,-1,0))</f>
        <v>7</v>
      </c>
      <c r="B138" s="1035">
        <f ca="1">IF(OR(C138=1,D138=1),SUMIF($A$20:A138,A138,$C$20:C138),"")</f>
        <v>9</v>
      </c>
      <c r="C138" s="1035">
        <f t="shared" ref="C138" si="194">IF(G138&gt;0,1,"")</f>
        <v>1</v>
      </c>
      <c r="D138" s="1036" t="str">
        <f t="shared" ref="D138" si="195">IF(AND(CONCATENATE(G138,H138,I138,J138,K138,L138,M138)=H138&amp;M138,CONCATENATE(G138,H138,I138,J138,K138,L138,M138)&lt;&gt;"",M138&lt;&gt;""),1,"")</f>
        <v/>
      </c>
      <c r="E138" s="1036"/>
      <c r="F138" s="851" t="str">
        <f t="shared" ref="F138" ca="1" si="196">IF(B138&lt;&gt;"",A138&amp;"."&amp;B138,"")</f>
        <v>7.9</v>
      </c>
      <c r="G138" s="856" t="str">
        <f>'COMP SAA'!B377</f>
        <v>AMM SAA 014</v>
      </c>
      <c r="H138" s="750" t="str">
        <f>VLOOKUP($G138,IF(LEFT($G138,3)="AMM",COMPOSIÇÕES!$B$1:$E$4184,'BANCO DE DADOS JAN-23 SERV'!$B$2:$F$7195),2,FALSE)</f>
        <v>FORNECIMENTO E ASSENTAMENTO DE MATERIAIS HIDRÁULICOS DA REDE DE DISTRIBUIÇÃO DE ÁGUA</v>
      </c>
      <c r="I138" s="751" t="str">
        <f>VLOOKUP($G138,IF(LEFT($G138,3)="AMM",COMPOSIÇÕES!$B$1:$E$4184,'BANCO DE DADOS JAN-23 SERV'!$B$2:$F$7195),3,FALSE)</f>
        <v xml:space="preserve">UN </v>
      </c>
      <c r="J138" s="857">
        <v>1</v>
      </c>
      <c r="K138" s="852">
        <f>VLOOKUP($G138,IF(LEFT($G138,3)="AMM",COMPOSIÇÕES!$B$1:$E$4184,'BANCO DE DADOS JAN-23 SERV'!$B$2:$F$7195),4,FALSE)</f>
        <v>4762.26</v>
      </c>
      <c r="L138" s="852">
        <f t="shared" ref="L138" si="197">IF($P$2="OUTROS",TRUNC(K138*(1+$M$7),2),ROUND(K138*(1+$M$7),2))</f>
        <v>6021.4</v>
      </c>
      <c r="M138" s="853">
        <f t="shared" ref="M138" si="198">IF($P$2="OUTROS",TRUNC(L138*J138,2),ROUND(L138*J138,2))</f>
        <v>6021.4</v>
      </c>
      <c r="N138" s="1037"/>
      <c r="O138" s="758" t="s">
        <v>6970</v>
      </c>
      <c r="P138" s="1037" t="str">
        <f t="shared" ref="P138" ca="1" si="199">F138</f>
        <v>7.9</v>
      </c>
    </row>
    <row r="139" spans="1:17" s="302" customFormat="1" ht="16.5" thickBot="1">
      <c r="A139" s="305">
        <f t="shared" ref="A139:A147" ca="1" si="200">IF(LEN(D139),OFFSET(A139,-1,0)+1,OFFSET(A139,-1,0))</f>
        <v>7</v>
      </c>
      <c r="B139" s="305" t="str">
        <f>IF(OR(C139=1,D139=1),SUMIF($A$20:A139,A139,$C$20:C139),"")</f>
        <v/>
      </c>
      <c r="C139" s="305" t="str">
        <f t="shared" ref="C139:C147" si="201">IF(G139&gt;0,1,"")</f>
        <v/>
      </c>
      <c r="D139" s="387" t="str">
        <f t="shared" ref="D139:D147" si="202">IF(AND(CONCATENATE(G139,H139,I139,J139,K139,L139,M139)=H139&amp;M139,CONCATENATE(G139,H139,I139,J139,K139,L139,M139)&lt;&gt;"",M139&lt;&gt;""),1,"")</f>
        <v/>
      </c>
      <c r="E139" s="387"/>
      <c r="F139" s="388" t="str">
        <f t="shared" ref="F139:F147" si="203">IF(B139&lt;&gt;"",A139&amp;"."&amp;B139,"")</f>
        <v/>
      </c>
      <c r="G139" s="389"/>
      <c r="H139" s="363" t="s">
        <v>7146</v>
      </c>
      <c r="I139" s="390"/>
      <c r="J139" s="391"/>
      <c r="K139" s="330"/>
      <c r="L139" s="391"/>
      <c r="M139" s="331"/>
      <c r="N139" s="301"/>
      <c r="O139" s="305"/>
      <c r="Q139" s="1025" t="s">
        <v>7015</v>
      </c>
    </row>
    <row r="140" spans="1:17" s="1429" customFormat="1" ht="30.75" thickBot="1">
      <c r="A140" s="1429">
        <f t="shared" ca="1" si="200"/>
        <v>7</v>
      </c>
      <c r="B140" s="1429">
        <f ca="1">IF(OR(C140=1,D140=1),SUMIF($A$20:A140,A140,$C$20:C140),"")</f>
        <v>10</v>
      </c>
      <c r="C140" s="1429">
        <f t="shared" si="201"/>
        <v>1</v>
      </c>
      <c r="D140" s="1445" t="str">
        <f t="shared" si="202"/>
        <v/>
      </c>
      <c r="E140" s="1445"/>
      <c r="F140" s="1455" t="str">
        <f t="shared" ca="1" si="203"/>
        <v>7.10</v>
      </c>
      <c r="G140" s="1456">
        <v>97636</v>
      </c>
      <c r="H140" s="1448" t="str">
        <f>VLOOKUP($G140,IF(LEFT($G140,3)="AMM",COMPOSIÇÕES!$B$1:$E$4184,'BANCO DE DADOS JAN-23 SERV'!$B$2:$F$7195),2,FALSE)</f>
        <v>DEMOLIÇÃO PARCIAL DE PAVIMENTO ASFÁLTICO, DE FORMA MECANIZADA, SEM REAPROVEITAMENTO. AF_12/2017</v>
      </c>
      <c r="I140" s="1447" t="str">
        <f>VLOOKUP($G140,IF(LEFT($G140,3)="AMM",COMPOSIÇÕES!$B$1:$E$4184,'BANCO DE DADOS JAN-23 SERV'!$B$2:$F$7195),3,FALSE)</f>
        <v>M2</v>
      </c>
      <c r="J140" s="1457">
        <f>TRUNC('REMOÇÃO DE PAV. REDE'!F64,2)</f>
        <v>2857.13</v>
      </c>
      <c r="K140" s="1450">
        <f>VLOOKUP($G140,IF(LEFT($G140,3)="AMM",COMPOSIÇÕES!$B$1:$E$4184,'BANCO DE DADOS JAN-23 SERV'!$B$2:$F$7195),4,FALSE)</f>
        <v>16.059999999999999</v>
      </c>
      <c r="L140" s="1450">
        <f t="shared" ref="L140:L147" si="204">IF($P$2="OUTROS",TRUNC(K140*(1+$M$7),2),ROUND(K140*(1+$M$7),2))</f>
        <v>20.309999999999999</v>
      </c>
      <c r="M140" s="853">
        <f t="shared" ref="M140:M147" si="205">IF($P$2="OUTROS",TRUNC(L140*J140,2),ROUND(L140*J140,2))</f>
        <v>58028.31</v>
      </c>
      <c r="N140" s="1186"/>
      <c r="O140" s="1439" t="s">
        <v>14217</v>
      </c>
      <c r="P140" s="1186" t="str">
        <f t="shared" ref="P140:P147" ca="1" si="206">F140</f>
        <v>7.10</v>
      </c>
      <c r="Q140" s="1458">
        <v>4762.29</v>
      </c>
    </row>
    <row r="141" spans="1:17" s="1429" customFormat="1" ht="45.75" thickBot="1">
      <c r="A141" s="1429">
        <f t="shared" ref="A141" ca="1" si="207">IF(LEN(D141),OFFSET(A141,-1,0)+1,OFFSET(A141,-1,0))</f>
        <v>7</v>
      </c>
      <c r="B141" s="1429">
        <f ca="1">IF(OR(C141=1,D141=1),SUMIF($A$20:A141,A141,$C$20:C141),"")</f>
        <v>11</v>
      </c>
      <c r="C141" s="1429">
        <f t="shared" ref="C141" si="208">IF(G141&gt;0,1,"")</f>
        <v>1</v>
      </c>
      <c r="D141" s="1445" t="str">
        <f t="shared" ref="D141" si="209">IF(AND(CONCATENATE(G141,H141,I141,J141,K141,L141,M141)=H141&amp;M141,CONCATENATE(G141,H141,I141,J141,K141,L141,M141)&lt;&gt;"",M141&lt;&gt;""),1,"")</f>
        <v/>
      </c>
      <c r="E141" s="1445"/>
      <c r="F141" s="1455" t="str">
        <f t="shared" ref="F141" ca="1" si="210">IF(B141&lt;&gt;"",A141&amp;"."&amp;B141,"")</f>
        <v>7.11</v>
      </c>
      <c r="G141" s="1456">
        <v>101836</v>
      </c>
      <c r="H141" s="1448" t="str">
        <f>VLOOKUP($G141,IF(LEFT($G141,3)="AMM",COMPOSIÇÕES!$B$1:$E$4184,'BANCO DE DADOS JAN-23 SERV'!$B$2:$F$7195),2,FALSE)</f>
        <v>RECOMPOSIÇÃO DE BASE E OU SUB-BASE PARA FECHAMENTO DE VALAS DE SOLOS DE COMPORTAMENTO LATERÍTICO (ARENOSO) - INCLUSO RETIRADA E COLOCAÇÃO DO MATERIAL. AF_12/2020</v>
      </c>
      <c r="I141" s="1447" t="str">
        <f>VLOOKUP($G141,IF(LEFT($G141,3)="AMM",COMPOSIÇÕES!$B$1:$E$4184,'BANCO DE DADOS JAN-23 SERV'!$B$2:$F$7195),3,FALSE)</f>
        <v>M3</v>
      </c>
      <c r="J141" s="1457">
        <f>TRUNC('BASE REDE'!H64+'SUB BASE REDE'!H64,2)</f>
        <v>1142.8499999999999</v>
      </c>
      <c r="K141" s="1450">
        <f>VLOOKUP($G141,IF(LEFT($G141,3)="AMM",COMPOSIÇÕES!$B$1:$E$4184,'BANCO DE DADOS JAN-23 SERV'!$B$2:$F$7195),4,FALSE)</f>
        <v>23.38</v>
      </c>
      <c r="L141" s="1450">
        <f t="shared" si="204"/>
        <v>29.56</v>
      </c>
      <c r="M141" s="853">
        <f t="shared" si="205"/>
        <v>33782.65</v>
      </c>
      <c r="N141" s="1186"/>
      <c r="O141" s="1439" t="s">
        <v>14217</v>
      </c>
      <c r="P141" s="1186" t="str">
        <f t="shared" ca="1" si="206"/>
        <v>7.11</v>
      </c>
      <c r="Q141" s="1458">
        <v>4762.29</v>
      </c>
    </row>
    <row r="142" spans="1:17" s="1429" customFormat="1" ht="16.5" thickBot="1">
      <c r="A142" s="1429">
        <f t="shared" ca="1" si="200"/>
        <v>7</v>
      </c>
      <c r="B142" s="1429">
        <f ca="1">IF(OR(C142=1,D142=1),SUMIF($A$20:A142,A142,$C$20:C142),"")</f>
        <v>12</v>
      </c>
      <c r="C142" s="1429">
        <f t="shared" si="201"/>
        <v>1</v>
      </c>
      <c r="D142" s="1445" t="str">
        <f t="shared" si="202"/>
        <v/>
      </c>
      <c r="E142" s="1445"/>
      <c r="F142" s="1459" t="str">
        <f t="shared" ca="1" si="203"/>
        <v>7.12</v>
      </c>
      <c r="G142" s="1452" t="str">
        <f>'COMP. IMPRIMAÇÃO'!D15</f>
        <v>COMP PAV 001</v>
      </c>
      <c r="H142" s="1441" t="str">
        <f>'COMP. IMPRIMAÇÃO'!D12</f>
        <v>EXECUÇÃO DE IMPRIMAÇÃO COM ASFALTO DILUÍDO CM-30. AF_11/2019</v>
      </c>
      <c r="I142" s="1442" t="str">
        <f>'COMP. IMPRIMAÇÃO'!L13</f>
        <v>M2</v>
      </c>
      <c r="J142" s="1443">
        <f>TRUNC('IMPRIMAÇÃO REDE'!F64,2)</f>
        <v>2857.13</v>
      </c>
      <c r="K142" s="1444">
        <f>TRUNC('COMP. IMPRIMAÇÃO'!M27,2)</f>
        <v>7.5</v>
      </c>
      <c r="L142" s="1444">
        <f t="shared" si="204"/>
        <v>9.48</v>
      </c>
      <c r="M142" s="855">
        <f t="shared" si="205"/>
        <v>27085.59</v>
      </c>
      <c r="N142" s="1186"/>
      <c r="O142" s="1439" t="s">
        <v>14217</v>
      </c>
      <c r="P142" s="1186" t="str">
        <f t="shared" ca="1" si="206"/>
        <v>7.12</v>
      </c>
      <c r="Q142" s="1454"/>
    </row>
    <row r="143" spans="1:17" s="1429" customFormat="1" ht="30.75" thickBot="1">
      <c r="A143" s="1429">
        <f t="shared" ca="1" si="200"/>
        <v>7</v>
      </c>
      <c r="B143" s="1429">
        <f ca="1">IF(OR(C143=1,D143=1),SUMIF($A$20:A143,A143,$C$20:C143),"")</f>
        <v>13</v>
      </c>
      <c r="C143" s="1429">
        <f t="shared" si="201"/>
        <v>1</v>
      </c>
      <c r="D143" s="1445" t="str">
        <f t="shared" si="202"/>
        <v/>
      </c>
      <c r="E143" s="1445"/>
      <c r="F143" s="1459" t="str">
        <f t="shared" ca="1" si="203"/>
        <v>7.13</v>
      </c>
      <c r="G143" s="1452" t="str">
        <f>'COMP. TSD'!D15</f>
        <v>COMP PAV 002</v>
      </c>
      <c r="H143" s="1441" t="str">
        <f>'COMP. TSD'!D12</f>
        <v>PAVIMENTO COM TRATAMENTO SUPERFICIAL DUPLO, COM EMULSÃO ASFÁLTICA RR-2C, COM BANHO DILUÍDO. AF_01/2020</v>
      </c>
      <c r="I143" s="1442" t="str">
        <f>'COMP. TSD'!L13</f>
        <v>M2</v>
      </c>
      <c r="J143" s="1443">
        <f>TRUNC('TSD REDE'!F64,2)</f>
        <v>2857.13</v>
      </c>
      <c r="K143" s="1444">
        <f>TRUNC('COMP. TSD'!M31,2)</f>
        <v>20.48</v>
      </c>
      <c r="L143" s="1444">
        <f t="shared" si="204"/>
        <v>25.89</v>
      </c>
      <c r="M143" s="855">
        <f t="shared" si="205"/>
        <v>73971.100000000006</v>
      </c>
      <c r="N143" s="1186"/>
      <c r="O143" s="1439" t="s">
        <v>14217</v>
      </c>
      <c r="P143" s="1186" t="str">
        <f t="shared" ca="1" si="206"/>
        <v>7.13</v>
      </c>
    </row>
    <row r="144" spans="1:17" s="1429" customFormat="1" ht="30.75" thickBot="1">
      <c r="A144" s="1429">
        <f t="shared" ref="A144:A146" ca="1" si="211">IF(LEN(D144),OFFSET(A144,-1,0)+1,OFFSET(A144,-1,0))</f>
        <v>7</v>
      </c>
      <c r="B144" s="1429">
        <f ca="1">IF(OR(C144=1,D144=1),SUMIF($A$20:A144,A144,$C$20:C144),"")</f>
        <v>14</v>
      </c>
      <c r="C144" s="1429">
        <f t="shared" ref="C144:C146" si="212">IF(G144&gt;0,1,"")</f>
        <v>1</v>
      </c>
      <c r="D144" s="1445" t="str">
        <f t="shared" ref="D144:D146" si="213">IF(AND(CONCATENATE(G144,H144,I144,J144,K144,L144,M144)=H144&amp;M144,CONCATENATE(G144,H144,I144,J144,K144,L144,M144)&lt;&gt;"",M144&lt;&gt;""),1,"")</f>
        <v/>
      </c>
      <c r="E144" s="1445"/>
      <c r="F144" s="1455" t="str">
        <f t="shared" ref="F144:F146" ca="1" si="214">IF(B144&lt;&gt;"",A144&amp;"."&amp;B144,"")</f>
        <v>7.14</v>
      </c>
      <c r="G144" s="1442">
        <v>95876</v>
      </c>
      <c r="H144" s="1448" t="str">
        <f>VLOOKUP($G144,IF(LEFT($G144,3)="AMM",COMPOSIÇÕES!$B$1:$E$4184,'BANCO DE DADOS JAN-23 SERV'!$B$2:$F$7195),2,FALSE)</f>
        <v>TRANSPORTE COM CAMINHÃO BASCULANTE DE 14 M³, EM VIA URBANA PAVIMENTADA, DMT ATÉ 30 KM (UNIDADE: M3XKM). AF_07/2020</v>
      </c>
      <c r="I144" s="1447" t="str">
        <f>VLOOKUP($G144,IF(LEFT($G144,3)="AMM",COMPOSIÇÕES!$B$1:$E$4184,'BANCO DE DADOS JAN-23 SERV'!$B$2:$F$7195),3,FALSE)</f>
        <v>M3XKM</v>
      </c>
      <c r="J144" s="1457">
        <f>TRUNC('TRANSP. BRITA (PAV) REDE'!H66,2)</f>
        <v>1911.39</v>
      </c>
      <c r="K144" s="1450">
        <f>VLOOKUP($G144,IF(LEFT($G144,3)="AMM",COMPOSIÇÕES!$B$1:$E$4184,'BANCO DE DADOS JAN-23 SERV'!$B$2:$F$7195),4,FALSE)</f>
        <v>1.9</v>
      </c>
      <c r="L144" s="1450">
        <f t="shared" si="204"/>
        <v>2.4</v>
      </c>
      <c r="M144" s="853">
        <f t="shared" si="205"/>
        <v>4587.34</v>
      </c>
      <c r="N144" s="1186"/>
      <c r="O144" s="1439" t="s">
        <v>14217</v>
      </c>
      <c r="P144" s="1186" t="str">
        <f t="shared" ca="1" si="206"/>
        <v>7.14</v>
      </c>
      <c r="Q144" s="1458">
        <v>4762.29</v>
      </c>
    </row>
    <row r="145" spans="1:18" s="1429" customFormat="1" ht="30.75" thickBot="1">
      <c r="A145" s="1429">
        <f t="shared" ca="1" si="211"/>
        <v>7</v>
      </c>
      <c r="B145" s="1429">
        <f ca="1">IF(OR(C145=1,D145=1),SUMIF($A$20:A145,A145,$C$20:C145),"")</f>
        <v>15</v>
      </c>
      <c r="C145" s="1429">
        <f t="shared" si="212"/>
        <v>1</v>
      </c>
      <c r="D145" s="1445" t="str">
        <f t="shared" si="213"/>
        <v/>
      </c>
      <c r="E145" s="1445"/>
      <c r="F145" s="1459" t="str">
        <f t="shared" ca="1" si="214"/>
        <v>7.15</v>
      </c>
      <c r="G145" s="1442">
        <v>93593</v>
      </c>
      <c r="H145" s="1441" t="str">
        <f>VLOOKUP($G145,IF(LEFT($G145,3)="AMM",COMPOSIÇÕES!$B$1:$E$4184,'BANCO DE DADOS JAN-23 SERV'!$B$2:$F$7195),2,FALSE)</f>
        <v>TRANSPORTE COM CAMINHÃO BASCULANTE DE 14 M³, EM VIA URBANA PAVIMENTADA, ADICIONAL PARA DMT EXCEDENTE A 30 KM (UNIDADE: M3XKM). AF_07/2020</v>
      </c>
      <c r="I145" s="1442" t="str">
        <f>VLOOKUP($G145,IF(LEFT($G145,3)="AMM",COMPOSIÇÕES!$B$1:$E$4184,'BANCO DE DADOS JAN-23 SERV'!$B$2:$F$7195),3,FALSE)</f>
        <v>M3XKM</v>
      </c>
      <c r="J145" s="1443">
        <f>TRUNC('TRANSP. BRITA (PAV) REDE'!J66,2)</f>
        <v>8792.5</v>
      </c>
      <c r="K145" s="1444">
        <f>VLOOKUP($G145,IF(LEFT($G145,3)="AMM",COMPOSIÇÕES!$B$1:$E$4184,'BANCO DE DADOS JAN-23 SERV'!$B$2:$F$7195),4,FALSE)</f>
        <v>0.76</v>
      </c>
      <c r="L145" s="1444">
        <f t="shared" si="204"/>
        <v>0.96</v>
      </c>
      <c r="M145" s="855">
        <f t="shared" si="205"/>
        <v>8440.7999999999993</v>
      </c>
      <c r="N145" s="1186"/>
      <c r="O145" s="1439" t="s">
        <v>14217</v>
      </c>
      <c r="P145" s="1186" t="str">
        <f t="shared" ca="1" si="206"/>
        <v>7.15</v>
      </c>
      <c r="Q145" s="1454"/>
    </row>
    <row r="146" spans="1:18" s="1429" customFormat="1" ht="30.75" thickBot="1">
      <c r="A146" s="1429">
        <f t="shared" ca="1" si="211"/>
        <v>7</v>
      </c>
      <c r="B146" s="1429">
        <f ca="1">IF(OR(C146=1,D146=1),SUMIF($A$20:A146,A146,$C$20:C146),"")</f>
        <v>16</v>
      </c>
      <c r="C146" s="1429">
        <f t="shared" si="212"/>
        <v>1</v>
      </c>
      <c r="D146" s="1445" t="str">
        <f t="shared" si="213"/>
        <v/>
      </c>
      <c r="E146" s="1445"/>
      <c r="F146" s="1459" t="str">
        <f t="shared" ca="1" si="214"/>
        <v>7.16</v>
      </c>
      <c r="G146" s="1442">
        <v>102330</v>
      </c>
      <c r="H146" s="1441" t="str">
        <f>VLOOKUP($G146,IF(LEFT($G146,3)="AMM",COMPOSIÇÕES!$B$1:$E$4184,'BANCO DE DADOS JAN-23 SERV'!$B$2:$F$7195),2,FALSE)</f>
        <v>TRANSPORTE COM CAMINHÃO TANQUE DE TRANSPORTE DE MATERIAL ASFÁLTICO DE 30000 L, EM VIA URBANA PAVIMENTADA, DMT ATÉ 30KM (UNIDADE: TXKM). AF_07/2020</v>
      </c>
      <c r="I146" s="1442" t="str">
        <f>VLOOKUP($G146,IF(LEFT($G146,3)="AMM",COMPOSIÇÕES!$B$1:$E$4184,'BANCO DE DADOS JAN-23 SERV'!$B$2:$F$7195),3,FALSE)</f>
        <v>TXKM</v>
      </c>
      <c r="J146" s="1443">
        <f>TRUNC('TRANSP. EMULSÃO PAV REDE'!I65+'TRANSP. EMULSÃO PAV REDE'!I122,2)</f>
        <v>461.4</v>
      </c>
      <c r="K146" s="1444">
        <f>VLOOKUP($G146,IF(LEFT($G146,3)="AMM",COMPOSIÇÕES!$B$1:$E$4184,'BANCO DE DADOS JAN-23 SERV'!$B$2:$F$7195),4,FALSE)</f>
        <v>1.3</v>
      </c>
      <c r="L146" s="1444">
        <f t="shared" si="204"/>
        <v>1.64</v>
      </c>
      <c r="M146" s="855">
        <f t="shared" si="205"/>
        <v>756.7</v>
      </c>
      <c r="N146" s="1186"/>
      <c r="O146" s="1439" t="s">
        <v>14217</v>
      </c>
      <c r="P146" s="1186" t="str">
        <f t="shared" ca="1" si="206"/>
        <v>7.16</v>
      </c>
    </row>
    <row r="147" spans="1:18" s="1429" customFormat="1" ht="45.75" thickBot="1">
      <c r="A147" s="1429">
        <f t="shared" ca="1" si="200"/>
        <v>7</v>
      </c>
      <c r="B147" s="1429">
        <f ca="1">IF(OR(C147=1,D147=1),SUMIF($A$20:A147,A147,$C$20:C147),"")</f>
        <v>17</v>
      </c>
      <c r="C147" s="1429">
        <f t="shared" si="201"/>
        <v>1</v>
      </c>
      <c r="D147" s="1445" t="str">
        <f t="shared" si="202"/>
        <v/>
      </c>
      <c r="E147" s="1445"/>
      <c r="F147" s="1455" t="str">
        <f t="shared" ca="1" si="203"/>
        <v>7.17</v>
      </c>
      <c r="G147" s="1442">
        <v>102331</v>
      </c>
      <c r="H147" s="1448" t="str">
        <f>VLOOKUP($G147,IF(LEFT($G147,3)="AMM",COMPOSIÇÕES!$B$1:$E$4184,'BANCO DE DADOS JAN-23 SERV'!$B$2:$F$7195),2,FALSE)</f>
        <v>TRANSPORTE COM CAMINHÃO TANQUE DE TRANSPORTE DE MATERIAL ASFÁLTICO DE 30000 L, EM VIA URBANA PAVIMENTADA, ADICIONAL PARA DMT EXCEDENTE A 30 KM (UNIDADE: TXKM). AF_07/2020</v>
      </c>
      <c r="I147" s="1447" t="str">
        <f>VLOOKUP($G147,IF(LEFT($G147,3)="AMM",COMPOSIÇÕES!$B$1:$E$4184,'BANCO DE DADOS JAN-23 SERV'!$B$2:$F$7195),3,FALSE)</f>
        <v>TXKM</v>
      </c>
      <c r="J147" s="1457">
        <f>TRUNC('TRANSP. EMULSÃO PAV REDE'!K65+'TRANSP. EMULSÃO PAV REDE'!K122,2)</f>
        <v>14487.96</v>
      </c>
      <c r="K147" s="1450">
        <f>VLOOKUP($G147,IF(LEFT($G147,3)="AMM",COMPOSIÇÕES!$B$1:$E$4184,'BANCO DE DADOS JAN-23 SERV'!$B$2:$F$7195),4,FALSE)</f>
        <v>0.51</v>
      </c>
      <c r="L147" s="1450">
        <f t="shared" si="204"/>
        <v>0.64</v>
      </c>
      <c r="M147" s="853">
        <f t="shared" si="205"/>
        <v>9272.2900000000009</v>
      </c>
      <c r="N147" s="1186"/>
      <c r="O147" s="1439" t="s">
        <v>14217</v>
      </c>
      <c r="P147" s="1186" t="str">
        <f t="shared" ca="1" si="206"/>
        <v>7.17</v>
      </c>
      <c r="Q147" s="1458">
        <v>4762.29</v>
      </c>
    </row>
    <row r="148" spans="1:18" s="307" customFormat="1" ht="16.5" customHeight="1" thickBot="1">
      <c r="A148" s="305">
        <f t="shared" ref="A148:A153" ca="1" si="215">IF(LEN(D148),OFFSET(A148,-1,0)+1,OFFSET(A148,-1,0))</f>
        <v>7</v>
      </c>
      <c r="B148" s="305" t="str">
        <f>IF(OR(C148=1,D148=1),SUMIF($A$20:A148,A148,$C$20:C148),"")</f>
        <v/>
      </c>
      <c r="C148" s="305" t="str">
        <f t="shared" ref="C148:C153" si="216">IF(G148&gt;0,1,"")</f>
        <v/>
      </c>
      <c r="D148" s="387" t="str">
        <f t="shared" ref="D148:D153" si="217">IF(AND(CONCATENATE(G148,H148,I148,J148,K148,L148,M148)=H148&amp;M148,CONCATENATE(G148,H148,I148,J148,K148,L148,M148)&lt;&gt;"",M148&lt;&gt;""),1,"")</f>
        <v/>
      </c>
      <c r="E148" s="387"/>
      <c r="F148" s="155" t="str">
        <f t="shared" ref="F148:F153" si="218">IF(B148&lt;&gt;"",A148&amp;"."&amp;B148,"")</f>
        <v/>
      </c>
      <c r="G148" s="155"/>
      <c r="H148" s="155"/>
      <c r="I148" s="155"/>
      <c r="J148" s="156"/>
      <c r="K148" s="156"/>
      <c r="L148" s="155"/>
      <c r="M148" s="155"/>
      <c r="N148" s="306"/>
    </row>
    <row r="149" spans="1:18" s="302" customFormat="1" ht="16.5" customHeight="1" thickBot="1">
      <c r="A149" s="305">
        <f t="shared" ca="1" si="215"/>
        <v>8</v>
      </c>
      <c r="B149" s="305">
        <f ca="1">IF(OR(C149=1,D149=1),SUMIF($A$20:A149,A149,$C$20:C149),"")</f>
        <v>0</v>
      </c>
      <c r="C149" s="305" t="str">
        <f t="shared" si="216"/>
        <v/>
      </c>
      <c r="D149" s="387">
        <f t="shared" si="217"/>
        <v>1</v>
      </c>
      <c r="E149" s="387"/>
      <c r="F149" s="148" t="str">
        <f t="shared" ca="1" si="218"/>
        <v>8.0</v>
      </c>
      <c r="G149" s="149"/>
      <c r="H149" s="150" t="s">
        <v>6836</v>
      </c>
      <c r="I149" s="151"/>
      <c r="J149" s="152"/>
      <c r="K149" s="153"/>
      <c r="L149" s="153"/>
      <c r="M149" s="154">
        <f>SUM(M150:M153)</f>
        <v>370908.87999999995</v>
      </c>
      <c r="N149" s="301"/>
      <c r="O149" s="305"/>
    </row>
    <row r="150" spans="1:18" s="1429" customFormat="1" ht="16.5" thickBot="1">
      <c r="A150" s="1429">
        <f t="shared" ca="1" si="215"/>
        <v>8</v>
      </c>
      <c r="B150" s="1429">
        <f ca="1">IF(OR(C150=1,D150=1),SUMIF($A$20:A150,A150,$C$20:C150),"")</f>
        <v>1</v>
      </c>
      <c r="C150" s="1429">
        <f t="shared" si="216"/>
        <v>1</v>
      </c>
      <c r="D150" s="1430" t="str">
        <f t="shared" si="217"/>
        <v/>
      </c>
      <c r="E150" s="1430"/>
      <c r="F150" s="1455" t="str">
        <f t="shared" ca="1" si="218"/>
        <v>8.1</v>
      </c>
      <c r="G150" s="1456" t="str">
        <f>'COMP SAA'!B36</f>
        <v>AMM SAA 003</v>
      </c>
      <c r="H150" s="1448" t="str">
        <f>VLOOKUP($G150,IF(LEFT($G150,3)="AMM",COMPOSIÇÕES!$B$1:$E$4184,'BANCO DE DADOS JAN-23 SERV'!$B$2:$F$7195),2,FALSE)</f>
        <v>ELABORAÇÃO DE CADASTRO LIGAÇÕES PREDIAIS, INCLUSIVE DESENHISTA</v>
      </c>
      <c r="I150" s="1447" t="str">
        <f>VLOOKUP($G150,IF(LEFT($G150,3)="AMM",COMPOSIÇÕES!$B$1:$E$4184,'BANCO DE DADOS JAN-23 SERV'!$B$2:$F$7195),3,FALSE)</f>
        <v xml:space="preserve">UN </v>
      </c>
      <c r="J150" s="1457">
        <v>478</v>
      </c>
      <c r="K150" s="1450">
        <f>VLOOKUP($G150,IF(LEFT($G150,3)="AMM",COMPOSIÇÕES!$B$1:$E$4184,'BANCO DE DADOS JAN-23 SERV'!$B$2:$F$7195),4,FALSE)</f>
        <v>6.29</v>
      </c>
      <c r="L150" s="1450">
        <f>IF($P$2="OUTROS",TRUNC(K150*(1+$M$7),2),ROUND(K150*(1+$M$7),2))</f>
        <v>7.95</v>
      </c>
      <c r="M150" s="853">
        <f>IF($P$2="OUTROS",TRUNC(L150*J150,2),ROUND(L150*J150,2))</f>
        <v>3800.1</v>
      </c>
      <c r="N150" s="1438"/>
      <c r="O150" s="1439" t="s">
        <v>6970</v>
      </c>
      <c r="P150" s="1438" t="str">
        <f ca="1">F150</f>
        <v>8.1</v>
      </c>
    </row>
    <row r="151" spans="1:18" s="1429" customFormat="1" ht="16.5" thickBot="1">
      <c r="A151" s="1429">
        <f t="shared" ref="A151" ca="1" si="219">IF(LEN(D151),OFFSET(A151,-1,0)+1,OFFSET(A151,-1,0))</f>
        <v>8</v>
      </c>
      <c r="B151" s="1429">
        <f ca="1">IF(OR(C151=1,D151=1),SUMIF($A$20:A151,A151,$C$20:C151),"")</f>
        <v>2</v>
      </c>
      <c r="C151" s="1429">
        <f t="shared" ref="C151" si="220">IF(G151&gt;0,1,"")</f>
        <v>1</v>
      </c>
      <c r="D151" s="1430" t="str">
        <f t="shared" ref="D151" si="221">IF(AND(CONCATENATE(G151,H151,I151,J151,K151,L151,M151)=H151&amp;M151,CONCATENATE(G151,H151,I151,J151,K151,L151,M151)&lt;&gt;"",M151&lt;&gt;""),1,"")</f>
        <v/>
      </c>
      <c r="E151" s="1430"/>
      <c r="F151" s="1455" t="str">
        <f t="shared" ref="F151" ca="1" si="222">IF(B151&lt;&gt;"",A151&amp;"."&amp;B151,"")</f>
        <v>8.2</v>
      </c>
      <c r="G151" s="1456" t="str">
        <f>'COMP SAA'!B58</f>
        <v>AMM SAA 005</v>
      </c>
      <c r="H151" s="1448" t="str">
        <f>VLOOKUP($G151,IF(LEFT($G151,3)="AMM",COMPOSIÇÕES!$B$1:$E$4184,'BANCO DE DADOS JAN-23 SERV'!$B$2:$F$7195),2,FALSE)</f>
        <v>RAMAL DE LIGAÇÃO DE ÁGUA (REDE DE DISTRIBUIÇÃO À FACHADA DO LOTE)</v>
      </c>
      <c r="I151" s="1447" t="str">
        <f>VLOOKUP($G151,IF(LEFT($G151,3)="AMM",COMPOSIÇÕES!$B$1:$E$4184,'BANCO DE DADOS JAN-23 SERV'!$B$2:$F$7195),3,FALSE)</f>
        <v>UN</v>
      </c>
      <c r="J151" s="1457">
        <f>J150</f>
        <v>478</v>
      </c>
      <c r="K151" s="1450">
        <f>VLOOKUP($G151,IF(LEFT($G151,3)="AMM",COMPOSIÇÕES!$B$1:$E$4184,'BANCO DE DADOS JAN-23 SERV'!$B$2:$F$7195),4,FALSE)</f>
        <v>212.98</v>
      </c>
      <c r="L151" s="1450">
        <f>IF($P$2="OUTROS",TRUNC(K151*(1+$M$7),2),ROUND(K151*(1+$M$7),2))</f>
        <v>269.29000000000002</v>
      </c>
      <c r="M151" s="853">
        <f>IF($P$2="OUTROS",TRUNC(L151*J151,2),ROUND(L151*J151,2))</f>
        <v>128720.62</v>
      </c>
      <c r="N151" s="1438"/>
      <c r="O151" s="1439" t="s">
        <v>6970</v>
      </c>
      <c r="P151" s="1438" t="str">
        <f ca="1">F151</f>
        <v>8.2</v>
      </c>
    </row>
    <row r="152" spans="1:18" s="1429" customFormat="1" ht="45.75" thickBot="1">
      <c r="A152" s="1429">
        <f t="shared" ca="1" si="215"/>
        <v>8</v>
      </c>
      <c r="B152" s="1429">
        <f ca="1">IF(OR(C152=1,D152=1),SUMIF($A$20:A152,A152,$C$20:C152),"")</f>
        <v>3</v>
      </c>
      <c r="C152" s="1429">
        <f t="shared" si="216"/>
        <v>1</v>
      </c>
      <c r="D152" s="1430" t="str">
        <f t="shared" si="217"/>
        <v/>
      </c>
      <c r="E152" s="1430"/>
      <c r="F152" s="1459" t="str">
        <f t="shared" ca="1" si="218"/>
        <v>8.3</v>
      </c>
      <c r="G152" s="1440" t="str">
        <f>'COMP SAA'!B45</f>
        <v>AMM SAA 004</v>
      </c>
      <c r="H152" s="1441" t="str">
        <f>VLOOKUP($G152,IF(LEFT($G152,3)="AMM",COMPOSIÇÕES!$B$1:$E$4184,'BANCO DE DADOS JAN-23 SERV'!$B$2:$F$7195),2,FALSE)</f>
        <v>KIT CAVALETE PARA MEDIÇÃO DE ÁGUA COM TUBETE - ENTRADA PRINCIPAL, EM PVC SOLDÁVEL DN 25 (¾")   FORNECIMENTO E INSTALAÇÃO (EXCLUSIVE HIDRÔMETRO). AF_11/2016</v>
      </c>
      <c r="I152" s="1442" t="str">
        <f>VLOOKUP($G152,IF(LEFT($G152,3)="AMM",COMPOSIÇÕES!$B$1:$E$4184,'BANCO DE DADOS JAN-23 SERV'!$B$2:$F$7195),3,FALSE)</f>
        <v>UN</v>
      </c>
      <c r="J152" s="1443">
        <f>J150</f>
        <v>478</v>
      </c>
      <c r="K152" s="1444">
        <f>VLOOKUP($G152,IF(LEFT($G152,3)="AMM",COMPOSIÇÕES!$B$1:$E$4184,'BANCO DE DADOS JAN-23 SERV'!$B$2:$F$7195),4,FALSE)</f>
        <v>286.56</v>
      </c>
      <c r="L152" s="1444">
        <f>IF($P$2="OUTROS",TRUNC(K152*(1+$M$7),2),ROUND(K152*(1+$M$7),2))</f>
        <v>362.33</v>
      </c>
      <c r="M152" s="855">
        <f>IF($P$2="OUTROS",TRUNC(L152*J152,2),ROUND(L152*J152,2))</f>
        <v>173193.74</v>
      </c>
      <c r="N152" s="1438"/>
      <c r="O152" s="1439" t="s">
        <v>6970</v>
      </c>
      <c r="P152" s="1438" t="str">
        <f ca="1">F152</f>
        <v>8.3</v>
      </c>
      <c r="R152" s="1454"/>
    </row>
    <row r="153" spans="1:18" s="1429" customFormat="1" ht="16.5" thickBot="1">
      <c r="A153" s="1429">
        <f t="shared" ca="1" si="215"/>
        <v>8</v>
      </c>
      <c r="B153" s="1429">
        <f ca="1">IF(OR(C153=1,D153=1),SUMIF($A$20:A153,A153,$C$20:C153),"")</f>
        <v>4</v>
      </c>
      <c r="C153" s="1429">
        <f t="shared" si="216"/>
        <v>1</v>
      </c>
      <c r="D153" s="1430" t="str">
        <f t="shared" si="217"/>
        <v/>
      </c>
      <c r="E153" s="1430"/>
      <c r="F153" s="1455" t="str">
        <f t="shared" ca="1" si="218"/>
        <v>8.4</v>
      </c>
      <c r="G153" s="1440" t="str">
        <f>'COMP SAA'!B923</f>
        <v>AMM SAA 028</v>
      </c>
      <c r="H153" s="1448" t="str">
        <f>VLOOKUP($G153,IF(LEFT($G153,3)="AMM",COMPOSIÇÕES!$B$1:$E$4184,'BANCO DE DADOS JAN-23 SERV'!$B$2:$F$7195),2,FALSE)</f>
        <v>HIDRÔMETRO DN 25 (¾ ), QMÁX 3,5 M³/H - FORNECIMENTO E INSTALAÇÃO</v>
      </c>
      <c r="I153" s="1447" t="str">
        <f>VLOOKUP($G153,IF(LEFT($G153,3)="AMM",COMPOSIÇÕES!$B$1:$E$4184,'BANCO DE DADOS JAN-23 SERV'!$B$2:$F$7195),3,FALSE)</f>
        <v>UN</v>
      </c>
      <c r="J153" s="1457">
        <f>J150</f>
        <v>478</v>
      </c>
      <c r="K153" s="1450">
        <f>VLOOKUP($G153,IF(LEFT($G153,3)="AMM",COMPOSIÇÕES!$B$1:$E$4184,'BANCO DE DADOS JAN-23 SERV'!$B$2:$F$7195),4,FALSE)</f>
        <v>107.86999999999999</v>
      </c>
      <c r="L153" s="1450">
        <f>IF($P$2="OUTROS",TRUNC(K153*(1+$M$7),2),ROUND(K153*(1+$M$7),2))</f>
        <v>136.38999999999999</v>
      </c>
      <c r="M153" s="853">
        <f>IF($P$2="OUTROS",TRUNC(L153*J153,2),ROUND(L153*J153,2))</f>
        <v>65194.42</v>
      </c>
      <c r="N153" s="1438"/>
      <c r="O153" s="1439" t="s">
        <v>6970</v>
      </c>
      <c r="P153" s="1438" t="str">
        <f ca="1">F153</f>
        <v>8.4</v>
      </c>
      <c r="R153" s="1451"/>
    </row>
    <row r="154" spans="1:18" s="307" customFormat="1" ht="16.5" customHeight="1" thickBot="1">
      <c r="A154" s="305">
        <f t="shared" ref="A154:A174" ca="1" si="223">IF(LEN(D154),OFFSET(A154,-1,0)+1,OFFSET(A154,-1,0))</f>
        <v>8</v>
      </c>
      <c r="B154" s="305" t="str">
        <f>IF(OR(C154=1,D154=1),SUMIF($A$20:A154,A154,$C$20:C154),"")</f>
        <v/>
      </c>
      <c r="C154" s="305" t="str">
        <f t="shared" ref="C154:C174" si="224">IF(G154&gt;0,1,"")</f>
        <v/>
      </c>
      <c r="D154" s="387" t="str">
        <f t="shared" ref="D154:D174" si="225">IF(AND(CONCATENATE(G154,H154,I154,J154,K154,L154,M154)=H154&amp;M154,CONCATENATE(G154,H154,I154,J154,K154,L154,M154)&lt;&gt;"",M154&lt;&gt;""),1,"")</f>
        <v/>
      </c>
      <c r="E154" s="387"/>
      <c r="F154" s="155" t="str">
        <f t="shared" ref="F154:F174" si="226">IF(B154&lt;&gt;"",A154&amp;"."&amp;B154,"")</f>
        <v/>
      </c>
      <c r="G154" s="155"/>
      <c r="H154" s="155"/>
      <c r="I154" s="155"/>
      <c r="J154" s="156"/>
      <c r="K154" s="156"/>
      <c r="L154" s="155"/>
      <c r="M154" s="155"/>
      <c r="N154" s="306"/>
    </row>
    <row r="155" spans="1:18" s="302" customFormat="1" ht="16.5" customHeight="1" thickBot="1">
      <c r="A155" s="305">
        <f t="shared" ca="1" si="223"/>
        <v>9</v>
      </c>
      <c r="B155" s="305">
        <f ca="1">IF(OR(C155=1,D155=1),SUMIF($A$20:A155,A155,$C$20:C155),"")</f>
        <v>0</v>
      </c>
      <c r="C155" s="305" t="str">
        <f t="shared" si="224"/>
        <v/>
      </c>
      <c r="D155" s="387">
        <f t="shared" si="225"/>
        <v>1</v>
      </c>
      <c r="E155" s="387"/>
      <c r="F155" s="148" t="str">
        <f t="shared" ca="1" si="226"/>
        <v>9.0</v>
      </c>
      <c r="G155" s="149"/>
      <c r="H155" s="150" t="s">
        <v>7170</v>
      </c>
      <c r="I155" s="151"/>
      <c r="J155" s="152"/>
      <c r="K155" s="153"/>
      <c r="L155" s="153"/>
      <c r="M155" s="154">
        <f>SUM(M156:M174)</f>
        <v>12173.009999999998</v>
      </c>
      <c r="N155" s="301"/>
      <c r="O155" s="305"/>
      <c r="Q155" s="441" t="e">
        <f>SUM(J129,#REF!,#REF!)</f>
        <v>#REF!</v>
      </c>
    </row>
    <row r="156" spans="1:18" s="1429" customFormat="1" ht="30.75" thickBot="1">
      <c r="A156" s="1429">
        <f t="shared" ca="1" si="223"/>
        <v>9</v>
      </c>
      <c r="B156" s="1429">
        <f ca="1">IF(OR(C156=1,D156=1),SUMIF($A$20:A156,A156,$C$20:C156),"")</f>
        <v>1</v>
      </c>
      <c r="C156" s="1429">
        <f t="shared" si="224"/>
        <v>1</v>
      </c>
      <c r="D156" s="1445" t="str">
        <f t="shared" si="225"/>
        <v/>
      </c>
      <c r="E156" s="1445"/>
      <c r="F156" s="1440" t="str">
        <f t="shared" ca="1" si="226"/>
        <v>9.1</v>
      </c>
      <c r="G156" s="1440">
        <v>91927</v>
      </c>
      <c r="H156" s="1441" t="str">
        <f>VLOOKUP($G156,IF(LEFT($G156,3)="AMM",COMPOSIÇÕES!$B$1:$E$4184,'BANCO DE DADOS JAN-23 SERV'!$B$2:$F$7195),2,FALSE)</f>
        <v>CABO DE COBRE FLEXÍVEL ISOLADO, 2,5 MM², ANTI-CHAMA 0,6/1,0 KV, PARA CIRCUITOS TERMINAIS - FORNECIMENTO E INSTALAÇÃO. AF_12/2015</v>
      </c>
      <c r="I156" s="1442" t="str">
        <f>VLOOKUP($G156,IF(LEFT($G156,3)="AMM",COMPOSIÇÕES!$B$1:$E$4184,'BANCO DE DADOS JAN-23 SERV'!$B$2:$F$7195),3,FALSE)</f>
        <v>M</v>
      </c>
      <c r="J156" s="1443">
        <v>215</v>
      </c>
      <c r="K156" s="1444">
        <f>VLOOKUP($G156,IF(LEFT($G156,3)="AMM",COMPOSIÇÕES!$B$1:$E$4184,'BANCO DE DADOS JAN-23 SERV'!$B$2:$F$7195),4,FALSE)</f>
        <v>4.3099999999999996</v>
      </c>
      <c r="L156" s="1444">
        <f t="shared" ref="L156:L169" si="227">IF($P$2="OUTROS",TRUNC(K156*(1+$M$7),2),ROUND(K156*(1+$M$7),2))</f>
        <v>5.45</v>
      </c>
      <c r="M156" s="1083">
        <f t="shared" ref="M156:M169" si="228">IF($P$2="OUTROS",TRUNC(L156*J156,2),ROUND(L156*J156,2))</f>
        <v>1171.75</v>
      </c>
      <c r="N156" s="1186"/>
      <c r="O156" s="1439" t="s">
        <v>6975</v>
      </c>
      <c r="P156" s="1186" t="str">
        <f t="shared" ref="P156:P169" ca="1" si="229">F156</f>
        <v>9.1</v>
      </c>
    </row>
    <row r="157" spans="1:18" s="1429" customFormat="1" ht="30.75" thickBot="1">
      <c r="A157" s="1429">
        <f t="shared" ca="1" si="223"/>
        <v>9</v>
      </c>
      <c r="B157" s="1429">
        <f ca="1">IF(OR(C157=1,D157=1),SUMIF($A$20:A157,A157,$C$20:C157),"")</f>
        <v>2</v>
      </c>
      <c r="C157" s="1429">
        <f t="shared" si="224"/>
        <v>1</v>
      </c>
      <c r="D157" s="1445" t="str">
        <f t="shared" si="225"/>
        <v/>
      </c>
      <c r="E157" s="1445"/>
      <c r="F157" s="1440" t="str">
        <f t="shared" ca="1" si="226"/>
        <v>9.2</v>
      </c>
      <c r="G157" s="1440">
        <v>91931</v>
      </c>
      <c r="H157" s="1441" t="str">
        <f>VLOOKUP($G157,IF(LEFT($G157,3)="AMM",COMPOSIÇÕES!$B$1:$E$4184,'BANCO DE DADOS JAN-23 SERV'!$B$2:$F$7195),2,FALSE)</f>
        <v>CABO DE COBRE FLEXÍVEL ISOLADO, 6 MM², ANTI-CHAMA 0,6/1,0 KV, PARA CIRCUITOS TERMINAIS - FORNECIMENTO E INSTALAÇÃO. AF_12/2015</v>
      </c>
      <c r="I157" s="1442" t="str">
        <f>VLOOKUP($G157,IF(LEFT($G157,3)="AMM",COMPOSIÇÕES!$B$1:$E$4184,'BANCO DE DADOS JAN-23 SERV'!$B$2:$F$7195),3,FALSE)</f>
        <v>M</v>
      </c>
      <c r="J157" s="1443">
        <v>15</v>
      </c>
      <c r="K157" s="1444">
        <f>VLOOKUP($G157,IF(LEFT($G157,3)="AMM",COMPOSIÇÕES!$B$1:$E$4184,'BANCO DE DADOS JAN-23 SERV'!$B$2:$F$7195),4,FALSE)</f>
        <v>8.9700000000000006</v>
      </c>
      <c r="L157" s="1444">
        <f t="shared" si="227"/>
        <v>11.34</v>
      </c>
      <c r="M157" s="1083">
        <f t="shared" si="228"/>
        <v>170.1</v>
      </c>
      <c r="N157" s="1186"/>
      <c r="O157" s="1439" t="s">
        <v>6975</v>
      </c>
      <c r="P157" s="1186" t="str">
        <f t="shared" ca="1" si="229"/>
        <v>9.2</v>
      </c>
    </row>
    <row r="158" spans="1:18" s="1429" customFormat="1" ht="45.75" thickBot="1">
      <c r="A158" s="1429">
        <f t="shared" ref="A158:A161" ca="1" si="230">IF(LEN(D158),OFFSET(A158,-1,0)+1,OFFSET(A158,-1,0))</f>
        <v>9</v>
      </c>
      <c r="B158" s="1429">
        <f ca="1">IF(OR(C158=1,D158=1),SUMIF($A$20:A158,A158,$C$20:C158),"")</f>
        <v>3</v>
      </c>
      <c r="C158" s="1429">
        <f t="shared" ref="C158:C161" si="231">IF(G158&gt;0,1,"")</f>
        <v>1</v>
      </c>
      <c r="D158" s="1445" t="str">
        <f t="shared" ref="D158:D161" si="232">IF(AND(CONCATENATE(G158,H158,I158,J158,K158,L158,M158)=H158&amp;M158,CONCATENATE(G158,H158,I158,J158,K158,L158,M158)&lt;&gt;"",M158&lt;&gt;""),1,"")</f>
        <v/>
      </c>
      <c r="E158" s="1445"/>
      <c r="F158" s="1440" t="str">
        <f t="shared" ref="F158:F161" ca="1" si="233">IF(B158&lt;&gt;"",A158&amp;"."&amp;B158,"")</f>
        <v>9.3</v>
      </c>
      <c r="G158" s="1440" t="str">
        <f>'COMP. ELETRICO '!B167</f>
        <v>AMM ELE 013</v>
      </c>
      <c r="H158" s="1441" t="str">
        <f>VLOOKUP($G158,IF(LEFT($G158,3)="AMM",COMPOSIÇÕES!$B$1:$E$4184,'BANCO DE DADOS JAN-23 SERV'!$B$2:$F$7195),2,FALSE)</f>
        <v>ELETRODUTO DE AÇO GALVANIZADO, CLASSE LEVE, DN 25 MM (1 ), APARENTE, INSTALADO EM
PAREDE - FORNECIMENTO E INSTALAÇÃO. AF_11/2016_P</v>
      </c>
      <c r="I158" s="1442" t="str">
        <f>VLOOKUP($G158,IF(LEFT($G158,3)="AMM",COMPOSIÇÕES!$B$1:$E$4184,'BANCO DE DADOS JAN-23 SERV'!$B$2:$F$7195),3,FALSE)</f>
        <v xml:space="preserve">UN </v>
      </c>
      <c r="J158" s="1443">
        <v>28</v>
      </c>
      <c r="K158" s="1444">
        <f>VLOOKUP($G158,IF(LEFT($G158,3)="AMM",COMPOSIÇÕES!$B$1:$E$4184,'BANCO DE DADOS JAN-23 SERV'!$B$2:$F$7195),4,FALSE)</f>
        <v>28.39</v>
      </c>
      <c r="L158" s="1444">
        <f t="shared" si="227"/>
        <v>35.9</v>
      </c>
      <c r="M158" s="1083">
        <f t="shared" si="228"/>
        <v>1005.2</v>
      </c>
      <c r="N158" s="1186"/>
      <c r="O158" s="1439" t="s">
        <v>6975</v>
      </c>
      <c r="P158" s="1186" t="str">
        <f t="shared" ca="1" si="229"/>
        <v>9.3</v>
      </c>
    </row>
    <row r="159" spans="1:18" s="1429" customFormat="1" ht="30.75" thickBot="1">
      <c r="A159" s="1429">
        <f t="shared" ca="1" si="230"/>
        <v>9</v>
      </c>
      <c r="B159" s="1429">
        <f ca="1">IF(OR(C159=1,D159=1),SUMIF($A$20:A159,A159,$C$20:C159),"")</f>
        <v>4</v>
      </c>
      <c r="C159" s="1429">
        <f t="shared" si="231"/>
        <v>1</v>
      </c>
      <c r="D159" s="1445" t="str">
        <f t="shared" si="232"/>
        <v/>
      </c>
      <c r="E159" s="1445"/>
      <c r="F159" s="1440" t="str">
        <f t="shared" ca="1" si="233"/>
        <v>9.4</v>
      </c>
      <c r="G159" s="1440" t="str">
        <f>'COMP. ELETRICO '!B178</f>
        <v>AMM ELE 014</v>
      </c>
      <c r="H159" s="1441" t="str">
        <f>VLOOKUP($G159,IF(LEFT($G159,3)="AMM",COMPOSIÇÕES!$B$1:$E$4184,'BANCO DE DADOS JAN-23 SERV'!$B$2:$F$7195),2,FALSE)</f>
        <v>LUVA DE EMENDA PARA ELETRODUTO, AÇO GALVANIZADO, DN 25 MM (1''), APARENTE, INSTALADA EM PAREDE - FORNECIMENTO E INSTALAÇÃO. AF_11/2016_P</v>
      </c>
      <c r="I159" s="1442" t="str">
        <f>VLOOKUP($G159,IF(LEFT($G159,3)="AMM",COMPOSIÇÕES!$B$1:$E$4184,'BANCO DE DADOS JAN-23 SERV'!$B$2:$F$7195),3,FALSE)</f>
        <v xml:space="preserve">UN </v>
      </c>
      <c r="J159" s="1443">
        <v>10</v>
      </c>
      <c r="K159" s="1444">
        <f>VLOOKUP($G159,IF(LEFT($G159,3)="AMM",COMPOSIÇÕES!$B$1:$E$4184,'BANCO DE DADOS JAN-23 SERV'!$B$2:$F$7195),4,FALSE)</f>
        <v>9.6900000000000013</v>
      </c>
      <c r="L159" s="1444">
        <f t="shared" si="227"/>
        <v>12.25</v>
      </c>
      <c r="M159" s="1083">
        <f t="shared" si="228"/>
        <v>122.5</v>
      </c>
      <c r="N159" s="1186"/>
      <c r="O159" s="1439" t="s">
        <v>6975</v>
      </c>
      <c r="P159" s="1186" t="str">
        <f t="shared" ca="1" si="229"/>
        <v>9.4</v>
      </c>
    </row>
    <row r="160" spans="1:18" s="1429" customFormat="1" ht="30.75" thickBot="1">
      <c r="A160" s="1429">
        <f t="shared" ca="1" si="230"/>
        <v>9</v>
      </c>
      <c r="B160" s="1429">
        <f ca="1">IF(OR(C160=1,D160=1),SUMIF($A$20:A160,A160,$C$20:C160),"")</f>
        <v>5</v>
      </c>
      <c r="C160" s="1429">
        <f t="shared" si="231"/>
        <v>1</v>
      </c>
      <c r="D160" s="1445" t="str">
        <f t="shared" si="232"/>
        <v/>
      </c>
      <c r="E160" s="1445"/>
      <c r="F160" s="1440" t="str">
        <f t="shared" ca="1" si="233"/>
        <v>9.5</v>
      </c>
      <c r="G160" s="1440">
        <v>101632</v>
      </c>
      <c r="H160" s="1441" t="str">
        <f>VLOOKUP($G160,IF(LEFT($G160,3)="AMM",COMPOSIÇÕES!$B$1:$E$4184,'BANCO DE DADOS JAN-23 SERV'!$B$2:$F$7195),2,FALSE)</f>
        <v>RELÉ FOTOELÉTRICO PARA COMANDO DE ILUMINAÇÃO EXTERNA 1000 W - FORNECIMENTO E INSTALAÇÃO. AF_08/2020</v>
      </c>
      <c r="I160" s="1442" t="str">
        <f>VLOOKUP($G160,IF(LEFT($G160,3)="AMM",COMPOSIÇÕES!$B$1:$E$4184,'BANCO DE DADOS JAN-23 SERV'!$B$2:$F$7195),3,FALSE)</f>
        <v>UN</v>
      </c>
      <c r="J160" s="1443">
        <v>2</v>
      </c>
      <c r="K160" s="1444">
        <f>VLOOKUP($G160,IF(LEFT($G160,3)="AMM",COMPOSIÇÕES!$B$1:$E$4184,'BANCO DE DADOS JAN-23 SERV'!$B$2:$F$7195),4,FALSE)</f>
        <v>36.869999999999997</v>
      </c>
      <c r="L160" s="1444">
        <f t="shared" si="227"/>
        <v>46.62</v>
      </c>
      <c r="M160" s="1083">
        <f t="shared" si="228"/>
        <v>93.24</v>
      </c>
      <c r="N160" s="1186"/>
      <c r="O160" s="1439" t="s">
        <v>6975</v>
      </c>
      <c r="P160" s="1186" t="str">
        <f t="shared" ca="1" si="229"/>
        <v>9.5</v>
      </c>
    </row>
    <row r="161" spans="1:18" s="1429" customFormat="1" ht="30.75" thickBot="1">
      <c r="A161" s="1429">
        <f t="shared" ca="1" si="230"/>
        <v>9</v>
      </c>
      <c r="B161" s="1429">
        <f ca="1">IF(OR(C161=1,D161=1),SUMIF($A$20:A161,A161,$C$20:C161),"")</f>
        <v>6</v>
      </c>
      <c r="C161" s="1429">
        <f t="shared" si="231"/>
        <v>1</v>
      </c>
      <c r="D161" s="1445" t="str">
        <f t="shared" si="232"/>
        <v/>
      </c>
      <c r="E161" s="1445"/>
      <c r="F161" s="1440" t="str">
        <f t="shared" ca="1" si="233"/>
        <v>9.6</v>
      </c>
      <c r="G161" s="1440">
        <v>101876</v>
      </c>
      <c r="H161" s="1441" t="str">
        <f>VLOOKUP($G161,IF(LEFT($G161,3)="AMM",COMPOSIÇÕES!$B$1:$E$4184,'BANCO DE DADOS JAN-23 SERV'!$B$2:$F$7195),2,FALSE)</f>
        <v>QUADRO DE DISTRIBUIÇÃO DE ENERGIA EM PVC, DE EMBUTIR, SEM BARRAMENTO, PARA 6 DISJUNTORES - FORNECIMENTO E INSTALAÇÃO. AF_10/2020</v>
      </c>
      <c r="I161" s="1442" t="str">
        <f>VLOOKUP($G161,IF(LEFT($G161,3)="AMM",COMPOSIÇÕES!$B$1:$E$4184,'BANCO DE DADOS JAN-23 SERV'!$B$2:$F$7195),3,FALSE)</f>
        <v>UN</v>
      </c>
      <c r="J161" s="1443">
        <v>1</v>
      </c>
      <c r="K161" s="1444">
        <f>VLOOKUP($G161,IF(LEFT($G161,3)="AMM",COMPOSIÇÕES!$B$1:$E$4184,'BANCO DE DADOS JAN-23 SERV'!$B$2:$F$7195),4,FALSE)</f>
        <v>84.89</v>
      </c>
      <c r="L161" s="1444">
        <f t="shared" si="227"/>
        <v>107.33</v>
      </c>
      <c r="M161" s="1083">
        <f t="shared" si="228"/>
        <v>107.33</v>
      </c>
      <c r="N161" s="1186"/>
      <c r="O161" s="1439" t="s">
        <v>6975</v>
      </c>
      <c r="P161" s="1186" t="str">
        <f t="shared" ca="1" si="229"/>
        <v>9.6</v>
      </c>
    </row>
    <row r="162" spans="1:18" s="1429" customFormat="1" ht="16.5" thickBot="1">
      <c r="A162" s="1429">
        <f t="shared" ref="A162:A168" ca="1" si="234">IF(LEN(D162),OFFSET(A162,-1,0)+1,OFFSET(A162,-1,0))</f>
        <v>9</v>
      </c>
      <c r="B162" s="1429">
        <f ca="1">IF(OR(C162=1,D162=1),SUMIF($A$20:A162,A162,$C$20:C162),"")</f>
        <v>7</v>
      </c>
      <c r="C162" s="1429">
        <f t="shared" ref="C162:C168" si="235">IF(G162&gt;0,1,"")</f>
        <v>1</v>
      </c>
      <c r="D162" s="1445" t="str">
        <f t="shared" ref="D162:D168" si="236">IF(AND(CONCATENATE(G162,H162,I162,J162,K162,L162,M162)=H162&amp;M162,CONCATENATE(G162,H162,I162,J162,K162,L162,M162)&lt;&gt;"",M162&lt;&gt;""),1,"")</f>
        <v/>
      </c>
      <c r="E162" s="1445"/>
      <c r="F162" s="1440" t="str">
        <f t="shared" ref="F162:F168" ca="1" si="237">IF(B162&lt;&gt;"",A162&amp;"."&amp;B162,"")</f>
        <v>9.7</v>
      </c>
      <c r="G162" s="1440">
        <v>97054</v>
      </c>
      <c r="H162" s="1441" t="str">
        <f>VLOOKUP($G162,IF(LEFT($G162,3)="AMM",COMPOSIÇÕES!$B$1:$E$4184,'BANCO DE DADOS JAN-23 SERV'!$B$2:$F$7195),2,FALSE)</f>
        <v>INSTALAÇÃO DE SINALIZADOR NOTURNO LED. AF_11/2017</v>
      </c>
      <c r="I162" s="1442" t="str">
        <f>VLOOKUP($G162,IF(LEFT($G162,3)="AMM",COMPOSIÇÕES!$B$1:$E$4184,'BANCO DE DADOS JAN-23 SERV'!$B$2:$F$7195),3,FALSE)</f>
        <v>UN</v>
      </c>
      <c r="J162" s="1443">
        <v>1</v>
      </c>
      <c r="K162" s="1444">
        <f>VLOOKUP($G162,IF(LEFT($G162,3)="AMM",COMPOSIÇÕES!$B$1:$E$4184,'BANCO DE DADOS JAN-23 SERV'!$B$2:$F$7195),4,FALSE)</f>
        <v>27.32</v>
      </c>
      <c r="L162" s="1444">
        <f t="shared" si="227"/>
        <v>34.54</v>
      </c>
      <c r="M162" s="1083">
        <f t="shared" si="228"/>
        <v>34.54</v>
      </c>
      <c r="N162" s="1186"/>
      <c r="O162" s="1439" t="s">
        <v>6975</v>
      </c>
      <c r="P162" s="1186" t="str">
        <f t="shared" ca="1" si="229"/>
        <v>9.7</v>
      </c>
    </row>
    <row r="163" spans="1:18" s="1429" customFormat="1" ht="45.75" thickBot="1">
      <c r="A163" s="1429">
        <f t="shared" ca="1" si="234"/>
        <v>9</v>
      </c>
      <c r="B163" s="1429">
        <f ca="1">IF(OR(C163=1,D163=1),SUMIF($A$20:A163,A163,$C$20:C163),"")</f>
        <v>8</v>
      </c>
      <c r="C163" s="1429">
        <f t="shared" si="235"/>
        <v>1</v>
      </c>
      <c r="D163" s="1445" t="str">
        <f t="shared" si="236"/>
        <v/>
      </c>
      <c r="E163" s="1445"/>
      <c r="F163" s="1440" t="str">
        <f t="shared" ca="1" si="237"/>
        <v>9.8</v>
      </c>
      <c r="G163" s="1440">
        <v>101637</v>
      </c>
      <c r="H163" s="1441" t="str">
        <f>VLOOKUP($G163,IF(LEFT($G163,3)="AMM",COMPOSIÇÕES!$B$1:$E$4184,'BANCO DE DADOS JAN-23 SERV'!$B$2:$F$7195),2,FALSE)</f>
        <v>BRAÇO PARA ILUMINAÇÃO PÚBLICA, EM TUBO DE AÇO GALVANIZADO, COMPRIMENTO DE 1,50 M, PARA FIXAÇÃO EM POSTE METÁLICO - FORNECIMENTO E INSTALAÇÃO. AF_08/2020</v>
      </c>
      <c r="I163" s="1442" t="str">
        <f>VLOOKUP($G163,IF(LEFT($G163,3)="AMM",COMPOSIÇÕES!$B$1:$E$4184,'BANCO DE DADOS JAN-23 SERV'!$B$2:$F$7195),3,FALSE)</f>
        <v>UN</v>
      </c>
      <c r="J163" s="1443">
        <v>1</v>
      </c>
      <c r="K163" s="1444">
        <f>VLOOKUP($G163,IF(LEFT($G163,3)="AMM",COMPOSIÇÕES!$B$1:$E$4184,'BANCO DE DADOS JAN-23 SERV'!$B$2:$F$7195),4,FALSE)</f>
        <v>139.41</v>
      </c>
      <c r="L163" s="1444">
        <f t="shared" si="227"/>
        <v>176.27</v>
      </c>
      <c r="M163" s="1083">
        <f t="shared" si="228"/>
        <v>176.27</v>
      </c>
      <c r="N163" s="1186"/>
      <c r="O163" s="1439" t="s">
        <v>6975</v>
      </c>
      <c r="P163" s="1186" t="str">
        <f t="shared" ca="1" si="229"/>
        <v>9.8</v>
      </c>
    </row>
    <row r="164" spans="1:18" s="1429" customFormat="1" ht="30.75" thickBot="1">
      <c r="A164" s="1429">
        <f t="shared" ca="1" si="234"/>
        <v>9</v>
      </c>
      <c r="B164" s="1429">
        <f ca="1">IF(OR(C164=1,D164=1),SUMIF($A$20:A164,A164,$C$20:C164),"")</f>
        <v>9</v>
      </c>
      <c r="C164" s="1429">
        <f t="shared" si="235"/>
        <v>1</v>
      </c>
      <c r="D164" s="1445" t="str">
        <f t="shared" si="236"/>
        <v/>
      </c>
      <c r="E164" s="1445"/>
      <c r="F164" s="1440" t="str">
        <f t="shared" ca="1" si="237"/>
        <v>9.9</v>
      </c>
      <c r="G164" s="1440">
        <v>101659</v>
      </c>
      <c r="H164" s="1441" t="str">
        <f>VLOOKUP($G164,IF(LEFT($G164,3)="AMM",COMPOSIÇÕES!$B$1:$E$4184,'BANCO DE DADOS JAN-23 SERV'!$B$2:$F$7195),2,FALSE)</f>
        <v>LUMINÁRIA DE LED PARA ILUMINAÇÃO PÚBLICA, DE 181 W ATÉ 239 W - FORNECIMENTO E INSTALAÇÃO. AF_08/2020</v>
      </c>
      <c r="I164" s="1442" t="str">
        <f>VLOOKUP($G164,IF(LEFT($G164,3)="AMM",COMPOSIÇÕES!$B$1:$E$4184,'BANCO DE DADOS JAN-23 SERV'!$B$2:$F$7195),3,FALSE)</f>
        <v>UN</v>
      </c>
      <c r="J164" s="1443">
        <v>1</v>
      </c>
      <c r="K164" s="1444">
        <f>VLOOKUP($G164,IF(LEFT($G164,3)="AMM",COMPOSIÇÕES!$B$1:$E$4184,'BANCO DE DADOS JAN-23 SERV'!$B$2:$F$7195),4,FALSE)</f>
        <v>732.42</v>
      </c>
      <c r="L164" s="1444">
        <f t="shared" si="227"/>
        <v>926.07</v>
      </c>
      <c r="M164" s="1083">
        <f t="shared" si="228"/>
        <v>926.07</v>
      </c>
      <c r="N164" s="1186"/>
      <c r="O164" s="1439" t="s">
        <v>6975</v>
      </c>
      <c r="P164" s="1186" t="str">
        <f t="shared" ca="1" si="229"/>
        <v>9.9</v>
      </c>
    </row>
    <row r="165" spans="1:18" s="1035" customFormat="1" ht="30.75" thickBot="1">
      <c r="A165" s="1035">
        <f t="shared" ca="1" si="234"/>
        <v>9</v>
      </c>
      <c r="B165" s="1035">
        <f ca="1">IF(OR(C165=1,D165=1),SUMIF($A$20:A165,A165,$C$20:C165),"")</f>
        <v>10</v>
      </c>
      <c r="C165" s="1035">
        <f t="shared" si="235"/>
        <v>1</v>
      </c>
      <c r="D165" s="1036" t="str">
        <f t="shared" si="236"/>
        <v/>
      </c>
      <c r="E165" s="1036"/>
      <c r="F165" s="561" t="str">
        <f t="shared" ca="1" si="237"/>
        <v>9.10</v>
      </c>
      <c r="G165" s="561">
        <v>97667</v>
      </c>
      <c r="H165" s="574" t="str">
        <f>VLOOKUP($G165,IF(LEFT($G165,3)="AMM",COMPOSIÇÕES!$B$1:$E$4184,'BANCO DE DADOS JAN-23 SERV'!$B$2:$F$7195),2,FALSE)</f>
        <v>ELETRODUTO FLEXÍVEL CORRUGADO, PEAD, DN 50 (1 1/2"), PARA REDE ENTERRADA DE DISTRIBUIÇÃO DE ENERGIA ELÉTRICA - FORNECIMENTO E INSTALAÇÃO. AF_12/2021</v>
      </c>
      <c r="I165" s="571" t="str">
        <f>VLOOKUP($G165,IF(LEFT($G165,3)="AMM",COMPOSIÇÕES!$B$1:$E$4184,'BANCO DE DADOS JAN-23 SERV'!$B$2:$F$7195),3,FALSE)</f>
        <v>M</v>
      </c>
      <c r="J165" s="632">
        <v>40</v>
      </c>
      <c r="K165" s="697">
        <f>VLOOKUP($G165,IF(LEFT($G165,3)="AMM",COMPOSIÇÕES!$B$1:$E$4184,'BANCO DE DADOS JAN-23 SERV'!$B$2:$F$7195),4,FALSE)</f>
        <v>8.52</v>
      </c>
      <c r="L165" s="697">
        <f t="shared" si="227"/>
        <v>10.77</v>
      </c>
      <c r="M165" s="1083">
        <f t="shared" si="228"/>
        <v>430.8</v>
      </c>
      <c r="N165" s="1037"/>
      <c r="O165" s="758" t="s">
        <v>6975</v>
      </c>
      <c r="P165" s="1037" t="str">
        <f t="shared" ca="1" si="229"/>
        <v>9.10</v>
      </c>
    </row>
    <row r="166" spans="1:18" s="1035" customFormat="1" ht="30.75" thickBot="1">
      <c r="A166" s="1035">
        <f t="shared" ca="1" si="234"/>
        <v>9</v>
      </c>
      <c r="B166" s="1035">
        <f ca="1">IF(OR(C166=1,D166=1),SUMIF($A$20:A166,A166,$C$20:C166),"")</f>
        <v>11</v>
      </c>
      <c r="C166" s="1035">
        <f t="shared" si="235"/>
        <v>1</v>
      </c>
      <c r="D166" s="1036" t="str">
        <f t="shared" si="236"/>
        <v/>
      </c>
      <c r="E166" s="1036"/>
      <c r="F166" s="561" t="str">
        <f t="shared" ca="1" si="237"/>
        <v>9.11</v>
      </c>
      <c r="G166" s="561">
        <v>97887</v>
      </c>
      <c r="H166" s="574" t="str">
        <f>VLOOKUP($G166,IF(LEFT($G166,3)="AMM",COMPOSIÇÕES!$B$1:$E$4184,'BANCO DE DADOS JAN-23 SERV'!$B$2:$F$7195),2,FALSE)</f>
        <v>CAIXA ENTERRADA ELÉTRICA RETANGULAR, EM ALVENARIA COM TIJOLOS CERÂMICOS MACIÇOS, FUNDO COM BRITA, DIMENSÕES INTERNAS: 0,4X0,4X0,4 M. AF_12/2020</v>
      </c>
      <c r="I166" s="571" t="str">
        <f>VLOOKUP($G166,IF(LEFT($G166,3)="AMM",COMPOSIÇÕES!$B$1:$E$4184,'BANCO DE DADOS JAN-23 SERV'!$B$2:$F$7195),3,FALSE)</f>
        <v>UN</v>
      </c>
      <c r="J166" s="632">
        <v>3</v>
      </c>
      <c r="K166" s="697">
        <f>VLOOKUP($G166,IF(LEFT($G166,3)="AMM",COMPOSIÇÕES!$B$1:$E$4184,'BANCO DE DADOS JAN-23 SERV'!$B$2:$F$7195),4,FALSE)</f>
        <v>257.20999999999998</v>
      </c>
      <c r="L166" s="697">
        <f t="shared" si="227"/>
        <v>325.22000000000003</v>
      </c>
      <c r="M166" s="1083">
        <f t="shared" si="228"/>
        <v>975.66</v>
      </c>
      <c r="N166" s="1037"/>
      <c r="O166" s="758" t="s">
        <v>6975</v>
      </c>
      <c r="P166" s="1037" t="str">
        <f t="shared" ca="1" si="229"/>
        <v>9.11</v>
      </c>
    </row>
    <row r="167" spans="1:18" s="1035" customFormat="1" ht="30.75" thickBot="1">
      <c r="A167" s="1035">
        <f t="shared" ca="1" si="234"/>
        <v>9</v>
      </c>
      <c r="B167" s="1035">
        <f ca="1">IF(OR(C167=1,D167=1),SUMIF($A$20:A167,A167,$C$20:C167),"")</f>
        <v>12</v>
      </c>
      <c r="C167" s="1035">
        <f t="shared" si="235"/>
        <v>1</v>
      </c>
      <c r="D167" s="1036" t="str">
        <f t="shared" si="236"/>
        <v/>
      </c>
      <c r="E167" s="1036"/>
      <c r="F167" s="561" t="str">
        <f t="shared" ca="1" si="237"/>
        <v>9.12</v>
      </c>
      <c r="G167" s="561">
        <v>96985</v>
      </c>
      <c r="H167" s="574" t="str">
        <f>VLOOKUP($G167,IF(LEFT($G167,3)="AMM",COMPOSIÇÕES!$B$1:$E$4184,'BANCO DE DADOS JAN-23 SERV'!$B$2:$F$7195),2,FALSE)</f>
        <v>HASTE DE ATERRAMENTO 5/8  PARA SPDA - FORNECIMENTO E INSTALAÇÃO. AF_12/2017</v>
      </c>
      <c r="I167" s="571" t="str">
        <f>VLOOKUP($G167,IF(LEFT($G167,3)="AMM",COMPOSIÇÕES!$B$1:$E$4184,'BANCO DE DADOS JAN-23 SERV'!$B$2:$F$7195),3,FALSE)</f>
        <v>UN</v>
      </c>
      <c r="J167" s="632">
        <v>1</v>
      </c>
      <c r="K167" s="697">
        <f>VLOOKUP($G167,IF(LEFT($G167,3)="AMM",COMPOSIÇÕES!$B$1:$E$4184,'BANCO DE DADOS JAN-23 SERV'!$B$2:$F$7195),4,FALSE)</f>
        <v>82.76</v>
      </c>
      <c r="L167" s="697">
        <f t="shared" si="227"/>
        <v>104.64</v>
      </c>
      <c r="M167" s="1083">
        <f t="shared" si="228"/>
        <v>104.64</v>
      </c>
      <c r="N167" s="1037"/>
      <c r="O167" s="758" t="s">
        <v>6975</v>
      </c>
      <c r="P167" s="1037" t="str">
        <f t="shared" ca="1" si="229"/>
        <v>9.12</v>
      </c>
    </row>
    <row r="168" spans="1:18" s="1035" customFormat="1" ht="30.75" thickBot="1">
      <c r="A168" s="1035">
        <f t="shared" ca="1" si="234"/>
        <v>9</v>
      </c>
      <c r="B168" s="1035">
        <f ca="1">IF(OR(C168=1,D168=1),SUMIF($A$20:A168,A168,$C$20:C168),"")</f>
        <v>13</v>
      </c>
      <c r="C168" s="1035">
        <f t="shared" si="235"/>
        <v>1</v>
      </c>
      <c r="D168" s="1036" t="str">
        <f t="shared" si="236"/>
        <v/>
      </c>
      <c r="E168" s="1036"/>
      <c r="F168" s="561" t="str">
        <f t="shared" ca="1" si="237"/>
        <v>9.13</v>
      </c>
      <c r="G168" s="1084">
        <v>98111</v>
      </c>
      <c r="H168" s="574" t="str">
        <f>VLOOKUP($G168,IF(LEFT($G168,3)="AMM",COMPOSIÇÕES!$B$1:$E$4184,'BANCO DE DADOS JAN-23 SERV'!$B$2:$F$7195),2,FALSE)</f>
        <v>CAIXA DE INSPEÇÃO PARA ATERRAMENTO, CIRCULAR, EM POLIETILENO, DIÂMETRO INTERNO = 0,3 M. AF_12/2020</v>
      </c>
      <c r="I168" s="571" t="str">
        <f>VLOOKUP($G168,IF(LEFT($G168,3)="AMM",COMPOSIÇÕES!$B$1:$E$4184,'BANCO DE DADOS JAN-23 SERV'!$B$2:$F$7195),3,FALSE)</f>
        <v>UN</v>
      </c>
      <c r="J168" s="632">
        <v>1</v>
      </c>
      <c r="K168" s="697">
        <f>VLOOKUP($G168,IF(LEFT($G168,3)="AMM",COMPOSIÇÕES!$B$1:$E$4184,'BANCO DE DADOS JAN-23 SERV'!$B$2:$F$7195),4,FALSE)</f>
        <v>61.09</v>
      </c>
      <c r="L168" s="697">
        <f t="shared" si="227"/>
        <v>77.239999999999995</v>
      </c>
      <c r="M168" s="1083">
        <f t="shared" si="228"/>
        <v>77.239999999999995</v>
      </c>
      <c r="N168" s="1037"/>
      <c r="O168" s="758" t="s">
        <v>6975</v>
      </c>
      <c r="P168" s="1037" t="str">
        <f t="shared" ca="1" si="229"/>
        <v>9.13</v>
      </c>
    </row>
    <row r="169" spans="1:18" s="1035" customFormat="1" ht="30.75" thickBot="1">
      <c r="A169" s="1035">
        <f t="shared" ref="A169" ca="1" si="238">IF(LEN(D169),OFFSET(A169,-1,0)+1,OFFSET(A169,-1,0))</f>
        <v>9</v>
      </c>
      <c r="B169" s="1035">
        <f ca="1">IF(OR(C169=1,D169=1),SUMIF($A$20:A169,A169,$C$20:C169),"")</f>
        <v>14</v>
      </c>
      <c r="C169" s="1035">
        <f t="shared" ref="C169" si="239">IF(G169&gt;0,1,"")</f>
        <v>1</v>
      </c>
      <c r="D169" s="1036" t="str">
        <f t="shared" ref="D169" si="240">IF(AND(CONCATENATE(G169,H169,I169,J169,K169,L169,M169)=H169&amp;M169,CONCATENATE(G169,H169,I169,J169,K169,L169,M169)&lt;&gt;"",M169&lt;&gt;""),1,"")</f>
        <v/>
      </c>
      <c r="E169" s="1036"/>
      <c r="F169" s="851" t="str">
        <f t="shared" ref="F169" ca="1" si="241">IF(B169&lt;&gt;"",A169&amp;"."&amp;B169,"")</f>
        <v>9.14</v>
      </c>
      <c r="G169" s="856" t="str">
        <f>'COMP. SPDA '!B16</f>
        <v>AMM SPDA 001</v>
      </c>
      <c r="H169" s="750" t="str">
        <f>VLOOKUP($G169,IF(LEFT($G169,3)="AMM",COMPOSIÇÕES!$B$1:$E$4184,'BANCO DE DADOS JAN-23 SERV'!$B$2:$F$7195),2,FALSE)</f>
        <v>FORNECIMENTO E INSTALAÇÃO DE CONECTOR EM LATÃO TIPO MINI-GAR PARA CABOS DE 16 A 50MM²</v>
      </c>
      <c r="I169" s="751" t="str">
        <f>VLOOKUP($G169,IF(LEFT($G169,3)="AMM",COMPOSIÇÕES!$B$1:$E$4184,'BANCO DE DADOS JAN-23 SERV'!$B$2:$F$7195),3,FALSE)</f>
        <v>UN</v>
      </c>
      <c r="J169" s="632">
        <v>2</v>
      </c>
      <c r="K169" s="852">
        <f>VLOOKUP($G169,IF(LEFT($G169,3)="AMM",COMPOSIÇÕES!$B$1:$E$4184,'BANCO DE DADOS JAN-23 SERV'!$B$2:$F$7195),4,FALSE)</f>
        <v>21.83</v>
      </c>
      <c r="L169" s="852">
        <f t="shared" si="227"/>
        <v>27.6</v>
      </c>
      <c r="M169" s="853">
        <f t="shared" si="228"/>
        <v>55.2</v>
      </c>
      <c r="N169" s="1037"/>
      <c r="O169" s="758" t="s">
        <v>6975</v>
      </c>
      <c r="P169" s="1037" t="str">
        <f t="shared" ca="1" si="229"/>
        <v>9.14</v>
      </c>
    </row>
    <row r="170" spans="1:18" s="302" customFormat="1" ht="16.5" thickBot="1">
      <c r="A170" s="305">
        <f t="shared" ca="1" si="223"/>
        <v>9</v>
      </c>
      <c r="B170" s="305" t="str">
        <f>IF(OR(C170=1,D170=1),SUMIF($A$20:A170,A170,$C$20:C170),"")</f>
        <v/>
      </c>
      <c r="C170" s="305" t="str">
        <f t="shared" si="224"/>
        <v/>
      </c>
      <c r="D170" s="387" t="str">
        <f t="shared" si="225"/>
        <v/>
      </c>
      <c r="E170" s="387"/>
      <c r="F170" s="388" t="str">
        <f t="shared" si="226"/>
        <v/>
      </c>
      <c r="G170" s="389"/>
      <c r="H170" s="363" t="s">
        <v>7184</v>
      </c>
      <c r="I170" s="390"/>
      <c r="J170" s="391"/>
      <c r="K170" s="330"/>
      <c r="L170" s="391"/>
      <c r="M170" s="331"/>
      <c r="N170" s="301"/>
      <c r="O170" s="305"/>
    </row>
    <row r="171" spans="1:18" s="1035" customFormat="1" ht="30.75" customHeight="1" thickBot="1">
      <c r="A171" s="1035">
        <f t="shared" ref="A171:A172" ca="1" si="242">IF(LEN(D171),OFFSET(A171,-1,0)+1,OFFSET(A171,-1,0))</f>
        <v>9</v>
      </c>
      <c r="B171" s="1035">
        <f ca="1">IF(OR(C171=1,D171=1),SUMIF($A$20:A171,A171,$C$20:C171),"")</f>
        <v>15</v>
      </c>
      <c r="C171" s="1035">
        <f t="shared" ref="C171:C172" si="243">IF(G171&gt;0,1,"")</f>
        <v>1</v>
      </c>
      <c r="D171" s="1036" t="str">
        <f t="shared" ref="D171:D172" si="244">IF(AND(CONCATENATE(G171,H171,I171,J171,K171,L171,M171)=H171&amp;M171,CONCATENATE(G171,H171,I171,J171,K171,L171,M171)&lt;&gt;"",M171&lt;&gt;""),1,"")</f>
        <v/>
      </c>
      <c r="E171" s="1036"/>
      <c r="F171" s="561" t="str">
        <f t="shared" ref="F171:F172" ca="1" si="245">IF(B171&lt;&gt;"",A171&amp;"."&amp;B171,"")</f>
        <v>9.15</v>
      </c>
      <c r="G171" s="561" t="str">
        <f>'COMP. ELETRICO '!B14</f>
        <v>AMM ELE 001</v>
      </c>
      <c r="H171" s="574" t="str">
        <f>VLOOKUP($G171,IF(LEFT($G171,3)="AMM",COMPOSIÇÕES!$B$1:$E$4184,'BANCO DE DADOS JAN-23 SERV'!$B$2:$F$7195),2,FALSE)</f>
        <v>FORNECIMENTO E INSTALAÇÃO DE DISPOSITIVO DPS CLASSE II, 1 POLO, TENSAO MAXIMA DE 175 V, CORRENTE MAXIMA DE *45* KA (TIPO AC)</v>
      </c>
      <c r="I171" s="571" t="str">
        <f>VLOOKUP($G171,IF(LEFT($G171,3)="AMM",COMPOSIÇÕES!$B$1:$E$4184,'BANCO DE DADOS JAN-23 SERV'!$B$2:$F$7195),3,FALSE)</f>
        <v>UN</v>
      </c>
      <c r="J171" s="632">
        <v>2</v>
      </c>
      <c r="K171" s="697">
        <f>VLOOKUP($G171,IF(LEFT($G171,3)="AMM",COMPOSIÇÕES!$B$1:$E$4184,'BANCO DE DADOS JAN-23 SERV'!$B$2:$F$7195),4,FALSE)</f>
        <v>122.17999999999999</v>
      </c>
      <c r="L171" s="697">
        <f>IF($P$2="OUTROS",TRUNC(K171*(1+$M$7),2),ROUND(K171*(1+$M$7),2))</f>
        <v>154.47999999999999</v>
      </c>
      <c r="M171" s="1083">
        <f>IF($P$2="OUTROS",TRUNC(L171*J171,2),ROUND(L171*J171,2))</f>
        <v>308.95999999999998</v>
      </c>
      <c r="N171" s="1037"/>
      <c r="O171" s="758" t="s">
        <v>6975</v>
      </c>
      <c r="P171" s="1037" t="str">
        <f ca="1">F171</f>
        <v>9.15</v>
      </c>
      <c r="R171" s="1038"/>
    </row>
    <row r="172" spans="1:18" s="1035" customFormat="1" ht="16.5" thickBot="1">
      <c r="A172" s="1035">
        <f t="shared" ca="1" si="242"/>
        <v>9</v>
      </c>
      <c r="B172" s="1035">
        <f ca="1">IF(OR(C172=1,D172=1),SUMIF($A$20:A172,A172,$C$20:C172),"")</f>
        <v>16</v>
      </c>
      <c r="C172" s="1035">
        <f t="shared" si="243"/>
        <v>1</v>
      </c>
      <c r="D172" s="1036" t="str">
        <f t="shared" si="244"/>
        <v/>
      </c>
      <c r="E172" s="1036"/>
      <c r="F172" s="561" t="str">
        <f t="shared" ca="1" si="245"/>
        <v>9.16</v>
      </c>
      <c r="G172" s="561" t="str">
        <f>'COMP. ELETRICO '!B23</f>
        <v>AMM ELE 002</v>
      </c>
      <c r="H172" s="574" t="str">
        <f>VLOOKUP($G172,IF(LEFT($G172,3)="AMM",COMPOSIÇÕES!$B$1:$E$4184,'BANCO DE DADOS JAN-23 SERV'!$B$2:$F$7195),2,FALSE)</f>
        <v>FORNECIMENTO E INSTALAÇÃO DE PLACA DE SINALIZAÇÃO DE ENERGIA (20X20CM)</v>
      </c>
      <c r="I172" s="571" t="str">
        <f>VLOOKUP($G172,IF(LEFT($G172,3)="AMM",COMPOSIÇÕES!$B$1:$E$4184,'BANCO DE DADOS JAN-23 SERV'!$B$2:$F$7195),3,FALSE)</f>
        <v>UN</v>
      </c>
      <c r="J172" s="632">
        <v>1</v>
      </c>
      <c r="K172" s="697">
        <f>VLOOKUP($G172,IF(LEFT($G172,3)="AMM",COMPOSIÇÕES!$B$1:$E$4184,'BANCO DE DADOS JAN-23 SERV'!$B$2:$F$7195),4,FALSE)</f>
        <v>42.15</v>
      </c>
      <c r="L172" s="697">
        <f>IF($P$2="OUTROS",TRUNC(K172*(1+$M$7),2),ROUND(K172*(1+$M$7),2))</f>
        <v>53.29</v>
      </c>
      <c r="M172" s="1083">
        <f>IF($P$2="OUTROS",TRUNC(L172*J172,2),ROUND(L172*J172,2))</f>
        <v>53.29</v>
      </c>
      <c r="N172" s="1037"/>
      <c r="O172" s="758" t="s">
        <v>6975</v>
      </c>
      <c r="P172" s="1037" t="str">
        <f ca="1">F172</f>
        <v>9.16</v>
      </c>
      <c r="R172" s="1038"/>
    </row>
    <row r="173" spans="1:18" s="1035" customFormat="1" ht="30.75" customHeight="1" thickBot="1">
      <c r="A173" s="1035">
        <f t="shared" ca="1" si="223"/>
        <v>9</v>
      </c>
      <c r="B173" s="1035">
        <f ca="1">IF(OR(C173=1,D173=1),SUMIF($A$20:A173,A173,$C$20:C173),"")</f>
        <v>17</v>
      </c>
      <c r="C173" s="1035">
        <f t="shared" si="224"/>
        <v>1</v>
      </c>
      <c r="D173" s="1036" t="str">
        <f t="shared" si="225"/>
        <v/>
      </c>
      <c r="E173" s="1036"/>
      <c r="F173" s="561" t="str">
        <f t="shared" ca="1" si="226"/>
        <v>9.17</v>
      </c>
      <c r="G173" s="561" t="str">
        <f>'COMP. ELETRICO '!B137</f>
        <v>AMM ELE 011</v>
      </c>
      <c r="H173" s="574" t="str">
        <f>VLOOKUP($G173,IF(LEFT($G173,3)="AMM",COMPOSIÇÕES!$B$1:$E$4184,'BANCO DE DADOS JAN-23 SERV'!$B$2:$F$7195),2,FALSE)</f>
        <v>POSTE DE AÇO CONICO CONTÍNUO CURVO SIMPLES, FLANGEADO, H=9M, INVOLUCRO EM ALUMINIO OU ACO INOX - FORNECIMENTO E INSTALAÇÃO</v>
      </c>
      <c r="I173" s="571" t="str">
        <f>VLOOKUP($G173,IF(LEFT($G173,3)="AMM",COMPOSIÇÕES!$B$1:$E$4184,'BANCO DE DADOS JAN-23 SERV'!$B$2:$F$7195),3,FALSE)</f>
        <v xml:space="preserve">UN    </v>
      </c>
      <c r="J173" s="632">
        <v>1</v>
      </c>
      <c r="K173" s="697">
        <f>VLOOKUP($G173,IF(LEFT($G173,3)="AMM",COMPOSIÇÕES!$B$1:$E$4184,'BANCO DE DADOS JAN-23 SERV'!$B$2:$F$7195),4,FALSE)</f>
        <v>3514.3100000000004</v>
      </c>
      <c r="L173" s="697">
        <f>IF($P$2="OUTROS",TRUNC(K173*(1+$M$7),2),ROUND(K173*(1+$M$7),2))</f>
        <v>4443.49</v>
      </c>
      <c r="M173" s="1083">
        <f>IF($P$2="OUTROS",TRUNC(L173*J173,2),ROUND(L173*J173,2))</f>
        <v>4443.49</v>
      </c>
      <c r="N173" s="1037"/>
      <c r="O173" s="758" t="s">
        <v>6975</v>
      </c>
      <c r="P173" s="1037" t="str">
        <f ca="1">F173</f>
        <v>9.17</v>
      </c>
      <c r="R173" s="1038"/>
    </row>
    <row r="174" spans="1:18" s="1035" customFormat="1" ht="30.75" thickBot="1">
      <c r="A174" s="1035">
        <f t="shared" ca="1" si="223"/>
        <v>9</v>
      </c>
      <c r="B174" s="1035">
        <f ca="1">IF(OR(C174=1,D174=1),SUMIF($A$20:A174,A174,$C$20:C174),"")</f>
        <v>18</v>
      </c>
      <c r="C174" s="1035">
        <f t="shared" si="224"/>
        <v>1</v>
      </c>
      <c r="D174" s="1036" t="str">
        <f t="shared" si="225"/>
        <v/>
      </c>
      <c r="E174" s="1036"/>
      <c r="F174" s="561" t="str">
        <f t="shared" ca="1" si="226"/>
        <v>9.18</v>
      </c>
      <c r="G174" s="561" t="str">
        <f>'COMP. ELETRICO '!B151</f>
        <v>AMM ELE 012</v>
      </c>
      <c r="H174" s="574" t="str">
        <f>VLOOKUP($G174,IF(LEFT($G174,3)="AMM",COMPOSIÇÕES!$B$1:$E$4184,'BANCO DE DADOS JAN-23 SERV'!$B$2:$F$7195),2,FALSE)</f>
        <v>FORNECIMENTO E INSTALAÇAO DE PADRÃO DE ENTRADA DE ENERGIA CATEGORIA "M1" (ENERGISA)</v>
      </c>
      <c r="I174" s="571" t="str">
        <f>VLOOKUP($G174,IF(LEFT($G174,3)="AMM",COMPOSIÇÕES!$B$1:$E$4184,'BANCO DE DADOS JAN-23 SERV'!$B$2:$F$7195),3,FALSE)</f>
        <v>UN</v>
      </c>
      <c r="J174" s="632">
        <v>1</v>
      </c>
      <c r="K174" s="697">
        <f>VLOOKUP($G174,IF(LEFT($G174,3)="AMM",COMPOSIÇÕES!$B$1:$E$4184,'BANCO DE DADOS JAN-23 SERV'!$B$2:$F$7195),4,FALSE)</f>
        <v>1515.92</v>
      </c>
      <c r="L174" s="697">
        <f>IF($P$2="OUTROS",TRUNC(K174*(1+$M$7),2),ROUND(K174*(1+$M$7),2))</f>
        <v>1916.73</v>
      </c>
      <c r="M174" s="1083">
        <f>IF($P$2="OUTROS",TRUNC(L174*J174,2),ROUND(L174*J174,2))</f>
        <v>1916.73</v>
      </c>
      <c r="N174" s="1037"/>
      <c r="O174" s="758" t="s">
        <v>6975</v>
      </c>
      <c r="P174" s="1037" t="str">
        <f ca="1">F174</f>
        <v>9.18</v>
      </c>
      <c r="R174" s="1038"/>
    </row>
    <row r="175" spans="1:18" s="307" customFormat="1" ht="16.5" customHeight="1" thickBot="1">
      <c r="A175" s="305">
        <f t="shared" ref="A175:A185" ca="1" si="246">IF(LEN(D175),OFFSET(A175,-1,0)+1,OFFSET(A175,-1,0))</f>
        <v>9</v>
      </c>
      <c r="B175" s="305" t="str">
        <f>IF(OR(C175=1,D175=1),SUMIF($A$20:A175,A175,$C$20:C175),"")</f>
        <v/>
      </c>
      <c r="C175" s="305" t="str">
        <f t="shared" ref="C175:C185" si="247">IF(G175&gt;0,1,"")</f>
        <v/>
      </c>
      <c r="D175" s="387" t="str">
        <f t="shared" ref="D175:D185" si="248">IF(AND(CONCATENATE(G175,H175,I175,J175,K175,L175,M175)=H175&amp;M175,CONCATENATE(G175,H175,I175,J175,K175,L175,M175)&lt;&gt;"",M175&lt;&gt;""),1,"")</f>
        <v/>
      </c>
      <c r="E175" s="387"/>
      <c r="F175" s="155" t="str">
        <f t="shared" ref="F175:F185" si="249">IF(B175&lt;&gt;"",A175&amp;"."&amp;B175,"")</f>
        <v/>
      </c>
      <c r="G175" s="155"/>
      <c r="H175" s="155"/>
      <c r="I175" s="155"/>
      <c r="J175" s="156"/>
      <c r="K175" s="156"/>
      <c r="L175" s="155"/>
      <c r="M175" s="155"/>
      <c r="N175" s="306"/>
    </row>
    <row r="176" spans="1:18" s="302" customFormat="1" ht="16.5" customHeight="1" thickBot="1">
      <c r="A176" s="305">
        <f t="shared" ca="1" si="246"/>
        <v>10</v>
      </c>
      <c r="B176" s="305">
        <f ca="1">IF(OR(C176=1,D176=1),SUMIF($A$20:A176,A176,$C$20:C176),"")</f>
        <v>0</v>
      </c>
      <c r="C176" s="305" t="str">
        <f t="shared" si="247"/>
        <v/>
      </c>
      <c r="D176" s="387">
        <f t="shared" si="248"/>
        <v>1</v>
      </c>
      <c r="E176" s="387"/>
      <c r="F176" s="157" t="str">
        <f t="shared" ca="1" si="249"/>
        <v>10.0</v>
      </c>
      <c r="G176" s="158"/>
      <c r="H176" s="159" t="s">
        <v>7185</v>
      </c>
      <c r="I176" s="160"/>
      <c r="J176" s="161"/>
      <c r="K176" s="162"/>
      <c r="L176" s="162"/>
      <c r="M176" s="163">
        <f>SUM(M177:M185)</f>
        <v>4666.8100000000004</v>
      </c>
      <c r="N176" s="301"/>
      <c r="O176" s="305"/>
    </row>
    <row r="177" spans="1:18" s="1035" customFormat="1" ht="16.5" thickBot="1">
      <c r="A177" s="1035">
        <f t="shared" ca="1" si="246"/>
        <v>10</v>
      </c>
      <c r="B177" s="1035">
        <f ca="1">IF(OR(C177=1,D177=1),SUMIF($A$20:A177,A177,$C$20:C177),"")</f>
        <v>1</v>
      </c>
      <c r="C177" s="1035">
        <f t="shared" si="247"/>
        <v>1</v>
      </c>
      <c r="D177" s="1036" t="str">
        <f t="shared" si="248"/>
        <v/>
      </c>
      <c r="E177" s="1036"/>
      <c r="F177" s="571" t="str">
        <f t="shared" ca="1" si="249"/>
        <v>10.1</v>
      </c>
      <c r="G177" s="1085">
        <v>96989</v>
      </c>
      <c r="H177" s="574" t="str">
        <f>VLOOKUP($G177,IF(LEFT($G177,3)="AMM",COMPOSIÇÕES!$B$1:$E$4184,'BANCO DE DADOS JAN-23 SERV'!$B$2:$F$7195),2,FALSE)</f>
        <v>CAPTOR TIPO FRANKLIN PARA SPDA - FORNECIMENTO E INSTALAÇÃO. AF_12/2017</v>
      </c>
      <c r="I177" s="571" t="str">
        <f>VLOOKUP($G177,IF(LEFT($G177,3)="AMM",COMPOSIÇÕES!$B$1:$E$4184,'BANCO DE DADOS JAN-23 SERV'!$B$2:$F$7195),3,FALSE)</f>
        <v>UN</v>
      </c>
      <c r="J177" s="1094">
        <v>10</v>
      </c>
      <c r="K177" s="697">
        <f>VLOOKUP($G177,IF(LEFT($G177,3)="AMM",COMPOSIÇÕES!$B$1:$E$4184,'BANCO DE DADOS JAN-23 SERV'!$B$2:$F$7195),4,FALSE)</f>
        <v>152.75</v>
      </c>
      <c r="L177" s="697">
        <f t="shared" ref="L177:L181" si="250">IF($P$2="OUTROS",TRUNC(K177*(1+$M$7),2),ROUND(K177*(1+$M$7),2))</f>
        <v>193.14</v>
      </c>
      <c r="M177" s="1086">
        <f t="shared" ref="M177:M181" si="251">IF($P$2="OUTROS",TRUNC(L177*J177,2),ROUND(L177*J177,2))</f>
        <v>1931.4</v>
      </c>
      <c r="N177" s="1037"/>
      <c r="O177" s="758" t="s">
        <v>6976</v>
      </c>
      <c r="P177" s="1037" t="str">
        <f t="shared" ref="P177:P181" ca="1" si="252">F177</f>
        <v>10.1</v>
      </c>
      <c r="R177" s="1038"/>
    </row>
    <row r="178" spans="1:18" s="1035" customFormat="1" ht="30.75" thickBot="1">
      <c r="A178" s="1035">
        <f t="shared" ca="1" si="246"/>
        <v>10</v>
      </c>
      <c r="B178" s="1035">
        <f ca="1">IF(OR(C178=1,D178=1),SUMIF($A$20:A178,A178,$C$20:C178),"")</f>
        <v>2</v>
      </c>
      <c r="C178" s="1035">
        <f t="shared" si="247"/>
        <v>1</v>
      </c>
      <c r="D178" s="1036" t="str">
        <f t="shared" si="248"/>
        <v/>
      </c>
      <c r="E178" s="1036"/>
      <c r="F178" s="571" t="str">
        <f t="shared" ca="1" si="249"/>
        <v>10.2</v>
      </c>
      <c r="G178" s="561">
        <v>91872</v>
      </c>
      <c r="H178" s="574" t="str">
        <f>VLOOKUP($G178,IF(LEFT($G178,3)="AMM",COMPOSIÇÕES!$B$1:$E$4184,'BANCO DE DADOS JAN-23 SERV'!$B$2:$F$7195),2,FALSE)</f>
        <v>ELETRODUTO RÍGIDO ROSCÁVEL, PVC, DN 32 MM (1"), PARA CIRCUITOS TERMINAIS, INSTALADO EM PAREDE - FORNECIMENTO E INSTALAÇÃO. AF_12/2015</v>
      </c>
      <c r="I178" s="571" t="str">
        <f>VLOOKUP($G178,IF(LEFT($G178,3)="AMM",COMPOSIÇÕES!$B$1:$E$4184,'BANCO DE DADOS JAN-23 SERV'!$B$2:$F$7195),3,FALSE)</f>
        <v>M</v>
      </c>
      <c r="J178" s="632">
        <v>3</v>
      </c>
      <c r="K178" s="697">
        <f>VLOOKUP($G178,IF(LEFT($G178,3)="AMM",COMPOSIÇÕES!$B$1:$E$4184,'BANCO DE DADOS JAN-23 SERV'!$B$2:$F$7195),4,FALSE)</f>
        <v>16.57</v>
      </c>
      <c r="L178" s="697">
        <f t="shared" si="250"/>
        <v>20.95</v>
      </c>
      <c r="M178" s="1086">
        <f t="shared" si="251"/>
        <v>62.85</v>
      </c>
      <c r="N178" s="1037"/>
      <c r="O178" s="758" t="s">
        <v>6976</v>
      </c>
      <c r="P178" s="1037" t="str">
        <f t="shared" ca="1" si="252"/>
        <v>10.2</v>
      </c>
      <c r="R178" s="1038"/>
    </row>
    <row r="179" spans="1:18" s="1035" customFormat="1" ht="30.75" thickBot="1">
      <c r="A179" s="1035">
        <f t="shared" ca="1" si="246"/>
        <v>10</v>
      </c>
      <c r="B179" s="1035">
        <f ca="1">IF(OR(C179=1,D179=1),SUMIF($A$20:A179,A179,$C$20:C179),"")</f>
        <v>3</v>
      </c>
      <c r="C179" s="1035">
        <f t="shared" si="247"/>
        <v>1</v>
      </c>
      <c r="D179" s="1036" t="str">
        <f t="shared" si="248"/>
        <v/>
      </c>
      <c r="E179" s="1036"/>
      <c r="F179" s="571" t="str">
        <f t="shared" ca="1" si="249"/>
        <v>10.3</v>
      </c>
      <c r="G179" s="561">
        <v>96985</v>
      </c>
      <c r="H179" s="574" t="str">
        <f>VLOOKUP($G179,IF(LEFT($G179,3)="AMM",COMPOSIÇÕES!$B$1:$E$4184,'BANCO DE DADOS JAN-23 SERV'!$B$2:$F$7195),2,FALSE)</f>
        <v>HASTE DE ATERRAMENTO 5/8  PARA SPDA - FORNECIMENTO E INSTALAÇÃO. AF_12/2017</v>
      </c>
      <c r="I179" s="571" t="str">
        <f>VLOOKUP($G179,IF(LEFT($G179,3)="AMM",COMPOSIÇÕES!$B$1:$E$4184,'BANCO DE DADOS JAN-23 SERV'!$B$2:$F$7195),3,FALSE)</f>
        <v>UN</v>
      </c>
      <c r="J179" s="632">
        <v>1</v>
      </c>
      <c r="K179" s="697">
        <f>VLOOKUP($G179,IF(LEFT($G179,3)="AMM",COMPOSIÇÕES!$B$1:$E$4184,'BANCO DE DADOS JAN-23 SERV'!$B$2:$F$7195),4,FALSE)</f>
        <v>82.76</v>
      </c>
      <c r="L179" s="697">
        <f t="shared" si="250"/>
        <v>104.64</v>
      </c>
      <c r="M179" s="1086">
        <f t="shared" si="251"/>
        <v>104.64</v>
      </c>
      <c r="N179" s="1037"/>
      <c r="O179" s="758" t="s">
        <v>6976</v>
      </c>
      <c r="P179" s="1037" t="str">
        <f t="shared" ca="1" si="252"/>
        <v>10.3</v>
      </c>
      <c r="R179" s="1038"/>
    </row>
    <row r="180" spans="1:18" s="1035" customFormat="1" ht="30.75" thickBot="1">
      <c r="A180" s="1035">
        <f t="shared" ca="1" si="246"/>
        <v>10</v>
      </c>
      <c r="B180" s="1035">
        <f ca="1">IF(OR(C180=1,D180=1),SUMIF($A$20:A180,A180,$C$20:C180),"")</f>
        <v>4</v>
      </c>
      <c r="C180" s="1035">
        <f t="shared" si="247"/>
        <v>1</v>
      </c>
      <c r="D180" s="1036" t="str">
        <f t="shared" si="248"/>
        <v/>
      </c>
      <c r="E180" s="1036"/>
      <c r="F180" s="571" t="str">
        <f t="shared" ca="1" si="249"/>
        <v>10.4</v>
      </c>
      <c r="G180" s="1084">
        <v>98111</v>
      </c>
      <c r="H180" s="574" t="str">
        <f>VLOOKUP($G180,IF(LEFT($G180,3)="AMM",COMPOSIÇÕES!$B$1:$E$4184,'BANCO DE DADOS JAN-23 SERV'!$B$2:$F$7195),2,FALSE)</f>
        <v>CAIXA DE INSPEÇÃO PARA ATERRAMENTO, CIRCULAR, EM POLIETILENO, DIÂMETRO INTERNO = 0,3 M. AF_12/2020</v>
      </c>
      <c r="I180" s="571" t="str">
        <f>VLOOKUP($G180,IF(LEFT($G180,3)="AMM",COMPOSIÇÕES!$B$1:$E$4184,'BANCO DE DADOS JAN-23 SERV'!$B$2:$F$7195),3,FALSE)</f>
        <v>UN</v>
      </c>
      <c r="J180" s="632">
        <f>J177*0.3*0.5</f>
        <v>1.5</v>
      </c>
      <c r="K180" s="697">
        <f>VLOOKUP($G180,IF(LEFT($G180,3)="AMM",COMPOSIÇÕES!$B$1:$E$4184,'BANCO DE DADOS JAN-23 SERV'!$B$2:$F$7195),4,FALSE)</f>
        <v>61.09</v>
      </c>
      <c r="L180" s="697">
        <f t="shared" si="250"/>
        <v>77.239999999999995</v>
      </c>
      <c r="M180" s="1086">
        <f t="shared" si="251"/>
        <v>115.86</v>
      </c>
      <c r="N180" s="1037"/>
      <c r="O180" s="758" t="s">
        <v>6976</v>
      </c>
      <c r="P180" s="1037" t="str">
        <f t="shared" ca="1" si="252"/>
        <v>10.4</v>
      </c>
      <c r="R180" s="1038"/>
    </row>
    <row r="181" spans="1:18" s="1035" customFormat="1" ht="30.75" thickBot="1">
      <c r="A181" s="1035">
        <f t="shared" ca="1" si="246"/>
        <v>10</v>
      </c>
      <c r="B181" s="1035">
        <f ca="1">IF(OR(C181=1,D181=1),SUMIF($A$20:A181,A181,$C$20:C181),"")</f>
        <v>5</v>
      </c>
      <c r="C181" s="1035">
        <f t="shared" si="247"/>
        <v>1</v>
      </c>
      <c r="D181" s="1036" t="str">
        <f t="shared" si="248"/>
        <v/>
      </c>
      <c r="E181" s="1036"/>
      <c r="F181" s="571" t="str">
        <f t="shared" ca="1" si="249"/>
        <v>10.5</v>
      </c>
      <c r="G181" s="1084">
        <v>93358</v>
      </c>
      <c r="H181" s="574" t="str">
        <f>VLOOKUP($G181,IF(LEFT($G181,3)="AMM",COMPOSIÇÕES!$B$1:$E$4184,'BANCO DE DADOS JAN-23 SERV'!$B$2:$F$7195),2,FALSE)</f>
        <v>ESCAVAÇÃO MANUAL DE VALA COM PROFUNDIDADE MENOR OU IGUAL A 1,30 M. AF_02/2021</v>
      </c>
      <c r="I181" s="571" t="str">
        <f>VLOOKUP($G181,IF(LEFT($G181,3)="AMM",COMPOSIÇÕES!$B$1:$E$4184,'BANCO DE DADOS JAN-23 SERV'!$B$2:$F$7195),3,FALSE)</f>
        <v>M3</v>
      </c>
      <c r="J181" s="632">
        <f>J180</f>
        <v>1.5</v>
      </c>
      <c r="K181" s="697">
        <f>VLOOKUP($G181,IF(LEFT($G181,3)="AMM",COMPOSIÇÕES!$B$1:$E$4184,'BANCO DE DADOS JAN-23 SERV'!$B$2:$F$7195),4,FALSE)</f>
        <v>68.91</v>
      </c>
      <c r="L181" s="697">
        <f t="shared" si="250"/>
        <v>87.13</v>
      </c>
      <c r="M181" s="1086">
        <f t="shared" si="251"/>
        <v>130.69999999999999</v>
      </c>
      <c r="N181" s="1037"/>
      <c r="O181" s="758" t="s">
        <v>6976</v>
      </c>
      <c r="P181" s="1037" t="str">
        <f t="shared" ca="1" si="252"/>
        <v>10.5</v>
      </c>
      <c r="R181" s="1038"/>
    </row>
    <row r="182" spans="1:18" s="1035" customFormat="1" ht="16.5" thickBot="1">
      <c r="A182" s="1035">
        <f t="shared" ref="A182" ca="1" si="253">IF(LEN(D182),OFFSET(A182,-1,0)+1,OFFSET(A182,-1,0))</f>
        <v>10</v>
      </c>
      <c r="B182" s="1035">
        <f ca="1">IF(OR(C182=1,D182=1),SUMIF($A$20:A182,A182,$C$20:C182),"")</f>
        <v>6</v>
      </c>
      <c r="C182" s="1035">
        <f t="shared" ref="C182" si="254">IF(G182&gt;0,1,"")</f>
        <v>1</v>
      </c>
      <c r="D182" s="1036" t="str">
        <f t="shared" ref="D182" si="255">IF(AND(CONCATENATE(G182,H182,I182,J182,K182,L182,M182)=H182&amp;M182,CONCATENATE(G182,H182,I182,J182,K182,L182,M182)&lt;&gt;"",M182&lt;&gt;""),1,"")</f>
        <v/>
      </c>
      <c r="E182" s="1036"/>
      <c r="F182" s="571" t="str">
        <f t="shared" ref="F182" ca="1" si="256">IF(B182&lt;&gt;"",A182&amp;"."&amp;B182,"")</f>
        <v>10.6</v>
      </c>
      <c r="G182" s="561">
        <v>93382</v>
      </c>
      <c r="H182" s="574" t="str">
        <f>VLOOKUP($G182,IF(LEFT($G182,3)="AMM",COMPOSIÇÕES!$B$1:$E$4184,'BANCO DE DADOS JAN-23 SERV'!$B$2:$F$7195),2,FALSE)</f>
        <v>REATERRO MANUAL DE VALAS COM COMPACTAÇÃO MECANIZADA. AF_04/2016</v>
      </c>
      <c r="I182" s="571" t="str">
        <f>VLOOKUP($G182,IF(LEFT($G182,3)="AMM",COMPOSIÇÕES!$B$1:$E$4184,'BANCO DE DADOS JAN-23 SERV'!$B$2:$F$7195),3,FALSE)</f>
        <v>M3</v>
      </c>
      <c r="J182" s="632">
        <f>J181</f>
        <v>1.5</v>
      </c>
      <c r="K182" s="697">
        <f>VLOOKUP($G182,IF(LEFT($G182,3)="AMM",COMPOSIÇÕES!$B$1:$E$4184,'BANCO DE DADOS JAN-23 SERV'!$B$2:$F$7195),4,FALSE)</f>
        <v>24.33</v>
      </c>
      <c r="L182" s="697">
        <f t="shared" ref="L182" si="257">IF($P$2="OUTROS",TRUNC(K182*(1+$M$7),2),ROUND(K182*(1+$M$7),2))</f>
        <v>30.76</v>
      </c>
      <c r="M182" s="1086">
        <f t="shared" ref="M182" si="258">IF($P$2="OUTROS",TRUNC(L182*J182,2),ROUND(L182*J182,2))</f>
        <v>46.14</v>
      </c>
      <c r="N182" s="1037"/>
      <c r="O182" s="758" t="s">
        <v>6976</v>
      </c>
      <c r="P182" s="1037" t="str">
        <f t="shared" ref="P182" ca="1" si="259">F182</f>
        <v>10.6</v>
      </c>
      <c r="R182" s="1038"/>
    </row>
    <row r="183" spans="1:18" s="302" customFormat="1" ht="16.5" customHeight="1" thickBot="1">
      <c r="A183" s="305">
        <f t="shared" ca="1" si="246"/>
        <v>10</v>
      </c>
      <c r="B183" s="305" t="str">
        <f>IF(OR(C183=1,D183=1),SUMIF($A$20:A183,A183,$C$20:C183),"")</f>
        <v/>
      </c>
      <c r="C183" s="305" t="str">
        <f t="shared" si="247"/>
        <v/>
      </c>
      <c r="D183" s="387" t="str">
        <f t="shared" si="248"/>
        <v/>
      </c>
      <c r="E183" s="387"/>
      <c r="F183" s="383" t="str">
        <f t="shared" si="249"/>
        <v/>
      </c>
      <c r="G183" s="384"/>
      <c r="H183" s="349" t="s">
        <v>7186</v>
      </c>
      <c r="I183" s="385"/>
      <c r="J183" s="386"/>
      <c r="K183" s="211"/>
      <c r="L183" s="386"/>
      <c r="M183" s="212"/>
      <c r="N183" s="301"/>
      <c r="O183" s="305"/>
    </row>
    <row r="184" spans="1:18" s="1035" customFormat="1" ht="30.75" thickBot="1">
      <c r="A184" s="1035">
        <f t="shared" ca="1" si="246"/>
        <v>10</v>
      </c>
      <c r="B184" s="1035">
        <f ca="1">IF(OR(C184=1,D184=1),SUMIF($A$20:A184,A184,$C$20:C184),"")</f>
        <v>7</v>
      </c>
      <c r="C184" s="1035">
        <f t="shared" si="247"/>
        <v>1</v>
      </c>
      <c r="D184" s="1036" t="str">
        <f t="shared" si="248"/>
        <v/>
      </c>
      <c r="E184" s="1036"/>
      <c r="F184" s="571" t="str">
        <f t="shared" ca="1" si="249"/>
        <v>10.7</v>
      </c>
      <c r="G184" s="1087">
        <v>96973</v>
      </c>
      <c r="H184" s="574" t="str">
        <f>VLOOKUP($G184,IF(LEFT($G184,3)="AMM",COMPOSIÇÕES!$B$1:$E$4184,'BANCO DE DADOS JAN-23 SERV'!$B$2:$F$7195),2,FALSE)</f>
        <v>CORDOALHA DE COBRE NU 35 MM², NÃO ENTERRADA, COM ISOLADOR - FORNECIMENTO E INSTALAÇÃO. AF_12/2017</v>
      </c>
      <c r="I184" s="571" t="str">
        <f>VLOOKUP($G184,IF(LEFT($G184,3)="AMM",COMPOSIÇÕES!$B$1:$E$4184,'BANCO DE DADOS JAN-23 SERV'!$B$2:$F$7195),3,FALSE)</f>
        <v>M</v>
      </c>
      <c r="J184" s="632">
        <v>30</v>
      </c>
      <c r="K184" s="697">
        <f>VLOOKUP($G184,IF(LEFT($G184,3)="AMM",COMPOSIÇÕES!$B$1:$E$4184,'BANCO DE DADOS JAN-23 SERV'!$B$2:$F$7195),4,FALSE)</f>
        <v>59.12</v>
      </c>
      <c r="L184" s="697">
        <f t="shared" ref="L184" si="260">IF($P$2="OUTROS",TRUNC(K184*(1+$M$7),2),ROUND(K184*(1+$M$7),2))</f>
        <v>74.75</v>
      </c>
      <c r="M184" s="1086">
        <f t="shared" ref="M184" si="261">IF($P$2="OUTROS",TRUNC(L184*J184,2),ROUND(L184*J184,2))</f>
        <v>2242.5</v>
      </c>
      <c r="N184" s="1037"/>
      <c r="O184" s="758" t="s">
        <v>6976</v>
      </c>
      <c r="P184" s="1037" t="str">
        <f t="shared" ref="P184" ca="1" si="262">F184</f>
        <v>10.7</v>
      </c>
      <c r="R184" s="1038"/>
    </row>
    <row r="185" spans="1:18" s="1035" customFormat="1" ht="30.75" thickBot="1">
      <c r="A185" s="1035">
        <f t="shared" ca="1" si="246"/>
        <v>10</v>
      </c>
      <c r="B185" s="1035">
        <f ca="1">IF(OR(C185=1,D185=1),SUMIF($A$20:A185,A185,$C$20:C185),"")</f>
        <v>8</v>
      </c>
      <c r="C185" s="1035">
        <f t="shared" si="247"/>
        <v>1</v>
      </c>
      <c r="D185" s="1036" t="str">
        <f t="shared" si="248"/>
        <v/>
      </c>
      <c r="E185" s="1036"/>
      <c r="F185" s="854" t="str">
        <f t="shared" ca="1" si="249"/>
        <v>10.8</v>
      </c>
      <c r="G185" s="561" t="str">
        <f>'COMP. SPDA '!B31</f>
        <v>AMM SPDA 002</v>
      </c>
      <c r="H185" s="574" t="str">
        <f>VLOOKUP($G185,IF(LEFT($G185,3)="AMM",COMPOSIÇÕES!$B$1:$E$4184,'BANCO DE DADOS JAN-23 SERV'!$B$2:$F$7195),2,FALSE)</f>
        <v>TERMINAL OU CONECTOR DE PRESSAO - PARA CABO 35MM2 - FORNECIMENTO E INSTALACAO</v>
      </c>
      <c r="I185" s="571" t="str">
        <f>VLOOKUP($G185,IF(LEFT($G185,3)="AMM",COMPOSIÇÕES!$B$1:$E$4184,'BANCO DE DADOS JAN-23 SERV'!$B$2:$F$7195),3,FALSE)</f>
        <v>UN</v>
      </c>
      <c r="J185" s="632">
        <v>2</v>
      </c>
      <c r="K185" s="697">
        <f>VLOOKUP($G185,IF(LEFT($G185,3)="AMM",COMPOSIÇÕES!$B$1:$E$4184,'BANCO DE DADOS JAN-23 SERV'!$B$2:$F$7195),4,FALSE)</f>
        <v>12.94</v>
      </c>
      <c r="L185" s="697">
        <f t="shared" ref="L185" si="263">IF($P$2="OUTROS",TRUNC(K185*(1+$M$7),2),ROUND(K185*(1+$M$7),2))</f>
        <v>16.36</v>
      </c>
      <c r="M185" s="855">
        <f t="shared" ref="M185" si="264">IF($P$2="OUTROS",TRUNC(L185*J185,2),ROUND(L185*J185,2))</f>
        <v>32.72</v>
      </c>
      <c r="N185" s="1037"/>
      <c r="O185" s="758" t="s">
        <v>6976</v>
      </c>
      <c r="P185" s="1037" t="str">
        <f t="shared" ref="P185" ca="1" si="265">F185</f>
        <v>10.8</v>
      </c>
    </row>
    <row r="186" spans="1:18" s="307" customFormat="1" ht="16.5" customHeight="1" thickBot="1">
      <c r="A186" s="305">
        <f t="shared" ref="A186:A191" ca="1" si="266">IF(LEN(D186),OFFSET(A186,-1,0)+1,OFFSET(A186,-1,0))</f>
        <v>10</v>
      </c>
      <c r="B186" s="305" t="str">
        <f>IF(OR(C186=1,D186=1),SUMIF($A$20:A186,A186,$C$20:C186),"")</f>
        <v/>
      </c>
      <c r="C186" s="305" t="str">
        <f t="shared" ref="C186:C191" si="267">IF(G186&gt;0,1,"")</f>
        <v/>
      </c>
      <c r="D186" s="387" t="str">
        <f t="shared" ref="D186:D191" si="268">IF(AND(CONCATENATE(G186,H186,I186,J186,K186,L186,M186)=H186&amp;M186,CONCATENATE(G186,H186,I186,J186,K186,L186,M186)&lt;&gt;"",M186&lt;&gt;""),1,"")</f>
        <v/>
      </c>
      <c r="E186" s="387"/>
      <c r="F186" s="155" t="str">
        <f t="shared" ref="F186:F191" si="269">IF(B186&lt;&gt;"",A186&amp;"."&amp;B186,"")</f>
        <v/>
      </c>
      <c r="G186" s="155"/>
      <c r="H186" s="155"/>
      <c r="I186" s="155"/>
      <c r="J186" s="156"/>
      <c r="K186" s="156"/>
      <c r="L186" s="155"/>
      <c r="M186" s="155"/>
      <c r="N186" s="306"/>
    </row>
    <row r="187" spans="1:18" s="302" customFormat="1" ht="16.5" customHeight="1" thickBot="1">
      <c r="A187" s="305">
        <f t="shared" ca="1" si="266"/>
        <v>11</v>
      </c>
      <c r="B187" s="305">
        <f ca="1">IF(OR(C187=1,D187=1),SUMIF($A$20:A187,A187,$C$20:C187),"")</f>
        <v>0</v>
      </c>
      <c r="C187" s="305" t="str">
        <f t="shared" si="267"/>
        <v/>
      </c>
      <c r="D187" s="387">
        <f t="shared" si="268"/>
        <v>1</v>
      </c>
      <c r="E187" s="387"/>
      <c r="F187" s="148" t="str">
        <f t="shared" ca="1" si="269"/>
        <v>11.0</v>
      </c>
      <c r="G187" s="149"/>
      <c r="H187" s="150" t="s">
        <v>6835</v>
      </c>
      <c r="I187" s="151"/>
      <c r="J187" s="152"/>
      <c r="K187" s="153"/>
      <c r="L187" s="153"/>
      <c r="M187" s="154">
        <f>SUM(M188:M192)</f>
        <v>31551.420000000002</v>
      </c>
      <c r="N187" s="301"/>
      <c r="O187" s="305"/>
    </row>
    <row r="188" spans="1:18" s="1035" customFormat="1" ht="31.5" customHeight="1" thickBot="1">
      <c r="A188" s="1035">
        <f t="shared" ca="1" si="266"/>
        <v>11</v>
      </c>
      <c r="B188" s="1035">
        <f ca="1">IF(OR(C188=1,D188=1),SUMIF($A$20:A188,A188,$C$20:C188),"")</f>
        <v>1</v>
      </c>
      <c r="C188" s="1035">
        <f t="shared" si="267"/>
        <v>1</v>
      </c>
      <c r="D188" s="1039" t="str">
        <f t="shared" si="268"/>
        <v/>
      </c>
      <c r="E188" s="1039"/>
      <c r="F188" s="1088" t="str">
        <f t="shared" ca="1" si="269"/>
        <v>11.1</v>
      </c>
      <c r="G188" s="1085">
        <v>98524</v>
      </c>
      <c r="H188" s="1089" t="str">
        <f>VLOOKUP($G188,IF(LEFT($G188,3)="AMM",COMPOSIÇÕES!$B$1:$E$4184,'BANCO DE DADOS JAN-23 SERV'!$B$2:$F$7195),2,FALSE)</f>
        <v>LIMPEZA MANUAL DE VEGETAÇÃO EM TERRENO COM ENXADA.AF_05/2018</v>
      </c>
      <c r="I188" s="1090" t="str">
        <f>VLOOKUP($G188,IF(LEFT($G188,3)="AMM",COMPOSIÇÕES!$B$1:$E$4184,'BANCO DE DADOS JAN-23 SERV'!$B$2:$F$7195),3,FALSE)</f>
        <v>M2</v>
      </c>
      <c r="J188" s="1094">
        <f>20*30</f>
        <v>600</v>
      </c>
      <c r="K188" s="1091">
        <f>VLOOKUP($G188,IF(LEFT($G188,3)="AMM",COMPOSIÇÕES!$B$1:$E$4184,'BANCO DE DADOS JAN-23 SERV'!$B$2:$F$7195),4,FALSE)</f>
        <v>2.6</v>
      </c>
      <c r="L188" s="1092">
        <f>IF($P$2="OUTROS",TRUNC(K188*(1+$M$7),2),ROUND(K188*(1+$M$7),2))</f>
        <v>3.29</v>
      </c>
      <c r="M188" s="1093">
        <f>IF($P$2="OUTROS",TRUNC(L188*J188,2),ROUND(L188*J188,2))</f>
        <v>1974</v>
      </c>
      <c r="N188" s="1040"/>
      <c r="O188" s="758" t="s">
        <v>7215</v>
      </c>
      <c r="P188" s="1040" t="str">
        <f ca="1">F188</f>
        <v>11.1</v>
      </c>
    </row>
    <row r="189" spans="1:18" s="1035" customFormat="1" ht="37.5" customHeight="1" thickBot="1">
      <c r="A189" s="1035">
        <f t="shared" ca="1" si="266"/>
        <v>11</v>
      </c>
      <c r="B189" s="1035">
        <f ca="1">IF(OR(C189=1,D189=1),SUMIF($A$20:A189,A189,$C$20:C189),"")</f>
        <v>2</v>
      </c>
      <c r="C189" s="1035">
        <f t="shared" si="267"/>
        <v>1</v>
      </c>
      <c r="D189" s="1039" t="str">
        <f t="shared" si="268"/>
        <v/>
      </c>
      <c r="E189" s="1039"/>
      <c r="F189" s="854" t="str">
        <f t="shared" ca="1" si="269"/>
        <v>11.2</v>
      </c>
      <c r="G189" s="561">
        <v>98522</v>
      </c>
      <c r="H189" s="574" t="str">
        <f>VLOOKUP($G189,IF(LEFT($G189,3)="AMM",COMPOSIÇÕES!$B$1:$E$4184,'BANCO DE DADOS JAN-23 SERV'!$B$2:$F$7195),2,FALSE)</f>
        <v>ALAMBRADO EM MOURÕES DE CONCRETO, COM TELA DE ARAME GALVANIZADO (INCLUSIVE MURETA EM CONCRETO). AF_05/2018</v>
      </c>
      <c r="I189" s="571" t="str">
        <f>VLOOKUP($G189,IF(LEFT($G189,3)="AMM",COMPOSIÇÕES!$B$1:$E$4184,'BANCO DE DADOS JAN-23 SERV'!$B$2:$F$7195),3,FALSE)</f>
        <v>M</v>
      </c>
      <c r="J189" s="632">
        <f>20+20+30+30</f>
        <v>100</v>
      </c>
      <c r="K189" s="697">
        <f>VLOOKUP($G189,IF(LEFT($G189,3)="AMM",COMPOSIÇÕES!$B$1:$E$4184,'BANCO DE DADOS JAN-23 SERV'!$B$2:$F$7195),4,FALSE)</f>
        <v>177.69</v>
      </c>
      <c r="L189" s="697">
        <f>IF($P$2="OUTROS",TRUNC(K189*(1+$M$7),2),ROUND(K189*(1+$M$7),2))</f>
        <v>224.67</v>
      </c>
      <c r="M189" s="855">
        <f>IF($P$2="OUTROS",TRUNC(L189*J189,2),ROUND(L189*J189,2))</f>
        <v>22467</v>
      </c>
      <c r="N189" s="1040"/>
      <c r="O189" s="758" t="s">
        <v>7212</v>
      </c>
      <c r="P189" s="1040" t="str">
        <f ca="1">F189</f>
        <v>11.2</v>
      </c>
    </row>
    <row r="190" spans="1:18" s="1035" customFormat="1" ht="33" customHeight="1" thickBot="1">
      <c r="A190" s="1035">
        <f t="shared" ca="1" si="266"/>
        <v>11</v>
      </c>
      <c r="B190" s="1035">
        <f ca="1">IF(OR(C190=1,D190=1),SUMIF($A$20:A190,A190,$C$20:C190),"")</f>
        <v>3</v>
      </c>
      <c r="C190" s="1035">
        <f t="shared" si="267"/>
        <v>1</v>
      </c>
      <c r="D190" s="1039" t="str">
        <f t="shared" si="268"/>
        <v/>
      </c>
      <c r="E190" s="1039"/>
      <c r="F190" s="851" t="str">
        <f t="shared" ca="1" si="269"/>
        <v>11.3</v>
      </c>
      <c r="G190" s="856" t="str">
        <f>'COMPOSIÇÃO CIVIL'!B65</f>
        <v>AMM CIV 006</v>
      </c>
      <c r="H190" s="750" t="str">
        <f>VLOOKUP($G190,IF(LEFT($G190,3)="AMM",COMPOSIÇÕES!$B$1:$E$4184,'BANCO DE DADOS JAN-23 SERV'!$B$2:$F$7195),2,FALSE)</f>
        <v>PORTÃO EM TUBO DE AÇO GALVANIZADO COM QUADRO DE DN 1 1/4", E BARRAS VERTICAIS DE DN 1" A CADA 10CM</v>
      </c>
      <c r="I190" s="751" t="str">
        <f>VLOOKUP($G190,IF(LEFT($G190,3)="AMM",COMPOSIÇÕES!$B$1:$E$4184,'BANCO DE DADOS JAN-23 SERV'!$B$2:$F$7195),3,FALSE)</f>
        <v>M2</v>
      </c>
      <c r="J190" s="857">
        <v>1</v>
      </c>
      <c r="K190" s="852">
        <f>VLOOKUP($G190,IF(LEFT($G190,3)="AMM",COMPOSIÇÕES!$B$1:$E$4184,'BANCO DE DADOS JAN-23 SERV'!$B$2:$F$7195),4,FALSE)</f>
        <v>556.53</v>
      </c>
      <c r="L190" s="852">
        <f>IF($P$2="OUTROS",TRUNC(K190*(1+$M$7),2),ROUND(K190*(1+$M$7),2))</f>
        <v>703.68</v>
      </c>
      <c r="M190" s="853">
        <f>IF($P$2="OUTROS",TRUNC(L190*J190,2),ROUND(L190*J190,2))</f>
        <v>703.68</v>
      </c>
      <c r="N190" s="1040"/>
      <c r="O190" s="758" t="s">
        <v>7213</v>
      </c>
      <c r="P190" s="1040" t="str">
        <f ca="1">F190</f>
        <v>11.3</v>
      </c>
      <c r="R190" s="1038"/>
    </row>
    <row r="191" spans="1:18" s="1035" customFormat="1" ht="51" customHeight="1" thickBot="1">
      <c r="A191" s="1035">
        <f t="shared" ca="1" si="266"/>
        <v>11</v>
      </c>
      <c r="B191" s="1035">
        <f ca="1">IF(OR(C191=1,D191=1),SUMIF($A$20:A191,A191,$C$20:C191),"")</f>
        <v>4</v>
      </c>
      <c r="C191" s="1035">
        <f t="shared" si="267"/>
        <v>1</v>
      </c>
      <c r="D191" s="1039" t="str">
        <f t="shared" si="268"/>
        <v/>
      </c>
      <c r="E191" s="1039"/>
      <c r="F191" s="561" t="str">
        <f t="shared" ca="1" si="269"/>
        <v>11.4</v>
      </c>
      <c r="G191" s="561">
        <v>5090</v>
      </c>
      <c r="H191" s="574" t="str">
        <f>VLOOKUP($G191,IF(LEFT($G191,3)="AMM",COMPOSIÇÕES!$B$1:$E$4184,'BANCO DE DADOS JAN-23 INS'!$A$2:$F$7195),2,FALSE)</f>
        <v>CADEADO SIMPLES, CORPO EM LATAO MACICO, COM LARGURA DE 25 MM E ALTURA DE APROX 25 MM, HASTE CEMENTADA (NAO LONGA), EM ACO TEMPERADO COM DIAMETRO DE APROX 5,0 MM, INCLUINDO 2 CHAVES</v>
      </c>
      <c r="I191" s="571" t="str">
        <f>VLOOKUP($G191,IF(LEFT($G191,3)="AMM",COMPOSIÇÕES!$B$1:$E$4184,'BANCO DE DADOS JAN-23 INS'!$A$2:$F$7195),3,FALSE)</f>
        <v xml:space="preserve">UN    </v>
      </c>
      <c r="J191" s="632">
        <v>1</v>
      </c>
      <c r="K191" s="697">
        <f>VLOOKUP($G191,IF(LEFT($G191,3)="AMM",COMPOSIÇÕES!$B$1:$E$4184,'BANCO DE DADOS JAN-23 INS'!$A$2:$F$7195),4,FALSE)</f>
        <v>22.73</v>
      </c>
      <c r="L191" s="697">
        <f>IF($P$2="OUTROS",TRUNC(K191*(1+$M$7),2),ROUND(K191*(1+$M$7),2))</f>
        <v>28.74</v>
      </c>
      <c r="M191" s="1083">
        <f>IF($P$2="OUTROS",TRUNC(L191*J191,2),ROUND(L191*J191,2))</f>
        <v>28.74</v>
      </c>
      <c r="N191" s="1040"/>
      <c r="O191" s="758" t="s">
        <v>7214</v>
      </c>
      <c r="P191" s="1040" t="str">
        <f ca="1">F191</f>
        <v>11.4</v>
      </c>
      <c r="R191" s="1038"/>
    </row>
    <row r="192" spans="1:18" s="1035" customFormat="1" ht="33" customHeight="1" thickBot="1">
      <c r="A192" s="1035">
        <f t="shared" ref="A192" ca="1" si="270">IF(LEN(D192),OFFSET(A192,-1,0)+1,OFFSET(A192,-1,0))</f>
        <v>11</v>
      </c>
      <c r="B192" s="1035">
        <f ca="1">IF(OR(C192=1,D192=1),SUMIF($A$20:A192,A192,$C$20:C192),"")</f>
        <v>5</v>
      </c>
      <c r="C192" s="1035">
        <f t="shared" ref="C192" si="271">IF(G192&gt;0,1,"")</f>
        <v>1</v>
      </c>
      <c r="D192" s="1039" t="str">
        <f t="shared" ref="D192" si="272">IF(AND(CONCATENATE(G192,H192,I192,J192,K192,L192,M192)=H192&amp;M192,CONCATENATE(G192,H192,I192,J192,K192,L192,M192)&lt;&gt;"",M192&lt;&gt;""),1,"")</f>
        <v/>
      </c>
      <c r="E192" s="1039"/>
      <c r="F192" s="851" t="str">
        <f t="shared" ref="F192" ca="1" si="273">IF(B192&lt;&gt;"",A192&amp;"."&amp;B192,"")</f>
        <v>11.5</v>
      </c>
      <c r="G192" s="856" t="str">
        <f>'COMPOSIÇÃO CIVIL'!B40</f>
        <v>AMM CIV 003</v>
      </c>
      <c r="H192" s="750" t="str">
        <f>VLOOKUP($G192,IF(LEFT($G192,3)="AMM",COMPOSIÇÕES!$B$1:$E$4184,'BANCO DE DADOS JAN-23 SERV'!$B$2:$F$7195),2,FALSE)</f>
        <v>LASTRO DE BRITA 1</v>
      </c>
      <c r="I192" s="751" t="str">
        <f>VLOOKUP($G192,IF(LEFT($G192,3)="AMM",COMPOSIÇÕES!$B$1:$E$4184,'BANCO DE DADOS JAN-23 SERV'!$B$2:$F$7195),3,FALSE)</f>
        <v>M3</v>
      </c>
      <c r="J192" s="857">
        <f>J188*0.05</f>
        <v>30</v>
      </c>
      <c r="K192" s="852">
        <f>VLOOKUP($G192,IF(LEFT($G192,3)="AMM",COMPOSIÇÕES!$B$1:$E$4184,'BANCO DE DADOS JAN-23 SERV'!$B$2:$F$7195),4,FALSE)</f>
        <v>168.14</v>
      </c>
      <c r="L192" s="852">
        <f>IF($P$2="OUTROS",TRUNC(K192*(1+$M$7),2),ROUND(K192*(1+$M$7),2))</f>
        <v>212.6</v>
      </c>
      <c r="M192" s="853">
        <f>IF($P$2="OUTROS",TRUNC(L192*J192,2),ROUND(L192*J192,2))</f>
        <v>6378</v>
      </c>
      <c r="N192" s="1040"/>
      <c r="O192" s="758" t="s">
        <v>6970</v>
      </c>
      <c r="P192" s="1040" t="str">
        <f ca="1">F192</f>
        <v>11.5</v>
      </c>
      <c r="R192" s="1038"/>
    </row>
    <row r="193" spans="1:17" s="33" customFormat="1" ht="16.5" customHeight="1" thickBot="1">
      <c r="A193" s="305">
        <f ca="1">IF(LEN(D193),OFFSET(A193,-1,0)+1,OFFSET(A193,-1,0))</f>
        <v>11</v>
      </c>
      <c r="B193" s="305" t="str">
        <f>IF(OR(C193=1,D193=1),SUMIF($A$20:A193,A193,$C$20:C193),"")</f>
        <v/>
      </c>
      <c r="C193" s="305" t="str">
        <f t="shared" ref="C193" si="274">IF(G193&gt;0,1,"")</f>
        <v/>
      </c>
      <c r="D193" s="387" t="str">
        <f t="shared" ref="D193" si="275">IF(AND(CONCATENATE(G193,H193,I193,J193,K193,L193,M193)=H193&amp;M193,CONCATENATE(G193,H193,I193,J193,K193,L193,M193)&lt;&gt;"",M193&lt;&gt;""),1,"")</f>
        <v/>
      </c>
      <c r="E193" s="387"/>
      <c r="F193" s="692"/>
      <c r="G193" s="693"/>
      <c r="H193" s="693"/>
      <c r="I193" s="693"/>
      <c r="J193" s="694"/>
      <c r="K193" s="694"/>
      <c r="L193" s="693"/>
      <c r="M193" s="695"/>
      <c r="N193" s="38"/>
      <c r="O193" s="39"/>
    </row>
    <row r="194" spans="1:17" s="307" customFormat="1" ht="16.5" thickBot="1">
      <c r="D194" s="327"/>
      <c r="E194" s="327"/>
      <c r="F194" s="164"/>
      <c r="G194" s="164"/>
      <c r="H194" s="164"/>
      <c r="I194" s="164"/>
      <c r="J194" s="165"/>
      <c r="K194" s="165"/>
      <c r="L194" s="164"/>
      <c r="M194" s="164"/>
      <c r="N194" s="306"/>
    </row>
    <row r="195" spans="1:17" s="221" customFormat="1" ht="28.5" thickBot="1">
      <c r="C195" s="308"/>
      <c r="D195" s="308"/>
      <c r="E195" s="308"/>
      <c r="F195" s="437"/>
      <c r="G195" s="438"/>
      <c r="H195" s="438"/>
      <c r="I195" s="328"/>
      <c r="J195" s="1189"/>
      <c r="K195" s="1597">
        <f ca="1">SUM($M$20:OFFSET(K195,-1,2))/2</f>
        <v>3673638.9699999997</v>
      </c>
      <c r="L195" s="1597"/>
      <c r="M195" s="1598"/>
      <c r="N195" s="309"/>
      <c r="P195" s="310"/>
      <c r="Q195" s="310"/>
    </row>
    <row r="196" spans="1:17" s="302" customFormat="1" ht="16.5" thickBot="1">
      <c r="D196" s="303"/>
      <c r="E196" s="303"/>
      <c r="F196" s="439"/>
      <c r="G196" s="439"/>
      <c r="H196" s="440"/>
      <c r="I196" s="439"/>
      <c r="J196" s="441"/>
      <c r="K196" s="441"/>
      <c r="L196" s="441"/>
      <c r="M196" s="441"/>
      <c r="N196" s="307"/>
    </row>
    <row r="197" spans="1:17" s="302" customFormat="1" ht="24" thickBot="1">
      <c r="D197" s="303"/>
      <c r="E197" s="303"/>
      <c r="F197" s="1568"/>
      <c r="G197" s="1569"/>
      <c r="H197" s="1569"/>
      <c r="I197" s="1569"/>
      <c r="J197" s="1569"/>
      <c r="K197" s="1569"/>
      <c r="L197" s="1569"/>
      <c r="M197" s="1569"/>
      <c r="N197" s="1570"/>
    </row>
    <row r="198" spans="1:17" s="302" customFormat="1" ht="15.75">
      <c r="D198" s="303"/>
      <c r="E198" s="303"/>
      <c r="F198" s="439"/>
      <c r="G198" s="439"/>
      <c r="H198" s="440"/>
      <c r="I198" s="439"/>
      <c r="J198" s="441"/>
      <c r="K198" s="441"/>
      <c r="L198" s="441"/>
      <c r="M198" s="441"/>
      <c r="N198" s="307"/>
      <c r="O198" s="39"/>
    </row>
    <row r="199" spans="1:17" s="302" customFormat="1" ht="15.75">
      <c r="D199" s="303"/>
      <c r="E199" s="303"/>
      <c r="F199" s="439"/>
      <c r="G199" s="439"/>
      <c r="H199" s="440"/>
      <c r="I199" s="439"/>
      <c r="J199" s="441"/>
      <c r="K199" s="441"/>
      <c r="L199" s="441"/>
      <c r="M199" s="441"/>
      <c r="N199" s="307"/>
      <c r="O199" s="39"/>
    </row>
    <row r="200" spans="1:17" s="302" customFormat="1" ht="15.75">
      <c r="D200" s="303"/>
      <c r="E200" s="303"/>
      <c r="F200" s="439"/>
      <c r="G200" s="439"/>
      <c r="H200" s="440"/>
      <c r="I200" s="439"/>
      <c r="J200" s="441"/>
      <c r="K200" s="441"/>
      <c r="L200" s="441"/>
      <c r="M200" s="441"/>
      <c r="N200" s="307"/>
      <c r="O200" s="5"/>
    </row>
    <row r="201" spans="1:17" s="302" customFormat="1" ht="15.75">
      <c r="D201" s="303"/>
      <c r="E201" s="303"/>
      <c r="F201" s="439"/>
      <c r="G201" s="439"/>
      <c r="H201" s="440"/>
      <c r="I201" s="439"/>
      <c r="J201" s="441"/>
      <c r="K201" s="441"/>
      <c r="L201" s="441"/>
      <c r="M201" s="441"/>
      <c r="N201" s="307"/>
      <c r="O201" s="39"/>
    </row>
    <row r="202" spans="1:17" s="302" customFormat="1" ht="15.75">
      <c r="D202" s="303"/>
      <c r="E202" s="303"/>
      <c r="F202" s="439"/>
      <c r="G202" s="439"/>
      <c r="H202" s="440"/>
      <c r="I202" s="439"/>
      <c r="J202" s="441"/>
      <c r="K202" s="441"/>
      <c r="L202" s="441"/>
      <c r="M202" s="441"/>
      <c r="N202" s="307"/>
      <c r="O202" s="39"/>
    </row>
    <row r="203" spans="1:17" s="302" customFormat="1" ht="15.75">
      <c r="D203" s="303"/>
      <c r="E203" s="303"/>
      <c r="F203" s="439"/>
      <c r="G203" s="439"/>
      <c r="H203" s="440"/>
      <c r="I203" s="439"/>
      <c r="J203" s="441"/>
      <c r="K203" s="441"/>
      <c r="L203" s="441"/>
      <c r="M203" s="441"/>
      <c r="N203" s="307"/>
      <c r="O203" s="305"/>
    </row>
    <row r="204" spans="1:17" s="302" customFormat="1" ht="16.5" thickBot="1">
      <c r="D204" s="303"/>
      <c r="E204" s="303"/>
      <c r="F204" s="439"/>
      <c r="G204" s="439"/>
      <c r="H204" s="440"/>
      <c r="I204" s="439"/>
      <c r="J204" s="441"/>
      <c r="K204" s="441"/>
      <c r="L204" s="441"/>
      <c r="M204" s="441"/>
      <c r="N204" s="307"/>
      <c r="O204" s="420"/>
    </row>
    <row r="205" spans="1:17" s="302" customFormat="1" ht="16.5" thickBot="1">
      <c r="D205" s="303"/>
      <c r="E205" s="303"/>
      <c r="F205" s="439"/>
      <c r="G205" s="439"/>
      <c r="H205" s="440"/>
      <c r="I205" s="439"/>
      <c r="J205" s="441"/>
      <c r="K205" s="441"/>
      <c r="L205" s="441"/>
      <c r="M205" s="441"/>
      <c r="N205" s="307"/>
      <c r="O205" s="755"/>
    </row>
    <row r="206" spans="1:17" s="302" customFormat="1" ht="16.5" thickBot="1">
      <c r="D206" s="303"/>
      <c r="E206" s="303"/>
      <c r="F206" s="439"/>
      <c r="G206" s="439"/>
      <c r="H206" s="440"/>
      <c r="I206" s="439"/>
      <c r="J206" s="441"/>
      <c r="K206" s="441"/>
      <c r="L206" s="441"/>
      <c r="M206" s="441"/>
      <c r="N206" s="307"/>
      <c r="O206" s="758"/>
    </row>
    <row r="207" spans="1:17" s="302" customFormat="1" ht="16.5" thickBot="1">
      <c r="D207" s="303"/>
      <c r="E207" s="303"/>
      <c r="F207" s="439"/>
      <c r="G207" s="439"/>
      <c r="H207" s="440"/>
      <c r="I207" s="439"/>
      <c r="J207" s="441"/>
      <c r="K207" s="441"/>
      <c r="L207" s="441"/>
      <c r="M207" s="441"/>
      <c r="N207" s="307"/>
      <c r="O207" s="758"/>
    </row>
    <row r="208" spans="1:17" s="302" customFormat="1" ht="16.5" thickBot="1">
      <c r="D208" s="303"/>
      <c r="E208" s="303"/>
      <c r="F208" s="439"/>
      <c r="G208" s="439"/>
      <c r="H208" s="440"/>
      <c r="I208" s="439"/>
      <c r="J208" s="441"/>
      <c r="K208" s="441"/>
      <c r="L208" s="441"/>
      <c r="M208" s="441"/>
      <c r="N208" s="307"/>
      <c r="O208" s="420"/>
    </row>
    <row r="209" spans="4:15" s="302" customFormat="1" ht="16.5" thickBot="1">
      <c r="D209" s="303"/>
      <c r="E209" s="303"/>
      <c r="F209" s="439"/>
      <c r="G209" s="439"/>
      <c r="H209" s="440"/>
      <c r="I209" s="439"/>
      <c r="J209" s="441"/>
      <c r="K209" s="441"/>
      <c r="L209" s="441"/>
      <c r="M209" s="441"/>
      <c r="N209" s="307"/>
      <c r="O209" s="755"/>
    </row>
    <row r="210" spans="4:15" s="302" customFormat="1" ht="16.5" thickBot="1">
      <c r="D210" s="303"/>
      <c r="E210" s="303"/>
      <c r="F210" s="439"/>
      <c r="G210" s="439"/>
      <c r="H210" s="440"/>
      <c r="I210" s="439"/>
      <c r="J210" s="441"/>
      <c r="K210" s="441"/>
      <c r="L210" s="441"/>
      <c r="M210" s="441"/>
      <c r="N210" s="307"/>
      <c r="O210" s="755"/>
    </row>
    <row r="211" spans="4:15" s="302" customFormat="1" ht="16.5" thickBot="1">
      <c r="D211" s="303"/>
      <c r="E211" s="303"/>
      <c r="F211" s="439"/>
      <c r="G211" s="439"/>
      <c r="H211" s="440"/>
      <c r="I211" s="439"/>
      <c r="J211" s="441"/>
      <c r="K211" s="441"/>
      <c r="L211" s="441"/>
      <c r="M211" s="441"/>
      <c r="N211" s="307"/>
      <c r="O211" s="755"/>
    </row>
    <row r="212" spans="4:15" s="302" customFormat="1" ht="16.5" thickBot="1">
      <c r="D212" s="303"/>
      <c r="E212" s="303"/>
      <c r="F212" s="439"/>
      <c r="G212" s="439"/>
      <c r="H212" s="440"/>
      <c r="I212" s="439"/>
      <c r="J212" s="441"/>
      <c r="K212" s="441"/>
      <c r="L212" s="441"/>
      <c r="M212" s="441"/>
      <c r="N212" s="307"/>
      <c r="O212" s="420"/>
    </row>
    <row r="213" spans="4:15" s="302" customFormat="1" ht="16.5" thickBot="1">
      <c r="D213" s="303"/>
      <c r="E213" s="303"/>
      <c r="F213" s="439"/>
      <c r="G213" s="439"/>
      <c r="H213" s="440"/>
      <c r="I213" s="439"/>
      <c r="J213" s="441"/>
      <c r="K213" s="441"/>
      <c r="L213" s="441"/>
      <c r="M213" s="441"/>
      <c r="N213" s="307"/>
      <c r="O213" s="755"/>
    </row>
    <row r="214" spans="4:15" s="302" customFormat="1" ht="15.75">
      <c r="D214" s="303"/>
      <c r="E214" s="303"/>
      <c r="F214" s="439"/>
      <c r="G214" s="439"/>
      <c r="H214" s="440"/>
      <c r="I214" s="439"/>
      <c r="J214" s="441"/>
      <c r="K214" s="441"/>
      <c r="L214" s="441"/>
      <c r="M214" s="441"/>
      <c r="N214" s="307"/>
      <c r="O214" s="307"/>
    </row>
    <row r="215" spans="4:15" s="302" customFormat="1" ht="16.5" thickBot="1">
      <c r="D215" s="303"/>
      <c r="E215" s="303"/>
      <c r="F215" s="439"/>
      <c r="G215" s="439"/>
      <c r="H215" s="440"/>
      <c r="I215" s="439"/>
      <c r="J215" s="441"/>
      <c r="K215" s="441"/>
      <c r="L215" s="441"/>
      <c r="M215" s="441"/>
      <c r="N215" s="307"/>
      <c r="O215" s="305"/>
    </row>
    <row r="216" spans="4:15" s="302" customFormat="1" ht="16.5" thickBot="1">
      <c r="D216" s="303"/>
      <c r="E216" s="303"/>
      <c r="F216" s="439"/>
      <c r="G216" s="439"/>
      <c r="H216" s="440"/>
      <c r="I216" s="439"/>
      <c r="J216" s="441"/>
      <c r="K216" s="441"/>
      <c r="L216" s="441"/>
      <c r="M216" s="441"/>
      <c r="N216" s="307"/>
      <c r="O216" s="767"/>
    </row>
    <row r="217" spans="4:15" s="302" customFormat="1" ht="16.5" thickBot="1">
      <c r="D217" s="303"/>
      <c r="E217" s="303"/>
      <c r="F217" s="439"/>
      <c r="G217" s="439"/>
      <c r="H217" s="440"/>
      <c r="I217" s="439"/>
      <c r="J217" s="441"/>
      <c r="K217" s="441"/>
      <c r="L217" s="441"/>
      <c r="M217" s="441"/>
      <c r="N217" s="307"/>
      <c r="O217" s="420"/>
    </row>
    <row r="218" spans="4:15" s="302" customFormat="1" ht="16.5" thickBot="1">
      <c r="D218" s="303"/>
      <c r="E218" s="303"/>
      <c r="F218" s="439"/>
      <c r="G218" s="439"/>
      <c r="H218" s="440"/>
      <c r="I218" s="439"/>
      <c r="J218" s="441"/>
      <c r="K218" s="441"/>
      <c r="L218" s="441"/>
      <c r="M218" s="441"/>
      <c r="N218" s="307"/>
      <c r="O218" s="767"/>
    </row>
    <row r="219" spans="4:15" s="302" customFormat="1" ht="16.5" thickBot="1">
      <c r="D219" s="303"/>
      <c r="E219" s="303"/>
      <c r="F219" s="439"/>
      <c r="G219" s="439"/>
      <c r="H219" s="440"/>
      <c r="I219" s="439"/>
      <c r="J219" s="441"/>
      <c r="K219" s="441"/>
      <c r="L219" s="441"/>
      <c r="M219" s="441"/>
      <c r="N219" s="307"/>
      <c r="O219" s="767"/>
    </row>
    <row r="220" spans="4:15" s="302" customFormat="1" ht="16.5" thickBot="1">
      <c r="D220" s="303"/>
      <c r="E220" s="303"/>
      <c r="F220" s="439"/>
      <c r="G220" s="439"/>
      <c r="H220" s="440"/>
      <c r="I220" s="439"/>
      <c r="J220" s="441"/>
      <c r="K220" s="441"/>
      <c r="L220" s="441"/>
      <c r="M220" s="441"/>
      <c r="N220" s="307"/>
      <c r="O220" s="420"/>
    </row>
    <row r="221" spans="4:15" s="302" customFormat="1" ht="16.5" thickBot="1">
      <c r="D221" s="303"/>
      <c r="E221" s="303"/>
      <c r="F221" s="439"/>
      <c r="G221" s="439"/>
      <c r="H221" s="440"/>
      <c r="I221" s="439"/>
      <c r="J221" s="441"/>
      <c r="K221" s="441"/>
      <c r="L221" s="441"/>
      <c r="M221" s="441"/>
      <c r="N221" s="307"/>
      <c r="O221" s="767"/>
    </row>
    <row r="222" spans="4:15" s="302" customFormat="1" ht="15.75">
      <c r="D222" s="303"/>
      <c r="E222" s="303"/>
      <c r="F222" s="439"/>
      <c r="G222" s="439"/>
      <c r="H222" s="440"/>
      <c r="I222" s="439"/>
      <c r="J222" s="441"/>
      <c r="K222" s="441"/>
      <c r="L222" s="441"/>
      <c r="M222" s="441"/>
      <c r="N222" s="307"/>
      <c r="O222" s="307"/>
    </row>
    <row r="223" spans="4:15" s="302" customFormat="1" ht="15.75">
      <c r="D223" s="303"/>
      <c r="E223" s="303"/>
      <c r="F223" s="439"/>
      <c r="G223" s="439"/>
      <c r="H223" s="440"/>
      <c r="I223" s="439"/>
      <c r="J223" s="441"/>
      <c r="K223" s="441"/>
      <c r="L223" s="441"/>
      <c r="M223" s="441"/>
      <c r="N223" s="307"/>
      <c r="O223" s="305"/>
    </row>
    <row r="224" spans="4:15" s="302" customFormat="1" ht="15.75">
      <c r="D224" s="303"/>
      <c r="E224" s="303"/>
      <c r="F224" s="439"/>
      <c r="G224" s="439"/>
      <c r="H224" s="440"/>
      <c r="I224" s="439"/>
      <c r="J224" s="441"/>
      <c r="K224" s="441"/>
      <c r="L224" s="441"/>
      <c r="M224" s="441"/>
      <c r="N224" s="307"/>
      <c r="O224" s="420"/>
    </row>
    <row r="225" spans="4:15" s="302" customFormat="1" ht="16.5" thickBot="1">
      <c r="D225" s="303"/>
      <c r="E225" s="303"/>
      <c r="F225" s="439"/>
      <c r="G225" s="439"/>
      <c r="H225" s="440"/>
      <c r="I225" s="439"/>
      <c r="J225" s="441"/>
      <c r="K225" s="441"/>
      <c r="L225" s="441"/>
      <c r="M225" s="441"/>
      <c r="N225" s="307"/>
      <c r="O225" s="420"/>
    </row>
    <row r="226" spans="4:15" s="302" customFormat="1" ht="16.5" thickBot="1">
      <c r="D226" s="303"/>
      <c r="E226" s="303"/>
      <c r="F226" s="439"/>
      <c r="G226" s="439"/>
      <c r="H226" s="440"/>
      <c r="I226" s="439"/>
      <c r="J226" s="441"/>
      <c r="K226" s="441"/>
      <c r="L226" s="441"/>
      <c r="M226" s="441"/>
      <c r="N226" s="307"/>
      <c r="O226" s="758"/>
    </row>
    <row r="227" spans="4:15" s="302" customFormat="1" ht="16.5" thickBot="1">
      <c r="D227" s="303"/>
      <c r="E227" s="303"/>
      <c r="F227" s="439"/>
      <c r="G227" s="439"/>
      <c r="H227" s="440"/>
      <c r="I227" s="439"/>
      <c r="J227" s="441"/>
      <c r="K227" s="441"/>
      <c r="L227" s="441"/>
      <c r="M227" s="441"/>
      <c r="N227" s="307"/>
      <c r="O227" s="758"/>
    </row>
    <row r="228" spans="4:15" s="302" customFormat="1" ht="16.5" thickBot="1">
      <c r="D228" s="303"/>
      <c r="E228" s="303"/>
      <c r="F228" s="439"/>
      <c r="G228" s="439"/>
      <c r="H228" s="440"/>
      <c r="I228" s="439"/>
      <c r="J228" s="441"/>
      <c r="K228" s="441"/>
      <c r="L228" s="441"/>
      <c r="M228" s="441"/>
      <c r="N228" s="307"/>
      <c r="O228" s="758"/>
    </row>
    <row r="229" spans="4:15" s="302" customFormat="1" ht="15.75">
      <c r="D229" s="303"/>
      <c r="E229" s="303"/>
      <c r="F229" s="439"/>
      <c r="G229" s="439"/>
      <c r="H229" s="440"/>
      <c r="I229" s="439"/>
      <c r="J229" s="441"/>
      <c r="K229" s="441"/>
      <c r="L229" s="441"/>
      <c r="M229" s="441"/>
      <c r="N229" s="307"/>
      <c r="O229" s="420"/>
    </row>
    <row r="230" spans="4:15" s="302" customFormat="1" ht="16.5" thickBot="1">
      <c r="D230" s="303"/>
      <c r="E230" s="303"/>
      <c r="F230" s="439"/>
      <c r="G230" s="439"/>
      <c r="H230" s="440"/>
      <c r="I230" s="439"/>
      <c r="J230" s="441"/>
      <c r="K230" s="441"/>
      <c r="L230" s="441"/>
      <c r="M230" s="441"/>
      <c r="N230" s="307"/>
      <c r="O230" s="420"/>
    </row>
    <row r="231" spans="4:15" s="302" customFormat="1" ht="16.5" thickBot="1">
      <c r="D231" s="303"/>
      <c r="E231" s="303"/>
      <c r="F231" s="439"/>
      <c r="G231" s="439"/>
      <c r="H231" s="440"/>
      <c r="I231" s="439"/>
      <c r="J231" s="441"/>
      <c r="K231" s="441"/>
      <c r="L231" s="441"/>
      <c r="M231" s="441"/>
      <c r="N231" s="307"/>
      <c r="O231" s="758"/>
    </row>
    <row r="232" spans="4:15" s="302" customFormat="1" ht="16.5" thickBot="1">
      <c r="D232" s="303"/>
      <c r="E232" s="303"/>
      <c r="F232" s="439"/>
      <c r="G232" s="439"/>
      <c r="H232" s="440"/>
      <c r="I232" s="439"/>
      <c r="J232" s="441"/>
      <c r="K232" s="441"/>
      <c r="L232" s="441"/>
      <c r="M232" s="441"/>
      <c r="N232" s="307"/>
      <c r="O232" s="758"/>
    </row>
    <row r="233" spans="4:15" s="302" customFormat="1" ht="16.5" thickBot="1">
      <c r="D233" s="303"/>
      <c r="E233" s="303"/>
      <c r="F233" s="439"/>
      <c r="G233" s="439"/>
      <c r="H233" s="440"/>
      <c r="I233" s="439"/>
      <c r="J233" s="441"/>
      <c r="K233" s="441"/>
      <c r="L233" s="441"/>
      <c r="M233" s="441"/>
      <c r="N233" s="307"/>
      <c r="O233" s="758"/>
    </row>
    <row r="234" spans="4:15" s="302" customFormat="1" ht="16.5" thickBot="1">
      <c r="D234" s="303"/>
      <c r="E234" s="303"/>
      <c r="F234" s="439"/>
      <c r="G234" s="439"/>
      <c r="H234" s="440"/>
      <c r="I234" s="439"/>
      <c r="J234" s="441"/>
      <c r="K234" s="441"/>
      <c r="L234" s="441"/>
      <c r="M234" s="441"/>
      <c r="N234" s="307"/>
      <c r="O234" s="758"/>
    </row>
    <row r="235" spans="4:15" s="302" customFormat="1" ht="16.5" thickBot="1">
      <c r="D235" s="303"/>
      <c r="E235" s="303"/>
      <c r="F235" s="439"/>
      <c r="G235" s="439"/>
      <c r="H235" s="440"/>
      <c r="I235" s="439"/>
      <c r="J235" s="441"/>
      <c r="K235" s="441"/>
      <c r="L235" s="441"/>
      <c r="M235" s="441"/>
      <c r="N235" s="307"/>
      <c r="O235" s="758"/>
    </row>
    <row r="236" spans="4:15" s="302" customFormat="1" ht="16.5" thickBot="1">
      <c r="D236" s="303"/>
      <c r="E236" s="303"/>
      <c r="F236" s="439"/>
      <c r="G236" s="439"/>
      <c r="H236" s="440"/>
      <c r="I236" s="439"/>
      <c r="J236" s="441"/>
      <c r="K236" s="441"/>
      <c r="L236" s="441"/>
      <c r="M236" s="441"/>
      <c r="N236" s="307"/>
      <c r="O236" s="758"/>
    </row>
    <row r="237" spans="4:15" s="302" customFormat="1" ht="16.5" thickBot="1">
      <c r="D237" s="303"/>
      <c r="E237" s="303"/>
      <c r="F237" s="439"/>
      <c r="G237" s="439"/>
      <c r="H237" s="440"/>
      <c r="I237" s="439"/>
      <c r="J237" s="441"/>
      <c r="K237" s="441"/>
      <c r="L237" s="441"/>
      <c r="M237" s="441"/>
      <c r="N237" s="307"/>
      <c r="O237" s="758"/>
    </row>
    <row r="238" spans="4:15" s="302" customFormat="1" ht="16.5" thickBot="1">
      <c r="D238" s="303"/>
      <c r="E238" s="303"/>
      <c r="F238" s="439"/>
      <c r="G238" s="439"/>
      <c r="H238" s="440"/>
      <c r="I238" s="439"/>
      <c r="J238" s="441"/>
      <c r="K238" s="441"/>
      <c r="L238" s="441"/>
      <c r="M238" s="441"/>
      <c r="N238" s="307"/>
      <c r="O238" s="758"/>
    </row>
    <row r="239" spans="4:15" s="302" customFormat="1" ht="16.5" thickBot="1">
      <c r="D239" s="303"/>
      <c r="E239" s="303"/>
      <c r="F239" s="439"/>
      <c r="G239" s="439"/>
      <c r="H239" s="440"/>
      <c r="I239" s="439"/>
      <c r="J239" s="441"/>
      <c r="K239" s="441"/>
      <c r="L239" s="441"/>
      <c r="M239" s="441"/>
      <c r="N239" s="307"/>
      <c r="O239" s="420"/>
    </row>
    <row r="240" spans="4:15" s="302" customFormat="1" ht="16.5" thickBot="1">
      <c r="D240" s="303"/>
      <c r="E240" s="303"/>
      <c r="F240" s="439"/>
      <c r="G240" s="439"/>
      <c r="H240" s="440"/>
      <c r="I240" s="439"/>
      <c r="J240" s="441"/>
      <c r="K240" s="441"/>
      <c r="L240" s="441"/>
      <c r="M240" s="441"/>
      <c r="N240" s="307"/>
      <c r="O240" s="758"/>
    </row>
    <row r="241" spans="4:15" s="302" customFormat="1" ht="16.5" thickBot="1">
      <c r="D241" s="303"/>
      <c r="E241" s="303"/>
      <c r="F241" s="439"/>
      <c r="G241" s="439"/>
      <c r="H241" s="440"/>
      <c r="I241" s="439"/>
      <c r="J241" s="441"/>
      <c r="K241" s="441"/>
      <c r="L241" s="441"/>
      <c r="M241" s="441"/>
      <c r="N241" s="307"/>
      <c r="O241" s="758"/>
    </row>
    <row r="242" spans="4:15" s="302" customFormat="1" ht="15.75">
      <c r="D242" s="303"/>
      <c r="E242" s="303"/>
      <c r="F242" s="439"/>
      <c r="G242" s="439"/>
      <c r="H242" s="440"/>
      <c r="I242" s="439"/>
      <c r="J242" s="441"/>
      <c r="K242" s="441"/>
      <c r="L242" s="441"/>
      <c r="M242" s="441"/>
      <c r="N242" s="307"/>
      <c r="O242" s="307"/>
    </row>
    <row r="243" spans="4:15" s="302" customFormat="1" ht="16.5" thickBot="1">
      <c r="D243" s="303"/>
      <c r="E243" s="303"/>
      <c r="F243" s="439"/>
      <c r="G243" s="439"/>
      <c r="H243" s="440"/>
      <c r="I243" s="439"/>
      <c r="J243" s="441"/>
      <c r="K243" s="441"/>
      <c r="L243" s="441"/>
      <c r="M243" s="441"/>
      <c r="N243" s="307"/>
      <c r="O243" s="305"/>
    </row>
    <row r="244" spans="4:15" s="302" customFormat="1" ht="16.5" thickBot="1">
      <c r="D244" s="303"/>
      <c r="E244" s="303"/>
      <c r="F244" s="439"/>
      <c r="G244" s="439"/>
      <c r="H244" s="440"/>
      <c r="I244" s="439"/>
      <c r="J244" s="441"/>
      <c r="K244" s="441"/>
      <c r="L244" s="441"/>
      <c r="M244" s="441"/>
      <c r="N244" s="307"/>
      <c r="O244" s="758"/>
    </row>
    <row r="245" spans="4:15" s="302" customFormat="1" ht="16.5" thickBot="1">
      <c r="D245" s="303"/>
      <c r="E245" s="303"/>
      <c r="F245" s="439"/>
      <c r="G245" s="439"/>
      <c r="H245" s="440"/>
      <c r="I245" s="439"/>
      <c r="J245" s="441"/>
      <c r="K245" s="441"/>
      <c r="L245" s="441"/>
      <c r="M245" s="441"/>
      <c r="N245" s="307"/>
      <c r="O245" s="758"/>
    </row>
    <row r="246" spans="4:15" s="302" customFormat="1" ht="16.5" thickBot="1">
      <c r="D246" s="303"/>
      <c r="E246" s="303"/>
      <c r="F246" s="439"/>
      <c r="G246" s="439"/>
      <c r="H246" s="440"/>
      <c r="I246" s="439"/>
      <c r="J246" s="441"/>
      <c r="K246" s="441"/>
      <c r="L246" s="441"/>
      <c r="M246" s="441"/>
      <c r="N246" s="307"/>
      <c r="O246" s="758"/>
    </row>
    <row r="247" spans="4:15" s="302" customFormat="1" ht="16.5" thickBot="1">
      <c r="D247" s="303"/>
      <c r="E247" s="303"/>
      <c r="F247" s="439"/>
      <c r="G247" s="439"/>
      <c r="H247" s="440"/>
      <c r="I247" s="439"/>
      <c r="J247" s="441"/>
      <c r="K247" s="441"/>
      <c r="L247" s="441"/>
      <c r="M247" s="441"/>
      <c r="N247" s="307"/>
      <c r="O247" s="305"/>
    </row>
    <row r="248" spans="4:15" s="302" customFormat="1" ht="16.5" thickBot="1">
      <c r="D248" s="303"/>
      <c r="E248" s="303"/>
      <c r="F248" s="439"/>
      <c r="G248" s="439"/>
      <c r="H248" s="440"/>
      <c r="I248" s="439"/>
      <c r="J248" s="441"/>
      <c r="K248" s="441"/>
      <c r="L248" s="441"/>
      <c r="M248" s="441"/>
      <c r="N248" s="307"/>
      <c r="O248" s="758"/>
    </row>
    <row r="249" spans="4:15" s="302" customFormat="1" ht="16.5" thickBot="1">
      <c r="D249" s="303"/>
      <c r="E249" s="303"/>
      <c r="F249" s="439"/>
      <c r="G249" s="439"/>
      <c r="H249" s="440"/>
      <c r="I249" s="439"/>
      <c r="J249" s="441"/>
      <c r="K249" s="441"/>
      <c r="L249" s="441"/>
      <c r="M249" s="441"/>
      <c r="N249" s="307"/>
      <c r="O249" s="758"/>
    </row>
    <row r="250" spans="4:15" s="302" customFormat="1" ht="15.75">
      <c r="D250" s="303"/>
      <c r="E250" s="303"/>
      <c r="F250" s="439"/>
      <c r="G250" s="439"/>
      <c r="H250" s="440"/>
      <c r="I250" s="439"/>
      <c r="J250" s="441"/>
      <c r="K250" s="441"/>
      <c r="L250" s="441"/>
      <c r="M250" s="441"/>
      <c r="N250" s="307"/>
      <c r="O250" s="813"/>
    </row>
    <row r="251" spans="4:15" s="302" customFormat="1" ht="15.75">
      <c r="D251" s="303"/>
      <c r="E251" s="303"/>
      <c r="F251" s="439"/>
      <c r="G251" s="439"/>
      <c r="H251" s="440"/>
      <c r="I251" s="439"/>
      <c r="J251" s="441"/>
      <c r="K251" s="441"/>
      <c r="L251" s="441"/>
      <c r="M251" s="441"/>
      <c r="N251" s="307"/>
      <c r="O251" s="305"/>
    </row>
    <row r="252" spans="4:15" s="302" customFormat="1" ht="16.5" thickBot="1">
      <c r="D252" s="303"/>
      <c r="E252" s="303"/>
      <c r="F252" s="439"/>
      <c r="G252" s="439"/>
      <c r="H252" s="440"/>
      <c r="I252" s="439"/>
      <c r="J252" s="441"/>
      <c r="K252" s="441"/>
      <c r="L252" s="441"/>
      <c r="M252" s="441"/>
      <c r="N252" s="307"/>
      <c r="O252" s="305"/>
    </row>
    <row r="253" spans="4:15" s="302" customFormat="1" ht="16.5" thickBot="1">
      <c r="D253" s="303"/>
      <c r="E253" s="303"/>
      <c r="F253" s="439"/>
      <c r="G253" s="439"/>
      <c r="H253" s="440"/>
      <c r="I253" s="439"/>
      <c r="J253" s="441"/>
      <c r="K253" s="441"/>
      <c r="L253" s="441"/>
      <c r="M253" s="441"/>
      <c r="N253" s="307"/>
      <c r="O253" s="758"/>
    </row>
    <row r="254" spans="4:15" s="302" customFormat="1" ht="16.5" thickBot="1">
      <c r="D254" s="303"/>
      <c r="E254" s="303"/>
      <c r="F254" s="439"/>
      <c r="G254" s="439"/>
      <c r="H254" s="440"/>
      <c r="I254" s="439"/>
      <c r="J254" s="441"/>
      <c r="K254" s="441"/>
      <c r="L254" s="441"/>
      <c r="M254" s="441"/>
      <c r="N254" s="307"/>
      <c r="O254" s="758"/>
    </row>
    <row r="255" spans="4:15" s="302" customFormat="1" ht="16.5" thickBot="1">
      <c r="D255" s="303"/>
      <c r="E255" s="303"/>
      <c r="F255" s="439"/>
      <c r="G255" s="439"/>
      <c r="H255" s="440"/>
      <c r="I255" s="439"/>
      <c r="J255" s="441"/>
      <c r="K255" s="441"/>
      <c r="L255" s="441"/>
      <c r="M255" s="441"/>
      <c r="N255" s="307"/>
      <c r="O255" s="758"/>
    </row>
    <row r="256" spans="4:15" s="302" customFormat="1" ht="16.5" thickBot="1">
      <c r="D256" s="303"/>
      <c r="E256" s="303"/>
      <c r="F256" s="439"/>
      <c r="G256" s="439"/>
      <c r="H256" s="440"/>
      <c r="I256" s="439"/>
      <c r="J256" s="441"/>
      <c r="K256" s="441"/>
      <c r="L256" s="441"/>
      <c r="M256" s="441"/>
      <c r="N256" s="307"/>
      <c r="O256" s="758"/>
    </row>
    <row r="257" spans="4:15" s="302" customFormat="1" ht="16.5" thickBot="1">
      <c r="D257" s="303"/>
      <c r="E257" s="303"/>
      <c r="F257" s="439"/>
      <c r="G257" s="439"/>
      <c r="H257" s="440"/>
      <c r="I257" s="439"/>
      <c r="J257" s="441"/>
      <c r="K257" s="441"/>
      <c r="L257" s="441"/>
      <c r="M257" s="441"/>
      <c r="N257" s="307"/>
      <c r="O257" s="758"/>
    </row>
    <row r="258" spans="4:15" s="302" customFormat="1" ht="16.5" thickBot="1">
      <c r="D258" s="303"/>
      <c r="E258" s="303"/>
      <c r="F258" s="439"/>
      <c r="G258" s="439"/>
      <c r="H258" s="440"/>
      <c r="I258" s="439"/>
      <c r="J258" s="441"/>
      <c r="K258" s="441"/>
      <c r="L258" s="441"/>
      <c r="M258" s="441"/>
      <c r="N258" s="307"/>
      <c r="O258" s="305"/>
    </row>
    <row r="259" spans="4:15" s="302" customFormat="1" ht="16.5" thickBot="1">
      <c r="D259" s="303"/>
      <c r="E259" s="303"/>
      <c r="F259" s="439"/>
      <c r="G259" s="439"/>
      <c r="H259" s="440"/>
      <c r="I259" s="439"/>
      <c r="J259" s="441"/>
      <c r="K259" s="441"/>
      <c r="L259" s="441"/>
      <c r="M259" s="441"/>
      <c r="N259" s="307"/>
      <c r="O259" s="758"/>
    </row>
    <row r="260" spans="4:15" s="302" customFormat="1" ht="16.5" thickBot="1">
      <c r="D260" s="303"/>
      <c r="E260" s="303"/>
      <c r="F260" s="439"/>
      <c r="G260" s="439"/>
      <c r="H260" s="440"/>
      <c r="I260" s="439"/>
      <c r="J260" s="441"/>
      <c r="K260" s="441"/>
      <c r="L260" s="441"/>
      <c r="M260" s="441"/>
      <c r="N260" s="307"/>
      <c r="O260" s="758"/>
    </row>
    <row r="261" spans="4:15" s="302" customFormat="1" ht="16.5" thickBot="1">
      <c r="D261" s="303"/>
      <c r="E261" s="303"/>
      <c r="F261" s="439"/>
      <c r="G261" s="439"/>
      <c r="H261" s="440"/>
      <c r="I261" s="439"/>
      <c r="J261" s="441"/>
      <c r="K261" s="441"/>
      <c r="L261" s="441"/>
      <c r="M261" s="441"/>
      <c r="N261" s="307"/>
      <c r="O261" s="305"/>
    </row>
    <row r="262" spans="4:15" s="302" customFormat="1" ht="16.5" thickBot="1">
      <c r="D262" s="303"/>
      <c r="E262" s="303"/>
      <c r="F262" s="439"/>
      <c r="G262" s="439"/>
      <c r="H262" s="440"/>
      <c r="I262" s="439"/>
      <c r="J262" s="441"/>
      <c r="K262" s="441"/>
      <c r="L262" s="441"/>
      <c r="M262" s="441"/>
      <c r="N262" s="307"/>
      <c r="O262" s="758"/>
    </row>
    <row r="263" spans="4:15" s="302" customFormat="1" ht="16.5" thickBot="1">
      <c r="D263" s="303"/>
      <c r="E263" s="303"/>
      <c r="F263" s="439"/>
      <c r="G263" s="439"/>
      <c r="H263" s="440"/>
      <c r="I263" s="439"/>
      <c r="J263" s="441"/>
      <c r="K263" s="441"/>
      <c r="L263" s="441"/>
      <c r="M263" s="441"/>
      <c r="N263" s="307"/>
      <c r="O263" s="758"/>
    </row>
    <row r="264" spans="4:15" s="302" customFormat="1" ht="16.5" thickBot="1">
      <c r="D264" s="303"/>
      <c r="E264" s="303"/>
      <c r="F264" s="439"/>
      <c r="G264" s="439"/>
      <c r="H264" s="440"/>
      <c r="I264" s="439"/>
      <c r="J264" s="441"/>
      <c r="K264" s="441"/>
      <c r="L264" s="441"/>
      <c r="M264" s="441"/>
      <c r="N264" s="307"/>
      <c r="O264" s="758"/>
    </row>
    <row r="265" spans="4:15" s="302" customFormat="1" ht="16.5" thickBot="1">
      <c r="D265" s="303"/>
      <c r="E265" s="303"/>
      <c r="F265" s="439"/>
      <c r="G265" s="439"/>
      <c r="H265" s="440"/>
      <c r="I265" s="439"/>
      <c r="J265" s="441"/>
      <c r="K265" s="441"/>
      <c r="L265" s="441"/>
      <c r="M265" s="441"/>
      <c r="N265" s="307"/>
      <c r="O265" s="758"/>
    </row>
    <row r="266" spans="4:15" s="302" customFormat="1" ht="16.5" thickBot="1">
      <c r="D266" s="303"/>
      <c r="E266" s="303"/>
      <c r="F266" s="439"/>
      <c r="G266" s="439"/>
      <c r="H266" s="440"/>
      <c r="I266" s="439"/>
      <c r="J266" s="441"/>
      <c r="K266" s="441"/>
      <c r="L266" s="441"/>
      <c r="M266" s="441"/>
      <c r="N266" s="307"/>
      <c r="O266" s="758"/>
    </row>
    <row r="267" spans="4:15" s="302" customFormat="1" ht="16.5" thickBot="1">
      <c r="D267" s="303"/>
      <c r="E267" s="303"/>
      <c r="F267" s="439"/>
      <c r="G267" s="439"/>
      <c r="H267" s="440"/>
      <c r="I267" s="439"/>
      <c r="J267" s="441"/>
      <c r="K267" s="441"/>
      <c r="L267" s="441"/>
      <c r="M267" s="441"/>
      <c r="N267" s="307"/>
      <c r="O267" s="758"/>
    </row>
    <row r="268" spans="4:15" s="302" customFormat="1" ht="16.5" thickBot="1">
      <c r="D268" s="303"/>
      <c r="E268" s="303"/>
      <c r="F268" s="439"/>
      <c r="G268" s="439"/>
      <c r="H268" s="440"/>
      <c r="I268" s="439"/>
      <c r="J268" s="441"/>
      <c r="K268" s="441"/>
      <c r="L268" s="441"/>
      <c r="M268" s="441"/>
      <c r="N268" s="307"/>
      <c r="O268" s="758"/>
    </row>
    <row r="269" spans="4:15" s="302" customFormat="1" ht="16.5" thickBot="1">
      <c r="D269" s="303"/>
      <c r="E269" s="303"/>
      <c r="F269" s="439"/>
      <c r="G269" s="439"/>
      <c r="H269" s="440"/>
      <c r="I269" s="439"/>
      <c r="J269" s="441"/>
      <c r="K269" s="441"/>
      <c r="L269" s="441"/>
      <c r="M269" s="441"/>
      <c r="N269" s="307"/>
      <c r="O269" s="758"/>
    </row>
    <row r="270" spans="4:15" s="302" customFormat="1" ht="16.5" thickBot="1">
      <c r="D270" s="303"/>
      <c r="E270" s="303"/>
      <c r="F270" s="439"/>
      <c r="G270" s="439"/>
      <c r="H270" s="440"/>
      <c r="I270" s="439"/>
      <c r="J270" s="441"/>
      <c r="K270" s="441"/>
      <c r="L270" s="441"/>
      <c r="M270" s="441"/>
      <c r="N270" s="307"/>
      <c r="O270" s="758"/>
    </row>
    <row r="271" spans="4:15" s="302" customFormat="1" ht="16.5" thickBot="1">
      <c r="D271" s="303"/>
      <c r="E271" s="303"/>
      <c r="F271" s="439"/>
      <c r="G271" s="439"/>
      <c r="H271" s="440"/>
      <c r="I271" s="439"/>
      <c r="J271" s="441"/>
      <c r="K271" s="441"/>
      <c r="L271" s="441"/>
      <c r="M271" s="441"/>
      <c r="N271" s="307"/>
      <c r="O271" s="758"/>
    </row>
    <row r="272" spans="4:15" s="302" customFormat="1" ht="16.5" thickBot="1">
      <c r="D272" s="303"/>
      <c r="E272" s="303"/>
      <c r="F272" s="439"/>
      <c r="G272" s="439"/>
      <c r="H272" s="440"/>
      <c r="I272" s="439"/>
      <c r="J272" s="441"/>
      <c r="K272" s="441"/>
      <c r="L272" s="441"/>
      <c r="M272" s="441"/>
      <c r="N272" s="307"/>
      <c r="O272" s="758"/>
    </row>
    <row r="273" spans="4:15" s="302" customFormat="1" ht="16.5" thickBot="1">
      <c r="D273" s="303"/>
      <c r="E273" s="303"/>
      <c r="F273" s="439"/>
      <c r="G273" s="439"/>
      <c r="H273" s="440"/>
      <c r="I273" s="439"/>
      <c r="J273" s="441"/>
      <c r="K273" s="441"/>
      <c r="L273" s="441"/>
      <c r="M273" s="441"/>
      <c r="N273" s="307"/>
      <c r="O273" s="758"/>
    </row>
    <row r="274" spans="4:15" s="302" customFormat="1" ht="16.5" thickBot="1">
      <c r="D274" s="303"/>
      <c r="E274" s="303"/>
      <c r="F274" s="439"/>
      <c r="G274" s="439"/>
      <c r="H274" s="440"/>
      <c r="I274" s="439"/>
      <c r="J274" s="441"/>
      <c r="K274" s="441"/>
      <c r="L274" s="441"/>
      <c r="M274" s="441"/>
      <c r="N274" s="307"/>
      <c r="O274" s="758"/>
    </row>
    <row r="275" spans="4:15" s="302" customFormat="1" ht="16.5" thickBot="1">
      <c r="D275" s="303"/>
      <c r="E275" s="303"/>
      <c r="F275" s="439"/>
      <c r="G275" s="439"/>
      <c r="H275" s="440"/>
      <c r="I275" s="439"/>
      <c r="J275" s="441"/>
      <c r="K275" s="441"/>
      <c r="L275" s="441"/>
      <c r="M275" s="441"/>
      <c r="N275" s="307"/>
      <c r="O275" s="758"/>
    </row>
    <row r="276" spans="4:15" s="302" customFormat="1" ht="16.5" thickBot="1">
      <c r="D276" s="303"/>
      <c r="E276" s="303"/>
      <c r="F276" s="439"/>
      <c r="G276" s="439"/>
      <c r="H276" s="440"/>
      <c r="I276" s="439"/>
      <c r="J276" s="441"/>
      <c r="K276" s="441"/>
      <c r="L276" s="441"/>
      <c r="M276" s="441"/>
      <c r="N276" s="307"/>
      <c r="O276" s="758"/>
    </row>
    <row r="277" spans="4:15" s="302" customFormat="1" ht="16.5" thickBot="1">
      <c r="D277" s="303"/>
      <c r="E277" s="303"/>
      <c r="F277" s="439"/>
      <c r="G277" s="439"/>
      <c r="H277" s="440"/>
      <c r="I277" s="439"/>
      <c r="J277" s="441"/>
      <c r="K277" s="441"/>
      <c r="L277" s="441"/>
      <c r="M277" s="441"/>
      <c r="N277" s="307"/>
      <c r="O277" s="758"/>
    </row>
    <row r="278" spans="4:15" s="302" customFormat="1" ht="16.5" thickBot="1">
      <c r="D278" s="303"/>
      <c r="E278" s="303"/>
      <c r="F278" s="439"/>
      <c r="G278" s="439"/>
      <c r="H278" s="440"/>
      <c r="I278" s="439"/>
      <c r="J278" s="441"/>
      <c r="K278" s="441"/>
      <c r="L278" s="441"/>
      <c r="M278" s="441"/>
      <c r="N278" s="307"/>
      <c r="O278" s="758"/>
    </row>
    <row r="279" spans="4:15" s="302" customFormat="1" ht="16.5" thickBot="1">
      <c r="D279" s="303"/>
      <c r="E279" s="303"/>
      <c r="F279" s="439"/>
      <c r="G279" s="439"/>
      <c r="H279" s="440"/>
      <c r="I279" s="439"/>
      <c r="J279" s="441"/>
      <c r="K279" s="441"/>
      <c r="L279" s="441"/>
      <c r="M279" s="441"/>
      <c r="N279" s="307"/>
      <c r="O279" s="758"/>
    </row>
    <row r="280" spans="4:15" s="302" customFormat="1" ht="16.5" thickBot="1">
      <c r="D280" s="303"/>
      <c r="E280" s="303"/>
      <c r="F280" s="439"/>
      <c r="G280" s="439"/>
      <c r="H280" s="440"/>
      <c r="I280" s="439"/>
      <c r="J280" s="441"/>
      <c r="K280" s="441"/>
      <c r="L280" s="441"/>
      <c r="M280" s="441"/>
      <c r="N280" s="307"/>
      <c r="O280" s="758"/>
    </row>
    <row r="281" spans="4:15" s="302" customFormat="1" ht="16.5" thickBot="1">
      <c r="D281" s="303"/>
      <c r="E281" s="303"/>
      <c r="F281" s="439"/>
      <c r="G281" s="439"/>
      <c r="H281" s="440"/>
      <c r="I281" s="439"/>
      <c r="J281" s="441"/>
      <c r="K281" s="441"/>
      <c r="L281" s="441"/>
      <c r="M281" s="441"/>
      <c r="N281" s="307"/>
      <c r="O281" s="758"/>
    </row>
    <row r="282" spans="4:15" s="302" customFormat="1" ht="16.5" thickBot="1">
      <c r="D282" s="303"/>
      <c r="E282" s="303"/>
      <c r="F282" s="439"/>
      <c r="G282" s="439"/>
      <c r="H282" s="440"/>
      <c r="I282" s="439"/>
      <c r="J282" s="441"/>
      <c r="K282" s="441"/>
      <c r="L282" s="441"/>
      <c r="M282" s="441"/>
      <c r="N282" s="307"/>
      <c r="O282" s="758"/>
    </row>
    <row r="283" spans="4:15" s="302" customFormat="1" ht="16.5" thickBot="1">
      <c r="D283" s="303"/>
      <c r="E283" s="303"/>
      <c r="F283" s="439"/>
      <c r="G283" s="439"/>
      <c r="H283" s="440"/>
      <c r="I283" s="439"/>
      <c r="J283" s="441"/>
      <c r="K283" s="441"/>
      <c r="L283" s="441"/>
      <c r="M283" s="441"/>
      <c r="N283" s="307"/>
      <c r="O283" s="758"/>
    </row>
    <row r="284" spans="4:15" s="302" customFormat="1" ht="16.5" thickBot="1">
      <c r="D284" s="303"/>
      <c r="E284" s="303"/>
      <c r="F284" s="439"/>
      <c r="G284" s="439"/>
      <c r="H284" s="440"/>
      <c r="I284" s="439"/>
      <c r="J284" s="441"/>
      <c r="K284" s="441"/>
      <c r="L284" s="441"/>
      <c r="M284" s="441"/>
      <c r="N284" s="307"/>
      <c r="O284" s="758"/>
    </row>
    <row r="285" spans="4:15" s="302" customFormat="1" ht="16.5" thickBot="1">
      <c r="D285" s="303"/>
      <c r="E285" s="303"/>
      <c r="F285" s="439"/>
      <c r="G285" s="439"/>
      <c r="H285" s="440"/>
      <c r="I285" s="439"/>
      <c r="J285" s="441"/>
      <c r="K285" s="441"/>
      <c r="L285" s="441"/>
      <c r="M285" s="441"/>
      <c r="N285" s="307"/>
      <c r="O285" s="758"/>
    </row>
    <row r="286" spans="4:15" s="302" customFormat="1" ht="16.5" thickBot="1">
      <c r="D286" s="303"/>
      <c r="E286" s="303"/>
      <c r="F286" s="439"/>
      <c r="G286" s="439"/>
      <c r="H286" s="440"/>
      <c r="I286" s="439"/>
      <c r="J286" s="441"/>
      <c r="K286" s="441"/>
      <c r="L286" s="441"/>
      <c r="M286" s="441"/>
      <c r="N286" s="307"/>
      <c r="O286" s="758"/>
    </row>
    <row r="287" spans="4:15" s="302" customFormat="1" ht="16.5" thickBot="1">
      <c r="D287" s="303"/>
      <c r="E287" s="303"/>
      <c r="F287" s="439"/>
      <c r="G287" s="439"/>
      <c r="H287" s="440"/>
      <c r="I287" s="439"/>
      <c r="J287" s="441"/>
      <c r="K287" s="441"/>
      <c r="L287" s="441"/>
      <c r="M287" s="441"/>
      <c r="N287" s="307"/>
      <c r="O287" s="758"/>
    </row>
    <row r="288" spans="4:15" s="302" customFormat="1" ht="16.5" thickBot="1">
      <c r="D288" s="303"/>
      <c r="E288" s="303"/>
      <c r="F288" s="439"/>
      <c r="G288" s="439"/>
      <c r="H288" s="440"/>
      <c r="I288" s="439"/>
      <c r="J288" s="441"/>
      <c r="K288" s="441"/>
      <c r="L288" s="441"/>
      <c r="M288" s="441"/>
      <c r="N288" s="307"/>
      <c r="O288" s="305"/>
    </row>
    <row r="289" spans="4:15" s="302" customFormat="1" ht="16.5" thickBot="1">
      <c r="D289" s="303"/>
      <c r="E289" s="303"/>
      <c r="F289" s="439"/>
      <c r="G289" s="439"/>
      <c r="H289" s="440"/>
      <c r="I289" s="439"/>
      <c r="J289" s="441"/>
      <c r="K289" s="441"/>
      <c r="L289" s="441"/>
      <c r="M289" s="441"/>
      <c r="N289" s="307"/>
      <c r="O289" s="758"/>
    </row>
    <row r="290" spans="4:15" s="302" customFormat="1" ht="16.5" thickBot="1">
      <c r="D290" s="303"/>
      <c r="E290" s="303"/>
      <c r="F290" s="439"/>
      <c r="G290" s="439"/>
      <c r="H290" s="440"/>
      <c r="I290" s="439"/>
      <c r="J290" s="441"/>
      <c r="K290" s="441"/>
      <c r="L290" s="441"/>
      <c r="M290" s="441"/>
      <c r="N290" s="307"/>
      <c r="O290" s="758"/>
    </row>
    <row r="291" spans="4:15" s="302" customFormat="1" ht="16.5" thickBot="1">
      <c r="D291" s="303"/>
      <c r="E291" s="303"/>
      <c r="F291" s="439"/>
      <c r="G291" s="439"/>
      <c r="H291" s="440"/>
      <c r="I291" s="439"/>
      <c r="J291" s="441"/>
      <c r="K291" s="441"/>
      <c r="L291" s="441"/>
      <c r="M291" s="441"/>
      <c r="N291" s="307"/>
      <c r="O291" s="758"/>
    </row>
    <row r="292" spans="4:15" s="302" customFormat="1" ht="16.5" thickBot="1">
      <c r="D292" s="303"/>
      <c r="E292" s="303"/>
      <c r="F292" s="439"/>
      <c r="G292" s="439"/>
      <c r="H292" s="440"/>
      <c r="I292" s="439"/>
      <c r="J292" s="441"/>
      <c r="K292" s="441"/>
      <c r="L292" s="441"/>
      <c r="M292" s="441"/>
      <c r="N292" s="307"/>
      <c r="O292" s="758"/>
    </row>
    <row r="293" spans="4:15" s="302" customFormat="1" ht="16.5" thickBot="1">
      <c r="D293" s="303"/>
      <c r="E293" s="303"/>
      <c r="F293" s="439"/>
      <c r="G293" s="439"/>
      <c r="H293" s="440"/>
      <c r="I293" s="439"/>
      <c r="J293" s="441"/>
      <c r="K293" s="441"/>
      <c r="L293" s="441"/>
      <c r="M293" s="441"/>
      <c r="N293" s="307"/>
      <c r="O293" s="758"/>
    </row>
    <row r="294" spans="4:15" s="302" customFormat="1" ht="15.75">
      <c r="D294" s="303"/>
      <c r="E294" s="303"/>
      <c r="F294" s="439"/>
      <c r="G294" s="439"/>
      <c r="H294" s="440"/>
      <c r="I294" s="439"/>
      <c r="J294" s="441"/>
      <c r="K294" s="441"/>
      <c r="L294" s="441"/>
      <c r="M294" s="441"/>
      <c r="N294" s="307"/>
      <c r="O294" s="307"/>
    </row>
    <row r="295" spans="4:15" s="302" customFormat="1" ht="16.5" thickBot="1">
      <c r="D295" s="303"/>
      <c r="E295" s="303"/>
      <c r="F295" s="439"/>
      <c r="G295" s="439"/>
      <c r="H295" s="440"/>
      <c r="I295" s="439"/>
      <c r="J295" s="441"/>
      <c r="K295" s="441"/>
      <c r="L295" s="441"/>
      <c r="M295" s="441"/>
      <c r="N295" s="307"/>
      <c r="O295" s="305"/>
    </row>
    <row r="296" spans="4:15" s="302" customFormat="1" ht="16.5" thickBot="1">
      <c r="D296" s="303"/>
      <c r="E296" s="303"/>
      <c r="F296" s="439"/>
      <c r="G296" s="439"/>
      <c r="H296" s="440"/>
      <c r="I296" s="439"/>
      <c r="J296" s="441"/>
      <c r="K296" s="441"/>
      <c r="L296" s="441"/>
      <c r="M296" s="441"/>
      <c r="N296" s="307"/>
      <c r="O296" s="758"/>
    </row>
    <row r="297" spans="4:15" s="302" customFormat="1" ht="16.5" thickBot="1">
      <c r="D297" s="303"/>
      <c r="E297" s="303"/>
      <c r="F297" s="439"/>
      <c r="G297" s="439"/>
      <c r="H297" s="440"/>
      <c r="I297" s="439"/>
      <c r="J297" s="441"/>
      <c r="K297" s="441"/>
      <c r="L297" s="441"/>
      <c r="M297" s="441"/>
      <c r="N297" s="307"/>
      <c r="O297" s="758"/>
    </row>
    <row r="298" spans="4:15" s="302" customFormat="1" ht="16.5" thickBot="1">
      <c r="D298" s="303"/>
      <c r="E298" s="303"/>
      <c r="F298" s="439"/>
      <c r="G298" s="439"/>
      <c r="H298" s="440"/>
      <c r="I298" s="439"/>
      <c r="J298" s="441"/>
      <c r="K298" s="441"/>
      <c r="L298" s="441"/>
      <c r="M298" s="441"/>
      <c r="N298" s="307"/>
      <c r="O298" s="758"/>
    </row>
    <row r="299" spans="4:15" s="302" customFormat="1" ht="16.5" thickBot="1">
      <c r="D299" s="303"/>
      <c r="E299" s="303"/>
      <c r="F299" s="439"/>
      <c r="G299" s="439"/>
      <c r="H299" s="440"/>
      <c r="I299" s="439"/>
      <c r="J299" s="441"/>
      <c r="K299" s="441"/>
      <c r="L299" s="441"/>
      <c r="M299" s="441"/>
      <c r="N299" s="307"/>
      <c r="O299" s="758"/>
    </row>
    <row r="300" spans="4:15" s="302" customFormat="1" ht="16.5" thickBot="1">
      <c r="D300" s="303"/>
      <c r="E300" s="303"/>
      <c r="F300" s="439"/>
      <c r="G300" s="439"/>
      <c r="H300" s="440"/>
      <c r="I300" s="439"/>
      <c r="J300" s="441"/>
      <c r="K300" s="441"/>
      <c r="L300" s="441"/>
      <c r="M300" s="441"/>
      <c r="N300" s="307"/>
      <c r="O300" s="758"/>
    </row>
    <row r="301" spans="4:15" s="302" customFormat="1" ht="16.5" thickBot="1">
      <c r="D301" s="303"/>
      <c r="E301" s="303"/>
      <c r="F301" s="439"/>
      <c r="G301" s="439"/>
      <c r="H301" s="440"/>
      <c r="I301" s="439"/>
      <c r="J301" s="441"/>
      <c r="K301" s="441"/>
      <c r="L301" s="441"/>
      <c r="M301" s="441"/>
      <c r="N301" s="307"/>
      <c r="O301" s="305"/>
    </row>
    <row r="302" spans="4:15" s="302" customFormat="1" ht="16.5" thickBot="1">
      <c r="D302" s="303"/>
      <c r="E302" s="303"/>
      <c r="F302" s="439"/>
      <c r="G302" s="439"/>
      <c r="H302" s="440"/>
      <c r="I302" s="439"/>
      <c r="J302" s="441"/>
      <c r="K302" s="441"/>
      <c r="L302" s="441"/>
      <c r="M302" s="441"/>
      <c r="N302" s="307"/>
      <c r="O302" s="758"/>
    </row>
    <row r="303" spans="4:15" s="302" customFormat="1" ht="16.5" thickBot="1">
      <c r="D303" s="303"/>
      <c r="E303" s="303"/>
      <c r="F303" s="439"/>
      <c r="G303" s="439"/>
      <c r="H303" s="440"/>
      <c r="I303" s="439"/>
      <c r="J303" s="441"/>
      <c r="K303" s="441"/>
      <c r="L303" s="441"/>
      <c r="M303" s="441"/>
      <c r="N303" s="307"/>
      <c r="O303" s="758"/>
    </row>
    <row r="304" spans="4:15" s="302" customFormat="1" ht="16.5" thickBot="1">
      <c r="D304" s="303"/>
      <c r="E304" s="303"/>
      <c r="F304" s="439"/>
      <c r="G304" s="439"/>
      <c r="H304" s="440"/>
      <c r="I304" s="439"/>
      <c r="J304" s="441"/>
      <c r="K304" s="441"/>
      <c r="L304" s="441"/>
      <c r="M304" s="441"/>
      <c r="N304" s="307"/>
      <c r="O304" s="758"/>
    </row>
    <row r="305" spans="4:15" s="302" customFormat="1" ht="16.5" thickBot="1">
      <c r="D305" s="303"/>
      <c r="E305" s="303"/>
      <c r="F305" s="439"/>
      <c r="G305" s="439"/>
      <c r="H305" s="440"/>
      <c r="I305" s="439"/>
      <c r="J305" s="441"/>
      <c r="K305" s="441"/>
      <c r="L305" s="441"/>
      <c r="M305" s="441"/>
      <c r="N305" s="307"/>
      <c r="O305" s="758"/>
    </row>
    <row r="306" spans="4:15" s="302" customFormat="1" ht="16.5" thickBot="1">
      <c r="D306" s="303"/>
      <c r="E306" s="303"/>
      <c r="F306" s="439"/>
      <c r="G306" s="439"/>
      <c r="H306" s="440"/>
      <c r="I306" s="439"/>
      <c r="J306" s="441"/>
      <c r="K306" s="441"/>
      <c r="L306" s="441"/>
      <c r="M306" s="441"/>
      <c r="N306" s="307"/>
      <c r="O306" s="758"/>
    </row>
    <row r="307" spans="4:15" s="302" customFormat="1" ht="16.5" thickBot="1">
      <c r="D307" s="303"/>
      <c r="E307" s="303"/>
      <c r="F307" s="439"/>
      <c r="G307" s="439"/>
      <c r="H307" s="440"/>
      <c r="I307" s="439"/>
      <c r="J307" s="441"/>
      <c r="K307" s="441"/>
      <c r="L307" s="441"/>
      <c r="M307" s="441"/>
      <c r="N307" s="307"/>
      <c r="O307" s="758"/>
    </row>
    <row r="308" spans="4:15" s="302" customFormat="1" ht="15.75">
      <c r="D308" s="303"/>
      <c r="E308" s="303"/>
      <c r="F308" s="439"/>
      <c r="G308" s="439"/>
      <c r="H308" s="440"/>
      <c r="I308" s="439"/>
      <c r="J308" s="441"/>
      <c r="K308" s="441"/>
      <c r="L308" s="441"/>
      <c r="M308" s="441"/>
      <c r="N308" s="307"/>
      <c r="O308" s="307"/>
    </row>
    <row r="309" spans="4:15" s="302" customFormat="1" ht="16.5" thickBot="1">
      <c r="D309" s="303"/>
      <c r="E309" s="303"/>
      <c r="F309" s="439"/>
      <c r="G309" s="439"/>
      <c r="H309" s="440"/>
      <c r="I309" s="439"/>
      <c r="J309" s="441"/>
      <c r="K309" s="441"/>
      <c r="L309" s="441"/>
      <c r="M309" s="441"/>
      <c r="N309" s="307"/>
      <c r="O309" s="305"/>
    </row>
    <row r="310" spans="4:15" s="302" customFormat="1" ht="16.5" thickBot="1">
      <c r="D310" s="303"/>
      <c r="E310" s="303"/>
      <c r="F310" s="439"/>
      <c r="G310" s="439"/>
      <c r="H310" s="440"/>
      <c r="I310" s="439"/>
      <c r="J310" s="441"/>
      <c r="K310" s="441"/>
      <c r="L310" s="441"/>
      <c r="M310" s="441"/>
      <c r="N310" s="307"/>
      <c r="O310" s="758"/>
    </row>
    <row r="311" spans="4:15" s="302" customFormat="1" ht="16.5" thickBot="1">
      <c r="D311" s="303"/>
      <c r="E311" s="303"/>
      <c r="F311" s="439"/>
      <c r="G311" s="439"/>
      <c r="H311" s="440"/>
      <c r="I311" s="439"/>
      <c r="J311" s="441"/>
      <c r="K311" s="441"/>
      <c r="L311" s="441"/>
      <c r="M311" s="441"/>
      <c r="N311" s="307"/>
      <c r="O311" s="758"/>
    </row>
    <row r="312" spans="4:15" s="302" customFormat="1" ht="16.5" thickBot="1">
      <c r="D312" s="303"/>
      <c r="E312" s="303"/>
      <c r="F312" s="439"/>
      <c r="G312" s="439"/>
      <c r="H312" s="440"/>
      <c r="I312" s="439"/>
      <c r="J312" s="441"/>
      <c r="K312" s="441"/>
      <c r="L312" s="441"/>
      <c r="M312" s="441"/>
      <c r="N312" s="307"/>
      <c r="O312" s="758"/>
    </row>
    <row r="313" spans="4:15" s="302" customFormat="1" ht="16.5" thickBot="1">
      <c r="D313" s="303"/>
      <c r="E313" s="303"/>
      <c r="F313" s="439"/>
      <c r="G313" s="439"/>
      <c r="H313" s="440"/>
      <c r="I313" s="439"/>
      <c r="J313" s="441"/>
      <c r="K313" s="441"/>
      <c r="L313" s="441"/>
      <c r="M313" s="441"/>
      <c r="N313" s="307"/>
      <c r="O313" s="758"/>
    </row>
    <row r="314" spans="4:15" s="302" customFormat="1" ht="16.5" thickBot="1">
      <c r="D314" s="303"/>
      <c r="E314" s="303"/>
      <c r="F314" s="439"/>
      <c r="G314" s="439"/>
      <c r="H314" s="440"/>
      <c r="I314" s="439"/>
      <c r="J314" s="441"/>
      <c r="K314" s="441"/>
      <c r="L314" s="441"/>
      <c r="M314" s="441"/>
      <c r="N314" s="307"/>
      <c r="O314" s="758"/>
    </row>
    <row r="315" spans="4:15" s="302" customFormat="1" ht="16.5" thickBot="1">
      <c r="D315" s="303"/>
      <c r="E315" s="303"/>
      <c r="F315" s="439"/>
      <c r="G315" s="439"/>
      <c r="H315" s="440"/>
      <c r="I315" s="439"/>
      <c r="J315" s="441"/>
      <c r="K315" s="441"/>
      <c r="L315" s="441"/>
      <c r="M315" s="441"/>
      <c r="N315" s="307"/>
      <c r="O315" s="758"/>
    </row>
    <row r="316" spans="4:15" s="302" customFormat="1" ht="16.5" thickBot="1">
      <c r="D316" s="303"/>
      <c r="E316" s="303"/>
      <c r="F316" s="439"/>
      <c r="G316" s="439"/>
      <c r="H316" s="440"/>
      <c r="I316" s="439"/>
      <c r="J316" s="441"/>
      <c r="K316" s="441"/>
      <c r="L316" s="441"/>
      <c r="M316" s="441"/>
      <c r="N316" s="307"/>
      <c r="O316" s="758"/>
    </row>
    <row r="317" spans="4:15" s="302" customFormat="1" ht="16.5" thickBot="1">
      <c r="D317" s="303"/>
      <c r="E317" s="303"/>
      <c r="F317" s="439"/>
      <c r="G317" s="439"/>
      <c r="H317" s="440"/>
      <c r="I317" s="439"/>
      <c r="J317" s="441"/>
      <c r="K317" s="441"/>
      <c r="L317" s="441"/>
      <c r="M317" s="441"/>
      <c r="N317" s="307"/>
      <c r="O317" s="305"/>
    </row>
    <row r="318" spans="4:15" s="302" customFormat="1" ht="16.5" thickBot="1">
      <c r="D318" s="303"/>
      <c r="E318" s="303"/>
      <c r="F318" s="439"/>
      <c r="G318" s="439"/>
      <c r="H318" s="440"/>
      <c r="I318" s="439"/>
      <c r="J318" s="441"/>
      <c r="K318" s="441"/>
      <c r="L318" s="441"/>
      <c r="M318" s="441"/>
      <c r="N318" s="307"/>
      <c r="O318" s="758"/>
    </row>
    <row r="319" spans="4:15" s="302" customFormat="1" ht="16.5" thickBot="1">
      <c r="D319" s="303"/>
      <c r="E319" s="303"/>
      <c r="F319" s="439"/>
      <c r="G319" s="439"/>
      <c r="H319" s="440"/>
      <c r="I319" s="439"/>
      <c r="J319" s="441"/>
      <c r="K319" s="441"/>
      <c r="L319" s="441"/>
      <c r="M319" s="441"/>
      <c r="N319" s="307"/>
      <c r="O319" s="758"/>
    </row>
    <row r="320" spans="4:15" s="302" customFormat="1" ht="16.5" thickBot="1">
      <c r="D320" s="303"/>
      <c r="E320" s="303"/>
      <c r="F320" s="439"/>
      <c r="G320" s="439"/>
      <c r="H320" s="440"/>
      <c r="I320" s="439"/>
      <c r="J320" s="441"/>
      <c r="K320" s="441"/>
      <c r="L320" s="441"/>
      <c r="M320" s="441"/>
      <c r="N320" s="307"/>
      <c r="O320" s="758"/>
    </row>
    <row r="321" spans="4:15" s="302" customFormat="1" ht="16.5" thickBot="1">
      <c r="D321" s="303"/>
      <c r="E321" s="303"/>
      <c r="F321" s="439"/>
      <c r="G321" s="439"/>
      <c r="H321" s="440"/>
      <c r="I321" s="439"/>
      <c r="J321" s="441"/>
      <c r="K321" s="441"/>
      <c r="L321" s="441"/>
      <c r="M321" s="441"/>
      <c r="N321" s="307"/>
      <c r="O321" s="758"/>
    </row>
    <row r="322" spans="4:15" s="302" customFormat="1" ht="16.5" thickBot="1">
      <c r="D322" s="303"/>
      <c r="E322" s="303"/>
      <c r="F322" s="439"/>
      <c r="G322" s="439"/>
      <c r="H322" s="440"/>
      <c r="I322" s="439"/>
      <c r="J322" s="441"/>
      <c r="K322" s="441"/>
      <c r="L322" s="441"/>
      <c r="M322" s="441"/>
      <c r="N322" s="307"/>
      <c r="O322" s="758"/>
    </row>
    <row r="323" spans="4:15" s="302" customFormat="1" ht="16.5" thickBot="1">
      <c r="D323" s="303"/>
      <c r="E323" s="303"/>
      <c r="F323" s="439"/>
      <c r="G323" s="439"/>
      <c r="H323" s="440"/>
      <c r="I323" s="439"/>
      <c r="J323" s="441"/>
      <c r="K323" s="441"/>
      <c r="L323" s="441"/>
      <c r="M323" s="441"/>
      <c r="N323" s="307"/>
      <c r="O323" s="758"/>
    </row>
    <row r="324" spans="4:15" s="302" customFormat="1" ht="15.75">
      <c r="D324" s="303"/>
      <c r="E324" s="303"/>
      <c r="F324" s="439"/>
      <c r="G324" s="439"/>
      <c r="H324" s="440"/>
      <c r="I324" s="439"/>
      <c r="J324" s="441"/>
      <c r="K324" s="441"/>
      <c r="L324" s="441"/>
      <c r="M324" s="441"/>
      <c r="N324" s="307"/>
      <c r="O324" s="307"/>
    </row>
    <row r="325" spans="4:15" s="302" customFormat="1" ht="16.5" thickBot="1">
      <c r="D325" s="303"/>
      <c r="E325" s="303"/>
      <c r="F325" s="439"/>
      <c r="G325" s="439"/>
      <c r="H325" s="440"/>
      <c r="I325" s="439"/>
      <c r="J325" s="441"/>
      <c r="K325" s="441"/>
      <c r="L325" s="441"/>
      <c r="M325" s="441"/>
      <c r="N325" s="307"/>
      <c r="O325" s="305"/>
    </row>
    <row r="326" spans="4:15" ht="16.5" thickBot="1">
      <c r="O326" s="758"/>
    </row>
    <row r="327" spans="4:15" ht="16.5" thickBot="1">
      <c r="O327" s="758"/>
    </row>
    <row r="328" spans="4:15" ht="16.5" thickBot="1">
      <c r="O328" s="758"/>
    </row>
    <row r="329" spans="4:15" ht="16.5" thickBot="1">
      <c r="O329" s="758"/>
    </row>
  </sheetData>
  <mergeCells count="16">
    <mergeCell ref="F197:N197"/>
    <mergeCell ref="G11:K11"/>
    <mergeCell ref="F5:G8"/>
    <mergeCell ref="J5:K8"/>
    <mergeCell ref="H8:I8"/>
    <mergeCell ref="F9:M9"/>
    <mergeCell ref="L5:M5"/>
    <mergeCell ref="L6:M6"/>
    <mergeCell ref="H7:I7"/>
    <mergeCell ref="H5:I6"/>
    <mergeCell ref="K195:M195"/>
    <mergeCell ref="F13:M13"/>
    <mergeCell ref="F17:K17"/>
    <mergeCell ref="L17:M17"/>
    <mergeCell ref="K12:L12"/>
    <mergeCell ref="G12:J12"/>
  </mergeCells>
  <conditionalFormatting sqref="F326:M9268 F135:M135 F130 F129:K129 F24:K24 M24 G97:I97 F97:F98 F96:J96 L96:M98 L129:M130 G20:M20 F21:M23 F31:M31 L188:M191 F151:M151 F42:I42 F117:M120 F126:M127 F122:M122 F27:M27 F175:M176 F106:G106 K106:M106 F92:M93 K42:M42 F168 L168:M168 L173:M174 F183:M183 F177:F181 H177:M181 F185:I185 K185:M185 L152:M153 F147 L147:M147 F59:I59 K59:M59">
    <cfRule type="expression" dxfId="740" priority="7075">
      <formula>CONCATENATE($F20,$G20,$H20,$I20,$J20,$K20,$L20,$M20)=""</formula>
    </cfRule>
    <cfRule type="expression" dxfId="739" priority="7076">
      <formula>CONCATENATE($F20,$G20,$I20,$J20,$K20,$L20,$M20)=""</formula>
    </cfRule>
    <cfRule type="expression" dxfId="738" priority="7077">
      <formula>CONCATENATE($G20,$I20,$J20,$K20,$L20)=""</formula>
    </cfRule>
  </conditionalFormatting>
  <conditionalFormatting sqref="F95:M95">
    <cfRule type="expression" dxfId="737" priority="7066">
      <formula>CONCATENATE($F95,$G95,$H95,$I95,$J95,$K95,$L95,$M95)=""</formula>
    </cfRule>
    <cfRule type="expression" dxfId="736" priority="7067">
      <formula>CONCATENATE($F95,$G95,$I95,$J95,$K95,$L95,$M95)=""</formula>
    </cfRule>
    <cfRule type="expression" dxfId="735" priority="7068">
      <formula>CONCATENATE($G95,$I95,$J95,$K95,$L95)=""</formula>
    </cfRule>
  </conditionalFormatting>
  <conditionalFormatting sqref="H106:I106">
    <cfRule type="expression" dxfId="734" priority="7063">
      <formula>CONCATENATE($F106,$G106,$H106,$I106,$J106,$K106,$L106,$M106)=""</formula>
    </cfRule>
    <cfRule type="expression" dxfId="733" priority="7064">
      <formula>CONCATENATE($F106,$G106,$I106,$J106,$K106,$L106,$M106)=""</formula>
    </cfRule>
    <cfRule type="expression" dxfId="732" priority="7065">
      <formula>CONCATENATE($G106,$I106,$J106,$K106,$L106)=""</formula>
    </cfRule>
  </conditionalFormatting>
  <conditionalFormatting sqref="F100:M100">
    <cfRule type="expression" dxfId="731" priority="7060">
      <formula>CONCATENATE($F100,$G100,$H100,$I100,$J100,$K100,$L100,$M100)=""</formula>
    </cfRule>
    <cfRule type="expression" dxfId="730" priority="7061">
      <formula>CONCATENATE($F100,$G100,$I100,$J100,$K100,$L100,$M100)=""</formula>
    </cfRule>
    <cfRule type="expression" dxfId="729" priority="7062">
      <formula>CONCATENATE($G100,$I100,$J100,$K100,$L100)=""</formula>
    </cfRule>
  </conditionalFormatting>
  <conditionalFormatting sqref="G98:J98">
    <cfRule type="expression" dxfId="728" priority="6376">
      <formula>CONCATENATE($F98,$G98,$H98,$I98,$J98,$K98,$L98,$M98)=""</formula>
    </cfRule>
    <cfRule type="expression" dxfId="727" priority="6377">
      <formula>CONCATENATE($F98,$G98,$I98,$J98,$K98,$L98,$M98)=""</formula>
    </cfRule>
    <cfRule type="expression" dxfId="726" priority="6378">
      <formula>CONCATENATE($G98,$I98,$J98,$K98,$L98)=""</formula>
    </cfRule>
  </conditionalFormatting>
  <conditionalFormatting sqref="K96:K98">
    <cfRule type="expression" dxfId="725" priority="6223">
      <formula>CONCATENATE($F96,$G96,$H96,$I96,$J96,$K96,$L96,$M96)=""</formula>
    </cfRule>
    <cfRule type="expression" dxfId="724" priority="6224">
      <formula>CONCATENATE($F96,$G96,$I96,$J96,$K96,$L96,$M96)=""</formula>
    </cfRule>
    <cfRule type="expression" dxfId="723" priority="6225">
      <formula>CONCATENATE($G96,$I96,$J96,$K96,$L96)=""</formula>
    </cfRule>
  </conditionalFormatting>
  <conditionalFormatting sqref="G130 I130:K130">
    <cfRule type="expression" dxfId="722" priority="6280">
      <formula>CONCATENATE($F130,$G130,$H130,$I130,$J130,$K130,$L130,$M130)=""</formula>
    </cfRule>
    <cfRule type="expression" dxfId="721" priority="6281">
      <formula>CONCATENATE($F130,$G130,$I130,$J130,$K130,$L130,$M130)=""</formula>
    </cfRule>
    <cfRule type="expression" dxfId="720" priority="6282">
      <formula>CONCATENATE($G130,$I130,$J130,$K130,$L130)=""</formula>
    </cfRule>
  </conditionalFormatting>
  <conditionalFormatting sqref="L24">
    <cfRule type="expression" dxfId="719" priority="6199">
      <formula>CONCATENATE($F24,$G24,$H24,$I24,$J24,$K24,$L24,$M24)=""</formula>
    </cfRule>
    <cfRule type="expression" dxfId="718" priority="6200">
      <formula>CONCATENATE($F24,$G24,$I24,$J24,$K24,$L24,$M24)=""</formula>
    </cfRule>
    <cfRule type="expression" dxfId="717" priority="6201">
      <formula>CONCATENATE($G24,$I24,$J24,$K24,$L24)=""</formula>
    </cfRule>
  </conditionalFormatting>
  <conditionalFormatting sqref="F20">
    <cfRule type="expression" dxfId="716" priority="5968">
      <formula>CONCATENATE($F20,$G20,$H20,$I20,$J20,$K20,$L20,$M20)=""</formula>
    </cfRule>
    <cfRule type="expression" dxfId="715" priority="5969">
      <formula>CONCATENATE($F20,$G20,$I20,$J20,$K20,$L20,$M20)=""</formula>
    </cfRule>
    <cfRule type="expression" dxfId="714" priority="5970">
      <formula>CONCATENATE($G20,$I20,$J20,$K20,$L20)=""</formula>
    </cfRule>
  </conditionalFormatting>
  <conditionalFormatting sqref="H28:M28 F28">
    <cfRule type="expression" dxfId="713" priority="5668">
      <formula>CONCATENATE($F28,$G28,$H28,$I28,$J28,$K28,$L28,$M28)=""</formula>
    </cfRule>
    <cfRule type="expression" dxfId="712" priority="5669">
      <formula>CONCATENATE($F28,$G28,$I28,$J28,$K28,$L28,$M28)=""</formula>
    </cfRule>
    <cfRule type="expression" dxfId="711" priority="5670">
      <formula>CONCATENATE($G28,$I28,$J28,$K28,$L28)=""</formula>
    </cfRule>
  </conditionalFormatting>
  <conditionalFormatting sqref="G28">
    <cfRule type="expression" dxfId="710" priority="5665">
      <formula>CONCATENATE($F28,$G28,$H28,$I28,$J28,$K28,$L28,$M28)=""</formula>
    </cfRule>
    <cfRule type="expression" dxfId="709" priority="5666">
      <formula>CONCATENATE($F28,$G28,$I28,$J28,$K28,$L28,$M28)=""</formula>
    </cfRule>
    <cfRule type="expression" dxfId="708" priority="5667">
      <formula>CONCATENATE($G28,$I28,$J28,$K28,$L28)=""</formula>
    </cfRule>
  </conditionalFormatting>
  <conditionalFormatting sqref="F25:M25">
    <cfRule type="expression" dxfId="707" priority="4441">
      <formula>CONCATENATE($F25,$G25,$H25,$I25,$J25,$K25,$L25,$M25)=""</formula>
    </cfRule>
    <cfRule type="expression" dxfId="706" priority="4442">
      <formula>CONCATENATE($F25,$G25,$I25,$J25,$K25,$L25,$M25)=""</formula>
    </cfRule>
    <cfRule type="expression" dxfId="705" priority="4443">
      <formula>CONCATENATE($G25,$I25,$J25,$K25,$L25)=""</formula>
    </cfRule>
  </conditionalFormatting>
  <conditionalFormatting sqref="F26:M26">
    <cfRule type="expression" dxfId="704" priority="4435">
      <formula>CONCATENATE($F26,$G26,$H26,$I26,$J26,$K26,$L26,$M26)=""</formula>
    </cfRule>
    <cfRule type="expression" dxfId="703" priority="4436">
      <formula>CONCATENATE($F26,$G26,$I26,$J26,$K26,$L26,$M26)=""</formula>
    </cfRule>
    <cfRule type="expression" dxfId="702" priority="4437">
      <formula>CONCATENATE($G26,$I26,$J26,$K26,$L26)=""</formula>
    </cfRule>
  </conditionalFormatting>
  <conditionalFormatting sqref="F170:M170 F154:M155 F156:F157 L156:M157 K156 H156:I156">
    <cfRule type="expression" dxfId="701" priority="3043">
      <formula>CONCATENATE($F154,$G154,$H154,$I154,$J154,$K154,$L154,$M154)=""</formula>
    </cfRule>
    <cfRule type="expression" dxfId="700" priority="3044">
      <formula>CONCATENATE($F154,$G154,$I154,$J154,$K154,$L154,$M154)=""</formula>
    </cfRule>
    <cfRule type="expression" dxfId="699" priority="3045">
      <formula>CONCATENATE($G154,$I154,$J154,$K154,$L154)=""</formula>
    </cfRule>
  </conditionalFormatting>
  <conditionalFormatting sqref="F173:I173 K173">
    <cfRule type="expression" dxfId="698" priority="3034">
      <formula>CONCATENATE($F173,$G173,$H173,$I173,$J173,$K173,$L173,$M173)=""</formula>
    </cfRule>
    <cfRule type="expression" dxfId="697" priority="3035">
      <formula>CONCATENATE($F173,$G173,$I173,$J173,$K173,$L173,$M173)=""</formula>
    </cfRule>
    <cfRule type="expression" dxfId="696" priority="3036">
      <formula>CONCATENATE($G173,$I173,$J173,$K173,$L173)=""</formula>
    </cfRule>
  </conditionalFormatting>
  <conditionalFormatting sqref="F32:M32">
    <cfRule type="expression" dxfId="695" priority="3061">
      <formula>CONCATENATE($F32,$G32,$H32,$I32,$J32,$K32,$L32,$M32)=""</formula>
    </cfRule>
    <cfRule type="expression" dxfId="694" priority="3062">
      <formula>CONCATENATE($F32,$G32,$I32,$J32,$K32,$L32,$M32)=""</formula>
    </cfRule>
    <cfRule type="expression" dxfId="693" priority="3063">
      <formula>CONCATENATE($G32,$I32,$J32,$K32,$L32)=""</formula>
    </cfRule>
  </conditionalFormatting>
  <conditionalFormatting sqref="F38:M38">
    <cfRule type="expression" dxfId="692" priority="3058">
      <formula>CONCATENATE($F38,$G38,$H38,$I38,$J38,$K38,$L38,$M38)=""</formula>
    </cfRule>
    <cfRule type="expression" dxfId="691" priority="3059">
      <formula>CONCATENATE($F38,$G38,$I38,$J38,$K38,$L38,$M38)=""</formula>
    </cfRule>
    <cfRule type="expression" dxfId="690" priority="3060">
      <formula>CONCATENATE($G38,$I38,$J38,$K38,$L38)=""</formula>
    </cfRule>
  </conditionalFormatting>
  <conditionalFormatting sqref="F41:M41">
    <cfRule type="expression" dxfId="689" priority="3055">
      <formula>CONCATENATE($F41,$G41,$H41,$I41,$J41,$K41,$L41,$M41)=""</formula>
    </cfRule>
    <cfRule type="expression" dxfId="688" priority="3056">
      <formula>CONCATENATE($F41,$G41,$I41,$J41,$K41,$L41,$M41)=""</formula>
    </cfRule>
    <cfRule type="expression" dxfId="687" priority="3057">
      <formula>CONCATENATE($G41,$I41,$J41,$K41,$L41)=""</formula>
    </cfRule>
  </conditionalFormatting>
  <conditionalFormatting sqref="H157:I157 K157">
    <cfRule type="expression" dxfId="686" priority="3040">
      <formula>CONCATENATE($F157,$G157,$H157,$I157,$J157,$K157,$L157,$M157)=""</formula>
    </cfRule>
    <cfRule type="expression" dxfId="685" priority="3041">
      <formula>CONCATENATE($F157,$G157,$I157,$J157,$K157,$L157,$M157)=""</formula>
    </cfRule>
    <cfRule type="expression" dxfId="684" priority="3042">
      <formula>CONCATENATE($G157,$I157,$J157,$K157,$L157)=""</formula>
    </cfRule>
  </conditionalFormatting>
  <conditionalFormatting sqref="F128:M128">
    <cfRule type="expression" dxfId="683" priority="3049">
      <formula>CONCATENATE($F128,$G128,$H128,$I128,$J128,$K128,$L128,$M128)=""</formula>
    </cfRule>
    <cfRule type="expression" dxfId="682" priority="3050">
      <formula>CONCATENATE($F128,$G128,$I128,$J128,$K128,$L128,$M128)=""</formula>
    </cfRule>
    <cfRule type="expression" dxfId="681" priority="3051">
      <formula>CONCATENATE($G128,$I128,$J128,$K128,$L128)=""</formula>
    </cfRule>
  </conditionalFormatting>
  <conditionalFormatting sqref="F174:I174 K174">
    <cfRule type="expression" dxfId="680" priority="3037">
      <formula>CONCATENATE($F174,$G174,$H174,$I174,$J174,$K174,$L174,$M174)=""</formula>
    </cfRule>
    <cfRule type="expression" dxfId="679" priority="3038">
      <formula>CONCATENATE($F174,$G174,$I174,$J174,$K174,$L174,$M174)=""</formula>
    </cfRule>
    <cfRule type="expression" dxfId="678" priority="3039">
      <formula>CONCATENATE($G174,$I174,$J174,$K174,$L174)=""</formula>
    </cfRule>
  </conditionalFormatting>
  <conditionalFormatting sqref="F132 F131:K131 L131:M132">
    <cfRule type="expression" dxfId="677" priority="2179">
      <formula>CONCATENATE($F131,$G131,$H131,$I131,$J131,$K131,$L131,$M131)=""</formula>
    </cfRule>
    <cfRule type="expression" dxfId="676" priority="2180">
      <formula>CONCATENATE($F131,$G131,$I131,$J131,$K131,$L131,$M131)=""</formula>
    </cfRule>
    <cfRule type="expression" dxfId="675" priority="2181">
      <formula>CONCATENATE($G131,$I131,$J131,$K131,$L131)=""</formula>
    </cfRule>
  </conditionalFormatting>
  <conditionalFormatting sqref="G132:K132">
    <cfRule type="expression" dxfId="674" priority="2176">
      <formula>CONCATENATE($F132,$G132,$H132,$I132,$J132,$K132,$L132,$M132)=""</formula>
    </cfRule>
    <cfRule type="expression" dxfId="673" priority="2177">
      <formula>CONCATENATE($F132,$G132,$I132,$J132,$K132,$L132,$M132)=""</formula>
    </cfRule>
    <cfRule type="expression" dxfId="672" priority="2178">
      <formula>CONCATENATE($G132,$I132,$J132,$K132,$L132)=""</formula>
    </cfRule>
  </conditionalFormatting>
  <conditionalFormatting sqref="H130">
    <cfRule type="expression" dxfId="671" priority="2161">
      <formula>CONCATENATE($F130,$G130,$H130,$I130,$J130,$K130,$L130,$M130)=""</formula>
    </cfRule>
    <cfRule type="expression" dxfId="670" priority="2162">
      <formula>CONCATENATE($F130,$G130,$I130,$J130,$K130,$L130,$M130)=""</formula>
    </cfRule>
    <cfRule type="expression" dxfId="669" priority="2163">
      <formula>CONCATENATE($G130,$I130,$J130,$K130,$L130)=""</formula>
    </cfRule>
  </conditionalFormatting>
  <conditionalFormatting sqref="L133:M133">
    <cfRule type="expression" dxfId="668" priority="2158">
      <formula>CONCATENATE($F133,$G133,$H133,$I133,$J133,$K133,$L133,$M133)=""</formula>
    </cfRule>
    <cfRule type="expression" dxfId="667" priority="2159">
      <formula>CONCATENATE($F133,$G133,$I133,$J133,$K133,$L133,$M133)=""</formula>
    </cfRule>
    <cfRule type="expression" dxfId="666" priority="2160">
      <formula>CONCATENATE($G133,$I133,$J133,$K133,$L133)=""</formula>
    </cfRule>
  </conditionalFormatting>
  <conditionalFormatting sqref="F133:K133">
    <cfRule type="expression" dxfId="665" priority="2155">
      <formula>CONCATENATE($F133,$G133,$H133,$I133,$J133,$K133,$L133,$M133)=""</formula>
    </cfRule>
    <cfRule type="expression" dxfId="664" priority="2156">
      <formula>CONCATENATE($F133,$G133,$I133,$J133,$K133,$L133,$M133)=""</formula>
    </cfRule>
    <cfRule type="expression" dxfId="663" priority="2157">
      <formula>CONCATENATE($G133,$I133,$J133,$K133,$L133)=""</formula>
    </cfRule>
  </conditionalFormatting>
  <conditionalFormatting sqref="F189 F186:M187 F188:K188">
    <cfRule type="expression" dxfId="662" priority="2104">
      <formula>CONCATENATE($F186,$G186,$H186,$I186,$J186,$K186,$L186,$M186)=""</formula>
    </cfRule>
    <cfRule type="expression" dxfId="661" priority="2105">
      <formula>CONCATENATE($F186,$G186,$I186,$J186,$K186,$L186,$M186)=""</formula>
    </cfRule>
    <cfRule type="expression" dxfId="660" priority="2106">
      <formula>CONCATENATE($G186,$I186,$J186,$K186,$L186)=""</formula>
    </cfRule>
  </conditionalFormatting>
  <conditionalFormatting sqref="F190:K190">
    <cfRule type="expression" dxfId="659" priority="2095">
      <formula>CONCATENATE($F190,$G190,$H190,$I190,$J190,$K190,$L190,$M190)=""</formula>
    </cfRule>
    <cfRule type="expression" dxfId="658" priority="2096">
      <formula>CONCATENATE($F190,$G190,$I190,$J190,$K190,$L190,$M190)=""</formula>
    </cfRule>
    <cfRule type="expression" dxfId="657" priority="2097">
      <formula>CONCATENATE($G190,$I190,$J190,$K190,$L190)=""</formula>
    </cfRule>
  </conditionalFormatting>
  <conditionalFormatting sqref="F191:K191">
    <cfRule type="expression" dxfId="656" priority="2098">
      <formula>CONCATENATE($F191,$G191,$H191,$I191,$J191,$K191,$L191,$M191)=""</formula>
    </cfRule>
    <cfRule type="expression" dxfId="655" priority="2099">
      <formula>CONCATENATE($F191,$G191,$I191,$J191,$K191,$L191,$M191)=""</formula>
    </cfRule>
    <cfRule type="expression" dxfId="654" priority="2100">
      <formula>CONCATENATE($G191,$I191,$J191,$K191,$L191)=""</formula>
    </cfRule>
  </conditionalFormatting>
  <conditionalFormatting sqref="G189:K189">
    <cfRule type="expression" dxfId="653" priority="2101">
      <formula>CONCATENATE($F189,$G189,$H189,$I189,$J189,$K189,$L189,$M189)=""</formula>
    </cfRule>
    <cfRule type="expression" dxfId="652" priority="2102">
      <formula>CONCATENATE($F189,$G189,$I189,$J189,$K189,$L189,$M189)=""</formula>
    </cfRule>
    <cfRule type="expression" dxfId="651" priority="2103">
      <formula>CONCATENATE($G189,$I189,$J189,$K189,$L189)=""</formula>
    </cfRule>
  </conditionalFormatting>
  <conditionalFormatting sqref="F152 F148:M149 F150:K150">
    <cfRule type="expression" dxfId="650" priority="2077">
      <formula>CONCATENATE($F148,$G148,$H148,$I148,$J148,$K148,$L148,$M148)=""</formula>
    </cfRule>
    <cfRule type="expression" dxfId="649" priority="2078">
      <formula>CONCATENATE($F148,$G148,$I148,$J148,$K148,$L148,$M148)=""</formula>
    </cfRule>
    <cfRule type="expression" dxfId="648" priority="2079">
      <formula>CONCATENATE($G148,$I148,$J148,$K148,$L148)=""</formula>
    </cfRule>
  </conditionalFormatting>
  <conditionalFormatting sqref="G152:K152 G153">
    <cfRule type="expression" dxfId="647" priority="2074">
      <formula>CONCATENATE($F152,$G152,$H152,$I152,$J152,$K152,$L152,$M152)=""</formula>
    </cfRule>
    <cfRule type="expression" dxfId="646" priority="2075">
      <formula>CONCATENATE($F152,$G152,$I152,$J152,$K152,$L152,$M152)=""</formula>
    </cfRule>
    <cfRule type="expression" dxfId="645" priority="2076">
      <formula>CONCATENATE($G152,$I152,$J152,$K152,$L152)=""</formula>
    </cfRule>
  </conditionalFormatting>
  <conditionalFormatting sqref="L150:M150">
    <cfRule type="expression" dxfId="644" priority="2080">
      <formula>CONCATENATE($F150,$G150,$H150,$I150,$J150,$K150,$L150,$M150)=""</formula>
    </cfRule>
    <cfRule type="expression" dxfId="643" priority="2081">
      <formula>CONCATENATE($F150,$G150,$I150,$J150,$K150,$L150,$M150)=""</formula>
    </cfRule>
    <cfRule type="expression" dxfId="642" priority="2082">
      <formula>CONCATENATE($G150,$I150,$J150,$K150,$L150)=""</formula>
    </cfRule>
  </conditionalFormatting>
  <conditionalFormatting sqref="F153 H153:K153">
    <cfRule type="expression" dxfId="641" priority="2068">
      <formula>CONCATENATE($F153,$G153,$H153,$I153,$J153,$K153,$L153,$M153)=""</formula>
    </cfRule>
    <cfRule type="expression" dxfId="640" priority="2069">
      <formula>CONCATENATE($F153,$G153,$I153,$J153,$K153,$L153,$M153)=""</formula>
    </cfRule>
    <cfRule type="expression" dxfId="639" priority="2070">
      <formula>CONCATENATE($G153,$I153,$J153,$K153,$L153)=""</formula>
    </cfRule>
  </conditionalFormatting>
  <conditionalFormatting sqref="F124:M124">
    <cfRule type="expression" dxfId="638" priority="1999">
      <formula>CONCATENATE($F124,$G124,$H124,$I124,$J124,$K124,$L124,$M124)=""</formula>
    </cfRule>
    <cfRule type="expression" dxfId="637" priority="2000">
      <formula>CONCATENATE($F124,$G124,$I124,$J124,$K124,$L124,$M124)=""</formula>
    </cfRule>
    <cfRule type="expression" dxfId="636" priority="2001">
      <formula>CONCATENATE($G124,$I124,$J124,$K124,$L124)=""</formula>
    </cfRule>
  </conditionalFormatting>
  <conditionalFormatting sqref="F125:M125">
    <cfRule type="expression" dxfId="635" priority="1990">
      <formula>CONCATENATE($F125,$G125,$H125,$I125,$J125,$K125,$L125,$M125)=""</formula>
    </cfRule>
    <cfRule type="expression" dxfId="634" priority="1991">
      <formula>CONCATENATE($F125,$G125,$I125,$J125,$K125,$L125,$M125)=""</formula>
    </cfRule>
    <cfRule type="expression" dxfId="633" priority="1992">
      <formula>CONCATENATE($G125,$I125,$J125,$K125,$L125)=""</formula>
    </cfRule>
  </conditionalFormatting>
  <conditionalFormatting sqref="F136:M136">
    <cfRule type="expression" dxfId="632" priority="1987">
      <formula>CONCATENATE($F136,$G136,$H136,$I136,$J136,$K136,$L136,$M136)=""</formula>
    </cfRule>
    <cfRule type="expression" dxfId="631" priority="1988">
      <formula>CONCATENATE($F136,$G136,$I136,$J136,$K136,$L136,$M136)=""</formula>
    </cfRule>
    <cfRule type="expression" dxfId="630" priority="1989">
      <formula>CONCATENATE($G136,$I136,$J136,$K136,$L136)=""</formula>
    </cfRule>
  </conditionalFormatting>
  <conditionalFormatting sqref="F138:M138">
    <cfRule type="expression" dxfId="629" priority="1984">
      <formula>CONCATENATE($F138,$G138,$H138,$I138,$J138,$K138,$L138,$M138)=""</formula>
    </cfRule>
    <cfRule type="expression" dxfId="628" priority="1985">
      <formula>CONCATENATE($F138,$G138,$I138,$J138,$K138,$L138,$M138)=""</formula>
    </cfRule>
    <cfRule type="expression" dxfId="627" priority="1986">
      <formula>CONCATENATE($G138,$I138,$J138,$K138,$L138)=""</formula>
    </cfRule>
  </conditionalFormatting>
  <conditionalFormatting sqref="F94:M94">
    <cfRule type="expression" dxfId="626" priority="1741">
      <formula>CONCATENATE($F94,$G94,$H94,$I94,$J94,$K94,$L94,$M94)=""</formula>
    </cfRule>
    <cfRule type="expression" dxfId="625" priority="1742">
      <formula>CONCATENATE($F94,$G94,$I94,$J94,$K94,$L94,$M94)=""</formula>
    </cfRule>
    <cfRule type="expression" dxfId="624" priority="1743">
      <formula>CONCATENATE($G94,$I94,$J94,$K94,$L94)=""</formula>
    </cfRule>
  </conditionalFormatting>
  <conditionalFormatting sqref="J97">
    <cfRule type="expression" dxfId="623" priority="1738">
      <formula>CONCATENATE($F97,$G97,$H97,$I97,$J97,$K97,$L97,$M97)=""</formula>
    </cfRule>
    <cfRule type="expression" dxfId="622" priority="1739">
      <formula>CONCATENATE($F97,$G97,$I97,$J97,$K97,$L97,$M97)=""</formula>
    </cfRule>
    <cfRule type="expression" dxfId="621" priority="1740">
      <formula>CONCATENATE($G97,$I97,$J97,$K97,$L97)=""</formula>
    </cfRule>
  </conditionalFormatting>
  <conditionalFormatting sqref="F99:M99">
    <cfRule type="expression" dxfId="620" priority="1735">
      <formula>CONCATENATE($F99,$G99,$H99,$I99,$J99,$K99,$L99,$M99)=""</formula>
    </cfRule>
    <cfRule type="expression" dxfId="619" priority="1736">
      <formula>CONCATENATE($F99,$G99,$I99,$J99,$K99,$L99,$M99)=""</formula>
    </cfRule>
    <cfRule type="expression" dxfId="618" priority="1737">
      <formula>CONCATENATE($G99,$I99,$J99,$K99,$L99)=""</formula>
    </cfRule>
  </conditionalFormatting>
  <conditionalFormatting sqref="L103:L105">
    <cfRule type="expression" dxfId="617" priority="1717">
      <formula>CONCATENATE($F103,$G103,$H103,$I103,$J103,$K103,$L103,$M103)=""</formula>
    </cfRule>
    <cfRule type="expression" dxfId="616" priority="1718">
      <formula>CONCATENATE($F103,$G103,$I103,$J103,$K103,$L103,$M103)=""</formula>
    </cfRule>
    <cfRule type="expression" dxfId="615" priority="1719">
      <formula>CONCATENATE($G103,$I103,$J103,$K103,$L103)=""</formula>
    </cfRule>
  </conditionalFormatting>
  <conditionalFormatting sqref="H104:I104 G103:G104 M103:M105">
    <cfRule type="expression" dxfId="614" priority="1732">
      <formula>CONCATENATE($F103,$G103,$H103,$I103,$J103,$K103,$L103,$M103)=""</formula>
    </cfRule>
    <cfRule type="expression" dxfId="613" priority="1733">
      <formula>CONCATENATE($F103,$G103,$I103,$J103,$K103,$L103,$M103)=""</formula>
    </cfRule>
    <cfRule type="expression" dxfId="612" priority="1734">
      <formula>CONCATENATE($G103,$I103,$J103,$K103,$L103)=""</formula>
    </cfRule>
  </conditionalFormatting>
  <conditionalFormatting sqref="H103:I103">
    <cfRule type="expression" dxfId="611" priority="1729">
      <formula>CONCATENATE($F103,$G103,$H103,$I103,$J103,$K103,$L103,$M103)=""</formula>
    </cfRule>
    <cfRule type="expression" dxfId="610" priority="1730">
      <formula>CONCATENATE($F103,$G103,$I103,$J103,$K103,$L103,$M103)=""</formula>
    </cfRule>
    <cfRule type="expression" dxfId="609" priority="1731">
      <formula>CONCATENATE($G103,$I103,$J103,$K103,$L103)=""</formula>
    </cfRule>
  </conditionalFormatting>
  <conditionalFormatting sqref="F103:F105">
    <cfRule type="expression" dxfId="608" priority="1726">
      <formula>CONCATENATE($F103,$G103,$H103,$I103,$J103,$K103,$L103,$M103)=""</formula>
    </cfRule>
    <cfRule type="expression" dxfId="607" priority="1727">
      <formula>CONCATENATE($F103,$G103,$I103,$J103,$K103,$L103,$M103)=""</formula>
    </cfRule>
    <cfRule type="expression" dxfId="606" priority="1728">
      <formula>CONCATENATE($G103,$I103,$J103,$K103,$L103)=""</formula>
    </cfRule>
  </conditionalFormatting>
  <conditionalFormatting sqref="G105:I105">
    <cfRule type="expression" dxfId="605" priority="1723">
      <formula>CONCATENATE($F105,$G105,$H105,$I105,$J105,$K105,$L105,$M105)=""</formula>
    </cfRule>
    <cfRule type="expression" dxfId="604" priority="1724">
      <formula>CONCATENATE($F105,$G105,$I105,$J105,$K105,$L105,$M105)=""</formula>
    </cfRule>
    <cfRule type="expression" dxfId="603" priority="1725">
      <formula>CONCATENATE($G105,$I105,$J105,$K105,$L105)=""</formula>
    </cfRule>
  </conditionalFormatting>
  <conditionalFormatting sqref="K103:K105">
    <cfRule type="expression" dxfId="602" priority="1720">
      <formula>CONCATENATE($F103,$G103,$H103,$I103,$J103,$K103,$L103,$M103)=""</formula>
    </cfRule>
    <cfRule type="expression" dxfId="601" priority="1721">
      <formula>CONCATENATE($F103,$G103,$I103,$J103,$K103,$L103,$M103)=""</formula>
    </cfRule>
    <cfRule type="expression" dxfId="600" priority="1722">
      <formula>CONCATENATE($G103,$I103,$J103,$K103,$L103)=""</formula>
    </cfRule>
  </conditionalFormatting>
  <conditionalFormatting sqref="J112">
    <cfRule type="expression" dxfId="599" priority="1672">
      <formula>CONCATENATE($F112,$G112,$H112,$I112,$J112,$K112,$L112,$M112)=""</formula>
    </cfRule>
    <cfRule type="expression" dxfId="598" priority="1673">
      <formula>CONCATENATE($F112,$G112,$I112,$J112,$K112,$L112,$M112)=""</formula>
    </cfRule>
    <cfRule type="expression" dxfId="597" priority="1674">
      <formula>CONCATENATE($G112,$I112,$J112,$K112,$L112)=""</formula>
    </cfRule>
  </conditionalFormatting>
  <conditionalFormatting sqref="L101:L102">
    <cfRule type="expression" dxfId="596" priority="1702">
      <formula>CONCATENATE($F101,$G101,$H101,$I101,$J101,$K101,$L101,$M101)=""</formula>
    </cfRule>
    <cfRule type="expression" dxfId="595" priority="1703">
      <formula>CONCATENATE($F101,$G101,$I101,$J101,$K101,$L101,$M101)=""</formula>
    </cfRule>
    <cfRule type="expression" dxfId="594" priority="1704">
      <formula>CONCATENATE($G101,$I101,$J101,$K101,$L101)=""</formula>
    </cfRule>
  </conditionalFormatting>
  <conditionalFormatting sqref="H102:I102 G101:G102 M101:M102">
    <cfRule type="expression" dxfId="593" priority="1714">
      <formula>CONCATENATE($F101,$G101,$H101,$I101,$J101,$K101,$L101,$M101)=""</formula>
    </cfRule>
    <cfRule type="expression" dxfId="592" priority="1715">
      <formula>CONCATENATE($F101,$G101,$I101,$J101,$K101,$L101,$M101)=""</formula>
    </cfRule>
    <cfRule type="expression" dxfId="591" priority="1716">
      <formula>CONCATENATE($G101,$I101,$J101,$K101,$L101)=""</formula>
    </cfRule>
  </conditionalFormatting>
  <conditionalFormatting sqref="H101:J101">
    <cfRule type="expression" dxfId="590" priority="1711">
      <formula>CONCATENATE($F101,$G101,$H101,$I101,$J101,$K101,$L101,$M101)=""</formula>
    </cfRule>
    <cfRule type="expression" dxfId="589" priority="1712">
      <formula>CONCATENATE($F101,$G101,$I101,$J101,$K101,$L101,$M101)=""</formula>
    </cfRule>
    <cfRule type="expression" dxfId="588" priority="1713">
      <formula>CONCATENATE($G101,$I101,$J101,$K101,$L101)=""</formula>
    </cfRule>
  </conditionalFormatting>
  <conditionalFormatting sqref="F101:F102">
    <cfRule type="expression" dxfId="587" priority="1708">
      <formula>CONCATENATE($F101,$G101,$H101,$I101,$J101,$K101,$L101,$M101)=""</formula>
    </cfRule>
    <cfRule type="expression" dxfId="586" priority="1709">
      <formula>CONCATENATE($F101,$G101,$I101,$J101,$K101,$L101,$M101)=""</formula>
    </cfRule>
    <cfRule type="expression" dxfId="585" priority="1710">
      <formula>CONCATENATE($G101,$I101,$J101,$K101,$L101)=""</formula>
    </cfRule>
  </conditionalFormatting>
  <conditionalFormatting sqref="K101:K102">
    <cfRule type="expression" dxfId="584" priority="1705">
      <formula>CONCATENATE($F101,$G101,$H101,$I101,$J101,$K101,$L101,$M101)=""</formula>
    </cfRule>
    <cfRule type="expression" dxfId="583" priority="1706">
      <formula>CONCATENATE($F101,$G101,$I101,$J101,$K101,$L101,$M101)=""</formula>
    </cfRule>
    <cfRule type="expression" dxfId="582" priority="1707">
      <formula>CONCATENATE($G101,$I101,$J101,$K101,$L101)=""</formula>
    </cfRule>
  </conditionalFormatting>
  <conditionalFormatting sqref="F110:M110">
    <cfRule type="expression" dxfId="581" priority="1696">
      <formula>CONCATENATE($F110,$G110,$H110,$I110,$J110,$K110,$L110,$M110)=""</formula>
    </cfRule>
    <cfRule type="expression" dxfId="580" priority="1697">
      <formula>CONCATENATE($F110,$G110,$I110,$J110,$K110,$L110,$M110)=""</formula>
    </cfRule>
    <cfRule type="expression" dxfId="579" priority="1698">
      <formula>CONCATENATE($G110,$I110,$J110,$K110,$L110)=""</formula>
    </cfRule>
  </conditionalFormatting>
  <conditionalFormatting sqref="L112:L113">
    <cfRule type="expression" dxfId="578" priority="1681">
      <formula>CONCATENATE($F112,$G112,$H112,$I112,$J112,$K112,$L112,$M112)=""</formula>
    </cfRule>
    <cfRule type="expression" dxfId="577" priority="1682">
      <formula>CONCATENATE($F112,$G112,$I112,$J112,$K112,$L112,$M112)=""</formula>
    </cfRule>
    <cfRule type="expression" dxfId="576" priority="1683">
      <formula>CONCATENATE($G112,$I112,$J112,$K112,$L112)=""</formula>
    </cfRule>
  </conditionalFormatting>
  <conditionalFormatting sqref="H113:I113 G112:G113 M112:M113">
    <cfRule type="expression" dxfId="575" priority="1693">
      <formula>CONCATENATE($F112,$G112,$H112,$I112,$J112,$K112,$L112,$M112)=""</formula>
    </cfRule>
    <cfRule type="expression" dxfId="574" priority="1694">
      <formula>CONCATENATE($F112,$G112,$I112,$J112,$K112,$L112,$M112)=""</formula>
    </cfRule>
    <cfRule type="expression" dxfId="573" priority="1695">
      <formula>CONCATENATE($G112,$I112,$J112,$K112,$L112)=""</formula>
    </cfRule>
  </conditionalFormatting>
  <conditionalFormatting sqref="H112:I112">
    <cfRule type="expression" dxfId="572" priority="1690">
      <formula>CONCATENATE($F112,$G112,$H112,$I112,$J112,$K112,$L112,$M112)=""</formula>
    </cfRule>
    <cfRule type="expression" dxfId="571" priority="1691">
      <formula>CONCATENATE($F112,$G112,$I112,$J112,$K112,$L112,$M112)=""</formula>
    </cfRule>
    <cfRule type="expression" dxfId="570" priority="1692">
      <formula>CONCATENATE($G112,$I112,$J112,$K112,$L112)=""</formula>
    </cfRule>
  </conditionalFormatting>
  <conditionalFormatting sqref="F112:F113">
    <cfRule type="expression" dxfId="569" priority="1687">
      <formula>CONCATENATE($F112,$G112,$H112,$I112,$J112,$K112,$L112,$M112)=""</formula>
    </cfRule>
    <cfRule type="expression" dxfId="568" priority="1688">
      <formula>CONCATENATE($F112,$G112,$I112,$J112,$K112,$L112,$M112)=""</formula>
    </cfRule>
    <cfRule type="expression" dxfId="567" priority="1689">
      <formula>CONCATENATE($G112,$I112,$J112,$K112,$L112)=""</formula>
    </cfRule>
  </conditionalFormatting>
  <conditionalFormatting sqref="K112:K113">
    <cfRule type="expression" dxfId="566" priority="1684">
      <formula>CONCATENATE($F112,$G112,$H112,$I112,$J112,$K112,$L112,$M112)=""</formula>
    </cfRule>
    <cfRule type="expression" dxfId="565" priority="1685">
      <formula>CONCATENATE($F112,$G112,$I112,$J112,$K112,$L112,$M112)=""</formula>
    </cfRule>
    <cfRule type="expression" dxfId="564" priority="1686">
      <formula>CONCATENATE($G112,$I112,$J112,$K112,$L112)=""</formula>
    </cfRule>
  </conditionalFormatting>
  <conditionalFormatting sqref="J113">
    <cfRule type="expression" dxfId="563" priority="1675">
      <formula>CONCATENATE($F113,$G113,$H113,$I113,$J113,$K113,$L113,$M113)=""</formula>
    </cfRule>
    <cfRule type="expression" dxfId="562" priority="1676">
      <formula>CONCATENATE($F113,$G113,$I113,$J113,$K113,$L113,$M113)=""</formula>
    </cfRule>
    <cfRule type="expression" dxfId="561" priority="1677">
      <formula>CONCATENATE($G113,$I113,$J113,$K113,$L113)=""</formula>
    </cfRule>
  </conditionalFormatting>
  <conditionalFormatting sqref="F121:M121">
    <cfRule type="expression" dxfId="560" priority="1432">
      <formula>CONCATENATE($F121,$G121,$H121,$I121,$J121,$K121,$L121,$M121)=""</formula>
    </cfRule>
    <cfRule type="expression" dxfId="559" priority="1433">
      <formula>CONCATENATE($F121,$G121,$I121,$J121,$K121,$L121,$M121)=""</formula>
    </cfRule>
    <cfRule type="expression" dxfId="558" priority="1434">
      <formula>CONCATENATE($G121,$I121,$J121,$K121,$L121)=""</formula>
    </cfRule>
  </conditionalFormatting>
  <conditionalFormatting sqref="F158:F159 L158:M159 K158 H158:I158">
    <cfRule type="expression" dxfId="557" priority="1228">
      <formula>CONCATENATE($F158,$G158,$H158,$I158,$J158,$K158,$L158,$M158)=""</formula>
    </cfRule>
    <cfRule type="expression" dxfId="556" priority="1229">
      <formula>CONCATENATE($F158,$G158,$I158,$J158,$K158,$L158,$M158)=""</formula>
    </cfRule>
    <cfRule type="expression" dxfId="555" priority="1230">
      <formula>CONCATENATE($G158,$I158,$J158,$K158,$L158)=""</formula>
    </cfRule>
  </conditionalFormatting>
  <conditionalFormatting sqref="H159:I159 K159">
    <cfRule type="expression" dxfId="554" priority="1225">
      <formula>CONCATENATE($F159,$G159,$H159,$I159,$J159,$K159,$L159,$M159)=""</formula>
    </cfRule>
    <cfRule type="expression" dxfId="553" priority="1226">
      <formula>CONCATENATE($F159,$G159,$I159,$J159,$K159,$L159,$M159)=""</formula>
    </cfRule>
    <cfRule type="expression" dxfId="552" priority="1227">
      <formula>CONCATENATE($G159,$I159,$J159,$K159,$L159)=""</formula>
    </cfRule>
  </conditionalFormatting>
  <conditionalFormatting sqref="F160:F161 L160:M161 K160 H160:I160">
    <cfRule type="expression" dxfId="551" priority="1222">
      <formula>CONCATENATE($F160,$G160,$H160,$I160,$J160,$K160,$L160,$M160)=""</formula>
    </cfRule>
    <cfRule type="expression" dxfId="550" priority="1223">
      <formula>CONCATENATE($F160,$G160,$I160,$J160,$K160,$L160,$M160)=""</formula>
    </cfRule>
    <cfRule type="expression" dxfId="549" priority="1224">
      <formula>CONCATENATE($G160,$I160,$J160,$K160,$L160)=""</formula>
    </cfRule>
  </conditionalFormatting>
  <conditionalFormatting sqref="H161:I161 K161">
    <cfRule type="expression" dxfId="548" priority="1219">
      <formula>CONCATENATE($F161,$G161,$H161,$I161,$J161,$K161,$L161,$M161)=""</formula>
    </cfRule>
    <cfRule type="expression" dxfId="547" priority="1220">
      <formula>CONCATENATE($F161,$G161,$I161,$J161,$K161,$L161,$M161)=""</formula>
    </cfRule>
    <cfRule type="expression" dxfId="546" priority="1221">
      <formula>CONCATENATE($G161,$I161,$J161,$K161,$L161)=""</formula>
    </cfRule>
  </conditionalFormatting>
  <conditionalFormatting sqref="F162:F163 L162:M163 K162 H162:I162">
    <cfRule type="expression" dxfId="545" priority="1216">
      <formula>CONCATENATE($F162,$G162,$H162,$I162,$J162,$K162,$L162,$M162)=""</formula>
    </cfRule>
    <cfRule type="expression" dxfId="544" priority="1217">
      <formula>CONCATENATE($F162,$G162,$I162,$J162,$K162,$L162,$M162)=""</formula>
    </cfRule>
    <cfRule type="expression" dxfId="543" priority="1218">
      <formula>CONCATENATE($G162,$I162,$J162,$K162,$L162)=""</formula>
    </cfRule>
  </conditionalFormatting>
  <conditionalFormatting sqref="H163:I163 K163">
    <cfRule type="expression" dxfId="542" priority="1213">
      <formula>CONCATENATE($F163,$G163,$H163,$I163,$J163,$K163,$L163,$M163)=""</formula>
    </cfRule>
    <cfRule type="expression" dxfId="541" priority="1214">
      <formula>CONCATENATE($F163,$G163,$I163,$J163,$K163,$L163,$M163)=""</formula>
    </cfRule>
    <cfRule type="expression" dxfId="540" priority="1215">
      <formula>CONCATENATE($G163,$I163,$J163,$K163,$L163)=""</formula>
    </cfRule>
  </conditionalFormatting>
  <conditionalFormatting sqref="F164:F165 L164:M165 K164 H164:I164">
    <cfRule type="expression" dxfId="539" priority="1210">
      <formula>CONCATENATE($F164,$G164,$H164,$I164,$J164,$K164,$L164,$M164)=""</formula>
    </cfRule>
    <cfRule type="expression" dxfId="538" priority="1211">
      <formula>CONCATENATE($F164,$G164,$I164,$J164,$K164,$L164,$M164)=""</formula>
    </cfRule>
    <cfRule type="expression" dxfId="537" priority="1212">
      <formula>CONCATENATE($G164,$I164,$J164,$K164,$L164)=""</formula>
    </cfRule>
  </conditionalFormatting>
  <conditionalFormatting sqref="H165:I165 K165">
    <cfRule type="expression" dxfId="536" priority="1207">
      <formula>CONCATENATE($F165,$G165,$H165,$I165,$J165,$K165,$L165,$M165)=""</formula>
    </cfRule>
    <cfRule type="expression" dxfId="535" priority="1208">
      <formula>CONCATENATE($F165,$G165,$I165,$J165,$K165,$L165,$M165)=""</formula>
    </cfRule>
    <cfRule type="expression" dxfId="534" priority="1209">
      <formula>CONCATENATE($G165,$I165,$J165,$K165,$L165)=""</formula>
    </cfRule>
  </conditionalFormatting>
  <conditionalFormatting sqref="F166:F167 L166:M167 K166 H166:I166">
    <cfRule type="expression" dxfId="533" priority="1204">
      <formula>CONCATENATE($F166,$G166,$H166,$I166,$J166,$K166,$L166,$M166)=""</formula>
    </cfRule>
    <cfRule type="expression" dxfId="532" priority="1205">
      <formula>CONCATENATE($F166,$G166,$I166,$J166,$K166,$L166,$M166)=""</formula>
    </cfRule>
    <cfRule type="expression" dxfId="531" priority="1206">
      <formula>CONCATENATE($G166,$I166,$J166,$K166,$L166)=""</formula>
    </cfRule>
  </conditionalFormatting>
  <conditionalFormatting sqref="H167:I167 K167">
    <cfRule type="expression" dxfId="530" priority="1201">
      <formula>CONCATENATE($F167,$G167,$H167,$I167,$J167,$K167,$L167,$M167)=""</formula>
    </cfRule>
    <cfRule type="expression" dxfId="529" priority="1202">
      <formula>CONCATENATE($F167,$G167,$I167,$J167,$K167,$L167,$M167)=""</formula>
    </cfRule>
    <cfRule type="expression" dxfId="528" priority="1203">
      <formula>CONCATENATE($G167,$I167,$J167,$K167,$L167)=""</formula>
    </cfRule>
  </conditionalFormatting>
  <conditionalFormatting sqref="K168 H168:I168">
    <cfRule type="expression" dxfId="527" priority="1198">
      <formula>CONCATENATE($F168,$G168,$H168,$I168,$J168,$K168,$L168,$M168)=""</formula>
    </cfRule>
    <cfRule type="expression" dxfId="526" priority="1199">
      <formula>CONCATENATE($F168,$G168,$I168,$J168,$K168,$L168,$M168)=""</formula>
    </cfRule>
    <cfRule type="expression" dxfId="525" priority="1200">
      <formula>CONCATENATE($G168,$I168,$J168,$K168,$L168)=""</formula>
    </cfRule>
  </conditionalFormatting>
  <conditionalFormatting sqref="F171:I171 K171">
    <cfRule type="expression" dxfId="524" priority="1141">
      <formula>CONCATENATE($F171,$G171,$H171,$I171,$J171,$K171,$L171,$M171)=""</formula>
    </cfRule>
    <cfRule type="expression" dxfId="523" priority="1142">
      <formula>CONCATENATE($F171,$G171,$I171,$J171,$K171,$L171,$M171)=""</formula>
    </cfRule>
    <cfRule type="expression" dxfId="522" priority="1143">
      <formula>CONCATENATE($G171,$I171,$J171,$K171,$L171)=""</formula>
    </cfRule>
  </conditionalFormatting>
  <conditionalFormatting sqref="F169:I169 K169:M169">
    <cfRule type="expression" dxfId="521" priority="1156">
      <formula>CONCATENATE($F169,$G169,$H169,$I169,$J169,$K169,$L169,$M169)=""</formula>
    </cfRule>
    <cfRule type="expression" dxfId="520" priority="1157">
      <formula>CONCATENATE($F169,$G169,$I169,$J169,$K169,$L169,$M169)=""</formula>
    </cfRule>
    <cfRule type="expression" dxfId="519" priority="1158">
      <formula>CONCATENATE($G169,$I169,$J169,$K169,$L169)=""</formula>
    </cfRule>
  </conditionalFormatting>
  <conditionalFormatting sqref="L171:M172">
    <cfRule type="expression" dxfId="518" priority="1147">
      <formula>CONCATENATE($F171,$G171,$H171,$I171,$J171,$K171,$L171,$M171)=""</formula>
    </cfRule>
    <cfRule type="expression" dxfId="517" priority="1148">
      <formula>CONCATENATE($F171,$G171,$I171,$J171,$K171,$L171,$M171)=""</formula>
    </cfRule>
    <cfRule type="expression" dxfId="516" priority="1149">
      <formula>CONCATENATE($G171,$I171,$J171,$K171,$L171)=""</formula>
    </cfRule>
  </conditionalFormatting>
  <conditionalFormatting sqref="F172:I172 K172">
    <cfRule type="expression" dxfId="515" priority="1144">
      <formula>CONCATENATE($F172,$G172,$H172,$I172,$J172,$K172,$L172,$M172)=""</formula>
    </cfRule>
    <cfRule type="expression" dxfId="514" priority="1145">
      <formula>CONCATENATE($F172,$G172,$I172,$J172,$K172,$L172,$M172)=""</formula>
    </cfRule>
    <cfRule type="expression" dxfId="513" priority="1146">
      <formula>CONCATENATE($G172,$I172,$J172,$K172,$L172)=""</formula>
    </cfRule>
  </conditionalFormatting>
  <conditionalFormatting sqref="F137:M137">
    <cfRule type="expression" dxfId="512" priority="559">
      <formula>CONCATENATE($F137,$G137,$H137,$I137,$J137,$K137,$L137,$M137)=""</formula>
    </cfRule>
    <cfRule type="expression" dxfId="511" priority="560">
      <formula>CONCATENATE($F137,$G137,$I137,$J137,$K137,$L137,$M137)=""</formula>
    </cfRule>
    <cfRule type="expression" dxfId="510" priority="561">
      <formula>CONCATENATE($G137,$I137,$J137,$K137,$L137)=""</formula>
    </cfRule>
  </conditionalFormatting>
  <conditionalFormatting sqref="L134:M134">
    <cfRule type="expression" dxfId="509" priority="556">
      <formula>CONCATENATE($F134,$G134,$H134,$I134,$J134,$K134,$L134,$M134)=""</formula>
    </cfRule>
    <cfRule type="expression" dxfId="508" priority="557">
      <formula>CONCATENATE($F134,$G134,$I134,$J134,$K134,$L134,$M134)=""</formula>
    </cfRule>
    <cfRule type="expression" dxfId="507" priority="558">
      <formula>CONCATENATE($G134,$I134,$J134,$K134,$L134)=""</formula>
    </cfRule>
  </conditionalFormatting>
  <conditionalFormatting sqref="F134:K134">
    <cfRule type="expression" dxfId="506" priority="553">
      <formula>CONCATENATE($F134,$G134,$H134,$I134,$J134,$K134,$L134,$M134)=""</formula>
    </cfRule>
    <cfRule type="expression" dxfId="505" priority="554">
      <formula>CONCATENATE($F134,$G134,$I134,$J134,$K134,$L134,$M134)=""</formula>
    </cfRule>
    <cfRule type="expression" dxfId="504" priority="555">
      <formula>CONCATENATE($G134,$I134,$J134,$K134,$L134)=""</formula>
    </cfRule>
  </conditionalFormatting>
  <conditionalFormatting sqref="F139:M139">
    <cfRule type="expression" dxfId="503" priority="547">
      <formula>CONCATENATE($F139,$G139,$H139,$I139,$J139,$K139,$L139,$M139)=""</formula>
    </cfRule>
    <cfRule type="expression" dxfId="502" priority="548">
      <formula>CONCATENATE($F139,$G139,$I139,$J139,$K139,$L139,$M139)=""</formula>
    </cfRule>
    <cfRule type="expression" dxfId="501" priority="549">
      <formula>CONCATENATE($G139,$I139,$J139,$K139,$L139)=""</formula>
    </cfRule>
  </conditionalFormatting>
  <conditionalFormatting sqref="H147:K147">
    <cfRule type="expression" dxfId="500" priority="544">
      <formula>CONCATENATE($F147,$G147,$H147,$I147,$J147,$K147,$L147,$M147)=""</formula>
    </cfRule>
    <cfRule type="expression" dxfId="499" priority="545">
      <formula>CONCATENATE($F147,$G147,$I147,$J147,$K147,$L147,$M147)=""</formula>
    </cfRule>
    <cfRule type="expression" dxfId="498" priority="546">
      <formula>CONCATENATE($G147,$I147,$J147,$K147,$L147)=""</formula>
    </cfRule>
  </conditionalFormatting>
  <conditionalFormatting sqref="L192:M192">
    <cfRule type="expression" dxfId="497" priority="526">
      <formula>CONCATENATE($F192,$G192,$H192,$I192,$J192,$K192,$L192,$M192)=""</formula>
    </cfRule>
    <cfRule type="expression" dxfId="496" priority="527">
      <formula>CONCATENATE($F192,$G192,$I192,$J192,$K192,$L192,$M192)=""</formula>
    </cfRule>
    <cfRule type="expression" dxfId="495" priority="528">
      <formula>CONCATENATE($G192,$I192,$J192,$K192,$L192)=""</formula>
    </cfRule>
  </conditionalFormatting>
  <conditionalFormatting sqref="F192:K192">
    <cfRule type="expression" dxfId="494" priority="523">
      <formula>CONCATENATE($F192,$G192,$H192,$I192,$J192,$K192,$L192,$M192)=""</formula>
    </cfRule>
    <cfRule type="expression" dxfId="493" priority="524">
      <formula>CONCATENATE($F192,$G192,$I192,$J192,$K192,$L192,$M192)=""</formula>
    </cfRule>
    <cfRule type="expression" dxfId="492" priority="525">
      <formula>CONCATENATE($G192,$I192,$J192,$K192,$L192)=""</formula>
    </cfRule>
  </conditionalFormatting>
  <conditionalFormatting sqref="J102:J106">
    <cfRule type="expression" dxfId="491" priority="520">
      <formula>CONCATENATE($F102,$G102,$H102,$I102,$J102,$K102,$L102,$M102)=""</formula>
    </cfRule>
    <cfRule type="expression" dxfId="490" priority="521">
      <formula>CONCATENATE($F102,$G102,$I102,$J102,$K102,$L102,$M102)=""</formula>
    </cfRule>
    <cfRule type="expression" dxfId="489" priority="522">
      <formula>CONCATENATE($G102,$I102,$J102,$K102,$L102)=""</formula>
    </cfRule>
  </conditionalFormatting>
  <conditionalFormatting sqref="F123:M123">
    <cfRule type="expression" dxfId="488" priority="517">
      <formula>CONCATENATE($F123,$G123,$H123,$I123,$J123,$K123,$L123,$M123)=""</formula>
    </cfRule>
    <cfRule type="expression" dxfId="487" priority="518">
      <formula>CONCATENATE($F123,$G123,$I123,$J123,$K123,$L123,$M123)=""</formula>
    </cfRule>
    <cfRule type="expression" dxfId="486" priority="519">
      <formula>CONCATENATE($G123,$I123,$J123,$K123,$L123)=""</formula>
    </cfRule>
  </conditionalFormatting>
  <conditionalFormatting sqref="J35:J37">
    <cfRule type="expression" dxfId="485" priority="502">
      <formula>CONCATENATE($F35,$G35,$H35,$I35,$J35,$K35,$L35,$M35)=""</formula>
    </cfRule>
    <cfRule type="expression" dxfId="484" priority="503">
      <formula>CONCATENATE($F35,$G35,$I35,$J35,$K35,$L35,$M35)=""</formula>
    </cfRule>
    <cfRule type="expression" dxfId="483" priority="504">
      <formula>CONCATENATE($G35,$I35,$J35,$K35,$L35)=""</formula>
    </cfRule>
  </conditionalFormatting>
  <conditionalFormatting sqref="J39:J40">
    <cfRule type="expression" dxfId="482" priority="490">
      <formula>CONCATENATE($F39,$G39,$H39,$I39,$J39,$K39,$L39,$M39)=""</formula>
    </cfRule>
    <cfRule type="expression" dxfId="481" priority="491">
      <formula>CONCATENATE($F39,$G39,$I39,$J39,$K39,$L39,$M39)=""</formula>
    </cfRule>
    <cfRule type="expression" dxfId="480" priority="492">
      <formula>CONCATENATE($G39,$I39,$J39,$K39,$L39)=""</formula>
    </cfRule>
  </conditionalFormatting>
  <conditionalFormatting sqref="G36:I36 F36:F37 F35:I35 L35:M37">
    <cfRule type="expression" dxfId="479" priority="514">
      <formula>CONCATENATE($F35,$G35,$H35,$I35,$J35,$K35,$L35,$M35)=""</formula>
    </cfRule>
    <cfRule type="expression" dxfId="478" priority="515">
      <formula>CONCATENATE($F35,$G35,$I35,$J35,$K35,$L35,$M35)=""</formula>
    </cfRule>
    <cfRule type="expression" dxfId="477" priority="516">
      <formula>CONCATENATE($G35,$I35,$J35,$K35,$L35)=""</formula>
    </cfRule>
  </conditionalFormatting>
  <conditionalFormatting sqref="G37:I37">
    <cfRule type="expression" dxfId="476" priority="511">
      <formula>CONCATENATE($F37,$G37,$H37,$I37,$J37,$K37,$L37,$M37)=""</formula>
    </cfRule>
    <cfRule type="expression" dxfId="475" priority="512">
      <formula>CONCATENATE($F37,$G37,$I37,$J37,$K37,$L37,$M37)=""</formula>
    </cfRule>
    <cfRule type="expression" dxfId="474" priority="513">
      <formula>CONCATENATE($G37,$I37,$J37,$K37,$L37)=""</formula>
    </cfRule>
  </conditionalFormatting>
  <conditionalFormatting sqref="K35:K37">
    <cfRule type="expression" dxfId="473" priority="508">
      <formula>CONCATENATE($F35,$G35,$H35,$I35,$J35,$K35,$L35,$M35)=""</formula>
    </cfRule>
    <cfRule type="expression" dxfId="472" priority="509">
      <formula>CONCATENATE($F35,$G35,$I35,$J35,$K35,$L35,$M35)=""</formula>
    </cfRule>
    <cfRule type="expression" dxfId="471" priority="510">
      <formula>CONCATENATE($G35,$I35,$J35,$K35,$L35)=""</formula>
    </cfRule>
  </conditionalFormatting>
  <conditionalFormatting sqref="F43:I43 K43:M43">
    <cfRule type="expression" dxfId="470" priority="487">
      <formula>CONCATENATE($F43,$G43,$H43,$I43,$J43,$K43,$L43,$M43)=""</formula>
    </cfRule>
    <cfRule type="expression" dxfId="469" priority="488">
      <formula>CONCATENATE($F43,$G43,$I43,$J43,$K43,$L43,$M43)=""</formula>
    </cfRule>
    <cfRule type="expression" dxfId="468" priority="489">
      <formula>CONCATENATE($G43,$I43,$J43,$K43,$L43)=""</formula>
    </cfRule>
  </conditionalFormatting>
  <conditionalFormatting sqref="J42:J43">
    <cfRule type="expression" dxfId="467" priority="484">
      <formula>CONCATENATE($F42,$G42,$H42,$I42,$J42,$K42,$L42,$M42)=""</formula>
    </cfRule>
    <cfRule type="expression" dxfId="466" priority="485">
      <formula>CONCATENATE($F42,$G42,$I42,$J42,$K42,$L42,$M42)=""</formula>
    </cfRule>
    <cfRule type="expression" dxfId="465" priority="486">
      <formula>CONCATENATE($G42,$I42,$J42,$K42,$L42)=""</formula>
    </cfRule>
  </conditionalFormatting>
  <conditionalFormatting sqref="J45:J46">
    <cfRule type="expression" dxfId="464" priority="469">
      <formula>CONCATENATE($F45,$G45,$H45,$I45,$J45,$K45,$L45,$M45)=""</formula>
    </cfRule>
    <cfRule type="expression" dxfId="463" priority="470">
      <formula>CONCATENATE($F45,$G45,$I45,$J45,$K45,$L45,$M45)=""</formula>
    </cfRule>
    <cfRule type="expression" dxfId="462" priority="471">
      <formula>CONCATENATE($G45,$I45,$J45,$K45,$L45)=""</formula>
    </cfRule>
  </conditionalFormatting>
  <conditionalFormatting sqref="F50:I50 K50:M50">
    <cfRule type="expression" dxfId="461" priority="454">
      <formula>CONCATENATE($F50,$G50,$H50,$I50,$J50,$K50,$L50,$M50)=""</formula>
    </cfRule>
    <cfRule type="expression" dxfId="460" priority="455">
      <formula>CONCATENATE($F50,$G50,$I50,$J50,$K50,$L50,$M50)=""</formula>
    </cfRule>
    <cfRule type="expression" dxfId="459" priority="456">
      <formula>CONCATENATE($G50,$I50,$J50,$K50,$L50)=""</formula>
    </cfRule>
  </conditionalFormatting>
  <conditionalFormatting sqref="F39:I39 M39 K39">
    <cfRule type="expression" dxfId="458" priority="499">
      <formula>CONCATENATE($F39,$G39,$H39,$I39,$J39,$K39,$L39,$M39)=""</formula>
    </cfRule>
    <cfRule type="expression" dxfId="457" priority="500">
      <formula>CONCATENATE($F39,$G39,$I39,$J39,$K39,$L39,$M39)=""</formula>
    </cfRule>
    <cfRule type="expression" dxfId="456" priority="501">
      <formula>CONCATENATE($G39,$I39,$J39,$K39,$L39)=""</formula>
    </cfRule>
  </conditionalFormatting>
  <conditionalFormatting sqref="L39">
    <cfRule type="expression" dxfId="455" priority="496">
      <formula>CONCATENATE($F39,$G39,$H39,$I39,$J39,$K39,$L39,$M39)=""</formula>
    </cfRule>
    <cfRule type="expression" dxfId="454" priority="497">
      <formula>CONCATENATE($F39,$G39,$I39,$J39,$K39,$L39,$M39)=""</formula>
    </cfRule>
    <cfRule type="expression" dxfId="453" priority="498">
      <formula>CONCATENATE($G39,$I39,$J39,$K39,$L39)=""</formula>
    </cfRule>
  </conditionalFormatting>
  <conditionalFormatting sqref="F40:I40 K40:M40">
    <cfRule type="expression" dxfId="452" priority="493">
      <formula>CONCATENATE($F40,$G40,$H40,$I40,$J40,$K40,$L40,$M40)=""</formula>
    </cfRule>
    <cfRule type="expression" dxfId="451" priority="494">
      <formula>CONCATENATE($F40,$G40,$I40,$J40,$K40,$L40,$M40)=""</formula>
    </cfRule>
    <cfRule type="expression" dxfId="450" priority="495">
      <formula>CONCATENATE($G40,$I40,$J40,$K40,$L40)=""</formula>
    </cfRule>
  </conditionalFormatting>
  <conditionalFormatting sqref="J48:J50">
    <cfRule type="expression" dxfId="449" priority="448">
      <formula>CONCATENATE($F48,$G48,$H48,$I48,$J48,$K48,$L48,$M48)=""</formula>
    </cfRule>
    <cfRule type="expression" dxfId="448" priority="449">
      <formula>CONCATENATE($F48,$G48,$I48,$J48,$K48,$L48,$M48)=""</formula>
    </cfRule>
    <cfRule type="expression" dxfId="447" priority="450">
      <formula>CONCATENATE($G48,$I48,$J48,$K48,$L48)=""</formula>
    </cfRule>
  </conditionalFormatting>
  <conditionalFormatting sqref="F45:I45 K45:M45">
    <cfRule type="expression" dxfId="446" priority="481">
      <formula>CONCATENATE($F45,$G45,$H45,$I45,$J45,$K45,$L45,$M45)=""</formula>
    </cfRule>
    <cfRule type="expression" dxfId="445" priority="482">
      <formula>CONCATENATE($F45,$G45,$I45,$J45,$K45,$L45,$M45)=""</formula>
    </cfRule>
    <cfRule type="expression" dxfId="444" priority="483">
      <formula>CONCATENATE($G45,$I45,$J45,$K45,$L45)=""</formula>
    </cfRule>
  </conditionalFormatting>
  <conditionalFormatting sqref="F44:M44">
    <cfRule type="expression" dxfId="443" priority="478">
      <formula>CONCATENATE($F44,$G44,$H44,$I44,$J44,$K44,$L44,$M44)=""</formula>
    </cfRule>
    <cfRule type="expression" dxfId="442" priority="479">
      <formula>CONCATENATE($F44,$G44,$I44,$J44,$K44,$L44,$M44)=""</formula>
    </cfRule>
    <cfRule type="expression" dxfId="441" priority="480">
      <formula>CONCATENATE($G44,$I44,$J44,$K44,$L44)=""</formula>
    </cfRule>
  </conditionalFormatting>
  <conditionalFormatting sqref="F46:I46 K46:M46">
    <cfRule type="expression" dxfId="440" priority="475">
      <formula>CONCATENATE($F46,$G46,$H46,$I46,$J46,$K46,$L46,$M46)=""</formula>
    </cfRule>
    <cfRule type="expression" dxfId="439" priority="476">
      <formula>CONCATENATE($F46,$G46,$I46,$J46,$K46,$L46,$M46)=""</formula>
    </cfRule>
    <cfRule type="expression" dxfId="438" priority="477">
      <formula>CONCATENATE($G46,$I46,$J46,$K46,$L46)=""</formula>
    </cfRule>
  </conditionalFormatting>
  <conditionalFormatting sqref="F48:I48 K48:M48">
    <cfRule type="expression" dxfId="437" priority="466">
      <formula>CONCATENATE($F48,$G48,$H48,$I48,$J48,$K48,$L48,$M48)=""</formula>
    </cfRule>
    <cfRule type="expression" dxfId="436" priority="467">
      <formula>CONCATENATE($F48,$G48,$I48,$J48,$K48,$L48,$M48)=""</formula>
    </cfRule>
    <cfRule type="expression" dxfId="435" priority="468">
      <formula>CONCATENATE($G48,$I48,$J48,$K48,$L48)=""</formula>
    </cfRule>
  </conditionalFormatting>
  <conditionalFormatting sqref="F47:M47">
    <cfRule type="expression" dxfId="434" priority="463">
      <formula>CONCATENATE($F47,$G47,$H47,$I47,$J47,$K47,$L47,$M47)=""</formula>
    </cfRule>
    <cfRule type="expression" dxfId="433" priority="464">
      <formula>CONCATENATE($F47,$G47,$I47,$J47,$K47,$L47,$M47)=""</formula>
    </cfRule>
    <cfRule type="expression" dxfId="432" priority="465">
      <formula>CONCATENATE($G47,$I47,$J47,$K47,$L47)=""</formula>
    </cfRule>
  </conditionalFormatting>
  <conditionalFormatting sqref="F49:I49 K49:M49">
    <cfRule type="expression" dxfId="431" priority="460">
      <formula>CONCATENATE($F49,$G49,$H49,$I49,$J49,$K49,$L49,$M49)=""</formula>
    </cfRule>
    <cfRule type="expression" dxfId="430" priority="461">
      <formula>CONCATENATE($F49,$G49,$I49,$J49,$K49,$L49,$M49)=""</formula>
    </cfRule>
    <cfRule type="expression" dxfId="429" priority="462">
      <formula>CONCATENATE($G49,$I49,$J49,$K49,$L49)=""</formula>
    </cfRule>
  </conditionalFormatting>
  <conditionalFormatting sqref="F54:I54 K54:M54">
    <cfRule type="expression" dxfId="428" priority="436">
      <formula>CONCATENATE($F54,$G54,$H54,$I54,$J54,$K54,$L54,$M54)=""</formula>
    </cfRule>
    <cfRule type="expression" dxfId="427" priority="437">
      <formula>CONCATENATE($F54,$G54,$I54,$J54,$K54,$L54,$M54)=""</formula>
    </cfRule>
    <cfRule type="expression" dxfId="426" priority="438">
      <formula>CONCATENATE($G54,$I54,$J54,$K54,$L54)=""</formula>
    </cfRule>
  </conditionalFormatting>
  <conditionalFormatting sqref="J52:J54">
    <cfRule type="expression" dxfId="425" priority="433">
      <formula>CONCATENATE($F52,$G52,$H52,$I52,$J52,$K52,$L52,$M52)=""</formula>
    </cfRule>
    <cfRule type="expression" dxfId="424" priority="434">
      <formula>CONCATENATE($F52,$G52,$I52,$J52,$K52,$L52,$M52)=""</formula>
    </cfRule>
    <cfRule type="expression" dxfId="423" priority="435">
      <formula>CONCATENATE($G52,$I52,$J52,$K52,$L52)=""</formula>
    </cfRule>
  </conditionalFormatting>
  <conditionalFormatting sqref="F52:I52 K52:M52">
    <cfRule type="expression" dxfId="422" priority="445">
      <formula>CONCATENATE($F52,$G52,$H52,$I52,$J52,$K52,$L52,$M52)=""</formula>
    </cfRule>
    <cfRule type="expression" dxfId="421" priority="446">
      <formula>CONCATENATE($F52,$G52,$I52,$J52,$K52,$L52,$M52)=""</formula>
    </cfRule>
    <cfRule type="expression" dxfId="420" priority="447">
      <formula>CONCATENATE($G52,$I52,$J52,$K52,$L52)=""</formula>
    </cfRule>
  </conditionalFormatting>
  <conditionalFormatting sqref="F51:M51">
    <cfRule type="expression" dxfId="419" priority="442">
      <formula>CONCATENATE($F51,$G51,$H51,$I51,$J51,$K51,$L51,$M51)=""</formula>
    </cfRule>
    <cfRule type="expression" dxfId="418" priority="443">
      <formula>CONCATENATE($F51,$G51,$I51,$J51,$K51,$L51,$M51)=""</formula>
    </cfRule>
    <cfRule type="expression" dxfId="417" priority="444">
      <formula>CONCATENATE($G51,$I51,$J51,$K51,$L51)=""</formula>
    </cfRule>
  </conditionalFormatting>
  <conditionalFormatting sqref="F53:I53 K53:M53">
    <cfRule type="expression" dxfId="416" priority="439">
      <formula>CONCATENATE($F53,$G53,$H53,$I53,$J53,$K53,$L53,$M53)=""</formula>
    </cfRule>
    <cfRule type="expression" dxfId="415" priority="440">
      <formula>CONCATENATE($F53,$G53,$I53,$J53,$K53,$L53,$M53)=""</formula>
    </cfRule>
    <cfRule type="expression" dxfId="414" priority="441">
      <formula>CONCATENATE($G53,$I53,$J53,$K53,$L53)=""</formula>
    </cfRule>
  </conditionalFormatting>
  <conditionalFormatting sqref="F55:M55">
    <cfRule type="expression" dxfId="413" priority="430">
      <formula>CONCATENATE($F55,$G55,$H55,$I55,$J55,$K55,$L55,$M55)=""</formula>
    </cfRule>
    <cfRule type="expression" dxfId="412" priority="431">
      <formula>CONCATENATE($F55,$G55,$I55,$J55,$K55,$L55,$M55)=""</formula>
    </cfRule>
    <cfRule type="expression" dxfId="411" priority="432">
      <formula>CONCATENATE($G55,$I55,$J55,$K55,$L55)=""</formula>
    </cfRule>
  </conditionalFormatting>
  <conditionalFormatting sqref="F81:M81 F64:M65 F66:F67 L66:M67 F86:I86 L84:M86 K66 K86 H66:I66">
    <cfRule type="expression" dxfId="410" priority="409">
      <formula>CONCATENATE($F64,$G64,$H64,$I64,$J64,$K64,$L64,$M64)=""</formula>
    </cfRule>
    <cfRule type="expression" dxfId="409" priority="410">
      <formula>CONCATENATE($F64,$G64,$I64,$J64,$K64,$L64,$M64)=""</formula>
    </cfRule>
    <cfRule type="expression" dxfId="408" priority="411">
      <formula>CONCATENATE($G64,$I64,$J64,$K64,$L64)=""</formula>
    </cfRule>
  </conditionalFormatting>
  <conditionalFormatting sqref="F84:I84 K84">
    <cfRule type="expression" dxfId="407" priority="400">
      <formula>CONCATENATE($F84,$G84,$H84,$I84,$J84,$K84,$L84,$M84)=""</formula>
    </cfRule>
    <cfRule type="expression" dxfId="406" priority="401">
      <formula>CONCATENATE($F84,$G84,$I84,$J84,$K84,$L84,$M84)=""</formula>
    </cfRule>
    <cfRule type="expression" dxfId="405" priority="402">
      <formula>CONCATENATE($G84,$I84,$J84,$K84,$L84)=""</formula>
    </cfRule>
  </conditionalFormatting>
  <conditionalFormatting sqref="H67:I67 K67">
    <cfRule type="expression" dxfId="404" priority="406">
      <formula>CONCATENATE($F67,$G67,$H67,$I67,$J67,$K67,$L67,$M67)=""</formula>
    </cfRule>
    <cfRule type="expression" dxfId="403" priority="407">
      <formula>CONCATENATE($F67,$G67,$I67,$J67,$K67,$L67,$M67)=""</formula>
    </cfRule>
    <cfRule type="expression" dxfId="402" priority="408">
      <formula>CONCATENATE($G67,$I67,$J67,$K67,$L67)=""</formula>
    </cfRule>
  </conditionalFormatting>
  <conditionalFormatting sqref="F85:I85 K85">
    <cfRule type="expression" dxfId="401" priority="403">
      <formula>CONCATENATE($F85,$G85,$H85,$I85,$J85,$K85,$L85,$M85)=""</formula>
    </cfRule>
    <cfRule type="expression" dxfId="400" priority="404">
      <formula>CONCATENATE($F85,$G85,$I85,$J85,$K85,$L85,$M85)=""</formula>
    </cfRule>
    <cfRule type="expression" dxfId="399" priority="405">
      <formula>CONCATENATE($G85,$I85,$J85,$K85,$L85)=""</formula>
    </cfRule>
  </conditionalFormatting>
  <conditionalFormatting sqref="F68:F69 L68:M69 K68 H68:I68">
    <cfRule type="expression" dxfId="398" priority="397">
      <formula>CONCATENATE($F68,$G68,$H68,$I68,$J68,$K68,$L68,$M68)=""</formula>
    </cfRule>
    <cfRule type="expression" dxfId="397" priority="398">
      <formula>CONCATENATE($F68,$G68,$I68,$J68,$K68,$L68,$M68)=""</formula>
    </cfRule>
    <cfRule type="expression" dxfId="396" priority="399">
      <formula>CONCATENATE($G68,$I68,$J68,$K68,$L68)=""</formula>
    </cfRule>
  </conditionalFormatting>
  <conditionalFormatting sqref="H69:I69 K69">
    <cfRule type="expression" dxfId="395" priority="394">
      <formula>CONCATENATE($F69,$G69,$H69,$I69,$J69,$K69,$L69,$M69)=""</formula>
    </cfRule>
    <cfRule type="expression" dxfId="394" priority="395">
      <formula>CONCATENATE($F69,$G69,$I69,$J69,$K69,$L69,$M69)=""</formula>
    </cfRule>
    <cfRule type="expression" dxfId="393" priority="396">
      <formula>CONCATENATE($G69,$I69,$J69,$K69,$L69)=""</formula>
    </cfRule>
  </conditionalFormatting>
  <conditionalFormatting sqref="F70:F71 L70:M71 K70 H70:I70">
    <cfRule type="expression" dxfId="392" priority="391">
      <formula>CONCATENATE($F70,$G70,$H70,$I70,$J70,$K70,$L70,$M70)=""</formula>
    </cfRule>
    <cfRule type="expression" dxfId="391" priority="392">
      <formula>CONCATENATE($F70,$G70,$I70,$J70,$K70,$L70,$M70)=""</formula>
    </cfRule>
    <cfRule type="expression" dxfId="390" priority="393">
      <formula>CONCATENATE($G70,$I70,$J70,$K70,$L70)=""</formula>
    </cfRule>
  </conditionalFormatting>
  <conditionalFormatting sqref="H71:I71 K71">
    <cfRule type="expression" dxfId="389" priority="388">
      <formula>CONCATENATE($F71,$G71,$H71,$I71,$J71,$K71,$L71,$M71)=""</formula>
    </cfRule>
    <cfRule type="expression" dxfId="388" priority="389">
      <formula>CONCATENATE($F71,$G71,$I71,$J71,$K71,$L71,$M71)=""</formula>
    </cfRule>
    <cfRule type="expression" dxfId="387" priority="390">
      <formula>CONCATENATE($G71,$I71,$J71,$K71,$L71)=""</formula>
    </cfRule>
  </conditionalFormatting>
  <conditionalFormatting sqref="F72:F73 L72:M73 K72 H72:I72">
    <cfRule type="expression" dxfId="386" priority="385">
      <formula>CONCATENATE($F72,$G72,$H72,$I72,$J72,$K72,$L72,$M72)=""</formula>
    </cfRule>
    <cfRule type="expression" dxfId="385" priority="386">
      <formula>CONCATENATE($F72,$G72,$I72,$J72,$K72,$L72,$M72)=""</formula>
    </cfRule>
    <cfRule type="expression" dxfId="384" priority="387">
      <formula>CONCATENATE($G72,$I72,$J72,$K72,$L72)=""</formula>
    </cfRule>
  </conditionalFormatting>
  <conditionalFormatting sqref="H73:I73 K73">
    <cfRule type="expression" dxfId="383" priority="382">
      <formula>CONCATENATE($F73,$G73,$H73,$I73,$J73,$K73,$L73,$M73)=""</formula>
    </cfRule>
    <cfRule type="expression" dxfId="382" priority="383">
      <formula>CONCATENATE($F73,$G73,$I73,$J73,$K73,$L73,$M73)=""</formula>
    </cfRule>
    <cfRule type="expression" dxfId="381" priority="384">
      <formula>CONCATENATE($G73,$I73,$J73,$K73,$L73)=""</formula>
    </cfRule>
  </conditionalFormatting>
  <conditionalFormatting sqref="F74:F75 L74:M75 K74 H74:I74">
    <cfRule type="expression" dxfId="380" priority="379">
      <formula>CONCATENATE($F74,$G74,$H74,$I74,$J74,$K74,$L74,$M74)=""</formula>
    </cfRule>
    <cfRule type="expression" dxfId="379" priority="380">
      <formula>CONCATENATE($F74,$G74,$I74,$J74,$K74,$L74,$M74)=""</formula>
    </cfRule>
    <cfRule type="expression" dxfId="378" priority="381">
      <formula>CONCATENATE($G74,$I74,$J74,$K74,$L74)=""</formula>
    </cfRule>
  </conditionalFormatting>
  <conditionalFormatting sqref="H75:I75 K75">
    <cfRule type="expression" dxfId="377" priority="376">
      <formula>CONCATENATE($F75,$G75,$H75,$I75,$J75,$K75,$L75,$M75)=""</formula>
    </cfRule>
    <cfRule type="expression" dxfId="376" priority="377">
      <formula>CONCATENATE($F75,$G75,$I75,$J75,$K75,$L75,$M75)=""</formula>
    </cfRule>
    <cfRule type="expression" dxfId="375" priority="378">
      <formula>CONCATENATE($G75,$I75,$J75,$K75,$L75)=""</formula>
    </cfRule>
  </conditionalFormatting>
  <conditionalFormatting sqref="F76:F77 L76:M77 K76 H76:I76">
    <cfRule type="expression" dxfId="374" priority="373">
      <formula>CONCATENATE($F76,$G76,$H76,$I76,$J76,$K76,$L76,$M76)=""</formula>
    </cfRule>
    <cfRule type="expression" dxfId="373" priority="374">
      <formula>CONCATENATE($F76,$G76,$I76,$J76,$K76,$L76,$M76)=""</formula>
    </cfRule>
    <cfRule type="expression" dxfId="372" priority="375">
      <formula>CONCATENATE($G76,$I76,$J76,$K76,$L76)=""</formula>
    </cfRule>
  </conditionalFormatting>
  <conditionalFormatting sqref="H77:I77 K77">
    <cfRule type="expression" dxfId="371" priority="370">
      <formula>CONCATENATE($F77,$G77,$H77,$I77,$J77,$K77,$L77,$M77)=""</formula>
    </cfRule>
    <cfRule type="expression" dxfId="370" priority="371">
      <formula>CONCATENATE($F77,$G77,$I77,$J77,$K77,$L77,$M77)=""</formula>
    </cfRule>
    <cfRule type="expression" dxfId="369" priority="372">
      <formula>CONCATENATE($G77,$I77,$J77,$K77,$L77)=""</formula>
    </cfRule>
  </conditionalFormatting>
  <conditionalFormatting sqref="F78:F79 L78:M79 K78 H78:I78">
    <cfRule type="expression" dxfId="368" priority="367">
      <formula>CONCATENATE($F78,$G78,$H78,$I78,$J78,$K78,$L78,$M78)=""</formula>
    </cfRule>
    <cfRule type="expression" dxfId="367" priority="368">
      <formula>CONCATENATE($F78,$G78,$I78,$J78,$K78,$L78,$M78)=""</formula>
    </cfRule>
    <cfRule type="expression" dxfId="366" priority="369">
      <formula>CONCATENATE($G78,$I78,$J78,$K78,$L78)=""</formula>
    </cfRule>
  </conditionalFormatting>
  <conditionalFormatting sqref="H79:I79 K79">
    <cfRule type="expression" dxfId="365" priority="364">
      <formula>CONCATENATE($F79,$G79,$H79,$I79,$J79,$K79,$L79,$M79)=""</formula>
    </cfRule>
    <cfRule type="expression" dxfId="364" priority="365">
      <formula>CONCATENATE($F79,$G79,$I79,$J79,$K79,$L79,$M79)=""</formula>
    </cfRule>
    <cfRule type="expression" dxfId="363" priority="366">
      <formula>CONCATENATE($G79,$I79,$J79,$K79,$L79)=""</formula>
    </cfRule>
  </conditionalFormatting>
  <conditionalFormatting sqref="J66:J78">
    <cfRule type="expression" dxfId="362" priority="307">
      <formula>CONCATENATE($F66,$G66,$H66,$I66,$J66,$K66,$L66,$M66)=""</formula>
    </cfRule>
    <cfRule type="expression" dxfId="361" priority="308">
      <formula>CONCATENATE($F66,$G66,$I66,$J66,$K66,$L66,$M66)=""</formula>
    </cfRule>
    <cfRule type="expression" dxfId="360" priority="309">
      <formula>CONCATENATE($G66,$I66,$J66,$K66,$L66)=""</formula>
    </cfRule>
  </conditionalFormatting>
  <conditionalFormatting sqref="F82:I82 K82">
    <cfRule type="expression" dxfId="359" priority="319">
      <formula>CONCATENATE($F82,$G82,$H82,$I82,$J82,$K82,$L82,$M82)=""</formula>
    </cfRule>
    <cfRule type="expression" dxfId="358" priority="320">
      <formula>CONCATENATE($F82,$G82,$I82,$J82,$K82,$L82,$M82)=""</formula>
    </cfRule>
    <cfRule type="expression" dxfId="357" priority="321">
      <formula>CONCATENATE($G82,$I82,$J82,$K82,$L82)=""</formula>
    </cfRule>
  </conditionalFormatting>
  <conditionalFormatting sqref="G66:G78">
    <cfRule type="expression" dxfId="356" priority="313">
      <formula>CONCATENATE($F66,$G66,$H66,$I66,$J66,$K66,$L66,$M66)=""</formula>
    </cfRule>
    <cfRule type="expression" dxfId="355" priority="314">
      <formula>CONCATENATE($F66,$G66,$I66,$J66,$K66,$L66,$M66)=""</formula>
    </cfRule>
    <cfRule type="expression" dxfId="354" priority="315">
      <formula>CONCATENATE($G66,$I66,$J66,$K66,$L66)=""</formula>
    </cfRule>
  </conditionalFormatting>
  <conditionalFormatting sqref="F83:I83 K83">
    <cfRule type="expression" dxfId="353" priority="322">
      <formula>CONCATENATE($F83,$G83,$H83,$I83,$J83,$K83,$L83,$M83)=""</formula>
    </cfRule>
    <cfRule type="expression" dxfId="352" priority="323">
      <formula>CONCATENATE($F83,$G83,$I83,$J83,$K83,$L83,$M83)=""</formula>
    </cfRule>
    <cfRule type="expression" dxfId="351" priority="324">
      <formula>CONCATENATE($G83,$I83,$J83,$K83,$L83)=""</formula>
    </cfRule>
  </conditionalFormatting>
  <conditionalFormatting sqref="F80:I80 K80:M80">
    <cfRule type="expression" dxfId="350" priority="334">
      <formula>CONCATENATE($F80,$G80,$H80,$I80,$J80,$K80,$L80,$M80)=""</formula>
    </cfRule>
    <cfRule type="expression" dxfId="349" priority="335">
      <formula>CONCATENATE($F80,$G80,$I80,$J80,$K80,$L80,$M80)=""</formula>
    </cfRule>
    <cfRule type="expression" dxfId="348" priority="336">
      <formula>CONCATENATE($G80,$I80,$J80,$K80,$L80)=""</formula>
    </cfRule>
  </conditionalFormatting>
  <conditionalFormatting sqref="G79">
    <cfRule type="expression" dxfId="347" priority="310">
      <formula>CONCATENATE($F79,$G79,$H79,$I79,$J79,$K79,$L79,$M79)=""</formula>
    </cfRule>
    <cfRule type="expression" dxfId="346" priority="311">
      <formula>CONCATENATE($F79,$G79,$I79,$J79,$K79,$L79,$M79)=""</formula>
    </cfRule>
    <cfRule type="expression" dxfId="345" priority="312">
      <formula>CONCATENATE($G79,$I79,$J79,$K79,$L79)=""</formula>
    </cfRule>
  </conditionalFormatting>
  <conditionalFormatting sqref="L82:M83">
    <cfRule type="expression" dxfId="344" priority="325">
      <formula>CONCATENATE($F82,$G82,$H82,$I82,$J82,$K82,$L82,$M82)=""</formula>
    </cfRule>
    <cfRule type="expression" dxfId="343" priority="326">
      <formula>CONCATENATE($F82,$G82,$I82,$J82,$K82,$L82,$M82)=""</formula>
    </cfRule>
    <cfRule type="expression" dxfId="342" priority="327">
      <formula>CONCATENATE($G82,$I82,$J82,$K82,$L82)=""</formula>
    </cfRule>
  </conditionalFormatting>
  <conditionalFormatting sqref="F91:I91 L89:M91 K91">
    <cfRule type="expression" dxfId="341" priority="298">
      <formula>CONCATENATE($F89,$G89,$H89,$I89,$J89,$K89,$L89,$M89)=""</formula>
    </cfRule>
    <cfRule type="expression" dxfId="340" priority="299">
      <formula>CONCATENATE($F89,$G89,$I89,$J89,$K89,$L89,$M89)=""</formula>
    </cfRule>
    <cfRule type="expression" dxfId="339" priority="300">
      <formula>CONCATENATE($G89,$I89,$J89,$K89,$L89)=""</formula>
    </cfRule>
  </conditionalFormatting>
  <conditionalFormatting sqref="J80">
    <cfRule type="expression" dxfId="338" priority="301">
      <formula>CONCATENATE($F80,$G80,$H80,$I80,$J80,$K80,$L80,$M80)=""</formula>
    </cfRule>
    <cfRule type="expression" dxfId="337" priority="302">
      <formula>CONCATENATE($F80,$G80,$I80,$J80,$K80,$L80,$M80)=""</formula>
    </cfRule>
    <cfRule type="expression" dxfId="336" priority="303">
      <formula>CONCATENATE($G80,$I80,$J80,$K80,$L80)=""</formula>
    </cfRule>
  </conditionalFormatting>
  <conditionalFormatting sqref="J79">
    <cfRule type="expression" dxfId="335" priority="304">
      <formula>CONCATENATE($F79,$G79,$H79,$I79,$J79,$K79,$L79,$M79)=""</formula>
    </cfRule>
    <cfRule type="expression" dxfId="334" priority="305">
      <formula>CONCATENATE($F79,$G79,$I79,$J79,$K79,$L79,$M79)=""</formula>
    </cfRule>
    <cfRule type="expression" dxfId="333" priority="306">
      <formula>CONCATENATE($G79,$I79,$J79,$K79,$L79)=""</formula>
    </cfRule>
  </conditionalFormatting>
  <conditionalFormatting sqref="F90:I90 K90">
    <cfRule type="expression" dxfId="332" priority="295">
      <formula>CONCATENATE($F90,$G90,$H90,$I90,$J90,$K90,$L90,$M90)=""</formula>
    </cfRule>
    <cfRule type="expression" dxfId="331" priority="296">
      <formula>CONCATENATE($F90,$G90,$I90,$J90,$K90,$L90,$M90)=""</formula>
    </cfRule>
    <cfRule type="expression" dxfId="330" priority="297">
      <formula>CONCATENATE($G90,$I90,$J90,$K90,$L90)=""</formula>
    </cfRule>
  </conditionalFormatting>
  <conditionalFormatting sqref="F89:I89 K89">
    <cfRule type="expression" dxfId="329" priority="292">
      <formula>CONCATENATE($F89,$G89,$H89,$I89,$J89,$K89,$L89,$M89)=""</formula>
    </cfRule>
    <cfRule type="expression" dxfId="328" priority="293">
      <formula>CONCATENATE($F89,$G89,$I89,$J89,$K89,$L89,$M89)=""</formula>
    </cfRule>
    <cfRule type="expression" dxfId="327" priority="294">
      <formula>CONCATENATE($G89,$I89,$J89,$K89,$L89)=""</formula>
    </cfRule>
  </conditionalFormatting>
  <conditionalFormatting sqref="F87:I87 K87">
    <cfRule type="expression" dxfId="326" priority="283">
      <formula>CONCATENATE($F87,$G87,$H87,$I87,$J87,$K87,$L87,$M87)=""</formula>
    </cfRule>
    <cfRule type="expression" dxfId="325" priority="284">
      <formula>CONCATENATE($F87,$G87,$I87,$J87,$K87,$L87,$M87)=""</formula>
    </cfRule>
    <cfRule type="expression" dxfId="324" priority="285">
      <formula>CONCATENATE($G87,$I87,$J87,$K87,$L87)=""</formula>
    </cfRule>
  </conditionalFormatting>
  <conditionalFormatting sqref="J82:J91">
    <cfRule type="expression" dxfId="323" priority="277">
      <formula>CONCATENATE($F82,$G82,$H82,$I82,$J82,$K82,$L82,$M82)=""</formula>
    </cfRule>
    <cfRule type="expression" dxfId="322" priority="278">
      <formula>CONCATENATE($F82,$G82,$I82,$J82,$K82,$L82,$M82)=""</formula>
    </cfRule>
    <cfRule type="expression" dxfId="321" priority="279">
      <formula>CONCATENATE($G82,$I82,$J82,$K82,$L82)=""</formula>
    </cfRule>
  </conditionalFormatting>
  <conditionalFormatting sqref="F88:I88 K88">
    <cfRule type="expression" dxfId="320" priority="286">
      <formula>CONCATENATE($F88,$G88,$H88,$I88,$J88,$K88,$L88,$M88)=""</formula>
    </cfRule>
    <cfRule type="expression" dxfId="319" priority="287">
      <formula>CONCATENATE($F88,$G88,$I88,$J88,$K88,$L88,$M88)=""</formula>
    </cfRule>
    <cfRule type="expression" dxfId="318" priority="288">
      <formula>CONCATENATE($G88,$I88,$J88,$K88,$L88)=""</formula>
    </cfRule>
  </conditionalFormatting>
  <conditionalFormatting sqref="L87:M88">
    <cfRule type="expression" dxfId="317" priority="289">
      <formula>CONCATENATE($F87,$G87,$H87,$I87,$J87,$K87,$L87,$M87)=""</formula>
    </cfRule>
    <cfRule type="expression" dxfId="316" priority="290">
      <formula>CONCATENATE($F87,$G87,$I87,$J87,$K87,$L87,$M87)=""</formula>
    </cfRule>
    <cfRule type="expression" dxfId="315" priority="291">
      <formula>CONCATENATE($G87,$I87,$J87,$K87,$L87)=""</formula>
    </cfRule>
  </conditionalFormatting>
  <conditionalFormatting sqref="G165:G167 G161:G162 G156:G159">
    <cfRule type="expression" dxfId="314" priority="274">
      <formula>CONCATENATE($F156,$G156,$H156,$I156,$J156,$K156,$L156,$M156)=""</formula>
    </cfRule>
    <cfRule type="expression" dxfId="313" priority="275">
      <formula>CONCATENATE($F156,$G156,$I156,$J156,$K156,$L156,$M156)=""</formula>
    </cfRule>
    <cfRule type="expression" dxfId="312" priority="276">
      <formula>CONCATENATE($G156,$I156,$J156,$K156,$L156)=""</formula>
    </cfRule>
  </conditionalFormatting>
  <conditionalFormatting sqref="G160">
    <cfRule type="expression" dxfId="311" priority="271">
      <formula>CONCATENATE($F160,$G160,$H160,$I160,$J160,$K160,$L160,$M160)=""</formula>
    </cfRule>
    <cfRule type="expression" dxfId="310" priority="272">
      <formula>CONCATENATE($F160,$G160,$I160,$J160,$K160,$L160,$M160)=""</formula>
    </cfRule>
    <cfRule type="expression" dxfId="309" priority="273">
      <formula>CONCATENATE($G160,$I160,$J160,$K160,$L160)=""</formula>
    </cfRule>
  </conditionalFormatting>
  <conditionalFormatting sqref="G168">
    <cfRule type="expression" dxfId="308" priority="268">
      <formula>CONCATENATE($F168,$G168,$H168,$I168,$J168,$K168,$L168,$M168)=""</formula>
    </cfRule>
    <cfRule type="expression" dxfId="307" priority="269">
      <formula>CONCATENATE($F168,$G168,$I168,$J168,$K168,$L168,$M168)=""</formula>
    </cfRule>
    <cfRule type="expression" dxfId="306" priority="270">
      <formula>CONCATENATE($G168,$I168,$J168,$K168,$L168)=""</formula>
    </cfRule>
  </conditionalFormatting>
  <conditionalFormatting sqref="G164">
    <cfRule type="expression" dxfId="305" priority="265">
      <formula>CONCATENATE($F164,$G164,$H164,$I164,$J164,$K164,$L164,$M164)=""</formula>
    </cfRule>
    <cfRule type="expression" dxfId="304" priority="266">
      <formula>CONCATENATE($F164,$G164,$I164,$J164,$K164,$L164,$M164)=""</formula>
    </cfRule>
    <cfRule type="expression" dxfId="303" priority="267">
      <formula>CONCATENATE($G164,$I164,$J164,$K164,$L164)=""</formula>
    </cfRule>
  </conditionalFormatting>
  <conditionalFormatting sqref="G163">
    <cfRule type="expression" dxfId="302" priority="262">
      <formula>CONCATENATE($F163,$G163,$H163,$I163,$J163,$K163,$L163,$M163)=""</formula>
    </cfRule>
    <cfRule type="expression" dxfId="301" priority="263">
      <formula>CONCATENATE($F163,$G163,$I163,$J163,$K163,$L163,$M163)=""</formula>
    </cfRule>
    <cfRule type="expression" dxfId="300" priority="264">
      <formula>CONCATENATE($G163,$I163,$J163,$K163,$L163)=""</formula>
    </cfRule>
  </conditionalFormatting>
  <conditionalFormatting sqref="J161:J167 J156:J159">
    <cfRule type="expression" dxfId="299" priority="259">
      <formula>CONCATENATE($F156,$G156,$H156,$I156,$J156,$K156,$L156,$M156)=""</formula>
    </cfRule>
    <cfRule type="expression" dxfId="298" priority="260">
      <formula>CONCATENATE($F156,$G156,$I156,$J156,$K156,$L156,$M156)=""</formula>
    </cfRule>
    <cfRule type="expression" dxfId="297" priority="261">
      <formula>CONCATENATE($G156,$I156,$J156,$K156,$L156)=""</formula>
    </cfRule>
  </conditionalFormatting>
  <conditionalFormatting sqref="J160">
    <cfRule type="expression" dxfId="296" priority="256">
      <formula>CONCATENATE($F160,$G160,$H160,$I160,$J160,$K160,$L160,$M160)=""</formula>
    </cfRule>
    <cfRule type="expression" dxfId="295" priority="257">
      <formula>CONCATENATE($F160,$G160,$I160,$J160,$K160,$L160,$M160)=""</formula>
    </cfRule>
    <cfRule type="expression" dxfId="294" priority="258">
      <formula>CONCATENATE($G160,$I160,$J160,$K160,$L160)=""</formula>
    </cfRule>
  </conditionalFormatting>
  <conditionalFormatting sqref="J168">
    <cfRule type="expression" dxfId="293" priority="253">
      <formula>CONCATENATE($F168,$G168,$H168,$I168,$J168,$K168,$L168,$M168)=""</formula>
    </cfRule>
    <cfRule type="expression" dxfId="292" priority="254">
      <formula>CONCATENATE($F168,$G168,$I168,$J168,$K168,$L168,$M168)=""</formula>
    </cfRule>
    <cfRule type="expression" dxfId="291" priority="255">
      <formula>CONCATENATE($G168,$I168,$J168,$K168,$L168)=""</formula>
    </cfRule>
  </conditionalFormatting>
  <conditionalFormatting sqref="J169">
    <cfRule type="expression" dxfId="290" priority="250">
      <formula>CONCATENATE($F169,$G169,$H169,$I169,$J169,$K169,$L169,$M169)=""</formula>
    </cfRule>
    <cfRule type="expression" dxfId="289" priority="251">
      <formula>CONCATENATE($F169,$G169,$I169,$J169,$K169,$L169,$M169)=""</formula>
    </cfRule>
    <cfRule type="expression" dxfId="288" priority="252">
      <formula>CONCATENATE($G169,$I169,$J169,$K169,$L169)=""</formula>
    </cfRule>
  </conditionalFormatting>
  <conditionalFormatting sqref="J174 J171:J172">
    <cfRule type="expression" dxfId="287" priority="244">
      <formula>CONCATENATE($F171,$G171,$H171,$I171,$J171,$K171,$L171,$M171)=""</formula>
    </cfRule>
    <cfRule type="expression" dxfId="286" priority="245">
      <formula>CONCATENATE($F171,$G171,$I171,$J171,$K171,$L171,$M171)=""</formula>
    </cfRule>
    <cfRule type="expression" dxfId="285" priority="246">
      <formula>CONCATENATE($G171,$I171,$J171,$K171,$L171)=""</formula>
    </cfRule>
  </conditionalFormatting>
  <conditionalFormatting sqref="J173">
    <cfRule type="expression" dxfId="284" priority="247">
      <formula>CONCATENATE($F173,$G173,$H173,#REF!,$J173,$K173,$L173,$M173)=""</formula>
    </cfRule>
    <cfRule type="expression" dxfId="283" priority="248">
      <formula>CONCATENATE($F173,$G173,#REF!,$J173,$K173,$L173,$M173)=""</formula>
    </cfRule>
    <cfRule type="expression" dxfId="282" priority="249">
      <formula>CONCATENATE($G173,#REF!,$J173,$K173,$L173)=""</formula>
    </cfRule>
  </conditionalFormatting>
  <conditionalFormatting sqref="F182 H182:M182">
    <cfRule type="expression" dxfId="281" priority="241">
      <formula>CONCATENATE($F182,$G182,$H182,$I182,$J182,$K182,$L182,$M182)=""</formula>
    </cfRule>
    <cfRule type="expression" dxfId="280" priority="242">
      <formula>CONCATENATE($F182,$G182,$I182,$J182,$K182,$L182,$M182)=""</formula>
    </cfRule>
    <cfRule type="expression" dxfId="279" priority="243">
      <formula>CONCATENATE($G182,$I182,$J182,$K182,$L182)=""</formula>
    </cfRule>
  </conditionalFormatting>
  <conditionalFormatting sqref="G181:G182 G177:G179">
    <cfRule type="expression" dxfId="278" priority="238">
      <formula>CONCATENATE($F177,$G177,$H177,$I177,$J177,$K177,$L177,$M177)=""</formula>
    </cfRule>
    <cfRule type="expression" dxfId="277" priority="239">
      <formula>CONCATENATE($F177,$G177,$I177,$J177,$K177,$L177,$M177)=""</formula>
    </cfRule>
    <cfRule type="expression" dxfId="276" priority="240">
      <formula>CONCATENATE($G177,$I177,$J177,$K177,$L177)=""</formula>
    </cfRule>
  </conditionalFormatting>
  <conditionalFormatting sqref="G180">
    <cfRule type="expression" dxfId="275" priority="235">
      <formula>CONCATENATE($F180,$G180,$H180,$I180,$J180,$K180,$L180,$M180)=""</formula>
    </cfRule>
    <cfRule type="expression" dxfId="274" priority="236">
      <formula>CONCATENATE($F180,$G180,$I180,$J180,$K180,$L180,$M180)=""</formula>
    </cfRule>
    <cfRule type="expression" dxfId="273" priority="237">
      <formula>CONCATENATE($G180,$I180,$J180,$K180,$L180)=""</formula>
    </cfRule>
  </conditionalFormatting>
  <conditionalFormatting sqref="F184 H184:I184 K184:M184">
    <cfRule type="expression" dxfId="272" priority="232">
      <formula>CONCATENATE($F184,$G184,$H184,$I184,$J184,$K184,$L184,$M184)=""</formula>
    </cfRule>
    <cfRule type="expression" dxfId="271" priority="233">
      <formula>CONCATENATE($F184,$G184,$I184,$J184,$K184,$L184,$M184)=""</formula>
    </cfRule>
    <cfRule type="expression" dxfId="270" priority="234">
      <formula>CONCATENATE($G184,$I184,$J184,$K184,$L184)=""</formula>
    </cfRule>
  </conditionalFormatting>
  <conditionalFormatting sqref="J184:J185">
    <cfRule type="expression" dxfId="269" priority="223">
      <formula>CONCATENATE($F184,$G184,$H184,$I184,$J184,$K184,$L184,$M184)=""</formula>
    </cfRule>
    <cfRule type="expression" dxfId="268" priority="224">
      <formula>CONCATENATE($F184,$G184,$I184,$J184,$K184,$L184,$M184)=""</formula>
    </cfRule>
    <cfRule type="expression" dxfId="267" priority="225">
      <formula>CONCATENATE($G184,$I184,$J184,$K184,$L184)=""</formula>
    </cfRule>
  </conditionalFormatting>
  <conditionalFormatting sqref="G184">
    <cfRule type="expression" dxfId="266" priority="226">
      <formula>CONCATENATE($F184,$G184,$H184,$I184,$J184,$K184,$L184,$M184)=""</formula>
    </cfRule>
    <cfRule type="expression" dxfId="265" priority="227">
      <formula>CONCATENATE($F184,$G184,$I184,$J184,$K184,$L184,$M184)=""</formula>
    </cfRule>
    <cfRule type="expression" dxfId="264" priority="228">
      <formula>CONCATENATE($G184,$I184,$J184,$K184,$L184)=""</formula>
    </cfRule>
  </conditionalFormatting>
  <conditionalFormatting sqref="H29:M29 F29">
    <cfRule type="expression" dxfId="263" priority="220">
      <formula>CONCATENATE($F29,$G29,$H29,$I29,$J29,$K29,$L29,$M29)=""</formula>
    </cfRule>
    <cfRule type="expression" dxfId="262" priority="221">
      <formula>CONCATENATE($F29,$G29,$I29,$J29,$K29,$L29,$M29)=""</formula>
    </cfRule>
    <cfRule type="expression" dxfId="261" priority="222">
      <formula>CONCATENATE($G29,$I29,$J29,$K29,$L29)=""</formula>
    </cfRule>
  </conditionalFormatting>
  <conditionalFormatting sqref="G29">
    <cfRule type="expression" dxfId="260" priority="217">
      <formula>CONCATENATE($F29,$G29,$H29,$I29,$J29,$K29,$L29,$M29)=""</formula>
    </cfRule>
    <cfRule type="expression" dxfId="259" priority="218">
      <formula>CONCATENATE($F29,$G29,$I29,$J29,$K29,$L29,$M29)=""</formula>
    </cfRule>
    <cfRule type="expression" dxfId="258" priority="219">
      <formula>CONCATENATE($G29,$I29,$J29,$K29,$L29)=""</formula>
    </cfRule>
  </conditionalFormatting>
  <conditionalFormatting sqref="J108">
    <cfRule type="expression" dxfId="257" priority="193">
      <formula>CONCATENATE($F108,$G108,$H108,$I108,$J108,$K108,$L108,$M108)=""</formula>
    </cfRule>
    <cfRule type="expression" dxfId="256" priority="194">
      <formula>CONCATENATE($F108,$G108,$I108,$J108,$K108,$L108,$M108)=""</formula>
    </cfRule>
    <cfRule type="expression" dxfId="255" priority="195">
      <formula>CONCATENATE($G108,$I108,$J108,$K108,$L108)=""</formula>
    </cfRule>
  </conditionalFormatting>
  <conditionalFormatting sqref="F107:M107">
    <cfRule type="expression" dxfId="254" priority="214">
      <formula>CONCATENATE($F107,$G107,$H107,$I107,$J107,$K107,$L107,$M107)=""</formula>
    </cfRule>
    <cfRule type="expression" dxfId="253" priority="215">
      <formula>CONCATENATE($F107,$G107,$I107,$J107,$K107,$L107,$M107)=""</formula>
    </cfRule>
    <cfRule type="expression" dxfId="252" priority="216">
      <formula>CONCATENATE($G107,$I107,$J107,$K107,$L107)=""</formula>
    </cfRule>
  </conditionalFormatting>
  <conditionalFormatting sqref="L108:L109">
    <cfRule type="expression" dxfId="251" priority="199">
      <formula>CONCATENATE($F108,$G108,$H108,$I108,$J108,$K108,$L108,$M108)=""</formula>
    </cfRule>
    <cfRule type="expression" dxfId="250" priority="200">
      <formula>CONCATENATE($F108,$G108,$I108,$J108,$K108,$L108,$M108)=""</formula>
    </cfRule>
    <cfRule type="expression" dxfId="249" priority="201">
      <formula>CONCATENATE($G108,$I108,$J108,$K108,$L108)=""</formula>
    </cfRule>
  </conditionalFormatting>
  <conditionalFormatting sqref="H109:I109 G108:G109 M108:M109">
    <cfRule type="expression" dxfId="248" priority="211">
      <formula>CONCATENATE($F108,$G108,$H108,$I108,$J108,$K108,$L108,$M108)=""</formula>
    </cfRule>
    <cfRule type="expression" dxfId="247" priority="212">
      <formula>CONCATENATE($F108,$G108,$I108,$J108,$K108,$L108,$M108)=""</formula>
    </cfRule>
    <cfRule type="expression" dxfId="246" priority="213">
      <formula>CONCATENATE($G108,$I108,$J108,$K108,$L108)=""</formula>
    </cfRule>
  </conditionalFormatting>
  <conditionalFormatting sqref="H108:I108">
    <cfRule type="expression" dxfId="245" priority="208">
      <formula>CONCATENATE($F108,$G108,$H108,$I108,$J108,$K108,$L108,$M108)=""</formula>
    </cfRule>
    <cfRule type="expression" dxfId="244" priority="209">
      <formula>CONCATENATE($F108,$G108,$I108,$J108,$K108,$L108,$M108)=""</formula>
    </cfRule>
    <cfRule type="expression" dxfId="243" priority="210">
      <formula>CONCATENATE($G108,$I108,$J108,$K108,$L108)=""</formula>
    </cfRule>
  </conditionalFormatting>
  <conditionalFormatting sqref="F108:F109">
    <cfRule type="expression" dxfId="242" priority="205">
      <formula>CONCATENATE($F108,$G108,$H108,$I108,$J108,$K108,$L108,$M108)=""</formula>
    </cfRule>
    <cfRule type="expression" dxfId="241" priority="206">
      <formula>CONCATENATE($F108,$G108,$I108,$J108,$K108,$L108,$M108)=""</formula>
    </cfRule>
    <cfRule type="expression" dxfId="240" priority="207">
      <formula>CONCATENATE($G108,$I108,$J108,$K108,$L108)=""</formula>
    </cfRule>
  </conditionalFormatting>
  <conditionalFormatting sqref="K108:K109">
    <cfRule type="expression" dxfId="239" priority="202">
      <formula>CONCATENATE($F108,$G108,$H108,$I108,$J108,$K108,$L108,$M108)=""</formula>
    </cfRule>
    <cfRule type="expression" dxfId="238" priority="203">
      <formula>CONCATENATE($F108,$G108,$I108,$J108,$K108,$L108,$M108)=""</formula>
    </cfRule>
    <cfRule type="expression" dxfId="237" priority="204">
      <formula>CONCATENATE($G108,$I108,$J108,$K108,$L108)=""</formula>
    </cfRule>
  </conditionalFormatting>
  <conditionalFormatting sqref="J109">
    <cfRule type="expression" dxfId="236" priority="187">
      <formula>CONCATENATE($F109,$G109,$H109,$I109,$J109,$K109,$L109,$M109)=""</formula>
    </cfRule>
    <cfRule type="expression" dxfId="235" priority="188">
      <formula>CONCATENATE($F109,$G109,$I109,$J109,$K109,$L109,$M109)=""</formula>
    </cfRule>
    <cfRule type="expression" dxfId="234" priority="189">
      <formula>CONCATENATE($G109,$I109,$J109,$K109,$L109)=""</formula>
    </cfRule>
  </conditionalFormatting>
  <conditionalFormatting sqref="F111:M111">
    <cfRule type="expression" dxfId="233" priority="184">
      <formula>CONCATENATE($F111,$G111,$H111,$I111,$J111,$K111,$L111,$M111)=""</formula>
    </cfRule>
    <cfRule type="expression" dxfId="232" priority="185">
      <formula>CONCATENATE($F111,$G111,$I111,$J111,$K111,$L111,$M111)=""</formula>
    </cfRule>
    <cfRule type="expression" dxfId="231" priority="186">
      <formula>CONCATENATE($G111,$I111,$J111,$K111,$L111)=""</formula>
    </cfRule>
  </conditionalFormatting>
  <conditionalFormatting sqref="F114:M114">
    <cfRule type="expression" dxfId="230" priority="181">
      <formula>CONCATENATE($F114,$G114,$H114,$I114,$J114,$K114,$L114,$M114)=""</formula>
    </cfRule>
    <cfRule type="expression" dxfId="229" priority="182">
      <formula>CONCATENATE($F114,$G114,$I114,$J114,$K114,$L114,$M114)=""</formula>
    </cfRule>
    <cfRule type="expression" dxfId="228" priority="183">
      <formula>CONCATENATE($G114,$I114,$J114,$K114,$L114)=""</formula>
    </cfRule>
  </conditionalFormatting>
  <conditionalFormatting sqref="J115">
    <cfRule type="expression" dxfId="227" priority="160">
      <formula>CONCATENATE($F115,$G115,$H115,$I115,$J115,$K115,$L115,$M115)=""</formula>
    </cfRule>
    <cfRule type="expression" dxfId="226" priority="161">
      <formula>CONCATENATE($F115,$G115,$I115,$J115,$K115,$L115,$M115)=""</formula>
    </cfRule>
    <cfRule type="expression" dxfId="225" priority="162">
      <formula>CONCATENATE($G115,$I115,$J115,$K115,$L115)=""</formula>
    </cfRule>
  </conditionalFormatting>
  <conditionalFormatting sqref="L115:L116">
    <cfRule type="expression" dxfId="224" priority="166">
      <formula>CONCATENATE($F115,$G115,$H115,$I115,$J115,$K115,$L115,$M115)=""</formula>
    </cfRule>
    <cfRule type="expression" dxfId="223" priority="167">
      <formula>CONCATENATE($F115,$G115,$I115,$J115,$K115,$L115,$M115)=""</formula>
    </cfRule>
    <cfRule type="expression" dxfId="222" priority="168">
      <formula>CONCATENATE($G115,$I115,$J115,$K115,$L115)=""</formula>
    </cfRule>
  </conditionalFormatting>
  <conditionalFormatting sqref="H116:I116 G115:G116 M115:M116">
    <cfRule type="expression" dxfId="221" priority="178">
      <formula>CONCATENATE($F115,$G115,$H115,$I115,$J115,$K115,$L115,$M115)=""</formula>
    </cfRule>
    <cfRule type="expression" dxfId="220" priority="179">
      <formula>CONCATENATE($F115,$G115,$I115,$J115,$K115,$L115,$M115)=""</formula>
    </cfRule>
    <cfRule type="expression" dxfId="219" priority="180">
      <formula>CONCATENATE($G115,$I115,$J115,$K115,$L115)=""</formula>
    </cfRule>
  </conditionalFormatting>
  <conditionalFormatting sqref="H115:I115">
    <cfRule type="expression" dxfId="218" priority="175">
      <formula>CONCATENATE($F115,$G115,$H115,$I115,$J115,$K115,$L115,$M115)=""</formula>
    </cfRule>
    <cfRule type="expression" dxfId="217" priority="176">
      <formula>CONCATENATE($F115,$G115,$I115,$J115,$K115,$L115,$M115)=""</formula>
    </cfRule>
    <cfRule type="expression" dxfId="216" priority="177">
      <formula>CONCATENATE($G115,$I115,$J115,$K115,$L115)=""</formula>
    </cfRule>
  </conditionalFormatting>
  <conditionalFormatting sqref="F115:F116">
    <cfRule type="expression" dxfId="215" priority="172">
      <formula>CONCATENATE($F115,$G115,$H115,$I115,$J115,$K115,$L115,$M115)=""</formula>
    </cfRule>
    <cfRule type="expression" dxfId="214" priority="173">
      <formula>CONCATENATE($F115,$G115,$I115,$J115,$K115,$L115,$M115)=""</formula>
    </cfRule>
    <cfRule type="expression" dxfId="213" priority="174">
      <formula>CONCATENATE($G115,$I115,$J115,$K115,$L115)=""</formula>
    </cfRule>
  </conditionalFormatting>
  <conditionalFormatting sqref="K115:K116">
    <cfRule type="expression" dxfId="212" priority="169">
      <formula>CONCATENATE($F115,$G115,$H115,$I115,$J115,$K115,$L115,$M115)=""</formula>
    </cfRule>
    <cfRule type="expression" dxfId="211" priority="170">
      <formula>CONCATENATE($F115,$G115,$I115,$J115,$K115,$L115,$M115)=""</formula>
    </cfRule>
    <cfRule type="expression" dxfId="210" priority="171">
      <formula>CONCATENATE($G115,$I115,$J115,$K115,$L115)=""</formula>
    </cfRule>
  </conditionalFormatting>
  <conditionalFormatting sqref="J116">
    <cfRule type="expression" dxfId="209" priority="163">
      <formula>CONCATENATE($F116,$G116,$H116,$I116,$J116,$K116,$L116,$M116)=""</formula>
    </cfRule>
    <cfRule type="expression" dxfId="208" priority="164">
      <formula>CONCATENATE($F116,$G116,$I116,$J116,$K116,$L116,$M116)=""</formula>
    </cfRule>
    <cfRule type="expression" dxfId="207" priority="165">
      <formula>CONCATENATE($G116,$I116,$J116,$K116,$L116)=""</formula>
    </cfRule>
  </conditionalFormatting>
  <conditionalFormatting sqref="J63">
    <cfRule type="expression" dxfId="206" priority="124">
      <formula>CONCATENATE($F63,$G63,$H63,$I63,$J63,$K63,$L63,$M63)=""</formula>
    </cfRule>
    <cfRule type="expression" dxfId="205" priority="125">
      <formula>CONCATENATE($F63,$G63,$I63,$J63,$K63,$L63,$M63)=""</formula>
    </cfRule>
    <cfRule type="expression" dxfId="204" priority="126">
      <formula>CONCATENATE($G63,$I63,$J63,$K63,$L63)=""</formula>
    </cfRule>
  </conditionalFormatting>
  <conditionalFormatting sqref="F62:I63 L62:M63">
    <cfRule type="expression" dxfId="203" priority="133">
      <formula>CONCATENATE($F62,$G62,$H62,$I62,$J62,$K62,$L62,$M62)=""</formula>
    </cfRule>
    <cfRule type="expression" dxfId="202" priority="134">
      <formula>CONCATENATE($F62,$G62,$I62,$J62,$K62,$L62,$M62)=""</formula>
    </cfRule>
    <cfRule type="expression" dxfId="201" priority="135">
      <formula>CONCATENATE($G62,$I62,$J62,$K62,$L62)=""</formula>
    </cfRule>
  </conditionalFormatting>
  <conditionalFormatting sqref="K62:K63">
    <cfRule type="expression" dxfId="200" priority="130">
      <formula>CONCATENATE($F62,$G62,$H62,$I62,$J62,$K62,$L62,$M62)=""</formula>
    </cfRule>
    <cfRule type="expression" dxfId="199" priority="131">
      <formula>CONCATENATE($F62,$G62,$I62,$J62,$K62,$L62,$M62)=""</formula>
    </cfRule>
    <cfRule type="expression" dxfId="198" priority="132">
      <formula>CONCATENATE($G62,$I62,$J62,$K62,$L62)=""</formula>
    </cfRule>
  </conditionalFormatting>
  <conditionalFormatting sqref="J62">
    <cfRule type="expression" dxfId="197" priority="127">
      <formula>CONCATENATE($F62,$G62,$H62,$I62,$J62,$K62,$L62,$M62)=""</formula>
    </cfRule>
    <cfRule type="expression" dxfId="196" priority="128">
      <formula>CONCATENATE($F62,$G62,$I62,$J62,$K62,$L62,$M62)=""</formula>
    </cfRule>
    <cfRule type="expression" dxfId="195" priority="129">
      <formula>CONCATENATE($G62,$I62,$J62,$K62,$L62)=""</formula>
    </cfRule>
  </conditionalFormatting>
  <conditionalFormatting sqref="J61">
    <cfRule type="expression" dxfId="194" priority="112">
      <formula>CONCATENATE($F61,$G61,$H61,$I61,$J61,$K61,$L61,$M61)=""</formula>
    </cfRule>
    <cfRule type="expression" dxfId="193" priority="113">
      <formula>CONCATENATE($F61,$G61,$I61,$J61,$K61,$L61,$M61)=""</formula>
    </cfRule>
    <cfRule type="expression" dxfId="192" priority="114">
      <formula>CONCATENATE($G61,$I61,$J61,$K61,$L61)=""</formula>
    </cfRule>
  </conditionalFormatting>
  <conditionalFormatting sqref="F60:I61 L60:M61">
    <cfRule type="expression" dxfId="191" priority="121">
      <formula>CONCATENATE($F60,$G60,$H60,$I60,$J60,$K60,$L60,$M60)=""</formula>
    </cfRule>
    <cfRule type="expression" dxfId="190" priority="122">
      <formula>CONCATENATE($F60,$G60,$I60,$J60,$K60,$L60,$M60)=""</formula>
    </cfRule>
    <cfRule type="expression" dxfId="189" priority="123">
      <formula>CONCATENATE($G60,$I60,$J60,$K60,$L60)=""</formula>
    </cfRule>
  </conditionalFormatting>
  <conditionalFormatting sqref="K60:K61">
    <cfRule type="expression" dxfId="188" priority="118">
      <formula>CONCATENATE($F60,$G60,$H60,$I60,$J60,$K60,$L60,$M60)=""</formula>
    </cfRule>
    <cfRule type="expression" dxfId="187" priority="119">
      <formula>CONCATENATE($F60,$G60,$I60,$J60,$K60,$L60,$M60)=""</formula>
    </cfRule>
    <cfRule type="expression" dxfId="186" priority="120">
      <formula>CONCATENATE($G60,$I60,$J60,$K60,$L60)=""</formula>
    </cfRule>
  </conditionalFormatting>
  <conditionalFormatting sqref="J60">
    <cfRule type="expression" dxfId="185" priority="115">
      <formula>CONCATENATE($F60,$G60,$H60,$I60,$J60,$K60,$L60,$M60)=""</formula>
    </cfRule>
    <cfRule type="expression" dxfId="184" priority="116">
      <formula>CONCATENATE($F60,$G60,$I60,$J60,$K60,$L60,$M60)=""</formula>
    </cfRule>
    <cfRule type="expression" dxfId="183" priority="117">
      <formula>CONCATENATE($G60,$I60,$J60,$K60,$L60)=""</formula>
    </cfRule>
  </conditionalFormatting>
  <conditionalFormatting sqref="J59">
    <cfRule type="expression" dxfId="182" priority="91">
      <formula>CONCATENATE($F59,$G59,$H59,$I59,$J59,$K59,$L59,$M59)=""</formula>
    </cfRule>
    <cfRule type="expression" dxfId="181" priority="92">
      <formula>CONCATENATE($F59,$G59,$I59,$J59,$K59,$L59,$M59)=""</formula>
    </cfRule>
    <cfRule type="expression" dxfId="180" priority="93">
      <formula>CONCATENATE($G59,$I59,$J59,$K59,$L59)=""</formula>
    </cfRule>
  </conditionalFormatting>
  <conditionalFormatting sqref="J58">
    <cfRule type="expression" dxfId="179" priority="76">
      <formula>CONCATENATE($F58,$G58,$H58,$I58,$J58,$K58,$L58,$M58)=""</formula>
    </cfRule>
    <cfRule type="expression" dxfId="178" priority="77">
      <formula>CONCATENATE($F58,$G58,$I58,$J58,$K58,$L58,$M58)=""</formula>
    </cfRule>
    <cfRule type="expression" dxfId="177" priority="78">
      <formula>CONCATENATE($G58,$I58,$J58,$K58,$L58)=""</formula>
    </cfRule>
  </conditionalFormatting>
  <conditionalFormatting sqref="L56:M56 F56:I56 F58:I58 L58:M58">
    <cfRule type="expression" dxfId="176" priority="85">
      <formula>CONCATENATE($F56,$G56,$H56,$I56,$J56,$K56,$L56,$M56)=""</formula>
    </cfRule>
    <cfRule type="expression" dxfId="175" priority="86">
      <formula>CONCATENATE($F56,$G56,$I56,$J56,$K56,$L56,$M56)=""</formula>
    </cfRule>
    <cfRule type="expression" dxfId="174" priority="87">
      <formula>CONCATENATE($G56,$I56,$J56,$K56,$L56)=""</formula>
    </cfRule>
  </conditionalFormatting>
  <conditionalFormatting sqref="K56 K58">
    <cfRule type="expression" dxfId="173" priority="82">
      <formula>CONCATENATE($F56,$G56,$H56,$I56,$J56,$K56,$L56,$M56)=""</formula>
    </cfRule>
    <cfRule type="expression" dxfId="172" priority="83">
      <formula>CONCATENATE($F56,$G56,$I56,$J56,$K56,$L56,$M56)=""</formula>
    </cfRule>
    <cfRule type="expression" dxfId="171" priority="84">
      <formula>CONCATENATE($G56,$I56,$J56,$K56,$L56)=""</formula>
    </cfRule>
  </conditionalFormatting>
  <conditionalFormatting sqref="J56">
    <cfRule type="expression" dxfId="170" priority="79">
      <formula>CONCATENATE($F56,$G56,$H56,$I56,$J56,$K56,$L56,$M56)=""</formula>
    </cfRule>
    <cfRule type="expression" dxfId="169" priority="80">
      <formula>CONCATENATE($F56,$G56,$I56,$J56,$K56,$L56,$M56)=""</formula>
    </cfRule>
    <cfRule type="expression" dxfId="168" priority="81">
      <formula>CONCATENATE($G56,$I56,$J56,$K56,$L56)=""</formula>
    </cfRule>
  </conditionalFormatting>
  <conditionalFormatting sqref="F144:F145 L144:M145 H144:K144">
    <cfRule type="expression" dxfId="167" priority="73">
      <formula>CONCATENATE($F144,$G144,$H144,$I144,$J144,$K144,$L144,$M144)=""</formula>
    </cfRule>
    <cfRule type="expression" dxfId="166" priority="74">
      <formula>CONCATENATE($F144,$G144,$I144,$J144,$K144,$L144,$M144)=""</formula>
    </cfRule>
    <cfRule type="expression" dxfId="165" priority="75">
      <formula>CONCATENATE($G144,$I144,$J144,$K144,$L144)=""</formula>
    </cfRule>
  </conditionalFormatting>
  <conditionalFormatting sqref="H145:K145">
    <cfRule type="expression" dxfId="164" priority="70">
      <formula>CONCATENATE($F145,$G145,$H145,$I145,$J145,$K145,$L145,$M145)=""</formula>
    </cfRule>
    <cfRule type="expression" dxfId="163" priority="71">
      <formula>CONCATENATE($F145,$G145,$I145,$J145,$K145,$L145,$M145)=""</formula>
    </cfRule>
    <cfRule type="expression" dxfId="162" priority="72">
      <formula>CONCATENATE($G145,$I145,$J145,$K145,$L145)=""</formula>
    </cfRule>
  </conditionalFormatting>
  <conditionalFormatting sqref="L146:M146">
    <cfRule type="expression" dxfId="161" priority="67">
      <formula>CONCATENATE($F146,$G146,$H146,$I146,$J146,$K146,$L146,$M146)=""</formula>
    </cfRule>
    <cfRule type="expression" dxfId="160" priority="68">
      <formula>CONCATENATE($F146,$G146,$I146,$J146,$K146,$L146,$M146)=""</formula>
    </cfRule>
    <cfRule type="expression" dxfId="159" priority="69">
      <formula>CONCATENATE($G146,$I146,$J146,$K146,$L146)=""</formula>
    </cfRule>
  </conditionalFormatting>
  <conditionalFormatting sqref="F146 H146:K146">
    <cfRule type="expression" dxfId="158" priority="64">
      <formula>CONCATENATE($F146,$G146,$H146,$I146,$J146,$K146,$L146,$M146)=""</formula>
    </cfRule>
    <cfRule type="expression" dxfId="157" priority="65">
      <formula>CONCATENATE($F146,$G146,$I146,$J146,$K146,$L146,$M146)=""</formula>
    </cfRule>
    <cfRule type="expression" dxfId="156" priority="66">
      <formula>CONCATENATE($G146,$I146,$J146,$K146,$L146)=""</formula>
    </cfRule>
  </conditionalFormatting>
  <conditionalFormatting sqref="G142:K142">
    <cfRule type="expression" dxfId="155" priority="46">
      <formula>CONCATENATE($F142,$G142,$H142,$I142,$J142,$K142,$L142,$M142)=""</formula>
    </cfRule>
    <cfRule type="expression" dxfId="154" priority="47">
      <formula>CONCATENATE($F142,$G142,$I142,$J142,$K142,$L142,$M142)=""</formula>
    </cfRule>
    <cfRule type="expression" dxfId="153" priority="48">
      <formula>CONCATENATE($G142,$I142,$J142,$K142,$L142)=""</formula>
    </cfRule>
  </conditionalFormatting>
  <conditionalFormatting sqref="L143:M143">
    <cfRule type="expression" dxfId="152" priority="43">
      <formula>CONCATENATE($F143,$G143,$H143,$I143,$J143,$K143,$L143,$M143)=""</formula>
    </cfRule>
    <cfRule type="expression" dxfId="151" priority="44">
      <formula>CONCATENATE($F143,$G143,$I143,$J143,$K143,$L143,$M143)=""</formula>
    </cfRule>
    <cfRule type="expression" dxfId="150" priority="45">
      <formula>CONCATENATE($G143,$I143,$J143,$K143,$L143)=""</formula>
    </cfRule>
  </conditionalFormatting>
  <conditionalFormatting sqref="F142 F140:M140 L142:M142">
    <cfRule type="expression" dxfId="149" priority="49">
      <formula>CONCATENATE($F140,$G140,$H140,$I140,$J140,$K140,$L140,$M140)=""</formula>
    </cfRule>
    <cfRule type="expression" dxfId="148" priority="50">
      <formula>CONCATENATE($F140,$G140,$I140,$J140,$K140,$L140,$M140)=""</formula>
    </cfRule>
    <cfRule type="expression" dxfId="147" priority="51">
      <formula>CONCATENATE($G140,$I140,$J140,$K140,$L140)=""</formula>
    </cfRule>
  </conditionalFormatting>
  <conditionalFormatting sqref="F143:K143">
    <cfRule type="expression" dxfId="146" priority="40">
      <formula>CONCATENATE($F143,$G143,$H143,$I143,$J143,$K143,$L143,$M143)=""</formula>
    </cfRule>
    <cfRule type="expression" dxfId="145" priority="41">
      <formula>CONCATENATE($F143,$G143,$I143,$J143,$K143,$L143,$M143)=""</formula>
    </cfRule>
    <cfRule type="expression" dxfId="144" priority="42">
      <formula>CONCATENATE($G143,$I143,$J143,$K143,$L143)=""</formula>
    </cfRule>
  </conditionalFormatting>
  <conditionalFormatting sqref="G144">
    <cfRule type="expression" dxfId="143" priority="28">
      <formula>CONCATENATE($C144,$D144,$E144,$F144,$G144,$H144,$I144,$J144)=""</formula>
    </cfRule>
    <cfRule type="expression" dxfId="142" priority="29">
      <formula>CONCATENATE($C144,$D144,$F144,$G144,$H144,$I144,$J144)=""</formula>
    </cfRule>
    <cfRule type="expression" dxfId="141" priority="30">
      <formula>CONCATENATE($D144,$F144,$G144,$H144,$I144)=""</formula>
    </cfRule>
  </conditionalFormatting>
  <conditionalFormatting sqref="G145">
    <cfRule type="expression" dxfId="140" priority="25">
      <formula>CONCATENATE($C145,$D145,$E145,$F145,$G145,$H145,$I145,$J145)=""</formula>
    </cfRule>
    <cfRule type="expression" dxfId="139" priority="26">
      <formula>CONCATENATE($C145,$D145,$F145,$G145,$H145,$I145,$J145)=""</formula>
    </cfRule>
    <cfRule type="expression" dxfId="138" priority="27">
      <formula>CONCATENATE($D145,$F145,$G145,$H145,$I145)=""</formula>
    </cfRule>
  </conditionalFormatting>
  <conditionalFormatting sqref="G146:G147">
    <cfRule type="expression" dxfId="137" priority="31">
      <formula>CONCATENATE($C146,$D146,$E146,$F146,$G146,$H146,$I146,$J146)=""</formula>
    </cfRule>
    <cfRule type="expression" dxfId="136" priority="32">
      <formula>CONCATENATE($C146,$D146,$F146,$G146,$H146,$I146,$J146)=""</formula>
    </cfRule>
    <cfRule type="expression" dxfId="135" priority="33">
      <formula>CONCATENATE($D146,$F146,$G146,$H146,$I146)=""</formula>
    </cfRule>
  </conditionalFormatting>
  <conditionalFormatting sqref="L57:M57 F57:I57">
    <cfRule type="expression" dxfId="134" priority="19">
      <formula>CONCATENATE($F57,$G57,$H57,$I57,$J57,$K57,$L57,$M57)=""</formula>
    </cfRule>
    <cfRule type="expression" dxfId="133" priority="20">
      <formula>CONCATENATE($F57,$G57,$I57,$J57,$K57,$L57,$M57)=""</formula>
    </cfRule>
    <cfRule type="expression" dxfId="132" priority="21">
      <formula>CONCATENATE($G57,$I57,$J57,$K57,$L57)=""</formula>
    </cfRule>
  </conditionalFormatting>
  <conditionalFormatting sqref="K57">
    <cfRule type="expression" dxfId="131" priority="16">
      <formula>CONCATENATE($F57,$G57,$H57,$I57,$J57,$K57,$L57,$M57)=""</formula>
    </cfRule>
    <cfRule type="expression" dxfId="130" priority="17">
      <formula>CONCATENATE($F57,$G57,$I57,$J57,$K57,$L57,$M57)=""</formula>
    </cfRule>
    <cfRule type="expression" dxfId="129" priority="18">
      <formula>CONCATENATE($G57,$I57,$J57,$K57,$L57)=""</formula>
    </cfRule>
  </conditionalFormatting>
  <conditionalFormatting sqref="J57">
    <cfRule type="expression" dxfId="128" priority="13">
      <formula>CONCATENATE($F57,$G57,$H57,$I57,$J57,$K57,$L57,$M57)=""</formula>
    </cfRule>
    <cfRule type="expression" dxfId="127" priority="14">
      <formula>CONCATENATE($F57,$G57,$I57,$J57,$K57,$L57,$M57)=""</formula>
    </cfRule>
    <cfRule type="expression" dxfId="126" priority="15">
      <formula>CONCATENATE($G57,$I57,$J57,$K57,$L57)=""</formula>
    </cfRule>
  </conditionalFormatting>
  <conditionalFormatting sqref="F141:M141">
    <cfRule type="expression" dxfId="125" priority="10">
      <formula>CONCATENATE($F141,$G141,$H141,$I141,$J141,$K141,$L141,$M141)=""</formula>
    </cfRule>
    <cfRule type="expression" dxfId="124" priority="11">
      <formula>CONCATENATE($F141,$G141,$I141,$J141,$K141,$L141,$M141)=""</formula>
    </cfRule>
    <cfRule type="expression" dxfId="123" priority="12">
      <formula>CONCATENATE($G141,$I141,$J141,$K141,$L141)=""</formula>
    </cfRule>
  </conditionalFormatting>
  <conditionalFormatting sqref="F34 F33:K33 L33:M34">
    <cfRule type="expression" dxfId="122" priority="7">
      <formula>CONCATENATE($F33,$G33,$H33,$I33,$J33,$K33,$L33,$M33)=""</formula>
    </cfRule>
    <cfRule type="expression" dxfId="121" priority="8">
      <formula>CONCATENATE($F33,$G33,$I33,$J33,$K33,$L33,$M33)=""</formula>
    </cfRule>
    <cfRule type="expression" dxfId="120" priority="9">
      <formula>CONCATENATE($G33,$I33,$J33,$K33,$L33)=""</formula>
    </cfRule>
  </conditionalFormatting>
  <conditionalFormatting sqref="G34 I34:K34">
    <cfRule type="expression" dxfId="119" priority="4">
      <formula>CONCATENATE($F34,$G34,$H34,$I34,$J34,$K34,$L34,$M34)=""</formula>
    </cfRule>
    <cfRule type="expression" dxfId="118" priority="5">
      <formula>CONCATENATE($F34,$G34,$I34,$J34,$K34,$L34,$M34)=""</formula>
    </cfRule>
    <cfRule type="expression" dxfId="117" priority="6">
      <formula>CONCATENATE($G34,$I34,$J34,$K34,$L34)=""</formula>
    </cfRule>
  </conditionalFormatting>
  <conditionalFormatting sqref="H34">
    <cfRule type="expression" dxfId="116" priority="1">
      <formula>CONCATENATE($F34,$G34,$H34,$I34,$J34,$K34,$L34,$M34)=""</formula>
    </cfRule>
    <cfRule type="expression" dxfId="115" priority="2">
      <formula>CONCATENATE($F34,$G34,$I34,$J34,$K34,$L34,$M34)=""</formula>
    </cfRule>
    <cfRule type="expression" dxfId="114" priority="3">
      <formula>CONCATENATE($G34,$I34,$J34,$K34,$L34)=""</formula>
    </cfRule>
  </conditionalFormatting>
  <dataValidations count="2">
    <dataValidation type="list" allowBlank="1" showInputMessage="1" showErrorMessage="1" sqref="L6">
      <formula1>$O$3:$O$4</formula1>
    </dataValidation>
    <dataValidation type="list" allowBlank="1" showInputMessage="1" showErrorMessage="1" sqref="P2">
      <formula1>$N$3:$N$4</formula1>
    </dataValidation>
  </dataValidations>
  <printOptions horizontalCentered="1"/>
  <pageMargins left="0.78740157480314965" right="0.19685039370078741" top="0.39370078740157483" bottom="0.78740157480314965" header="0.19685039370078741" footer="0.19685039370078741"/>
  <pageSetup paperSize="9" scale="45" fitToHeight="100" orientation="portrait" r:id="rId1"/>
  <headerFooter scaleWithDoc="0" alignWithMargins="0">
    <oddHeader>&amp;RPágina &amp;P de &amp;N</oddHeader>
  </headerFooter>
  <rowBreaks count="1" manualBreakCount="1">
    <brk id="121" min="5" max="12" man="1"/>
  </rowBreaks>
  <drawing r:id="rId2"/>
</worksheet>
</file>

<file path=xl/worksheets/sheet30.xml><?xml version="1.0" encoding="utf-8"?>
<worksheet xmlns="http://schemas.openxmlformats.org/spreadsheetml/2006/main" xmlns:r="http://schemas.openxmlformats.org/officeDocument/2006/relationships">
  <sheetPr codeName="Plan23">
    <tabColor theme="1" tint="0.34998626667073579"/>
    <pageSetUpPr fitToPage="1"/>
  </sheetPr>
  <dimension ref="A1:HQ65"/>
  <sheetViews>
    <sheetView showGridLines="0" view="pageBreakPreview" topLeftCell="A61" zoomScaleNormal="115" zoomScaleSheetLayoutView="100" workbookViewId="0">
      <selection activeCell="B9" sqref="B9:F9"/>
    </sheetView>
  </sheetViews>
  <sheetFormatPr defaultColWidth="9.140625" defaultRowHeight="15"/>
  <cols>
    <col min="2" max="2" width="6" customWidth="1"/>
    <col min="3" max="3" width="45.5703125" customWidth="1"/>
    <col min="4" max="7" width="15.7109375" customWidth="1"/>
    <col min="8" max="8" width="18.42578125" customWidth="1"/>
  </cols>
  <sheetData>
    <row r="1" spans="1:8" s="533" customFormat="1" ht="18">
      <c r="A1" s="1937" t="s">
        <v>2996</v>
      </c>
      <c r="B1" s="1938" t="s">
        <v>2996</v>
      </c>
      <c r="C1" s="1938" t="s">
        <v>2996</v>
      </c>
      <c r="D1" s="1938"/>
      <c r="E1" s="1938"/>
      <c r="F1" s="1938"/>
      <c r="G1" s="1938"/>
      <c r="H1" s="1938"/>
    </row>
    <row r="2" spans="1:8" s="533" customFormat="1" ht="14.25">
      <c r="A2" s="1940" t="s">
        <v>2997</v>
      </c>
      <c r="B2" s="1913" t="s">
        <v>13994</v>
      </c>
      <c r="C2" s="1913" t="s">
        <v>13994</v>
      </c>
      <c r="D2" s="1913"/>
      <c r="E2" s="1913"/>
      <c r="F2" s="1913"/>
      <c r="G2" s="1913"/>
      <c r="H2" s="1913"/>
    </row>
    <row r="3" spans="1:8" s="533" customFormat="1" ht="14.25">
      <c r="A3" s="1942" t="s">
        <v>2998</v>
      </c>
      <c r="B3" s="1916" t="s">
        <v>13995</v>
      </c>
      <c r="C3" s="1916" t="s">
        <v>13995</v>
      </c>
      <c r="D3" s="1916"/>
      <c r="E3" s="1916"/>
      <c r="F3" s="1916"/>
      <c r="G3" s="1916"/>
      <c r="H3" s="1916"/>
    </row>
    <row r="4" spans="1:8" s="533" customFormat="1" ht="14.25">
      <c r="A4" s="1942" t="s">
        <v>3063</v>
      </c>
      <c r="B4" s="1916" t="s">
        <v>3063</v>
      </c>
      <c r="C4" s="1916" t="s">
        <v>3063</v>
      </c>
      <c r="D4" s="1916"/>
      <c r="E4" s="1916"/>
      <c r="F4" s="1916"/>
      <c r="G4" s="1916"/>
      <c r="H4" s="1916"/>
    </row>
    <row r="5" spans="1:8" s="533" customFormat="1" ht="14.25">
      <c r="A5" s="1942" t="s">
        <v>2999</v>
      </c>
      <c r="B5" s="1916" t="s">
        <v>2999</v>
      </c>
      <c r="C5" s="1916" t="s">
        <v>2999</v>
      </c>
      <c r="D5" s="1916"/>
      <c r="E5" s="1916"/>
      <c r="F5" s="1916"/>
      <c r="G5" s="1916"/>
      <c r="H5" s="1916"/>
    </row>
    <row r="6" spans="1:8" s="533" customFormat="1" ht="15" customHeight="1">
      <c r="A6" s="1245" t="s">
        <v>6</v>
      </c>
      <c r="B6" s="1907" t="str">
        <f>'REMOÇÃO DE PAV. ADUTORA'!B6:F6</f>
        <v xml:space="preserve">SISTEMA DE ABASTECIMENTO DE ÁGUA </v>
      </c>
      <c r="C6" s="1907"/>
      <c r="D6" s="1907"/>
      <c r="E6" s="1907"/>
      <c r="F6" s="1907"/>
      <c r="G6" s="1907"/>
      <c r="H6" s="1907"/>
    </row>
    <row r="7" spans="1:8" s="533" customFormat="1" ht="14.25">
      <c r="A7" s="1246" t="s">
        <v>8</v>
      </c>
      <c r="B7" s="1888" t="str">
        <f>'REMOÇÃO DE PAV. ADUTORA'!B7:F7</f>
        <v>SETOR PIONEIRO - MUNICÍPIO DE APIACÁS</v>
      </c>
      <c r="C7" s="1889"/>
      <c r="D7" s="1889"/>
      <c r="E7" s="1889"/>
      <c r="F7" s="1889"/>
      <c r="G7" s="1889"/>
      <c r="H7" s="1889"/>
    </row>
    <row r="8" spans="1:8" s="533" customFormat="1" ht="14.25">
      <c r="A8" s="1246" t="s">
        <v>13672</v>
      </c>
      <c r="B8" s="1889" t="str">
        <f>'REMOÇÃO DE PAV. ADUTORA'!B8:F8</f>
        <v>PREFEITURA MUNICIPAL DE APIACÁS</v>
      </c>
      <c r="C8" s="1889"/>
      <c r="D8" s="1889"/>
      <c r="E8" s="1889"/>
      <c r="F8" s="1889"/>
      <c r="G8" s="1889"/>
      <c r="H8" s="1889"/>
    </row>
    <row r="9" spans="1:8" s="533" customFormat="1" ht="15.75" customHeight="1">
      <c r="A9" s="1247" t="s">
        <v>3064</v>
      </c>
      <c r="B9" s="1891">
        <f ca="1">'REMOÇÃO DE PAV. ADUTORA'!B9:F9</f>
        <v>45167</v>
      </c>
      <c r="C9" s="1930"/>
      <c r="D9" s="1930"/>
      <c r="E9" s="1930"/>
      <c r="F9" s="1930"/>
      <c r="G9" s="1930"/>
      <c r="H9" s="1930"/>
    </row>
    <row r="10" spans="1:8" s="533" customFormat="1" ht="22.5" customHeight="1">
      <c r="A10" s="1932" t="s">
        <v>14214</v>
      </c>
      <c r="B10" s="1895"/>
      <c r="C10" s="1895"/>
      <c r="D10" s="1895"/>
      <c r="E10" s="1895"/>
      <c r="F10" s="1895"/>
      <c r="G10" s="1895"/>
      <c r="H10" s="1895"/>
    </row>
    <row r="11" spans="1:8" s="535" customFormat="1" ht="12.75" customHeight="1">
      <c r="A11" s="1934" t="s">
        <v>11</v>
      </c>
      <c r="B11" s="1899" t="s">
        <v>13997</v>
      </c>
      <c r="C11" s="1900"/>
      <c r="D11" s="1903" t="s">
        <v>13998</v>
      </c>
      <c r="E11" s="1903" t="s">
        <v>13999</v>
      </c>
      <c r="F11" s="1923" t="s">
        <v>14000</v>
      </c>
      <c r="G11" s="1923" t="s">
        <v>14041</v>
      </c>
      <c r="H11" s="1923" t="s">
        <v>14046</v>
      </c>
    </row>
    <row r="12" spans="1:8" s="535" customFormat="1" ht="12.75">
      <c r="A12" s="1934"/>
      <c r="B12" s="1899"/>
      <c r="C12" s="1900"/>
      <c r="D12" s="1904"/>
      <c r="E12" s="1904"/>
      <c r="F12" s="1925"/>
      <c r="G12" s="1925"/>
      <c r="H12" s="1925"/>
    </row>
    <row r="13" spans="1:8" s="535" customFormat="1" ht="22.5" customHeight="1">
      <c r="A13" s="1935"/>
      <c r="B13" s="1901"/>
      <c r="C13" s="1902"/>
      <c r="D13" s="1233" t="s">
        <v>3379</v>
      </c>
      <c r="E13" s="1233" t="s">
        <v>3379</v>
      </c>
      <c r="F13" s="1233" t="s">
        <v>3378</v>
      </c>
      <c r="G13" s="1233" t="s">
        <v>14043</v>
      </c>
      <c r="H13" s="1233" t="s">
        <v>14044</v>
      </c>
    </row>
    <row r="14" spans="1:8" s="535" customFormat="1" ht="20.100000000000001" customHeight="1">
      <c r="A14" s="1267">
        <v>1</v>
      </c>
      <c r="B14" s="1884" t="str">
        <f>VLOOKUP(A14,'BASE REDE'!A:N,2,FALSE)</f>
        <v>T19</v>
      </c>
      <c r="C14" s="1885"/>
      <c r="D14" s="1236">
        <f>VLOOKUP(A14,'BASE REDE'!A:N,4,FALSE)</f>
        <v>80.2</v>
      </c>
      <c r="E14" s="1237">
        <f>VLOOKUP(A14,'BASE REDE'!A:N,5,FALSE)</f>
        <v>0.6</v>
      </c>
      <c r="F14" s="1268">
        <f t="shared" ref="F14:F63" si="0">TRUNC(E14*D14,2)</f>
        <v>48.12</v>
      </c>
      <c r="G14" s="1269">
        <v>4.2000000000000006E-3</v>
      </c>
      <c r="H14" s="1270">
        <f>TRUNC(F14*G14,3)</f>
        <v>0.20200000000000001</v>
      </c>
    </row>
    <row r="15" spans="1:8" s="535" customFormat="1" ht="20.100000000000001" customHeight="1">
      <c r="A15" s="1267">
        <f>A14+1</f>
        <v>2</v>
      </c>
      <c r="B15" s="1884" t="str">
        <f>VLOOKUP(A15,'BASE REDE'!A:N,2,FALSE)</f>
        <v>T20</v>
      </c>
      <c r="C15" s="1885"/>
      <c r="D15" s="1236">
        <f>VLOOKUP(A15,'BASE REDE'!A:N,4,FALSE)</f>
        <v>34.130000000000003</v>
      </c>
      <c r="E15" s="1237">
        <f>VLOOKUP(A15,'BASE REDE'!A:N,5,FALSE)</f>
        <v>0.6</v>
      </c>
      <c r="F15" s="1268">
        <f t="shared" si="0"/>
        <v>20.47</v>
      </c>
      <c r="G15" s="1269">
        <v>4.2000000000000006E-3</v>
      </c>
      <c r="H15" s="1270">
        <f>TRUNC(F15*G15,3)</f>
        <v>8.5000000000000006E-2</v>
      </c>
    </row>
    <row r="16" spans="1:8" s="535" customFormat="1" ht="20.100000000000001" customHeight="1">
      <c r="A16" s="1267">
        <f t="shared" ref="A16:A63" si="1">A15+1</f>
        <v>3</v>
      </c>
      <c r="B16" s="1884" t="str">
        <f>VLOOKUP(A16,'BASE REDE'!A:N,2,FALSE)</f>
        <v>T21</v>
      </c>
      <c r="C16" s="1885"/>
      <c r="D16" s="1236">
        <f>VLOOKUP(A16,'BASE REDE'!A:N,4,FALSE)</f>
        <v>74.87</v>
      </c>
      <c r="E16" s="1237">
        <f>VLOOKUP(A16,'BASE REDE'!A:N,5,FALSE)</f>
        <v>0.6</v>
      </c>
      <c r="F16" s="1268">
        <f t="shared" si="0"/>
        <v>44.92</v>
      </c>
      <c r="G16" s="1269">
        <v>4.2000000000000006E-3</v>
      </c>
      <c r="H16" s="1270">
        <f>TRUNC(F16*G16,3)</f>
        <v>0.188</v>
      </c>
    </row>
    <row r="17" spans="1:8" s="535" customFormat="1" ht="20.100000000000001" customHeight="1">
      <c r="A17" s="1267">
        <f t="shared" si="1"/>
        <v>4</v>
      </c>
      <c r="B17" s="1884" t="str">
        <f>VLOOKUP(A17,'BASE REDE'!A:N,2,FALSE)</f>
        <v>T22</v>
      </c>
      <c r="C17" s="1885"/>
      <c r="D17" s="1236">
        <f>VLOOKUP(A17,'BASE REDE'!A:N,4,FALSE)</f>
        <v>138.08000000000001</v>
      </c>
      <c r="E17" s="1237">
        <f>VLOOKUP(A17,'BASE REDE'!A:N,5,FALSE)</f>
        <v>0.6</v>
      </c>
      <c r="F17" s="1268">
        <f t="shared" si="0"/>
        <v>82.84</v>
      </c>
      <c r="G17" s="1269">
        <v>4.2000000000000006E-3</v>
      </c>
      <c r="H17" s="1270">
        <f>TRUNC(F17*G17,3)</f>
        <v>0.34699999999999998</v>
      </c>
    </row>
    <row r="18" spans="1:8" s="535" customFormat="1" ht="20.100000000000001" customHeight="1">
      <c r="A18" s="1267">
        <f t="shared" si="1"/>
        <v>5</v>
      </c>
      <c r="B18" s="1884" t="str">
        <f>VLOOKUP(A18,'BASE REDE'!A:N,2,FALSE)</f>
        <v>T26</v>
      </c>
      <c r="C18" s="1885"/>
      <c r="D18" s="1236">
        <f>VLOOKUP(A18,'BASE REDE'!A:N,4,FALSE)</f>
        <v>122.83</v>
      </c>
      <c r="E18" s="1237">
        <f>VLOOKUP(A18,'BASE REDE'!A:N,5,FALSE)</f>
        <v>0.6</v>
      </c>
      <c r="F18" s="1268">
        <f t="shared" si="0"/>
        <v>73.69</v>
      </c>
      <c r="G18" s="1269">
        <v>4.2000000000000006E-3</v>
      </c>
      <c r="H18" s="1270">
        <f>TRUNC(F18*G18,3)</f>
        <v>0.309</v>
      </c>
    </row>
    <row r="19" spans="1:8" s="535" customFormat="1" ht="20.100000000000001" customHeight="1">
      <c r="A19" s="1267">
        <f t="shared" si="1"/>
        <v>6</v>
      </c>
      <c r="B19" s="1884" t="str">
        <f>VLOOKUP(A19,'BASE REDE'!A:N,2,FALSE)</f>
        <v>T27</v>
      </c>
      <c r="C19" s="1885"/>
      <c r="D19" s="1236">
        <f>VLOOKUP(A19,'BASE REDE'!A:N,4,FALSE)</f>
        <v>121.99</v>
      </c>
      <c r="E19" s="1237">
        <f>VLOOKUP(A19,'BASE REDE'!A:N,5,FALSE)</f>
        <v>0.6</v>
      </c>
      <c r="F19" s="1268">
        <f t="shared" si="0"/>
        <v>73.19</v>
      </c>
      <c r="G19" s="1269">
        <v>4.2000000000000006E-3</v>
      </c>
      <c r="H19" s="1270">
        <f t="shared" ref="H19:H63" si="2">TRUNC(F19*G19,3)</f>
        <v>0.307</v>
      </c>
    </row>
    <row r="20" spans="1:8" s="535" customFormat="1" ht="20.100000000000001" customHeight="1">
      <c r="A20" s="1267">
        <f t="shared" si="1"/>
        <v>7</v>
      </c>
      <c r="B20" s="1884" t="str">
        <f>VLOOKUP(A20,'BASE REDE'!A:N,2,FALSE)</f>
        <v>T28</v>
      </c>
      <c r="C20" s="1885"/>
      <c r="D20" s="1236">
        <f>VLOOKUP(A20,'BASE REDE'!A:N,4,FALSE)</f>
        <v>126.41</v>
      </c>
      <c r="E20" s="1237">
        <f>VLOOKUP(A20,'BASE REDE'!A:N,5,FALSE)</f>
        <v>0.6</v>
      </c>
      <c r="F20" s="1268">
        <f t="shared" si="0"/>
        <v>75.84</v>
      </c>
      <c r="G20" s="1269">
        <v>4.2000000000000006E-3</v>
      </c>
      <c r="H20" s="1270">
        <f t="shared" si="2"/>
        <v>0.318</v>
      </c>
    </row>
    <row r="21" spans="1:8" s="535" customFormat="1" ht="20.100000000000001" customHeight="1">
      <c r="A21" s="1267">
        <f t="shared" si="1"/>
        <v>8</v>
      </c>
      <c r="B21" s="1884" t="str">
        <f>VLOOKUP(A21,'BASE REDE'!A:N,2,FALSE)</f>
        <v>T29</v>
      </c>
      <c r="C21" s="1885"/>
      <c r="D21" s="1236">
        <f>VLOOKUP(A21,'BASE REDE'!A:N,4,FALSE)</f>
        <v>125.11</v>
      </c>
      <c r="E21" s="1237">
        <f>VLOOKUP(A21,'BASE REDE'!A:N,5,FALSE)</f>
        <v>0.6</v>
      </c>
      <c r="F21" s="1268">
        <f t="shared" si="0"/>
        <v>75.06</v>
      </c>
      <c r="G21" s="1269">
        <v>4.2000000000000006E-3</v>
      </c>
      <c r="H21" s="1270">
        <f t="shared" si="2"/>
        <v>0.315</v>
      </c>
    </row>
    <row r="22" spans="1:8" s="535" customFormat="1" ht="20.100000000000001" customHeight="1">
      <c r="A22" s="1267">
        <f t="shared" si="1"/>
        <v>9</v>
      </c>
      <c r="B22" s="1884" t="str">
        <f>VLOOKUP(A22,'BASE REDE'!A:N,2,FALSE)</f>
        <v>T30</v>
      </c>
      <c r="C22" s="1885"/>
      <c r="D22" s="1236">
        <f>VLOOKUP(A22,'BASE REDE'!A:N,4,FALSE)</f>
        <v>79.38</v>
      </c>
      <c r="E22" s="1237">
        <f>VLOOKUP(A22,'BASE REDE'!A:N,5,FALSE)</f>
        <v>0.6</v>
      </c>
      <c r="F22" s="1268">
        <f t="shared" si="0"/>
        <v>47.62</v>
      </c>
      <c r="G22" s="1269">
        <v>4.2000000000000006E-3</v>
      </c>
      <c r="H22" s="1270">
        <f t="shared" si="2"/>
        <v>0.2</v>
      </c>
    </row>
    <row r="23" spans="1:8" s="535" customFormat="1" ht="20.100000000000001" customHeight="1">
      <c r="A23" s="1267">
        <f t="shared" si="1"/>
        <v>10</v>
      </c>
      <c r="B23" s="1884" t="str">
        <f>VLOOKUP(A23,'BASE REDE'!A:N,2,FALSE)</f>
        <v>T31</v>
      </c>
      <c r="C23" s="1885"/>
      <c r="D23" s="1236">
        <f>VLOOKUP(A23,'BASE REDE'!A:N,4,FALSE)</f>
        <v>86.34</v>
      </c>
      <c r="E23" s="1237">
        <f>VLOOKUP(A23,'BASE REDE'!A:N,5,FALSE)</f>
        <v>0.6</v>
      </c>
      <c r="F23" s="1268">
        <f t="shared" si="0"/>
        <v>51.8</v>
      </c>
      <c r="G23" s="1269">
        <v>4.2000000000000006E-3</v>
      </c>
      <c r="H23" s="1270">
        <f t="shared" si="2"/>
        <v>0.217</v>
      </c>
    </row>
    <row r="24" spans="1:8" s="535" customFormat="1" ht="20.100000000000001" customHeight="1">
      <c r="A24" s="1267">
        <f t="shared" si="1"/>
        <v>11</v>
      </c>
      <c r="B24" s="1884" t="str">
        <f>VLOOKUP(A24,'BASE REDE'!A:N,2,FALSE)</f>
        <v>T32</v>
      </c>
      <c r="C24" s="1885"/>
      <c r="D24" s="1236">
        <f>VLOOKUP(A24,'BASE REDE'!A:N,4,FALSE)</f>
        <v>84.41</v>
      </c>
      <c r="E24" s="1237">
        <f>VLOOKUP(A24,'BASE REDE'!A:N,5,FALSE)</f>
        <v>0.6</v>
      </c>
      <c r="F24" s="1268">
        <f t="shared" si="0"/>
        <v>50.64</v>
      </c>
      <c r="G24" s="1269">
        <v>4.2000000000000006E-3</v>
      </c>
      <c r="H24" s="1270">
        <f t="shared" si="2"/>
        <v>0.21199999999999999</v>
      </c>
    </row>
    <row r="25" spans="1:8" s="535" customFormat="1" ht="20.100000000000001" customHeight="1">
      <c r="A25" s="1267">
        <f t="shared" si="1"/>
        <v>12</v>
      </c>
      <c r="B25" s="1884" t="str">
        <f>VLOOKUP(A25,'BASE REDE'!A:N,2,FALSE)</f>
        <v>T47</v>
      </c>
      <c r="C25" s="1885"/>
      <c r="D25" s="1236">
        <f>VLOOKUP(A25,'BASE REDE'!A:N,4,FALSE)</f>
        <v>85.01</v>
      </c>
      <c r="E25" s="1237">
        <f>VLOOKUP(A25,'BASE REDE'!A:N,5,FALSE)</f>
        <v>0.6</v>
      </c>
      <c r="F25" s="1268">
        <f t="shared" si="0"/>
        <v>51</v>
      </c>
      <c r="G25" s="1269">
        <v>4.2000000000000006E-3</v>
      </c>
      <c r="H25" s="1270">
        <f t="shared" si="2"/>
        <v>0.214</v>
      </c>
    </row>
    <row r="26" spans="1:8" s="535" customFormat="1" ht="20.100000000000001" customHeight="1">
      <c r="A26" s="1267">
        <f t="shared" si="1"/>
        <v>13</v>
      </c>
      <c r="B26" s="1884" t="str">
        <f>VLOOKUP(A26,'BASE REDE'!A:N,2,FALSE)</f>
        <v>T48</v>
      </c>
      <c r="C26" s="1885"/>
      <c r="D26" s="1236">
        <f>VLOOKUP(A26,'BASE REDE'!A:N,4,FALSE)</f>
        <v>81.849999999999994</v>
      </c>
      <c r="E26" s="1237">
        <f>VLOOKUP(A26,'BASE REDE'!A:N,5,FALSE)</f>
        <v>0.6</v>
      </c>
      <c r="F26" s="1268">
        <f t="shared" si="0"/>
        <v>49.11</v>
      </c>
      <c r="G26" s="1269">
        <v>4.2000000000000006E-3</v>
      </c>
      <c r="H26" s="1270">
        <f t="shared" si="2"/>
        <v>0.20599999999999999</v>
      </c>
    </row>
    <row r="27" spans="1:8" s="535" customFormat="1" ht="20.100000000000001" customHeight="1">
      <c r="A27" s="1267">
        <f t="shared" si="1"/>
        <v>14</v>
      </c>
      <c r="B27" s="1884" t="str">
        <f>VLOOKUP(A27,'BASE REDE'!A:N,2,FALSE)</f>
        <v>T49</v>
      </c>
      <c r="C27" s="1885"/>
      <c r="D27" s="1236">
        <f>VLOOKUP(A27,'BASE REDE'!A:N,4,FALSE)</f>
        <v>76.680000000000007</v>
      </c>
      <c r="E27" s="1237">
        <f>VLOOKUP(A27,'BASE REDE'!A:N,5,FALSE)</f>
        <v>0.6</v>
      </c>
      <c r="F27" s="1268">
        <f t="shared" si="0"/>
        <v>46</v>
      </c>
      <c r="G27" s="1269">
        <v>4.2000000000000006E-3</v>
      </c>
      <c r="H27" s="1270">
        <f t="shared" si="2"/>
        <v>0.193</v>
      </c>
    </row>
    <row r="28" spans="1:8" s="535" customFormat="1" ht="20.100000000000001" customHeight="1">
      <c r="A28" s="1267">
        <f t="shared" si="1"/>
        <v>15</v>
      </c>
      <c r="B28" s="1884" t="str">
        <f>VLOOKUP(A28,'BASE REDE'!A:N,2,FALSE)</f>
        <v>T50</v>
      </c>
      <c r="C28" s="1885"/>
      <c r="D28" s="1236">
        <f>VLOOKUP(A28,'BASE REDE'!A:N,4,FALSE)</f>
        <v>138.26</v>
      </c>
      <c r="E28" s="1237">
        <f>VLOOKUP(A28,'BASE REDE'!A:N,5,FALSE)</f>
        <v>0.6</v>
      </c>
      <c r="F28" s="1268">
        <f t="shared" si="0"/>
        <v>82.95</v>
      </c>
      <c r="G28" s="1269">
        <v>4.2000000000000006E-3</v>
      </c>
      <c r="H28" s="1270">
        <f t="shared" si="2"/>
        <v>0.34799999999999998</v>
      </c>
    </row>
    <row r="29" spans="1:8" s="535" customFormat="1" ht="20.100000000000001" customHeight="1">
      <c r="A29" s="1267">
        <f t="shared" si="1"/>
        <v>16</v>
      </c>
      <c r="B29" s="1884" t="str">
        <f>VLOOKUP(A29,'BASE REDE'!A:N,2,FALSE)</f>
        <v>T51</v>
      </c>
      <c r="C29" s="1885"/>
      <c r="D29" s="1236">
        <f>VLOOKUP(A29,'BASE REDE'!A:N,4,FALSE)</f>
        <v>136.72</v>
      </c>
      <c r="E29" s="1237">
        <f>VLOOKUP(A29,'BASE REDE'!A:N,5,FALSE)</f>
        <v>0.6</v>
      </c>
      <c r="F29" s="1268">
        <f t="shared" si="0"/>
        <v>82.03</v>
      </c>
      <c r="G29" s="1269">
        <v>4.2000000000000006E-3</v>
      </c>
      <c r="H29" s="1270">
        <f t="shared" si="2"/>
        <v>0.34399999999999997</v>
      </c>
    </row>
    <row r="30" spans="1:8" s="535" customFormat="1" ht="20.100000000000001" customHeight="1">
      <c r="A30" s="1267">
        <f t="shared" si="1"/>
        <v>17</v>
      </c>
      <c r="B30" s="1884" t="str">
        <f>VLOOKUP(A30,'BASE REDE'!A:N,2,FALSE)</f>
        <v>T52</v>
      </c>
      <c r="C30" s="1885"/>
      <c r="D30" s="1236">
        <f>VLOOKUP(A30,'BASE REDE'!A:N,4,FALSE)</f>
        <v>136.05000000000001</v>
      </c>
      <c r="E30" s="1237">
        <f>VLOOKUP(A30,'BASE REDE'!A:N,5,FALSE)</f>
        <v>0.6</v>
      </c>
      <c r="F30" s="1268">
        <f t="shared" si="0"/>
        <v>81.63</v>
      </c>
      <c r="G30" s="1269">
        <v>4.2000000000000006E-3</v>
      </c>
      <c r="H30" s="1270">
        <f t="shared" si="2"/>
        <v>0.34200000000000003</v>
      </c>
    </row>
    <row r="31" spans="1:8" s="535" customFormat="1" ht="20.100000000000001" customHeight="1">
      <c r="A31" s="1267">
        <f t="shared" si="1"/>
        <v>18</v>
      </c>
      <c r="B31" s="1884" t="str">
        <f>VLOOKUP(A31,'BASE REDE'!A:N,2,FALSE)</f>
        <v>T62</v>
      </c>
      <c r="C31" s="1885"/>
      <c r="D31" s="1236">
        <f>VLOOKUP(A31,'BASE REDE'!A:N,4,FALSE)</f>
        <v>98.83</v>
      </c>
      <c r="E31" s="1237">
        <f>VLOOKUP(A31,'BASE REDE'!A:N,5,FALSE)</f>
        <v>0.6</v>
      </c>
      <c r="F31" s="1268">
        <f t="shared" si="0"/>
        <v>59.29</v>
      </c>
      <c r="G31" s="1269">
        <v>4.2000000000000006E-3</v>
      </c>
      <c r="H31" s="1270">
        <f t="shared" si="2"/>
        <v>0.249</v>
      </c>
    </row>
    <row r="32" spans="1:8" s="535" customFormat="1" ht="20.100000000000001" customHeight="1">
      <c r="A32" s="1267">
        <f t="shared" si="1"/>
        <v>19</v>
      </c>
      <c r="B32" s="1884" t="str">
        <f>VLOOKUP(A32,'BASE REDE'!A:N,2,FALSE)</f>
        <v>T63</v>
      </c>
      <c r="C32" s="1885"/>
      <c r="D32" s="1236">
        <f>VLOOKUP(A32,'BASE REDE'!A:N,4,FALSE)</f>
        <v>100.99</v>
      </c>
      <c r="E32" s="1237">
        <f>VLOOKUP(A32,'BASE REDE'!A:N,5,FALSE)</f>
        <v>0.6</v>
      </c>
      <c r="F32" s="1268">
        <f t="shared" si="0"/>
        <v>60.59</v>
      </c>
      <c r="G32" s="1269">
        <v>4.2000000000000006E-3</v>
      </c>
      <c r="H32" s="1270">
        <f t="shared" si="2"/>
        <v>0.254</v>
      </c>
    </row>
    <row r="33" spans="1:8" s="535" customFormat="1" ht="20.100000000000001" customHeight="1">
      <c r="A33" s="1267">
        <f t="shared" si="1"/>
        <v>20</v>
      </c>
      <c r="B33" s="1884" t="str">
        <f>VLOOKUP(A33,'BASE REDE'!A:N,2,FALSE)</f>
        <v>T74</v>
      </c>
      <c r="C33" s="1885"/>
      <c r="D33" s="1236">
        <f>VLOOKUP(A33,'BASE REDE'!A:N,4,FALSE)</f>
        <v>91.21</v>
      </c>
      <c r="E33" s="1237">
        <f>VLOOKUP(A33,'BASE REDE'!A:N,5,FALSE)</f>
        <v>0.6</v>
      </c>
      <c r="F33" s="1268">
        <f t="shared" si="0"/>
        <v>54.72</v>
      </c>
      <c r="G33" s="1269">
        <v>4.2000000000000006E-3</v>
      </c>
      <c r="H33" s="1270">
        <f t="shared" si="2"/>
        <v>0.22900000000000001</v>
      </c>
    </row>
    <row r="34" spans="1:8" s="535" customFormat="1" ht="20.100000000000001" customHeight="1">
      <c r="A34" s="1267">
        <f t="shared" si="1"/>
        <v>21</v>
      </c>
      <c r="B34" s="1884" t="str">
        <f>VLOOKUP(A34,'BASE REDE'!A:N,2,FALSE)</f>
        <v>T75</v>
      </c>
      <c r="C34" s="1885"/>
      <c r="D34" s="1236">
        <f>VLOOKUP(A34,'BASE REDE'!A:N,4,FALSE)</f>
        <v>32.11</v>
      </c>
      <c r="E34" s="1237">
        <f>VLOOKUP(A34,'BASE REDE'!A:N,5,FALSE)</f>
        <v>0.6</v>
      </c>
      <c r="F34" s="1268">
        <f t="shared" si="0"/>
        <v>19.260000000000002</v>
      </c>
      <c r="G34" s="1269">
        <v>4.2000000000000006E-3</v>
      </c>
      <c r="H34" s="1270">
        <f t="shared" si="2"/>
        <v>0.08</v>
      </c>
    </row>
    <row r="35" spans="1:8" s="535" customFormat="1" ht="20.100000000000001" customHeight="1">
      <c r="A35" s="1267">
        <f t="shared" si="1"/>
        <v>22</v>
      </c>
      <c r="B35" s="1884" t="str">
        <f>VLOOKUP(A35,'BASE REDE'!A:N,2,FALSE)</f>
        <v>T76</v>
      </c>
      <c r="C35" s="1885"/>
      <c r="D35" s="1236">
        <f>VLOOKUP(A35,'BASE REDE'!A:N,4,FALSE)</f>
        <v>91.11</v>
      </c>
      <c r="E35" s="1237">
        <f>VLOOKUP(A35,'BASE REDE'!A:N,5,FALSE)</f>
        <v>0.6</v>
      </c>
      <c r="F35" s="1268">
        <f t="shared" si="0"/>
        <v>54.66</v>
      </c>
      <c r="G35" s="1269">
        <v>4.2000000000000006E-3</v>
      </c>
      <c r="H35" s="1270">
        <f t="shared" si="2"/>
        <v>0.22900000000000001</v>
      </c>
    </row>
    <row r="36" spans="1:8" s="535" customFormat="1" ht="20.100000000000001" customHeight="1">
      <c r="A36" s="1267">
        <f t="shared" si="1"/>
        <v>23</v>
      </c>
      <c r="B36" s="1884" t="str">
        <f>VLOOKUP(A36,'BASE REDE'!A:N,2,FALSE)</f>
        <v>T77</v>
      </c>
      <c r="C36" s="1885"/>
      <c r="D36" s="1236">
        <f>VLOOKUP(A36,'BASE REDE'!A:N,4,FALSE)</f>
        <v>34.11</v>
      </c>
      <c r="E36" s="1237">
        <f>VLOOKUP(A36,'BASE REDE'!A:N,5,FALSE)</f>
        <v>0.6</v>
      </c>
      <c r="F36" s="1268">
        <f t="shared" si="0"/>
        <v>20.46</v>
      </c>
      <c r="G36" s="1269">
        <v>4.2000000000000006E-3</v>
      </c>
      <c r="H36" s="1270">
        <f t="shared" si="2"/>
        <v>8.5000000000000006E-2</v>
      </c>
    </row>
    <row r="37" spans="1:8" s="535" customFormat="1" ht="20.100000000000001" customHeight="1">
      <c r="A37" s="1267">
        <f t="shared" si="1"/>
        <v>24</v>
      </c>
      <c r="B37" s="1884" t="str">
        <f>VLOOKUP(A37,'BASE REDE'!A:N,2,FALSE)</f>
        <v>T78</v>
      </c>
      <c r="C37" s="1885"/>
      <c r="D37" s="1236">
        <f>VLOOKUP(A37,'BASE REDE'!A:N,4,FALSE)</f>
        <v>111.92</v>
      </c>
      <c r="E37" s="1237">
        <f>VLOOKUP(A37,'BASE REDE'!A:N,5,FALSE)</f>
        <v>0.6</v>
      </c>
      <c r="F37" s="1268">
        <f t="shared" si="0"/>
        <v>67.150000000000006</v>
      </c>
      <c r="G37" s="1269">
        <v>4.2000000000000006E-3</v>
      </c>
      <c r="H37" s="1270">
        <f t="shared" si="2"/>
        <v>0.28199999999999997</v>
      </c>
    </row>
    <row r="38" spans="1:8" s="535" customFormat="1" ht="20.100000000000001" customHeight="1">
      <c r="A38" s="1267">
        <f t="shared" si="1"/>
        <v>25</v>
      </c>
      <c r="B38" s="1884" t="str">
        <f>VLOOKUP(A38,'BASE REDE'!A:N,2,FALSE)</f>
        <v>T79</v>
      </c>
      <c r="C38" s="1885"/>
      <c r="D38" s="1236">
        <f>VLOOKUP(A38,'BASE REDE'!A:N,4,FALSE)</f>
        <v>81.63</v>
      </c>
      <c r="E38" s="1237">
        <f>VLOOKUP(A38,'BASE REDE'!A:N,5,FALSE)</f>
        <v>0.6</v>
      </c>
      <c r="F38" s="1268">
        <f t="shared" si="0"/>
        <v>48.97</v>
      </c>
      <c r="G38" s="1269">
        <v>4.2000000000000006E-3</v>
      </c>
      <c r="H38" s="1270">
        <f t="shared" si="2"/>
        <v>0.20499999999999999</v>
      </c>
    </row>
    <row r="39" spans="1:8" s="535" customFormat="1" ht="20.100000000000001" customHeight="1">
      <c r="A39" s="1267">
        <f t="shared" si="1"/>
        <v>26</v>
      </c>
      <c r="B39" s="1884" t="str">
        <f>VLOOKUP(A39,'BASE REDE'!A:N,2,FALSE)</f>
        <v>T80</v>
      </c>
      <c r="C39" s="1885"/>
      <c r="D39" s="1236">
        <f>VLOOKUP(A39,'BASE REDE'!A:N,4,FALSE)</f>
        <v>84.53</v>
      </c>
      <c r="E39" s="1237">
        <f>VLOOKUP(A39,'BASE REDE'!A:N,5,FALSE)</f>
        <v>0.6</v>
      </c>
      <c r="F39" s="1268">
        <f t="shared" si="0"/>
        <v>50.71</v>
      </c>
      <c r="G39" s="1269">
        <v>4.2000000000000006E-3</v>
      </c>
      <c r="H39" s="1270">
        <f t="shared" si="2"/>
        <v>0.21199999999999999</v>
      </c>
    </row>
    <row r="40" spans="1:8" s="535" customFormat="1" ht="20.100000000000001" customHeight="1">
      <c r="A40" s="1267">
        <f t="shared" si="1"/>
        <v>27</v>
      </c>
      <c r="B40" s="1884" t="str">
        <f>VLOOKUP(A40,'BASE REDE'!A:N,2,FALSE)</f>
        <v>T81</v>
      </c>
      <c r="C40" s="1885"/>
      <c r="D40" s="1236">
        <f>VLOOKUP(A40,'BASE REDE'!A:N,4,FALSE)</f>
        <v>81.08</v>
      </c>
      <c r="E40" s="1237">
        <f>VLOOKUP(A40,'BASE REDE'!A:N,5,FALSE)</f>
        <v>0.6</v>
      </c>
      <c r="F40" s="1268">
        <f t="shared" si="0"/>
        <v>48.64</v>
      </c>
      <c r="G40" s="1269">
        <v>4.2000000000000006E-3</v>
      </c>
      <c r="H40" s="1270">
        <f t="shared" si="2"/>
        <v>0.20399999999999999</v>
      </c>
    </row>
    <row r="41" spans="1:8" s="535" customFormat="1" ht="20.100000000000001" customHeight="1">
      <c r="A41" s="1267">
        <f t="shared" si="1"/>
        <v>28</v>
      </c>
      <c r="B41" s="1884" t="str">
        <f>VLOOKUP(A41,'BASE REDE'!A:N,2,FALSE)</f>
        <v>T82</v>
      </c>
      <c r="C41" s="1885"/>
      <c r="D41" s="1236">
        <f>VLOOKUP(A41,'BASE REDE'!A:N,4,FALSE)</f>
        <v>90.34</v>
      </c>
      <c r="E41" s="1237">
        <f>VLOOKUP(A41,'BASE REDE'!A:N,5,FALSE)</f>
        <v>0.6</v>
      </c>
      <c r="F41" s="1268">
        <f t="shared" si="0"/>
        <v>54.2</v>
      </c>
      <c r="G41" s="1269">
        <v>4.2000000000000006E-3</v>
      </c>
      <c r="H41" s="1270">
        <f t="shared" si="2"/>
        <v>0.22700000000000001</v>
      </c>
    </row>
    <row r="42" spans="1:8" s="535" customFormat="1" ht="20.100000000000001" customHeight="1">
      <c r="A42" s="1267">
        <f t="shared" si="1"/>
        <v>29</v>
      </c>
      <c r="B42" s="1884" t="str">
        <f>VLOOKUP(A42,'BASE REDE'!A:N,2,FALSE)</f>
        <v>T83</v>
      </c>
      <c r="C42" s="1885"/>
      <c r="D42" s="1236">
        <f>VLOOKUP(A42,'BASE REDE'!A:N,4,FALSE)</f>
        <v>85.65</v>
      </c>
      <c r="E42" s="1237">
        <f>VLOOKUP(A42,'BASE REDE'!A:N,5,FALSE)</f>
        <v>0.6</v>
      </c>
      <c r="F42" s="1268">
        <f t="shared" si="0"/>
        <v>51.39</v>
      </c>
      <c r="G42" s="1269">
        <v>4.2000000000000006E-3</v>
      </c>
      <c r="H42" s="1270">
        <f t="shared" si="2"/>
        <v>0.215</v>
      </c>
    </row>
    <row r="43" spans="1:8" s="535" customFormat="1" ht="20.100000000000001" customHeight="1">
      <c r="A43" s="1267">
        <f t="shared" si="1"/>
        <v>30</v>
      </c>
      <c r="B43" s="1884" t="str">
        <f>VLOOKUP(A43,'BASE REDE'!A:N,2,FALSE)</f>
        <v>T84</v>
      </c>
      <c r="C43" s="1885"/>
      <c r="D43" s="1236">
        <f>VLOOKUP(A43,'BASE REDE'!A:N,4,FALSE)</f>
        <v>87.44</v>
      </c>
      <c r="E43" s="1237">
        <f>VLOOKUP(A43,'BASE REDE'!A:N,5,FALSE)</f>
        <v>0.6</v>
      </c>
      <c r="F43" s="1268">
        <f t="shared" si="0"/>
        <v>52.46</v>
      </c>
      <c r="G43" s="1269">
        <v>4.2000000000000006E-3</v>
      </c>
      <c r="H43" s="1270">
        <f t="shared" si="2"/>
        <v>0.22</v>
      </c>
    </row>
    <row r="44" spans="1:8" s="535" customFormat="1" ht="20.100000000000001" customHeight="1">
      <c r="A44" s="1267">
        <f t="shared" si="1"/>
        <v>31</v>
      </c>
      <c r="B44" s="1884" t="str">
        <f>VLOOKUP(A44,'BASE REDE'!A:N,2,FALSE)</f>
        <v>T85</v>
      </c>
      <c r="C44" s="1885"/>
      <c r="D44" s="1236">
        <f>VLOOKUP(A44,'BASE REDE'!A:N,4,FALSE)</f>
        <v>90.7</v>
      </c>
      <c r="E44" s="1237">
        <f>VLOOKUP(A44,'BASE REDE'!A:N,5,FALSE)</f>
        <v>0.6</v>
      </c>
      <c r="F44" s="1268">
        <f t="shared" si="0"/>
        <v>54.42</v>
      </c>
      <c r="G44" s="1269">
        <v>4.2000000000000006E-3</v>
      </c>
      <c r="H44" s="1270">
        <f t="shared" si="2"/>
        <v>0.22800000000000001</v>
      </c>
    </row>
    <row r="45" spans="1:8" s="535" customFormat="1" ht="20.100000000000001" customHeight="1">
      <c r="A45" s="1267">
        <f t="shared" si="1"/>
        <v>32</v>
      </c>
      <c r="B45" s="1884" t="str">
        <f>VLOOKUP(A45,'BASE REDE'!A:N,2,FALSE)</f>
        <v>T86</v>
      </c>
      <c r="C45" s="1885"/>
      <c r="D45" s="1236">
        <f>VLOOKUP(A45,'BASE REDE'!A:N,4,FALSE)</f>
        <v>78.069999999999993</v>
      </c>
      <c r="E45" s="1237">
        <f>VLOOKUP(A45,'BASE REDE'!A:N,5,FALSE)</f>
        <v>0.6</v>
      </c>
      <c r="F45" s="1268">
        <f t="shared" si="0"/>
        <v>46.84</v>
      </c>
      <c r="G45" s="1269">
        <v>4.2000000000000006E-3</v>
      </c>
      <c r="H45" s="1270">
        <f t="shared" si="2"/>
        <v>0.19600000000000001</v>
      </c>
    </row>
    <row r="46" spans="1:8" s="535" customFormat="1" ht="20.100000000000001" customHeight="1">
      <c r="A46" s="1267">
        <f t="shared" si="1"/>
        <v>33</v>
      </c>
      <c r="B46" s="1884" t="str">
        <f>VLOOKUP(A46,'BASE REDE'!A:N,2,FALSE)</f>
        <v>T87</v>
      </c>
      <c r="C46" s="1885"/>
      <c r="D46" s="1236">
        <f>VLOOKUP(A46,'BASE REDE'!A:N,4,FALSE)</f>
        <v>84.54</v>
      </c>
      <c r="E46" s="1237">
        <f>VLOOKUP(A46,'BASE REDE'!A:N,5,FALSE)</f>
        <v>0.6</v>
      </c>
      <c r="F46" s="1268">
        <f t="shared" si="0"/>
        <v>50.72</v>
      </c>
      <c r="G46" s="1269">
        <v>4.2000000000000006E-3</v>
      </c>
      <c r="H46" s="1270">
        <f t="shared" si="2"/>
        <v>0.21299999999999999</v>
      </c>
    </row>
    <row r="47" spans="1:8" s="535" customFormat="1" ht="20.100000000000001" customHeight="1">
      <c r="A47" s="1267">
        <f t="shared" si="1"/>
        <v>34</v>
      </c>
      <c r="B47" s="1884" t="str">
        <f>VLOOKUP(A47,'BASE REDE'!A:N,2,FALSE)</f>
        <v>T88</v>
      </c>
      <c r="C47" s="1885"/>
      <c r="D47" s="1236">
        <f>VLOOKUP(A47,'BASE REDE'!A:N,4,FALSE)</f>
        <v>80.97</v>
      </c>
      <c r="E47" s="1237">
        <f>VLOOKUP(A47,'BASE REDE'!A:N,5,FALSE)</f>
        <v>0.6</v>
      </c>
      <c r="F47" s="1268">
        <f t="shared" si="0"/>
        <v>48.58</v>
      </c>
      <c r="G47" s="1269">
        <v>4.2000000000000006E-3</v>
      </c>
      <c r="H47" s="1270">
        <f t="shared" si="2"/>
        <v>0.20399999999999999</v>
      </c>
    </row>
    <row r="48" spans="1:8" s="535" customFormat="1" ht="20.100000000000001" customHeight="1">
      <c r="A48" s="1267">
        <f t="shared" si="1"/>
        <v>35</v>
      </c>
      <c r="B48" s="1884" t="str">
        <f>VLOOKUP(A48,'BASE REDE'!A:N,2,FALSE)</f>
        <v>T99</v>
      </c>
      <c r="C48" s="1885"/>
      <c r="D48" s="1236">
        <f>VLOOKUP(A48,'BASE REDE'!A:N,4,FALSE)</f>
        <v>26.81</v>
      </c>
      <c r="E48" s="1237">
        <f>VLOOKUP(A48,'BASE REDE'!A:N,5,FALSE)</f>
        <v>0.6</v>
      </c>
      <c r="F48" s="1268">
        <f t="shared" si="0"/>
        <v>16.079999999999998</v>
      </c>
      <c r="G48" s="1269">
        <v>4.2000000000000006E-3</v>
      </c>
      <c r="H48" s="1270">
        <f t="shared" si="2"/>
        <v>6.7000000000000004E-2</v>
      </c>
    </row>
    <row r="49" spans="1:225" s="535" customFormat="1" ht="20.100000000000001" customHeight="1">
      <c r="A49" s="1267">
        <f t="shared" si="1"/>
        <v>36</v>
      </c>
      <c r="B49" s="1884" t="str">
        <f>VLOOKUP(A49,'BASE REDE'!A:N,2,FALSE)</f>
        <v>T101</v>
      </c>
      <c r="C49" s="1885"/>
      <c r="D49" s="1236">
        <f>VLOOKUP(A49,'BASE REDE'!A:N,4,FALSE)</f>
        <v>168.98</v>
      </c>
      <c r="E49" s="1237">
        <f>VLOOKUP(A49,'BASE REDE'!A:N,5,FALSE)</f>
        <v>0.6</v>
      </c>
      <c r="F49" s="1268">
        <f t="shared" si="0"/>
        <v>101.38</v>
      </c>
      <c r="G49" s="1269">
        <v>4.2000000000000006E-3</v>
      </c>
      <c r="H49" s="1270">
        <f t="shared" si="2"/>
        <v>0.42499999999999999</v>
      </c>
    </row>
    <row r="50" spans="1:225" s="535" customFormat="1" ht="20.100000000000001" customHeight="1">
      <c r="A50" s="1267">
        <f t="shared" si="1"/>
        <v>37</v>
      </c>
      <c r="B50" s="1884" t="str">
        <f>VLOOKUP(A50,'BASE REDE'!A:N,2,FALSE)</f>
        <v>T102</v>
      </c>
      <c r="C50" s="1885"/>
      <c r="D50" s="1236">
        <f>VLOOKUP(A50,'BASE REDE'!A:N,4,FALSE)</f>
        <v>135.36000000000001</v>
      </c>
      <c r="E50" s="1237">
        <f>VLOOKUP(A50,'BASE REDE'!A:N,5,FALSE)</f>
        <v>0.6</v>
      </c>
      <c r="F50" s="1268">
        <f t="shared" si="0"/>
        <v>81.209999999999994</v>
      </c>
      <c r="G50" s="1269">
        <v>4.2000000000000006E-3</v>
      </c>
      <c r="H50" s="1270">
        <f t="shared" si="2"/>
        <v>0.34100000000000003</v>
      </c>
    </row>
    <row r="51" spans="1:225" s="535" customFormat="1" ht="20.100000000000001" customHeight="1">
      <c r="A51" s="1267">
        <f t="shared" si="1"/>
        <v>38</v>
      </c>
      <c r="B51" s="1884" t="str">
        <f>VLOOKUP(A51,'BASE REDE'!A:N,2,FALSE)</f>
        <v>T105</v>
      </c>
      <c r="C51" s="1885"/>
      <c r="D51" s="1236">
        <f>VLOOKUP(A51,'BASE REDE'!A:N,4,FALSE)</f>
        <v>97.63</v>
      </c>
      <c r="E51" s="1237">
        <f>VLOOKUP(A51,'BASE REDE'!A:N,5,FALSE)</f>
        <v>0.6</v>
      </c>
      <c r="F51" s="1268">
        <f t="shared" si="0"/>
        <v>58.57</v>
      </c>
      <c r="G51" s="1269">
        <v>4.2000000000000006E-3</v>
      </c>
      <c r="H51" s="1270">
        <f t="shared" si="2"/>
        <v>0.245</v>
      </c>
    </row>
    <row r="52" spans="1:225" s="535" customFormat="1" ht="20.100000000000001" customHeight="1">
      <c r="A52" s="1267">
        <f t="shared" si="1"/>
        <v>39</v>
      </c>
      <c r="B52" s="1884" t="str">
        <f>VLOOKUP(A52,'BASE REDE'!A:N,2,FALSE)</f>
        <v>T106</v>
      </c>
      <c r="C52" s="1885"/>
      <c r="D52" s="1236">
        <f>VLOOKUP(A52,'BASE REDE'!A:N,4,FALSE)</f>
        <v>171.87</v>
      </c>
      <c r="E52" s="1237">
        <f>VLOOKUP(A52,'BASE REDE'!A:N,5,FALSE)</f>
        <v>0.6</v>
      </c>
      <c r="F52" s="1268">
        <f t="shared" si="0"/>
        <v>103.12</v>
      </c>
      <c r="G52" s="1269">
        <v>4.2000000000000006E-3</v>
      </c>
      <c r="H52" s="1270">
        <f t="shared" si="2"/>
        <v>0.433</v>
      </c>
    </row>
    <row r="53" spans="1:225" s="535" customFormat="1" ht="20.100000000000001" customHeight="1">
      <c r="A53" s="1267">
        <f t="shared" si="1"/>
        <v>40</v>
      </c>
      <c r="B53" s="1884" t="str">
        <f>VLOOKUP(A53,'BASE REDE'!A:N,2,FALSE)</f>
        <v>T107</v>
      </c>
      <c r="C53" s="1885"/>
      <c r="D53" s="1236">
        <f>VLOOKUP(A53,'BASE REDE'!A:N,4,FALSE)</f>
        <v>89.68</v>
      </c>
      <c r="E53" s="1237">
        <f>VLOOKUP(A53,'BASE REDE'!A:N,5,FALSE)</f>
        <v>0.6</v>
      </c>
      <c r="F53" s="1268">
        <f t="shared" si="0"/>
        <v>53.8</v>
      </c>
      <c r="G53" s="1269">
        <v>4.2000000000000006E-3</v>
      </c>
      <c r="H53" s="1270">
        <f t="shared" si="2"/>
        <v>0.22500000000000001</v>
      </c>
    </row>
    <row r="54" spans="1:225" s="535" customFormat="1" ht="20.100000000000001" customHeight="1">
      <c r="A54" s="1267">
        <f t="shared" si="1"/>
        <v>41</v>
      </c>
      <c r="B54" s="1884" t="str">
        <f>VLOOKUP(A54,'BASE REDE'!A:N,2,FALSE)</f>
        <v>T108</v>
      </c>
      <c r="C54" s="1885"/>
      <c r="D54" s="1236">
        <f>VLOOKUP(A54,'BASE REDE'!A:N,4,FALSE)</f>
        <v>96.97</v>
      </c>
      <c r="E54" s="1237">
        <f>VLOOKUP(A54,'BASE REDE'!A:N,5,FALSE)</f>
        <v>0.6</v>
      </c>
      <c r="F54" s="1268">
        <f t="shared" si="0"/>
        <v>58.18</v>
      </c>
      <c r="G54" s="1269">
        <v>4.2000000000000006E-3</v>
      </c>
      <c r="H54" s="1270">
        <f t="shared" si="2"/>
        <v>0.24399999999999999</v>
      </c>
    </row>
    <row r="55" spans="1:225" s="535" customFormat="1" ht="20.100000000000001" customHeight="1">
      <c r="A55" s="1267">
        <f t="shared" si="1"/>
        <v>42</v>
      </c>
      <c r="B55" s="1884" t="str">
        <f>VLOOKUP(A55,'BASE REDE'!A:N,2,FALSE)</f>
        <v>T109</v>
      </c>
      <c r="C55" s="1885"/>
      <c r="D55" s="1236">
        <f>VLOOKUP(A55,'BASE REDE'!A:N,4,FALSE)</f>
        <v>101.54</v>
      </c>
      <c r="E55" s="1237">
        <f>VLOOKUP(A55,'BASE REDE'!A:N,5,FALSE)</f>
        <v>0.6</v>
      </c>
      <c r="F55" s="1268">
        <f t="shared" si="0"/>
        <v>60.92</v>
      </c>
      <c r="G55" s="1269">
        <v>4.2000000000000006E-3</v>
      </c>
      <c r="H55" s="1270">
        <f t="shared" si="2"/>
        <v>0.255</v>
      </c>
    </row>
    <row r="56" spans="1:225" s="535" customFormat="1" ht="20.100000000000001" customHeight="1">
      <c r="A56" s="1267">
        <f t="shared" si="1"/>
        <v>43</v>
      </c>
      <c r="B56" s="1884" t="str">
        <f>VLOOKUP(A56,'BASE REDE'!A:N,2,FALSE)</f>
        <v>T115</v>
      </c>
      <c r="C56" s="1885"/>
      <c r="D56" s="1236">
        <f>VLOOKUP(A56,'BASE REDE'!A:N,4,FALSE)</f>
        <v>83.97</v>
      </c>
      <c r="E56" s="1237">
        <f>VLOOKUP(A56,'BASE REDE'!A:N,5,FALSE)</f>
        <v>0.6</v>
      </c>
      <c r="F56" s="1268">
        <f t="shared" si="0"/>
        <v>50.38</v>
      </c>
      <c r="G56" s="1269">
        <v>4.2000000000000006E-3</v>
      </c>
      <c r="H56" s="1270">
        <f t="shared" si="2"/>
        <v>0.21099999999999999</v>
      </c>
    </row>
    <row r="57" spans="1:225" s="535" customFormat="1" ht="20.100000000000001" customHeight="1">
      <c r="A57" s="1267">
        <f t="shared" si="1"/>
        <v>44</v>
      </c>
      <c r="B57" s="1884" t="str">
        <f>VLOOKUP(A57,'BASE REDE'!A:N,2,FALSE)</f>
        <v>T116</v>
      </c>
      <c r="C57" s="1885"/>
      <c r="D57" s="1236">
        <f>VLOOKUP(A57,'BASE REDE'!A:N,4,FALSE)</f>
        <v>93.71</v>
      </c>
      <c r="E57" s="1237">
        <f>VLOOKUP(A57,'BASE REDE'!A:N,5,FALSE)</f>
        <v>0.6</v>
      </c>
      <c r="F57" s="1268">
        <f t="shared" si="0"/>
        <v>56.22</v>
      </c>
      <c r="G57" s="1269">
        <v>4.2000000000000006E-3</v>
      </c>
      <c r="H57" s="1270">
        <f t="shared" si="2"/>
        <v>0.23599999999999999</v>
      </c>
    </row>
    <row r="58" spans="1:225" s="535" customFormat="1" ht="20.100000000000001" customHeight="1">
      <c r="A58" s="1267">
        <f t="shared" si="1"/>
        <v>45</v>
      </c>
      <c r="B58" s="1884" t="str">
        <f>VLOOKUP(A58,'BASE REDE'!A:N,2,FALSE)</f>
        <v>T117</v>
      </c>
      <c r="C58" s="1885"/>
      <c r="D58" s="1236">
        <f>VLOOKUP(A58,'BASE REDE'!A:N,4,FALSE)</f>
        <v>79.19</v>
      </c>
      <c r="E58" s="1237">
        <f>VLOOKUP(A58,'BASE REDE'!A:N,5,FALSE)</f>
        <v>0.6</v>
      </c>
      <c r="F58" s="1268">
        <f t="shared" si="0"/>
        <v>47.51</v>
      </c>
      <c r="G58" s="1269">
        <v>4.2000000000000006E-3</v>
      </c>
      <c r="H58" s="1270">
        <f t="shared" si="2"/>
        <v>0.19900000000000001</v>
      </c>
    </row>
    <row r="59" spans="1:225" s="535" customFormat="1" ht="20.100000000000001" customHeight="1">
      <c r="A59" s="1267">
        <f t="shared" si="1"/>
        <v>46</v>
      </c>
      <c r="B59" s="1884" t="str">
        <f>VLOOKUP(A59,'BASE REDE'!A:N,2,FALSE)</f>
        <v>T118</v>
      </c>
      <c r="C59" s="1885"/>
      <c r="D59" s="1236">
        <f>VLOOKUP(A59,'BASE REDE'!A:N,4,FALSE)</f>
        <v>81.53</v>
      </c>
      <c r="E59" s="1237">
        <f>VLOOKUP(A59,'BASE REDE'!A:N,5,FALSE)</f>
        <v>0.6</v>
      </c>
      <c r="F59" s="1268">
        <f t="shared" si="0"/>
        <v>48.91</v>
      </c>
      <c r="G59" s="1269">
        <v>4.2000000000000006E-3</v>
      </c>
      <c r="H59" s="1270">
        <f t="shared" si="2"/>
        <v>0.20499999999999999</v>
      </c>
    </row>
    <row r="60" spans="1:225" s="535" customFormat="1" ht="20.100000000000001" customHeight="1">
      <c r="A60" s="1267">
        <f t="shared" si="1"/>
        <v>47</v>
      </c>
      <c r="B60" s="1884" t="str">
        <f>VLOOKUP(A60,'BASE REDE'!A:N,2,FALSE)</f>
        <v>T119</v>
      </c>
      <c r="C60" s="1885"/>
      <c r="D60" s="1236">
        <f>VLOOKUP(A60,'BASE REDE'!A:N,4,FALSE)</f>
        <v>83.43</v>
      </c>
      <c r="E60" s="1237">
        <f>VLOOKUP(A60,'BASE REDE'!A:N,5,FALSE)</f>
        <v>0.6</v>
      </c>
      <c r="F60" s="1268">
        <f t="shared" si="0"/>
        <v>50.05</v>
      </c>
      <c r="G60" s="1269">
        <v>4.2000000000000006E-3</v>
      </c>
      <c r="H60" s="1270">
        <f t="shared" si="2"/>
        <v>0.21</v>
      </c>
    </row>
    <row r="61" spans="1:225" s="535" customFormat="1" ht="20.100000000000001" customHeight="1">
      <c r="A61" s="1267">
        <f t="shared" si="1"/>
        <v>48</v>
      </c>
      <c r="B61" s="1884" t="str">
        <f>VLOOKUP(A61,'BASE REDE'!A:N,2,FALSE)</f>
        <v>T124</v>
      </c>
      <c r="C61" s="1885"/>
      <c r="D61" s="1236">
        <f>VLOOKUP(A61,'BASE REDE'!A:N,4,FALSE)</f>
        <v>71.14</v>
      </c>
      <c r="E61" s="1237">
        <f>VLOOKUP(A61,'BASE REDE'!A:N,5,FALSE)</f>
        <v>0.6</v>
      </c>
      <c r="F61" s="1268">
        <f t="shared" si="0"/>
        <v>42.68</v>
      </c>
      <c r="G61" s="1269">
        <v>4.2000000000000006E-3</v>
      </c>
      <c r="H61" s="1270">
        <f t="shared" si="2"/>
        <v>0.17899999999999999</v>
      </c>
    </row>
    <row r="62" spans="1:225" s="535" customFormat="1" ht="20.100000000000001" customHeight="1">
      <c r="A62" s="1267">
        <f t="shared" si="1"/>
        <v>49</v>
      </c>
      <c r="B62" s="1884" t="str">
        <f>VLOOKUP(A62,'BASE REDE'!A:N,2,FALSE)</f>
        <v>T125</v>
      </c>
      <c r="C62" s="1885"/>
      <c r="D62" s="1236">
        <f>VLOOKUP(A62,'BASE REDE'!A:N,4,FALSE)</f>
        <v>126.75</v>
      </c>
      <c r="E62" s="1237">
        <f>VLOOKUP(A62,'BASE REDE'!A:N,5,FALSE)</f>
        <v>0.6</v>
      </c>
      <c r="F62" s="1268">
        <f t="shared" si="0"/>
        <v>76.05</v>
      </c>
      <c r="G62" s="1269">
        <v>4.2000000000000006E-3</v>
      </c>
      <c r="H62" s="1270">
        <f t="shared" si="2"/>
        <v>0.31900000000000001</v>
      </c>
    </row>
    <row r="63" spans="1:225" s="535" customFormat="1" ht="20.100000000000001" customHeight="1">
      <c r="A63" s="1267">
        <f t="shared" si="1"/>
        <v>50</v>
      </c>
      <c r="B63" s="1884" t="str">
        <f>VLOOKUP(A63,'BASE REDE'!A:N,2,FALSE)</f>
        <v>T126</v>
      </c>
      <c r="C63" s="1885"/>
      <c r="D63" s="1236">
        <f>VLOOKUP(A63,'BASE REDE'!A:N,4,FALSE)</f>
        <v>120.18</v>
      </c>
      <c r="E63" s="1237">
        <f>VLOOKUP(A63,'BASE REDE'!A:N,5,FALSE)</f>
        <v>0.6</v>
      </c>
      <c r="F63" s="1268">
        <f t="shared" si="0"/>
        <v>72.099999999999994</v>
      </c>
      <c r="G63" s="1269">
        <v>4.2000000000000006E-3</v>
      </c>
      <c r="H63" s="1270">
        <f t="shared" si="2"/>
        <v>0.30199999999999999</v>
      </c>
    </row>
    <row r="64" spans="1:225" s="220" customFormat="1" ht="20.100000000000001" customHeight="1">
      <c r="A64" s="1921" t="s">
        <v>14005</v>
      </c>
      <c r="B64" s="1922"/>
      <c r="C64" s="1922"/>
      <c r="D64" s="1262">
        <f>SUM(D14:D63)</f>
        <v>4762.2900000000009</v>
      </c>
      <c r="E64" s="1263"/>
      <c r="F64" s="1262">
        <f>SUM(F14:F63)</f>
        <v>2857.1300000000006</v>
      </c>
      <c r="G64" s="1262"/>
      <c r="H64" s="1262">
        <f>TRUNC(SUM(H14:H63),2)</f>
        <v>11.97</v>
      </c>
      <c r="I64" s="433"/>
      <c r="J64" s="433"/>
      <c r="K64" s="1242"/>
      <c r="L64" s="1243"/>
      <c r="M64" s="433"/>
      <c r="N64" s="433"/>
      <c r="O64" s="433"/>
      <c r="P64" s="433"/>
      <c r="Q64" s="1242"/>
      <c r="R64" s="1243"/>
      <c r="S64" s="433"/>
      <c r="T64" s="433"/>
      <c r="U64" s="433"/>
      <c r="V64" s="433"/>
      <c r="W64" s="1242"/>
      <c r="X64" s="1243"/>
      <c r="Y64" s="433"/>
      <c r="Z64" s="433"/>
      <c r="AA64" s="433"/>
      <c r="AB64" s="433"/>
      <c r="AC64" s="1242"/>
      <c r="AD64" s="1243"/>
      <c r="AE64" s="433"/>
      <c r="AF64" s="433"/>
      <c r="AG64" s="433"/>
      <c r="AH64" s="433"/>
      <c r="AI64" s="1242"/>
      <c r="AJ64" s="1243"/>
      <c r="AK64" s="433"/>
      <c r="AL64" s="433"/>
      <c r="AM64" s="433"/>
      <c r="AN64" s="433"/>
      <c r="AO64" s="1242"/>
      <c r="AP64" s="1243"/>
      <c r="AQ64" s="433"/>
      <c r="AR64" s="433"/>
      <c r="AS64" s="433"/>
      <c r="AT64" s="433"/>
      <c r="AU64" s="1242"/>
      <c r="AV64" s="1243"/>
      <c r="AW64" s="433"/>
      <c r="AX64" s="433"/>
      <c r="AY64" s="433"/>
      <c r="AZ64" s="433"/>
      <c r="BA64" s="1242"/>
      <c r="BB64" s="1243"/>
      <c r="BC64" s="433"/>
      <c r="BD64" s="433"/>
      <c r="BE64" s="433"/>
      <c r="BF64" s="433"/>
      <c r="BG64" s="1242"/>
      <c r="BH64" s="1243"/>
      <c r="BI64" s="433"/>
      <c r="BJ64" s="433"/>
      <c r="BK64" s="433"/>
      <c r="BL64" s="433"/>
      <c r="BM64" s="1242"/>
      <c r="BN64" s="1243"/>
      <c r="BO64" s="433"/>
      <c r="BP64" s="433"/>
      <c r="BQ64" s="433"/>
      <c r="BR64" s="433"/>
      <c r="BS64" s="1242"/>
      <c r="BT64" s="1243"/>
      <c r="BU64" s="433"/>
      <c r="BV64" s="433"/>
      <c r="BW64" s="433"/>
      <c r="BX64" s="433"/>
      <c r="BY64" s="1242"/>
      <c r="BZ64" s="1243"/>
      <c r="CA64" s="433"/>
      <c r="CB64" s="433"/>
      <c r="CC64" s="433"/>
      <c r="CD64" s="433"/>
      <c r="CE64" s="1242"/>
      <c r="CF64" s="1243"/>
      <c r="CG64" s="433"/>
      <c r="CH64" s="433"/>
      <c r="CI64" s="433"/>
      <c r="CJ64" s="433"/>
      <c r="CK64" s="1242"/>
      <c r="CL64" s="1243"/>
      <c r="CM64" s="433"/>
      <c r="CN64" s="433"/>
      <c r="CO64" s="433"/>
      <c r="CP64" s="433"/>
      <c r="CQ64" s="1242"/>
      <c r="CR64" s="1243"/>
      <c r="CS64" s="433"/>
      <c r="CT64" s="433"/>
      <c r="CU64" s="433"/>
      <c r="CV64" s="433"/>
      <c r="CW64" s="1242"/>
      <c r="CX64" s="1243"/>
      <c r="CY64" s="433"/>
      <c r="CZ64" s="433"/>
      <c r="DA64" s="433"/>
      <c r="DB64" s="433"/>
      <c r="DC64" s="1242"/>
      <c r="DD64" s="1243"/>
      <c r="DE64" s="433"/>
      <c r="DF64" s="433"/>
      <c r="DG64" s="433"/>
      <c r="DH64" s="433"/>
      <c r="DI64" s="1242"/>
      <c r="DJ64" s="1243"/>
      <c r="DK64" s="433"/>
      <c r="DL64" s="433"/>
      <c r="DM64" s="433"/>
      <c r="DN64" s="433"/>
      <c r="DO64" s="1242"/>
      <c r="DP64" s="1243"/>
      <c r="DQ64" s="433"/>
      <c r="DR64" s="433"/>
      <c r="DS64" s="433"/>
      <c r="DT64" s="433"/>
      <c r="DU64" s="1242"/>
      <c r="DV64" s="1243"/>
      <c r="DW64" s="433"/>
      <c r="DX64" s="433"/>
      <c r="DY64" s="433"/>
      <c r="DZ64" s="433"/>
      <c r="EA64" s="1242"/>
      <c r="EB64" s="1243"/>
      <c r="EC64" s="433"/>
      <c r="ED64" s="433"/>
      <c r="EE64" s="433"/>
      <c r="EF64" s="433"/>
      <c r="EG64" s="1242"/>
      <c r="EH64" s="1243"/>
      <c r="EI64" s="433"/>
      <c r="EJ64" s="433"/>
      <c r="EK64" s="433"/>
      <c r="EL64" s="433"/>
      <c r="EM64" s="1242"/>
      <c r="EN64" s="1243"/>
      <c r="EO64" s="433"/>
      <c r="EP64" s="433"/>
      <c r="EQ64" s="433"/>
      <c r="ER64" s="433"/>
      <c r="ES64" s="1242"/>
      <c r="ET64" s="1243"/>
      <c r="EU64" s="433"/>
      <c r="EV64" s="433"/>
      <c r="EW64" s="433"/>
      <c r="EX64" s="433"/>
      <c r="EY64" s="1242"/>
      <c r="EZ64" s="1243"/>
      <c r="FA64" s="433"/>
      <c r="FB64" s="433"/>
      <c r="FC64" s="433"/>
      <c r="FD64" s="433"/>
      <c r="FE64" s="1242"/>
      <c r="FF64" s="1243"/>
      <c r="FG64" s="433"/>
      <c r="FH64" s="433"/>
      <c r="FI64" s="433"/>
      <c r="FJ64" s="433"/>
      <c r="FK64" s="1242"/>
      <c r="FL64" s="1243"/>
      <c r="FM64" s="433"/>
      <c r="FN64" s="433"/>
      <c r="FO64" s="433"/>
      <c r="FP64" s="433"/>
      <c r="FQ64" s="1242"/>
      <c r="FR64" s="1243"/>
      <c r="FS64" s="433"/>
      <c r="FT64" s="433"/>
      <c r="FU64" s="433"/>
      <c r="FV64" s="433"/>
      <c r="FW64" s="1242"/>
      <c r="FX64" s="1243"/>
      <c r="FY64" s="433"/>
      <c r="FZ64" s="433"/>
      <c r="GA64" s="433"/>
      <c r="GB64" s="433"/>
      <c r="GC64" s="1242"/>
      <c r="GD64" s="1243"/>
      <c r="GE64" s="433"/>
      <c r="GF64" s="433"/>
      <c r="GG64" s="433"/>
      <c r="GH64" s="433"/>
      <c r="GI64" s="1242"/>
      <c r="GJ64" s="1243"/>
      <c r="GK64" s="433"/>
      <c r="GL64" s="433"/>
      <c r="GM64" s="433"/>
      <c r="GN64" s="433"/>
      <c r="GO64" s="1242"/>
      <c r="GP64" s="1243"/>
      <c r="GQ64" s="433"/>
      <c r="GR64" s="433"/>
      <c r="GS64" s="433"/>
      <c r="GT64" s="433"/>
      <c r="GU64" s="1242"/>
      <c r="GV64" s="1243"/>
      <c r="GW64" s="433"/>
      <c r="GX64" s="433"/>
      <c r="GY64" s="433"/>
      <c r="GZ64" s="433"/>
      <c r="HA64" s="1242"/>
      <c r="HB64" s="1243"/>
      <c r="HC64" s="433"/>
      <c r="HD64" s="433"/>
      <c r="HE64" s="433"/>
      <c r="HF64" s="433"/>
      <c r="HG64" s="1242"/>
      <c r="HH64" s="1243"/>
      <c r="HI64" s="433"/>
      <c r="HJ64" s="433"/>
      <c r="HK64" s="433"/>
      <c r="HL64" s="433"/>
      <c r="HM64" s="1242"/>
      <c r="HN64" s="1243"/>
      <c r="HO64" s="433"/>
      <c r="HP64" s="433"/>
      <c r="HQ64" s="433"/>
    </row>
    <row r="65" spans="4:8">
      <c r="D65" s="678"/>
      <c r="E65" s="678"/>
      <c r="F65" s="678"/>
      <c r="G65" s="678"/>
      <c r="H65" s="678"/>
    </row>
  </sheetData>
  <mergeCells count="68">
    <mergeCell ref="B6:H6"/>
    <mergeCell ref="A1:H1"/>
    <mergeCell ref="A2:H2"/>
    <mergeCell ref="A3:H3"/>
    <mergeCell ref="A4:H4"/>
    <mergeCell ref="A5:H5"/>
    <mergeCell ref="B18:C18"/>
    <mergeCell ref="B7:H7"/>
    <mergeCell ref="B8:H8"/>
    <mergeCell ref="B9:H9"/>
    <mergeCell ref="A10:H10"/>
    <mergeCell ref="A11:A13"/>
    <mergeCell ref="B11:C13"/>
    <mergeCell ref="D11:D12"/>
    <mergeCell ref="E11:E12"/>
    <mergeCell ref="F11:F12"/>
    <mergeCell ref="G11:G12"/>
    <mergeCell ref="H11:H12"/>
    <mergeCell ref="B14:C14"/>
    <mergeCell ref="B15:C15"/>
    <mergeCell ref="B16:C16"/>
    <mergeCell ref="B17:C17"/>
    <mergeCell ref="B30:C30"/>
    <mergeCell ref="B19:C19"/>
    <mergeCell ref="B20:C20"/>
    <mergeCell ref="B21:C21"/>
    <mergeCell ref="B22:C22"/>
    <mergeCell ref="B23:C23"/>
    <mergeCell ref="B24:C24"/>
    <mergeCell ref="B25:C25"/>
    <mergeCell ref="B26:C26"/>
    <mergeCell ref="B27:C27"/>
    <mergeCell ref="B28:C28"/>
    <mergeCell ref="B29:C29"/>
    <mergeCell ref="B42:C42"/>
    <mergeCell ref="B31:C31"/>
    <mergeCell ref="B32:C32"/>
    <mergeCell ref="B33:C33"/>
    <mergeCell ref="B34:C34"/>
    <mergeCell ref="B35:C35"/>
    <mergeCell ref="B36:C36"/>
    <mergeCell ref="B37:C37"/>
    <mergeCell ref="B38:C38"/>
    <mergeCell ref="B39:C39"/>
    <mergeCell ref="B40:C40"/>
    <mergeCell ref="B41:C41"/>
    <mergeCell ref="B54:C54"/>
    <mergeCell ref="B43:C43"/>
    <mergeCell ref="B44:C44"/>
    <mergeCell ref="B45:C45"/>
    <mergeCell ref="B46:C46"/>
    <mergeCell ref="B47:C47"/>
    <mergeCell ref="B48:C48"/>
    <mergeCell ref="B49:C49"/>
    <mergeCell ref="B50:C50"/>
    <mergeCell ref="B51:C51"/>
    <mergeCell ref="B52:C52"/>
    <mergeCell ref="B53:C53"/>
    <mergeCell ref="B61:C61"/>
    <mergeCell ref="B62:C62"/>
    <mergeCell ref="B63:C63"/>
    <mergeCell ref="A64:C64"/>
    <mergeCell ref="B55:C55"/>
    <mergeCell ref="B56:C56"/>
    <mergeCell ref="B57:C57"/>
    <mergeCell ref="B58:C58"/>
    <mergeCell ref="B59:C59"/>
    <mergeCell ref="B60:C60"/>
  </mergeCells>
  <printOptions horizontalCentered="1"/>
  <pageMargins left="0.7" right="0.7" top="0.75" bottom="0.75" header="0.3" footer="0.3"/>
  <pageSetup paperSize="9" scale="61" firstPageNumber="25" fitToHeight="0" orientation="portrait" useFirstPageNumber="1" r:id="rId1"/>
  <headerFooter scaleWithDoc="0"/>
  <drawing r:id="rId2"/>
</worksheet>
</file>

<file path=xl/worksheets/sheet31.xml><?xml version="1.0" encoding="utf-8"?>
<worksheet xmlns="http://schemas.openxmlformats.org/spreadsheetml/2006/main" xmlns:r="http://schemas.openxmlformats.org/officeDocument/2006/relationships">
  <sheetPr codeName="Plan24">
    <tabColor theme="1" tint="0.34998626667073579"/>
    <pageSetUpPr fitToPage="1"/>
  </sheetPr>
  <dimension ref="A1:HU78"/>
  <sheetViews>
    <sheetView showGridLines="0" view="pageBreakPreview" zoomScaleNormal="115" zoomScaleSheetLayoutView="100" workbookViewId="0">
      <selection activeCell="B9" sqref="B9:F9"/>
    </sheetView>
  </sheetViews>
  <sheetFormatPr defaultColWidth="9.140625" defaultRowHeight="15"/>
  <cols>
    <col min="2" max="2" width="6" customWidth="1"/>
    <col min="3" max="3" width="46.140625" customWidth="1"/>
    <col min="4" max="12" width="15.7109375" customWidth="1"/>
  </cols>
  <sheetData>
    <row r="1" spans="1:12" s="533" customFormat="1" ht="18">
      <c r="A1" s="1937" t="s">
        <v>2996</v>
      </c>
      <c r="B1" s="1938" t="s">
        <v>2996</v>
      </c>
      <c r="C1" s="1938" t="s">
        <v>2996</v>
      </c>
      <c r="D1" s="1938"/>
      <c r="E1" s="1938"/>
      <c r="F1" s="1938"/>
      <c r="G1" s="1938"/>
      <c r="H1" s="1938"/>
      <c r="I1" s="1938"/>
      <c r="J1" s="1938"/>
      <c r="K1" s="1938"/>
      <c r="L1" s="1939"/>
    </row>
    <row r="2" spans="1:12" s="533" customFormat="1" ht="14.25">
      <c r="A2" s="1940" t="s">
        <v>2997</v>
      </c>
      <c r="B2" s="1913" t="s">
        <v>13994</v>
      </c>
      <c r="C2" s="1913" t="s">
        <v>13994</v>
      </c>
      <c r="D2" s="1913"/>
      <c r="E2" s="1913"/>
      <c r="F2" s="1913"/>
      <c r="G2" s="1913"/>
      <c r="H2" s="1913"/>
      <c r="I2" s="1913"/>
      <c r="J2" s="1913"/>
      <c r="K2" s="1913"/>
      <c r="L2" s="1941"/>
    </row>
    <row r="3" spans="1:12" s="533" customFormat="1" ht="14.25">
      <c r="A3" s="1942" t="s">
        <v>2998</v>
      </c>
      <c r="B3" s="1916" t="s">
        <v>13995</v>
      </c>
      <c r="C3" s="1916" t="s">
        <v>13995</v>
      </c>
      <c r="D3" s="1916"/>
      <c r="E3" s="1916"/>
      <c r="F3" s="1916"/>
      <c r="G3" s="1916"/>
      <c r="H3" s="1916"/>
      <c r="I3" s="1916"/>
      <c r="J3" s="1916"/>
      <c r="K3" s="1916"/>
      <c r="L3" s="1943"/>
    </row>
    <row r="4" spans="1:12" s="533" customFormat="1" ht="14.25">
      <c r="A4" s="1942" t="s">
        <v>3063</v>
      </c>
      <c r="B4" s="1916" t="s">
        <v>3063</v>
      </c>
      <c r="C4" s="1916" t="s">
        <v>3063</v>
      </c>
      <c r="D4" s="1916"/>
      <c r="E4" s="1916"/>
      <c r="F4" s="1916"/>
      <c r="G4" s="1916"/>
      <c r="H4" s="1916"/>
      <c r="I4" s="1916"/>
      <c r="J4" s="1916"/>
      <c r="K4" s="1916"/>
      <c r="L4" s="1943"/>
    </row>
    <row r="5" spans="1:12" s="533" customFormat="1" ht="14.25">
      <c r="A5" s="1942" t="s">
        <v>2999</v>
      </c>
      <c r="B5" s="1916" t="s">
        <v>2999</v>
      </c>
      <c r="C5" s="1916" t="s">
        <v>2999</v>
      </c>
      <c r="D5" s="1916"/>
      <c r="E5" s="1916"/>
      <c r="F5" s="1916"/>
      <c r="G5" s="1916"/>
      <c r="H5" s="1916"/>
      <c r="I5" s="1916"/>
      <c r="J5" s="1916"/>
      <c r="K5" s="1916"/>
      <c r="L5" s="1943"/>
    </row>
    <row r="6" spans="1:12" s="533" customFormat="1" ht="15" customHeight="1">
      <c r="A6" s="1245" t="s">
        <v>6</v>
      </c>
      <c r="B6" s="1907" t="str">
        <f>'REMOÇÃO DE PAV. ADUTORA'!B6:F6</f>
        <v xml:space="preserve">SISTEMA DE ABASTECIMENTO DE ÁGUA </v>
      </c>
      <c r="C6" s="1907"/>
      <c r="D6" s="1907"/>
      <c r="E6" s="1907"/>
      <c r="F6" s="1907"/>
      <c r="G6" s="1907"/>
      <c r="H6" s="1907"/>
      <c r="I6" s="1907"/>
      <c r="J6" s="1907"/>
      <c r="K6" s="1907"/>
      <c r="L6" s="1936"/>
    </row>
    <row r="7" spans="1:12" s="533" customFormat="1" ht="14.25">
      <c r="A7" s="1246" t="s">
        <v>8</v>
      </c>
      <c r="B7" s="1888" t="str">
        <f>'REMOÇÃO DE PAV. ADUTORA'!B7:F7</f>
        <v>SETOR PIONEIRO - MUNICÍPIO DE APIACÁS</v>
      </c>
      <c r="C7" s="1889"/>
      <c r="D7" s="1889"/>
      <c r="E7" s="1889"/>
      <c r="F7" s="1889"/>
      <c r="G7" s="1889"/>
      <c r="H7" s="1889"/>
      <c r="I7" s="1889"/>
      <c r="J7" s="1889"/>
      <c r="K7" s="1889"/>
      <c r="L7" s="1929"/>
    </row>
    <row r="8" spans="1:12" s="533" customFormat="1" ht="14.25">
      <c r="A8" s="1246" t="s">
        <v>13672</v>
      </c>
      <c r="B8" s="1889" t="str">
        <f>'REMOÇÃO DE PAV. ADUTORA'!B8:F8</f>
        <v>PREFEITURA MUNICIPAL DE APIACÁS</v>
      </c>
      <c r="C8" s="1889"/>
      <c r="D8" s="1889"/>
      <c r="E8" s="1889"/>
      <c r="F8" s="1889"/>
      <c r="G8" s="1889"/>
      <c r="H8" s="1889"/>
      <c r="I8" s="1889"/>
      <c r="J8" s="1889"/>
      <c r="K8" s="1889"/>
      <c r="L8" s="1929"/>
    </row>
    <row r="9" spans="1:12" s="533" customFormat="1" ht="15.75" customHeight="1">
      <c r="A9" s="1247" t="s">
        <v>3064</v>
      </c>
      <c r="B9" s="1891">
        <f ca="1">'REMOÇÃO DE PAV. ADUTORA'!B9:F9</f>
        <v>45167</v>
      </c>
      <c r="C9" s="1930"/>
      <c r="D9" s="1930"/>
      <c r="E9" s="1930"/>
      <c r="F9" s="1930"/>
      <c r="G9" s="1930"/>
      <c r="H9" s="1930"/>
      <c r="I9" s="1930"/>
      <c r="J9" s="1930"/>
      <c r="K9" s="1930"/>
      <c r="L9" s="1931"/>
    </row>
    <row r="10" spans="1:12" s="533" customFormat="1" ht="22.5" customHeight="1">
      <c r="A10" s="1932" t="s">
        <v>14215</v>
      </c>
      <c r="B10" s="1895"/>
      <c r="C10" s="1895"/>
      <c r="D10" s="1895"/>
      <c r="E10" s="1895"/>
      <c r="F10" s="1895"/>
      <c r="G10" s="1895"/>
      <c r="H10" s="1895"/>
      <c r="I10" s="1895"/>
      <c r="J10" s="1895"/>
      <c r="K10" s="1895"/>
      <c r="L10" s="1933"/>
    </row>
    <row r="11" spans="1:12" s="533" customFormat="1" ht="22.5" customHeight="1">
      <c r="A11" s="1932" t="s">
        <v>14048</v>
      </c>
      <c r="B11" s="1895"/>
      <c r="C11" s="1895"/>
      <c r="D11" s="1895"/>
      <c r="E11" s="1895"/>
      <c r="F11" s="1895"/>
      <c r="G11" s="1895"/>
      <c r="H11" s="1895"/>
      <c r="I11" s="1895"/>
      <c r="J11" s="1895"/>
      <c r="K11" s="1895"/>
      <c r="L11" s="1933"/>
    </row>
    <row r="12" spans="1:12" s="533" customFormat="1" ht="40.5" customHeight="1">
      <c r="A12" s="1959" t="s">
        <v>11</v>
      </c>
      <c r="B12" s="1960" t="s">
        <v>13997</v>
      </c>
      <c r="C12" s="1960"/>
      <c r="D12" s="1926" t="s">
        <v>14049</v>
      </c>
      <c r="E12" s="1961" t="s">
        <v>14050</v>
      </c>
      <c r="F12" s="1923" t="s">
        <v>14051</v>
      </c>
      <c r="G12" s="1954" t="s">
        <v>14052</v>
      </c>
      <c r="H12" s="1955"/>
      <c r="I12" s="1954" t="s">
        <v>14053</v>
      </c>
      <c r="J12" s="1955"/>
      <c r="K12" s="1956" t="s">
        <v>14034</v>
      </c>
      <c r="L12" s="1957"/>
    </row>
    <row r="13" spans="1:12" s="535" customFormat="1" ht="12.75" customHeight="1">
      <c r="A13" s="1959"/>
      <c r="B13" s="1960"/>
      <c r="C13" s="1960"/>
      <c r="D13" s="1926"/>
      <c r="E13" s="1962"/>
      <c r="F13" s="1924"/>
      <c r="G13" s="1958" t="s">
        <v>14013</v>
      </c>
      <c r="H13" s="1923" t="s">
        <v>14054</v>
      </c>
      <c r="I13" s="1958" t="s">
        <v>14013</v>
      </c>
      <c r="J13" s="1923" t="s">
        <v>14054</v>
      </c>
      <c r="K13" s="1958" t="s">
        <v>14013</v>
      </c>
      <c r="L13" s="1923" t="s">
        <v>14054</v>
      </c>
    </row>
    <row r="14" spans="1:12" s="535" customFormat="1" ht="12.75">
      <c r="A14" s="1959"/>
      <c r="B14" s="1960"/>
      <c r="C14" s="1960"/>
      <c r="D14" s="1926"/>
      <c r="E14" s="1272" t="s">
        <v>14055</v>
      </c>
      <c r="F14" s="1232" t="s">
        <v>14055</v>
      </c>
      <c r="G14" s="1925"/>
      <c r="H14" s="1925"/>
      <c r="I14" s="1925"/>
      <c r="J14" s="1925"/>
      <c r="K14" s="1925"/>
      <c r="L14" s="1925"/>
    </row>
    <row r="15" spans="1:12" s="535" customFormat="1" ht="22.5" customHeight="1">
      <c r="A15" s="1959"/>
      <c r="B15" s="1960"/>
      <c r="C15" s="1960"/>
      <c r="D15" s="1191" t="s">
        <v>3378</v>
      </c>
      <c r="E15" s="1273" t="s">
        <v>14015</v>
      </c>
      <c r="F15" s="1233" t="s">
        <v>14015</v>
      </c>
      <c r="G15" s="1233" t="s">
        <v>14016</v>
      </c>
      <c r="H15" s="1233" t="s">
        <v>14056</v>
      </c>
      <c r="I15" s="1233" t="s">
        <v>14016</v>
      </c>
      <c r="J15" s="1233" t="s">
        <v>14056</v>
      </c>
      <c r="K15" s="1233" t="s">
        <v>14016</v>
      </c>
      <c r="L15" s="1233" t="s">
        <v>14056</v>
      </c>
    </row>
    <row r="16" spans="1:12" s="535" customFormat="1" ht="20.100000000000001" customHeight="1">
      <c r="A16" s="1267">
        <v>1</v>
      </c>
      <c r="B16" s="1884" t="s">
        <v>14159</v>
      </c>
      <c r="C16" s="1885"/>
      <c r="D16" s="1268">
        <v>48.12</v>
      </c>
      <c r="E16" s="1274">
        <v>7.3000000000000001E-3</v>
      </c>
      <c r="F16" s="1274">
        <v>1.4999999999999999E-2</v>
      </c>
      <c r="G16" s="1275">
        <v>30</v>
      </c>
      <c r="H16" s="1276">
        <f>TRUNC(((D16*F16*G16)+(D16*E16*G16)),3)</f>
        <v>32.192</v>
      </c>
      <c r="I16" s="1275">
        <v>138</v>
      </c>
      <c r="J16" s="1276">
        <f>TRUNC(((D16*F16*I16)+(D16*E16*I16)),3)</f>
        <v>148.084</v>
      </c>
      <c r="K16" s="1275">
        <v>0</v>
      </c>
      <c r="L16" s="1276">
        <f>TRUNC((($D$16*$F$16*K16)+($D$16*$E$16*K16)),3)</f>
        <v>0</v>
      </c>
    </row>
    <row r="17" spans="1:12" s="535" customFormat="1" ht="20.100000000000001" customHeight="1">
      <c r="A17" s="1267">
        <f>A16+1</f>
        <v>2</v>
      </c>
      <c r="B17" s="1884" t="s">
        <v>14160</v>
      </c>
      <c r="C17" s="1885"/>
      <c r="D17" s="1268">
        <v>20.47</v>
      </c>
      <c r="E17" s="1274">
        <v>7.3000000000000001E-3</v>
      </c>
      <c r="F17" s="1274">
        <v>1.4999999999999999E-2</v>
      </c>
      <c r="G17" s="1275">
        <v>30</v>
      </c>
      <c r="H17" s="1276">
        <f t="shared" ref="H17:H65" si="0">TRUNC(((D17*F17*G17)+(D17*E17*G17)),3)</f>
        <v>13.694000000000001</v>
      </c>
      <c r="I17" s="1275">
        <v>138</v>
      </c>
      <c r="J17" s="1276">
        <f t="shared" ref="J17:J65" si="1">TRUNC(((D17*F17*I17)+(D17*E17*I17)),3)</f>
        <v>62.994</v>
      </c>
      <c r="K17" s="1275">
        <v>0</v>
      </c>
      <c r="L17" s="1276">
        <f t="shared" ref="L17:L65" si="2">TRUNC(((D17*F17*K17)+(D17*E17*K17)),3)</f>
        <v>0</v>
      </c>
    </row>
    <row r="18" spans="1:12" s="535" customFormat="1" ht="20.100000000000001" customHeight="1">
      <c r="A18" s="1267">
        <f t="shared" ref="A18:A65" si="3">A17+1</f>
        <v>3</v>
      </c>
      <c r="B18" s="1884" t="s">
        <v>14161</v>
      </c>
      <c r="C18" s="1885"/>
      <c r="D18" s="1268">
        <v>44.92</v>
      </c>
      <c r="E18" s="1274">
        <v>7.3000000000000001E-3</v>
      </c>
      <c r="F18" s="1274">
        <v>1.4999999999999999E-2</v>
      </c>
      <c r="G18" s="1275">
        <v>30</v>
      </c>
      <c r="H18" s="1276">
        <f t="shared" si="0"/>
        <v>30.050999999999998</v>
      </c>
      <c r="I18" s="1275">
        <v>138</v>
      </c>
      <c r="J18" s="1276">
        <f t="shared" si="1"/>
        <v>138.23599999999999</v>
      </c>
      <c r="K18" s="1275">
        <v>0</v>
      </c>
      <c r="L18" s="1276">
        <f t="shared" si="2"/>
        <v>0</v>
      </c>
    </row>
    <row r="19" spans="1:12" s="535" customFormat="1" ht="20.100000000000001" customHeight="1">
      <c r="A19" s="1267">
        <f t="shared" si="3"/>
        <v>4</v>
      </c>
      <c r="B19" s="1884" t="s">
        <v>14162</v>
      </c>
      <c r="C19" s="1885"/>
      <c r="D19" s="1268">
        <v>82.84</v>
      </c>
      <c r="E19" s="1274">
        <v>7.3000000000000001E-3</v>
      </c>
      <c r="F19" s="1274">
        <v>1.4999999999999999E-2</v>
      </c>
      <c r="G19" s="1275">
        <v>30</v>
      </c>
      <c r="H19" s="1276">
        <f t="shared" si="0"/>
        <v>55.418999999999997</v>
      </c>
      <c r="I19" s="1275">
        <v>138</v>
      </c>
      <c r="J19" s="1276">
        <f t="shared" si="1"/>
        <v>254.93100000000001</v>
      </c>
      <c r="K19" s="1275">
        <v>0</v>
      </c>
      <c r="L19" s="1276">
        <f t="shared" si="2"/>
        <v>0</v>
      </c>
    </row>
    <row r="20" spans="1:12" s="535" customFormat="1" ht="20.100000000000001" customHeight="1">
      <c r="A20" s="1267">
        <f t="shared" si="3"/>
        <v>5</v>
      </c>
      <c r="B20" s="1884" t="s">
        <v>14163</v>
      </c>
      <c r="C20" s="1885"/>
      <c r="D20" s="1268">
        <v>73.69</v>
      </c>
      <c r="E20" s="1274">
        <v>7.3000000000000001E-3</v>
      </c>
      <c r="F20" s="1274">
        <v>1.4999999999999999E-2</v>
      </c>
      <c r="G20" s="1275">
        <v>30</v>
      </c>
      <c r="H20" s="1276">
        <f t="shared" si="0"/>
        <v>49.298000000000002</v>
      </c>
      <c r="I20" s="1275">
        <v>138</v>
      </c>
      <c r="J20" s="1276">
        <f t="shared" si="1"/>
        <v>226.773</v>
      </c>
      <c r="K20" s="1275">
        <v>0</v>
      </c>
      <c r="L20" s="1276">
        <f t="shared" si="2"/>
        <v>0</v>
      </c>
    </row>
    <row r="21" spans="1:12" s="535" customFormat="1" ht="20.100000000000001" customHeight="1">
      <c r="A21" s="1267">
        <f t="shared" si="3"/>
        <v>6</v>
      </c>
      <c r="B21" s="1884" t="s">
        <v>14164</v>
      </c>
      <c r="C21" s="1885"/>
      <c r="D21" s="1268">
        <v>73.19</v>
      </c>
      <c r="E21" s="1274">
        <v>7.3000000000000001E-3</v>
      </c>
      <c r="F21" s="1274">
        <v>1.4999999999999999E-2</v>
      </c>
      <c r="G21" s="1275">
        <v>30</v>
      </c>
      <c r="H21" s="1276">
        <f t="shared" si="0"/>
        <v>48.963999999999999</v>
      </c>
      <c r="I21" s="1275">
        <v>138</v>
      </c>
      <c r="J21" s="1276">
        <f t="shared" si="1"/>
        <v>225.23400000000001</v>
      </c>
      <c r="K21" s="1275">
        <v>0</v>
      </c>
      <c r="L21" s="1276">
        <f t="shared" si="2"/>
        <v>0</v>
      </c>
    </row>
    <row r="22" spans="1:12" s="535" customFormat="1" ht="20.100000000000001" customHeight="1">
      <c r="A22" s="1267">
        <f t="shared" si="3"/>
        <v>7</v>
      </c>
      <c r="B22" s="1884" t="s">
        <v>14165</v>
      </c>
      <c r="C22" s="1885"/>
      <c r="D22" s="1268">
        <v>75.84</v>
      </c>
      <c r="E22" s="1274">
        <v>7.3000000000000001E-3</v>
      </c>
      <c r="F22" s="1274">
        <v>1.4999999999999999E-2</v>
      </c>
      <c r="G22" s="1275">
        <v>30</v>
      </c>
      <c r="H22" s="1276">
        <f t="shared" si="0"/>
        <v>50.735999999999997</v>
      </c>
      <c r="I22" s="1275">
        <v>138</v>
      </c>
      <c r="J22" s="1276">
        <f t="shared" si="1"/>
        <v>233.39</v>
      </c>
      <c r="K22" s="1275">
        <v>0</v>
      </c>
      <c r="L22" s="1276">
        <f t="shared" si="2"/>
        <v>0</v>
      </c>
    </row>
    <row r="23" spans="1:12" s="535" customFormat="1" ht="20.100000000000001" customHeight="1">
      <c r="A23" s="1267">
        <f t="shared" si="3"/>
        <v>8</v>
      </c>
      <c r="B23" s="1884" t="s">
        <v>14166</v>
      </c>
      <c r="C23" s="1885"/>
      <c r="D23" s="1268">
        <v>75.06</v>
      </c>
      <c r="E23" s="1274">
        <v>7.3000000000000001E-3</v>
      </c>
      <c r="F23" s="1274">
        <v>1.4999999999999999E-2</v>
      </c>
      <c r="G23" s="1275">
        <v>30</v>
      </c>
      <c r="H23" s="1276">
        <f t="shared" si="0"/>
        <v>50.215000000000003</v>
      </c>
      <c r="I23" s="1275">
        <v>138</v>
      </c>
      <c r="J23" s="1276">
        <f t="shared" si="1"/>
        <v>230.989</v>
      </c>
      <c r="K23" s="1275">
        <v>0</v>
      </c>
      <c r="L23" s="1276">
        <f t="shared" si="2"/>
        <v>0</v>
      </c>
    </row>
    <row r="24" spans="1:12" s="535" customFormat="1" ht="20.100000000000001" customHeight="1">
      <c r="A24" s="1267">
        <f t="shared" si="3"/>
        <v>9</v>
      </c>
      <c r="B24" s="1884" t="s">
        <v>14167</v>
      </c>
      <c r="C24" s="1885"/>
      <c r="D24" s="1268">
        <v>47.62</v>
      </c>
      <c r="E24" s="1274">
        <v>7.3000000000000001E-3</v>
      </c>
      <c r="F24" s="1274">
        <v>1.4999999999999999E-2</v>
      </c>
      <c r="G24" s="1275">
        <v>30</v>
      </c>
      <c r="H24" s="1276">
        <f t="shared" si="0"/>
        <v>31.856999999999999</v>
      </c>
      <c r="I24" s="1275">
        <v>138</v>
      </c>
      <c r="J24" s="1276">
        <f t="shared" si="1"/>
        <v>146.54499999999999</v>
      </c>
      <c r="K24" s="1275">
        <v>0</v>
      </c>
      <c r="L24" s="1276">
        <f t="shared" si="2"/>
        <v>0</v>
      </c>
    </row>
    <row r="25" spans="1:12" s="535" customFormat="1" ht="20.100000000000001" customHeight="1">
      <c r="A25" s="1267">
        <f t="shared" si="3"/>
        <v>10</v>
      </c>
      <c r="B25" s="1884" t="s">
        <v>14168</v>
      </c>
      <c r="C25" s="1885"/>
      <c r="D25" s="1268">
        <v>51.8</v>
      </c>
      <c r="E25" s="1274">
        <v>7.3000000000000001E-3</v>
      </c>
      <c r="F25" s="1274">
        <v>1.4999999999999999E-2</v>
      </c>
      <c r="G25" s="1275">
        <v>30</v>
      </c>
      <c r="H25" s="1276">
        <f t="shared" si="0"/>
        <v>34.654000000000003</v>
      </c>
      <c r="I25" s="1275">
        <v>138</v>
      </c>
      <c r="J25" s="1276">
        <f t="shared" si="1"/>
        <v>159.40899999999999</v>
      </c>
      <c r="K25" s="1275">
        <v>0</v>
      </c>
      <c r="L25" s="1276">
        <f t="shared" si="2"/>
        <v>0</v>
      </c>
    </row>
    <row r="26" spans="1:12" s="535" customFormat="1" ht="20.100000000000001" customHeight="1">
      <c r="A26" s="1267">
        <f t="shared" si="3"/>
        <v>11</v>
      </c>
      <c r="B26" s="1884" t="s">
        <v>14169</v>
      </c>
      <c r="C26" s="1885"/>
      <c r="D26" s="1268">
        <v>50.64</v>
      </c>
      <c r="E26" s="1274">
        <v>7.3000000000000001E-3</v>
      </c>
      <c r="F26" s="1274">
        <v>1.4999999999999999E-2</v>
      </c>
      <c r="G26" s="1275">
        <v>30</v>
      </c>
      <c r="H26" s="1276">
        <f t="shared" si="0"/>
        <v>33.878</v>
      </c>
      <c r="I26" s="1275">
        <v>138</v>
      </c>
      <c r="J26" s="1276">
        <f t="shared" si="1"/>
        <v>155.839</v>
      </c>
      <c r="K26" s="1275">
        <v>0</v>
      </c>
      <c r="L26" s="1276">
        <f t="shared" si="2"/>
        <v>0</v>
      </c>
    </row>
    <row r="27" spans="1:12" s="535" customFormat="1" ht="20.100000000000001" customHeight="1">
      <c r="A27" s="1267">
        <f t="shared" si="3"/>
        <v>12</v>
      </c>
      <c r="B27" s="1884" t="s">
        <v>14170</v>
      </c>
      <c r="C27" s="1885"/>
      <c r="D27" s="1268">
        <v>51</v>
      </c>
      <c r="E27" s="1274">
        <v>7.3000000000000001E-3</v>
      </c>
      <c r="F27" s="1274">
        <v>1.4999999999999999E-2</v>
      </c>
      <c r="G27" s="1275">
        <v>30</v>
      </c>
      <c r="H27" s="1276">
        <f t="shared" si="0"/>
        <v>34.119</v>
      </c>
      <c r="I27" s="1275">
        <v>138</v>
      </c>
      <c r="J27" s="1276">
        <f t="shared" si="1"/>
        <v>156.947</v>
      </c>
      <c r="K27" s="1275">
        <v>0</v>
      </c>
      <c r="L27" s="1276">
        <f t="shared" si="2"/>
        <v>0</v>
      </c>
    </row>
    <row r="28" spans="1:12" s="535" customFormat="1" ht="20.100000000000001" customHeight="1">
      <c r="A28" s="1267">
        <f t="shared" si="3"/>
        <v>13</v>
      </c>
      <c r="B28" s="1884" t="s">
        <v>14171</v>
      </c>
      <c r="C28" s="1885"/>
      <c r="D28" s="1268">
        <v>49.11</v>
      </c>
      <c r="E28" s="1274">
        <v>7.3000000000000001E-3</v>
      </c>
      <c r="F28" s="1274">
        <v>1.4999999999999999E-2</v>
      </c>
      <c r="G28" s="1275">
        <v>30</v>
      </c>
      <c r="H28" s="1276">
        <f t="shared" si="0"/>
        <v>32.853999999999999</v>
      </c>
      <c r="I28" s="1275">
        <v>138</v>
      </c>
      <c r="J28" s="1276">
        <f t="shared" si="1"/>
        <v>151.131</v>
      </c>
      <c r="K28" s="1275">
        <v>0</v>
      </c>
      <c r="L28" s="1276">
        <f t="shared" si="2"/>
        <v>0</v>
      </c>
    </row>
    <row r="29" spans="1:12" s="535" customFormat="1" ht="20.100000000000001" customHeight="1">
      <c r="A29" s="1267">
        <f t="shared" si="3"/>
        <v>14</v>
      </c>
      <c r="B29" s="1884" t="s">
        <v>14172</v>
      </c>
      <c r="C29" s="1885"/>
      <c r="D29" s="1268">
        <v>46</v>
      </c>
      <c r="E29" s="1274">
        <v>7.3000000000000001E-3</v>
      </c>
      <c r="F29" s="1274">
        <v>1.4999999999999999E-2</v>
      </c>
      <c r="G29" s="1275">
        <v>30</v>
      </c>
      <c r="H29" s="1276">
        <f t="shared" si="0"/>
        <v>30.774000000000001</v>
      </c>
      <c r="I29" s="1275">
        <v>138</v>
      </c>
      <c r="J29" s="1276">
        <f t="shared" si="1"/>
        <v>141.56</v>
      </c>
      <c r="K29" s="1275">
        <v>0</v>
      </c>
      <c r="L29" s="1276">
        <f t="shared" si="2"/>
        <v>0</v>
      </c>
    </row>
    <row r="30" spans="1:12" s="535" customFormat="1" ht="20.100000000000001" customHeight="1">
      <c r="A30" s="1267">
        <f t="shared" si="3"/>
        <v>15</v>
      </c>
      <c r="B30" s="1884" t="s">
        <v>14173</v>
      </c>
      <c r="C30" s="1885"/>
      <c r="D30" s="1268">
        <v>82.95</v>
      </c>
      <c r="E30" s="1274">
        <v>7.3000000000000001E-3</v>
      </c>
      <c r="F30" s="1274">
        <v>1.4999999999999999E-2</v>
      </c>
      <c r="G30" s="1275">
        <v>30</v>
      </c>
      <c r="H30" s="1276">
        <f t="shared" si="0"/>
        <v>55.493000000000002</v>
      </c>
      <c r="I30" s="1275">
        <v>138</v>
      </c>
      <c r="J30" s="1276">
        <f t="shared" si="1"/>
        <v>255.27</v>
      </c>
      <c r="K30" s="1275">
        <v>0</v>
      </c>
      <c r="L30" s="1276">
        <f t="shared" si="2"/>
        <v>0</v>
      </c>
    </row>
    <row r="31" spans="1:12" s="535" customFormat="1" ht="20.100000000000001" customHeight="1">
      <c r="A31" s="1267">
        <f t="shared" si="3"/>
        <v>16</v>
      </c>
      <c r="B31" s="1884" t="s">
        <v>14174</v>
      </c>
      <c r="C31" s="1885"/>
      <c r="D31" s="1268">
        <v>82.03</v>
      </c>
      <c r="E31" s="1274">
        <v>7.3000000000000001E-3</v>
      </c>
      <c r="F31" s="1274">
        <v>1.4999999999999999E-2</v>
      </c>
      <c r="G31" s="1275">
        <v>30</v>
      </c>
      <c r="H31" s="1276">
        <f t="shared" si="0"/>
        <v>54.878</v>
      </c>
      <c r="I31" s="1275">
        <v>138</v>
      </c>
      <c r="J31" s="1276">
        <f t="shared" si="1"/>
        <v>252.43899999999999</v>
      </c>
      <c r="K31" s="1275">
        <v>0</v>
      </c>
      <c r="L31" s="1276">
        <f t="shared" si="2"/>
        <v>0</v>
      </c>
    </row>
    <row r="32" spans="1:12" s="535" customFormat="1" ht="20.100000000000001" customHeight="1">
      <c r="A32" s="1267">
        <f t="shared" si="3"/>
        <v>17</v>
      </c>
      <c r="B32" s="1884" t="s">
        <v>14175</v>
      </c>
      <c r="C32" s="1885"/>
      <c r="D32" s="1268">
        <v>81.63</v>
      </c>
      <c r="E32" s="1274">
        <v>7.3000000000000001E-3</v>
      </c>
      <c r="F32" s="1274">
        <v>1.4999999999999999E-2</v>
      </c>
      <c r="G32" s="1275">
        <v>30</v>
      </c>
      <c r="H32" s="1276">
        <f t="shared" si="0"/>
        <v>54.61</v>
      </c>
      <c r="I32" s="1275">
        <v>138</v>
      </c>
      <c r="J32" s="1276">
        <f t="shared" si="1"/>
        <v>251.208</v>
      </c>
      <c r="K32" s="1275">
        <v>0</v>
      </c>
      <c r="L32" s="1276">
        <f t="shared" si="2"/>
        <v>0</v>
      </c>
    </row>
    <row r="33" spans="1:12" s="535" customFormat="1" ht="20.100000000000001" customHeight="1">
      <c r="A33" s="1267">
        <f t="shared" si="3"/>
        <v>18</v>
      </c>
      <c r="B33" s="1884" t="s">
        <v>14176</v>
      </c>
      <c r="C33" s="1885"/>
      <c r="D33" s="1268">
        <v>59.29</v>
      </c>
      <c r="E33" s="1274">
        <v>7.3000000000000001E-3</v>
      </c>
      <c r="F33" s="1274">
        <v>1.4999999999999999E-2</v>
      </c>
      <c r="G33" s="1275">
        <v>30</v>
      </c>
      <c r="H33" s="1276">
        <f t="shared" si="0"/>
        <v>39.664999999999999</v>
      </c>
      <c r="I33" s="1275">
        <v>138</v>
      </c>
      <c r="J33" s="1276">
        <f t="shared" si="1"/>
        <v>182.459</v>
      </c>
      <c r="K33" s="1275">
        <v>0</v>
      </c>
      <c r="L33" s="1276">
        <f t="shared" si="2"/>
        <v>0</v>
      </c>
    </row>
    <row r="34" spans="1:12" s="535" customFormat="1" ht="20.100000000000001" customHeight="1">
      <c r="A34" s="1267">
        <f t="shared" si="3"/>
        <v>19</v>
      </c>
      <c r="B34" s="1884" t="s">
        <v>14177</v>
      </c>
      <c r="C34" s="1885"/>
      <c r="D34" s="1268">
        <v>60.59</v>
      </c>
      <c r="E34" s="1274">
        <v>7.3000000000000001E-3</v>
      </c>
      <c r="F34" s="1274">
        <v>1.4999999999999999E-2</v>
      </c>
      <c r="G34" s="1275">
        <v>30</v>
      </c>
      <c r="H34" s="1276">
        <f t="shared" si="0"/>
        <v>40.533999999999999</v>
      </c>
      <c r="I34" s="1275">
        <v>138</v>
      </c>
      <c r="J34" s="1276">
        <f t="shared" si="1"/>
        <v>186.459</v>
      </c>
      <c r="K34" s="1275">
        <v>0</v>
      </c>
      <c r="L34" s="1276">
        <f t="shared" si="2"/>
        <v>0</v>
      </c>
    </row>
    <row r="35" spans="1:12" s="535" customFormat="1" ht="20.100000000000001" customHeight="1">
      <c r="A35" s="1267">
        <f t="shared" si="3"/>
        <v>20</v>
      </c>
      <c r="B35" s="1884" t="s">
        <v>14178</v>
      </c>
      <c r="C35" s="1885"/>
      <c r="D35" s="1268">
        <v>54.72</v>
      </c>
      <c r="E35" s="1274">
        <v>7.3000000000000001E-3</v>
      </c>
      <c r="F35" s="1274">
        <v>1.4999999999999999E-2</v>
      </c>
      <c r="G35" s="1275">
        <v>30</v>
      </c>
      <c r="H35" s="1276">
        <f t="shared" si="0"/>
        <v>36.606999999999999</v>
      </c>
      <c r="I35" s="1275">
        <v>138</v>
      </c>
      <c r="J35" s="1276">
        <f t="shared" si="1"/>
        <v>168.39500000000001</v>
      </c>
      <c r="K35" s="1275">
        <v>0</v>
      </c>
      <c r="L35" s="1276">
        <f t="shared" si="2"/>
        <v>0</v>
      </c>
    </row>
    <row r="36" spans="1:12" s="535" customFormat="1" ht="20.100000000000001" customHeight="1">
      <c r="A36" s="1267">
        <f t="shared" si="3"/>
        <v>21</v>
      </c>
      <c r="B36" s="1884" t="s">
        <v>14179</v>
      </c>
      <c r="C36" s="1885"/>
      <c r="D36" s="1268">
        <v>19.260000000000002</v>
      </c>
      <c r="E36" s="1274">
        <v>7.3000000000000001E-3</v>
      </c>
      <c r="F36" s="1274">
        <v>1.4999999999999999E-2</v>
      </c>
      <c r="G36" s="1275">
        <v>30</v>
      </c>
      <c r="H36" s="1276">
        <f t="shared" si="0"/>
        <v>12.884</v>
      </c>
      <c r="I36" s="1275">
        <v>138</v>
      </c>
      <c r="J36" s="1276">
        <f t="shared" si="1"/>
        <v>59.27</v>
      </c>
      <c r="K36" s="1275">
        <v>0</v>
      </c>
      <c r="L36" s="1276">
        <f t="shared" si="2"/>
        <v>0</v>
      </c>
    </row>
    <row r="37" spans="1:12" s="535" customFormat="1" ht="20.100000000000001" customHeight="1">
      <c r="A37" s="1267">
        <f t="shared" si="3"/>
        <v>22</v>
      </c>
      <c r="B37" s="1884" t="s">
        <v>14180</v>
      </c>
      <c r="C37" s="1885"/>
      <c r="D37" s="1268">
        <v>54.66</v>
      </c>
      <c r="E37" s="1274">
        <v>7.3000000000000001E-3</v>
      </c>
      <c r="F37" s="1274">
        <v>1.4999999999999999E-2</v>
      </c>
      <c r="G37" s="1275">
        <v>30</v>
      </c>
      <c r="H37" s="1276">
        <f t="shared" si="0"/>
        <v>36.567</v>
      </c>
      <c r="I37" s="1275">
        <v>138</v>
      </c>
      <c r="J37" s="1276">
        <f t="shared" si="1"/>
        <v>168.21</v>
      </c>
      <c r="K37" s="1275">
        <v>0</v>
      </c>
      <c r="L37" s="1276">
        <f t="shared" si="2"/>
        <v>0</v>
      </c>
    </row>
    <row r="38" spans="1:12" s="535" customFormat="1" ht="20.100000000000001" customHeight="1">
      <c r="A38" s="1267">
        <f t="shared" si="3"/>
        <v>23</v>
      </c>
      <c r="B38" s="1884" t="s">
        <v>14181</v>
      </c>
      <c r="C38" s="1885"/>
      <c r="D38" s="1268">
        <v>20.46</v>
      </c>
      <c r="E38" s="1274">
        <v>7.3000000000000001E-3</v>
      </c>
      <c r="F38" s="1274">
        <v>1.4999999999999999E-2</v>
      </c>
      <c r="G38" s="1275">
        <v>30</v>
      </c>
      <c r="H38" s="1276">
        <f t="shared" si="0"/>
        <v>13.686999999999999</v>
      </c>
      <c r="I38" s="1275">
        <v>138</v>
      </c>
      <c r="J38" s="1276">
        <f t="shared" si="1"/>
        <v>62.963000000000001</v>
      </c>
      <c r="K38" s="1275">
        <v>0</v>
      </c>
      <c r="L38" s="1276">
        <f t="shared" si="2"/>
        <v>0</v>
      </c>
    </row>
    <row r="39" spans="1:12" s="535" customFormat="1" ht="20.100000000000001" customHeight="1">
      <c r="A39" s="1267">
        <f t="shared" si="3"/>
        <v>24</v>
      </c>
      <c r="B39" s="1884" t="s">
        <v>14182</v>
      </c>
      <c r="C39" s="1885"/>
      <c r="D39" s="1268">
        <v>67.150000000000006</v>
      </c>
      <c r="E39" s="1274">
        <v>7.3000000000000001E-3</v>
      </c>
      <c r="F39" s="1274">
        <v>1.4999999999999999E-2</v>
      </c>
      <c r="G39" s="1275">
        <v>30</v>
      </c>
      <c r="H39" s="1276">
        <f t="shared" si="0"/>
        <v>44.923000000000002</v>
      </c>
      <c r="I39" s="1275">
        <v>138</v>
      </c>
      <c r="J39" s="1276">
        <f t="shared" si="1"/>
        <v>206.64699999999999</v>
      </c>
      <c r="K39" s="1275">
        <v>0</v>
      </c>
      <c r="L39" s="1276">
        <f t="shared" si="2"/>
        <v>0</v>
      </c>
    </row>
    <row r="40" spans="1:12" s="535" customFormat="1" ht="20.100000000000001" customHeight="1">
      <c r="A40" s="1267">
        <f t="shared" si="3"/>
        <v>25</v>
      </c>
      <c r="B40" s="1884" t="s">
        <v>14183</v>
      </c>
      <c r="C40" s="1885"/>
      <c r="D40" s="1268">
        <v>48.97</v>
      </c>
      <c r="E40" s="1274">
        <v>7.3000000000000001E-3</v>
      </c>
      <c r="F40" s="1274">
        <v>1.4999999999999999E-2</v>
      </c>
      <c r="G40" s="1275">
        <v>30</v>
      </c>
      <c r="H40" s="1276">
        <f t="shared" si="0"/>
        <v>32.76</v>
      </c>
      <c r="I40" s="1275">
        <v>138</v>
      </c>
      <c r="J40" s="1276">
        <f t="shared" si="1"/>
        <v>150.69999999999999</v>
      </c>
      <c r="K40" s="1275">
        <v>0</v>
      </c>
      <c r="L40" s="1276">
        <f t="shared" si="2"/>
        <v>0</v>
      </c>
    </row>
    <row r="41" spans="1:12" s="535" customFormat="1" ht="20.100000000000001" customHeight="1">
      <c r="A41" s="1267">
        <f t="shared" si="3"/>
        <v>26</v>
      </c>
      <c r="B41" s="1884" t="s">
        <v>14184</v>
      </c>
      <c r="C41" s="1885"/>
      <c r="D41" s="1268">
        <v>50.71</v>
      </c>
      <c r="E41" s="1274">
        <v>7.3000000000000001E-3</v>
      </c>
      <c r="F41" s="1274">
        <v>1.4999999999999999E-2</v>
      </c>
      <c r="G41" s="1275">
        <v>30</v>
      </c>
      <c r="H41" s="1276">
        <f t="shared" si="0"/>
        <v>33.923999999999999</v>
      </c>
      <c r="I41" s="1275">
        <v>138</v>
      </c>
      <c r="J41" s="1276">
        <f t="shared" si="1"/>
        <v>156.054</v>
      </c>
      <c r="K41" s="1275">
        <v>0</v>
      </c>
      <c r="L41" s="1276">
        <f t="shared" si="2"/>
        <v>0</v>
      </c>
    </row>
    <row r="42" spans="1:12" s="535" customFormat="1" ht="20.100000000000001" customHeight="1">
      <c r="A42" s="1267">
        <f t="shared" si="3"/>
        <v>27</v>
      </c>
      <c r="B42" s="1884" t="s">
        <v>14185</v>
      </c>
      <c r="C42" s="1885"/>
      <c r="D42" s="1268">
        <v>48.64</v>
      </c>
      <c r="E42" s="1274">
        <v>7.3000000000000001E-3</v>
      </c>
      <c r="F42" s="1274">
        <v>1.4999999999999999E-2</v>
      </c>
      <c r="G42" s="1275">
        <v>30</v>
      </c>
      <c r="H42" s="1276">
        <f t="shared" si="0"/>
        <v>32.54</v>
      </c>
      <c r="I42" s="1275">
        <v>138</v>
      </c>
      <c r="J42" s="1276">
        <f t="shared" si="1"/>
        <v>149.684</v>
      </c>
      <c r="K42" s="1275">
        <v>0</v>
      </c>
      <c r="L42" s="1276">
        <f t="shared" si="2"/>
        <v>0</v>
      </c>
    </row>
    <row r="43" spans="1:12" s="535" customFormat="1" ht="20.100000000000001" customHeight="1">
      <c r="A43" s="1267">
        <f t="shared" si="3"/>
        <v>28</v>
      </c>
      <c r="B43" s="1884" t="s">
        <v>14186</v>
      </c>
      <c r="C43" s="1885"/>
      <c r="D43" s="1268">
        <v>54.2</v>
      </c>
      <c r="E43" s="1274">
        <v>7.3000000000000001E-3</v>
      </c>
      <c r="F43" s="1274">
        <v>1.4999999999999999E-2</v>
      </c>
      <c r="G43" s="1275">
        <v>30</v>
      </c>
      <c r="H43" s="1276">
        <f t="shared" si="0"/>
        <v>36.259</v>
      </c>
      <c r="I43" s="1275">
        <v>138</v>
      </c>
      <c r="J43" s="1276">
        <f t="shared" si="1"/>
        <v>166.79499999999999</v>
      </c>
      <c r="K43" s="1275">
        <v>0</v>
      </c>
      <c r="L43" s="1276">
        <f t="shared" si="2"/>
        <v>0</v>
      </c>
    </row>
    <row r="44" spans="1:12" s="535" customFormat="1" ht="20.100000000000001" customHeight="1">
      <c r="A44" s="1267">
        <f t="shared" si="3"/>
        <v>29</v>
      </c>
      <c r="B44" s="1884" t="s">
        <v>14187</v>
      </c>
      <c r="C44" s="1885"/>
      <c r="D44" s="1268">
        <v>51.39</v>
      </c>
      <c r="E44" s="1274">
        <v>7.3000000000000001E-3</v>
      </c>
      <c r="F44" s="1274">
        <v>1.4999999999999999E-2</v>
      </c>
      <c r="G44" s="1275">
        <v>30</v>
      </c>
      <c r="H44" s="1276">
        <f t="shared" si="0"/>
        <v>34.378999999999998</v>
      </c>
      <c r="I44" s="1275">
        <v>138</v>
      </c>
      <c r="J44" s="1276">
        <f t="shared" si="1"/>
        <v>158.14699999999999</v>
      </c>
      <c r="K44" s="1275">
        <v>0</v>
      </c>
      <c r="L44" s="1276">
        <f t="shared" si="2"/>
        <v>0</v>
      </c>
    </row>
    <row r="45" spans="1:12" s="535" customFormat="1" ht="20.100000000000001" customHeight="1">
      <c r="A45" s="1267">
        <f t="shared" si="3"/>
        <v>30</v>
      </c>
      <c r="B45" s="1884" t="s">
        <v>14188</v>
      </c>
      <c r="C45" s="1885"/>
      <c r="D45" s="1268">
        <v>52.46</v>
      </c>
      <c r="E45" s="1274">
        <v>7.3000000000000001E-3</v>
      </c>
      <c r="F45" s="1274">
        <v>1.4999999999999999E-2</v>
      </c>
      <c r="G45" s="1275">
        <v>30</v>
      </c>
      <c r="H45" s="1276">
        <f t="shared" si="0"/>
        <v>35.094999999999999</v>
      </c>
      <c r="I45" s="1275">
        <v>138</v>
      </c>
      <c r="J45" s="1276">
        <f t="shared" si="1"/>
        <v>161.44</v>
      </c>
      <c r="K45" s="1275">
        <v>0</v>
      </c>
      <c r="L45" s="1276">
        <f t="shared" si="2"/>
        <v>0</v>
      </c>
    </row>
    <row r="46" spans="1:12" s="535" customFormat="1" ht="20.100000000000001" customHeight="1">
      <c r="A46" s="1267">
        <f t="shared" si="3"/>
        <v>31</v>
      </c>
      <c r="B46" s="1884" t="s">
        <v>14189</v>
      </c>
      <c r="C46" s="1885"/>
      <c r="D46" s="1268">
        <v>54.42</v>
      </c>
      <c r="E46" s="1274">
        <v>7.3000000000000001E-3</v>
      </c>
      <c r="F46" s="1274">
        <v>1.4999999999999999E-2</v>
      </c>
      <c r="G46" s="1275">
        <v>30</v>
      </c>
      <c r="H46" s="1276">
        <f t="shared" si="0"/>
        <v>36.405999999999999</v>
      </c>
      <c r="I46" s="1275">
        <v>138</v>
      </c>
      <c r="J46" s="1276">
        <f t="shared" si="1"/>
        <v>167.47200000000001</v>
      </c>
      <c r="K46" s="1275">
        <v>0</v>
      </c>
      <c r="L46" s="1276">
        <f t="shared" si="2"/>
        <v>0</v>
      </c>
    </row>
    <row r="47" spans="1:12" s="535" customFormat="1" ht="20.100000000000001" customHeight="1">
      <c r="A47" s="1267">
        <f t="shared" si="3"/>
        <v>32</v>
      </c>
      <c r="B47" s="1884" t="s">
        <v>14190</v>
      </c>
      <c r="C47" s="1885"/>
      <c r="D47" s="1268">
        <v>46.84</v>
      </c>
      <c r="E47" s="1274">
        <v>7.3000000000000001E-3</v>
      </c>
      <c r="F47" s="1274">
        <v>1.4999999999999999E-2</v>
      </c>
      <c r="G47" s="1275">
        <v>30</v>
      </c>
      <c r="H47" s="1276">
        <f t="shared" si="0"/>
        <v>31.335000000000001</v>
      </c>
      <c r="I47" s="1275">
        <v>138</v>
      </c>
      <c r="J47" s="1276">
        <f t="shared" si="1"/>
        <v>144.14500000000001</v>
      </c>
      <c r="K47" s="1275">
        <v>0</v>
      </c>
      <c r="L47" s="1276">
        <f t="shared" si="2"/>
        <v>0</v>
      </c>
    </row>
    <row r="48" spans="1:12" s="535" customFormat="1" ht="20.100000000000001" customHeight="1">
      <c r="A48" s="1267">
        <f t="shared" si="3"/>
        <v>33</v>
      </c>
      <c r="B48" s="1884" t="s">
        <v>14191</v>
      </c>
      <c r="C48" s="1885"/>
      <c r="D48" s="1268">
        <v>50.72</v>
      </c>
      <c r="E48" s="1274">
        <v>7.3000000000000001E-3</v>
      </c>
      <c r="F48" s="1274">
        <v>1.4999999999999999E-2</v>
      </c>
      <c r="G48" s="1275">
        <v>30</v>
      </c>
      <c r="H48" s="1276">
        <f t="shared" si="0"/>
        <v>33.930999999999997</v>
      </c>
      <c r="I48" s="1275">
        <v>138</v>
      </c>
      <c r="J48" s="1276">
        <f t="shared" si="1"/>
        <v>156.08500000000001</v>
      </c>
      <c r="K48" s="1275">
        <v>0</v>
      </c>
      <c r="L48" s="1276">
        <f t="shared" si="2"/>
        <v>0</v>
      </c>
    </row>
    <row r="49" spans="1:12" s="535" customFormat="1" ht="20.100000000000001" customHeight="1">
      <c r="A49" s="1267">
        <f t="shared" si="3"/>
        <v>34</v>
      </c>
      <c r="B49" s="1884" t="s">
        <v>14192</v>
      </c>
      <c r="C49" s="1885"/>
      <c r="D49" s="1268">
        <v>48.58</v>
      </c>
      <c r="E49" s="1274">
        <v>7.3000000000000001E-3</v>
      </c>
      <c r="F49" s="1274">
        <v>1.4999999999999999E-2</v>
      </c>
      <c r="G49" s="1275">
        <v>30</v>
      </c>
      <c r="H49" s="1276">
        <f t="shared" si="0"/>
        <v>32.5</v>
      </c>
      <c r="I49" s="1275">
        <v>138</v>
      </c>
      <c r="J49" s="1276">
        <f t="shared" si="1"/>
        <v>149.5</v>
      </c>
      <c r="K49" s="1275">
        <v>0</v>
      </c>
      <c r="L49" s="1276">
        <f t="shared" si="2"/>
        <v>0</v>
      </c>
    </row>
    <row r="50" spans="1:12" s="535" customFormat="1" ht="20.100000000000001" customHeight="1">
      <c r="A50" s="1267">
        <f t="shared" si="3"/>
        <v>35</v>
      </c>
      <c r="B50" s="1884" t="s">
        <v>14193</v>
      </c>
      <c r="C50" s="1885"/>
      <c r="D50" s="1268">
        <v>16.079999999999998</v>
      </c>
      <c r="E50" s="1274">
        <v>7.3000000000000001E-3</v>
      </c>
      <c r="F50" s="1274">
        <v>1.4999999999999999E-2</v>
      </c>
      <c r="G50" s="1275">
        <v>30</v>
      </c>
      <c r="H50" s="1276">
        <f t="shared" si="0"/>
        <v>10.757</v>
      </c>
      <c r="I50" s="1275">
        <v>138</v>
      </c>
      <c r="J50" s="1276">
        <f t="shared" si="1"/>
        <v>49.484000000000002</v>
      </c>
      <c r="K50" s="1275">
        <v>0</v>
      </c>
      <c r="L50" s="1276">
        <f t="shared" si="2"/>
        <v>0</v>
      </c>
    </row>
    <row r="51" spans="1:12" s="535" customFormat="1" ht="20.100000000000001" customHeight="1">
      <c r="A51" s="1267">
        <f t="shared" si="3"/>
        <v>36</v>
      </c>
      <c r="B51" s="1884" t="s">
        <v>14194</v>
      </c>
      <c r="C51" s="1885"/>
      <c r="D51" s="1268">
        <v>101.38</v>
      </c>
      <c r="E51" s="1274">
        <v>7.3000000000000001E-3</v>
      </c>
      <c r="F51" s="1274">
        <v>1.4999999999999999E-2</v>
      </c>
      <c r="G51" s="1275">
        <v>30</v>
      </c>
      <c r="H51" s="1276">
        <f t="shared" si="0"/>
        <v>67.822999999999993</v>
      </c>
      <c r="I51" s="1275">
        <v>138</v>
      </c>
      <c r="J51" s="1276">
        <f t="shared" si="1"/>
        <v>311.98599999999999</v>
      </c>
      <c r="K51" s="1275">
        <v>0</v>
      </c>
      <c r="L51" s="1276">
        <f t="shared" si="2"/>
        <v>0</v>
      </c>
    </row>
    <row r="52" spans="1:12" s="535" customFormat="1" ht="20.100000000000001" customHeight="1">
      <c r="A52" s="1267">
        <f t="shared" si="3"/>
        <v>37</v>
      </c>
      <c r="B52" s="1884" t="s">
        <v>14195</v>
      </c>
      <c r="C52" s="1885"/>
      <c r="D52" s="1268">
        <v>81.209999999999994</v>
      </c>
      <c r="E52" s="1274">
        <v>7.3000000000000001E-3</v>
      </c>
      <c r="F52" s="1274">
        <v>1.4999999999999999E-2</v>
      </c>
      <c r="G52" s="1275">
        <v>30</v>
      </c>
      <c r="H52" s="1276">
        <f t="shared" si="0"/>
        <v>54.329000000000001</v>
      </c>
      <c r="I52" s="1275">
        <v>138</v>
      </c>
      <c r="J52" s="1276">
        <f t="shared" si="1"/>
        <v>249.91499999999999</v>
      </c>
      <c r="K52" s="1275">
        <v>0</v>
      </c>
      <c r="L52" s="1276">
        <f t="shared" si="2"/>
        <v>0</v>
      </c>
    </row>
    <row r="53" spans="1:12" s="535" customFormat="1" ht="20.100000000000001" customHeight="1">
      <c r="A53" s="1267">
        <f t="shared" si="3"/>
        <v>38</v>
      </c>
      <c r="B53" s="1884" t="s">
        <v>14196</v>
      </c>
      <c r="C53" s="1885"/>
      <c r="D53" s="1268">
        <v>58.57</v>
      </c>
      <c r="E53" s="1274">
        <v>7.3000000000000001E-3</v>
      </c>
      <c r="F53" s="1274">
        <v>1.4999999999999999E-2</v>
      </c>
      <c r="G53" s="1275">
        <v>30</v>
      </c>
      <c r="H53" s="1276">
        <f t="shared" si="0"/>
        <v>39.183</v>
      </c>
      <c r="I53" s="1275">
        <v>138</v>
      </c>
      <c r="J53" s="1276">
        <f t="shared" si="1"/>
        <v>180.24299999999999</v>
      </c>
      <c r="K53" s="1275">
        <v>0</v>
      </c>
      <c r="L53" s="1276">
        <f t="shared" si="2"/>
        <v>0</v>
      </c>
    </row>
    <row r="54" spans="1:12" s="535" customFormat="1" ht="20.100000000000001" customHeight="1">
      <c r="A54" s="1267">
        <f t="shared" si="3"/>
        <v>39</v>
      </c>
      <c r="B54" s="1884" t="s">
        <v>14197</v>
      </c>
      <c r="C54" s="1885"/>
      <c r="D54" s="1268">
        <v>103.12</v>
      </c>
      <c r="E54" s="1274">
        <v>7.3000000000000001E-3</v>
      </c>
      <c r="F54" s="1274">
        <v>1.4999999999999999E-2</v>
      </c>
      <c r="G54" s="1275">
        <v>30</v>
      </c>
      <c r="H54" s="1276">
        <f t="shared" si="0"/>
        <v>68.986999999999995</v>
      </c>
      <c r="I54" s="1275">
        <v>138</v>
      </c>
      <c r="J54" s="1276">
        <f t="shared" si="1"/>
        <v>317.34100000000001</v>
      </c>
      <c r="K54" s="1275">
        <v>0</v>
      </c>
      <c r="L54" s="1276">
        <f t="shared" si="2"/>
        <v>0</v>
      </c>
    </row>
    <row r="55" spans="1:12" s="535" customFormat="1" ht="20.100000000000001" customHeight="1">
      <c r="A55" s="1267">
        <f t="shared" si="3"/>
        <v>40</v>
      </c>
      <c r="B55" s="1884" t="s">
        <v>14198</v>
      </c>
      <c r="C55" s="1885"/>
      <c r="D55" s="1268">
        <v>53.8</v>
      </c>
      <c r="E55" s="1274">
        <v>7.3000000000000001E-3</v>
      </c>
      <c r="F55" s="1274">
        <v>1.4999999999999999E-2</v>
      </c>
      <c r="G55" s="1275">
        <v>30</v>
      </c>
      <c r="H55" s="1276">
        <f t="shared" si="0"/>
        <v>35.991999999999997</v>
      </c>
      <c r="I55" s="1275">
        <v>138</v>
      </c>
      <c r="J55" s="1276">
        <f t="shared" si="1"/>
        <v>165.56399999999999</v>
      </c>
      <c r="K55" s="1275">
        <v>0</v>
      </c>
      <c r="L55" s="1276">
        <f t="shared" si="2"/>
        <v>0</v>
      </c>
    </row>
    <row r="56" spans="1:12" s="535" customFormat="1" ht="20.100000000000001" customHeight="1">
      <c r="A56" s="1267">
        <f t="shared" si="3"/>
        <v>41</v>
      </c>
      <c r="B56" s="1884" t="s">
        <v>14199</v>
      </c>
      <c r="C56" s="1885"/>
      <c r="D56" s="1268">
        <v>58.18</v>
      </c>
      <c r="E56" s="1274">
        <v>7.3000000000000001E-3</v>
      </c>
      <c r="F56" s="1274">
        <v>1.4999999999999999E-2</v>
      </c>
      <c r="G56" s="1275">
        <v>30</v>
      </c>
      <c r="H56" s="1276">
        <f t="shared" si="0"/>
        <v>38.921999999999997</v>
      </c>
      <c r="I56" s="1275">
        <v>138</v>
      </c>
      <c r="J56" s="1276">
        <f t="shared" si="1"/>
        <v>179.04300000000001</v>
      </c>
      <c r="K56" s="1275">
        <v>0</v>
      </c>
      <c r="L56" s="1276">
        <f t="shared" si="2"/>
        <v>0</v>
      </c>
    </row>
    <row r="57" spans="1:12" s="535" customFormat="1" ht="20.100000000000001" customHeight="1">
      <c r="A57" s="1267">
        <f t="shared" si="3"/>
        <v>42</v>
      </c>
      <c r="B57" s="1884" t="s">
        <v>14200</v>
      </c>
      <c r="C57" s="1885"/>
      <c r="D57" s="1268">
        <v>60.92</v>
      </c>
      <c r="E57" s="1274">
        <v>7.3000000000000001E-3</v>
      </c>
      <c r="F57" s="1274">
        <v>1.4999999999999999E-2</v>
      </c>
      <c r="G57" s="1275">
        <v>30</v>
      </c>
      <c r="H57" s="1276">
        <f t="shared" si="0"/>
        <v>40.755000000000003</v>
      </c>
      <c r="I57" s="1275">
        <v>138</v>
      </c>
      <c r="J57" s="1276">
        <f t="shared" si="1"/>
        <v>187.47499999999999</v>
      </c>
      <c r="K57" s="1275">
        <v>0</v>
      </c>
      <c r="L57" s="1276">
        <f t="shared" si="2"/>
        <v>0</v>
      </c>
    </row>
    <row r="58" spans="1:12" s="535" customFormat="1" ht="20.100000000000001" customHeight="1">
      <c r="A58" s="1267">
        <f t="shared" si="3"/>
        <v>43</v>
      </c>
      <c r="B58" s="1884" t="s">
        <v>14201</v>
      </c>
      <c r="C58" s="1885"/>
      <c r="D58" s="1268">
        <v>50.38</v>
      </c>
      <c r="E58" s="1274">
        <v>7.3000000000000001E-3</v>
      </c>
      <c r="F58" s="1274">
        <v>1.4999999999999999E-2</v>
      </c>
      <c r="G58" s="1275">
        <v>30</v>
      </c>
      <c r="H58" s="1276">
        <f t="shared" si="0"/>
        <v>33.704000000000001</v>
      </c>
      <c r="I58" s="1275">
        <v>138</v>
      </c>
      <c r="J58" s="1276">
        <f t="shared" si="1"/>
        <v>155.03899999999999</v>
      </c>
      <c r="K58" s="1275">
        <v>0</v>
      </c>
      <c r="L58" s="1276">
        <f t="shared" si="2"/>
        <v>0</v>
      </c>
    </row>
    <row r="59" spans="1:12" s="535" customFormat="1" ht="20.100000000000001" customHeight="1">
      <c r="A59" s="1267">
        <f t="shared" si="3"/>
        <v>44</v>
      </c>
      <c r="B59" s="1884" t="s">
        <v>14202</v>
      </c>
      <c r="C59" s="1885"/>
      <c r="D59" s="1268">
        <v>56.22</v>
      </c>
      <c r="E59" s="1274">
        <v>7.3000000000000001E-3</v>
      </c>
      <c r="F59" s="1274">
        <v>1.4999999999999999E-2</v>
      </c>
      <c r="G59" s="1275">
        <v>30</v>
      </c>
      <c r="H59" s="1276">
        <f t="shared" si="0"/>
        <v>37.610999999999997</v>
      </c>
      <c r="I59" s="1275">
        <v>138</v>
      </c>
      <c r="J59" s="1276">
        <f t="shared" si="1"/>
        <v>173.011</v>
      </c>
      <c r="K59" s="1275">
        <v>0</v>
      </c>
      <c r="L59" s="1276">
        <f t="shared" si="2"/>
        <v>0</v>
      </c>
    </row>
    <row r="60" spans="1:12" s="535" customFormat="1" ht="20.100000000000001" customHeight="1">
      <c r="A60" s="1267">
        <f t="shared" si="3"/>
        <v>45</v>
      </c>
      <c r="B60" s="1884" t="s">
        <v>14203</v>
      </c>
      <c r="C60" s="1885"/>
      <c r="D60" s="1268">
        <v>47.51</v>
      </c>
      <c r="E60" s="1274">
        <v>7.3000000000000001E-3</v>
      </c>
      <c r="F60" s="1274">
        <v>1.4999999999999999E-2</v>
      </c>
      <c r="G60" s="1275">
        <v>30</v>
      </c>
      <c r="H60" s="1276">
        <f t="shared" si="0"/>
        <v>31.783999999999999</v>
      </c>
      <c r="I60" s="1275">
        <v>138</v>
      </c>
      <c r="J60" s="1276">
        <f t="shared" si="1"/>
        <v>146.20699999999999</v>
      </c>
      <c r="K60" s="1275">
        <v>0</v>
      </c>
      <c r="L60" s="1276">
        <f t="shared" si="2"/>
        <v>0</v>
      </c>
    </row>
    <row r="61" spans="1:12" s="535" customFormat="1" ht="20.100000000000001" customHeight="1">
      <c r="A61" s="1267">
        <f t="shared" si="3"/>
        <v>46</v>
      </c>
      <c r="B61" s="1884" t="s">
        <v>14204</v>
      </c>
      <c r="C61" s="1885"/>
      <c r="D61" s="1268">
        <v>48.91</v>
      </c>
      <c r="E61" s="1274">
        <v>7.3000000000000001E-3</v>
      </c>
      <c r="F61" s="1274">
        <v>1.4999999999999999E-2</v>
      </c>
      <c r="G61" s="1275">
        <v>30</v>
      </c>
      <c r="H61" s="1276">
        <f t="shared" si="0"/>
        <v>32.72</v>
      </c>
      <c r="I61" s="1275">
        <v>138</v>
      </c>
      <c r="J61" s="1276">
        <f t="shared" si="1"/>
        <v>150.51499999999999</v>
      </c>
      <c r="K61" s="1275">
        <v>0</v>
      </c>
      <c r="L61" s="1276">
        <f t="shared" si="2"/>
        <v>0</v>
      </c>
    </row>
    <row r="62" spans="1:12" s="535" customFormat="1" ht="20.100000000000001" customHeight="1">
      <c r="A62" s="1267">
        <f t="shared" si="3"/>
        <v>47</v>
      </c>
      <c r="B62" s="1884" t="s">
        <v>14205</v>
      </c>
      <c r="C62" s="1885"/>
      <c r="D62" s="1268">
        <v>50.05</v>
      </c>
      <c r="E62" s="1274">
        <v>7.3000000000000001E-3</v>
      </c>
      <c r="F62" s="1274">
        <v>1.4999999999999999E-2</v>
      </c>
      <c r="G62" s="1275">
        <v>30</v>
      </c>
      <c r="H62" s="1276">
        <f t="shared" si="0"/>
        <v>33.482999999999997</v>
      </c>
      <c r="I62" s="1275">
        <v>138</v>
      </c>
      <c r="J62" s="1276">
        <f t="shared" si="1"/>
        <v>154.023</v>
      </c>
      <c r="K62" s="1275">
        <v>0</v>
      </c>
      <c r="L62" s="1276">
        <f t="shared" si="2"/>
        <v>0</v>
      </c>
    </row>
    <row r="63" spans="1:12" s="535" customFormat="1" ht="20.100000000000001" customHeight="1">
      <c r="A63" s="1267">
        <f t="shared" si="3"/>
        <v>48</v>
      </c>
      <c r="B63" s="1884" t="s">
        <v>14206</v>
      </c>
      <c r="C63" s="1885"/>
      <c r="D63" s="1268">
        <v>42.68</v>
      </c>
      <c r="E63" s="1274">
        <v>7.3000000000000001E-3</v>
      </c>
      <c r="F63" s="1274">
        <v>1.4999999999999999E-2</v>
      </c>
      <c r="G63" s="1275">
        <v>30</v>
      </c>
      <c r="H63" s="1276">
        <f t="shared" si="0"/>
        <v>28.552</v>
      </c>
      <c r="I63" s="1275">
        <v>138</v>
      </c>
      <c r="J63" s="1276">
        <f t="shared" si="1"/>
        <v>131.34299999999999</v>
      </c>
      <c r="K63" s="1275">
        <v>0</v>
      </c>
      <c r="L63" s="1276">
        <f t="shared" si="2"/>
        <v>0</v>
      </c>
    </row>
    <row r="64" spans="1:12" s="535" customFormat="1" ht="20.100000000000001" customHeight="1">
      <c r="A64" s="1267">
        <f t="shared" si="3"/>
        <v>49</v>
      </c>
      <c r="B64" s="1884" t="s">
        <v>14207</v>
      </c>
      <c r="C64" s="1885"/>
      <c r="D64" s="1268">
        <v>76.05</v>
      </c>
      <c r="E64" s="1274">
        <v>7.3000000000000001E-3</v>
      </c>
      <c r="F64" s="1274">
        <v>1.4999999999999999E-2</v>
      </c>
      <c r="G64" s="1275">
        <v>30</v>
      </c>
      <c r="H64" s="1276">
        <f t="shared" si="0"/>
        <v>50.877000000000002</v>
      </c>
      <c r="I64" s="1275">
        <v>138</v>
      </c>
      <c r="J64" s="1276">
        <f t="shared" si="1"/>
        <v>234.036</v>
      </c>
      <c r="K64" s="1275">
        <v>0</v>
      </c>
      <c r="L64" s="1276">
        <f t="shared" si="2"/>
        <v>0</v>
      </c>
    </row>
    <row r="65" spans="1:229" s="535" customFormat="1" ht="20.100000000000001" customHeight="1">
      <c r="A65" s="1267">
        <f t="shared" si="3"/>
        <v>50</v>
      </c>
      <c r="B65" s="1884" t="s">
        <v>14208</v>
      </c>
      <c r="C65" s="1885"/>
      <c r="D65" s="1268">
        <v>72.099999999999994</v>
      </c>
      <c r="E65" s="1274">
        <v>7.3000000000000001E-3</v>
      </c>
      <c r="F65" s="1274">
        <v>1.4999999999999999E-2</v>
      </c>
      <c r="G65" s="1275">
        <v>30</v>
      </c>
      <c r="H65" s="1276">
        <f t="shared" si="0"/>
        <v>48.234000000000002</v>
      </c>
      <c r="I65" s="1275">
        <v>138</v>
      </c>
      <c r="J65" s="1276">
        <f t="shared" si="1"/>
        <v>221.88</v>
      </c>
      <c r="K65" s="1275">
        <v>0</v>
      </c>
      <c r="L65" s="1276">
        <f t="shared" si="2"/>
        <v>0</v>
      </c>
    </row>
    <row r="66" spans="1:229" s="220" customFormat="1" ht="20.100000000000001" customHeight="1">
      <c r="A66" s="1921" t="s">
        <v>14005</v>
      </c>
      <c r="B66" s="1922"/>
      <c r="C66" s="1922"/>
      <c r="D66" s="1262">
        <f>SUM(D16:D65)</f>
        <v>2857.1300000000006</v>
      </c>
      <c r="E66" s="1277"/>
      <c r="F66" s="1262"/>
      <c r="G66" s="1262"/>
      <c r="H66" s="1262">
        <f>SUM(H16:H65)</f>
        <v>1911.395</v>
      </c>
      <c r="I66" s="1262"/>
      <c r="J66" s="1262">
        <f>SUM(J16:J65)</f>
        <v>8792.5090000000018</v>
      </c>
      <c r="K66" s="1262"/>
      <c r="L66" s="1262">
        <f>TRUNC(SUM(L16:L65),2)</f>
        <v>0</v>
      </c>
      <c r="M66" s="433"/>
      <c r="N66" s="433"/>
      <c r="O66" s="1242"/>
      <c r="P66" s="1243"/>
      <c r="Q66" s="433"/>
      <c r="R66" s="433"/>
      <c r="S66" s="433"/>
      <c r="T66" s="433"/>
      <c r="U66" s="1242"/>
      <c r="V66" s="1243"/>
      <c r="W66" s="433"/>
      <c r="X66" s="433"/>
      <c r="Y66" s="433"/>
      <c r="Z66" s="433"/>
      <c r="AA66" s="1242"/>
      <c r="AB66" s="1243"/>
      <c r="AC66" s="433"/>
      <c r="AD66" s="433"/>
      <c r="AE66" s="433"/>
      <c r="AF66" s="433"/>
      <c r="AG66" s="1242"/>
      <c r="AH66" s="1243"/>
      <c r="AI66" s="433"/>
      <c r="AJ66" s="433"/>
      <c r="AK66" s="433"/>
      <c r="AL66" s="433"/>
      <c r="AM66" s="1242"/>
      <c r="AN66" s="1243"/>
      <c r="AO66" s="433"/>
      <c r="AP66" s="433"/>
      <c r="AQ66" s="433"/>
      <c r="AR66" s="433"/>
      <c r="AS66" s="1242"/>
      <c r="AT66" s="1243"/>
      <c r="AU66" s="433"/>
      <c r="AV66" s="433"/>
      <c r="AW66" s="433"/>
      <c r="AX66" s="433"/>
      <c r="AY66" s="1242"/>
      <c r="AZ66" s="1243"/>
      <c r="BA66" s="433"/>
      <c r="BB66" s="433"/>
      <c r="BC66" s="433"/>
      <c r="BD66" s="433"/>
      <c r="BE66" s="1242"/>
      <c r="BF66" s="1243"/>
      <c r="BG66" s="433"/>
      <c r="BH66" s="433"/>
      <c r="BI66" s="433"/>
      <c r="BJ66" s="433"/>
      <c r="BK66" s="1242"/>
      <c r="BL66" s="1243"/>
      <c r="BM66" s="433"/>
      <c r="BN66" s="433"/>
      <c r="BO66" s="433"/>
      <c r="BP66" s="433"/>
      <c r="BQ66" s="1242"/>
      <c r="BR66" s="1243"/>
      <c r="BS66" s="433"/>
      <c r="BT66" s="433"/>
      <c r="BU66" s="433"/>
      <c r="BV66" s="433"/>
      <c r="BW66" s="1242"/>
      <c r="BX66" s="1243"/>
      <c r="BY66" s="433"/>
      <c r="BZ66" s="433"/>
      <c r="CA66" s="433"/>
      <c r="CB66" s="433"/>
      <c r="CC66" s="1242"/>
      <c r="CD66" s="1243"/>
      <c r="CE66" s="433"/>
      <c r="CF66" s="433"/>
      <c r="CG66" s="433"/>
      <c r="CH66" s="433"/>
      <c r="CI66" s="1242"/>
      <c r="CJ66" s="1243"/>
      <c r="CK66" s="433"/>
      <c r="CL66" s="433"/>
      <c r="CM66" s="433"/>
      <c r="CN66" s="433"/>
      <c r="CO66" s="1242"/>
      <c r="CP66" s="1243"/>
      <c r="CQ66" s="433"/>
      <c r="CR66" s="433"/>
      <c r="CS66" s="433"/>
      <c r="CT66" s="433"/>
      <c r="CU66" s="1242"/>
      <c r="CV66" s="1243"/>
      <c r="CW66" s="433"/>
      <c r="CX66" s="433"/>
      <c r="CY66" s="433"/>
      <c r="CZ66" s="433"/>
      <c r="DA66" s="1242"/>
      <c r="DB66" s="1243"/>
      <c r="DC66" s="433"/>
      <c r="DD66" s="433"/>
      <c r="DE66" s="433"/>
      <c r="DF66" s="433"/>
      <c r="DG66" s="1242"/>
      <c r="DH66" s="1243"/>
      <c r="DI66" s="433"/>
      <c r="DJ66" s="433"/>
      <c r="DK66" s="433"/>
      <c r="DL66" s="433"/>
      <c r="DM66" s="1242"/>
      <c r="DN66" s="1243"/>
      <c r="DO66" s="433"/>
      <c r="DP66" s="433"/>
      <c r="DQ66" s="433"/>
      <c r="DR66" s="433"/>
      <c r="DS66" s="1242"/>
      <c r="DT66" s="1243"/>
      <c r="DU66" s="433"/>
      <c r="DV66" s="433"/>
      <c r="DW66" s="433"/>
      <c r="DX66" s="433"/>
      <c r="DY66" s="1242"/>
      <c r="DZ66" s="1243"/>
      <c r="EA66" s="433"/>
      <c r="EB66" s="433"/>
      <c r="EC66" s="433"/>
      <c r="ED66" s="433"/>
      <c r="EE66" s="1242"/>
      <c r="EF66" s="1243"/>
      <c r="EG66" s="433"/>
      <c r="EH66" s="433"/>
      <c r="EI66" s="433"/>
      <c r="EJ66" s="433"/>
      <c r="EK66" s="1242"/>
      <c r="EL66" s="1243"/>
      <c r="EM66" s="433"/>
      <c r="EN66" s="433"/>
      <c r="EO66" s="433"/>
      <c r="EP66" s="433"/>
      <c r="EQ66" s="1242"/>
      <c r="ER66" s="1243"/>
      <c r="ES66" s="433"/>
      <c r="ET66" s="433"/>
      <c r="EU66" s="433"/>
      <c r="EV66" s="433"/>
      <c r="EW66" s="1242"/>
      <c r="EX66" s="1243"/>
      <c r="EY66" s="433"/>
      <c r="EZ66" s="433"/>
      <c r="FA66" s="433"/>
      <c r="FB66" s="433"/>
      <c r="FC66" s="1242"/>
      <c r="FD66" s="1243"/>
      <c r="FE66" s="433"/>
      <c r="FF66" s="433"/>
      <c r="FG66" s="433"/>
      <c r="FH66" s="433"/>
      <c r="FI66" s="1242"/>
      <c r="FJ66" s="1243"/>
      <c r="FK66" s="433"/>
      <c r="FL66" s="433"/>
      <c r="FM66" s="433"/>
      <c r="FN66" s="433"/>
      <c r="FO66" s="1242"/>
      <c r="FP66" s="1243"/>
      <c r="FQ66" s="433"/>
      <c r="FR66" s="433"/>
      <c r="FS66" s="433"/>
      <c r="FT66" s="433"/>
      <c r="FU66" s="1242"/>
      <c r="FV66" s="1243"/>
      <c r="FW66" s="433"/>
      <c r="FX66" s="433"/>
      <c r="FY66" s="433"/>
      <c r="FZ66" s="433"/>
      <c r="GA66" s="1242"/>
      <c r="GB66" s="1243"/>
      <c r="GC66" s="433"/>
      <c r="GD66" s="433"/>
      <c r="GE66" s="433"/>
      <c r="GF66" s="433"/>
      <c r="GG66" s="1242"/>
      <c r="GH66" s="1243"/>
      <c r="GI66" s="433"/>
      <c r="GJ66" s="433"/>
      <c r="GK66" s="433"/>
      <c r="GL66" s="433"/>
      <c r="GM66" s="1242"/>
      <c r="GN66" s="1243"/>
      <c r="GO66" s="433"/>
      <c r="GP66" s="433"/>
      <c r="GQ66" s="433"/>
      <c r="GR66" s="433"/>
      <c r="GS66" s="1242"/>
      <c r="GT66" s="1243"/>
      <c r="GU66" s="433"/>
      <c r="GV66" s="433"/>
      <c r="GW66" s="433"/>
      <c r="GX66" s="433"/>
      <c r="GY66" s="1242"/>
      <c r="GZ66" s="1243"/>
      <c r="HA66" s="433"/>
      <c r="HB66" s="433"/>
      <c r="HC66" s="433"/>
      <c r="HD66" s="433"/>
      <c r="HE66" s="1242"/>
      <c r="HF66" s="1243"/>
      <c r="HG66" s="433"/>
      <c r="HH66" s="433"/>
      <c r="HI66" s="433"/>
      <c r="HJ66" s="433"/>
      <c r="HK66" s="1242"/>
      <c r="HL66" s="1243"/>
      <c r="HM66" s="433"/>
      <c r="HN66" s="433"/>
      <c r="HO66" s="433"/>
      <c r="HP66" s="433"/>
      <c r="HQ66" s="1242"/>
      <c r="HR66" s="1243"/>
      <c r="HS66" s="433"/>
      <c r="HT66" s="433"/>
      <c r="HU66" s="433"/>
    </row>
    <row r="67" spans="1:229" s="220" customFormat="1" ht="9.9499999999999993" customHeight="1">
      <c r="A67" s="1945" t="s">
        <v>4336</v>
      </c>
      <c r="B67" s="1946"/>
      <c r="C67" s="1946"/>
      <c r="D67" s="1946"/>
      <c r="E67" s="1946"/>
      <c r="F67" s="1946"/>
      <c r="G67" s="1946"/>
      <c r="H67" s="1946"/>
      <c r="I67" s="1946"/>
      <c r="J67" s="1946"/>
      <c r="K67" s="1946"/>
      <c r="L67" s="1947"/>
      <c r="M67" s="433"/>
      <c r="N67" s="433"/>
      <c r="O67" s="1242"/>
      <c r="P67" s="1243"/>
      <c r="Q67" s="433"/>
      <c r="R67" s="433"/>
      <c r="S67" s="433"/>
      <c r="T67" s="433"/>
      <c r="U67" s="1242"/>
      <c r="V67" s="1243"/>
      <c r="W67" s="433"/>
      <c r="X67" s="433"/>
      <c r="Y67" s="433"/>
      <c r="Z67" s="433"/>
      <c r="AA67" s="1242"/>
      <c r="AB67" s="1243"/>
      <c r="AC67" s="433"/>
      <c r="AD67" s="433"/>
      <c r="AE67" s="433"/>
      <c r="AF67" s="433"/>
      <c r="AG67" s="1242"/>
      <c r="AH67" s="1243"/>
      <c r="AI67" s="433"/>
      <c r="AJ67" s="433"/>
      <c r="AK67" s="433"/>
      <c r="AL67" s="433"/>
      <c r="AM67" s="1242"/>
      <c r="AN67" s="1243"/>
      <c r="AO67" s="433"/>
      <c r="AP67" s="433"/>
      <c r="AQ67" s="433"/>
      <c r="AR67" s="433"/>
      <c r="AS67" s="1242"/>
      <c r="AT67" s="1243"/>
      <c r="AU67" s="433"/>
      <c r="AV67" s="433"/>
      <c r="AW67" s="433"/>
      <c r="AX67" s="433"/>
      <c r="AY67" s="1242"/>
      <c r="AZ67" s="1243"/>
      <c r="BA67" s="433"/>
      <c r="BB67" s="433"/>
      <c r="BC67" s="433"/>
      <c r="BD67" s="433"/>
      <c r="BE67" s="1242"/>
      <c r="BF67" s="1243"/>
      <c r="BG67" s="433"/>
      <c r="BH67" s="433"/>
      <c r="BI67" s="433"/>
      <c r="BJ67" s="433"/>
      <c r="BK67" s="1242"/>
      <c r="BL67" s="1243"/>
      <c r="BM67" s="433"/>
      <c r="BN67" s="433"/>
      <c r="BO67" s="433"/>
      <c r="BP67" s="433"/>
      <c r="BQ67" s="1242"/>
      <c r="BR67" s="1243"/>
      <c r="BS67" s="433"/>
      <c r="BT67" s="433"/>
      <c r="BU67" s="433"/>
      <c r="BV67" s="433"/>
      <c r="BW67" s="1242"/>
      <c r="BX67" s="1243"/>
      <c r="BY67" s="433"/>
      <c r="BZ67" s="433"/>
      <c r="CA67" s="433"/>
      <c r="CB67" s="433"/>
      <c r="CC67" s="1242"/>
      <c r="CD67" s="1243"/>
      <c r="CE67" s="433"/>
      <c r="CF67" s="433"/>
      <c r="CG67" s="433"/>
      <c r="CH67" s="433"/>
      <c r="CI67" s="1242"/>
      <c r="CJ67" s="1243"/>
      <c r="CK67" s="433"/>
      <c r="CL67" s="433"/>
      <c r="CM67" s="433"/>
      <c r="CN67" s="433"/>
      <c r="CO67" s="1242"/>
      <c r="CP67" s="1243"/>
      <c r="CQ67" s="433"/>
      <c r="CR67" s="433"/>
      <c r="CS67" s="433"/>
      <c r="CT67" s="433"/>
      <c r="CU67" s="1242"/>
      <c r="CV67" s="1243"/>
      <c r="CW67" s="433"/>
      <c r="CX67" s="433"/>
      <c r="CY67" s="433"/>
      <c r="CZ67" s="433"/>
      <c r="DA67" s="1242"/>
      <c r="DB67" s="1243"/>
      <c r="DC67" s="433"/>
      <c r="DD67" s="433"/>
      <c r="DE67" s="433"/>
      <c r="DF67" s="433"/>
      <c r="DG67" s="1242"/>
      <c r="DH67" s="1243"/>
      <c r="DI67" s="433"/>
      <c r="DJ67" s="433"/>
      <c r="DK67" s="433"/>
      <c r="DL67" s="433"/>
      <c r="DM67" s="1242"/>
      <c r="DN67" s="1243"/>
      <c r="DO67" s="433"/>
      <c r="DP67" s="433"/>
      <c r="DQ67" s="433"/>
      <c r="DR67" s="433"/>
      <c r="DS67" s="1242"/>
      <c r="DT67" s="1243"/>
      <c r="DU67" s="433"/>
      <c r="DV67" s="433"/>
      <c r="DW67" s="433"/>
      <c r="DX67" s="433"/>
      <c r="DY67" s="1242"/>
      <c r="DZ67" s="1243"/>
      <c r="EA67" s="433"/>
      <c r="EB67" s="433"/>
      <c r="EC67" s="433"/>
      <c r="ED67" s="433"/>
      <c r="EE67" s="1242"/>
      <c r="EF67" s="1243"/>
      <c r="EG67" s="433"/>
      <c r="EH67" s="433"/>
      <c r="EI67" s="433"/>
      <c r="EJ67" s="433"/>
      <c r="EK67" s="1242"/>
      <c r="EL67" s="1243"/>
      <c r="EM67" s="433"/>
      <c r="EN67" s="433"/>
      <c r="EO67" s="433"/>
      <c r="EP67" s="433"/>
      <c r="EQ67" s="1242"/>
      <c r="ER67" s="1243"/>
      <c r="ES67" s="433"/>
      <c r="ET67" s="433"/>
      <c r="EU67" s="433"/>
      <c r="EV67" s="433"/>
      <c r="EW67" s="1242"/>
      <c r="EX67" s="1243"/>
      <c r="EY67" s="433"/>
      <c r="EZ67" s="433"/>
      <c r="FA67" s="433"/>
      <c r="FB67" s="433"/>
      <c r="FC67" s="1242"/>
      <c r="FD67" s="1243"/>
      <c r="FE67" s="433"/>
      <c r="FF67" s="433"/>
      <c r="FG67" s="433"/>
      <c r="FH67" s="433"/>
      <c r="FI67" s="1242"/>
      <c r="FJ67" s="1243"/>
      <c r="FK67" s="433"/>
      <c r="FL67" s="433"/>
      <c r="FM67" s="433"/>
      <c r="FN67" s="433"/>
      <c r="FO67" s="1242"/>
      <c r="FP67" s="1243"/>
      <c r="FQ67" s="433"/>
      <c r="FR67" s="433"/>
      <c r="FS67" s="433"/>
      <c r="FT67" s="433"/>
      <c r="FU67" s="1242"/>
      <c r="FV67" s="1243"/>
      <c r="FW67" s="433"/>
      <c r="FX67" s="433"/>
      <c r="FY67" s="433"/>
      <c r="FZ67" s="433"/>
      <c r="GA67" s="1242"/>
      <c r="GB67" s="1243"/>
      <c r="GC67" s="433"/>
      <c r="GD67" s="433"/>
      <c r="GE67" s="433"/>
      <c r="GF67" s="433"/>
      <c r="GG67" s="1242"/>
      <c r="GH67" s="1243"/>
      <c r="GI67" s="433"/>
      <c r="GJ67" s="433"/>
      <c r="GK67" s="433"/>
      <c r="GL67" s="433"/>
      <c r="GM67" s="1242"/>
      <c r="GN67" s="1243"/>
      <c r="GO67" s="433"/>
      <c r="GP67" s="433"/>
      <c r="GQ67" s="433"/>
      <c r="GR67" s="433"/>
      <c r="GS67" s="1242"/>
      <c r="GT67" s="1243"/>
      <c r="GU67" s="433"/>
      <c r="GV67" s="433"/>
      <c r="GW67" s="433"/>
      <c r="GX67" s="433"/>
      <c r="GY67" s="1242"/>
      <c r="GZ67" s="1243"/>
      <c r="HA67" s="433"/>
      <c r="HB67" s="433"/>
      <c r="HC67" s="433"/>
      <c r="HD67" s="433"/>
      <c r="HE67" s="1242"/>
      <c r="HF67" s="1243"/>
      <c r="HG67" s="433"/>
      <c r="HH67" s="433"/>
      <c r="HI67" s="433"/>
      <c r="HJ67" s="433"/>
      <c r="HK67" s="1242"/>
      <c r="HL67" s="1243"/>
      <c r="HM67" s="433"/>
      <c r="HN67" s="433"/>
      <c r="HO67" s="433"/>
      <c r="HP67" s="433"/>
      <c r="HQ67" s="1242"/>
      <c r="HR67" s="1243"/>
      <c r="HS67" s="433"/>
      <c r="HT67" s="433"/>
      <c r="HU67" s="433"/>
    </row>
    <row r="68" spans="1:229" s="220" customFormat="1" ht="9.9499999999999993" customHeight="1">
      <c r="A68" s="1948"/>
      <c r="B68" s="1949"/>
      <c r="C68" s="1949"/>
      <c r="D68" s="1949"/>
      <c r="E68" s="1949"/>
      <c r="F68" s="1949"/>
      <c r="G68" s="1949"/>
      <c r="H68" s="1949"/>
      <c r="I68" s="1949"/>
      <c r="J68" s="1949"/>
      <c r="K68" s="1949"/>
      <c r="L68" s="1950"/>
      <c r="M68" s="433"/>
      <c r="N68" s="433"/>
      <c r="O68" s="1242"/>
      <c r="P68" s="1243"/>
      <c r="Q68" s="433"/>
      <c r="R68" s="433"/>
      <c r="S68" s="433"/>
      <c r="T68" s="433"/>
      <c r="U68" s="1242"/>
      <c r="V68" s="1243"/>
      <c r="W68" s="433"/>
      <c r="X68" s="433"/>
      <c r="Y68" s="433"/>
      <c r="Z68" s="433"/>
      <c r="AA68" s="1242"/>
      <c r="AB68" s="1243"/>
      <c r="AC68" s="433"/>
      <c r="AD68" s="433"/>
      <c r="AE68" s="433"/>
      <c r="AF68" s="433"/>
      <c r="AG68" s="1242"/>
      <c r="AH68" s="1243"/>
      <c r="AI68" s="433"/>
      <c r="AJ68" s="433"/>
      <c r="AK68" s="433"/>
      <c r="AL68" s="433"/>
      <c r="AM68" s="1242"/>
      <c r="AN68" s="1243"/>
      <c r="AO68" s="433"/>
      <c r="AP68" s="433"/>
      <c r="AQ68" s="433"/>
      <c r="AR68" s="433"/>
      <c r="AS68" s="1242"/>
      <c r="AT68" s="1243"/>
      <c r="AU68" s="433"/>
      <c r="AV68" s="433"/>
      <c r="AW68" s="433"/>
      <c r="AX68" s="433"/>
      <c r="AY68" s="1242"/>
      <c r="AZ68" s="1243"/>
      <c r="BA68" s="433"/>
      <c r="BB68" s="433"/>
      <c r="BC68" s="433"/>
      <c r="BD68" s="433"/>
      <c r="BE68" s="1242"/>
      <c r="BF68" s="1243"/>
      <c r="BG68" s="433"/>
      <c r="BH68" s="433"/>
      <c r="BI68" s="433"/>
      <c r="BJ68" s="433"/>
      <c r="BK68" s="1242"/>
      <c r="BL68" s="1243"/>
      <c r="BM68" s="433"/>
      <c r="BN68" s="433"/>
      <c r="BO68" s="433"/>
      <c r="BP68" s="433"/>
      <c r="BQ68" s="1242"/>
      <c r="BR68" s="1243"/>
      <c r="BS68" s="433"/>
      <c r="BT68" s="433"/>
      <c r="BU68" s="433"/>
      <c r="BV68" s="433"/>
      <c r="BW68" s="1242"/>
      <c r="BX68" s="1243"/>
      <c r="BY68" s="433"/>
      <c r="BZ68" s="433"/>
      <c r="CA68" s="433"/>
      <c r="CB68" s="433"/>
      <c r="CC68" s="1242"/>
      <c r="CD68" s="1243"/>
      <c r="CE68" s="433"/>
      <c r="CF68" s="433"/>
      <c r="CG68" s="433"/>
      <c r="CH68" s="433"/>
      <c r="CI68" s="1242"/>
      <c r="CJ68" s="1243"/>
      <c r="CK68" s="433"/>
      <c r="CL68" s="433"/>
      <c r="CM68" s="433"/>
      <c r="CN68" s="433"/>
      <c r="CO68" s="1242"/>
      <c r="CP68" s="1243"/>
      <c r="CQ68" s="433"/>
      <c r="CR68" s="433"/>
      <c r="CS68" s="433"/>
      <c r="CT68" s="433"/>
      <c r="CU68" s="1242"/>
      <c r="CV68" s="1243"/>
      <c r="CW68" s="433"/>
      <c r="CX68" s="433"/>
      <c r="CY68" s="433"/>
      <c r="CZ68" s="433"/>
      <c r="DA68" s="1242"/>
      <c r="DB68" s="1243"/>
      <c r="DC68" s="433"/>
      <c r="DD68" s="433"/>
      <c r="DE68" s="433"/>
      <c r="DF68" s="433"/>
      <c r="DG68" s="1242"/>
      <c r="DH68" s="1243"/>
      <c r="DI68" s="433"/>
      <c r="DJ68" s="433"/>
      <c r="DK68" s="433"/>
      <c r="DL68" s="433"/>
      <c r="DM68" s="1242"/>
      <c r="DN68" s="1243"/>
      <c r="DO68" s="433"/>
      <c r="DP68" s="433"/>
      <c r="DQ68" s="433"/>
      <c r="DR68" s="433"/>
      <c r="DS68" s="1242"/>
      <c r="DT68" s="1243"/>
      <c r="DU68" s="433"/>
      <c r="DV68" s="433"/>
      <c r="DW68" s="433"/>
      <c r="DX68" s="433"/>
      <c r="DY68" s="1242"/>
      <c r="DZ68" s="1243"/>
      <c r="EA68" s="433"/>
      <c r="EB68" s="433"/>
      <c r="EC68" s="433"/>
      <c r="ED68" s="433"/>
      <c r="EE68" s="1242"/>
      <c r="EF68" s="1243"/>
      <c r="EG68" s="433"/>
      <c r="EH68" s="433"/>
      <c r="EI68" s="433"/>
      <c r="EJ68" s="433"/>
      <c r="EK68" s="1242"/>
      <c r="EL68" s="1243"/>
      <c r="EM68" s="433"/>
      <c r="EN68" s="433"/>
      <c r="EO68" s="433"/>
      <c r="EP68" s="433"/>
      <c r="EQ68" s="1242"/>
      <c r="ER68" s="1243"/>
      <c r="ES68" s="433"/>
      <c r="ET68" s="433"/>
      <c r="EU68" s="433"/>
      <c r="EV68" s="433"/>
      <c r="EW68" s="1242"/>
      <c r="EX68" s="1243"/>
      <c r="EY68" s="433"/>
      <c r="EZ68" s="433"/>
      <c r="FA68" s="433"/>
      <c r="FB68" s="433"/>
      <c r="FC68" s="1242"/>
      <c r="FD68" s="1243"/>
      <c r="FE68" s="433"/>
      <c r="FF68" s="433"/>
      <c r="FG68" s="433"/>
      <c r="FH68" s="433"/>
      <c r="FI68" s="1242"/>
      <c r="FJ68" s="1243"/>
      <c r="FK68" s="433"/>
      <c r="FL68" s="433"/>
      <c r="FM68" s="433"/>
      <c r="FN68" s="433"/>
      <c r="FO68" s="1242"/>
      <c r="FP68" s="1243"/>
      <c r="FQ68" s="433"/>
      <c r="FR68" s="433"/>
      <c r="FS68" s="433"/>
      <c r="FT68" s="433"/>
      <c r="FU68" s="1242"/>
      <c r="FV68" s="1243"/>
      <c r="FW68" s="433"/>
      <c r="FX68" s="433"/>
      <c r="FY68" s="433"/>
      <c r="FZ68" s="433"/>
      <c r="GA68" s="1242"/>
      <c r="GB68" s="1243"/>
      <c r="GC68" s="433"/>
      <c r="GD68" s="433"/>
      <c r="GE68" s="433"/>
      <c r="GF68" s="433"/>
      <c r="GG68" s="1242"/>
      <c r="GH68" s="1243"/>
      <c r="GI68" s="433"/>
      <c r="GJ68" s="433"/>
      <c r="GK68" s="433"/>
      <c r="GL68" s="433"/>
      <c r="GM68" s="1242"/>
      <c r="GN68" s="1243"/>
      <c r="GO68" s="433"/>
      <c r="GP68" s="433"/>
      <c r="GQ68" s="433"/>
      <c r="GR68" s="433"/>
      <c r="GS68" s="1242"/>
      <c r="GT68" s="1243"/>
      <c r="GU68" s="433"/>
      <c r="GV68" s="433"/>
      <c r="GW68" s="433"/>
      <c r="GX68" s="433"/>
      <c r="GY68" s="1242"/>
      <c r="GZ68" s="1243"/>
      <c r="HA68" s="433"/>
      <c r="HB68" s="433"/>
      <c r="HC68" s="433"/>
      <c r="HD68" s="433"/>
      <c r="HE68" s="1242"/>
      <c r="HF68" s="1243"/>
      <c r="HG68" s="433"/>
      <c r="HH68" s="433"/>
      <c r="HI68" s="433"/>
      <c r="HJ68" s="433"/>
      <c r="HK68" s="1242"/>
      <c r="HL68" s="1243"/>
      <c r="HM68" s="433"/>
      <c r="HN68" s="433"/>
      <c r="HO68" s="433"/>
      <c r="HP68" s="433"/>
      <c r="HQ68" s="1242"/>
      <c r="HR68" s="1243"/>
      <c r="HS68" s="433"/>
      <c r="HT68" s="433"/>
      <c r="HU68" s="433"/>
    </row>
    <row r="69" spans="1:229" s="220" customFormat="1" ht="9.9499999999999993" customHeight="1">
      <c r="A69" s="1948" t="s">
        <v>4351</v>
      </c>
      <c r="B69" s="1949"/>
      <c r="C69" s="1949"/>
      <c r="D69" s="1949"/>
      <c r="E69" s="1949"/>
      <c r="F69" s="1949"/>
      <c r="G69" s="1949"/>
      <c r="H69" s="1949"/>
      <c r="I69" s="1949"/>
      <c r="J69" s="1949"/>
      <c r="K69" s="1949"/>
      <c r="L69" s="1950"/>
      <c r="M69" s="433"/>
      <c r="N69" s="433"/>
      <c r="O69" s="1242"/>
      <c r="P69" s="1243"/>
      <c r="Q69" s="433"/>
      <c r="R69" s="433"/>
      <c r="S69" s="433"/>
      <c r="T69" s="433"/>
      <c r="U69" s="1242"/>
      <c r="V69" s="1243"/>
      <c r="W69" s="433"/>
      <c r="X69" s="433"/>
      <c r="Y69" s="433"/>
      <c r="Z69" s="433"/>
      <c r="AA69" s="1242"/>
      <c r="AB69" s="1243"/>
      <c r="AC69" s="433"/>
      <c r="AD69" s="433"/>
      <c r="AE69" s="433"/>
      <c r="AF69" s="433"/>
      <c r="AG69" s="1242"/>
      <c r="AH69" s="1243"/>
      <c r="AI69" s="433"/>
      <c r="AJ69" s="433"/>
      <c r="AK69" s="433"/>
      <c r="AL69" s="433"/>
      <c r="AM69" s="1242"/>
      <c r="AN69" s="1243"/>
      <c r="AO69" s="433"/>
      <c r="AP69" s="433"/>
      <c r="AQ69" s="433"/>
      <c r="AR69" s="433"/>
      <c r="AS69" s="1242"/>
      <c r="AT69" s="1243"/>
      <c r="AU69" s="433"/>
      <c r="AV69" s="433"/>
      <c r="AW69" s="433"/>
      <c r="AX69" s="433"/>
      <c r="AY69" s="1242"/>
      <c r="AZ69" s="1243"/>
      <c r="BA69" s="433"/>
      <c r="BB69" s="433"/>
      <c r="BC69" s="433"/>
      <c r="BD69" s="433"/>
      <c r="BE69" s="1242"/>
      <c r="BF69" s="1243"/>
      <c r="BG69" s="433"/>
      <c r="BH69" s="433"/>
      <c r="BI69" s="433"/>
      <c r="BJ69" s="433"/>
      <c r="BK69" s="1242"/>
      <c r="BL69" s="1243"/>
      <c r="BM69" s="433"/>
      <c r="BN69" s="433"/>
      <c r="BO69" s="433"/>
      <c r="BP69" s="433"/>
      <c r="BQ69" s="1242"/>
      <c r="BR69" s="1243"/>
      <c r="BS69" s="433"/>
      <c r="BT69" s="433"/>
      <c r="BU69" s="433"/>
      <c r="BV69" s="433"/>
      <c r="BW69" s="1242"/>
      <c r="BX69" s="1243"/>
      <c r="BY69" s="433"/>
      <c r="BZ69" s="433"/>
      <c r="CA69" s="433"/>
      <c r="CB69" s="433"/>
      <c r="CC69" s="1242"/>
      <c r="CD69" s="1243"/>
      <c r="CE69" s="433"/>
      <c r="CF69" s="433"/>
      <c r="CG69" s="433"/>
      <c r="CH69" s="433"/>
      <c r="CI69" s="1242"/>
      <c r="CJ69" s="1243"/>
      <c r="CK69" s="433"/>
      <c r="CL69" s="433"/>
      <c r="CM69" s="433"/>
      <c r="CN69" s="433"/>
      <c r="CO69" s="1242"/>
      <c r="CP69" s="1243"/>
      <c r="CQ69" s="433"/>
      <c r="CR69" s="433"/>
      <c r="CS69" s="433"/>
      <c r="CT69" s="433"/>
      <c r="CU69" s="1242"/>
      <c r="CV69" s="1243"/>
      <c r="CW69" s="433"/>
      <c r="CX69" s="433"/>
      <c r="CY69" s="433"/>
      <c r="CZ69" s="433"/>
      <c r="DA69" s="1242"/>
      <c r="DB69" s="1243"/>
      <c r="DC69" s="433"/>
      <c r="DD69" s="433"/>
      <c r="DE69" s="433"/>
      <c r="DF69" s="433"/>
      <c r="DG69" s="1242"/>
      <c r="DH69" s="1243"/>
      <c r="DI69" s="433"/>
      <c r="DJ69" s="433"/>
      <c r="DK69" s="433"/>
      <c r="DL69" s="433"/>
      <c r="DM69" s="1242"/>
      <c r="DN69" s="1243"/>
      <c r="DO69" s="433"/>
      <c r="DP69" s="433"/>
      <c r="DQ69" s="433"/>
      <c r="DR69" s="433"/>
      <c r="DS69" s="1242"/>
      <c r="DT69" s="1243"/>
      <c r="DU69" s="433"/>
      <c r="DV69" s="433"/>
      <c r="DW69" s="433"/>
      <c r="DX69" s="433"/>
      <c r="DY69" s="1242"/>
      <c r="DZ69" s="1243"/>
      <c r="EA69" s="433"/>
      <c r="EB69" s="433"/>
      <c r="EC69" s="433"/>
      <c r="ED69" s="433"/>
      <c r="EE69" s="1242"/>
      <c r="EF69" s="1243"/>
      <c r="EG69" s="433"/>
      <c r="EH69" s="433"/>
      <c r="EI69" s="433"/>
      <c r="EJ69" s="433"/>
      <c r="EK69" s="1242"/>
      <c r="EL69" s="1243"/>
      <c r="EM69" s="433"/>
      <c r="EN69" s="433"/>
      <c r="EO69" s="433"/>
      <c r="EP69" s="433"/>
      <c r="EQ69" s="1242"/>
      <c r="ER69" s="1243"/>
      <c r="ES69" s="433"/>
      <c r="ET69" s="433"/>
      <c r="EU69" s="433"/>
      <c r="EV69" s="433"/>
      <c r="EW69" s="1242"/>
      <c r="EX69" s="1243"/>
      <c r="EY69" s="433"/>
      <c r="EZ69" s="433"/>
      <c r="FA69" s="433"/>
      <c r="FB69" s="433"/>
      <c r="FC69" s="1242"/>
      <c r="FD69" s="1243"/>
      <c r="FE69" s="433"/>
      <c r="FF69" s="433"/>
      <c r="FG69" s="433"/>
      <c r="FH69" s="433"/>
      <c r="FI69" s="1242"/>
      <c r="FJ69" s="1243"/>
      <c r="FK69" s="433"/>
      <c r="FL69" s="433"/>
      <c r="FM69" s="433"/>
      <c r="FN69" s="433"/>
      <c r="FO69" s="1242"/>
      <c r="FP69" s="1243"/>
      <c r="FQ69" s="433"/>
      <c r="FR69" s="433"/>
      <c r="FS69" s="433"/>
      <c r="FT69" s="433"/>
      <c r="FU69" s="1242"/>
      <c r="FV69" s="1243"/>
      <c r="FW69" s="433"/>
      <c r="FX69" s="433"/>
      <c r="FY69" s="433"/>
      <c r="FZ69" s="433"/>
      <c r="GA69" s="1242"/>
      <c r="GB69" s="1243"/>
      <c r="GC69" s="433"/>
      <c r="GD69" s="433"/>
      <c r="GE69" s="433"/>
      <c r="GF69" s="433"/>
      <c r="GG69" s="1242"/>
      <c r="GH69" s="1243"/>
      <c r="GI69" s="433"/>
      <c r="GJ69" s="433"/>
      <c r="GK69" s="433"/>
      <c r="GL69" s="433"/>
      <c r="GM69" s="1242"/>
      <c r="GN69" s="1243"/>
      <c r="GO69" s="433"/>
      <c r="GP69" s="433"/>
      <c r="GQ69" s="433"/>
      <c r="GR69" s="433"/>
      <c r="GS69" s="1242"/>
      <c r="GT69" s="1243"/>
      <c r="GU69" s="433"/>
      <c r="GV69" s="433"/>
      <c r="GW69" s="433"/>
      <c r="GX69" s="433"/>
      <c r="GY69" s="1242"/>
      <c r="GZ69" s="1243"/>
      <c r="HA69" s="433"/>
      <c r="HB69" s="433"/>
      <c r="HC69" s="433"/>
      <c r="HD69" s="433"/>
      <c r="HE69" s="1242"/>
      <c r="HF69" s="1243"/>
      <c r="HG69" s="433"/>
      <c r="HH69" s="433"/>
      <c r="HI69" s="433"/>
      <c r="HJ69" s="433"/>
      <c r="HK69" s="1242"/>
      <c r="HL69" s="1243"/>
      <c r="HM69" s="433"/>
      <c r="HN69" s="433"/>
      <c r="HO69" s="433"/>
      <c r="HP69" s="433"/>
      <c r="HQ69" s="1242"/>
      <c r="HR69" s="1243"/>
      <c r="HS69" s="433"/>
      <c r="HT69" s="433"/>
      <c r="HU69" s="433"/>
    </row>
    <row r="70" spans="1:229" s="220" customFormat="1" ht="9.9499999999999993" customHeight="1">
      <c r="A70" s="1948"/>
      <c r="B70" s="1949"/>
      <c r="C70" s="1949"/>
      <c r="D70" s="1949"/>
      <c r="E70" s="1949"/>
      <c r="F70" s="1949"/>
      <c r="G70" s="1949"/>
      <c r="H70" s="1949"/>
      <c r="I70" s="1949"/>
      <c r="J70" s="1949"/>
      <c r="K70" s="1949"/>
      <c r="L70" s="1950"/>
      <c r="M70" s="433"/>
      <c r="N70" s="433"/>
      <c r="O70" s="1242"/>
      <c r="P70" s="1243"/>
      <c r="Q70" s="433"/>
      <c r="R70" s="433"/>
      <c r="S70" s="433"/>
      <c r="T70" s="433"/>
      <c r="U70" s="1242"/>
      <c r="V70" s="1243"/>
      <c r="W70" s="433"/>
      <c r="X70" s="433"/>
      <c r="Y70" s="433"/>
      <c r="Z70" s="433"/>
      <c r="AA70" s="1242"/>
      <c r="AB70" s="1243"/>
      <c r="AC70" s="433"/>
      <c r="AD70" s="433"/>
      <c r="AE70" s="433"/>
      <c r="AF70" s="433"/>
      <c r="AG70" s="1242"/>
      <c r="AH70" s="1243"/>
      <c r="AI70" s="433"/>
      <c r="AJ70" s="433"/>
      <c r="AK70" s="433"/>
      <c r="AL70" s="433"/>
      <c r="AM70" s="1242"/>
      <c r="AN70" s="1243"/>
      <c r="AO70" s="433"/>
      <c r="AP70" s="433"/>
      <c r="AQ70" s="433"/>
      <c r="AR70" s="433"/>
      <c r="AS70" s="1242"/>
      <c r="AT70" s="1243"/>
      <c r="AU70" s="433"/>
      <c r="AV70" s="433"/>
      <c r="AW70" s="433"/>
      <c r="AX70" s="433"/>
      <c r="AY70" s="1242"/>
      <c r="AZ70" s="1243"/>
      <c r="BA70" s="433"/>
      <c r="BB70" s="433"/>
      <c r="BC70" s="433"/>
      <c r="BD70" s="433"/>
      <c r="BE70" s="1242"/>
      <c r="BF70" s="1243"/>
      <c r="BG70" s="433"/>
      <c r="BH70" s="433"/>
      <c r="BI70" s="433"/>
      <c r="BJ70" s="433"/>
      <c r="BK70" s="1242"/>
      <c r="BL70" s="1243"/>
      <c r="BM70" s="433"/>
      <c r="BN70" s="433"/>
      <c r="BO70" s="433"/>
      <c r="BP70" s="433"/>
      <c r="BQ70" s="1242"/>
      <c r="BR70" s="1243"/>
      <c r="BS70" s="433"/>
      <c r="BT70" s="433"/>
      <c r="BU70" s="433"/>
      <c r="BV70" s="433"/>
      <c r="BW70" s="1242"/>
      <c r="BX70" s="1243"/>
      <c r="BY70" s="433"/>
      <c r="BZ70" s="433"/>
      <c r="CA70" s="433"/>
      <c r="CB70" s="433"/>
      <c r="CC70" s="1242"/>
      <c r="CD70" s="1243"/>
      <c r="CE70" s="433"/>
      <c r="CF70" s="433"/>
      <c r="CG70" s="433"/>
      <c r="CH70" s="433"/>
      <c r="CI70" s="1242"/>
      <c r="CJ70" s="1243"/>
      <c r="CK70" s="433"/>
      <c r="CL70" s="433"/>
      <c r="CM70" s="433"/>
      <c r="CN70" s="433"/>
      <c r="CO70" s="1242"/>
      <c r="CP70" s="1243"/>
      <c r="CQ70" s="433"/>
      <c r="CR70" s="433"/>
      <c r="CS70" s="433"/>
      <c r="CT70" s="433"/>
      <c r="CU70" s="1242"/>
      <c r="CV70" s="1243"/>
      <c r="CW70" s="433"/>
      <c r="CX70" s="433"/>
      <c r="CY70" s="433"/>
      <c r="CZ70" s="433"/>
      <c r="DA70" s="1242"/>
      <c r="DB70" s="1243"/>
      <c r="DC70" s="433"/>
      <c r="DD70" s="433"/>
      <c r="DE70" s="433"/>
      <c r="DF70" s="433"/>
      <c r="DG70" s="1242"/>
      <c r="DH70" s="1243"/>
      <c r="DI70" s="433"/>
      <c r="DJ70" s="433"/>
      <c r="DK70" s="433"/>
      <c r="DL70" s="433"/>
      <c r="DM70" s="1242"/>
      <c r="DN70" s="1243"/>
      <c r="DO70" s="433"/>
      <c r="DP70" s="433"/>
      <c r="DQ70" s="433"/>
      <c r="DR70" s="433"/>
      <c r="DS70" s="1242"/>
      <c r="DT70" s="1243"/>
      <c r="DU70" s="433"/>
      <c r="DV70" s="433"/>
      <c r="DW70" s="433"/>
      <c r="DX70" s="433"/>
      <c r="DY70" s="1242"/>
      <c r="DZ70" s="1243"/>
      <c r="EA70" s="433"/>
      <c r="EB70" s="433"/>
      <c r="EC70" s="433"/>
      <c r="ED70" s="433"/>
      <c r="EE70" s="1242"/>
      <c r="EF70" s="1243"/>
      <c r="EG70" s="433"/>
      <c r="EH70" s="433"/>
      <c r="EI70" s="433"/>
      <c r="EJ70" s="433"/>
      <c r="EK70" s="1242"/>
      <c r="EL70" s="1243"/>
      <c r="EM70" s="433"/>
      <c r="EN70" s="433"/>
      <c r="EO70" s="433"/>
      <c r="EP70" s="433"/>
      <c r="EQ70" s="1242"/>
      <c r="ER70" s="1243"/>
      <c r="ES70" s="433"/>
      <c r="ET70" s="433"/>
      <c r="EU70" s="433"/>
      <c r="EV70" s="433"/>
      <c r="EW70" s="1242"/>
      <c r="EX70" s="1243"/>
      <c r="EY70" s="433"/>
      <c r="EZ70" s="433"/>
      <c r="FA70" s="433"/>
      <c r="FB70" s="433"/>
      <c r="FC70" s="1242"/>
      <c r="FD70" s="1243"/>
      <c r="FE70" s="433"/>
      <c r="FF70" s="433"/>
      <c r="FG70" s="433"/>
      <c r="FH70" s="433"/>
      <c r="FI70" s="1242"/>
      <c r="FJ70" s="1243"/>
      <c r="FK70" s="433"/>
      <c r="FL70" s="433"/>
      <c r="FM70" s="433"/>
      <c r="FN70" s="433"/>
      <c r="FO70" s="1242"/>
      <c r="FP70" s="1243"/>
      <c r="FQ70" s="433"/>
      <c r="FR70" s="433"/>
      <c r="FS70" s="433"/>
      <c r="FT70" s="433"/>
      <c r="FU70" s="1242"/>
      <c r="FV70" s="1243"/>
      <c r="FW70" s="433"/>
      <c r="FX70" s="433"/>
      <c r="FY70" s="433"/>
      <c r="FZ70" s="433"/>
      <c r="GA70" s="1242"/>
      <c r="GB70" s="1243"/>
      <c r="GC70" s="433"/>
      <c r="GD70" s="433"/>
      <c r="GE70" s="433"/>
      <c r="GF70" s="433"/>
      <c r="GG70" s="1242"/>
      <c r="GH70" s="1243"/>
      <c r="GI70" s="433"/>
      <c r="GJ70" s="433"/>
      <c r="GK70" s="433"/>
      <c r="GL70" s="433"/>
      <c r="GM70" s="1242"/>
      <c r="GN70" s="1243"/>
      <c r="GO70" s="433"/>
      <c r="GP70" s="433"/>
      <c r="GQ70" s="433"/>
      <c r="GR70" s="433"/>
      <c r="GS70" s="1242"/>
      <c r="GT70" s="1243"/>
      <c r="GU70" s="433"/>
      <c r="GV70" s="433"/>
      <c r="GW70" s="433"/>
      <c r="GX70" s="433"/>
      <c r="GY70" s="1242"/>
      <c r="GZ70" s="1243"/>
      <c r="HA70" s="433"/>
      <c r="HB70" s="433"/>
      <c r="HC70" s="433"/>
      <c r="HD70" s="433"/>
      <c r="HE70" s="1242"/>
      <c r="HF70" s="1243"/>
      <c r="HG70" s="433"/>
      <c r="HH70" s="433"/>
      <c r="HI70" s="433"/>
      <c r="HJ70" s="433"/>
      <c r="HK70" s="1242"/>
      <c r="HL70" s="1243"/>
      <c r="HM70" s="433"/>
      <c r="HN70" s="433"/>
      <c r="HO70" s="433"/>
      <c r="HP70" s="433"/>
      <c r="HQ70" s="1242"/>
      <c r="HR70" s="1243"/>
      <c r="HS70" s="433"/>
      <c r="HT70" s="433"/>
      <c r="HU70" s="433"/>
    </row>
    <row r="71" spans="1:229" ht="9.9499999999999993" customHeight="1">
      <c r="A71" s="1948" t="s">
        <v>4337</v>
      </c>
      <c r="B71" s="1949"/>
      <c r="C71" s="1949"/>
      <c r="D71" s="1949"/>
      <c r="E71" s="1949"/>
      <c r="F71" s="1949"/>
      <c r="G71" s="1949"/>
      <c r="H71" s="1949"/>
      <c r="I71" s="1949"/>
      <c r="J71" s="1949"/>
      <c r="K71" s="1949"/>
      <c r="L71" s="1950"/>
    </row>
    <row r="72" spans="1:229" ht="9.9499999999999993" customHeight="1">
      <c r="A72" s="1951"/>
      <c r="B72" s="1952"/>
      <c r="C72" s="1952"/>
      <c r="D72" s="1952"/>
      <c r="E72" s="1952"/>
      <c r="F72" s="1952"/>
      <c r="G72" s="1952"/>
      <c r="H72" s="1952"/>
      <c r="I72" s="1952"/>
      <c r="J72" s="1952"/>
      <c r="K72" s="1952"/>
      <c r="L72" s="1953"/>
    </row>
    <row r="74" spans="1:229">
      <c r="I74" s="1244" t="s">
        <v>14057</v>
      </c>
      <c r="J74" s="396" t="s">
        <v>14058</v>
      </c>
      <c r="K74" t="s">
        <v>14032</v>
      </c>
    </row>
    <row r="76" spans="1:229">
      <c r="I76" t="s">
        <v>14059</v>
      </c>
    </row>
    <row r="77" spans="1:229">
      <c r="I77" s="621" t="s">
        <v>14060</v>
      </c>
    </row>
    <row r="78" spans="1:229">
      <c r="I78" s="621" t="s">
        <v>14061</v>
      </c>
    </row>
  </sheetData>
  <mergeCells count="79">
    <mergeCell ref="B6:L6"/>
    <mergeCell ref="A1:L1"/>
    <mergeCell ref="A2:L2"/>
    <mergeCell ref="A3:L3"/>
    <mergeCell ref="A4:L4"/>
    <mergeCell ref="A5:L5"/>
    <mergeCell ref="A12:A15"/>
    <mergeCell ref="B12:C15"/>
    <mergeCell ref="D12:D14"/>
    <mergeCell ref="E12:E13"/>
    <mergeCell ref="F12:F13"/>
    <mergeCell ref="B7:L7"/>
    <mergeCell ref="B8:L8"/>
    <mergeCell ref="B9:L9"/>
    <mergeCell ref="A10:L10"/>
    <mergeCell ref="A11:L11"/>
    <mergeCell ref="B21:C21"/>
    <mergeCell ref="G12:H12"/>
    <mergeCell ref="I12:J12"/>
    <mergeCell ref="K12:L12"/>
    <mergeCell ref="G13:G14"/>
    <mergeCell ref="H13:H14"/>
    <mergeCell ref="I13:I14"/>
    <mergeCell ref="J13:J14"/>
    <mergeCell ref="K13:K14"/>
    <mergeCell ref="L13:L14"/>
    <mergeCell ref="B16:C16"/>
    <mergeCell ref="B17:C17"/>
    <mergeCell ref="B18:C18"/>
    <mergeCell ref="B19:C19"/>
    <mergeCell ref="B20:C20"/>
    <mergeCell ref="B33:C33"/>
    <mergeCell ref="B22:C22"/>
    <mergeCell ref="B23:C23"/>
    <mergeCell ref="B24:C24"/>
    <mergeCell ref="B25:C25"/>
    <mergeCell ref="B26:C26"/>
    <mergeCell ref="B27:C27"/>
    <mergeCell ref="B28:C28"/>
    <mergeCell ref="B29:C29"/>
    <mergeCell ref="B30:C30"/>
    <mergeCell ref="B31:C31"/>
    <mergeCell ref="B32:C32"/>
    <mergeCell ref="B45:C45"/>
    <mergeCell ref="B34:C34"/>
    <mergeCell ref="B35:C35"/>
    <mergeCell ref="B36:C36"/>
    <mergeCell ref="B37:C37"/>
    <mergeCell ref="B38:C38"/>
    <mergeCell ref="B39:C39"/>
    <mergeCell ref="B40:C40"/>
    <mergeCell ref="B41:C41"/>
    <mergeCell ref="B42:C42"/>
    <mergeCell ref="B43:C43"/>
    <mergeCell ref="B44:C44"/>
    <mergeCell ref="B57:C57"/>
    <mergeCell ref="B46:C46"/>
    <mergeCell ref="B47:C47"/>
    <mergeCell ref="B48:C48"/>
    <mergeCell ref="B49:C49"/>
    <mergeCell ref="B50:C50"/>
    <mergeCell ref="B51:C51"/>
    <mergeCell ref="B52:C52"/>
    <mergeCell ref="B53:C53"/>
    <mergeCell ref="B54:C54"/>
    <mergeCell ref="B55:C55"/>
    <mergeCell ref="B56:C56"/>
    <mergeCell ref="A71:L72"/>
    <mergeCell ref="B58:C58"/>
    <mergeCell ref="B59:C59"/>
    <mergeCell ref="B60:C60"/>
    <mergeCell ref="B61:C61"/>
    <mergeCell ref="B62:C62"/>
    <mergeCell ref="B63:C63"/>
    <mergeCell ref="B64:C64"/>
    <mergeCell ref="B65:C65"/>
    <mergeCell ref="A66:C66"/>
    <mergeCell ref="A67:L68"/>
    <mergeCell ref="A69:L70"/>
  </mergeCells>
  <printOptions horizontalCentered="1"/>
  <pageMargins left="0.70866141732283472" right="0.70866141732283472" top="0.74803149606299213" bottom="0.74803149606299213" header="0.31496062992125984" footer="0.31496062992125984"/>
  <pageSetup paperSize="9" scale="43" firstPageNumber="25" fitToHeight="0" orientation="portrait" useFirstPageNumber="1" r:id="rId1"/>
  <headerFooter scaleWithDoc="0"/>
  <drawing r:id="rId2"/>
</worksheet>
</file>

<file path=xl/worksheets/sheet32.xml><?xml version="1.0" encoding="utf-8"?>
<worksheet xmlns="http://schemas.openxmlformats.org/spreadsheetml/2006/main" xmlns:r="http://schemas.openxmlformats.org/officeDocument/2006/relationships">
  <sheetPr codeName="Plan25">
    <tabColor theme="1" tint="0.34998626667073579"/>
  </sheetPr>
  <dimension ref="A1:M130"/>
  <sheetViews>
    <sheetView showGridLines="0" view="pageBreakPreview" topLeftCell="A124" zoomScale="70" zoomScaleNormal="115" zoomScaleSheetLayoutView="70" workbookViewId="0">
      <selection activeCell="B9" sqref="B9:F9"/>
    </sheetView>
  </sheetViews>
  <sheetFormatPr defaultColWidth="9.140625" defaultRowHeight="15"/>
  <cols>
    <col min="2" max="2" width="6" customWidth="1"/>
    <col min="3" max="3" width="40.7109375" customWidth="1"/>
    <col min="4" max="6" width="15.7109375" customWidth="1"/>
    <col min="7" max="7" width="18.7109375" customWidth="1"/>
    <col min="8" max="8" width="15.7109375" customWidth="1"/>
    <col min="9" max="9" width="18.7109375" customWidth="1"/>
    <col min="10" max="10" width="15.7109375" customWidth="1"/>
    <col min="11" max="11" width="18.7109375" customWidth="1"/>
    <col min="12" max="12" width="15.7109375" customWidth="1"/>
    <col min="13" max="13" width="18.7109375" customWidth="1"/>
  </cols>
  <sheetData>
    <row r="1" spans="1:13" s="533" customFormat="1" ht="18">
      <c r="A1" s="1937" t="s">
        <v>2996</v>
      </c>
      <c r="B1" s="1938" t="s">
        <v>2996</v>
      </c>
      <c r="C1" s="1938" t="s">
        <v>2996</v>
      </c>
      <c r="D1" s="1938"/>
      <c r="E1" s="1938"/>
      <c r="F1" s="1938"/>
      <c r="G1" s="1938"/>
      <c r="H1" s="1938"/>
      <c r="I1" s="1938"/>
      <c r="J1" s="1938"/>
      <c r="K1" s="1938"/>
      <c r="L1" s="1938"/>
      <c r="M1" s="1939"/>
    </row>
    <row r="2" spans="1:13" s="533" customFormat="1" ht="14.25">
      <c r="A2" s="1940" t="s">
        <v>2997</v>
      </c>
      <c r="B2" s="1913" t="s">
        <v>13994</v>
      </c>
      <c r="C2" s="1913" t="s">
        <v>13994</v>
      </c>
      <c r="D2" s="1913"/>
      <c r="E2" s="1913"/>
      <c r="F2" s="1913"/>
      <c r="G2" s="1913"/>
      <c r="H2" s="1913"/>
      <c r="I2" s="1913"/>
      <c r="J2" s="1913"/>
      <c r="K2" s="1913"/>
      <c r="L2" s="1913"/>
      <c r="M2" s="1941"/>
    </row>
    <row r="3" spans="1:13" s="533" customFormat="1" ht="14.25">
      <c r="A3" s="1942" t="s">
        <v>2998</v>
      </c>
      <c r="B3" s="1916" t="s">
        <v>13995</v>
      </c>
      <c r="C3" s="1916" t="s">
        <v>13995</v>
      </c>
      <c r="D3" s="1916"/>
      <c r="E3" s="1916"/>
      <c r="F3" s="1916"/>
      <c r="G3" s="1916"/>
      <c r="H3" s="1916"/>
      <c r="I3" s="1916"/>
      <c r="J3" s="1916"/>
      <c r="K3" s="1916"/>
      <c r="L3" s="1916"/>
      <c r="M3" s="1943"/>
    </row>
    <row r="4" spans="1:13" s="533" customFormat="1" ht="14.25">
      <c r="A4" s="1942" t="s">
        <v>3063</v>
      </c>
      <c r="B4" s="1916" t="s">
        <v>3063</v>
      </c>
      <c r="C4" s="1916" t="s">
        <v>3063</v>
      </c>
      <c r="D4" s="1916"/>
      <c r="E4" s="1916"/>
      <c r="F4" s="1916"/>
      <c r="G4" s="1916"/>
      <c r="H4" s="1916"/>
      <c r="I4" s="1916"/>
      <c r="J4" s="1916"/>
      <c r="K4" s="1916"/>
      <c r="L4" s="1916"/>
      <c r="M4" s="1943"/>
    </row>
    <row r="5" spans="1:13" s="533" customFormat="1" ht="14.25">
      <c r="A5" s="1942" t="s">
        <v>2999</v>
      </c>
      <c r="B5" s="1916" t="s">
        <v>2999</v>
      </c>
      <c r="C5" s="1916" t="s">
        <v>2999</v>
      </c>
      <c r="D5" s="1916"/>
      <c r="E5" s="1916"/>
      <c r="F5" s="1916"/>
      <c r="G5" s="1916"/>
      <c r="H5" s="1916"/>
      <c r="I5" s="1916"/>
      <c r="J5" s="1916"/>
      <c r="K5" s="1916"/>
      <c r="L5" s="1916"/>
      <c r="M5" s="1943"/>
    </row>
    <row r="6" spans="1:13" s="533" customFormat="1" ht="15" customHeight="1">
      <c r="A6" s="1245" t="s">
        <v>6</v>
      </c>
      <c r="B6" s="1907" t="str">
        <f>'REMOÇÃO DE PAV. ADUTORA'!B6:F6</f>
        <v xml:space="preserve">SISTEMA DE ABASTECIMENTO DE ÁGUA </v>
      </c>
      <c r="C6" s="1907"/>
      <c r="D6" s="1907"/>
      <c r="E6" s="1907"/>
      <c r="F6" s="1907"/>
      <c r="G6" s="1907"/>
      <c r="H6" s="1907"/>
      <c r="I6" s="1907"/>
      <c r="J6" s="1907"/>
      <c r="K6" s="1907"/>
      <c r="L6" s="1907"/>
      <c r="M6" s="1936"/>
    </row>
    <row r="7" spans="1:13" s="533" customFormat="1" ht="14.25">
      <c r="A7" s="1246" t="s">
        <v>8</v>
      </c>
      <c r="B7" s="1888" t="str">
        <f>'REMOÇÃO DE PAV. ADUTORA'!B7:F7</f>
        <v>SETOR PIONEIRO - MUNICÍPIO DE APIACÁS</v>
      </c>
      <c r="C7" s="1889"/>
      <c r="D7" s="1889"/>
      <c r="E7" s="1889"/>
      <c r="F7" s="1889"/>
      <c r="G7" s="1889"/>
      <c r="H7" s="1889"/>
      <c r="I7" s="1889"/>
      <c r="J7" s="1889"/>
      <c r="K7" s="1889"/>
      <c r="L7" s="1889"/>
      <c r="M7" s="1929"/>
    </row>
    <row r="8" spans="1:13" s="533" customFormat="1" ht="14.25">
      <c r="A8" s="1246" t="s">
        <v>13672</v>
      </c>
      <c r="B8" s="1889" t="str">
        <f>'REMOÇÃO DE PAV. ADUTORA'!B8:F8</f>
        <v>PREFEITURA MUNICIPAL DE APIACÁS</v>
      </c>
      <c r="C8" s="1889"/>
      <c r="D8" s="1889"/>
      <c r="E8" s="1889"/>
      <c r="F8" s="1889"/>
      <c r="G8" s="1889"/>
      <c r="H8" s="1889"/>
      <c r="I8" s="1889"/>
      <c r="J8" s="1889"/>
      <c r="K8" s="1889"/>
      <c r="L8" s="1889"/>
      <c r="M8" s="1929"/>
    </row>
    <row r="9" spans="1:13" s="533" customFormat="1" ht="15.75" customHeight="1">
      <c r="A9" s="1247" t="s">
        <v>3064</v>
      </c>
      <c r="B9" s="1891">
        <f ca="1">'REMOÇÃO DE PAV. ADUTORA'!B9:F9</f>
        <v>45167</v>
      </c>
      <c r="C9" s="1930"/>
      <c r="D9" s="1930"/>
      <c r="E9" s="1930"/>
      <c r="F9" s="1930"/>
      <c r="G9" s="1930"/>
      <c r="H9" s="1930"/>
      <c r="I9" s="1930"/>
      <c r="J9" s="1930"/>
      <c r="K9" s="1930"/>
      <c r="L9" s="1930"/>
      <c r="M9" s="1931"/>
    </row>
    <row r="10" spans="1:13" s="533" customFormat="1" ht="30.75" customHeight="1">
      <c r="A10" s="1932" t="s">
        <v>14216</v>
      </c>
      <c r="B10" s="1895"/>
      <c r="C10" s="1895"/>
      <c r="D10" s="1895"/>
      <c r="E10" s="1895"/>
      <c r="F10" s="1895"/>
      <c r="G10" s="1895"/>
      <c r="H10" s="1895"/>
      <c r="I10" s="1895"/>
      <c r="J10" s="1895"/>
      <c r="K10" s="1895"/>
      <c r="L10" s="1895"/>
      <c r="M10" s="1933"/>
    </row>
    <row r="11" spans="1:13" ht="27" customHeight="1">
      <c r="A11" s="1969" t="s">
        <v>14063</v>
      </c>
      <c r="B11" s="1970"/>
      <c r="C11" s="1970"/>
      <c r="D11" s="1970"/>
      <c r="E11" s="1970"/>
      <c r="F11" s="1970"/>
      <c r="G11" s="1970"/>
      <c r="H11" s="1970"/>
      <c r="I11" s="1970"/>
      <c r="J11" s="1970"/>
      <c r="K11" s="1970"/>
      <c r="L11" s="1970"/>
      <c r="M11" s="1971"/>
    </row>
    <row r="12" spans="1:13" ht="27" customHeight="1">
      <c r="A12" s="1934" t="s">
        <v>11</v>
      </c>
      <c r="B12" s="1899" t="s">
        <v>13997</v>
      </c>
      <c r="C12" s="1900"/>
      <c r="D12" s="1925" t="s">
        <v>14049</v>
      </c>
      <c r="E12" s="1969" t="s">
        <v>14064</v>
      </c>
      <c r="F12" s="1971"/>
      <c r="G12" s="1923" t="s">
        <v>14065</v>
      </c>
      <c r="H12" s="1972" t="s">
        <v>14066</v>
      </c>
      <c r="I12" s="1958"/>
      <c r="J12" s="1972" t="s">
        <v>14067</v>
      </c>
      <c r="K12" s="1958"/>
      <c r="L12" s="1972" t="s">
        <v>14067</v>
      </c>
      <c r="M12" s="1958"/>
    </row>
    <row r="13" spans="1:13" ht="27" customHeight="1">
      <c r="A13" s="1934"/>
      <c r="B13" s="1899"/>
      <c r="C13" s="1900"/>
      <c r="D13" s="1925"/>
      <c r="E13" s="1232" t="s">
        <v>14055</v>
      </c>
      <c r="F13" s="1232" t="s">
        <v>3377</v>
      </c>
      <c r="G13" s="1925"/>
      <c r="H13" s="1248" t="s">
        <v>14013</v>
      </c>
      <c r="I13" s="1248" t="s">
        <v>14068</v>
      </c>
      <c r="J13" s="1248" t="s">
        <v>14013</v>
      </c>
      <c r="K13" s="1248" t="s">
        <v>14068</v>
      </c>
      <c r="L13" s="1248" t="s">
        <v>14013</v>
      </c>
      <c r="M13" s="1248" t="s">
        <v>14068</v>
      </c>
    </row>
    <row r="14" spans="1:13" ht="27" customHeight="1">
      <c r="A14" s="1935"/>
      <c r="B14" s="1901"/>
      <c r="C14" s="1902"/>
      <c r="D14" s="1233" t="s">
        <v>3378</v>
      </c>
      <c r="E14" s="1233" t="s">
        <v>14043</v>
      </c>
      <c r="F14" s="1233"/>
      <c r="G14" s="1233" t="s">
        <v>14069</v>
      </c>
      <c r="H14" s="1233" t="s">
        <v>14016</v>
      </c>
      <c r="I14" s="1233" t="s">
        <v>14070</v>
      </c>
      <c r="J14" s="1233" t="s">
        <v>14016</v>
      </c>
      <c r="K14" s="1233" t="s">
        <v>14070</v>
      </c>
      <c r="L14" s="1233" t="s">
        <v>14016</v>
      </c>
      <c r="M14" s="1233" t="s">
        <v>14070</v>
      </c>
    </row>
    <row r="15" spans="1:13" ht="27" customHeight="1">
      <c r="A15" s="1267">
        <v>1</v>
      </c>
      <c r="B15" s="1884" t="s">
        <v>14159</v>
      </c>
      <c r="C15" s="1885"/>
      <c r="D15" s="1268">
        <v>48.12</v>
      </c>
      <c r="E15" s="1278">
        <v>1.1999999999999999E-3</v>
      </c>
      <c r="F15" s="1268" t="s">
        <v>14071</v>
      </c>
      <c r="G15" s="1279">
        <f t="shared" ref="G15" si="0">TRUNC(D15*E15,3)</f>
        <v>5.7000000000000002E-2</v>
      </c>
      <c r="H15" s="1275">
        <v>30</v>
      </c>
      <c r="I15" s="1276">
        <f>TRUNC(G15*H15,3)</f>
        <v>1.71</v>
      </c>
      <c r="J15" s="1275">
        <v>942</v>
      </c>
      <c r="K15" s="1276">
        <f>TRUNC(G15*J15,3)</f>
        <v>53.694000000000003</v>
      </c>
      <c r="L15" s="1275">
        <v>0</v>
      </c>
      <c r="M15" s="1276">
        <f t="shared" ref="M15:M64" si="1">TRUNC(G15*L15,3)</f>
        <v>0</v>
      </c>
    </row>
    <row r="16" spans="1:13" ht="27" customHeight="1">
      <c r="A16" s="1280">
        <f>A15+1</f>
        <v>2</v>
      </c>
      <c r="B16" s="1884" t="s">
        <v>14160</v>
      </c>
      <c r="C16" s="1885"/>
      <c r="D16" s="1268">
        <v>20.47</v>
      </c>
      <c r="E16" s="1278">
        <v>1.1999999999999999E-3</v>
      </c>
      <c r="F16" s="1268" t="s">
        <v>14071</v>
      </c>
      <c r="G16" s="1279">
        <f>TRUNC(D16*E16,3)</f>
        <v>2.4E-2</v>
      </c>
      <c r="H16" s="1275">
        <v>30</v>
      </c>
      <c r="I16" s="1276">
        <f t="shared" ref="I16:I64" si="2">TRUNC(G16*H16,3)</f>
        <v>0.72</v>
      </c>
      <c r="J16" s="1275">
        <v>942</v>
      </c>
      <c r="K16" s="1276">
        <f>TRUNC(G16*J16,3)</f>
        <v>22.608000000000001</v>
      </c>
      <c r="L16" s="1275">
        <v>0</v>
      </c>
      <c r="M16" s="1276">
        <f t="shared" si="1"/>
        <v>0</v>
      </c>
    </row>
    <row r="17" spans="1:13" ht="27" customHeight="1">
      <c r="A17" s="1280">
        <f t="shared" ref="A17:A64" si="3">A16+1</f>
        <v>3</v>
      </c>
      <c r="B17" s="1884" t="s">
        <v>14161</v>
      </c>
      <c r="C17" s="1885"/>
      <c r="D17" s="1268">
        <v>44.92</v>
      </c>
      <c r="E17" s="1278">
        <v>1.1999999999999999E-3</v>
      </c>
      <c r="F17" s="1268" t="s">
        <v>14071</v>
      </c>
      <c r="G17" s="1279">
        <f t="shared" ref="G17:G64" si="4">TRUNC(D17*E17,3)</f>
        <v>5.2999999999999999E-2</v>
      </c>
      <c r="H17" s="1275">
        <v>30</v>
      </c>
      <c r="I17" s="1276">
        <f t="shared" si="2"/>
        <v>1.59</v>
      </c>
      <c r="J17" s="1275">
        <v>942</v>
      </c>
      <c r="K17" s="1276">
        <f t="shared" ref="K17:K64" si="5">TRUNC(G17*J17,3)</f>
        <v>49.926000000000002</v>
      </c>
      <c r="L17" s="1275">
        <v>0</v>
      </c>
      <c r="M17" s="1276">
        <f t="shared" si="1"/>
        <v>0</v>
      </c>
    </row>
    <row r="18" spans="1:13" ht="27" customHeight="1">
      <c r="A18" s="1280">
        <f t="shared" si="3"/>
        <v>4</v>
      </c>
      <c r="B18" s="1884" t="s">
        <v>14162</v>
      </c>
      <c r="C18" s="1885"/>
      <c r="D18" s="1268">
        <v>82.84</v>
      </c>
      <c r="E18" s="1278">
        <v>1.1999999999999999E-3</v>
      </c>
      <c r="F18" s="1268" t="s">
        <v>14071</v>
      </c>
      <c r="G18" s="1279">
        <f t="shared" si="4"/>
        <v>9.9000000000000005E-2</v>
      </c>
      <c r="H18" s="1275">
        <v>30</v>
      </c>
      <c r="I18" s="1276">
        <f t="shared" si="2"/>
        <v>2.97</v>
      </c>
      <c r="J18" s="1275">
        <v>942</v>
      </c>
      <c r="K18" s="1276">
        <f t="shared" si="5"/>
        <v>93.257999999999996</v>
      </c>
      <c r="L18" s="1275">
        <v>0</v>
      </c>
      <c r="M18" s="1276">
        <f t="shared" si="1"/>
        <v>0</v>
      </c>
    </row>
    <row r="19" spans="1:13" ht="27" customHeight="1">
      <c r="A19" s="1280">
        <f t="shared" si="3"/>
        <v>5</v>
      </c>
      <c r="B19" s="1884" t="s">
        <v>14163</v>
      </c>
      <c r="C19" s="1885"/>
      <c r="D19" s="1268">
        <v>73.69</v>
      </c>
      <c r="E19" s="1278">
        <v>1.1999999999999999E-3</v>
      </c>
      <c r="F19" s="1268" t="s">
        <v>14071</v>
      </c>
      <c r="G19" s="1279">
        <f t="shared" si="4"/>
        <v>8.7999999999999995E-2</v>
      </c>
      <c r="H19" s="1275">
        <v>30</v>
      </c>
      <c r="I19" s="1276">
        <f t="shared" si="2"/>
        <v>2.64</v>
      </c>
      <c r="J19" s="1275">
        <v>942</v>
      </c>
      <c r="K19" s="1276">
        <f t="shared" si="5"/>
        <v>82.896000000000001</v>
      </c>
      <c r="L19" s="1275">
        <v>0</v>
      </c>
      <c r="M19" s="1276">
        <f t="shared" si="1"/>
        <v>0</v>
      </c>
    </row>
    <row r="20" spans="1:13" ht="27" customHeight="1">
      <c r="A20" s="1280">
        <f t="shared" si="3"/>
        <v>6</v>
      </c>
      <c r="B20" s="1884" t="s">
        <v>14164</v>
      </c>
      <c r="C20" s="1885"/>
      <c r="D20" s="1268">
        <v>73.19</v>
      </c>
      <c r="E20" s="1278">
        <v>1.1999999999999999E-3</v>
      </c>
      <c r="F20" s="1268" t="s">
        <v>14071</v>
      </c>
      <c r="G20" s="1279">
        <f t="shared" si="4"/>
        <v>8.6999999999999994E-2</v>
      </c>
      <c r="H20" s="1275">
        <v>30</v>
      </c>
      <c r="I20" s="1276">
        <f t="shared" si="2"/>
        <v>2.61</v>
      </c>
      <c r="J20" s="1275">
        <v>942</v>
      </c>
      <c r="K20" s="1276">
        <f t="shared" si="5"/>
        <v>81.953999999999994</v>
      </c>
      <c r="L20" s="1275">
        <v>0</v>
      </c>
      <c r="M20" s="1276">
        <f t="shared" si="1"/>
        <v>0</v>
      </c>
    </row>
    <row r="21" spans="1:13" ht="27" customHeight="1">
      <c r="A21" s="1280">
        <f t="shared" si="3"/>
        <v>7</v>
      </c>
      <c r="B21" s="1884" t="s">
        <v>14165</v>
      </c>
      <c r="C21" s="1885"/>
      <c r="D21" s="1268">
        <v>75.84</v>
      </c>
      <c r="E21" s="1278">
        <v>1.1999999999999999E-3</v>
      </c>
      <c r="F21" s="1268" t="s">
        <v>14071</v>
      </c>
      <c r="G21" s="1279">
        <f t="shared" si="4"/>
        <v>9.0999999999999998E-2</v>
      </c>
      <c r="H21" s="1275">
        <v>30</v>
      </c>
      <c r="I21" s="1276">
        <f t="shared" si="2"/>
        <v>2.73</v>
      </c>
      <c r="J21" s="1275">
        <v>942</v>
      </c>
      <c r="K21" s="1276">
        <f t="shared" si="5"/>
        <v>85.721999999999994</v>
      </c>
      <c r="L21" s="1275">
        <v>0</v>
      </c>
      <c r="M21" s="1276">
        <f t="shared" si="1"/>
        <v>0</v>
      </c>
    </row>
    <row r="22" spans="1:13" ht="27" customHeight="1">
      <c r="A22" s="1280">
        <f t="shared" si="3"/>
        <v>8</v>
      </c>
      <c r="B22" s="1884" t="s">
        <v>14166</v>
      </c>
      <c r="C22" s="1885"/>
      <c r="D22" s="1268">
        <v>75.06</v>
      </c>
      <c r="E22" s="1278">
        <v>1.1999999999999999E-3</v>
      </c>
      <c r="F22" s="1268" t="s">
        <v>14071</v>
      </c>
      <c r="G22" s="1279">
        <f t="shared" si="4"/>
        <v>0.09</v>
      </c>
      <c r="H22" s="1275">
        <v>30</v>
      </c>
      <c r="I22" s="1276">
        <f t="shared" si="2"/>
        <v>2.7</v>
      </c>
      <c r="J22" s="1275">
        <v>942</v>
      </c>
      <c r="K22" s="1276">
        <f t="shared" si="5"/>
        <v>84.78</v>
      </c>
      <c r="L22" s="1275">
        <v>0</v>
      </c>
      <c r="M22" s="1276">
        <f t="shared" si="1"/>
        <v>0</v>
      </c>
    </row>
    <row r="23" spans="1:13" ht="27" customHeight="1">
      <c r="A23" s="1280">
        <f t="shared" si="3"/>
        <v>9</v>
      </c>
      <c r="B23" s="1884" t="s">
        <v>14167</v>
      </c>
      <c r="C23" s="1885"/>
      <c r="D23" s="1268">
        <v>47.62</v>
      </c>
      <c r="E23" s="1278">
        <v>1.1999999999999999E-3</v>
      </c>
      <c r="F23" s="1268" t="s">
        <v>14071</v>
      </c>
      <c r="G23" s="1279">
        <f t="shared" si="4"/>
        <v>5.7000000000000002E-2</v>
      </c>
      <c r="H23" s="1275">
        <v>30</v>
      </c>
      <c r="I23" s="1276">
        <f t="shared" si="2"/>
        <v>1.71</v>
      </c>
      <c r="J23" s="1275">
        <v>942</v>
      </c>
      <c r="K23" s="1276">
        <f t="shared" si="5"/>
        <v>53.694000000000003</v>
      </c>
      <c r="L23" s="1275">
        <v>0</v>
      </c>
      <c r="M23" s="1276">
        <f t="shared" si="1"/>
        <v>0</v>
      </c>
    </row>
    <row r="24" spans="1:13" ht="27" customHeight="1">
      <c r="A24" s="1280">
        <f t="shared" si="3"/>
        <v>10</v>
      </c>
      <c r="B24" s="1884" t="s">
        <v>14168</v>
      </c>
      <c r="C24" s="1885"/>
      <c r="D24" s="1268">
        <v>51.8</v>
      </c>
      <c r="E24" s="1278">
        <v>1.1999999999999999E-3</v>
      </c>
      <c r="F24" s="1268" t="s">
        <v>14071</v>
      </c>
      <c r="G24" s="1279">
        <f>TRUNC(D24*E24,3)</f>
        <v>6.2E-2</v>
      </c>
      <c r="H24" s="1275">
        <v>30</v>
      </c>
      <c r="I24" s="1276">
        <f t="shared" si="2"/>
        <v>1.86</v>
      </c>
      <c r="J24" s="1275">
        <v>942</v>
      </c>
      <c r="K24" s="1276">
        <f t="shared" si="5"/>
        <v>58.404000000000003</v>
      </c>
      <c r="L24" s="1275">
        <v>0</v>
      </c>
      <c r="M24" s="1276">
        <f t="shared" si="1"/>
        <v>0</v>
      </c>
    </row>
    <row r="25" spans="1:13" ht="27" customHeight="1">
      <c r="A25" s="1280">
        <f t="shared" si="3"/>
        <v>11</v>
      </c>
      <c r="B25" s="1884" t="s">
        <v>14169</v>
      </c>
      <c r="C25" s="1885"/>
      <c r="D25" s="1268">
        <v>50.64</v>
      </c>
      <c r="E25" s="1278">
        <v>1.1999999999999999E-3</v>
      </c>
      <c r="F25" s="1268" t="s">
        <v>14071</v>
      </c>
      <c r="G25" s="1279">
        <f t="shared" si="4"/>
        <v>0.06</v>
      </c>
      <c r="H25" s="1275">
        <v>30</v>
      </c>
      <c r="I25" s="1276">
        <f t="shared" si="2"/>
        <v>1.8</v>
      </c>
      <c r="J25" s="1275">
        <v>942</v>
      </c>
      <c r="K25" s="1276">
        <f t="shared" si="5"/>
        <v>56.52</v>
      </c>
      <c r="L25" s="1275">
        <v>0</v>
      </c>
      <c r="M25" s="1276">
        <f t="shared" si="1"/>
        <v>0</v>
      </c>
    </row>
    <row r="26" spans="1:13" ht="27" customHeight="1">
      <c r="A26" s="1280">
        <f t="shared" si="3"/>
        <v>12</v>
      </c>
      <c r="B26" s="1884" t="s">
        <v>14170</v>
      </c>
      <c r="C26" s="1885"/>
      <c r="D26" s="1268">
        <v>51</v>
      </c>
      <c r="E26" s="1278">
        <v>1.1999999999999999E-3</v>
      </c>
      <c r="F26" s="1268" t="s">
        <v>14071</v>
      </c>
      <c r="G26" s="1279">
        <f t="shared" si="4"/>
        <v>6.0999999999999999E-2</v>
      </c>
      <c r="H26" s="1275">
        <v>30</v>
      </c>
      <c r="I26" s="1276">
        <f t="shared" si="2"/>
        <v>1.83</v>
      </c>
      <c r="J26" s="1275">
        <v>942</v>
      </c>
      <c r="K26" s="1276">
        <f t="shared" si="5"/>
        <v>57.462000000000003</v>
      </c>
      <c r="L26" s="1275">
        <v>0</v>
      </c>
      <c r="M26" s="1276">
        <f t="shared" si="1"/>
        <v>0</v>
      </c>
    </row>
    <row r="27" spans="1:13" ht="27" customHeight="1">
      <c r="A27" s="1280">
        <f t="shared" si="3"/>
        <v>13</v>
      </c>
      <c r="B27" s="1884" t="s">
        <v>14171</v>
      </c>
      <c r="C27" s="1885"/>
      <c r="D27" s="1268">
        <v>49.11</v>
      </c>
      <c r="E27" s="1278">
        <v>1.1999999999999999E-3</v>
      </c>
      <c r="F27" s="1268" t="s">
        <v>14071</v>
      </c>
      <c r="G27" s="1279">
        <f t="shared" si="4"/>
        <v>5.8000000000000003E-2</v>
      </c>
      <c r="H27" s="1275">
        <v>30</v>
      </c>
      <c r="I27" s="1276">
        <f t="shared" si="2"/>
        <v>1.74</v>
      </c>
      <c r="J27" s="1275">
        <v>942</v>
      </c>
      <c r="K27" s="1276">
        <f t="shared" si="5"/>
        <v>54.636000000000003</v>
      </c>
      <c r="L27" s="1275">
        <v>0</v>
      </c>
      <c r="M27" s="1276">
        <f t="shared" si="1"/>
        <v>0</v>
      </c>
    </row>
    <row r="28" spans="1:13" ht="27" customHeight="1">
      <c r="A28" s="1280">
        <f t="shared" si="3"/>
        <v>14</v>
      </c>
      <c r="B28" s="1884" t="s">
        <v>14172</v>
      </c>
      <c r="C28" s="1885"/>
      <c r="D28" s="1268">
        <v>46</v>
      </c>
      <c r="E28" s="1278">
        <v>1.1999999999999999E-3</v>
      </c>
      <c r="F28" s="1268" t="s">
        <v>14071</v>
      </c>
      <c r="G28" s="1279">
        <f t="shared" si="4"/>
        <v>5.5E-2</v>
      </c>
      <c r="H28" s="1275">
        <v>30</v>
      </c>
      <c r="I28" s="1276">
        <f t="shared" si="2"/>
        <v>1.65</v>
      </c>
      <c r="J28" s="1275">
        <v>942</v>
      </c>
      <c r="K28" s="1276">
        <f t="shared" si="5"/>
        <v>51.81</v>
      </c>
      <c r="L28" s="1275">
        <v>0</v>
      </c>
      <c r="M28" s="1276">
        <f t="shared" si="1"/>
        <v>0</v>
      </c>
    </row>
    <row r="29" spans="1:13" ht="27" customHeight="1">
      <c r="A29" s="1280">
        <f t="shared" si="3"/>
        <v>15</v>
      </c>
      <c r="B29" s="1884" t="s">
        <v>14173</v>
      </c>
      <c r="C29" s="1885"/>
      <c r="D29" s="1268">
        <v>82.95</v>
      </c>
      <c r="E29" s="1278">
        <v>1.1999999999999999E-3</v>
      </c>
      <c r="F29" s="1268" t="s">
        <v>14071</v>
      </c>
      <c r="G29" s="1279">
        <f t="shared" si="4"/>
        <v>9.9000000000000005E-2</v>
      </c>
      <c r="H29" s="1275">
        <v>30</v>
      </c>
      <c r="I29" s="1276">
        <f t="shared" si="2"/>
        <v>2.97</v>
      </c>
      <c r="J29" s="1275">
        <v>942</v>
      </c>
      <c r="K29" s="1276">
        <f t="shared" si="5"/>
        <v>93.257999999999996</v>
      </c>
      <c r="L29" s="1275">
        <v>0</v>
      </c>
      <c r="M29" s="1276">
        <f t="shared" si="1"/>
        <v>0</v>
      </c>
    </row>
    <row r="30" spans="1:13" ht="27" customHeight="1">
      <c r="A30" s="1280">
        <f t="shared" si="3"/>
        <v>16</v>
      </c>
      <c r="B30" s="1884" t="s">
        <v>14174</v>
      </c>
      <c r="C30" s="1885"/>
      <c r="D30" s="1268">
        <v>82.03</v>
      </c>
      <c r="E30" s="1278">
        <v>1.1999999999999999E-3</v>
      </c>
      <c r="F30" s="1268" t="s">
        <v>14071</v>
      </c>
      <c r="G30" s="1279">
        <f t="shared" si="4"/>
        <v>9.8000000000000004E-2</v>
      </c>
      <c r="H30" s="1275">
        <v>30</v>
      </c>
      <c r="I30" s="1276">
        <f t="shared" si="2"/>
        <v>2.94</v>
      </c>
      <c r="J30" s="1275">
        <v>942</v>
      </c>
      <c r="K30" s="1276">
        <f t="shared" si="5"/>
        <v>92.316000000000003</v>
      </c>
      <c r="L30" s="1275">
        <v>0</v>
      </c>
      <c r="M30" s="1276">
        <f t="shared" si="1"/>
        <v>0</v>
      </c>
    </row>
    <row r="31" spans="1:13" ht="27" customHeight="1">
      <c r="A31" s="1280">
        <f t="shared" si="3"/>
        <v>17</v>
      </c>
      <c r="B31" s="1884" t="s">
        <v>14175</v>
      </c>
      <c r="C31" s="1885"/>
      <c r="D31" s="1268">
        <v>81.63</v>
      </c>
      <c r="E31" s="1278">
        <v>1.1999999999999999E-3</v>
      </c>
      <c r="F31" s="1268" t="s">
        <v>14071</v>
      </c>
      <c r="G31" s="1279">
        <f t="shared" si="4"/>
        <v>9.7000000000000003E-2</v>
      </c>
      <c r="H31" s="1275">
        <v>30</v>
      </c>
      <c r="I31" s="1276">
        <f t="shared" si="2"/>
        <v>2.91</v>
      </c>
      <c r="J31" s="1275">
        <v>942</v>
      </c>
      <c r="K31" s="1276">
        <f t="shared" si="5"/>
        <v>91.373999999999995</v>
      </c>
      <c r="L31" s="1275">
        <v>0</v>
      </c>
      <c r="M31" s="1276">
        <f t="shared" si="1"/>
        <v>0</v>
      </c>
    </row>
    <row r="32" spans="1:13" ht="27" customHeight="1">
      <c r="A32" s="1280">
        <f t="shared" si="3"/>
        <v>18</v>
      </c>
      <c r="B32" s="1884" t="s">
        <v>14176</v>
      </c>
      <c r="C32" s="1885"/>
      <c r="D32" s="1268">
        <v>59.29</v>
      </c>
      <c r="E32" s="1278">
        <v>1.1999999999999999E-3</v>
      </c>
      <c r="F32" s="1268" t="s">
        <v>14071</v>
      </c>
      <c r="G32" s="1279">
        <f t="shared" si="4"/>
        <v>7.0999999999999994E-2</v>
      </c>
      <c r="H32" s="1275">
        <v>30</v>
      </c>
      <c r="I32" s="1276">
        <f t="shared" si="2"/>
        <v>2.13</v>
      </c>
      <c r="J32" s="1275">
        <v>942</v>
      </c>
      <c r="K32" s="1276">
        <f t="shared" si="5"/>
        <v>66.882000000000005</v>
      </c>
      <c r="L32" s="1275">
        <v>0</v>
      </c>
      <c r="M32" s="1276">
        <f t="shared" si="1"/>
        <v>0</v>
      </c>
    </row>
    <row r="33" spans="1:13" ht="27" customHeight="1">
      <c r="A33" s="1280">
        <f t="shared" si="3"/>
        <v>19</v>
      </c>
      <c r="B33" s="1884" t="s">
        <v>14177</v>
      </c>
      <c r="C33" s="1885"/>
      <c r="D33" s="1268">
        <v>60.59</v>
      </c>
      <c r="E33" s="1278">
        <v>1.1999999999999999E-3</v>
      </c>
      <c r="F33" s="1268" t="s">
        <v>14071</v>
      </c>
      <c r="G33" s="1279">
        <f t="shared" si="4"/>
        <v>7.1999999999999995E-2</v>
      </c>
      <c r="H33" s="1275">
        <v>30</v>
      </c>
      <c r="I33" s="1276">
        <f t="shared" si="2"/>
        <v>2.16</v>
      </c>
      <c r="J33" s="1275">
        <v>942</v>
      </c>
      <c r="K33" s="1276">
        <f t="shared" si="5"/>
        <v>67.823999999999998</v>
      </c>
      <c r="L33" s="1275">
        <v>0</v>
      </c>
      <c r="M33" s="1276">
        <f t="shared" si="1"/>
        <v>0</v>
      </c>
    </row>
    <row r="34" spans="1:13" ht="27" customHeight="1">
      <c r="A34" s="1280">
        <f t="shared" si="3"/>
        <v>20</v>
      </c>
      <c r="B34" s="1884" t="s">
        <v>14178</v>
      </c>
      <c r="C34" s="1885"/>
      <c r="D34" s="1268">
        <v>54.72</v>
      </c>
      <c r="E34" s="1278">
        <v>1.1999999999999999E-3</v>
      </c>
      <c r="F34" s="1268" t="s">
        <v>14071</v>
      </c>
      <c r="G34" s="1279">
        <f t="shared" si="4"/>
        <v>6.5000000000000002E-2</v>
      </c>
      <c r="H34" s="1275">
        <v>30</v>
      </c>
      <c r="I34" s="1276">
        <f t="shared" si="2"/>
        <v>1.95</v>
      </c>
      <c r="J34" s="1275">
        <v>942</v>
      </c>
      <c r="K34" s="1276">
        <f t="shared" si="5"/>
        <v>61.23</v>
      </c>
      <c r="L34" s="1275">
        <v>0</v>
      </c>
      <c r="M34" s="1276">
        <f t="shared" si="1"/>
        <v>0</v>
      </c>
    </row>
    <row r="35" spans="1:13" ht="27" customHeight="1">
      <c r="A35" s="1280">
        <f t="shared" si="3"/>
        <v>21</v>
      </c>
      <c r="B35" s="1884" t="s">
        <v>14179</v>
      </c>
      <c r="C35" s="1885"/>
      <c r="D35" s="1268">
        <v>19.260000000000002</v>
      </c>
      <c r="E35" s="1278">
        <v>1.1999999999999999E-3</v>
      </c>
      <c r="F35" s="1268" t="s">
        <v>14071</v>
      </c>
      <c r="G35" s="1279">
        <f t="shared" si="4"/>
        <v>2.3E-2</v>
      </c>
      <c r="H35" s="1275">
        <v>30</v>
      </c>
      <c r="I35" s="1276">
        <f t="shared" si="2"/>
        <v>0.69</v>
      </c>
      <c r="J35" s="1275">
        <v>942</v>
      </c>
      <c r="K35" s="1276">
        <f t="shared" si="5"/>
        <v>21.666</v>
      </c>
      <c r="L35" s="1275">
        <v>0</v>
      </c>
      <c r="M35" s="1276">
        <f t="shared" si="1"/>
        <v>0</v>
      </c>
    </row>
    <row r="36" spans="1:13" ht="27" customHeight="1">
      <c r="A36" s="1280">
        <f t="shared" si="3"/>
        <v>22</v>
      </c>
      <c r="B36" s="1884" t="s">
        <v>14180</v>
      </c>
      <c r="C36" s="1885"/>
      <c r="D36" s="1268">
        <v>54.66</v>
      </c>
      <c r="E36" s="1278">
        <v>1.1999999999999999E-3</v>
      </c>
      <c r="F36" s="1268" t="s">
        <v>14071</v>
      </c>
      <c r="G36" s="1279">
        <f t="shared" si="4"/>
        <v>6.5000000000000002E-2</v>
      </c>
      <c r="H36" s="1275">
        <v>30</v>
      </c>
      <c r="I36" s="1276">
        <f t="shared" si="2"/>
        <v>1.95</v>
      </c>
      <c r="J36" s="1275">
        <v>942</v>
      </c>
      <c r="K36" s="1276">
        <f t="shared" si="5"/>
        <v>61.23</v>
      </c>
      <c r="L36" s="1275">
        <v>0</v>
      </c>
      <c r="M36" s="1276">
        <f t="shared" si="1"/>
        <v>0</v>
      </c>
    </row>
    <row r="37" spans="1:13" ht="27" customHeight="1">
      <c r="A37" s="1280">
        <f t="shared" si="3"/>
        <v>23</v>
      </c>
      <c r="B37" s="1884" t="s">
        <v>14181</v>
      </c>
      <c r="C37" s="1885"/>
      <c r="D37" s="1268">
        <v>20.46</v>
      </c>
      <c r="E37" s="1278">
        <v>1.1999999999999999E-3</v>
      </c>
      <c r="F37" s="1268" t="s">
        <v>14071</v>
      </c>
      <c r="G37" s="1279">
        <f t="shared" si="4"/>
        <v>2.4E-2</v>
      </c>
      <c r="H37" s="1275">
        <v>30</v>
      </c>
      <c r="I37" s="1276">
        <f t="shared" si="2"/>
        <v>0.72</v>
      </c>
      <c r="J37" s="1275">
        <v>942</v>
      </c>
      <c r="K37" s="1276">
        <f t="shared" si="5"/>
        <v>22.608000000000001</v>
      </c>
      <c r="L37" s="1275">
        <v>0</v>
      </c>
      <c r="M37" s="1276">
        <f t="shared" si="1"/>
        <v>0</v>
      </c>
    </row>
    <row r="38" spans="1:13" ht="27" customHeight="1">
      <c r="A38" s="1280">
        <f t="shared" si="3"/>
        <v>24</v>
      </c>
      <c r="B38" s="1884" t="s">
        <v>14182</v>
      </c>
      <c r="C38" s="1885"/>
      <c r="D38" s="1268">
        <v>67.150000000000006</v>
      </c>
      <c r="E38" s="1278">
        <v>1.1999999999999999E-3</v>
      </c>
      <c r="F38" s="1268" t="s">
        <v>14071</v>
      </c>
      <c r="G38" s="1279">
        <f t="shared" si="4"/>
        <v>0.08</v>
      </c>
      <c r="H38" s="1275">
        <v>30</v>
      </c>
      <c r="I38" s="1276">
        <f t="shared" si="2"/>
        <v>2.4</v>
      </c>
      <c r="J38" s="1275">
        <v>942</v>
      </c>
      <c r="K38" s="1276">
        <f t="shared" si="5"/>
        <v>75.36</v>
      </c>
      <c r="L38" s="1275">
        <v>0</v>
      </c>
      <c r="M38" s="1276">
        <f t="shared" si="1"/>
        <v>0</v>
      </c>
    </row>
    <row r="39" spans="1:13" ht="27" customHeight="1">
      <c r="A39" s="1280">
        <f t="shared" si="3"/>
        <v>25</v>
      </c>
      <c r="B39" s="1884" t="s">
        <v>14183</v>
      </c>
      <c r="C39" s="1885"/>
      <c r="D39" s="1268">
        <v>48.97</v>
      </c>
      <c r="E39" s="1278">
        <v>1.1999999999999999E-3</v>
      </c>
      <c r="F39" s="1268" t="s">
        <v>14071</v>
      </c>
      <c r="G39" s="1279">
        <f t="shared" si="4"/>
        <v>5.8000000000000003E-2</v>
      </c>
      <c r="H39" s="1275">
        <v>30</v>
      </c>
      <c r="I39" s="1276">
        <f t="shared" si="2"/>
        <v>1.74</v>
      </c>
      <c r="J39" s="1275">
        <v>942</v>
      </c>
      <c r="K39" s="1276">
        <f t="shared" si="5"/>
        <v>54.636000000000003</v>
      </c>
      <c r="L39" s="1275">
        <v>0</v>
      </c>
      <c r="M39" s="1276">
        <f t="shared" si="1"/>
        <v>0</v>
      </c>
    </row>
    <row r="40" spans="1:13" ht="27" customHeight="1">
      <c r="A40" s="1280">
        <f t="shared" si="3"/>
        <v>26</v>
      </c>
      <c r="B40" s="1884" t="s">
        <v>14184</v>
      </c>
      <c r="C40" s="1885"/>
      <c r="D40" s="1268">
        <v>50.71</v>
      </c>
      <c r="E40" s="1278">
        <v>1.1999999999999999E-3</v>
      </c>
      <c r="F40" s="1268" t="s">
        <v>14071</v>
      </c>
      <c r="G40" s="1279">
        <f t="shared" si="4"/>
        <v>0.06</v>
      </c>
      <c r="H40" s="1275">
        <v>30</v>
      </c>
      <c r="I40" s="1276">
        <f t="shared" si="2"/>
        <v>1.8</v>
      </c>
      <c r="J40" s="1275">
        <v>942</v>
      </c>
      <c r="K40" s="1276">
        <f t="shared" si="5"/>
        <v>56.52</v>
      </c>
      <c r="L40" s="1275">
        <v>0</v>
      </c>
      <c r="M40" s="1276">
        <f t="shared" si="1"/>
        <v>0</v>
      </c>
    </row>
    <row r="41" spans="1:13" ht="27" customHeight="1">
      <c r="A41" s="1280">
        <f t="shared" si="3"/>
        <v>27</v>
      </c>
      <c r="B41" s="1884" t="s">
        <v>14185</v>
      </c>
      <c r="C41" s="1885"/>
      <c r="D41" s="1268">
        <v>48.64</v>
      </c>
      <c r="E41" s="1278">
        <v>1.1999999999999999E-3</v>
      </c>
      <c r="F41" s="1268" t="s">
        <v>14071</v>
      </c>
      <c r="G41" s="1279">
        <f t="shared" si="4"/>
        <v>5.8000000000000003E-2</v>
      </c>
      <c r="H41" s="1275">
        <v>30</v>
      </c>
      <c r="I41" s="1276">
        <f t="shared" si="2"/>
        <v>1.74</v>
      </c>
      <c r="J41" s="1275">
        <v>942</v>
      </c>
      <c r="K41" s="1276">
        <f t="shared" si="5"/>
        <v>54.636000000000003</v>
      </c>
      <c r="L41" s="1275">
        <v>0</v>
      </c>
      <c r="M41" s="1276">
        <f t="shared" si="1"/>
        <v>0</v>
      </c>
    </row>
    <row r="42" spans="1:13" ht="27" customHeight="1">
      <c r="A42" s="1280">
        <f t="shared" si="3"/>
        <v>28</v>
      </c>
      <c r="B42" s="1884" t="s">
        <v>14186</v>
      </c>
      <c r="C42" s="1885"/>
      <c r="D42" s="1268">
        <v>54.2</v>
      </c>
      <c r="E42" s="1278">
        <v>1.1999999999999999E-3</v>
      </c>
      <c r="F42" s="1268" t="s">
        <v>14071</v>
      </c>
      <c r="G42" s="1279">
        <f t="shared" si="4"/>
        <v>6.5000000000000002E-2</v>
      </c>
      <c r="H42" s="1275">
        <v>30</v>
      </c>
      <c r="I42" s="1276">
        <f t="shared" si="2"/>
        <v>1.95</v>
      </c>
      <c r="J42" s="1275">
        <v>942</v>
      </c>
      <c r="K42" s="1276">
        <f t="shared" si="5"/>
        <v>61.23</v>
      </c>
      <c r="L42" s="1275">
        <v>0</v>
      </c>
      <c r="M42" s="1276">
        <f t="shared" si="1"/>
        <v>0</v>
      </c>
    </row>
    <row r="43" spans="1:13" ht="27" customHeight="1">
      <c r="A43" s="1280">
        <f t="shared" si="3"/>
        <v>29</v>
      </c>
      <c r="B43" s="1884" t="s">
        <v>14187</v>
      </c>
      <c r="C43" s="1885"/>
      <c r="D43" s="1268">
        <v>51.39</v>
      </c>
      <c r="E43" s="1278">
        <v>1.1999999999999999E-3</v>
      </c>
      <c r="F43" s="1268" t="s">
        <v>14071</v>
      </c>
      <c r="G43" s="1279">
        <f t="shared" si="4"/>
        <v>6.0999999999999999E-2</v>
      </c>
      <c r="H43" s="1275">
        <v>30</v>
      </c>
      <c r="I43" s="1276">
        <f t="shared" si="2"/>
        <v>1.83</v>
      </c>
      <c r="J43" s="1275">
        <v>942</v>
      </c>
      <c r="K43" s="1276">
        <f t="shared" si="5"/>
        <v>57.462000000000003</v>
      </c>
      <c r="L43" s="1275">
        <v>0</v>
      </c>
      <c r="M43" s="1276">
        <f t="shared" si="1"/>
        <v>0</v>
      </c>
    </row>
    <row r="44" spans="1:13" ht="27" customHeight="1">
      <c r="A44" s="1280">
        <f t="shared" si="3"/>
        <v>30</v>
      </c>
      <c r="B44" s="1884" t="s">
        <v>14188</v>
      </c>
      <c r="C44" s="1885"/>
      <c r="D44" s="1268">
        <v>52.46</v>
      </c>
      <c r="E44" s="1278">
        <v>1.1999999999999999E-3</v>
      </c>
      <c r="F44" s="1268" t="s">
        <v>14071</v>
      </c>
      <c r="G44" s="1279">
        <f t="shared" si="4"/>
        <v>6.2E-2</v>
      </c>
      <c r="H44" s="1275">
        <v>30</v>
      </c>
      <c r="I44" s="1276">
        <f t="shared" si="2"/>
        <v>1.86</v>
      </c>
      <c r="J44" s="1275">
        <v>942</v>
      </c>
      <c r="K44" s="1276">
        <f t="shared" si="5"/>
        <v>58.404000000000003</v>
      </c>
      <c r="L44" s="1275">
        <v>0</v>
      </c>
      <c r="M44" s="1276">
        <f t="shared" si="1"/>
        <v>0</v>
      </c>
    </row>
    <row r="45" spans="1:13" ht="27" customHeight="1">
      <c r="A45" s="1280">
        <f t="shared" si="3"/>
        <v>31</v>
      </c>
      <c r="B45" s="1884" t="s">
        <v>14189</v>
      </c>
      <c r="C45" s="1885"/>
      <c r="D45" s="1268">
        <v>54.42</v>
      </c>
      <c r="E45" s="1278">
        <v>1.1999999999999999E-3</v>
      </c>
      <c r="F45" s="1268" t="s">
        <v>14071</v>
      </c>
      <c r="G45" s="1279">
        <f t="shared" si="4"/>
        <v>6.5000000000000002E-2</v>
      </c>
      <c r="H45" s="1275">
        <v>30</v>
      </c>
      <c r="I45" s="1276">
        <f t="shared" si="2"/>
        <v>1.95</v>
      </c>
      <c r="J45" s="1275">
        <v>942</v>
      </c>
      <c r="K45" s="1276">
        <f t="shared" si="5"/>
        <v>61.23</v>
      </c>
      <c r="L45" s="1275">
        <v>0</v>
      </c>
      <c r="M45" s="1276">
        <f t="shared" si="1"/>
        <v>0</v>
      </c>
    </row>
    <row r="46" spans="1:13" ht="27" customHeight="1">
      <c r="A46" s="1280">
        <f t="shared" si="3"/>
        <v>32</v>
      </c>
      <c r="B46" s="1884" t="s">
        <v>14190</v>
      </c>
      <c r="C46" s="1885"/>
      <c r="D46" s="1268">
        <v>46.84</v>
      </c>
      <c r="E46" s="1278">
        <v>1.1999999999999999E-3</v>
      </c>
      <c r="F46" s="1268" t="s">
        <v>14071</v>
      </c>
      <c r="G46" s="1279">
        <f t="shared" si="4"/>
        <v>5.6000000000000001E-2</v>
      </c>
      <c r="H46" s="1275">
        <v>30</v>
      </c>
      <c r="I46" s="1276">
        <f t="shared" si="2"/>
        <v>1.68</v>
      </c>
      <c r="J46" s="1275">
        <v>942</v>
      </c>
      <c r="K46" s="1276">
        <f t="shared" si="5"/>
        <v>52.752000000000002</v>
      </c>
      <c r="L46" s="1275">
        <v>0</v>
      </c>
      <c r="M46" s="1276">
        <f t="shared" si="1"/>
        <v>0</v>
      </c>
    </row>
    <row r="47" spans="1:13" ht="27" customHeight="1">
      <c r="A47" s="1280">
        <f t="shared" si="3"/>
        <v>33</v>
      </c>
      <c r="B47" s="1884" t="s">
        <v>14191</v>
      </c>
      <c r="C47" s="1885"/>
      <c r="D47" s="1268">
        <v>50.72</v>
      </c>
      <c r="E47" s="1278">
        <v>1.1999999999999999E-3</v>
      </c>
      <c r="F47" s="1268" t="s">
        <v>14071</v>
      </c>
      <c r="G47" s="1279">
        <f t="shared" si="4"/>
        <v>0.06</v>
      </c>
      <c r="H47" s="1275">
        <v>30</v>
      </c>
      <c r="I47" s="1276">
        <f t="shared" si="2"/>
        <v>1.8</v>
      </c>
      <c r="J47" s="1275">
        <v>942</v>
      </c>
      <c r="K47" s="1276">
        <f t="shared" si="5"/>
        <v>56.52</v>
      </c>
      <c r="L47" s="1275">
        <v>0</v>
      </c>
      <c r="M47" s="1276">
        <f t="shared" si="1"/>
        <v>0</v>
      </c>
    </row>
    <row r="48" spans="1:13" ht="27" customHeight="1">
      <c r="A48" s="1280">
        <f t="shared" si="3"/>
        <v>34</v>
      </c>
      <c r="B48" s="1884" t="s">
        <v>14192</v>
      </c>
      <c r="C48" s="1885"/>
      <c r="D48" s="1268">
        <v>48.58</v>
      </c>
      <c r="E48" s="1278">
        <v>1.1999999999999999E-3</v>
      </c>
      <c r="F48" s="1268" t="s">
        <v>14071</v>
      </c>
      <c r="G48" s="1279">
        <f t="shared" si="4"/>
        <v>5.8000000000000003E-2</v>
      </c>
      <c r="H48" s="1275">
        <v>30</v>
      </c>
      <c r="I48" s="1276">
        <f t="shared" si="2"/>
        <v>1.74</v>
      </c>
      <c r="J48" s="1275">
        <v>942</v>
      </c>
      <c r="K48" s="1276">
        <f t="shared" si="5"/>
        <v>54.636000000000003</v>
      </c>
      <c r="L48" s="1275">
        <v>0</v>
      </c>
      <c r="M48" s="1276">
        <f t="shared" si="1"/>
        <v>0</v>
      </c>
    </row>
    <row r="49" spans="1:13" ht="27" customHeight="1">
      <c r="A49" s="1280">
        <f t="shared" si="3"/>
        <v>35</v>
      </c>
      <c r="B49" s="1884" t="s">
        <v>14193</v>
      </c>
      <c r="C49" s="1885"/>
      <c r="D49" s="1268">
        <v>16.079999999999998</v>
      </c>
      <c r="E49" s="1278">
        <v>1.1999999999999999E-3</v>
      </c>
      <c r="F49" s="1268" t="s">
        <v>14071</v>
      </c>
      <c r="G49" s="1279">
        <f t="shared" si="4"/>
        <v>1.9E-2</v>
      </c>
      <c r="H49" s="1275">
        <v>30</v>
      </c>
      <c r="I49" s="1276">
        <f t="shared" si="2"/>
        <v>0.56999999999999995</v>
      </c>
      <c r="J49" s="1275">
        <v>942</v>
      </c>
      <c r="K49" s="1276">
        <f t="shared" si="5"/>
        <v>17.898</v>
      </c>
      <c r="L49" s="1275">
        <v>0</v>
      </c>
      <c r="M49" s="1276">
        <f t="shared" si="1"/>
        <v>0</v>
      </c>
    </row>
    <row r="50" spans="1:13" ht="27" customHeight="1">
      <c r="A50" s="1280">
        <f t="shared" si="3"/>
        <v>36</v>
      </c>
      <c r="B50" s="1884" t="s">
        <v>14194</v>
      </c>
      <c r="C50" s="1885"/>
      <c r="D50" s="1268">
        <v>101.38</v>
      </c>
      <c r="E50" s="1278">
        <v>1.1999999999999999E-3</v>
      </c>
      <c r="F50" s="1268" t="s">
        <v>14071</v>
      </c>
      <c r="G50" s="1279">
        <f t="shared" si="4"/>
        <v>0.121</v>
      </c>
      <c r="H50" s="1275">
        <v>30</v>
      </c>
      <c r="I50" s="1276">
        <f t="shared" si="2"/>
        <v>3.63</v>
      </c>
      <c r="J50" s="1275">
        <v>942</v>
      </c>
      <c r="K50" s="1276">
        <f t="shared" si="5"/>
        <v>113.982</v>
      </c>
      <c r="L50" s="1275">
        <v>0</v>
      </c>
      <c r="M50" s="1276">
        <f t="shared" si="1"/>
        <v>0</v>
      </c>
    </row>
    <row r="51" spans="1:13" ht="27" customHeight="1">
      <c r="A51" s="1280">
        <f t="shared" si="3"/>
        <v>37</v>
      </c>
      <c r="B51" s="1884" t="s">
        <v>14195</v>
      </c>
      <c r="C51" s="1885"/>
      <c r="D51" s="1268">
        <v>81.209999999999994</v>
      </c>
      <c r="E51" s="1278">
        <v>1.1999999999999999E-3</v>
      </c>
      <c r="F51" s="1268" t="s">
        <v>14071</v>
      </c>
      <c r="G51" s="1279">
        <f t="shared" si="4"/>
        <v>9.7000000000000003E-2</v>
      </c>
      <c r="H51" s="1275">
        <v>30</v>
      </c>
      <c r="I51" s="1276">
        <f t="shared" si="2"/>
        <v>2.91</v>
      </c>
      <c r="J51" s="1275">
        <v>942</v>
      </c>
      <c r="K51" s="1276">
        <f t="shared" si="5"/>
        <v>91.373999999999995</v>
      </c>
      <c r="L51" s="1275">
        <v>0</v>
      </c>
      <c r="M51" s="1276">
        <f t="shared" si="1"/>
        <v>0</v>
      </c>
    </row>
    <row r="52" spans="1:13" ht="27" customHeight="1">
      <c r="A52" s="1280">
        <f t="shared" si="3"/>
        <v>38</v>
      </c>
      <c r="B52" s="1884" t="s">
        <v>14196</v>
      </c>
      <c r="C52" s="1885"/>
      <c r="D52" s="1268">
        <v>58.57</v>
      </c>
      <c r="E52" s="1278">
        <v>1.1999999999999999E-3</v>
      </c>
      <c r="F52" s="1268" t="s">
        <v>14071</v>
      </c>
      <c r="G52" s="1279">
        <f t="shared" si="4"/>
        <v>7.0000000000000007E-2</v>
      </c>
      <c r="H52" s="1275">
        <v>30</v>
      </c>
      <c r="I52" s="1276">
        <f t="shared" si="2"/>
        <v>2.1</v>
      </c>
      <c r="J52" s="1275">
        <v>942</v>
      </c>
      <c r="K52" s="1276">
        <f t="shared" si="5"/>
        <v>65.94</v>
      </c>
      <c r="L52" s="1275">
        <v>0</v>
      </c>
      <c r="M52" s="1276">
        <f t="shared" si="1"/>
        <v>0</v>
      </c>
    </row>
    <row r="53" spans="1:13" ht="27" customHeight="1">
      <c r="A53" s="1280">
        <f t="shared" si="3"/>
        <v>39</v>
      </c>
      <c r="B53" s="1884" t="s">
        <v>14197</v>
      </c>
      <c r="C53" s="1885"/>
      <c r="D53" s="1268">
        <v>103.12</v>
      </c>
      <c r="E53" s="1278">
        <v>1.1999999999999999E-3</v>
      </c>
      <c r="F53" s="1268" t="s">
        <v>14071</v>
      </c>
      <c r="G53" s="1279">
        <f t="shared" si="4"/>
        <v>0.123</v>
      </c>
      <c r="H53" s="1275">
        <v>30</v>
      </c>
      <c r="I53" s="1276">
        <f t="shared" si="2"/>
        <v>3.69</v>
      </c>
      <c r="J53" s="1275">
        <v>942</v>
      </c>
      <c r="K53" s="1276">
        <f t="shared" si="5"/>
        <v>115.866</v>
      </c>
      <c r="L53" s="1275">
        <v>0</v>
      </c>
      <c r="M53" s="1276">
        <f t="shared" si="1"/>
        <v>0</v>
      </c>
    </row>
    <row r="54" spans="1:13" ht="27" customHeight="1">
      <c r="A54" s="1280">
        <f t="shared" si="3"/>
        <v>40</v>
      </c>
      <c r="B54" s="1884" t="s">
        <v>14198</v>
      </c>
      <c r="C54" s="1885"/>
      <c r="D54" s="1268">
        <v>53.8</v>
      </c>
      <c r="E54" s="1278">
        <v>1.1999999999999999E-3</v>
      </c>
      <c r="F54" s="1268" t="s">
        <v>14071</v>
      </c>
      <c r="G54" s="1279">
        <f t="shared" si="4"/>
        <v>6.4000000000000001E-2</v>
      </c>
      <c r="H54" s="1275">
        <v>30</v>
      </c>
      <c r="I54" s="1276">
        <f t="shared" si="2"/>
        <v>1.92</v>
      </c>
      <c r="J54" s="1275">
        <v>942</v>
      </c>
      <c r="K54" s="1276">
        <f t="shared" si="5"/>
        <v>60.287999999999997</v>
      </c>
      <c r="L54" s="1275">
        <v>0</v>
      </c>
      <c r="M54" s="1276">
        <f t="shared" si="1"/>
        <v>0</v>
      </c>
    </row>
    <row r="55" spans="1:13" ht="27" customHeight="1">
      <c r="A55" s="1280">
        <f t="shared" si="3"/>
        <v>41</v>
      </c>
      <c r="B55" s="1884" t="s">
        <v>14199</v>
      </c>
      <c r="C55" s="1885"/>
      <c r="D55" s="1268">
        <v>58.18</v>
      </c>
      <c r="E55" s="1278">
        <v>1.1999999999999999E-3</v>
      </c>
      <c r="F55" s="1268" t="s">
        <v>14071</v>
      </c>
      <c r="G55" s="1279">
        <f t="shared" si="4"/>
        <v>6.9000000000000006E-2</v>
      </c>
      <c r="H55" s="1275">
        <v>30</v>
      </c>
      <c r="I55" s="1276">
        <f t="shared" si="2"/>
        <v>2.0699999999999998</v>
      </c>
      <c r="J55" s="1275">
        <v>942</v>
      </c>
      <c r="K55" s="1276">
        <f t="shared" si="5"/>
        <v>64.998000000000005</v>
      </c>
      <c r="L55" s="1275">
        <v>0</v>
      </c>
      <c r="M55" s="1276">
        <f t="shared" si="1"/>
        <v>0</v>
      </c>
    </row>
    <row r="56" spans="1:13" ht="27" customHeight="1">
      <c r="A56" s="1280">
        <f t="shared" si="3"/>
        <v>42</v>
      </c>
      <c r="B56" s="1884" t="s">
        <v>14200</v>
      </c>
      <c r="C56" s="1885"/>
      <c r="D56" s="1268">
        <v>60.92</v>
      </c>
      <c r="E56" s="1278">
        <v>1.1999999999999999E-3</v>
      </c>
      <c r="F56" s="1268" t="s">
        <v>14071</v>
      </c>
      <c r="G56" s="1279">
        <f t="shared" si="4"/>
        <v>7.2999999999999995E-2</v>
      </c>
      <c r="H56" s="1275">
        <v>30</v>
      </c>
      <c r="I56" s="1276">
        <f t="shared" si="2"/>
        <v>2.19</v>
      </c>
      <c r="J56" s="1275">
        <v>942</v>
      </c>
      <c r="K56" s="1276">
        <f t="shared" si="5"/>
        <v>68.766000000000005</v>
      </c>
      <c r="L56" s="1275">
        <v>0</v>
      </c>
      <c r="M56" s="1276">
        <f t="shared" si="1"/>
        <v>0</v>
      </c>
    </row>
    <row r="57" spans="1:13" ht="27" customHeight="1">
      <c r="A57" s="1280">
        <f t="shared" si="3"/>
        <v>43</v>
      </c>
      <c r="B57" s="1884" t="s">
        <v>14201</v>
      </c>
      <c r="C57" s="1885"/>
      <c r="D57" s="1268">
        <v>50.38</v>
      </c>
      <c r="E57" s="1278">
        <v>1.1999999999999999E-3</v>
      </c>
      <c r="F57" s="1268" t="s">
        <v>14071</v>
      </c>
      <c r="G57" s="1279">
        <f t="shared" si="4"/>
        <v>0.06</v>
      </c>
      <c r="H57" s="1275">
        <v>30</v>
      </c>
      <c r="I57" s="1276">
        <f t="shared" si="2"/>
        <v>1.8</v>
      </c>
      <c r="J57" s="1275">
        <v>942</v>
      </c>
      <c r="K57" s="1276">
        <f t="shared" si="5"/>
        <v>56.52</v>
      </c>
      <c r="L57" s="1275">
        <v>0</v>
      </c>
      <c r="M57" s="1276">
        <f t="shared" si="1"/>
        <v>0</v>
      </c>
    </row>
    <row r="58" spans="1:13" ht="27" customHeight="1">
      <c r="A58" s="1280">
        <f t="shared" si="3"/>
        <v>44</v>
      </c>
      <c r="B58" s="1884" t="s">
        <v>14202</v>
      </c>
      <c r="C58" s="1885"/>
      <c r="D58" s="1268">
        <v>56.22</v>
      </c>
      <c r="E58" s="1278">
        <v>1.1999999999999999E-3</v>
      </c>
      <c r="F58" s="1268" t="s">
        <v>14071</v>
      </c>
      <c r="G58" s="1279">
        <f t="shared" si="4"/>
        <v>6.7000000000000004E-2</v>
      </c>
      <c r="H58" s="1275">
        <v>30</v>
      </c>
      <c r="I58" s="1276">
        <f t="shared" si="2"/>
        <v>2.0099999999999998</v>
      </c>
      <c r="J58" s="1275">
        <v>942</v>
      </c>
      <c r="K58" s="1276">
        <f t="shared" si="5"/>
        <v>63.113999999999997</v>
      </c>
      <c r="L58" s="1275">
        <v>0</v>
      </c>
      <c r="M58" s="1276">
        <f t="shared" si="1"/>
        <v>0</v>
      </c>
    </row>
    <row r="59" spans="1:13" ht="27" customHeight="1">
      <c r="A59" s="1280">
        <f t="shared" si="3"/>
        <v>45</v>
      </c>
      <c r="B59" s="1884" t="s">
        <v>14203</v>
      </c>
      <c r="C59" s="1885"/>
      <c r="D59" s="1268">
        <v>47.51</v>
      </c>
      <c r="E59" s="1278">
        <v>1.1999999999999999E-3</v>
      </c>
      <c r="F59" s="1268" t="s">
        <v>14071</v>
      </c>
      <c r="G59" s="1279">
        <f t="shared" si="4"/>
        <v>5.7000000000000002E-2</v>
      </c>
      <c r="H59" s="1275">
        <v>30</v>
      </c>
      <c r="I59" s="1276">
        <f t="shared" si="2"/>
        <v>1.71</v>
      </c>
      <c r="J59" s="1275">
        <v>942</v>
      </c>
      <c r="K59" s="1276">
        <f t="shared" si="5"/>
        <v>53.694000000000003</v>
      </c>
      <c r="L59" s="1275">
        <v>0</v>
      </c>
      <c r="M59" s="1276">
        <f t="shared" si="1"/>
        <v>0</v>
      </c>
    </row>
    <row r="60" spans="1:13" ht="27" customHeight="1">
      <c r="A60" s="1280">
        <f t="shared" si="3"/>
        <v>46</v>
      </c>
      <c r="B60" s="1884" t="s">
        <v>14204</v>
      </c>
      <c r="C60" s="1885"/>
      <c r="D60" s="1268">
        <v>48.91</v>
      </c>
      <c r="E60" s="1278">
        <v>1.1999999999999999E-3</v>
      </c>
      <c r="F60" s="1268" t="s">
        <v>14071</v>
      </c>
      <c r="G60" s="1279">
        <f t="shared" si="4"/>
        <v>5.8000000000000003E-2</v>
      </c>
      <c r="H60" s="1275">
        <v>30</v>
      </c>
      <c r="I60" s="1276">
        <f t="shared" si="2"/>
        <v>1.74</v>
      </c>
      <c r="J60" s="1275">
        <v>942</v>
      </c>
      <c r="K60" s="1276">
        <f t="shared" si="5"/>
        <v>54.636000000000003</v>
      </c>
      <c r="L60" s="1275">
        <v>0</v>
      </c>
      <c r="M60" s="1276">
        <f t="shared" si="1"/>
        <v>0</v>
      </c>
    </row>
    <row r="61" spans="1:13" ht="27" customHeight="1">
      <c r="A61" s="1280">
        <f t="shared" si="3"/>
        <v>47</v>
      </c>
      <c r="B61" s="1884" t="s">
        <v>14205</v>
      </c>
      <c r="C61" s="1885"/>
      <c r="D61" s="1268">
        <v>50.05</v>
      </c>
      <c r="E61" s="1278">
        <v>1.1999999999999999E-3</v>
      </c>
      <c r="F61" s="1268" t="s">
        <v>14071</v>
      </c>
      <c r="G61" s="1279">
        <f t="shared" si="4"/>
        <v>0.06</v>
      </c>
      <c r="H61" s="1275">
        <v>30</v>
      </c>
      <c r="I61" s="1276">
        <f t="shared" si="2"/>
        <v>1.8</v>
      </c>
      <c r="J61" s="1275">
        <v>942</v>
      </c>
      <c r="K61" s="1276">
        <f t="shared" si="5"/>
        <v>56.52</v>
      </c>
      <c r="L61" s="1275">
        <v>0</v>
      </c>
      <c r="M61" s="1276">
        <f t="shared" si="1"/>
        <v>0</v>
      </c>
    </row>
    <row r="62" spans="1:13" ht="27" customHeight="1">
      <c r="A62" s="1280">
        <f t="shared" si="3"/>
        <v>48</v>
      </c>
      <c r="B62" s="1884" t="s">
        <v>14206</v>
      </c>
      <c r="C62" s="1885"/>
      <c r="D62" s="1268">
        <v>42.68</v>
      </c>
      <c r="E62" s="1278">
        <v>1.1999999999999999E-3</v>
      </c>
      <c r="F62" s="1268" t="s">
        <v>14071</v>
      </c>
      <c r="G62" s="1279">
        <f t="shared" si="4"/>
        <v>5.0999999999999997E-2</v>
      </c>
      <c r="H62" s="1275">
        <v>30</v>
      </c>
      <c r="I62" s="1276">
        <f t="shared" si="2"/>
        <v>1.53</v>
      </c>
      <c r="J62" s="1275">
        <v>942</v>
      </c>
      <c r="K62" s="1276">
        <f t="shared" si="5"/>
        <v>48.042000000000002</v>
      </c>
      <c r="L62" s="1275">
        <v>0</v>
      </c>
      <c r="M62" s="1276">
        <f t="shared" si="1"/>
        <v>0</v>
      </c>
    </row>
    <row r="63" spans="1:13" ht="27" customHeight="1">
      <c r="A63" s="1280">
        <f t="shared" si="3"/>
        <v>49</v>
      </c>
      <c r="B63" s="1884" t="s">
        <v>14207</v>
      </c>
      <c r="C63" s="1885"/>
      <c r="D63" s="1268">
        <v>76.05</v>
      </c>
      <c r="E63" s="1278">
        <v>1.1999999999999999E-3</v>
      </c>
      <c r="F63" s="1268" t="s">
        <v>14071</v>
      </c>
      <c r="G63" s="1279">
        <f t="shared" si="4"/>
        <v>9.0999999999999998E-2</v>
      </c>
      <c r="H63" s="1275">
        <v>30</v>
      </c>
      <c r="I63" s="1276">
        <f t="shared" si="2"/>
        <v>2.73</v>
      </c>
      <c r="J63" s="1275">
        <v>942</v>
      </c>
      <c r="K63" s="1276">
        <f t="shared" si="5"/>
        <v>85.721999999999994</v>
      </c>
      <c r="L63" s="1275">
        <v>0</v>
      </c>
      <c r="M63" s="1276">
        <f t="shared" si="1"/>
        <v>0</v>
      </c>
    </row>
    <row r="64" spans="1:13" ht="27" customHeight="1">
      <c r="A64" s="1280">
        <f t="shared" si="3"/>
        <v>50</v>
      </c>
      <c r="B64" s="1884" t="s">
        <v>14208</v>
      </c>
      <c r="C64" s="1885"/>
      <c r="D64" s="1268">
        <v>72.099999999999994</v>
      </c>
      <c r="E64" s="1278">
        <v>1.1999999999999999E-3</v>
      </c>
      <c r="F64" s="1268" t="s">
        <v>14071</v>
      </c>
      <c r="G64" s="1279">
        <f t="shared" si="4"/>
        <v>8.5999999999999993E-2</v>
      </c>
      <c r="H64" s="1275">
        <v>30</v>
      </c>
      <c r="I64" s="1276">
        <f t="shared" si="2"/>
        <v>2.58</v>
      </c>
      <c r="J64" s="1275">
        <v>942</v>
      </c>
      <c r="K64" s="1276">
        <f t="shared" si="5"/>
        <v>81.012</v>
      </c>
      <c r="L64" s="1275">
        <v>0</v>
      </c>
      <c r="M64" s="1276">
        <f t="shared" si="1"/>
        <v>0</v>
      </c>
    </row>
    <row r="65" spans="1:13" ht="27" customHeight="1">
      <c r="A65" s="1921" t="s">
        <v>14005</v>
      </c>
      <c r="B65" s="1922"/>
      <c r="C65" s="1922"/>
      <c r="D65" s="1262">
        <f>SUM(D15:D64)</f>
        <v>2857.1300000000006</v>
      </c>
      <c r="E65" s="1263"/>
      <c r="F65" s="1262"/>
      <c r="G65" s="1262">
        <f>SUM(G15:G64)</f>
        <v>3.4049999999999998</v>
      </c>
      <c r="H65" s="1262"/>
      <c r="I65" s="1262">
        <f>SUM(I15:I64)</f>
        <v>102.14999999999996</v>
      </c>
      <c r="J65" s="1262"/>
      <c r="K65" s="1262">
        <f>SUM(K15:K64)</f>
        <v>3207.51</v>
      </c>
      <c r="L65" s="1262"/>
      <c r="M65" s="1262">
        <f>TRUNC(SUM(M15:M64),2)</f>
        <v>0</v>
      </c>
    </row>
    <row r="66" spans="1:13" ht="24.95" customHeight="1">
      <c r="A66" s="1963" t="s">
        <v>14072</v>
      </c>
      <c r="B66" s="1964"/>
      <c r="C66" s="1964"/>
      <c r="D66" s="1964"/>
      <c r="E66" s="1964"/>
      <c r="F66" s="1964"/>
      <c r="G66" s="1964"/>
      <c r="H66" s="1964"/>
      <c r="I66" s="1964"/>
      <c r="J66" s="1964"/>
      <c r="K66" s="1964"/>
      <c r="L66" s="1964"/>
      <c r="M66" s="1965"/>
    </row>
    <row r="67" spans="1:13" ht="24.95" customHeight="1">
      <c r="A67" s="1966" t="s">
        <v>14073</v>
      </c>
      <c r="B67" s="1967"/>
      <c r="C67" s="1967"/>
      <c r="D67" s="1967"/>
      <c r="E67" s="1967"/>
      <c r="F67" s="1967"/>
      <c r="G67" s="1967"/>
      <c r="H67" s="1967"/>
      <c r="I67" s="1967"/>
      <c r="J67" s="1967"/>
      <c r="K67" s="1967"/>
      <c r="L67" s="1967"/>
      <c r="M67" s="1968"/>
    </row>
    <row r="68" spans="1:13" ht="27" customHeight="1">
      <c r="A68" s="1969" t="s">
        <v>14074</v>
      </c>
      <c r="B68" s="1970"/>
      <c r="C68" s="1970"/>
      <c r="D68" s="1970"/>
      <c r="E68" s="1970"/>
      <c r="F68" s="1970"/>
      <c r="G68" s="1970"/>
      <c r="H68" s="1970"/>
      <c r="I68" s="1970"/>
      <c r="J68" s="1970"/>
      <c r="K68" s="1970"/>
      <c r="L68" s="1970"/>
      <c r="M68" s="1971"/>
    </row>
    <row r="69" spans="1:13" ht="27" customHeight="1">
      <c r="A69" s="1934" t="s">
        <v>11</v>
      </c>
      <c r="B69" s="1899" t="s">
        <v>13997</v>
      </c>
      <c r="C69" s="1900"/>
      <c r="D69" s="1925" t="s">
        <v>14049</v>
      </c>
      <c r="E69" s="1969" t="s">
        <v>14064</v>
      </c>
      <c r="F69" s="1971"/>
      <c r="G69" s="1923" t="s">
        <v>14065</v>
      </c>
      <c r="H69" s="1972" t="s">
        <v>14066</v>
      </c>
      <c r="I69" s="1958"/>
      <c r="J69" s="1972" t="s">
        <v>14067</v>
      </c>
      <c r="K69" s="1958"/>
      <c r="L69" s="1972" t="s">
        <v>14067</v>
      </c>
      <c r="M69" s="1958"/>
    </row>
    <row r="70" spans="1:13" ht="27" customHeight="1">
      <c r="A70" s="1934"/>
      <c r="B70" s="1899"/>
      <c r="C70" s="1900"/>
      <c r="D70" s="1925"/>
      <c r="E70" s="1232" t="s">
        <v>14055</v>
      </c>
      <c r="F70" s="1232" t="s">
        <v>3377</v>
      </c>
      <c r="G70" s="1925"/>
      <c r="H70" s="1248" t="s">
        <v>14013</v>
      </c>
      <c r="I70" s="1248" t="s">
        <v>14068</v>
      </c>
      <c r="J70" s="1248" t="s">
        <v>14013</v>
      </c>
      <c r="K70" s="1248" t="s">
        <v>14068</v>
      </c>
      <c r="L70" s="1248" t="s">
        <v>14013</v>
      </c>
      <c r="M70" s="1248" t="s">
        <v>14068</v>
      </c>
    </row>
    <row r="71" spans="1:13" ht="27" customHeight="1">
      <c r="A71" s="1935"/>
      <c r="B71" s="1901"/>
      <c r="C71" s="1902"/>
      <c r="D71" s="1233" t="s">
        <v>3378</v>
      </c>
      <c r="E71" s="1233" t="s">
        <v>14043</v>
      </c>
      <c r="F71" s="1233"/>
      <c r="G71" s="1233" t="s">
        <v>14069</v>
      </c>
      <c r="H71" s="1233" t="s">
        <v>14016</v>
      </c>
      <c r="I71" s="1233" t="s">
        <v>14070</v>
      </c>
      <c r="J71" s="1233" t="s">
        <v>14016</v>
      </c>
      <c r="K71" s="1233" t="s">
        <v>14070</v>
      </c>
      <c r="L71" s="1233" t="s">
        <v>14016</v>
      </c>
      <c r="M71" s="1233" t="s">
        <v>14070</v>
      </c>
    </row>
    <row r="72" spans="1:13" ht="27" customHeight="1">
      <c r="A72" s="1267">
        <v>1</v>
      </c>
      <c r="B72" s="1884" t="s">
        <v>14159</v>
      </c>
      <c r="C72" s="1885"/>
      <c r="D72" s="1268">
        <f>D15</f>
        <v>48.12</v>
      </c>
      <c r="E72" s="1278">
        <v>4.2000000000000006E-3</v>
      </c>
      <c r="F72" s="1268" t="s">
        <v>14071</v>
      </c>
      <c r="G72" s="1268">
        <f>TRUNC(D72*E72,3)</f>
        <v>0.20200000000000001</v>
      </c>
      <c r="H72" s="1275">
        <v>30</v>
      </c>
      <c r="I72" s="1276">
        <f>TRUNC(G72*H72,3)</f>
        <v>6.06</v>
      </c>
      <c r="J72" s="1275">
        <f t="shared" ref="J72:J121" si="6">J15</f>
        <v>942</v>
      </c>
      <c r="K72" s="1276">
        <f>TRUNC(G72*J72,3)</f>
        <v>190.28399999999999</v>
      </c>
      <c r="L72" s="1275">
        <v>0</v>
      </c>
      <c r="M72" s="1276">
        <f t="shared" ref="M72:M121" si="7">TRUNC(G72*L72,3)</f>
        <v>0</v>
      </c>
    </row>
    <row r="73" spans="1:13" ht="27" customHeight="1">
      <c r="A73" s="1280">
        <f>A72+1</f>
        <v>2</v>
      </c>
      <c r="B73" s="1884" t="s">
        <v>14160</v>
      </c>
      <c r="C73" s="1885"/>
      <c r="D73" s="1268">
        <f t="shared" ref="D73:D121" si="8">D16</f>
        <v>20.47</v>
      </c>
      <c r="E73" s="1278">
        <v>4.2000000000000006E-3</v>
      </c>
      <c r="F73" s="1268" t="s">
        <v>14071</v>
      </c>
      <c r="G73" s="1268">
        <f t="shared" ref="G73:G121" si="9">TRUNC(D73*E73,3)</f>
        <v>8.5000000000000006E-2</v>
      </c>
      <c r="H73" s="1275">
        <v>30</v>
      </c>
      <c r="I73" s="1276">
        <f t="shared" ref="I73:I121" si="10">TRUNC(G73*H73,3)</f>
        <v>2.5499999999999998</v>
      </c>
      <c r="J73" s="1275">
        <f t="shared" si="6"/>
        <v>942</v>
      </c>
      <c r="K73" s="1276">
        <f>TRUNC(G73*J73,3)</f>
        <v>80.069999999999993</v>
      </c>
      <c r="L73" s="1275">
        <v>0</v>
      </c>
      <c r="M73" s="1276">
        <f t="shared" si="7"/>
        <v>0</v>
      </c>
    </row>
    <row r="74" spans="1:13" ht="27" customHeight="1">
      <c r="A74" s="1280">
        <f t="shared" ref="A74:A121" si="11">A73+1</f>
        <v>3</v>
      </c>
      <c r="B74" s="1884" t="s">
        <v>14161</v>
      </c>
      <c r="C74" s="1885"/>
      <c r="D74" s="1268">
        <f t="shared" si="8"/>
        <v>44.92</v>
      </c>
      <c r="E74" s="1278">
        <v>4.2000000000000006E-3</v>
      </c>
      <c r="F74" s="1268" t="s">
        <v>14071</v>
      </c>
      <c r="G74" s="1268">
        <f t="shared" si="9"/>
        <v>0.188</v>
      </c>
      <c r="H74" s="1275">
        <v>30</v>
      </c>
      <c r="I74" s="1276">
        <f t="shared" si="10"/>
        <v>5.64</v>
      </c>
      <c r="J74" s="1275">
        <f t="shared" si="6"/>
        <v>942</v>
      </c>
      <c r="K74" s="1276">
        <f>TRUNC(G74*J74,3)</f>
        <v>177.096</v>
      </c>
      <c r="L74" s="1275">
        <v>0</v>
      </c>
      <c r="M74" s="1276">
        <f t="shared" si="7"/>
        <v>0</v>
      </c>
    </row>
    <row r="75" spans="1:13" ht="27" customHeight="1">
      <c r="A75" s="1280">
        <f t="shared" si="11"/>
        <v>4</v>
      </c>
      <c r="B75" s="1884" t="s">
        <v>14162</v>
      </c>
      <c r="C75" s="1885"/>
      <c r="D75" s="1268">
        <f t="shared" si="8"/>
        <v>82.84</v>
      </c>
      <c r="E75" s="1278">
        <v>4.2000000000000006E-3</v>
      </c>
      <c r="F75" s="1268" t="s">
        <v>14071</v>
      </c>
      <c r="G75" s="1268">
        <f t="shared" si="9"/>
        <v>0.34699999999999998</v>
      </c>
      <c r="H75" s="1275">
        <v>30</v>
      </c>
      <c r="I75" s="1276">
        <f t="shared" si="10"/>
        <v>10.41</v>
      </c>
      <c r="J75" s="1275">
        <f t="shared" si="6"/>
        <v>942</v>
      </c>
      <c r="K75" s="1276">
        <f t="shared" ref="K75:K121" si="12">TRUNC(G75*J75,3)</f>
        <v>326.87400000000002</v>
      </c>
      <c r="L75" s="1275">
        <v>0</v>
      </c>
      <c r="M75" s="1276">
        <f t="shared" si="7"/>
        <v>0</v>
      </c>
    </row>
    <row r="76" spans="1:13" ht="27" customHeight="1">
      <c r="A76" s="1280">
        <f t="shared" si="11"/>
        <v>5</v>
      </c>
      <c r="B76" s="1884" t="s">
        <v>14163</v>
      </c>
      <c r="C76" s="1885"/>
      <c r="D76" s="1268">
        <f t="shared" si="8"/>
        <v>73.69</v>
      </c>
      <c r="E76" s="1278">
        <v>4.2000000000000006E-3</v>
      </c>
      <c r="F76" s="1268" t="s">
        <v>14071</v>
      </c>
      <c r="G76" s="1268">
        <f t="shared" si="9"/>
        <v>0.309</v>
      </c>
      <c r="H76" s="1275">
        <v>30</v>
      </c>
      <c r="I76" s="1276">
        <f t="shared" si="10"/>
        <v>9.27</v>
      </c>
      <c r="J76" s="1275">
        <f t="shared" si="6"/>
        <v>942</v>
      </c>
      <c r="K76" s="1276">
        <f t="shared" si="12"/>
        <v>291.07799999999997</v>
      </c>
      <c r="L76" s="1275">
        <v>0</v>
      </c>
      <c r="M76" s="1276">
        <f t="shared" si="7"/>
        <v>0</v>
      </c>
    </row>
    <row r="77" spans="1:13" ht="27" customHeight="1">
      <c r="A77" s="1280">
        <f t="shared" si="11"/>
        <v>6</v>
      </c>
      <c r="B77" s="1884" t="s">
        <v>14164</v>
      </c>
      <c r="C77" s="1885"/>
      <c r="D77" s="1268">
        <f t="shared" si="8"/>
        <v>73.19</v>
      </c>
      <c r="E77" s="1278">
        <v>4.2000000000000006E-3</v>
      </c>
      <c r="F77" s="1268" t="s">
        <v>14071</v>
      </c>
      <c r="G77" s="1268">
        <f t="shared" si="9"/>
        <v>0.307</v>
      </c>
      <c r="H77" s="1275">
        <v>30</v>
      </c>
      <c r="I77" s="1276">
        <f t="shared" si="10"/>
        <v>9.2100000000000009</v>
      </c>
      <c r="J77" s="1275">
        <f t="shared" si="6"/>
        <v>942</v>
      </c>
      <c r="K77" s="1276">
        <f t="shared" si="12"/>
        <v>289.19400000000002</v>
      </c>
      <c r="L77" s="1275">
        <v>0</v>
      </c>
      <c r="M77" s="1276">
        <f t="shared" si="7"/>
        <v>0</v>
      </c>
    </row>
    <row r="78" spans="1:13" ht="27" customHeight="1">
      <c r="A78" s="1280">
        <f t="shared" si="11"/>
        <v>7</v>
      </c>
      <c r="B78" s="1884" t="s">
        <v>14165</v>
      </c>
      <c r="C78" s="1885"/>
      <c r="D78" s="1268">
        <f t="shared" si="8"/>
        <v>75.84</v>
      </c>
      <c r="E78" s="1278">
        <v>4.2000000000000006E-3</v>
      </c>
      <c r="F78" s="1268" t="s">
        <v>14071</v>
      </c>
      <c r="G78" s="1268">
        <f t="shared" si="9"/>
        <v>0.318</v>
      </c>
      <c r="H78" s="1275">
        <v>30</v>
      </c>
      <c r="I78" s="1276">
        <f t="shared" si="10"/>
        <v>9.5399999999999991</v>
      </c>
      <c r="J78" s="1275">
        <f t="shared" si="6"/>
        <v>942</v>
      </c>
      <c r="K78" s="1276">
        <f t="shared" si="12"/>
        <v>299.55599999999998</v>
      </c>
      <c r="L78" s="1275">
        <v>0</v>
      </c>
      <c r="M78" s="1276">
        <f t="shared" si="7"/>
        <v>0</v>
      </c>
    </row>
    <row r="79" spans="1:13" ht="27" customHeight="1">
      <c r="A79" s="1280">
        <f t="shared" si="11"/>
        <v>8</v>
      </c>
      <c r="B79" s="1884" t="s">
        <v>14166</v>
      </c>
      <c r="C79" s="1885"/>
      <c r="D79" s="1268">
        <f t="shared" si="8"/>
        <v>75.06</v>
      </c>
      <c r="E79" s="1278">
        <v>4.2000000000000006E-3</v>
      </c>
      <c r="F79" s="1268" t="s">
        <v>14071</v>
      </c>
      <c r="G79" s="1268">
        <f t="shared" si="9"/>
        <v>0.315</v>
      </c>
      <c r="H79" s="1275">
        <v>30</v>
      </c>
      <c r="I79" s="1276">
        <f t="shared" si="10"/>
        <v>9.4499999999999993</v>
      </c>
      <c r="J79" s="1275">
        <f t="shared" si="6"/>
        <v>942</v>
      </c>
      <c r="K79" s="1276">
        <f t="shared" si="12"/>
        <v>296.73</v>
      </c>
      <c r="L79" s="1275">
        <v>0</v>
      </c>
      <c r="M79" s="1276">
        <f t="shared" si="7"/>
        <v>0</v>
      </c>
    </row>
    <row r="80" spans="1:13" ht="27" customHeight="1">
      <c r="A80" s="1280">
        <f t="shared" si="11"/>
        <v>9</v>
      </c>
      <c r="B80" s="1884" t="s">
        <v>14167</v>
      </c>
      <c r="C80" s="1885"/>
      <c r="D80" s="1268">
        <f t="shared" si="8"/>
        <v>47.62</v>
      </c>
      <c r="E80" s="1278">
        <v>4.2000000000000006E-3</v>
      </c>
      <c r="F80" s="1268" t="s">
        <v>14071</v>
      </c>
      <c r="G80" s="1268">
        <f t="shared" si="9"/>
        <v>0.2</v>
      </c>
      <c r="H80" s="1275">
        <v>30</v>
      </c>
      <c r="I80" s="1276">
        <f t="shared" si="10"/>
        <v>6</v>
      </c>
      <c r="J80" s="1275">
        <f t="shared" si="6"/>
        <v>942</v>
      </c>
      <c r="K80" s="1276">
        <f t="shared" si="12"/>
        <v>188.4</v>
      </c>
      <c r="L80" s="1275">
        <v>0</v>
      </c>
      <c r="M80" s="1276">
        <f t="shared" si="7"/>
        <v>0</v>
      </c>
    </row>
    <row r="81" spans="1:13" ht="27" customHeight="1">
      <c r="A81" s="1280">
        <f t="shared" si="11"/>
        <v>10</v>
      </c>
      <c r="B81" s="1884" t="s">
        <v>14168</v>
      </c>
      <c r="C81" s="1885"/>
      <c r="D81" s="1268">
        <f t="shared" si="8"/>
        <v>51.8</v>
      </c>
      <c r="E81" s="1278">
        <v>4.2000000000000006E-3</v>
      </c>
      <c r="F81" s="1268" t="s">
        <v>14071</v>
      </c>
      <c r="G81" s="1268">
        <f t="shared" si="9"/>
        <v>0.217</v>
      </c>
      <c r="H81" s="1275">
        <v>30</v>
      </c>
      <c r="I81" s="1276">
        <f t="shared" si="10"/>
        <v>6.51</v>
      </c>
      <c r="J81" s="1275">
        <f t="shared" si="6"/>
        <v>942</v>
      </c>
      <c r="K81" s="1276">
        <f t="shared" si="12"/>
        <v>204.41399999999999</v>
      </c>
      <c r="L81" s="1275">
        <v>0</v>
      </c>
      <c r="M81" s="1276">
        <f t="shared" si="7"/>
        <v>0</v>
      </c>
    </row>
    <row r="82" spans="1:13" ht="27" customHeight="1">
      <c r="A82" s="1280">
        <f t="shared" si="11"/>
        <v>11</v>
      </c>
      <c r="B82" s="1884" t="s">
        <v>14169</v>
      </c>
      <c r="C82" s="1885"/>
      <c r="D82" s="1268">
        <f t="shared" si="8"/>
        <v>50.64</v>
      </c>
      <c r="E82" s="1278">
        <v>4.2000000000000006E-3</v>
      </c>
      <c r="F82" s="1268" t="s">
        <v>14071</v>
      </c>
      <c r="G82" s="1268">
        <f t="shared" si="9"/>
        <v>0.21199999999999999</v>
      </c>
      <c r="H82" s="1275">
        <v>30</v>
      </c>
      <c r="I82" s="1276">
        <f t="shared" si="10"/>
        <v>6.36</v>
      </c>
      <c r="J82" s="1275">
        <f t="shared" si="6"/>
        <v>942</v>
      </c>
      <c r="K82" s="1276">
        <f t="shared" si="12"/>
        <v>199.70400000000001</v>
      </c>
      <c r="L82" s="1275">
        <v>0</v>
      </c>
      <c r="M82" s="1276">
        <f t="shared" si="7"/>
        <v>0</v>
      </c>
    </row>
    <row r="83" spans="1:13" ht="27" customHeight="1">
      <c r="A83" s="1280">
        <f t="shared" si="11"/>
        <v>12</v>
      </c>
      <c r="B83" s="1884" t="s">
        <v>14170</v>
      </c>
      <c r="C83" s="1885"/>
      <c r="D83" s="1268">
        <f t="shared" si="8"/>
        <v>51</v>
      </c>
      <c r="E83" s="1278">
        <v>4.2000000000000006E-3</v>
      </c>
      <c r="F83" s="1268" t="s">
        <v>14071</v>
      </c>
      <c r="G83" s="1268">
        <f t="shared" si="9"/>
        <v>0.214</v>
      </c>
      <c r="H83" s="1275">
        <v>30</v>
      </c>
      <c r="I83" s="1276">
        <f t="shared" si="10"/>
        <v>6.42</v>
      </c>
      <c r="J83" s="1275">
        <f t="shared" si="6"/>
        <v>942</v>
      </c>
      <c r="K83" s="1276">
        <f t="shared" si="12"/>
        <v>201.58799999999999</v>
      </c>
      <c r="L83" s="1275">
        <v>0</v>
      </c>
      <c r="M83" s="1276">
        <f t="shared" si="7"/>
        <v>0</v>
      </c>
    </row>
    <row r="84" spans="1:13" ht="27" customHeight="1">
      <c r="A84" s="1280">
        <f t="shared" si="11"/>
        <v>13</v>
      </c>
      <c r="B84" s="1884" t="s">
        <v>14171</v>
      </c>
      <c r="C84" s="1885"/>
      <c r="D84" s="1268">
        <f t="shared" si="8"/>
        <v>49.11</v>
      </c>
      <c r="E84" s="1278">
        <v>4.2000000000000006E-3</v>
      </c>
      <c r="F84" s="1268" t="s">
        <v>14071</v>
      </c>
      <c r="G84" s="1268">
        <f t="shared" si="9"/>
        <v>0.20599999999999999</v>
      </c>
      <c r="H84" s="1275">
        <v>30</v>
      </c>
      <c r="I84" s="1276">
        <f t="shared" si="10"/>
        <v>6.18</v>
      </c>
      <c r="J84" s="1275">
        <f t="shared" si="6"/>
        <v>942</v>
      </c>
      <c r="K84" s="1276">
        <f t="shared" si="12"/>
        <v>194.05199999999999</v>
      </c>
      <c r="L84" s="1275">
        <v>0</v>
      </c>
      <c r="M84" s="1276">
        <f t="shared" si="7"/>
        <v>0</v>
      </c>
    </row>
    <row r="85" spans="1:13" ht="27" customHeight="1">
      <c r="A85" s="1280">
        <f t="shared" si="11"/>
        <v>14</v>
      </c>
      <c r="B85" s="1884" t="s">
        <v>14172</v>
      </c>
      <c r="C85" s="1885"/>
      <c r="D85" s="1268">
        <f t="shared" si="8"/>
        <v>46</v>
      </c>
      <c r="E85" s="1278">
        <v>4.2000000000000006E-3</v>
      </c>
      <c r="F85" s="1268" t="s">
        <v>14071</v>
      </c>
      <c r="G85" s="1268">
        <f t="shared" si="9"/>
        <v>0.193</v>
      </c>
      <c r="H85" s="1275">
        <v>30</v>
      </c>
      <c r="I85" s="1276">
        <f t="shared" si="10"/>
        <v>5.79</v>
      </c>
      <c r="J85" s="1275">
        <f t="shared" si="6"/>
        <v>942</v>
      </c>
      <c r="K85" s="1276">
        <f t="shared" si="12"/>
        <v>181.80600000000001</v>
      </c>
      <c r="L85" s="1275">
        <v>0</v>
      </c>
      <c r="M85" s="1276">
        <f t="shared" si="7"/>
        <v>0</v>
      </c>
    </row>
    <row r="86" spans="1:13" ht="27" customHeight="1">
      <c r="A86" s="1280">
        <f t="shared" si="11"/>
        <v>15</v>
      </c>
      <c r="B86" s="1884" t="s">
        <v>14173</v>
      </c>
      <c r="C86" s="1885"/>
      <c r="D86" s="1268">
        <f t="shared" si="8"/>
        <v>82.95</v>
      </c>
      <c r="E86" s="1278">
        <v>4.2000000000000006E-3</v>
      </c>
      <c r="F86" s="1268" t="s">
        <v>14071</v>
      </c>
      <c r="G86" s="1268">
        <f t="shared" si="9"/>
        <v>0.34799999999999998</v>
      </c>
      <c r="H86" s="1275">
        <v>30</v>
      </c>
      <c r="I86" s="1276">
        <f t="shared" si="10"/>
        <v>10.44</v>
      </c>
      <c r="J86" s="1275">
        <f t="shared" si="6"/>
        <v>942</v>
      </c>
      <c r="K86" s="1276">
        <f t="shared" si="12"/>
        <v>327.81599999999997</v>
      </c>
      <c r="L86" s="1275">
        <v>0</v>
      </c>
      <c r="M86" s="1276">
        <f t="shared" si="7"/>
        <v>0</v>
      </c>
    </row>
    <row r="87" spans="1:13" ht="27" customHeight="1">
      <c r="A87" s="1280">
        <f t="shared" si="11"/>
        <v>16</v>
      </c>
      <c r="B87" s="1884" t="s">
        <v>14174</v>
      </c>
      <c r="C87" s="1885"/>
      <c r="D87" s="1268">
        <f t="shared" si="8"/>
        <v>82.03</v>
      </c>
      <c r="E87" s="1278">
        <v>4.2000000000000006E-3</v>
      </c>
      <c r="F87" s="1268" t="s">
        <v>14071</v>
      </c>
      <c r="G87" s="1268">
        <f t="shared" si="9"/>
        <v>0.34399999999999997</v>
      </c>
      <c r="H87" s="1275">
        <v>30</v>
      </c>
      <c r="I87" s="1276">
        <f t="shared" si="10"/>
        <v>10.32</v>
      </c>
      <c r="J87" s="1275">
        <f t="shared" si="6"/>
        <v>942</v>
      </c>
      <c r="K87" s="1276">
        <f t="shared" si="12"/>
        <v>324.048</v>
      </c>
      <c r="L87" s="1275">
        <v>0</v>
      </c>
      <c r="M87" s="1276">
        <f t="shared" si="7"/>
        <v>0</v>
      </c>
    </row>
    <row r="88" spans="1:13" ht="27" customHeight="1">
      <c r="A88" s="1280">
        <f t="shared" si="11"/>
        <v>17</v>
      </c>
      <c r="B88" s="1884" t="s">
        <v>14175</v>
      </c>
      <c r="C88" s="1885"/>
      <c r="D88" s="1268">
        <f t="shared" si="8"/>
        <v>81.63</v>
      </c>
      <c r="E88" s="1278">
        <v>4.2000000000000006E-3</v>
      </c>
      <c r="F88" s="1268" t="s">
        <v>14071</v>
      </c>
      <c r="G88" s="1268">
        <f t="shared" si="9"/>
        <v>0.34200000000000003</v>
      </c>
      <c r="H88" s="1275">
        <v>30</v>
      </c>
      <c r="I88" s="1276">
        <f t="shared" si="10"/>
        <v>10.26</v>
      </c>
      <c r="J88" s="1275">
        <f t="shared" si="6"/>
        <v>942</v>
      </c>
      <c r="K88" s="1276">
        <f t="shared" si="12"/>
        <v>322.16399999999999</v>
      </c>
      <c r="L88" s="1275">
        <v>0</v>
      </c>
      <c r="M88" s="1276">
        <f t="shared" si="7"/>
        <v>0</v>
      </c>
    </row>
    <row r="89" spans="1:13" ht="27" customHeight="1">
      <c r="A89" s="1280">
        <f t="shared" si="11"/>
        <v>18</v>
      </c>
      <c r="B89" s="1884" t="s">
        <v>14176</v>
      </c>
      <c r="C89" s="1885"/>
      <c r="D89" s="1268">
        <f t="shared" si="8"/>
        <v>59.29</v>
      </c>
      <c r="E89" s="1278">
        <v>4.2000000000000006E-3</v>
      </c>
      <c r="F89" s="1268" t="s">
        <v>14071</v>
      </c>
      <c r="G89" s="1268">
        <f t="shared" si="9"/>
        <v>0.249</v>
      </c>
      <c r="H89" s="1275">
        <v>30</v>
      </c>
      <c r="I89" s="1276">
        <f t="shared" si="10"/>
        <v>7.47</v>
      </c>
      <c r="J89" s="1275">
        <f t="shared" si="6"/>
        <v>942</v>
      </c>
      <c r="K89" s="1276">
        <f t="shared" si="12"/>
        <v>234.55799999999999</v>
      </c>
      <c r="L89" s="1275">
        <v>0</v>
      </c>
      <c r="M89" s="1276">
        <f t="shared" si="7"/>
        <v>0</v>
      </c>
    </row>
    <row r="90" spans="1:13" ht="27" customHeight="1">
      <c r="A90" s="1280">
        <f t="shared" si="11"/>
        <v>19</v>
      </c>
      <c r="B90" s="1884" t="s">
        <v>14177</v>
      </c>
      <c r="C90" s="1885"/>
      <c r="D90" s="1268">
        <f t="shared" si="8"/>
        <v>60.59</v>
      </c>
      <c r="E90" s="1278">
        <v>4.2000000000000006E-3</v>
      </c>
      <c r="F90" s="1268" t="s">
        <v>14071</v>
      </c>
      <c r="G90" s="1268">
        <f t="shared" si="9"/>
        <v>0.254</v>
      </c>
      <c r="H90" s="1275">
        <v>30</v>
      </c>
      <c r="I90" s="1276">
        <f t="shared" si="10"/>
        <v>7.62</v>
      </c>
      <c r="J90" s="1275">
        <f t="shared" si="6"/>
        <v>942</v>
      </c>
      <c r="K90" s="1276">
        <f t="shared" si="12"/>
        <v>239.268</v>
      </c>
      <c r="L90" s="1275">
        <v>0</v>
      </c>
      <c r="M90" s="1276">
        <f t="shared" si="7"/>
        <v>0</v>
      </c>
    </row>
    <row r="91" spans="1:13" ht="27" customHeight="1">
      <c r="A91" s="1280">
        <f t="shared" si="11"/>
        <v>20</v>
      </c>
      <c r="B91" s="1884" t="s">
        <v>14178</v>
      </c>
      <c r="C91" s="1885"/>
      <c r="D91" s="1268">
        <f t="shared" si="8"/>
        <v>54.72</v>
      </c>
      <c r="E91" s="1278">
        <v>4.2000000000000006E-3</v>
      </c>
      <c r="F91" s="1268" t="s">
        <v>14071</v>
      </c>
      <c r="G91" s="1268">
        <f t="shared" si="9"/>
        <v>0.22900000000000001</v>
      </c>
      <c r="H91" s="1275">
        <v>30</v>
      </c>
      <c r="I91" s="1276">
        <f t="shared" si="10"/>
        <v>6.87</v>
      </c>
      <c r="J91" s="1275">
        <f t="shared" si="6"/>
        <v>942</v>
      </c>
      <c r="K91" s="1276">
        <f t="shared" si="12"/>
        <v>215.71799999999999</v>
      </c>
      <c r="L91" s="1275">
        <v>0</v>
      </c>
      <c r="M91" s="1276">
        <f t="shared" si="7"/>
        <v>0</v>
      </c>
    </row>
    <row r="92" spans="1:13" ht="27" customHeight="1">
      <c r="A92" s="1280">
        <f t="shared" si="11"/>
        <v>21</v>
      </c>
      <c r="B92" s="1884" t="s">
        <v>14179</v>
      </c>
      <c r="C92" s="1885"/>
      <c r="D92" s="1268">
        <f t="shared" si="8"/>
        <v>19.260000000000002</v>
      </c>
      <c r="E92" s="1278">
        <v>4.2000000000000006E-3</v>
      </c>
      <c r="F92" s="1268" t="s">
        <v>14071</v>
      </c>
      <c r="G92" s="1268">
        <f t="shared" si="9"/>
        <v>0.08</v>
      </c>
      <c r="H92" s="1275">
        <v>30</v>
      </c>
      <c r="I92" s="1276">
        <f t="shared" si="10"/>
        <v>2.4</v>
      </c>
      <c r="J92" s="1275">
        <f t="shared" si="6"/>
        <v>942</v>
      </c>
      <c r="K92" s="1276">
        <f t="shared" si="12"/>
        <v>75.36</v>
      </c>
      <c r="L92" s="1275">
        <v>0</v>
      </c>
      <c r="M92" s="1276">
        <f t="shared" si="7"/>
        <v>0</v>
      </c>
    </row>
    <row r="93" spans="1:13" ht="27" customHeight="1">
      <c r="A93" s="1280">
        <f t="shared" si="11"/>
        <v>22</v>
      </c>
      <c r="B93" s="1884" t="s">
        <v>14180</v>
      </c>
      <c r="C93" s="1885"/>
      <c r="D93" s="1268">
        <f t="shared" si="8"/>
        <v>54.66</v>
      </c>
      <c r="E93" s="1278">
        <v>4.2000000000000006E-3</v>
      </c>
      <c r="F93" s="1268" t="s">
        <v>14071</v>
      </c>
      <c r="G93" s="1268">
        <f t="shared" si="9"/>
        <v>0.22900000000000001</v>
      </c>
      <c r="H93" s="1275">
        <v>30</v>
      </c>
      <c r="I93" s="1276">
        <f t="shared" si="10"/>
        <v>6.87</v>
      </c>
      <c r="J93" s="1275">
        <f t="shared" si="6"/>
        <v>942</v>
      </c>
      <c r="K93" s="1276">
        <f t="shared" si="12"/>
        <v>215.71799999999999</v>
      </c>
      <c r="L93" s="1275">
        <v>0</v>
      </c>
      <c r="M93" s="1276">
        <f t="shared" si="7"/>
        <v>0</v>
      </c>
    </row>
    <row r="94" spans="1:13" ht="27" customHeight="1">
      <c r="A94" s="1280">
        <f t="shared" si="11"/>
        <v>23</v>
      </c>
      <c r="B94" s="1884" t="s">
        <v>14181</v>
      </c>
      <c r="C94" s="1885"/>
      <c r="D94" s="1268">
        <f t="shared" si="8"/>
        <v>20.46</v>
      </c>
      <c r="E94" s="1278">
        <v>4.2000000000000006E-3</v>
      </c>
      <c r="F94" s="1268" t="s">
        <v>14071</v>
      </c>
      <c r="G94" s="1268">
        <f t="shared" si="9"/>
        <v>8.5000000000000006E-2</v>
      </c>
      <c r="H94" s="1275">
        <v>30</v>
      </c>
      <c r="I94" s="1276">
        <f t="shared" si="10"/>
        <v>2.5499999999999998</v>
      </c>
      <c r="J94" s="1275">
        <f t="shared" si="6"/>
        <v>942</v>
      </c>
      <c r="K94" s="1276">
        <f t="shared" si="12"/>
        <v>80.069999999999993</v>
      </c>
      <c r="L94" s="1275">
        <v>0</v>
      </c>
      <c r="M94" s="1276">
        <f t="shared" si="7"/>
        <v>0</v>
      </c>
    </row>
    <row r="95" spans="1:13" ht="27" customHeight="1">
      <c r="A95" s="1280">
        <f t="shared" si="11"/>
        <v>24</v>
      </c>
      <c r="B95" s="1884" t="s">
        <v>14182</v>
      </c>
      <c r="C95" s="1885"/>
      <c r="D95" s="1268">
        <f t="shared" si="8"/>
        <v>67.150000000000006</v>
      </c>
      <c r="E95" s="1278">
        <v>4.2000000000000006E-3</v>
      </c>
      <c r="F95" s="1268" t="s">
        <v>14071</v>
      </c>
      <c r="G95" s="1268">
        <f t="shared" si="9"/>
        <v>0.28199999999999997</v>
      </c>
      <c r="H95" s="1275">
        <v>30</v>
      </c>
      <c r="I95" s="1276">
        <f t="shared" si="10"/>
        <v>8.4600000000000009</v>
      </c>
      <c r="J95" s="1275">
        <f t="shared" si="6"/>
        <v>942</v>
      </c>
      <c r="K95" s="1276">
        <f t="shared" si="12"/>
        <v>265.64400000000001</v>
      </c>
      <c r="L95" s="1275">
        <v>0</v>
      </c>
      <c r="M95" s="1276">
        <f t="shared" si="7"/>
        <v>0</v>
      </c>
    </row>
    <row r="96" spans="1:13" ht="27" customHeight="1">
      <c r="A96" s="1280">
        <f t="shared" si="11"/>
        <v>25</v>
      </c>
      <c r="B96" s="1884" t="s">
        <v>14183</v>
      </c>
      <c r="C96" s="1885"/>
      <c r="D96" s="1268">
        <f t="shared" si="8"/>
        <v>48.97</v>
      </c>
      <c r="E96" s="1278">
        <v>4.2000000000000006E-3</v>
      </c>
      <c r="F96" s="1268" t="s">
        <v>14071</v>
      </c>
      <c r="G96" s="1268">
        <f t="shared" si="9"/>
        <v>0.20499999999999999</v>
      </c>
      <c r="H96" s="1275">
        <v>30</v>
      </c>
      <c r="I96" s="1276">
        <f t="shared" si="10"/>
        <v>6.15</v>
      </c>
      <c r="J96" s="1275">
        <f t="shared" si="6"/>
        <v>942</v>
      </c>
      <c r="K96" s="1276">
        <f t="shared" si="12"/>
        <v>193.11</v>
      </c>
      <c r="L96" s="1275">
        <v>0</v>
      </c>
      <c r="M96" s="1276">
        <f t="shared" si="7"/>
        <v>0</v>
      </c>
    </row>
    <row r="97" spans="1:13" ht="27" customHeight="1">
      <c r="A97" s="1280">
        <f t="shared" si="11"/>
        <v>26</v>
      </c>
      <c r="B97" s="1884" t="s">
        <v>14184</v>
      </c>
      <c r="C97" s="1885"/>
      <c r="D97" s="1268">
        <f t="shared" si="8"/>
        <v>50.71</v>
      </c>
      <c r="E97" s="1278">
        <v>4.2000000000000006E-3</v>
      </c>
      <c r="F97" s="1268" t="s">
        <v>14071</v>
      </c>
      <c r="G97" s="1268">
        <f t="shared" si="9"/>
        <v>0.21199999999999999</v>
      </c>
      <c r="H97" s="1275">
        <v>30</v>
      </c>
      <c r="I97" s="1276">
        <f t="shared" si="10"/>
        <v>6.36</v>
      </c>
      <c r="J97" s="1275">
        <f t="shared" si="6"/>
        <v>942</v>
      </c>
      <c r="K97" s="1276">
        <f t="shared" si="12"/>
        <v>199.70400000000001</v>
      </c>
      <c r="L97" s="1275">
        <v>0</v>
      </c>
      <c r="M97" s="1276">
        <f t="shared" si="7"/>
        <v>0</v>
      </c>
    </row>
    <row r="98" spans="1:13" ht="27" customHeight="1">
      <c r="A98" s="1280">
        <f t="shared" si="11"/>
        <v>27</v>
      </c>
      <c r="B98" s="1884" t="s">
        <v>14185</v>
      </c>
      <c r="C98" s="1885"/>
      <c r="D98" s="1268">
        <f t="shared" si="8"/>
        <v>48.64</v>
      </c>
      <c r="E98" s="1278">
        <v>4.2000000000000006E-3</v>
      </c>
      <c r="F98" s="1268" t="s">
        <v>14071</v>
      </c>
      <c r="G98" s="1268">
        <f t="shared" si="9"/>
        <v>0.20399999999999999</v>
      </c>
      <c r="H98" s="1275">
        <v>30</v>
      </c>
      <c r="I98" s="1276">
        <f t="shared" si="10"/>
        <v>6.12</v>
      </c>
      <c r="J98" s="1275">
        <f t="shared" si="6"/>
        <v>942</v>
      </c>
      <c r="K98" s="1276">
        <f t="shared" si="12"/>
        <v>192.16800000000001</v>
      </c>
      <c r="L98" s="1275">
        <v>0</v>
      </c>
      <c r="M98" s="1276">
        <f t="shared" si="7"/>
        <v>0</v>
      </c>
    </row>
    <row r="99" spans="1:13" ht="27" customHeight="1">
      <c r="A99" s="1280">
        <f t="shared" si="11"/>
        <v>28</v>
      </c>
      <c r="B99" s="1884" t="s">
        <v>14186</v>
      </c>
      <c r="C99" s="1885"/>
      <c r="D99" s="1268">
        <f t="shared" si="8"/>
        <v>54.2</v>
      </c>
      <c r="E99" s="1278">
        <v>4.2000000000000006E-3</v>
      </c>
      <c r="F99" s="1268" t="s">
        <v>14071</v>
      </c>
      <c r="G99" s="1268">
        <f t="shared" si="9"/>
        <v>0.22700000000000001</v>
      </c>
      <c r="H99" s="1275">
        <v>30</v>
      </c>
      <c r="I99" s="1276">
        <f t="shared" si="10"/>
        <v>6.81</v>
      </c>
      <c r="J99" s="1275">
        <f t="shared" si="6"/>
        <v>942</v>
      </c>
      <c r="K99" s="1276">
        <f t="shared" si="12"/>
        <v>213.834</v>
      </c>
      <c r="L99" s="1275">
        <v>0</v>
      </c>
      <c r="M99" s="1276">
        <f t="shared" si="7"/>
        <v>0</v>
      </c>
    </row>
    <row r="100" spans="1:13" ht="27" customHeight="1">
      <c r="A100" s="1280">
        <f t="shared" si="11"/>
        <v>29</v>
      </c>
      <c r="B100" s="1884" t="s">
        <v>14187</v>
      </c>
      <c r="C100" s="1885"/>
      <c r="D100" s="1268">
        <f t="shared" si="8"/>
        <v>51.39</v>
      </c>
      <c r="E100" s="1278">
        <v>4.2000000000000006E-3</v>
      </c>
      <c r="F100" s="1268" t="s">
        <v>14071</v>
      </c>
      <c r="G100" s="1268">
        <f t="shared" si="9"/>
        <v>0.215</v>
      </c>
      <c r="H100" s="1275">
        <v>30</v>
      </c>
      <c r="I100" s="1276">
        <f t="shared" si="10"/>
        <v>6.45</v>
      </c>
      <c r="J100" s="1275">
        <f t="shared" si="6"/>
        <v>942</v>
      </c>
      <c r="K100" s="1276">
        <f t="shared" si="12"/>
        <v>202.53</v>
      </c>
      <c r="L100" s="1275">
        <v>0</v>
      </c>
      <c r="M100" s="1276">
        <f t="shared" si="7"/>
        <v>0</v>
      </c>
    </row>
    <row r="101" spans="1:13" ht="27" customHeight="1">
      <c r="A101" s="1280">
        <f t="shared" si="11"/>
        <v>30</v>
      </c>
      <c r="B101" s="1884" t="s">
        <v>14188</v>
      </c>
      <c r="C101" s="1885"/>
      <c r="D101" s="1268">
        <f t="shared" si="8"/>
        <v>52.46</v>
      </c>
      <c r="E101" s="1278">
        <v>4.2000000000000006E-3</v>
      </c>
      <c r="F101" s="1268" t="s">
        <v>14071</v>
      </c>
      <c r="G101" s="1268">
        <f t="shared" si="9"/>
        <v>0.22</v>
      </c>
      <c r="H101" s="1275">
        <v>30</v>
      </c>
      <c r="I101" s="1276">
        <f t="shared" si="10"/>
        <v>6.6</v>
      </c>
      <c r="J101" s="1275">
        <f t="shared" si="6"/>
        <v>942</v>
      </c>
      <c r="K101" s="1276">
        <f t="shared" si="12"/>
        <v>207.24</v>
      </c>
      <c r="L101" s="1275">
        <v>0</v>
      </c>
      <c r="M101" s="1276">
        <f t="shared" si="7"/>
        <v>0</v>
      </c>
    </row>
    <row r="102" spans="1:13" ht="27" customHeight="1">
      <c r="A102" s="1280">
        <f t="shared" si="11"/>
        <v>31</v>
      </c>
      <c r="B102" s="1884" t="s">
        <v>14189</v>
      </c>
      <c r="C102" s="1885"/>
      <c r="D102" s="1268">
        <f t="shared" si="8"/>
        <v>54.42</v>
      </c>
      <c r="E102" s="1278">
        <v>4.2000000000000006E-3</v>
      </c>
      <c r="F102" s="1268" t="s">
        <v>14071</v>
      </c>
      <c r="G102" s="1268">
        <f t="shared" si="9"/>
        <v>0.22800000000000001</v>
      </c>
      <c r="H102" s="1275">
        <v>30</v>
      </c>
      <c r="I102" s="1276">
        <f t="shared" si="10"/>
        <v>6.84</v>
      </c>
      <c r="J102" s="1275">
        <f t="shared" si="6"/>
        <v>942</v>
      </c>
      <c r="K102" s="1276">
        <f t="shared" si="12"/>
        <v>214.77600000000001</v>
      </c>
      <c r="L102" s="1275">
        <v>0</v>
      </c>
      <c r="M102" s="1276">
        <f t="shared" si="7"/>
        <v>0</v>
      </c>
    </row>
    <row r="103" spans="1:13" ht="27" customHeight="1">
      <c r="A103" s="1280">
        <f t="shared" si="11"/>
        <v>32</v>
      </c>
      <c r="B103" s="1884" t="s">
        <v>14190</v>
      </c>
      <c r="C103" s="1885"/>
      <c r="D103" s="1268">
        <f t="shared" si="8"/>
        <v>46.84</v>
      </c>
      <c r="E103" s="1278">
        <v>4.2000000000000006E-3</v>
      </c>
      <c r="F103" s="1268" t="s">
        <v>14071</v>
      </c>
      <c r="G103" s="1268">
        <f t="shared" si="9"/>
        <v>0.19600000000000001</v>
      </c>
      <c r="H103" s="1275">
        <v>30</v>
      </c>
      <c r="I103" s="1276">
        <f t="shared" si="10"/>
        <v>5.88</v>
      </c>
      <c r="J103" s="1275">
        <f t="shared" si="6"/>
        <v>942</v>
      </c>
      <c r="K103" s="1276">
        <f t="shared" si="12"/>
        <v>184.63200000000001</v>
      </c>
      <c r="L103" s="1275">
        <v>0</v>
      </c>
      <c r="M103" s="1276">
        <f t="shared" si="7"/>
        <v>0</v>
      </c>
    </row>
    <row r="104" spans="1:13" ht="27" customHeight="1">
      <c r="A104" s="1280">
        <f t="shared" si="11"/>
        <v>33</v>
      </c>
      <c r="B104" s="1884" t="s">
        <v>14191</v>
      </c>
      <c r="C104" s="1885"/>
      <c r="D104" s="1268">
        <f t="shared" si="8"/>
        <v>50.72</v>
      </c>
      <c r="E104" s="1278">
        <v>4.2000000000000006E-3</v>
      </c>
      <c r="F104" s="1268" t="s">
        <v>14071</v>
      </c>
      <c r="G104" s="1268">
        <f t="shared" si="9"/>
        <v>0.21299999999999999</v>
      </c>
      <c r="H104" s="1275">
        <v>30</v>
      </c>
      <c r="I104" s="1276">
        <f t="shared" si="10"/>
        <v>6.39</v>
      </c>
      <c r="J104" s="1275">
        <f t="shared" si="6"/>
        <v>942</v>
      </c>
      <c r="K104" s="1276">
        <f t="shared" si="12"/>
        <v>200.64599999999999</v>
      </c>
      <c r="L104" s="1275">
        <v>0</v>
      </c>
      <c r="M104" s="1276">
        <f t="shared" si="7"/>
        <v>0</v>
      </c>
    </row>
    <row r="105" spans="1:13" ht="27" customHeight="1">
      <c r="A105" s="1280">
        <f t="shared" si="11"/>
        <v>34</v>
      </c>
      <c r="B105" s="1884" t="s">
        <v>14192</v>
      </c>
      <c r="C105" s="1885"/>
      <c r="D105" s="1268">
        <f t="shared" si="8"/>
        <v>48.58</v>
      </c>
      <c r="E105" s="1278">
        <v>4.2000000000000006E-3</v>
      </c>
      <c r="F105" s="1268" t="s">
        <v>14071</v>
      </c>
      <c r="G105" s="1268">
        <f t="shared" si="9"/>
        <v>0.20399999999999999</v>
      </c>
      <c r="H105" s="1275">
        <v>30</v>
      </c>
      <c r="I105" s="1276">
        <f t="shared" si="10"/>
        <v>6.12</v>
      </c>
      <c r="J105" s="1275">
        <f t="shared" si="6"/>
        <v>942</v>
      </c>
      <c r="K105" s="1276">
        <f t="shared" si="12"/>
        <v>192.16800000000001</v>
      </c>
      <c r="L105" s="1275">
        <v>0</v>
      </c>
      <c r="M105" s="1276">
        <f t="shared" si="7"/>
        <v>0</v>
      </c>
    </row>
    <row r="106" spans="1:13" ht="27" customHeight="1">
      <c r="A106" s="1280">
        <f t="shared" si="11"/>
        <v>35</v>
      </c>
      <c r="B106" s="1884" t="s">
        <v>14193</v>
      </c>
      <c r="C106" s="1885"/>
      <c r="D106" s="1268">
        <f t="shared" si="8"/>
        <v>16.079999999999998</v>
      </c>
      <c r="E106" s="1278">
        <v>4.2000000000000006E-3</v>
      </c>
      <c r="F106" s="1268" t="s">
        <v>14071</v>
      </c>
      <c r="G106" s="1268">
        <f t="shared" si="9"/>
        <v>6.7000000000000004E-2</v>
      </c>
      <c r="H106" s="1275">
        <v>30</v>
      </c>
      <c r="I106" s="1276">
        <f t="shared" si="10"/>
        <v>2.0099999999999998</v>
      </c>
      <c r="J106" s="1275">
        <f t="shared" si="6"/>
        <v>942</v>
      </c>
      <c r="K106" s="1276">
        <f t="shared" si="12"/>
        <v>63.113999999999997</v>
      </c>
      <c r="L106" s="1275">
        <v>0</v>
      </c>
      <c r="M106" s="1276">
        <f t="shared" si="7"/>
        <v>0</v>
      </c>
    </row>
    <row r="107" spans="1:13" ht="27" customHeight="1">
      <c r="A107" s="1280">
        <f t="shared" si="11"/>
        <v>36</v>
      </c>
      <c r="B107" s="1884" t="s">
        <v>14194</v>
      </c>
      <c r="C107" s="1885"/>
      <c r="D107" s="1268">
        <f t="shared" si="8"/>
        <v>101.38</v>
      </c>
      <c r="E107" s="1278">
        <v>4.2000000000000006E-3</v>
      </c>
      <c r="F107" s="1268" t="s">
        <v>14071</v>
      </c>
      <c r="G107" s="1268">
        <f t="shared" si="9"/>
        <v>0.42499999999999999</v>
      </c>
      <c r="H107" s="1275">
        <v>30</v>
      </c>
      <c r="I107" s="1276">
        <f t="shared" si="10"/>
        <v>12.75</v>
      </c>
      <c r="J107" s="1275">
        <f t="shared" si="6"/>
        <v>942</v>
      </c>
      <c r="K107" s="1276">
        <f t="shared" si="12"/>
        <v>400.35</v>
      </c>
      <c r="L107" s="1275">
        <v>0</v>
      </c>
      <c r="M107" s="1276">
        <f t="shared" si="7"/>
        <v>0</v>
      </c>
    </row>
    <row r="108" spans="1:13" ht="27" customHeight="1">
      <c r="A108" s="1280">
        <f t="shared" si="11"/>
        <v>37</v>
      </c>
      <c r="B108" s="1884" t="s">
        <v>14195</v>
      </c>
      <c r="C108" s="1885"/>
      <c r="D108" s="1268">
        <f t="shared" si="8"/>
        <v>81.209999999999994</v>
      </c>
      <c r="E108" s="1278">
        <v>4.2000000000000006E-3</v>
      </c>
      <c r="F108" s="1268" t="s">
        <v>14071</v>
      </c>
      <c r="G108" s="1268">
        <f t="shared" si="9"/>
        <v>0.34100000000000003</v>
      </c>
      <c r="H108" s="1275">
        <v>30</v>
      </c>
      <c r="I108" s="1276">
        <f t="shared" si="10"/>
        <v>10.23</v>
      </c>
      <c r="J108" s="1275">
        <f t="shared" si="6"/>
        <v>942</v>
      </c>
      <c r="K108" s="1276">
        <f t="shared" si="12"/>
        <v>321.22199999999998</v>
      </c>
      <c r="L108" s="1275">
        <v>0</v>
      </c>
      <c r="M108" s="1276">
        <f t="shared" si="7"/>
        <v>0</v>
      </c>
    </row>
    <row r="109" spans="1:13" ht="27" customHeight="1">
      <c r="A109" s="1280">
        <f t="shared" si="11"/>
        <v>38</v>
      </c>
      <c r="B109" s="1884" t="s">
        <v>14196</v>
      </c>
      <c r="C109" s="1885"/>
      <c r="D109" s="1268">
        <f t="shared" si="8"/>
        <v>58.57</v>
      </c>
      <c r="E109" s="1278">
        <v>4.2000000000000006E-3</v>
      </c>
      <c r="F109" s="1268" t="s">
        <v>14071</v>
      </c>
      <c r="G109" s="1268">
        <f t="shared" si="9"/>
        <v>0.245</v>
      </c>
      <c r="H109" s="1275">
        <v>30</v>
      </c>
      <c r="I109" s="1276">
        <f t="shared" si="10"/>
        <v>7.35</v>
      </c>
      <c r="J109" s="1275">
        <f t="shared" si="6"/>
        <v>942</v>
      </c>
      <c r="K109" s="1276">
        <f t="shared" si="12"/>
        <v>230.79</v>
      </c>
      <c r="L109" s="1275">
        <v>0</v>
      </c>
      <c r="M109" s="1276">
        <f t="shared" si="7"/>
        <v>0</v>
      </c>
    </row>
    <row r="110" spans="1:13" ht="27" customHeight="1">
      <c r="A110" s="1280">
        <f t="shared" si="11"/>
        <v>39</v>
      </c>
      <c r="B110" s="1884" t="s">
        <v>14197</v>
      </c>
      <c r="C110" s="1885"/>
      <c r="D110" s="1268">
        <f t="shared" si="8"/>
        <v>103.12</v>
      </c>
      <c r="E110" s="1278">
        <v>4.2000000000000006E-3</v>
      </c>
      <c r="F110" s="1268" t="s">
        <v>14071</v>
      </c>
      <c r="G110" s="1268">
        <f t="shared" si="9"/>
        <v>0.433</v>
      </c>
      <c r="H110" s="1275">
        <v>30</v>
      </c>
      <c r="I110" s="1276">
        <f t="shared" si="10"/>
        <v>12.99</v>
      </c>
      <c r="J110" s="1275">
        <f t="shared" si="6"/>
        <v>942</v>
      </c>
      <c r="K110" s="1276">
        <f t="shared" si="12"/>
        <v>407.88600000000002</v>
      </c>
      <c r="L110" s="1275">
        <v>0</v>
      </c>
      <c r="M110" s="1276">
        <f t="shared" si="7"/>
        <v>0</v>
      </c>
    </row>
    <row r="111" spans="1:13" ht="27" customHeight="1">
      <c r="A111" s="1280">
        <f t="shared" si="11"/>
        <v>40</v>
      </c>
      <c r="B111" s="1884" t="s">
        <v>14198</v>
      </c>
      <c r="C111" s="1885"/>
      <c r="D111" s="1268">
        <f t="shared" si="8"/>
        <v>53.8</v>
      </c>
      <c r="E111" s="1278">
        <v>4.2000000000000006E-3</v>
      </c>
      <c r="F111" s="1268" t="s">
        <v>14071</v>
      </c>
      <c r="G111" s="1268">
        <f t="shared" si="9"/>
        <v>0.22500000000000001</v>
      </c>
      <c r="H111" s="1275">
        <v>30</v>
      </c>
      <c r="I111" s="1276">
        <f t="shared" si="10"/>
        <v>6.75</v>
      </c>
      <c r="J111" s="1275">
        <f t="shared" si="6"/>
        <v>942</v>
      </c>
      <c r="K111" s="1276">
        <f t="shared" si="12"/>
        <v>211.95</v>
      </c>
      <c r="L111" s="1275">
        <v>0</v>
      </c>
      <c r="M111" s="1276">
        <f t="shared" si="7"/>
        <v>0</v>
      </c>
    </row>
    <row r="112" spans="1:13" ht="27" customHeight="1">
      <c r="A112" s="1280">
        <f t="shared" si="11"/>
        <v>41</v>
      </c>
      <c r="B112" s="1884" t="s">
        <v>14199</v>
      </c>
      <c r="C112" s="1885"/>
      <c r="D112" s="1268">
        <f t="shared" si="8"/>
        <v>58.18</v>
      </c>
      <c r="E112" s="1278">
        <v>4.2000000000000006E-3</v>
      </c>
      <c r="F112" s="1268" t="s">
        <v>14071</v>
      </c>
      <c r="G112" s="1268">
        <f t="shared" si="9"/>
        <v>0.24399999999999999</v>
      </c>
      <c r="H112" s="1275">
        <v>30</v>
      </c>
      <c r="I112" s="1276">
        <f t="shared" si="10"/>
        <v>7.32</v>
      </c>
      <c r="J112" s="1275">
        <f t="shared" si="6"/>
        <v>942</v>
      </c>
      <c r="K112" s="1276">
        <f t="shared" si="12"/>
        <v>229.84800000000001</v>
      </c>
      <c r="L112" s="1275">
        <v>0</v>
      </c>
      <c r="M112" s="1276">
        <f t="shared" si="7"/>
        <v>0</v>
      </c>
    </row>
    <row r="113" spans="1:13" ht="27" customHeight="1">
      <c r="A113" s="1280">
        <f t="shared" si="11"/>
        <v>42</v>
      </c>
      <c r="B113" s="1884" t="s">
        <v>14200</v>
      </c>
      <c r="C113" s="1885"/>
      <c r="D113" s="1268">
        <f t="shared" si="8"/>
        <v>60.92</v>
      </c>
      <c r="E113" s="1278">
        <v>4.2000000000000006E-3</v>
      </c>
      <c r="F113" s="1268" t="s">
        <v>14071</v>
      </c>
      <c r="G113" s="1268">
        <f t="shared" si="9"/>
        <v>0.255</v>
      </c>
      <c r="H113" s="1275">
        <v>30</v>
      </c>
      <c r="I113" s="1276">
        <f t="shared" si="10"/>
        <v>7.65</v>
      </c>
      <c r="J113" s="1275">
        <f t="shared" si="6"/>
        <v>942</v>
      </c>
      <c r="K113" s="1276">
        <f t="shared" si="12"/>
        <v>240.21</v>
      </c>
      <c r="L113" s="1275">
        <v>0</v>
      </c>
      <c r="M113" s="1276">
        <f t="shared" si="7"/>
        <v>0</v>
      </c>
    </row>
    <row r="114" spans="1:13" ht="27" customHeight="1">
      <c r="A114" s="1280">
        <f t="shared" si="11"/>
        <v>43</v>
      </c>
      <c r="B114" s="1884" t="s">
        <v>14201</v>
      </c>
      <c r="C114" s="1885"/>
      <c r="D114" s="1268">
        <f t="shared" si="8"/>
        <v>50.38</v>
      </c>
      <c r="E114" s="1278">
        <v>4.2000000000000006E-3</v>
      </c>
      <c r="F114" s="1268" t="s">
        <v>14071</v>
      </c>
      <c r="G114" s="1268">
        <f t="shared" si="9"/>
        <v>0.21099999999999999</v>
      </c>
      <c r="H114" s="1275">
        <v>30</v>
      </c>
      <c r="I114" s="1276">
        <f t="shared" si="10"/>
        <v>6.33</v>
      </c>
      <c r="J114" s="1275">
        <f t="shared" si="6"/>
        <v>942</v>
      </c>
      <c r="K114" s="1276">
        <f t="shared" si="12"/>
        <v>198.762</v>
      </c>
      <c r="L114" s="1275">
        <v>0</v>
      </c>
      <c r="M114" s="1276">
        <f t="shared" si="7"/>
        <v>0</v>
      </c>
    </row>
    <row r="115" spans="1:13" ht="27" customHeight="1">
      <c r="A115" s="1280">
        <f t="shared" si="11"/>
        <v>44</v>
      </c>
      <c r="B115" s="1884" t="s">
        <v>14202</v>
      </c>
      <c r="C115" s="1885"/>
      <c r="D115" s="1268">
        <f t="shared" si="8"/>
        <v>56.22</v>
      </c>
      <c r="E115" s="1278">
        <v>4.2000000000000006E-3</v>
      </c>
      <c r="F115" s="1268" t="s">
        <v>14071</v>
      </c>
      <c r="G115" s="1268">
        <f t="shared" si="9"/>
        <v>0.23599999999999999</v>
      </c>
      <c r="H115" s="1275">
        <v>30</v>
      </c>
      <c r="I115" s="1276">
        <f t="shared" si="10"/>
        <v>7.08</v>
      </c>
      <c r="J115" s="1275">
        <f t="shared" si="6"/>
        <v>942</v>
      </c>
      <c r="K115" s="1276">
        <f t="shared" si="12"/>
        <v>222.31200000000001</v>
      </c>
      <c r="L115" s="1275">
        <v>0</v>
      </c>
      <c r="M115" s="1276">
        <f t="shared" si="7"/>
        <v>0</v>
      </c>
    </row>
    <row r="116" spans="1:13" ht="27" customHeight="1">
      <c r="A116" s="1280">
        <f t="shared" si="11"/>
        <v>45</v>
      </c>
      <c r="B116" s="1884" t="s">
        <v>14203</v>
      </c>
      <c r="C116" s="1885"/>
      <c r="D116" s="1268">
        <f t="shared" si="8"/>
        <v>47.51</v>
      </c>
      <c r="E116" s="1278">
        <v>4.2000000000000006E-3</v>
      </c>
      <c r="F116" s="1268" t="s">
        <v>14071</v>
      </c>
      <c r="G116" s="1268">
        <f t="shared" si="9"/>
        <v>0.19900000000000001</v>
      </c>
      <c r="H116" s="1275">
        <v>30</v>
      </c>
      <c r="I116" s="1276">
        <f t="shared" si="10"/>
        <v>5.97</v>
      </c>
      <c r="J116" s="1275">
        <f t="shared" si="6"/>
        <v>942</v>
      </c>
      <c r="K116" s="1276">
        <f t="shared" si="12"/>
        <v>187.458</v>
      </c>
      <c r="L116" s="1275">
        <v>0</v>
      </c>
      <c r="M116" s="1276">
        <f t="shared" si="7"/>
        <v>0</v>
      </c>
    </row>
    <row r="117" spans="1:13" ht="27" customHeight="1">
      <c r="A117" s="1280">
        <f t="shared" si="11"/>
        <v>46</v>
      </c>
      <c r="B117" s="1884" t="s">
        <v>14204</v>
      </c>
      <c r="C117" s="1885"/>
      <c r="D117" s="1268">
        <f t="shared" si="8"/>
        <v>48.91</v>
      </c>
      <c r="E117" s="1278">
        <v>4.2000000000000006E-3</v>
      </c>
      <c r="F117" s="1268" t="s">
        <v>14071</v>
      </c>
      <c r="G117" s="1268">
        <f t="shared" si="9"/>
        <v>0.20499999999999999</v>
      </c>
      <c r="H117" s="1275">
        <v>30</v>
      </c>
      <c r="I117" s="1276">
        <f t="shared" si="10"/>
        <v>6.15</v>
      </c>
      <c r="J117" s="1275">
        <f t="shared" si="6"/>
        <v>942</v>
      </c>
      <c r="K117" s="1276">
        <f t="shared" si="12"/>
        <v>193.11</v>
      </c>
      <c r="L117" s="1275">
        <v>0</v>
      </c>
      <c r="M117" s="1276">
        <f t="shared" si="7"/>
        <v>0</v>
      </c>
    </row>
    <row r="118" spans="1:13" ht="27" customHeight="1">
      <c r="A118" s="1280">
        <f t="shared" si="11"/>
        <v>47</v>
      </c>
      <c r="B118" s="1884" t="s">
        <v>14205</v>
      </c>
      <c r="C118" s="1885"/>
      <c r="D118" s="1268">
        <f t="shared" si="8"/>
        <v>50.05</v>
      </c>
      <c r="E118" s="1278">
        <v>4.2000000000000006E-3</v>
      </c>
      <c r="F118" s="1268" t="s">
        <v>14071</v>
      </c>
      <c r="G118" s="1268">
        <f t="shared" si="9"/>
        <v>0.21</v>
      </c>
      <c r="H118" s="1275">
        <v>30</v>
      </c>
      <c r="I118" s="1276">
        <f t="shared" si="10"/>
        <v>6.3</v>
      </c>
      <c r="J118" s="1275">
        <f t="shared" si="6"/>
        <v>942</v>
      </c>
      <c r="K118" s="1276">
        <f t="shared" si="12"/>
        <v>197.82</v>
      </c>
      <c r="L118" s="1275">
        <v>0</v>
      </c>
      <c r="M118" s="1276">
        <f t="shared" si="7"/>
        <v>0</v>
      </c>
    </row>
    <row r="119" spans="1:13" ht="27" customHeight="1">
      <c r="A119" s="1280">
        <f t="shared" si="11"/>
        <v>48</v>
      </c>
      <c r="B119" s="1884" t="s">
        <v>14206</v>
      </c>
      <c r="C119" s="1885"/>
      <c r="D119" s="1268">
        <f t="shared" si="8"/>
        <v>42.68</v>
      </c>
      <c r="E119" s="1278">
        <v>4.2000000000000006E-3</v>
      </c>
      <c r="F119" s="1268" t="s">
        <v>14071</v>
      </c>
      <c r="G119" s="1268">
        <f t="shared" si="9"/>
        <v>0.17899999999999999</v>
      </c>
      <c r="H119" s="1275">
        <v>30</v>
      </c>
      <c r="I119" s="1276">
        <f t="shared" si="10"/>
        <v>5.37</v>
      </c>
      <c r="J119" s="1275">
        <f t="shared" si="6"/>
        <v>942</v>
      </c>
      <c r="K119" s="1276">
        <f t="shared" si="12"/>
        <v>168.61799999999999</v>
      </c>
      <c r="L119" s="1275">
        <v>0</v>
      </c>
      <c r="M119" s="1276">
        <f t="shared" si="7"/>
        <v>0</v>
      </c>
    </row>
    <row r="120" spans="1:13" ht="27" customHeight="1">
      <c r="A120" s="1280">
        <f t="shared" si="11"/>
        <v>49</v>
      </c>
      <c r="B120" s="1884" t="s">
        <v>14207</v>
      </c>
      <c r="C120" s="1885"/>
      <c r="D120" s="1268">
        <f t="shared" si="8"/>
        <v>76.05</v>
      </c>
      <c r="E120" s="1278">
        <v>4.2000000000000006E-3</v>
      </c>
      <c r="F120" s="1268" t="s">
        <v>14071</v>
      </c>
      <c r="G120" s="1268">
        <f t="shared" si="9"/>
        <v>0.31900000000000001</v>
      </c>
      <c r="H120" s="1275">
        <v>30</v>
      </c>
      <c r="I120" s="1276">
        <f t="shared" si="10"/>
        <v>9.57</v>
      </c>
      <c r="J120" s="1275">
        <f t="shared" si="6"/>
        <v>942</v>
      </c>
      <c r="K120" s="1276">
        <f t="shared" si="12"/>
        <v>300.49799999999999</v>
      </c>
      <c r="L120" s="1275">
        <v>0</v>
      </c>
      <c r="M120" s="1276">
        <f t="shared" si="7"/>
        <v>0</v>
      </c>
    </row>
    <row r="121" spans="1:13" ht="27" customHeight="1">
      <c r="A121" s="1280">
        <f t="shared" si="11"/>
        <v>50</v>
      </c>
      <c r="B121" s="1884" t="s">
        <v>14208</v>
      </c>
      <c r="C121" s="1885"/>
      <c r="D121" s="1268">
        <f t="shared" si="8"/>
        <v>72.099999999999994</v>
      </c>
      <c r="E121" s="1278">
        <v>4.2000000000000006E-3</v>
      </c>
      <c r="F121" s="1268" t="s">
        <v>14071</v>
      </c>
      <c r="G121" s="1268">
        <f t="shared" si="9"/>
        <v>0.30199999999999999</v>
      </c>
      <c r="H121" s="1275">
        <v>30</v>
      </c>
      <c r="I121" s="1276">
        <f t="shared" si="10"/>
        <v>9.06</v>
      </c>
      <c r="J121" s="1275">
        <f t="shared" si="6"/>
        <v>942</v>
      </c>
      <c r="K121" s="1276">
        <f t="shared" si="12"/>
        <v>284.48399999999998</v>
      </c>
      <c r="L121" s="1275">
        <v>0</v>
      </c>
      <c r="M121" s="1276">
        <f t="shared" si="7"/>
        <v>0</v>
      </c>
    </row>
    <row r="122" spans="1:13" ht="27" customHeight="1">
      <c r="A122" s="1921" t="s">
        <v>14005</v>
      </c>
      <c r="B122" s="1922"/>
      <c r="C122" s="1922"/>
      <c r="D122" s="1262">
        <f>SUM(D72:D121)</f>
        <v>2857.1300000000006</v>
      </c>
      <c r="E122" s="1263"/>
      <c r="F122" s="1262"/>
      <c r="G122" s="1262">
        <f>SUM(G72:G121)</f>
        <v>11.975</v>
      </c>
      <c r="H122" s="1262"/>
      <c r="I122" s="1262">
        <f>SUM(I72:I121)</f>
        <v>359.25</v>
      </c>
      <c r="J122" s="1262"/>
      <c r="K122" s="1262">
        <f>SUM(K72:K121)</f>
        <v>11280.449999999999</v>
      </c>
      <c r="L122" s="1262"/>
      <c r="M122" s="1262">
        <f>SUM(M72:M121)</f>
        <v>0</v>
      </c>
    </row>
    <row r="123" spans="1:13" ht="24.95" customHeight="1">
      <c r="A123" s="1963" t="s">
        <v>14072</v>
      </c>
      <c r="B123" s="1964"/>
      <c r="C123" s="1964"/>
      <c r="D123" s="1964"/>
      <c r="E123" s="1964"/>
      <c r="F123" s="1964"/>
      <c r="G123" s="1964"/>
      <c r="H123" s="1964"/>
      <c r="I123" s="1964"/>
      <c r="J123" s="1964"/>
      <c r="K123" s="1964"/>
      <c r="L123" s="1964"/>
      <c r="M123" s="1965"/>
    </row>
    <row r="124" spans="1:13" ht="24.95" customHeight="1">
      <c r="A124" s="1966" t="s">
        <v>14073</v>
      </c>
      <c r="B124" s="1967"/>
      <c r="C124" s="1967"/>
      <c r="D124" s="1967"/>
      <c r="E124" s="1967"/>
      <c r="F124" s="1967"/>
      <c r="G124" s="1967"/>
      <c r="H124" s="1967"/>
      <c r="I124" s="1967"/>
      <c r="J124" s="1967"/>
      <c r="K124" s="1967"/>
      <c r="L124" s="1967"/>
      <c r="M124" s="1968"/>
    </row>
    <row r="126" spans="1:13">
      <c r="J126" s="1244" t="s">
        <v>14057</v>
      </c>
      <c r="K126" s="396" t="s">
        <v>14075</v>
      </c>
      <c r="L126" t="s">
        <v>14032</v>
      </c>
    </row>
    <row r="128" spans="1:13">
      <c r="J128" t="s">
        <v>14076</v>
      </c>
    </row>
    <row r="129" spans="10:10">
      <c r="J129" t="s">
        <v>14077</v>
      </c>
    </row>
    <row r="130" spans="10:10">
      <c r="J130" t="s">
        <v>14078</v>
      </c>
    </row>
  </sheetData>
  <mergeCells count="134">
    <mergeCell ref="A1:M1"/>
    <mergeCell ref="A2:M2"/>
    <mergeCell ref="A3:M3"/>
    <mergeCell ref="A4:M4"/>
    <mergeCell ref="A5:M5"/>
    <mergeCell ref="B6:M6"/>
    <mergeCell ref="H12:I12"/>
    <mergeCell ref="J12:K12"/>
    <mergeCell ref="L12:M12"/>
    <mergeCell ref="B15:C15"/>
    <mergeCell ref="B16:C16"/>
    <mergeCell ref="B17:C17"/>
    <mergeCell ref="B7:M7"/>
    <mergeCell ref="B8:M8"/>
    <mergeCell ref="B9:M9"/>
    <mergeCell ref="A10:M10"/>
    <mergeCell ref="A11:M11"/>
    <mergeCell ref="A12:A14"/>
    <mergeCell ref="B12:C14"/>
    <mergeCell ref="D12:D13"/>
    <mergeCell ref="E12:F12"/>
    <mergeCell ref="G12:G13"/>
    <mergeCell ref="B24:C24"/>
    <mergeCell ref="B25:C25"/>
    <mergeCell ref="B26:C26"/>
    <mergeCell ref="B27:C27"/>
    <mergeCell ref="B28:C28"/>
    <mergeCell ref="B29:C29"/>
    <mergeCell ref="B18:C18"/>
    <mergeCell ref="B19:C19"/>
    <mergeCell ref="B20:C20"/>
    <mergeCell ref="B21:C21"/>
    <mergeCell ref="B22:C22"/>
    <mergeCell ref="B23:C23"/>
    <mergeCell ref="B36:C36"/>
    <mergeCell ref="B37:C37"/>
    <mergeCell ref="B38:C38"/>
    <mergeCell ref="B39:C39"/>
    <mergeCell ref="B40:C40"/>
    <mergeCell ref="B41:C41"/>
    <mergeCell ref="B30:C30"/>
    <mergeCell ref="B31:C31"/>
    <mergeCell ref="B32:C32"/>
    <mergeCell ref="B33:C33"/>
    <mergeCell ref="B34:C34"/>
    <mergeCell ref="B35:C35"/>
    <mergeCell ref="B48:C48"/>
    <mergeCell ref="B49:C49"/>
    <mergeCell ref="B50:C50"/>
    <mergeCell ref="B51:C51"/>
    <mergeCell ref="B52:C52"/>
    <mergeCell ref="B53:C53"/>
    <mergeCell ref="B42:C42"/>
    <mergeCell ref="B43:C43"/>
    <mergeCell ref="B44:C44"/>
    <mergeCell ref="B45:C45"/>
    <mergeCell ref="B46:C46"/>
    <mergeCell ref="B47:C47"/>
    <mergeCell ref="B60:C60"/>
    <mergeCell ref="B61:C61"/>
    <mergeCell ref="B62:C62"/>
    <mergeCell ref="B63:C63"/>
    <mergeCell ref="B64:C64"/>
    <mergeCell ref="A65:C65"/>
    <mergeCell ref="B54:C54"/>
    <mergeCell ref="B55:C55"/>
    <mergeCell ref="B56:C56"/>
    <mergeCell ref="B57:C57"/>
    <mergeCell ref="B58:C58"/>
    <mergeCell ref="B59:C59"/>
    <mergeCell ref="L69:M69"/>
    <mergeCell ref="B72:C72"/>
    <mergeCell ref="B73:C73"/>
    <mergeCell ref="B74:C74"/>
    <mergeCell ref="B75:C75"/>
    <mergeCell ref="B76:C76"/>
    <mergeCell ref="A66:M66"/>
    <mergeCell ref="A67:M67"/>
    <mergeCell ref="A68:M68"/>
    <mergeCell ref="A69:A71"/>
    <mergeCell ref="B69:C71"/>
    <mergeCell ref="D69:D70"/>
    <mergeCell ref="E69:F69"/>
    <mergeCell ref="G69:G70"/>
    <mergeCell ref="H69:I69"/>
    <mergeCell ref="J69:K69"/>
    <mergeCell ref="B83:C83"/>
    <mergeCell ref="B84:C84"/>
    <mergeCell ref="B85:C85"/>
    <mergeCell ref="B86:C86"/>
    <mergeCell ref="B87:C87"/>
    <mergeCell ref="B88:C88"/>
    <mergeCell ref="B77:C77"/>
    <mergeCell ref="B78:C78"/>
    <mergeCell ref="B79:C79"/>
    <mergeCell ref="B80:C80"/>
    <mergeCell ref="B81:C81"/>
    <mergeCell ref="B82:C82"/>
    <mergeCell ref="B95:C95"/>
    <mergeCell ref="B96:C96"/>
    <mergeCell ref="B97:C97"/>
    <mergeCell ref="B98:C98"/>
    <mergeCell ref="B99:C99"/>
    <mergeCell ref="B100:C100"/>
    <mergeCell ref="B89:C89"/>
    <mergeCell ref="B90:C90"/>
    <mergeCell ref="B91:C91"/>
    <mergeCell ref="B92:C92"/>
    <mergeCell ref="B93:C93"/>
    <mergeCell ref="B94:C94"/>
    <mergeCell ref="B107:C107"/>
    <mergeCell ref="B108:C108"/>
    <mergeCell ref="B109:C109"/>
    <mergeCell ref="B110:C110"/>
    <mergeCell ref="B111:C111"/>
    <mergeCell ref="B112:C112"/>
    <mergeCell ref="B101:C101"/>
    <mergeCell ref="B102:C102"/>
    <mergeCell ref="B103:C103"/>
    <mergeCell ref="B104:C104"/>
    <mergeCell ref="B105:C105"/>
    <mergeCell ref="B106:C106"/>
    <mergeCell ref="B119:C119"/>
    <mergeCell ref="B120:C120"/>
    <mergeCell ref="B121:C121"/>
    <mergeCell ref="A122:C122"/>
    <mergeCell ref="A123:M123"/>
    <mergeCell ref="A124:M124"/>
    <mergeCell ref="B113:C113"/>
    <mergeCell ref="B114:C114"/>
    <mergeCell ref="B115:C115"/>
    <mergeCell ref="B116:C116"/>
    <mergeCell ref="B117:C117"/>
    <mergeCell ref="B118:C118"/>
  </mergeCells>
  <printOptions horizontalCentered="1"/>
  <pageMargins left="0.70866141732283472" right="0.70866141732283472" top="0.74803149606299213" bottom="0.74803149606299213" header="0.31496062992125984" footer="0.31496062992125984"/>
  <pageSetup paperSize="9" scale="37" firstPageNumber="25" fitToHeight="0" orientation="portrait" useFirstPageNumber="1" r:id="rId1"/>
  <headerFooter scaleWithDoc="0"/>
  <rowBreaks count="1" manualBreakCount="1">
    <brk id="67" max="16383" man="1"/>
  </rowBreaks>
  <drawing r:id="rId2"/>
</worksheet>
</file>

<file path=xl/worksheets/sheet33.xml><?xml version="1.0" encoding="utf-8"?>
<worksheet xmlns="http://schemas.openxmlformats.org/spreadsheetml/2006/main" xmlns:r="http://schemas.openxmlformats.org/officeDocument/2006/relationships">
  <sheetPr codeName="Planilha10">
    <tabColor rgb="FFFFCCFF"/>
  </sheetPr>
  <dimension ref="A1:K7510"/>
  <sheetViews>
    <sheetView topLeftCell="B7123" zoomScale="85" zoomScaleNormal="85" zoomScaleSheetLayoutView="115" workbookViewId="0">
      <selection activeCell="G30" sqref="G30:H31"/>
    </sheetView>
  </sheetViews>
  <sheetFormatPr defaultRowHeight="15"/>
  <cols>
    <col min="1" max="1" width="14.28515625" customWidth="1"/>
    <col min="2" max="2" width="20.5703125" style="1140" customWidth="1"/>
    <col min="3" max="3" width="120.7109375" style="401" customWidth="1"/>
    <col min="4" max="4" width="10.7109375" style="396" customWidth="1"/>
    <col min="5" max="5" width="10.7109375" customWidth="1"/>
    <col min="6" max="6" width="9.85546875" bestFit="1" customWidth="1"/>
    <col min="8" max="8" width="16" bestFit="1" customWidth="1"/>
    <col min="9" max="9" width="20.140625" bestFit="1" customWidth="1"/>
    <col min="10" max="10" width="12.42578125" bestFit="1" customWidth="1"/>
    <col min="11" max="11" width="23.28515625" customWidth="1"/>
    <col min="12" max="12" width="16" bestFit="1" customWidth="1"/>
    <col min="13" max="13" width="12.5703125" bestFit="1" customWidth="1"/>
  </cols>
  <sheetData>
    <row r="1" spans="2:11" ht="16.5" thickBot="1">
      <c r="B1" s="1138" t="s">
        <v>28</v>
      </c>
      <c r="C1" s="403" t="s">
        <v>29</v>
      </c>
      <c r="D1" s="404" t="s">
        <v>30</v>
      </c>
      <c r="E1" s="404" t="s">
        <v>31</v>
      </c>
      <c r="H1" s="404" t="s">
        <v>2705</v>
      </c>
      <c r="I1" s="404" t="s">
        <v>2706</v>
      </c>
    </row>
    <row r="2" spans="2:11" ht="30.75" thickBot="1">
      <c r="B2" s="396">
        <v>97141</v>
      </c>
      <c r="C2" s="401" t="s">
        <v>2466</v>
      </c>
      <c r="D2" s="396" t="s">
        <v>22</v>
      </c>
      <c r="E2" s="405">
        <f>IF($K$2=$H$1,H2,I2)</f>
        <v>7.18</v>
      </c>
      <c r="F2">
        <f>IF(LEN($B2)=7,CONCATENATE(MID($B2,1,6),"00",RIGHT($B2,1)),IF(LEN($B2)=8,CONCATENATE(MID($B2,1,6),"0",RIGHT($B2,2)),$B2))</f>
        <v>97141</v>
      </c>
      <c r="H2" s="679">
        <v>7.18</v>
      </c>
      <c r="I2" s="679">
        <v>7.68</v>
      </c>
      <c r="K2" s="427" t="str">
        <f>'ORÇAMENTO '!L6</f>
        <v>DESONERADO</v>
      </c>
    </row>
    <row r="3" spans="2:11" ht="30">
      <c r="B3" s="1139">
        <v>97142</v>
      </c>
      <c r="C3" s="406" t="s">
        <v>2467</v>
      </c>
      <c r="D3" s="395" t="s">
        <v>22</v>
      </c>
      <c r="E3" s="407">
        <f t="shared" ref="E3:E66" si="0">IF($K$2=$H$1,H3,I3)</f>
        <v>7.96</v>
      </c>
      <c r="F3">
        <f t="shared" ref="F3:F66" si="1">IF(LEN($B3)=7,CONCATENATE(MID($B3,1,6),"00",RIGHT($B3,1)),IF(LEN($B3)=8,CONCATENATE(MID($B3,1,6),"0",RIGHT($B3,2)),$B3))</f>
        <v>97142</v>
      </c>
      <c r="H3" s="680">
        <v>7.96</v>
      </c>
      <c r="I3" s="680">
        <v>8.5399999999999991</v>
      </c>
    </row>
    <row r="4" spans="2:11" ht="30">
      <c r="B4" s="396">
        <v>97143</v>
      </c>
      <c r="C4" s="401" t="s">
        <v>2468</v>
      </c>
      <c r="D4" s="396" t="s">
        <v>22</v>
      </c>
      <c r="E4" s="405">
        <f t="shared" si="0"/>
        <v>9.9700000000000006</v>
      </c>
      <c r="F4">
        <f t="shared" si="1"/>
        <v>97143</v>
      </c>
      <c r="H4" s="679">
        <v>9.9700000000000006</v>
      </c>
      <c r="I4" s="679">
        <v>10.71</v>
      </c>
    </row>
    <row r="5" spans="2:11" ht="30">
      <c r="B5" s="395">
        <v>97144</v>
      </c>
      <c r="C5" s="406" t="s">
        <v>2469</v>
      </c>
      <c r="D5" s="395" t="s">
        <v>22</v>
      </c>
      <c r="E5" s="407">
        <f t="shared" si="0"/>
        <v>11.93</v>
      </c>
      <c r="F5">
        <f t="shared" si="1"/>
        <v>97144</v>
      </c>
      <c r="H5" s="680">
        <v>11.93</v>
      </c>
      <c r="I5" s="680">
        <v>12.84</v>
      </c>
    </row>
    <row r="6" spans="2:11" ht="30">
      <c r="B6" s="396">
        <v>97145</v>
      </c>
      <c r="C6" s="401" t="s">
        <v>2470</v>
      </c>
      <c r="D6" s="396" t="s">
        <v>22</v>
      </c>
      <c r="E6" s="405">
        <f t="shared" si="0"/>
        <v>13.94</v>
      </c>
      <c r="F6">
        <f t="shared" si="1"/>
        <v>97145</v>
      </c>
      <c r="H6" s="679">
        <v>13.94</v>
      </c>
      <c r="I6" s="679">
        <v>15.02</v>
      </c>
    </row>
    <row r="7" spans="2:11" ht="30">
      <c r="B7" s="395">
        <v>97146</v>
      </c>
      <c r="C7" s="406" t="s">
        <v>2471</v>
      </c>
      <c r="D7" s="395" t="s">
        <v>22</v>
      </c>
      <c r="E7" s="407">
        <f t="shared" si="0"/>
        <v>15.95</v>
      </c>
      <c r="F7">
        <f t="shared" si="1"/>
        <v>97146</v>
      </c>
      <c r="H7" s="680">
        <v>15.95</v>
      </c>
      <c r="I7" s="680">
        <v>17.190000000000001</v>
      </c>
    </row>
    <row r="8" spans="2:11" ht="30">
      <c r="B8" s="396">
        <v>97147</v>
      </c>
      <c r="C8" s="401" t="s">
        <v>2472</v>
      </c>
      <c r="D8" s="396" t="s">
        <v>22</v>
      </c>
      <c r="E8" s="405">
        <f t="shared" si="0"/>
        <v>17.96</v>
      </c>
      <c r="F8">
        <f t="shared" si="1"/>
        <v>97147</v>
      </c>
      <c r="H8" s="679">
        <v>17.96</v>
      </c>
      <c r="I8" s="679">
        <v>19.37</v>
      </c>
    </row>
    <row r="9" spans="2:11" ht="30">
      <c r="B9" s="395">
        <v>97148</v>
      </c>
      <c r="C9" s="406" t="s">
        <v>2473</v>
      </c>
      <c r="D9" s="395" t="s">
        <v>22</v>
      </c>
      <c r="E9" s="407">
        <f t="shared" si="0"/>
        <v>19.97</v>
      </c>
      <c r="F9">
        <f t="shared" si="1"/>
        <v>97148</v>
      </c>
      <c r="H9" s="680">
        <v>19.97</v>
      </c>
      <c r="I9" s="680">
        <v>21.54</v>
      </c>
    </row>
    <row r="10" spans="2:11" ht="30">
      <c r="B10" s="396">
        <v>97149</v>
      </c>
      <c r="C10" s="401" t="s">
        <v>2474</v>
      </c>
      <c r="D10" s="396" t="s">
        <v>22</v>
      </c>
      <c r="E10" s="405">
        <f t="shared" si="0"/>
        <v>22</v>
      </c>
      <c r="F10">
        <f t="shared" si="1"/>
        <v>97149</v>
      </c>
      <c r="H10" s="679">
        <v>22</v>
      </c>
      <c r="I10" s="679">
        <v>23.75</v>
      </c>
    </row>
    <row r="11" spans="2:11" ht="30">
      <c r="B11" s="395">
        <v>97150</v>
      </c>
      <c r="C11" s="406" t="s">
        <v>2475</v>
      </c>
      <c r="D11" s="395" t="s">
        <v>22</v>
      </c>
      <c r="E11" s="407">
        <f t="shared" si="0"/>
        <v>28.26</v>
      </c>
      <c r="F11">
        <f t="shared" si="1"/>
        <v>97150</v>
      </c>
      <c r="H11" s="680">
        <v>28.26</v>
      </c>
      <c r="I11" s="680">
        <v>30.17</v>
      </c>
    </row>
    <row r="12" spans="2:11" ht="30">
      <c r="B12" s="396">
        <v>97151</v>
      </c>
      <c r="C12" s="401" t="s">
        <v>2476</v>
      </c>
      <c r="D12" s="396" t="s">
        <v>22</v>
      </c>
      <c r="E12" s="405">
        <f t="shared" si="0"/>
        <v>32.950000000000003</v>
      </c>
      <c r="F12">
        <f t="shared" si="1"/>
        <v>97151</v>
      </c>
      <c r="H12" s="679">
        <v>32.950000000000003</v>
      </c>
      <c r="I12" s="679">
        <v>35.19</v>
      </c>
    </row>
    <row r="13" spans="2:11" ht="30">
      <c r="B13" s="395">
        <v>97152</v>
      </c>
      <c r="C13" s="406" t="s">
        <v>2477</v>
      </c>
      <c r="D13" s="395" t="s">
        <v>22</v>
      </c>
      <c r="E13" s="407">
        <f t="shared" si="0"/>
        <v>37.32</v>
      </c>
      <c r="F13">
        <f t="shared" si="1"/>
        <v>97152</v>
      </c>
      <c r="H13" s="680">
        <v>37.32</v>
      </c>
      <c r="I13" s="680">
        <v>39.9</v>
      </c>
    </row>
    <row r="14" spans="2:11" ht="30">
      <c r="B14" s="396">
        <v>97153</v>
      </c>
      <c r="C14" s="401" t="s">
        <v>2478</v>
      </c>
      <c r="D14" s="396" t="s">
        <v>22</v>
      </c>
      <c r="E14" s="405">
        <f t="shared" si="0"/>
        <v>41.87</v>
      </c>
      <c r="F14">
        <f t="shared" si="1"/>
        <v>97153</v>
      </c>
      <c r="H14" s="679">
        <v>41.87</v>
      </c>
      <c r="I14" s="679">
        <v>44.78</v>
      </c>
    </row>
    <row r="15" spans="2:11" ht="30">
      <c r="B15" s="395">
        <v>97154</v>
      </c>
      <c r="C15" s="406" t="s">
        <v>2479</v>
      </c>
      <c r="D15" s="395" t="s">
        <v>22</v>
      </c>
      <c r="E15" s="407">
        <f t="shared" si="0"/>
        <v>46.45</v>
      </c>
      <c r="F15">
        <f t="shared" si="1"/>
        <v>97154</v>
      </c>
      <c r="H15" s="680">
        <v>46.45</v>
      </c>
      <c r="I15" s="680">
        <v>49.71</v>
      </c>
    </row>
    <row r="16" spans="2:11" ht="30">
      <c r="B16" s="396">
        <v>97155</v>
      </c>
      <c r="C16" s="401" t="s">
        <v>2480</v>
      </c>
      <c r="D16" s="396" t="s">
        <v>22</v>
      </c>
      <c r="E16" s="405">
        <f t="shared" si="0"/>
        <v>51.06</v>
      </c>
      <c r="F16">
        <f t="shared" si="1"/>
        <v>97155</v>
      </c>
      <c r="H16" s="679">
        <v>51.06</v>
      </c>
      <c r="I16" s="679">
        <v>54.65</v>
      </c>
    </row>
    <row r="17" spans="2:9" ht="30">
      <c r="B17" s="395">
        <v>97156</v>
      </c>
      <c r="C17" s="406" t="s">
        <v>2481</v>
      </c>
      <c r="D17" s="395" t="s">
        <v>22</v>
      </c>
      <c r="E17" s="407">
        <f t="shared" si="0"/>
        <v>60.76</v>
      </c>
      <c r="F17">
        <f t="shared" si="1"/>
        <v>97156</v>
      </c>
      <c r="H17" s="680">
        <v>60.76</v>
      </c>
      <c r="I17" s="680">
        <v>65.010000000000005</v>
      </c>
    </row>
    <row r="18" spans="2:9" ht="30">
      <c r="B18" s="396">
        <v>97157</v>
      </c>
      <c r="C18" s="401" t="s">
        <v>2482</v>
      </c>
      <c r="D18" s="396" t="s">
        <v>22</v>
      </c>
      <c r="E18" s="405">
        <f t="shared" si="0"/>
        <v>4.4400000000000004</v>
      </c>
      <c r="F18">
        <f t="shared" si="1"/>
        <v>97157</v>
      </c>
      <c r="H18" s="679">
        <v>4.4400000000000004</v>
      </c>
      <c r="I18" s="679">
        <v>4.72</v>
      </c>
    </row>
    <row r="19" spans="2:9" ht="30">
      <c r="B19" s="395">
        <v>97158</v>
      </c>
      <c r="C19" s="406" t="s">
        <v>2483</v>
      </c>
      <c r="D19" s="395" t="s">
        <v>22</v>
      </c>
      <c r="E19" s="407">
        <f t="shared" si="0"/>
        <v>4.93</v>
      </c>
      <c r="F19">
        <f t="shared" si="1"/>
        <v>97158</v>
      </c>
      <c r="H19" s="680">
        <v>4.93</v>
      </c>
      <c r="I19" s="680">
        <v>5.26</v>
      </c>
    </row>
    <row r="20" spans="2:9" ht="30">
      <c r="B20" s="396">
        <v>97159</v>
      </c>
      <c r="C20" s="401" t="s">
        <v>2484</v>
      </c>
      <c r="D20" s="396" t="s">
        <v>22</v>
      </c>
      <c r="E20" s="405">
        <f t="shared" si="0"/>
        <v>6.18</v>
      </c>
      <c r="F20">
        <f t="shared" si="1"/>
        <v>97159</v>
      </c>
      <c r="H20" s="679">
        <v>6.18</v>
      </c>
      <c r="I20" s="679">
        <v>6.61</v>
      </c>
    </row>
    <row r="21" spans="2:9" ht="30">
      <c r="B21" s="395">
        <v>97160</v>
      </c>
      <c r="C21" s="406" t="s">
        <v>2485</v>
      </c>
      <c r="D21" s="395" t="s">
        <v>22</v>
      </c>
      <c r="E21" s="407">
        <f t="shared" si="0"/>
        <v>7.38</v>
      </c>
      <c r="F21">
        <f t="shared" si="1"/>
        <v>97160</v>
      </c>
      <c r="H21" s="680">
        <v>7.38</v>
      </c>
      <c r="I21" s="680">
        <v>7.9</v>
      </c>
    </row>
    <row r="22" spans="2:9" ht="30">
      <c r="B22" s="396">
        <v>97161</v>
      </c>
      <c r="C22" s="401" t="s">
        <v>2486</v>
      </c>
      <c r="D22" s="396" t="s">
        <v>22</v>
      </c>
      <c r="E22" s="405">
        <f t="shared" si="0"/>
        <v>8.65</v>
      </c>
      <c r="F22">
        <f t="shared" si="1"/>
        <v>97161</v>
      </c>
      <c r="H22" s="679">
        <v>8.65</v>
      </c>
      <c r="I22" s="679">
        <v>9.26</v>
      </c>
    </row>
    <row r="23" spans="2:9" ht="30">
      <c r="B23" s="395">
        <v>97162</v>
      </c>
      <c r="C23" s="406" t="s">
        <v>2487</v>
      </c>
      <c r="D23" s="395" t="s">
        <v>22</v>
      </c>
      <c r="E23" s="407">
        <f t="shared" si="0"/>
        <v>9.89</v>
      </c>
      <c r="F23">
        <f t="shared" si="1"/>
        <v>97162</v>
      </c>
      <c r="H23" s="680">
        <v>9.89</v>
      </c>
      <c r="I23" s="680">
        <v>10.61</v>
      </c>
    </row>
    <row r="24" spans="2:9" ht="30">
      <c r="B24" s="396">
        <v>97163</v>
      </c>
      <c r="C24" s="401" t="s">
        <v>2488</v>
      </c>
      <c r="D24" s="396" t="s">
        <v>22</v>
      </c>
      <c r="E24" s="405">
        <f t="shared" si="0"/>
        <v>11.15</v>
      </c>
      <c r="F24">
        <f t="shared" si="1"/>
        <v>97163</v>
      </c>
      <c r="H24" s="679">
        <v>11.15</v>
      </c>
      <c r="I24" s="679">
        <v>11.97</v>
      </c>
    </row>
    <row r="25" spans="2:9" ht="30">
      <c r="B25" s="395">
        <v>97164</v>
      </c>
      <c r="C25" s="406" t="s">
        <v>2489</v>
      </c>
      <c r="D25" s="395" t="s">
        <v>22</v>
      </c>
      <c r="E25" s="407">
        <f t="shared" si="0"/>
        <v>12.4</v>
      </c>
      <c r="F25">
        <f t="shared" si="1"/>
        <v>97164</v>
      </c>
      <c r="H25" s="680">
        <v>12.4</v>
      </c>
      <c r="I25" s="680">
        <v>13.32</v>
      </c>
    </row>
    <row r="26" spans="2:9" ht="30">
      <c r="B26" s="396">
        <v>97165</v>
      </c>
      <c r="C26" s="401" t="s">
        <v>2490</v>
      </c>
      <c r="D26" s="396" t="s">
        <v>22</v>
      </c>
      <c r="E26" s="405">
        <f t="shared" si="0"/>
        <v>13.68</v>
      </c>
      <c r="F26">
        <f t="shared" si="1"/>
        <v>97165</v>
      </c>
      <c r="H26" s="679">
        <v>13.68</v>
      </c>
      <c r="I26" s="679">
        <v>14.7</v>
      </c>
    </row>
    <row r="27" spans="2:9" ht="30">
      <c r="B27" s="395">
        <v>97166</v>
      </c>
      <c r="C27" s="406" t="s">
        <v>2491</v>
      </c>
      <c r="D27" s="395" t="s">
        <v>22</v>
      </c>
      <c r="E27" s="407">
        <f t="shared" si="0"/>
        <v>17.559999999999999</v>
      </c>
      <c r="F27">
        <f t="shared" si="1"/>
        <v>97166</v>
      </c>
      <c r="H27" s="680">
        <v>17.559999999999999</v>
      </c>
      <c r="I27" s="680">
        <v>18.670000000000002</v>
      </c>
    </row>
    <row r="28" spans="2:9" ht="30">
      <c r="B28" s="396">
        <v>97167</v>
      </c>
      <c r="C28" s="401" t="s">
        <v>2492</v>
      </c>
      <c r="D28" s="396" t="s">
        <v>22</v>
      </c>
      <c r="E28" s="405">
        <f t="shared" si="0"/>
        <v>20.49</v>
      </c>
      <c r="F28">
        <f t="shared" si="1"/>
        <v>97167</v>
      </c>
      <c r="H28" s="679">
        <v>20.49</v>
      </c>
      <c r="I28" s="679">
        <v>21.81</v>
      </c>
    </row>
    <row r="29" spans="2:9" ht="30">
      <c r="B29" s="395">
        <v>97168</v>
      </c>
      <c r="C29" s="406" t="s">
        <v>2493</v>
      </c>
      <c r="D29" s="395" t="s">
        <v>22</v>
      </c>
      <c r="E29" s="407">
        <f t="shared" si="0"/>
        <v>23.13</v>
      </c>
      <c r="F29">
        <f t="shared" si="1"/>
        <v>97168</v>
      </c>
      <c r="H29" s="680">
        <v>23.13</v>
      </c>
      <c r="I29" s="680">
        <v>24.64</v>
      </c>
    </row>
    <row r="30" spans="2:9" ht="30">
      <c r="B30" s="396">
        <v>97169</v>
      </c>
      <c r="C30" s="401" t="s">
        <v>2494</v>
      </c>
      <c r="D30" s="396" t="s">
        <v>22</v>
      </c>
      <c r="E30" s="405">
        <f t="shared" si="0"/>
        <v>25.94</v>
      </c>
      <c r="F30">
        <f t="shared" si="1"/>
        <v>97169</v>
      </c>
      <c r="H30" s="679">
        <v>25.94</v>
      </c>
      <c r="I30" s="679">
        <v>27.65</v>
      </c>
    </row>
    <row r="31" spans="2:9" ht="30">
      <c r="B31" s="395">
        <v>97170</v>
      </c>
      <c r="C31" s="406" t="s">
        <v>2495</v>
      </c>
      <c r="D31" s="395" t="s">
        <v>22</v>
      </c>
      <c r="E31" s="407">
        <f t="shared" si="0"/>
        <v>28.8</v>
      </c>
      <c r="F31">
        <f t="shared" si="1"/>
        <v>97170</v>
      </c>
      <c r="H31" s="680">
        <v>28.8</v>
      </c>
      <c r="I31" s="680">
        <v>30.7</v>
      </c>
    </row>
    <row r="32" spans="2:9" ht="30">
      <c r="B32" s="396">
        <v>97171</v>
      </c>
      <c r="C32" s="401" t="s">
        <v>2496</v>
      </c>
      <c r="D32" s="396" t="s">
        <v>22</v>
      </c>
      <c r="E32" s="405">
        <f t="shared" si="0"/>
        <v>31.67</v>
      </c>
      <c r="F32">
        <f t="shared" si="1"/>
        <v>97171</v>
      </c>
      <c r="H32" s="679">
        <v>31.67</v>
      </c>
      <c r="I32" s="679">
        <v>33.78</v>
      </c>
    </row>
    <row r="33" spans="2:9" ht="30">
      <c r="B33" s="395">
        <v>97172</v>
      </c>
      <c r="C33" s="406" t="s">
        <v>2497</v>
      </c>
      <c r="D33" s="395" t="s">
        <v>22</v>
      </c>
      <c r="E33" s="407">
        <f t="shared" si="0"/>
        <v>37.89</v>
      </c>
      <c r="F33">
        <f t="shared" si="1"/>
        <v>97172</v>
      </c>
      <c r="H33" s="680">
        <v>37.89</v>
      </c>
      <c r="I33" s="680">
        <v>40.39</v>
      </c>
    </row>
    <row r="34" spans="2:9" ht="30">
      <c r="B34" s="396">
        <v>97173</v>
      </c>
      <c r="C34" s="401" t="s">
        <v>2498</v>
      </c>
      <c r="D34" s="396" t="s">
        <v>22</v>
      </c>
      <c r="E34" s="405">
        <f t="shared" si="0"/>
        <v>31.78</v>
      </c>
      <c r="F34">
        <f t="shared" si="1"/>
        <v>97173</v>
      </c>
      <c r="H34" s="679">
        <v>31.78</v>
      </c>
      <c r="I34" s="679">
        <v>33.72</v>
      </c>
    </row>
    <row r="35" spans="2:9" ht="30">
      <c r="B35" s="395">
        <v>97174</v>
      </c>
      <c r="C35" s="406" t="s">
        <v>2499</v>
      </c>
      <c r="D35" s="395" t="s">
        <v>22</v>
      </c>
      <c r="E35" s="407">
        <f t="shared" si="0"/>
        <v>36.82</v>
      </c>
      <c r="F35">
        <f t="shared" si="1"/>
        <v>97174</v>
      </c>
      <c r="H35" s="680">
        <v>36.82</v>
      </c>
      <c r="I35" s="680">
        <v>39.03</v>
      </c>
    </row>
    <row r="36" spans="2:9" ht="30">
      <c r="B36" s="396">
        <v>97175</v>
      </c>
      <c r="C36" s="401" t="s">
        <v>2500</v>
      </c>
      <c r="D36" s="396" t="s">
        <v>22</v>
      </c>
      <c r="E36" s="405">
        <f t="shared" si="0"/>
        <v>41.84</v>
      </c>
      <c r="F36">
        <f t="shared" si="1"/>
        <v>97175</v>
      </c>
      <c r="H36" s="679">
        <v>41.84</v>
      </c>
      <c r="I36" s="679">
        <v>44.35</v>
      </c>
    </row>
    <row r="37" spans="2:9" ht="30">
      <c r="B37" s="395">
        <v>97176</v>
      </c>
      <c r="C37" s="406" t="s">
        <v>2501</v>
      </c>
      <c r="D37" s="395" t="s">
        <v>22</v>
      </c>
      <c r="E37" s="407">
        <f t="shared" si="0"/>
        <v>46.88</v>
      </c>
      <c r="F37">
        <f t="shared" si="1"/>
        <v>97176</v>
      </c>
      <c r="H37" s="680">
        <v>46.88</v>
      </c>
      <c r="I37" s="680">
        <v>49.68</v>
      </c>
    </row>
    <row r="38" spans="2:9" ht="30">
      <c r="B38" s="396">
        <v>97177</v>
      </c>
      <c r="C38" s="401" t="s">
        <v>2502</v>
      </c>
      <c r="D38" s="396" t="s">
        <v>22</v>
      </c>
      <c r="E38" s="405">
        <f t="shared" si="0"/>
        <v>56.91</v>
      </c>
      <c r="F38">
        <f t="shared" si="1"/>
        <v>97177</v>
      </c>
      <c r="H38" s="679">
        <v>56.91</v>
      </c>
      <c r="I38" s="679">
        <v>60.31</v>
      </c>
    </row>
    <row r="39" spans="2:9" ht="30">
      <c r="B39" s="395">
        <v>97178</v>
      </c>
      <c r="C39" s="406" t="s">
        <v>2503</v>
      </c>
      <c r="D39" s="395" t="s">
        <v>22</v>
      </c>
      <c r="E39" s="407">
        <f t="shared" si="0"/>
        <v>66.98</v>
      </c>
      <c r="F39">
        <f t="shared" si="1"/>
        <v>97178</v>
      </c>
      <c r="H39" s="680">
        <v>66.98</v>
      </c>
      <c r="I39" s="680">
        <v>70.959999999999994</v>
      </c>
    </row>
    <row r="40" spans="2:9" ht="30">
      <c r="B40" s="396">
        <v>97179</v>
      </c>
      <c r="C40" s="401" t="s">
        <v>2504</v>
      </c>
      <c r="D40" s="396" t="s">
        <v>22</v>
      </c>
      <c r="E40" s="405">
        <f t="shared" si="0"/>
        <v>77.040000000000006</v>
      </c>
      <c r="F40">
        <f t="shared" si="1"/>
        <v>97179</v>
      </c>
      <c r="H40" s="679">
        <v>77.040000000000006</v>
      </c>
      <c r="I40" s="679">
        <v>81.59</v>
      </c>
    </row>
    <row r="41" spans="2:9" ht="30">
      <c r="B41" s="395">
        <v>97180</v>
      </c>
      <c r="C41" s="406" t="s">
        <v>2505</v>
      </c>
      <c r="D41" s="395" t="s">
        <v>22</v>
      </c>
      <c r="E41" s="407">
        <f t="shared" si="0"/>
        <v>87.1</v>
      </c>
      <c r="F41">
        <f t="shared" si="1"/>
        <v>97180</v>
      </c>
      <c r="H41" s="680">
        <v>87.1</v>
      </c>
      <c r="I41" s="680">
        <v>92.24</v>
      </c>
    </row>
    <row r="42" spans="2:9" ht="30">
      <c r="B42" s="396">
        <v>97181</v>
      </c>
      <c r="C42" s="401" t="s">
        <v>2506</v>
      </c>
      <c r="D42" s="396" t="s">
        <v>22</v>
      </c>
      <c r="E42" s="405">
        <f t="shared" si="0"/>
        <v>101.74</v>
      </c>
      <c r="F42">
        <f t="shared" si="1"/>
        <v>97181</v>
      </c>
      <c r="H42" s="679">
        <v>101.74</v>
      </c>
      <c r="I42" s="679">
        <v>107.45</v>
      </c>
    </row>
    <row r="43" spans="2:9" ht="30">
      <c r="B43" s="395">
        <v>97182</v>
      </c>
      <c r="C43" s="406" t="s">
        <v>2507</v>
      </c>
      <c r="D43" s="395" t="s">
        <v>22</v>
      </c>
      <c r="E43" s="407">
        <f t="shared" si="0"/>
        <v>112.29</v>
      </c>
      <c r="F43">
        <f t="shared" si="1"/>
        <v>97182</v>
      </c>
      <c r="H43" s="680">
        <v>112.29</v>
      </c>
      <c r="I43" s="680">
        <v>118.58</v>
      </c>
    </row>
    <row r="44" spans="2:9" ht="30">
      <c r="B44" s="396">
        <v>97183</v>
      </c>
      <c r="C44" s="401" t="s">
        <v>2508</v>
      </c>
      <c r="D44" s="396" t="s">
        <v>22</v>
      </c>
      <c r="E44" s="405">
        <f t="shared" si="0"/>
        <v>25.75</v>
      </c>
      <c r="F44">
        <f t="shared" si="1"/>
        <v>97183</v>
      </c>
      <c r="H44" s="679">
        <v>25.75</v>
      </c>
      <c r="I44" s="679">
        <v>27.36</v>
      </c>
    </row>
    <row r="45" spans="2:9" ht="30">
      <c r="B45" s="395">
        <v>97184</v>
      </c>
      <c r="C45" s="406" t="s">
        <v>2509</v>
      </c>
      <c r="D45" s="395" t="s">
        <v>22</v>
      </c>
      <c r="E45" s="407">
        <f t="shared" si="0"/>
        <v>29.88</v>
      </c>
      <c r="F45">
        <f t="shared" si="1"/>
        <v>97184</v>
      </c>
      <c r="H45" s="680">
        <v>29.88</v>
      </c>
      <c r="I45" s="680">
        <v>31.73</v>
      </c>
    </row>
    <row r="46" spans="2:9" ht="30">
      <c r="B46" s="396">
        <v>97185</v>
      </c>
      <c r="C46" s="401" t="s">
        <v>2510</v>
      </c>
      <c r="D46" s="396" t="s">
        <v>22</v>
      </c>
      <c r="E46" s="405">
        <f t="shared" si="0"/>
        <v>34.01</v>
      </c>
      <c r="F46">
        <f t="shared" si="1"/>
        <v>97185</v>
      </c>
      <c r="H46" s="679">
        <v>34.01</v>
      </c>
      <c r="I46" s="679">
        <v>36.11</v>
      </c>
    </row>
    <row r="47" spans="2:9" ht="30">
      <c r="B47" s="395">
        <v>97186</v>
      </c>
      <c r="C47" s="406" t="s">
        <v>2511</v>
      </c>
      <c r="D47" s="395" t="s">
        <v>22</v>
      </c>
      <c r="E47" s="407">
        <f t="shared" si="0"/>
        <v>38.14</v>
      </c>
      <c r="F47">
        <f t="shared" si="1"/>
        <v>97186</v>
      </c>
      <c r="H47" s="680">
        <v>38.14</v>
      </c>
      <c r="I47" s="680">
        <v>40.5</v>
      </c>
    </row>
    <row r="48" spans="2:9" ht="30">
      <c r="B48" s="396">
        <v>97187</v>
      </c>
      <c r="C48" s="401" t="s">
        <v>2816</v>
      </c>
      <c r="D48" s="396" t="s">
        <v>22</v>
      </c>
      <c r="E48" s="405">
        <f t="shared" si="0"/>
        <v>46.41</v>
      </c>
      <c r="F48">
        <f t="shared" si="1"/>
        <v>97187</v>
      </c>
      <c r="H48" s="679">
        <v>46.41</v>
      </c>
      <c r="I48" s="679">
        <v>49.26</v>
      </c>
    </row>
    <row r="49" spans="2:9" ht="30">
      <c r="B49" s="395">
        <v>97188</v>
      </c>
      <c r="C49" s="406" t="s">
        <v>2512</v>
      </c>
      <c r="D49" s="395" t="s">
        <v>22</v>
      </c>
      <c r="E49" s="407">
        <f t="shared" si="0"/>
        <v>54.66</v>
      </c>
      <c r="F49">
        <f t="shared" si="1"/>
        <v>97188</v>
      </c>
      <c r="H49" s="680">
        <v>54.66</v>
      </c>
      <c r="I49" s="680">
        <v>58.01</v>
      </c>
    </row>
    <row r="50" spans="2:9" ht="30">
      <c r="B50" s="396">
        <v>97189</v>
      </c>
      <c r="C50" s="401" t="s">
        <v>2513</v>
      </c>
      <c r="D50" s="396" t="s">
        <v>22</v>
      </c>
      <c r="E50" s="405">
        <f t="shared" si="0"/>
        <v>62.92</v>
      </c>
      <c r="F50">
        <f t="shared" si="1"/>
        <v>97189</v>
      </c>
      <c r="H50" s="679">
        <v>62.92</v>
      </c>
      <c r="I50" s="679">
        <v>66.78</v>
      </c>
    </row>
    <row r="51" spans="2:9" ht="30">
      <c r="B51" s="395">
        <v>97190</v>
      </c>
      <c r="C51" s="406" t="s">
        <v>2514</v>
      </c>
      <c r="D51" s="395" t="s">
        <v>22</v>
      </c>
      <c r="E51" s="407">
        <f t="shared" si="0"/>
        <v>71.180000000000007</v>
      </c>
      <c r="F51">
        <f t="shared" si="1"/>
        <v>97190</v>
      </c>
      <c r="H51" s="680">
        <v>71.180000000000007</v>
      </c>
      <c r="I51" s="680">
        <v>75.53</v>
      </c>
    </row>
    <row r="52" spans="2:9" ht="30">
      <c r="B52" s="396">
        <v>97191</v>
      </c>
      <c r="C52" s="401" t="s">
        <v>2515</v>
      </c>
      <c r="D52" s="396" t="s">
        <v>22</v>
      </c>
      <c r="E52" s="405">
        <f t="shared" si="0"/>
        <v>82.87</v>
      </c>
      <c r="F52">
        <f t="shared" si="1"/>
        <v>97191</v>
      </c>
      <c r="H52" s="679">
        <v>82.87</v>
      </c>
      <c r="I52" s="679">
        <v>87.72</v>
      </c>
    </row>
    <row r="53" spans="2:9" ht="30">
      <c r="B53" s="395">
        <v>97192</v>
      </c>
      <c r="C53" s="406" t="s">
        <v>2516</v>
      </c>
      <c r="D53" s="395" t="s">
        <v>22</v>
      </c>
      <c r="E53" s="407">
        <f t="shared" si="0"/>
        <v>91.49</v>
      </c>
      <c r="F53">
        <f t="shared" si="1"/>
        <v>97192</v>
      </c>
      <c r="H53" s="680">
        <v>91.49</v>
      </c>
      <c r="I53" s="680">
        <v>96.83</v>
      </c>
    </row>
    <row r="54" spans="2:9" ht="30">
      <c r="B54" s="396">
        <v>90694</v>
      </c>
      <c r="C54" s="401" t="s">
        <v>5393</v>
      </c>
      <c r="D54" s="396" t="s">
        <v>22</v>
      </c>
      <c r="E54" s="405">
        <f t="shared" si="0"/>
        <v>54.81</v>
      </c>
      <c r="F54">
        <f t="shared" si="1"/>
        <v>90694</v>
      </c>
      <c r="H54" s="679">
        <v>54.81</v>
      </c>
      <c r="I54" s="679">
        <v>55.11</v>
      </c>
    </row>
    <row r="55" spans="2:9" ht="30">
      <c r="B55" s="395">
        <v>90695</v>
      </c>
      <c r="C55" s="406" t="s">
        <v>5394</v>
      </c>
      <c r="D55" s="395" t="s">
        <v>22</v>
      </c>
      <c r="E55" s="407">
        <f t="shared" si="0"/>
        <v>105.23</v>
      </c>
      <c r="F55">
        <f t="shared" si="1"/>
        <v>90695</v>
      </c>
      <c r="H55" s="680">
        <v>105.23</v>
      </c>
      <c r="I55" s="680">
        <v>105.6</v>
      </c>
    </row>
    <row r="56" spans="2:9" ht="30">
      <c r="B56" s="396">
        <v>90696</v>
      </c>
      <c r="C56" s="401" t="s">
        <v>5395</v>
      </c>
      <c r="D56" s="396" t="s">
        <v>22</v>
      </c>
      <c r="E56" s="405">
        <f t="shared" si="0"/>
        <v>176.74</v>
      </c>
      <c r="F56">
        <f t="shared" si="1"/>
        <v>90696</v>
      </c>
      <c r="H56" s="679">
        <v>176.74</v>
      </c>
      <c r="I56" s="679">
        <v>177.15</v>
      </c>
    </row>
    <row r="57" spans="2:9" ht="30">
      <c r="B57" s="395">
        <v>90697</v>
      </c>
      <c r="C57" s="406" t="s">
        <v>5396</v>
      </c>
      <c r="D57" s="395" t="s">
        <v>22</v>
      </c>
      <c r="E57" s="407">
        <f t="shared" si="0"/>
        <v>275.06</v>
      </c>
      <c r="F57">
        <f t="shared" si="1"/>
        <v>90697</v>
      </c>
      <c r="H57" s="680">
        <v>275.06</v>
      </c>
      <c r="I57" s="680">
        <v>275.52999999999997</v>
      </c>
    </row>
    <row r="58" spans="2:9" ht="30">
      <c r="B58" s="396">
        <v>90698</v>
      </c>
      <c r="C58" s="401" t="s">
        <v>5397</v>
      </c>
      <c r="D58" s="396" t="s">
        <v>22</v>
      </c>
      <c r="E58" s="405">
        <f t="shared" si="0"/>
        <v>421.41</v>
      </c>
      <c r="F58">
        <f t="shared" si="1"/>
        <v>90698</v>
      </c>
      <c r="H58" s="679">
        <v>421.41</v>
      </c>
      <c r="I58" s="679">
        <v>421.94</v>
      </c>
    </row>
    <row r="59" spans="2:9" ht="30">
      <c r="B59" s="395">
        <v>90699</v>
      </c>
      <c r="C59" s="406" t="s">
        <v>5398</v>
      </c>
      <c r="D59" s="395" t="s">
        <v>22</v>
      </c>
      <c r="E59" s="407">
        <f t="shared" si="0"/>
        <v>593.94000000000005</v>
      </c>
      <c r="F59">
        <f t="shared" si="1"/>
        <v>90699</v>
      </c>
      <c r="H59" s="680">
        <v>593.94000000000005</v>
      </c>
      <c r="I59" s="680">
        <v>594.52</v>
      </c>
    </row>
    <row r="60" spans="2:9" ht="30">
      <c r="B60" s="396">
        <v>90700</v>
      </c>
      <c r="C60" s="401" t="s">
        <v>5399</v>
      </c>
      <c r="D60" s="396" t="s">
        <v>22</v>
      </c>
      <c r="E60" s="405">
        <f t="shared" si="0"/>
        <v>693.63</v>
      </c>
      <c r="F60">
        <f t="shared" si="1"/>
        <v>90700</v>
      </c>
      <c r="H60" s="679">
        <v>693.63</v>
      </c>
      <c r="I60" s="679">
        <v>694.1</v>
      </c>
    </row>
    <row r="61" spans="2:9" ht="30">
      <c r="B61" s="395">
        <v>90701</v>
      </c>
      <c r="C61" s="406" t="s">
        <v>5400</v>
      </c>
      <c r="D61" s="395" t="s">
        <v>22</v>
      </c>
      <c r="E61" s="407">
        <f t="shared" si="0"/>
        <v>82.31</v>
      </c>
      <c r="F61">
        <f t="shared" si="1"/>
        <v>90701</v>
      </c>
      <c r="H61" s="680">
        <v>82.31</v>
      </c>
      <c r="I61" s="680">
        <v>82.71</v>
      </c>
    </row>
    <row r="62" spans="2:9" ht="30">
      <c r="B62" s="396">
        <v>90702</v>
      </c>
      <c r="C62" s="401" t="s">
        <v>5401</v>
      </c>
      <c r="D62" s="396" t="s">
        <v>22</v>
      </c>
      <c r="E62" s="405">
        <f t="shared" si="0"/>
        <v>137.28</v>
      </c>
      <c r="F62">
        <f t="shared" si="1"/>
        <v>90702</v>
      </c>
      <c r="H62" s="679">
        <v>137.28</v>
      </c>
      <c r="I62" s="679">
        <v>137.74</v>
      </c>
    </row>
    <row r="63" spans="2:9" ht="30">
      <c r="B63" s="395">
        <v>90703</v>
      </c>
      <c r="C63" s="406" t="s">
        <v>5402</v>
      </c>
      <c r="D63" s="395" t="s">
        <v>22</v>
      </c>
      <c r="E63" s="407">
        <f t="shared" si="0"/>
        <v>216.42</v>
      </c>
      <c r="F63">
        <f t="shared" si="1"/>
        <v>90703</v>
      </c>
      <c r="H63" s="680">
        <v>216.42</v>
      </c>
      <c r="I63" s="680">
        <v>216.93</v>
      </c>
    </row>
    <row r="64" spans="2:9" ht="30">
      <c r="B64" s="396">
        <v>90704</v>
      </c>
      <c r="C64" s="401" t="s">
        <v>5403</v>
      </c>
      <c r="D64" s="396" t="s">
        <v>22</v>
      </c>
      <c r="E64" s="405">
        <f t="shared" si="0"/>
        <v>323.3</v>
      </c>
      <c r="F64">
        <f t="shared" si="1"/>
        <v>90704</v>
      </c>
      <c r="H64" s="679">
        <v>323.3</v>
      </c>
      <c r="I64" s="679">
        <v>323.87</v>
      </c>
    </row>
    <row r="65" spans="2:9" ht="30">
      <c r="B65" s="395">
        <v>90705</v>
      </c>
      <c r="C65" s="406" t="s">
        <v>5404</v>
      </c>
      <c r="D65" s="395" t="s">
        <v>22</v>
      </c>
      <c r="E65" s="407">
        <f t="shared" si="0"/>
        <v>421.94</v>
      </c>
      <c r="F65">
        <f t="shared" si="1"/>
        <v>90705</v>
      </c>
      <c r="H65" s="680">
        <v>421.94</v>
      </c>
      <c r="I65" s="680">
        <v>422.56</v>
      </c>
    </row>
    <row r="66" spans="2:9" ht="30">
      <c r="B66" s="396">
        <v>90706</v>
      </c>
      <c r="C66" s="401" t="s">
        <v>5405</v>
      </c>
      <c r="D66" s="396" t="s">
        <v>22</v>
      </c>
      <c r="E66" s="405">
        <f t="shared" si="0"/>
        <v>559.69000000000005</v>
      </c>
      <c r="F66">
        <f t="shared" si="1"/>
        <v>90706</v>
      </c>
      <c r="H66" s="679">
        <v>559.69000000000005</v>
      </c>
      <c r="I66" s="679">
        <v>560.23</v>
      </c>
    </row>
    <row r="67" spans="2:9" ht="30">
      <c r="B67" s="395">
        <v>90708</v>
      </c>
      <c r="C67" s="406" t="s">
        <v>5406</v>
      </c>
      <c r="D67" s="395" t="s">
        <v>22</v>
      </c>
      <c r="E67" s="407">
        <f t="shared" ref="E67:E130" si="2">IF($K$2=$H$1,H67,I67)</f>
        <v>829.38</v>
      </c>
      <c r="F67">
        <f t="shared" ref="F67:F130" si="3">IF(LEN($B67)=7,CONCATENATE(MID($B67,1,6),"00",RIGHT($B67,1)),IF(LEN($B67)=8,CONCATENATE(MID($B67,1,6),"0",RIGHT($B67,2)),$B67))</f>
        <v>90708</v>
      </c>
      <c r="H67" s="680">
        <v>829.38</v>
      </c>
      <c r="I67" s="680">
        <v>830.07</v>
      </c>
    </row>
    <row r="68" spans="2:9" ht="30">
      <c r="B68" s="396">
        <v>90724</v>
      </c>
      <c r="C68" s="401" t="s">
        <v>5407</v>
      </c>
      <c r="D68" s="396" t="s">
        <v>23</v>
      </c>
      <c r="E68" s="405">
        <f t="shared" si="2"/>
        <v>19.489999999999998</v>
      </c>
      <c r="F68">
        <f t="shared" si="3"/>
        <v>90724</v>
      </c>
      <c r="H68" s="679">
        <v>19.489999999999998</v>
      </c>
      <c r="I68" s="679">
        <v>21.58</v>
      </c>
    </row>
    <row r="69" spans="2:9" ht="30">
      <c r="B69" s="395">
        <v>90725</v>
      </c>
      <c r="C69" s="406" t="s">
        <v>5408</v>
      </c>
      <c r="D69" s="395" t="s">
        <v>23</v>
      </c>
      <c r="E69" s="407">
        <f t="shared" si="2"/>
        <v>24.05</v>
      </c>
      <c r="F69">
        <f t="shared" si="3"/>
        <v>90725</v>
      </c>
      <c r="H69" s="680">
        <v>24.05</v>
      </c>
      <c r="I69" s="680">
        <v>26.6</v>
      </c>
    </row>
    <row r="70" spans="2:9">
      <c r="B70" s="396">
        <v>90726</v>
      </c>
      <c r="C70" s="401" t="s">
        <v>5409</v>
      </c>
      <c r="D70" s="396" t="s">
        <v>23</v>
      </c>
      <c r="E70" s="405">
        <f t="shared" si="2"/>
        <v>28.69</v>
      </c>
      <c r="F70">
        <f t="shared" si="3"/>
        <v>90726</v>
      </c>
      <c r="H70" s="679">
        <v>28.69</v>
      </c>
      <c r="I70" s="679">
        <v>31.7</v>
      </c>
    </row>
    <row r="71" spans="2:9" ht="30">
      <c r="B71" s="395">
        <v>90727</v>
      </c>
      <c r="C71" s="406" t="s">
        <v>5410</v>
      </c>
      <c r="D71" s="395" t="s">
        <v>23</v>
      </c>
      <c r="E71" s="407">
        <f t="shared" si="2"/>
        <v>33.24</v>
      </c>
      <c r="F71">
        <f t="shared" si="3"/>
        <v>90727</v>
      </c>
      <c r="H71" s="680">
        <v>33.24</v>
      </c>
      <c r="I71" s="680">
        <v>36.72</v>
      </c>
    </row>
    <row r="72" spans="2:9" ht="30">
      <c r="B72" s="396">
        <v>90728</v>
      </c>
      <c r="C72" s="401" t="s">
        <v>5411</v>
      </c>
      <c r="D72" s="396" t="s">
        <v>23</v>
      </c>
      <c r="E72" s="405">
        <f t="shared" si="2"/>
        <v>37.799999999999997</v>
      </c>
      <c r="F72">
        <f t="shared" si="3"/>
        <v>90728</v>
      </c>
      <c r="H72" s="679">
        <v>37.799999999999997</v>
      </c>
      <c r="I72" s="679">
        <v>41.74</v>
      </c>
    </row>
    <row r="73" spans="2:9" ht="30">
      <c r="B73" s="395">
        <v>90729</v>
      </c>
      <c r="C73" s="406" t="s">
        <v>5412</v>
      </c>
      <c r="D73" s="395" t="s">
        <v>23</v>
      </c>
      <c r="E73" s="407">
        <f t="shared" si="2"/>
        <v>42.35</v>
      </c>
      <c r="F73">
        <f t="shared" si="3"/>
        <v>90729</v>
      </c>
      <c r="H73" s="680">
        <v>42.35</v>
      </c>
      <c r="I73" s="680">
        <v>46.78</v>
      </c>
    </row>
    <row r="74" spans="2:9" ht="30">
      <c r="B74" s="396">
        <v>90730</v>
      </c>
      <c r="C74" s="401" t="s">
        <v>5413</v>
      </c>
      <c r="D74" s="396" t="s">
        <v>23</v>
      </c>
      <c r="E74" s="405">
        <f t="shared" si="2"/>
        <v>46.91</v>
      </c>
      <c r="F74">
        <f t="shared" si="3"/>
        <v>90730</v>
      </c>
      <c r="H74" s="679">
        <v>46.91</v>
      </c>
      <c r="I74" s="679">
        <v>51.81</v>
      </c>
    </row>
    <row r="75" spans="2:9" ht="30">
      <c r="B75" s="395">
        <v>90731</v>
      </c>
      <c r="C75" s="406" t="s">
        <v>5414</v>
      </c>
      <c r="D75" s="395" t="s">
        <v>23</v>
      </c>
      <c r="E75" s="407">
        <f t="shared" si="2"/>
        <v>51.47</v>
      </c>
      <c r="F75">
        <f t="shared" si="3"/>
        <v>90731</v>
      </c>
      <c r="H75" s="680">
        <v>51.47</v>
      </c>
      <c r="I75" s="680">
        <v>56.83</v>
      </c>
    </row>
    <row r="76" spans="2:9" ht="30">
      <c r="B76" s="396">
        <v>90732</v>
      </c>
      <c r="C76" s="401" t="s">
        <v>5415</v>
      </c>
      <c r="D76" s="396" t="s">
        <v>23</v>
      </c>
      <c r="E76" s="405">
        <f t="shared" si="2"/>
        <v>65.14</v>
      </c>
      <c r="F76">
        <f t="shared" si="3"/>
        <v>90732</v>
      </c>
      <c r="H76" s="679">
        <v>65.14</v>
      </c>
      <c r="I76" s="679">
        <v>71.900000000000006</v>
      </c>
    </row>
    <row r="77" spans="2:9" ht="30">
      <c r="B77" s="395">
        <v>90733</v>
      </c>
      <c r="C77" s="406" t="s">
        <v>5416</v>
      </c>
      <c r="D77" s="395" t="s">
        <v>22</v>
      </c>
      <c r="E77" s="407">
        <f t="shared" si="2"/>
        <v>2.69</v>
      </c>
      <c r="F77">
        <f t="shared" si="3"/>
        <v>90733</v>
      </c>
      <c r="H77" s="680">
        <v>2.69</v>
      </c>
      <c r="I77" s="680">
        <v>2.99</v>
      </c>
    </row>
    <row r="78" spans="2:9" ht="30">
      <c r="B78" s="396">
        <v>90734</v>
      </c>
      <c r="C78" s="401" t="s">
        <v>5417</v>
      </c>
      <c r="D78" s="396" t="s">
        <v>22</v>
      </c>
      <c r="E78" s="405">
        <f t="shared" si="2"/>
        <v>3.18</v>
      </c>
      <c r="F78">
        <f t="shared" si="3"/>
        <v>90734</v>
      </c>
      <c r="H78" s="679">
        <v>3.18</v>
      </c>
      <c r="I78" s="679">
        <v>3.55</v>
      </c>
    </row>
    <row r="79" spans="2:9" ht="30">
      <c r="B79" s="395">
        <v>90735</v>
      </c>
      <c r="C79" s="406" t="s">
        <v>5418</v>
      </c>
      <c r="D79" s="395" t="s">
        <v>22</v>
      </c>
      <c r="E79" s="407">
        <f t="shared" si="2"/>
        <v>3.68</v>
      </c>
      <c r="F79">
        <f t="shared" si="3"/>
        <v>90735</v>
      </c>
      <c r="H79" s="680">
        <v>3.68</v>
      </c>
      <c r="I79" s="680">
        <v>4.09</v>
      </c>
    </row>
    <row r="80" spans="2:9" ht="30">
      <c r="B80" s="396">
        <v>90736</v>
      </c>
      <c r="C80" s="401" t="s">
        <v>5419</v>
      </c>
      <c r="D80" s="396" t="s">
        <v>22</v>
      </c>
      <c r="E80" s="405">
        <f t="shared" si="2"/>
        <v>4.17</v>
      </c>
      <c r="F80">
        <f t="shared" si="3"/>
        <v>90736</v>
      </c>
      <c r="H80" s="679">
        <v>4.17</v>
      </c>
      <c r="I80" s="679">
        <v>4.6399999999999997</v>
      </c>
    </row>
    <row r="81" spans="2:9" ht="30">
      <c r="B81" s="395">
        <v>90737</v>
      </c>
      <c r="C81" s="406" t="s">
        <v>5420</v>
      </c>
      <c r="D81" s="395" t="s">
        <v>22</v>
      </c>
      <c r="E81" s="407">
        <f t="shared" si="2"/>
        <v>4.67</v>
      </c>
      <c r="F81">
        <f t="shared" si="3"/>
        <v>90737</v>
      </c>
      <c r="H81" s="680">
        <v>4.67</v>
      </c>
      <c r="I81" s="680">
        <v>5.2</v>
      </c>
    </row>
    <row r="82" spans="2:9" ht="30">
      <c r="B82" s="396">
        <v>90738</v>
      </c>
      <c r="C82" s="401" t="s">
        <v>5421</v>
      </c>
      <c r="D82" s="396" t="s">
        <v>22</v>
      </c>
      <c r="E82" s="405">
        <f t="shared" si="2"/>
        <v>5.17</v>
      </c>
      <c r="F82">
        <f t="shared" si="3"/>
        <v>90738</v>
      </c>
      <c r="H82" s="679">
        <v>5.17</v>
      </c>
      <c r="I82" s="679">
        <v>5.75</v>
      </c>
    </row>
    <row r="83" spans="2:9" ht="30">
      <c r="B83" s="395">
        <v>90739</v>
      </c>
      <c r="C83" s="406" t="s">
        <v>5422</v>
      </c>
      <c r="D83" s="395" t="s">
        <v>22</v>
      </c>
      <c r="E83" s="407">
        <f t="shared" si="2"/>
        <v>7.95</v>
      </c>
      <c r="F83">
        <f t="shared" si="3"/>
        <v>90739</v>
      </c>
      <c r="H83" s="680">
        <v>7.95</v>
      </c>
      <c r="I83" s="680">
        <v>8.42</v>
      </c>
    </row>
    <row r="84" spans="2:9" ht="30">
      <c r="B84" s="396">
        <v>90740</v>
      </c>
      <c r="C84" s="401" t="s">
        <v>5423</v>
      </c>
      <c r="D84" s="396" t="s">
        <v>22</v>
      </c>
      <c r="E84" s="405">
        <f t="shared" si="2"/>
        <v>3.54</v>
      </c>
      <c r="F84">
        <f t="shared" si="3"/>
        <v>90740</v>
      </c>
      <c r="H84" s="679">
        <v>3.54</v>
      </c>
      <c r="I84" s="679">
        <v>3.94</v>
      </c>
    </row>
    <row r="85" spans="2:9" ht="30">
      <c r="B85" s="395">
        <v>90741</v>
      </c>
      <c r="C85" s="406" t="s">
        <v>5424</v>
      </c>
      <c r="D85" s="395" t="s">
        <v>22</v>
      </c>
      <c r="E85" s="407">
        <f t="shared" si="2"/>
        <v>4.04</v>
      </c>
      <c r="F85">
        <f t="shared" si="3"/>
        <v>90741</v>
      </c>
      <c r="H85" s="680">
        <v>4.04</v>
      </c>
      <c r="I85" s="680">
        <v>4.5</v>
      </c>
    </row>
    <row r="86" spans="2:9" ht="30">
      <c r="B86" s="396">
        <v>90742</v>
      </c>
      <c r="C86" s="401" t="s">
        <v>5425</v>
      </c>
      <c r="D86" s="396" t="s">
        <v>22</v>
      </c>
      <c r="E86" s="405">
        <f t="shared" si="2"/>
        <v>4.54</v>
      </c>
      <c r="F86">
        <f t="shared" si="3"/>
        <v>90742</v>
      </c>
      <c r="H86" s="679">
        <v>4.54</v>
      </c>
      <c r="I86" s="679">
        <v>5.05</v>
      </c>
    </row>
    <row r="87" spans="2:9" ht="30">
      <c r="B87" s="395">
        <v>90743</v>
      </c>
      <c r="C87" s="406" t="s">
        <v>5426</v>
      </c>
      <c r="D87" s="395" t="s">
        <v>22</v>
      </c>
      <c r="E87" s="407">
        <f t="shared" si="2"/>
        <v>5.03</v>
      </c>
      <c r="F87">
        <f t="shared" si="3"/>
        <v>90743</v>
      </c>
      <c r="H87" s="680">
        <v>5.03</v>
      </c>
      <c r="I87" s="680">
        <v>5.6</v>
      </c>
    </row>
    <row r="88" spans="2:9" ht="30">
      <c r="B88" s="396">
        <v>90744</v>
      </c>
      <c r="C88" s="401" t="s">
        <v>5427</v>
      </c>
      <c r="D88" s="396" t="s">
        <v>22</v>
      </c>
      <c r="E88" s="405">
        <f t="shared" si="2"/>
        <v>5.53</v>
      </c>
      <c r="F88">
        <f t="shared" si="3"/>
        <v>90744</v>
      </c>
      <c r="H88" s="679">
        <v>5.53</v>
      </c>
      <c r="I88" s="679">
        <v>6.15</v>
      </c>
    </row>
    <row r="89" spans="2:9" ht="30">
      <c r="B89" s="395">
        <v>90745</v>
      </c>
      <c r="C89" s="406" t="s">
        <v>5428</v>
      </c>
      <c r="D89" s="395" t="s">
        <v>22</v>
      </c>
      <c r="E89" s="407">
        <f t="shared" si="2"/>
        <v>8.8699999999999992</v>
      </c>
      <c r="F89">
        <f t="shared" si="3"/>
        <v>90745</v>
      </c>
      <c r="H89" s="680">
        <v>8.8699999999999992</v>
      </c>
      <c r="I89" s="680">
        <v>9.41</v>
      </c>
    </row>
    <row r="90" spans="2:9" ht="30">
      <c r="B90" s="396">
        <v>90746</v>
      </c>
      <c r="C90" s="401" t="s">
        <v>5429</v>
      </c>
      <c r="D90" s="396" t="s">
        <v>22</v>
      </c>
      <c r="E90" s="405">
        <f t="shared" si="2"/>
        <v>2.9</v>
      </c>
      <c r="F90">
        <f t="shared" si="3"/>
        <v>90746</v>
      </c>
      <c r="H90" s="679">
        <v>2.9</v>
      </c>
      <c r="I90" s="679">
        <v>3.24</v>
      </c>
    </row>
    <row r="91" spans="2:9" ht="30">
      <c r="B91" s="395">
        <v>90747</v>
      </c>
      <c r="C91" s="406" t="s">
        <v>5430</v>
      </c>
      <c r="D91" s="395" t="s">
        <v>22</v>
      </c>
      <c r="E91" s="407">
        <f t="shared" si="2"/>
        <v>15.11</v>
      </c>
      <c r="F91">
        <f t="shared" si="3"/>
        <v>90747</v>
      </c>
      <c r="H91" s="680">
        <v>15.11</v>
      </c>
      <c r="I91" s="680">
        <v>15.8</v>
      </c>
    </row>
    <row r="92" spans="2:9" ht="30">
      <c r="B92" s="396">
        <v>94869</v>
      </c>
      <c r="C92" s="401" t="s">
        <v>5431</v>
      </c>
      <c r="D92" s="396" t="s">
        <v>22</v>
      </c>
      <c r="E92" s="405">
        <f t="shared" si="2"/>
        <v>146.59</v>
      </c>
      <c r="F92">
        <f t="shared" si="3"/>
        <v>94869</v>
      </c>
      <c r="H92" s="679">
        <v>146.59</v>
      </c>
      <c r="I92" s="679">
        <v>146.68</v>
      </c>
    </row>
    <row r="93" spans="2:9" ht="30">
      <c r="B93" s="395">
        <v>94870</v>
      </c>
      <c r="C93" s="406" t="s">
        <v>5432</v>
      </c>
      <c r="D93" s="395" t="s">
        <v>22</v>
      </c>
      <c r="E93" s="407">
        <f t="shared" si="2"/>
        <v>1.89</v>
      </c>
      <c r="F93">
        <f t="shared" si="3"/>
        <v>94870</v>
      </c>
      <c r="H93" s="680">
        <v>1.89</v>
      </c>
      <c r="I93" s="680">
        <v>1.98</v>
      </c>
    </row>
    <row r="94" spans="2:9" ht="30">
      <c r="B94" s="396">
        <v>94871</v>
      </c>
      <c r="C94" s="401" t="s">
        <v>5433</v>
      </c>
      <c r="D94" s="396" t="s">
        <v>22</v>
      </c>
      <c r="E94" s="405">
        <f t="shared" si="2"/>
        <v>229.25</v>
      </c>
      <c r="F94">
        <f t="shared" si="3"/>
        <v>94871</v>
      </c>
      <c r="H94" s="679">
        <v>229.25</v>
      </c>
      <c r="I94" s="679">
        <v>229.39</v>
      </c>
    </row>
    <row r="95" spans="2:9" ht="30">
      <c r="B95" s="395">
        <v>94872</v>
      </c>
      <c r="C95" s="406" t="s">
        <v>5434</v>
      </c>
      <c r="D95" s="395" t="s">
        <v>22</v>
      </c>
      <c r="E95" s="407">
        <f t="shared" si="2"/>
        <v>2.5499999999999998</v>
      </c>
      <c r="F95">
        <f t="shared" si="3"/>
        <v>94872</v>
      </c>
      <c r="H95" s="680">
        <v>2.5499999999999998</v>
      </c>
      <c r="I95" s="680">
        <v>2.69</v>
      </c>
    </row>
    <row r="96" spans="2:9" ht="30">
      <c r="B96" s="396">
        <v>94875</v>
      </c>
      <c r="C96" s="401" t="s">
        <v>5435</v>
      </c>
      <c r="D96" s="396" t="s">
        <v>22</v>
      </c>
      <c r="E96" s="405">
        <f t="shared" si="2"/>
        <v>1347.03</v>
      </c>
      <c r="F96">
        <f t="shared" si="3"/>
        <v>94875</v>
      </c>
      <c r="H96" s="679">
        <v>1347.03</v>
      </c>
      <c r="I96" s="679">
        <v>1348.09</v>
      </c>
    </row>
    <row r="97" spans="2:9" ht="30">
      <c r="B97" s="395">
        <v>94876</v>
      </c>
      <c r="C97" s="406" t="s">
        <v>5436</v>
      </c>
      <c r="D97" s="395" t="s">
        <v>22</v>
      </c>
      <c r="E97" s="407">
        <f t="shared" si="2"/>
        <v>26.15</v>
      </c>
      <c r="F97">
        <f t="shared" si="3"/>
        <v>94876</v>
      </c>
      <c r="H97" s="680">
        <v>26.15</v>
      </c>
      <c r="I97" s="680">
        <v>27.21</v>
      </c>
    </row>
    <row r="98" spans="2:9" ht="30">
      <c r="B98" s="396">
        <v>94878</v>
      </c>
      <c r="C98" s="401" t="s">
        <v>5529</v>
      </c>
      <c r="D98" s="396" t="s">
        <v>22</v>
      </c>
      <c r="E98" s="405">
        <f t="shared" si="2"/>
        <v>30.13</v>
      </c>
      <c r="F98">
        <f t="shared" si="3"/>
        <v>94878</v>
      </c>
      <c r="H98" s="679">
        <v>30.13</v>
      </c>
      <c r="I98" s="679">
        <v>31.36</v>
      </c>
    </row>
    <row r="99" spans="2:9" ht="30">
      <c r="B99" s="395">
        <v>94879</v>
      </c>
      <c r="C99" s="406" t="s">
        <v>5530</v>
      </c>
      <c r="D99" s="395" t="s">
        <v>22</v>
      </c>
      <c r="E99" s="407">
        <f t="shared" si="2"/>
        <v>2074.21</v>
      </c>
      <c r="F99">
        <f t="shared" si="3"/>
        <v>94879</v>
      </c>
      <c r="H99" s="680">
        <v>2074.21</v>
      </c>
      <c r="I99" s="680">
        <v>2075.7199999999998</v>
      </c>
    </row>
    <row r="100" spans="2:9" ht="30">
      <c r="B100" s="396">
        <v>94880</v>
      </c>
      <c r="C100" s="401" t="s">
        <v>5531</v>
      </c>
      <c r="D100" s="396" t="s">
        <v>22</v>
      </c>
      <c r="E100" s="405">
        <f t="shared" si="2"/>
        <v>39.409999999999997</v>
      </c>
      <c r="F100">
        <f t="shared" si="3"/>
        <v>94880</v>
      </c>
      <c r="H100" s="679">
        <v>39.409999999999997</v>
      </c>
      <c r="I100" s="679">
        <v>40.92</v>
      </c>
    </row>
    <row r="101" spans="2:9" ht="30">
      <c r="B101" s="395">
        <v>94881</v>
      </c>
      <c r="C101" s="406" t="s">
        <v>5532</v>
      </c>
      <c r="D101" s="395" t="s">
        <v>22</v>
      </c>
      <c r="E101" s="407">
        <f t="shared" si="2"/>
        <v>2857.76</v>
      </c>
      <c r="F101">
        <f t="shared" si="3"/>
        <v>94881</v>
      </c>
      <c r="H101" s="680">
        <v>2857.76</v>
      </c>
      <c r="I101" s="680">
        <v>2859.56</v>
      </c>
    </row>
    <row r="102" spans="2:9" ht="30">
      <c r="B102" s="396">
        <v>94882</v>
      </c>
      <c r="C102" s="401" t="s">
        <v>5533</v>
      </c>
      <c r="D102" s="396" t="s">
        <v>22</v>
      </c>
      <c r="E102" s="405">
        <f t="shared" si="2"/>
        <v>45.54</v>
      </c>
      <c r="F102">
        <f t="shared" si="3"/>
        <v>94882</v>
      </c>
      <c r="H102" s="679">
        <v>45.54</v>
      </c>
      <c r="I102" s="679">
        <v>47.34</v>
      </c>
    </row>
    <row r="103" spans="2:9" ht="30">
      <c r="B103" s="395">
        <v>94884</v>
      </c>
      <c r="C103" s="406" t="s">
        <v>5534</v>
      </c>
      <c r="D103" s="395" t="s">
        <v>22</v>
      </c>
      <c r="E103" s="407">
        <f t="shared" si="2"/>
        <v>57.95</v>
      </c>
      <c r="F103">
        <f t="shared" si="3"/>
        <v>94884</v>
      </c>
      <c r="H103" s="680">
        <v>57.95</v>
      </c>
      <c r="I103" s="680">
        <v>60.32</v>
      </c>
    </row>
    <row r="104" spans="2:9" ht="30">
      <c r="B104" s="396">
        <v>97121</v>
      </c>
      <c r="C104" s="401" t="s">
        <v>2517</v>
      </c>
      <c r="D104" s="396" t="s">
        <v>22</v>
      </c>
      <c r="E104" s="405">
        <f t="shared" si="2"/>
        <v>1.65</v>
      </c>
      <c r="F104">
        <f t="shared" si="3"/>
        <v>97121</v>
      </c>
      <c r="H104" s="679">
        <v>1.65</v>
      </c>
      <c r="I104" s="679">
        <v>1.82</v>
      </c>
    </row>
    <row r="105" spans="2:9" ht="30">
      <c r="B105" s="395">
        <v>97122</v>
      </c>
      <c r="C105" s="406" t="s">
        <v>2518</v>
      </c>
      <c r="D105" s="395" t="s">
        <v>22</v>
      </c>
      <c r="E105" s="407">
        <f t="shared" si="2"/>
        <v>2.2999999999999998</v>
      </c>
      <c r="F105">
        <f t="shared" si="3"/>
        <v>97122</v>
      </c>
      <c r="H105" s="680">
        <v>2.2999999999999998</v>
      </c>
      <c r="I105" s="680">
        <v>2.54</v>
      </c>
    </row>
    <row r="106" spans="2:9" ht="30">
      <c r="B106" s="396">
        <v>97123</v>
      </c>
      <c r="C106" s="401" t="s">
        <v>2519</v>
      </c>
      <c r="D106" s="396" t="s">
        <v>22</v>
      </c>
      <c r="E106" s="405">
        <f t="shared" si="2"/>
        <v>2.93</v>
      </c>
      <c r="F106">
        <f t="shared" si="3"/>
        <v>97123</v>
      </c>
      <c r="H106" s="679">
        <v>2.93</v>
      </c>
      <c r="I106" s="679">
        <v>3.23</v>
      </c>
    </row>
    <row r="107" spans="2:9" ht="30">
      <c r="B107" s="395">
        <v>97124</v>
      </c>
      <c r="C107" s="406" t="s">
        <v>2520</v>
      </c>
      <c r="D107" s="395" t="s">
        <v>22</v>
      </c>
      <c r="E107" s="407">
        <f t="shared" si="2"/>
        <v>0.75</v>
      </c>
      <c r="F107">
        <f t="shared" si="3"/>
        <v>97124</v>
      </c>
      <c r="H107" s="680">
        <v>0.75</v>
      </c>
      <c r="I107" s="680">
        <v>0.82</v>
      </c>
    </row>
    <row r="108" spans="2:9" ht="30">
      <c r="B108" s="396">
        <v>97125</v>
      </c>
      <c r="C108" s="401" t="s">
        <v>2521</v>
      </c>
      <c r="D108" s="396" t="s">
        <v>22</v>
      </c>
      <c r="E108" s="405">
        <f t="shared" si="2"/>
        <v>1.08</v>
      </c>
      <c r="F108">
        <f t="shared" si="3"/>
        <v>97125</v>
      </c>
      <c r="H108" s="679">
        <v>1.08</v>
      </c>
      <c r="I108" s="679">
        <v>1.18</v>
      </c>
    </row>
    <row r="109" spans="2:9" ht="30">
      <c r="B109" s="395">
        <v>97126</v>
      </c>
      <c r="C109" s="406" t="s">
        <v>2522</v>
      </c>
      <c r="D109" s="395" t="s">
        <v>22</v>
      </c>
      <c r="E109" s="407">
        <f t="shared" si="2"/>
        <v>1.38</v>
      </c>
      <c r="F109">
        <f t="shared" si="3"/>
        <v>97126</v>
      </c>
      <c r="H109" s="680">
        <v>1.38</v>
      </c>
      <c r="I109" s="680">
        <v>1.5</v>
      </c>
    </row>
    <row r="110" spans="2:9" ht="30">
      <c r="B110" s="396">
        <v>102264</v>
      </c>
      <c r="C110" s="401" t="s">
        <v>5437</v>
      </c>
      <c r="D110" s="396" t="s">
        <v>22</v>
      </c>
      <c r="E110" s="405">
        <f t="shared" si="2"/>
        <v>22.97</v>
      </c>
      <c r="F110">
        <f t="shared" si="3"/>
        <v>102264</v>
      </c>
      <c r="H110" s="679">
        <v>22.97</v>
      </c>
      <c r="I110" s="679">
        <v>23.27</v>
      </c>
    </row>
    <row r="111" spans="2:9" ht="30">
      <c r="B111" s="395">
        <v>102265</v>
      </c>
      <c r="C111" s="406" t="s">
        <v>5438</v>
      </c>
      <c r="D111" s="395" t="s">
        <v>23</v>
      </c>
      <c r="E111" s="407">
        <f t="shared" si="2"/>
        <v>83.36</v>
      </c>
      <c r="F111">
        <f t="shared" si="3"/>
        <v>102265</v>
      </c>
      <c r="H111" s="680">
        <v>83.36</v>
      </c>
      <c r="I111" s="680">
        <v>92</v>
      </c>
    </row>
    <row r="112" spans="2:9" ht="30">
      <c r="B112" s="396">
        <v>102266</v>
      </c>
      <c r="C112" s="401" t="s">
        <v>5439</v>
      </c>
      <c r="D112" s="396" t="s">
        <v>23</v>
      </c>
      <c r="E112" s="405">
        <f t="shared" si="2"/>
        <v>92.47</v>
      </c>
      <c r="F112">
        <f t="shared" si="3"/>
        <v>102266</v>
      </c>
      <c r="H112" s="679">
        <v>92.47</v>
      </c>
      <c r="I112" s="679">
        <v>102.04</v>
      </c>
    </row>
    <row r="113" spans="2:9" ht="30">
      <c r="B113" s="395">
        <v>102267</v>
      </c>
      <c r="C113" s="406" t="s">
        <v>5440</v>
      </c>
      <c r="D113" s="395" t="s">
        <v>23</v>
      </c>
      <c r="E113" s="407">
        <f t="shared" si="2"/>
        <v>106.22</v>
      </c>
      <c r="F113">
        <f t="shared" si="3"/>
        <v>102267</v>
      </c>
      <c r="H113" s="680">
        <v>106.22</v>
      </c>
      <c r="I113" s="680">
        <v>117.21</v>
      </c>
    </row>
    <row r="114" spans="2:9" ht="30">
      <c r="B114" s="396">
        <v>102268</v>
      </c>
      <c r="C114" s="401" t="s">
        <v>5441</v>
      </c>
      <c r="D114" s="396" t="s">
        <v>23</v>
      </c>
      <c r="E114" s="405">
        <f t="shared" si="2"/>
        <v>119.9</v>
      </c>
      <c r="F114">
        <f t="shared" si="3"/>
        <v>102268</v>
      </c>
      <c r="H114" s="679">
        <v>119.9</v>
      </c>
      <c r="I114" s="679">
        <v>132.27000000000001</v>
      </c>
    </row>
    <row r="115" spans="2:9" ht="30">
      <c r="B115" s="395">
        <v>102269</v>
      </c>
      <c r="C115" s="406" t="s">
        <v>5442</v>
      </c>
      <c r="D115" s="395" t="s">
        <v>23</v>
      </c>
      <c r="E115" s="407">
        <f t="shared" si="2"/>
        <v>147.22999999999999</v>
      </c>
      <c r="F115">
        <f t="shared" si="3"/>
        <v>102269</v>
      </c>
      <c r="H115" s="680">
        <v>147.22999999999999</v>
      </c>
      <c r="I115" s="680">
        <v>162.41999999999999</v>
      </c>
    </row>
    <row r="116" spans="2:9" ht="30">
      <c r="B116" s="396">
        <v>92833</v>
      </c>
      <c r="C116" s="401" t="s">
        <v>637</v>
      </c>
      <c r="D116" s="396" t="s">
        <v>22</v>
      </c>
      <c r="E116" s="405">
        <f t="shared" si="2"/>
        <v>216.74</v>
      </c>
      <c r="F116">
        <f t="shared" si="3"/>
        <v>92833</v>
      </c>
      <c r="H116" s="679">
        <v>216.74</v>
      </c>
      <c r="I116" s="679">
        <v>217.22</v>
      </c>
    </row>
    <row r="117" spans="2:9" ht="30">
      <c r="B117" s="395">
        <v>92834</v>
      </c>
      <c r="C117" s="406" t="s">
        <v>638</v>
      </c>
      <c r="D117" s="395" t="s">
        <v>22</v>
      </c>
      <c r="E117" s="407">
        <f t="shared" si="2"/>
        <v>7.94</v>
      </c>
      <c r="F117">
        <f t="shared" si="3"/>
        <v>92834</v>
      </c>
      <c r="H117" s="680">
        <v>7.94</v>
      </c>
      <c r="I117" s="680">
        <v>8.42</v>
      </c>
    </row>
    <row r="118" spans="2:9" ht="30">
      <c r="B118" s="396">
        <v>92835</v>
      </c>
      <c r="C118" s="401" t="s">
        <v>639</v>
      </c>
      <c r="D118" s="396" t="s">
        <v>22</v>
      </c>
      <c r="E118" s="405">
        <f t="shared" si="2"/>
        <v>226.78</v>
      </c>
      <c r="F118">
        <f t="shared" si="3"/>
        <v>92835</v>
      </c>
      <c r="H118" s="679">
        <v>226.78</v>
      </c>
      <c r="I118" s="679">
        <v>227.38</v>
      </c>
    </row>
    <row r="119" spans="2:9" ht="30">
      <c r="B119" s="395">
        <v>92836</v>
      </c>
      <c r="C119" s="406" t="s">
        <v>640</v>
      </c>
      <c r="D119" s="395" t="s">
        <v>22</v>
      </c>
      <c r="E119" s="407">
        <f t="shared" si="2"/>
        <v>10.16</v>
      </c>
      <c r="F119">
        <f t="shared" si="3"/>
        <v>92836</v>
      </c>
      <c r="H119" s="680">
        <v>10.16</v>
      </c>
      <c r="I119" s="680">
        <v>10.76</v>
      </c>
    </row>
    <row r="120" spans="2:9" ht="30">
      <c r="B120" s="396">
        <v>92837</v>
      </c>
      <c r="C120" s="401" t="s">
        <v>641</v>
      </c>
      <c r="D120" s="396" t="s">
        <v>22</v>
      </c>
      <c r="E120" s="405">
        <f t="shared" si="2"/>
        <v>401.4</v>
      </c>
      <c r="F120">
        <f t="shared" si="3"/>
        <v>92837</v>
      </c>
      <c r="H120" s="679">
        <v>401.4</v>
      </c>
      <c r="I120" s="679">
        <v>402.1</v>
      </c>
    </row>
    <row r="121" spans="2:9" ht="30">
      <c r="B121" s="395">
        <v>92838</v>
      </c>
      <c r="C121" s="406" t="s">
        <v>642</v>
      </c>
      <c r="D121" s="395" t="s">
        <v>22</v>
      </c>
      <c r="E121" s="407">
        <f t="shared" si="2"/>
        <v>12.18</v>
      </c>
      <c r="F121">
        <f t="shared" si="3"/>
        <v>92838</v>
      </c>
      <c r="H121" s="680">
        <v>12.18</v>
      </c>
      <c r="I121" s="680">
        <v>12.88</v>
      </c>
    </row>
    <row r="122" spans="2:9" ht="30">
      <c r="B122" s="396">
        <v>92839</v>
      </c>
      <c r="C122" s="401" t="s">
        <v>643</v>
      </c>
      <c r="D122" s="396" t="s">
        <v>22</v>
      </c>
      <c r="E122" s="405">
        <f t="shared" si="2"/>
        <v>491.17</v>
      </c>
      <c r="F122">
        <f t="shared" si="3"/>
        <v>92839</v>
      </c>
      <c r="H122" s="679">
        <v>491.17</v>
      </c>
      <c r="I122" s="679">
        <v>492.02</v>
      </c>
    </row>
    <row r="123" spans="2:9" ht="30">
      <c r="B123" s="395">
        <v>92840</v>
      </c>
      <c r="C123" s="406" t="s">
        <v>644</v>
      </c>
      <c r="D123" s="395" t="s">
        <v>22</v>
      </c>
      <c r="E123" s="407">
        <f t="shared" si="2"/>
        <v>14.44</v>
      </c>
      <c r="F123">
        <f t="shared" si="3"/>
        <v>92840</v>
      </c>
      <c r="H123" s="680">
        <v>14.44</v>
      </c>
      <c r="I123" s="680">
        <v>15.29</v>
      </c>
    </row>
    <row r="124" spans="2:9" ht="30">
      <c r="B124" s="396">
        <v>92841</v>
      </c>
      <c r="C124" s="401" t="s">
        <v>645</v>
      </c>
      <c r="D124" s="396" t="s">
        <v>22</v>
      </c>
      <c r="E124" s="405">
        <f t="shared" si="2"/>
        <v>640.58000000000004</v>
      </c>
      <c r="F124">
        <f t="shared" si="3"/>
        <v>92841</v>
      </c>
      <c r="H124" s="679">
        <v>640.58000000000004</v>
      </c>
      <c r="I124" s="679">
        <v>641.54</v>
      </c>
    </row>
    <row r="125" spans="2:9" ht="30">
      <c r="B125" s="395">
        <v>92842</v>
      </c>
      <c r="C125" s="406" t="s">
        <v>646</v>
      </c>
      <c r="D125" s="395" t="s">
        <v>22</v>
      </c>
      <c r="E125" s="407">
        <f t="shared" si="2"/>
        <v>16.47</v>
      </c>
      <c r="F125">
        <f t="shared" si="3"/>
        <v>92842</v>
      </c>
      <c r="H125" s="680">
        <v>16.47</v>
      </c>
      <c r="I125" s="680">
        <v>17.43</v>
      </c>
    </row>
    <row r="126" spans="2:9" ht="30">
      <c r="B126" s="396">
        <v>92843</v>
      </c>
      <c r="C126" s="401" t="s">
        <v>4290</v>
      </c>
      <c r="D126" s="396" t="s">
        <v>22</v>
      </c>
      <c r="E126" s="405">
        <f t="shared" si="2"/>
        <v>663.77</v>
      </c>
      <c r="F126">
        <f t="shared" si="3"/>
        <v>92843</v>
      </c>
      <c r="H126" s="679">
        <v>663.77</v>
      </c>
      <c r="I126" s="679">
        <v>664.85</v>
      </c>
    </row>
    <row r="127" spans="2:9" ht="30">
      <c r="B127" s="395">
        <v>92844</v>
      </c>
      <c r="C127" s="406" t="s">
        <v>647</v>
      </c>
      <c r="D127" s="395" t="s">
        <v>22</v>
      </c>
      <c r="E127" s="407">
        <f t="shared" si="2"/>
        <v>18.760000000000002</v>
      </c>
      <c r="F127">
        <f t="shared" si="3"/>
        <v>92844</v>
      </c>
      <c r="H127" s="680">
        <v>18.760000000000002</v>
      </c>
      <c r="I127" s="680">
        <v>19.84</v>
      </c>
    </row>
    <row r="128" spans="2:9" ht="30">
      <c r="B128" s="396">
        <v>92845</v>
      </c>
      <c r="C128" s="401" t="s">
        <v>4291</v>
      </c>
      <c r="D128" s="396" t="s">
        <v>22</v>
      </c>
      <c r="E128" s="405">
        <f t="shared" si="2"/>
        <v>983.89</v>
      </c>
      <c r="F128">
        <f t="shared" si="3"/>
        <v>92845</v>
      </c>
      <c r="H128" s="679">
        <v>983.89</v>
      </c>
      <c r="I128" s="679">
        <v>985.12</v>
      </c>
    </row>
    <row r="129" spans="2:9" ht="30">
      <c r="B129" s="395">
        <v>92846</v>
      </c>
      <c r="C129" s="406" t="s">
        <v>648</v>
      </c>
      <c r="D129" s="395" t="s">
        <v>22</v>
      </c>
      <c r="E129" s="407">
        <f t="shared" si="2"/>
        <v>20.75</v>
      </c>
      <c r="F129">
        <f t="shared" si="3"/>
        <v>92846</v>
      </c>
      <c r="H129" s="680">
        <v>20.75</v>
      </c>
      <c r="I129" s="680">
        <v>21.98</v>
      </c>
    </row>
    <row r="130" spans="2:9" ht="30">
      <c r="B130" s="396">
        <v>92847</v>
      </c>
      <c r="C130" s="401" t="s">
        <v>649</v>
      </c>
      <c r="D130" s="396" t="s">
        <v>22</v>
      </c>
      <c r="E130" s="405">
        <f t="shared" si="2"/>
        <v>1011.55</v>
      </c>
      <c r="F130">
        <f t="shared" si="3"/>
        <v>92847</v>
      </c>
      <c r="H130" s="679">
        <v>1011.55</v>
      </c>
      <c r="I130" s="679">
        <v>1012.9</v>
      </c>
    </row>
    <row r="131" spans="2:9" ht="30">
      <c r="B131" s="395">
        <v>92848</v>
      </c>
      <c r="C131" s="406" t="s">
        <v>650</v>
      </c>
      <c r="D131" s="395" t="s">
        <v>22</v>
      </c>
      <c r="E131" s="407">
        <f t="shared" ref="E131:E194" si="4">IF($K$2=$H$1,H131,I131)</f>
        <v>23.05</v>
      </c>
      <c r="F131">
        <f t="shared" ref="F131:F194" si="5">IF(LEN($B131)=7,CONCATENATE(MID($B131,1,6),"00",RIGHT($B131,1)),IF(LEN($B131)=8,CONCATENATE(MID($B131,1,6),"0",RIGHT($B131,2)),$B131))</f>
        <v>92848</v>
      </c>
      <c r="H131" s="680">
        <v>23.05</v>
      </c>
      <c r="I131" s="680">
        <v>24.4</v>
      </c>
    </row>
    <row r="132" spans="2:9" ht="30">
      <c r="B132" s="396">
        <v>92849</v>
      </c>
      <c r="C132" s="401" t="s">
        <v>651</v>
      </c>
      <c r="D132" s="396" t="s">
        <v>22</v>
      </c>
      <c r="E132" s="405">
        <f t="shared" si="4"/>
        <v>223.84</v>
      </c>
      <c r="F132">
        <f t="shared" si="5"/>
        <v>92849</v>
      </c>
      <c r="H132" s="679">
        <v>223.84</v>
      </c>
      <c r="I132" s="679">
        <v>224.72</v>
      </c>
    </row>
    <row r="133" spans="2:9" ht="30">
      <c r="B133" s="395">
        <v>92850</v>
      </c>
      <c r="C133" s="406" t="s">
        <v>652</v>
      </c>
      <c r="D133" s="395" t="s">
        <v>22</v>
      </c>
      <c r="E133" s="407">
        <f t="shared" si="4"/>
        <v>15.04</v>
      </c>
      <c r="F133">
        <f t="shared" si="5"/>
        <v>92850</v>
      </c>
      <c r="H133" s="680">
        <v>15.04</v>
      </c>
      <c r="I133" s="680">
        <v>15.92</v>
      </c>
    </row>
    <row r="134" spans="2:9" ht="30">
      <c r="B134" s="396">
        <v>92851</v>
      </c>
      <c r="C134" s="401" t="s">
        <v>653</v>
      </c>
      <c r="D134" s="396" t="s">
        <v>22</v>
      </c>
      <c r="E134" s="405">
        <f t="shared" si="4"/>
        <v>235.6</v>
      </c>
      <c r="F134">
        <f t="shared" si="5"/>
        <v>92851</v>
      </c>
      <c r="H134" s="679">
        <v>235.6</v>
      </c>
      <c r="I134" s="679">
        <v>236.71</v>
      </c>
    </row>
    <row r="135" spans="2:9" ht="30">
      <c r="B135" s="395">
        <v>92852</v>
      </c>
      <c r="C135" s="406" t="s">
        <v>654</v>
      </c>
      <c r="D135" s="395" t="s">
        <v>22</v>
      </c>
      <c r="E135" s="407">
        <f t="shared" si="4"/>
        <v>18.98</v>
      </c>
      <c r="F135">
        <f t="shared" si="5"/>
        <v>92852</v>
      </c>
      <c r="H135" s="680">
        <v>18.98</v>
      </c>
      <c r="I135" s="680">
        <v>20.09</v>
      </c>
    </row>
    <row r="136" spans="2:9" ht="30">
      <c r="B136" s="396">
        <v>92853</v>
      </c>
      <c r="C136" s="401" t="s">
        <v>655</v>
      </c>
      <c r="D136" s="396" t="s">
        <v>22</v>
      </c>
      <c r="E136" s="405">
        <f t="shared" si="4"/>
        <v>412.34</v>
      </c>
      <c r="F136">
        <f t="shared" si="5"/>
        <v>92853</v>
      </c>
      <c r="H136" s="679">
        <v>412.34</v>
      </c>
      <c r="I136" s="679">
        <v>413.7</v>
      </c>
    </row>
    <row r="137" spans="2:9" ht="30">
      <c r="B137" s="395">
        <v>92854</v>
      </c>
      <c r="C137" s="406" t="s">
        <v>656</v>
      </c>
      <c r="D137" s="395" t="s">
        <v>22</v>
      </c>
      <c r="E137" s="407">
        <f t="shared" si="4"/>
        <v>23.12</v>
      </c>
      <c r="F137">
        <f t="shared" si="5"/>
        <v>92854</v>
      </c>
      <c r="H137" s="680">
        <v>23.12</v>
      </c>
      <c r="I137" s="680">
        <v>24.48</v>
      </c>
    </row>
    <row r="138" spans="2:9" ht="30">
      <c r="B138" s="396">
        <v>92855</v>
      </c>
      <c r="C138" s="401" t="s">
        <v>657</v>
      </c>
      <c r="D138" s="396" t="s">
        <v>22</v>
      </c>
      <c r="E138" s="405">
        <f t="shared" si="4"/>
        <v>504</v>
      </c>
      <c r="F138">
        <f t="shared" si="5"/>
        <v>92855</v>
      </c>
      <c r="H138" s="679">
        <v>504</v>
      </c>
      <c r="I138" s="679">
        <v>505.58</v>
      </c>
    </row>
    <row r="139" spans="2:9" ht="30">
      <c r="B139" s="395">
        <v>92856</v>
      </c>
      <c r="C139" s="406" t="s">
        <v>658</v>
      </c>
      <c r="D139" s="395" t="s">
        <v>22</v>
      </c>
      <c r="E139" s="407">
        <f t="shared" si="4"/>
        <v>27.27</v>
      </c>
      <c r="F139">
        <f t="shared" si="5"/>
        <v>92856</v>
      </c>
      <c r="H139" s="680">
        <v>27.27</v>
      </c>
      <c r="I139" s="680">
        <v>28.85</v>
      </c>
    </row>
    <row r="140" spans="2:9" ht="30">
      <c r="B140" s="396">
        <v>92857</v>
      </c>
      <c r="C140" s="401" t="s">
        <v>659</v>
      </c>
      <c r="D140" s="396" t="s">
        <v>22</v>
      </c>
      <c r="E140" s="405">
        <f t="shared" si="4"/>
        <v>655.29</v>
      </c>
      <c r="F140">
        <f t="shared" si="5"/>
        <v>92857</v>
      </c>
      <c r="H140" s="679">
        <v>655.29</v>
      </c>
      <c r="I140" s="679">
        <v>657.11</v>
      </c>
    </row>
    <row r="141" spans="2:9" ht="30">
      <c r="B141" s="395">
        <v>92858</v>
      </c>
      <c r="C141" s="406" t="s">
        <v>660</v>
      </c>
      <c r="D141" s="395" t="s">
        <v>22</v>
      </c>
      <c r="E141" s="407">
        <f t="shared" si="4"/>
        <v>31.18</v>
      </c>
      <c r="F141">
        <f t="shared" si="5"/>
        <v>92858</v>
      </c>
      <c r="H141" s="680">
        <v>31.18</v>
      </c>
      <c r="I141" s="680">
        <v>33</v>
      </c>
    </row>
    <row r="142" spans="2:9" ht="30">
      <c r="B142" s="396">
        <v>92859</v>
      </c>
      <c r="C142" s="401" t="s">
        <v>4292</v>
      </c>
      <c r="D142" s="396" t="s">
        <v>22</v>
      </c>
      <c r="E142" s="405">
        <f t="shared" si="4"/>
        <v>680.42</v>
      </c>
      <c r="F142">
        <f t="shared" si="5"/>
        <v>92859</v>
      </c>
      <c r="H142" s="679">
        <v>680.42</v>
      </c>
      <c r="I142" s="679">
        <v>682.49</v>
      </c>
    </row>
    <row r="143" spans="2:9" ht="30">
      <c r="B143" s="395">
        <v>92860</v>
      </c>
      <c r="C143" s="406" t="s">
        <v>661</v>
      </c>
      <c r="D143" s="395" t="s">
        <v>22</v>
      </c>
      <c r="E143" s="407">
        <f t="shared" si="4"/>
        <v>35.409999999999997</v>
      </c>
      <c r="F143">
        <f t="shared" si="5"/>
        <v>92860</v>
      </c>
      <c r="H143" s="680">
        <v>35.409999999999997</v>
      </c>
      <c r="I143" s="680">
        <v>37.479999999999997</v>
      </c>
    </row>
    <row r="144" spans="2:9" ht="30">
      <c r="B144" s="396">
        <v>92861</v>
      </c>
      <c r="C144" s="401" t="s">
        <v>4293</v>
      </c>
      <c r="D144" s="396" t="s">
        <v>22</v>
      </c>
      <c r="E144" s="405">
        <f t="shared" si="4"/>
        <v>1002.66</v>
      </c>
      <c r="F144">
        <f t="shared" si="5"/>
        <v>92861</v>
      </c>
      <c r="H144" s="679">
        <v>1002.66</v>
      </c>
      <c r="I144" s="679">
        <v>1004.96</v>
      </c>
    </row>
    <row r="145" spans="2:9" ht="30">
      <c r="B145" s="395">
        <v>92862</v>
      </c>
      <c r="C145" s="406" t="s">
        <v>662</v>
      </c>
      <c r="D145" s="395" t="s">
        <v>22</v>
      </c>
      <c r="E145" s="407">
        <f t="shared" si="4"/>
        <v>39.520000000000003</v>
      </c>
      <c r="F145">
        <f t="shared" si="5"/>
        <v>92862</v>
      </c>
      <c r="H145" s="680">
        <v>39.520000000000003</v>
      </c>
      <c r="I145" s="680">
        <v>41.82</v>
      </c>
    </row>
    <row r="146" spans="2:9" ht="30">
      <c r="B146" s="396">
        <v>92863</v>
      </c>
      <c r="C146" s="401" t="s">
        <v>663</v>
      </c>
      <c r="D146" s="396" t="s">
        <v>22</v>
      </c>
      <c r="E146" s="405">
        <f t="shared" si="4"/>
        <v>1032.17</v>
      </c>
      <c r="F146">
        <f t="shared" si="5"/>
        <v>92863</v>
      </c>
      <c r="H146" s="679">
        <v>1032.17</v>
      </c>
      <c r="I146" s="679">
        <v>1034.72</v>
      </c>
    </row>
    <row r="147" spans="2:9" ht="30">
      <c r="B147" s="395">
        <v>92864</v>
      </c>
      <c r="C147" s="406" t="s">
        <v>664</v>
      </c>
      <c r="D147" s="395" t="s">
        <v>22</v>
      </c>
      <c r="E147" s="407">
        <f t="shared" si="4"/>
        <v>43.67</v>
      </c>
      <c r="F147">
        <f t="shared" si="5"/>
        <v>92864</v>
      </c>
      <c r="H147" s="680">
        <v>43.67</v>
      </c>
      <c r="I147" s="680">
        <v>46.22</v>
      </c>
    </row>
    <row r="148" spans="2:9" ht="30">
      <c r="B148" s="396">
        <v>92210</v>
      </c>
      <c r="C148" s="401" t="s">
        <v>665</v>
      </c>
      <c r="D148" s="396" t="s">
        <v>22</v>
      </c>
      <c r="E148" s="405">
        <f t="shared" si="4"/>
        <v>168.72</v>
      </c>
      <c r="F148">
        <f t="shared" si="5"/>
        <v>92210</v>
      </c>
      <c r="H148" s="679">
        <v>168.72</v>
      </c>
      <c r="I148" s="679">
        <v>171.36</v>
      </c>
    </row>
    <row r="149" spans="2:9" ht="30">
      <c r="B149" s="395">
        <v>92211</v>
      </c>
      <c r="C149" s="406" t="s">
        <v>666</v>
      </c>
      <c r="D149" s="395" t="s">
        <v>22</v>
      </c>
      <c r="E149" s="407">
        <f t="shared" si="4"/>
        <v>202.75</v>
      </c>
      <c r="F149">
        <f t="shared" si="5"/>
        <v>92211</v>
      </c>
      <c r="H149" s="680">
        <v>202.75</v>
      </c>
      <c r="I149" s="680">
        <v>205.95</v>
      </c>
    </row>
    <row r="150" spans="2:9" ht="30">
      <c r="B150" s="396">
        <v>92212</v>
      </c>
      <c r="C150" s="401" t="s">
        <v>667</v>
      </c>
      <c r="D150" s="396" t="s">
        <v>22</v>
      </c>
      <c r="E150" s="405">
        <f t="shared" si="4"/>
        <v>304.37</v>
      </c>
      <c r="F150">
        <f t="shared" si="5"/>
        <v>92212</v>
      </c>
      <c r="H150" s="679">
        <v>304.37</v>
      </c>
      <c r="I150" s="679">
        <v>308.17</v>
      </c>
    </row>
    <row r="151" spans="2:9" ht="30">
      <c r="B151" s="395">
        <v>92213</v>
      </c>
      <c r="C151" s="406" t="s">
        <v>668</v>
      </c>
      <c r="D151" s="395" t="s">
        <v>22</v>
      </c>
      <c r="E151" s="407">
        <f t="shared" si="4"/>
        <v>401.23</v>
      </c>
      <c r="F151">
        <f t="shared" si="5"/>
        <v>92213</v>
      </c>
      <c r="H151" s="680">
        <v>401.23</v>
      </c>
      <c r="I151" s="680">
        <v>405.62</v>
      </c>
    </row>
    <row r="152" spans="2:9" ht="30">
      <c r="B152" s="396">
        <v>92214</v>
      </c>
      <c r="C152" s="401" t="s">
        <v>669</v>
      </c>
      <c r="D152" s="396" t="s">
        <v>22</v>
      </c>
      <c r="E152" s="405">
        <f t="shared" si="4"/>
        <v>485.74</v>
      </c>
      <c r="F152">
        <f t="shared" si="5"/>
        <v>92214</v>
      </c>
      <c r="H152" s="679">
        <v>485.74</v>
      </c>
      <c r="I152" s="679">
        <v>490.76</v>
      </c>
    </row>
    <row r="153" spans="2:9" ht="30">
      <c r="B153" s="395">
        <v>92215</v>
      </c>
      <c r="C153" s="406" t="s">
        <v>670</v>
      </c>
      <c r="D153" s="395" t="s">
        <v>22</v>
      </c>
      <c r="E153" s="407">
        <f t="shared" si="4"/>
        <v>558.45000000000005</v>
      </c>
      <c r="F153">
        <f t="shared" si="5"/>
        <v>92215</v>
      </c>
      <c r="H153" s="680">
        <v>558.45000000000005</v>
      </c>
      <c r="I153" s="680">
        <v>564.13</v>
      </c>
    </row>
    <row r="154" spans="2:9" ht="30">
      <c r="B154" s="396">
        <v>92216</v>
      </c>
      <c r="C154" s="401" t="s">
        <v>671</v>
      </c>
      <c r="D154" s="396" t="s">
        <v>22</v>
      </c>
      <c r="E154" s="405">
        <f t="shared" si="4"/>
        <v>584.03</v>
      </c>
      <c r="F154">
        <f t="shared" si="5"/>
        <v>92216</v>
      </c>
      <c r="H154" s="679">
        <v>584.03</v>
      </c>
      <c r="I154" s="679">
        <v>590.41</v>
      </c>
    </row>
    <row r="155" spans="2:9" ht="30">
      <c r="B155" s="395">
        <v>92219</v>
      </c>
      <c r="C155" s="406" t="s">
        <v>672</v>
      </c>
      <c r="D155" s="395" t="s">
        <v>22</v>
      </c>
      <c r="E155" s="407">
        <f t="shared" si="4"/>
        <v>177.55</v>
      </c>
      <c r="F155">
        <f t="shared" si="5"/>
        <v>92219</v>
      </c>
      <c r="H155" s="680">
        <v>177.55</v>
      </c>
      <c r="I155" s="680">
        <v>180.7</v>
      </c>
    </row>
    <row r="156" spans="2:9" ht="30">
      <c r="B156" s="396">
        <v>92220</v>
      </c>
      <c r="C156" s="401" t="s">
        <v>673</v>
      </c>
      <c r="D156" s="396" t="s">
        <v>22</v>
      </c>
      <c r="E156" s="405">
        <f t="shared" si="4"/>
        <v>213.69</v>
      </c>
      <c r="F156">
        <f t="shared" si="5"/>
        <v>92220</v>
      </c>
      <c r="H156" s="679">
        <v>213.69</v>
      </c>
      <c r="I156" s="679">
        <v>217.54</v>
      </c>
    </row>
    <row r="157" spans="2:9" ht="30">
      <c r="B157" s="395">
        <v>92221</v>
      </c>
      <c r="C157" s="406" t="s">
        <v>674</v>
      </c>
      <c r="D157" s="395" t="s">
        <v>22</v>
      </c>
      <c r="E157" s="407">
        <f t="shared" si="4"/>
        <v>317.2</v>
      </c>
      <c r="F157">
        <f t="shared" si="5"/>
        <v>92221</v>
      </c>
      <c r="H157" s="680">
        <v>317.2</v>
      </c>
      <c r="I157" s="680">
        <v>321.73</v>
      </c>
    </row>
    <row r="158" spans="2:9" ht="30">
      <c r="B158" s="396">
        <v>92222</v>
      </c>
      <c r="C158" s="401" t="s">
        <v>675</v>
      </c>
      <c r="D158" s="396" t="s">
        <v>22</v>
      </c>
      <c r="E158" s="405">
        <f t="shared" si="4"/>
        <v>416.15</v>
      </c>
      <c r="F158">
        <f t="shared" si="5"/>
        <v>92222</v>
      </c>
      <c r="H158" s="679">
        <v>416.15</v>
      </c>
      <c r="I158" s="679">
        <v>421.41</v>
      </c>
    </row>
    <row r="159" spans="2:9" ht="30">
      <c r="B159" s="395">
        <v>92223</v>
      </c>
      <c r="C159" s="406" t="s">
        <v>676</v>
      </c>
      <c r="D159" s="395" t="s">
        <v>22</v>
      </c>
      <c r="E159" s="407">
        <f t="shared" si="4"/>
        <v>502.39</v>
      </c>
      <c r="F159">
        <f t="shared" si="5"/>
        <v>92223</v>
      </c>
      <c r="H159" s="680">
        <v>502.39</v>
      </c>
      <c r="I159" s="680">
        <v>508.4</v>
      </c>
    </row>
    <row r="160" spans="2:9" ht="30">
      <c r="B160" s="396">
        <v>92224</v>
      </c>
      <c r="C160" s="401" t="s">
        <v>677</v>
      </c>
      <c r="D160" s="396" t="s">
        <v>22</v>
      </c>
      <c r="E160" s="405">
        <f t="shared" si="4"/>
        <v>576.94000000000005</v>
      </c>
      <c r="F160">
        <f t="shared" si="5"/>
        <v>92224</v>
      </c>
      <c r="H160" s="679">
        <v>576.94000000000005</v>
      </c>
      <c r="I160" s="679">
        <v>583.70000000000005</v>
      </c>
    </row>
    <row r="161" spans="2:9" ht="30">
      <c r="B161" s="395">
        <v>92226</v>
      </c>
      <c r="C161" s="406" t="s">
        <v>678</v>
      </c>
      <c r="D161" s="395" t="s">
        <v>22</v>
      </c>
      <c r="E161" s="407">
        <f t="shared" si="4"/>
        <v>604.73</v>
      </c>
      <c r="F161">
        <f t="shared" si="5"/>
        <v>92226</v>
      </c>
      <c r="H161" s="680">
        <v>604.73</v>
      </c>
      <c r="I161" s="680">
        <v>612.33000000000004</v>
      </c>
    </row>
    <row r="162" spans="2:9" ht="30">
      <c r="B162" s="396">
        <v>92808</v>
      </c>
      <c r="C162" s="401" t="s">
        <v>679</v>
      </c>
      <c r="D162" s="396" t="s">
        <v>22</v>
      </c>
      <c r="E162" s="405">
        <f t="shared" si="4"/>
        <v>35.99</v>
      </c>
      <c r="F162">
        <f t="shared" si="5"/>
        <v>92808</v>
      </c>
      <c r="H162" s="679">
        <v>35.99</v>
      </c>
      <c r="I162" s="679">
        <v>38.07</v>
      </c>
    </row>
    <row r="163" spans="2:9" ht="30">
      <c r="B163" s="395">
        <v>92809</v>
      </c>
      <c r="C163" s="406" t="s">
        <v>680</v>
      </c>
      <c r="D163" s="395" t="s">
        <v>22</v>
      </c>
      <c r="E163" s="407">
        <f t="shared" si="4"/>
        <v>46.3</v>
      </c>
      <c r="F163">
        <f t="shared" si="5"/>
        <v>92809</v>
      </c>
      <c r="H163" s="680">
        <v>46.3</v>
      </c>
      <c r="I163" s="680">
        <v>48.94</v>
      </c>
    </row>
    <row r="164" spans="2:9" ht="30">
      <c r="B164" s="396">
        <v>92810</v>
      </c>
      <c r="C164" s="401" t="s">
        <v>681</v>
      </c>
      <c r="D164" s="396" t="s">
        <v>22</v>
      </c>
      <c r="E164" s="405">
        <f t="shared" si="4"/>
        <v>56.44</v>
      </c>
      <c r="F164">
        <f t="shared" si="5"/>
        <v>92810</v>
      </c>
      <c r="H164" s="679">
        <v>56.44</v>
      </c>
      <c r="I164" s="679">
        <v>59.64</v>
      </c>
    </row>
    <row r="165" spans="2:9" ht="30">
      <c r="B165" s="395">
        <v>92811</v>
      </c>
      <c r="C165" s="406" t="s">
        <v>682</v>
      </c>
      <c r="D165" s="395" t="s">
        <v>22</v>
      </c>
      <c r="E165" s="407">
        <f t="shared" si="4"/>
        <v>67.47</v>
      </c>
      <c r="F165">
        <f t="shared" si="5"/>
        <v>92811</v>
      </c>
      <c r="H165" s="680">
        <v>67.47</v>
      </c>
      <c r="I165" s="680">
        <v>71.27</v>
      </c>
    </row>
    <row r="166" spans="2:9" ht="30">
      <c r="B166" s="396">
        <v>92812</v>
      </c>
      <c r="C166" s="401" t="s">
        <v>683</v>
      </c>
      <c r="D166" s="396" t="s">
        <v>22</v>
      </c>
      <c r="E166" s="405">
        <f t="shared" si="4"/>
        <v>78.34</v>
      </c>
      <c r="F166">
        <f t="shared" si="5"/>
        <v>92812</v>
      </c>
      <c r="H166" s="679">
        <v>78.34</v>
      </c>
      <c r="I166" s="679">
        <v>82.73</v>
      </c>
    </row>
    <row r="167" spans="2:9" ht="30">
      <c r="B167" s="395">
        <v>92813</v>
      </c>
      <c r="C167" s="406" t="s">
        <v>684</v>
      </c>
      <c r="D167" s="395" t="s">
        <v>22</v>
      </c>
      <c r="E167" s="407">
        <f t="shared" si="4"/>
        <v>91.58</v>
      </c>
      <c r="F167">
        <f t="shared" si="5"/>
        <v>92813</v>
      </c>
      <c r="H167" s="680">
        <v>91.58</v>
      </c>
      <c r="I167" s="680">
        <v>96.6</v>
      </c>
    </row>
    <row r="168" spans="2:9" ht="30">
      <c r="B168" s="396">
        <v>92814</v>
      </c>
      <c r="C168" s="401" t="s">
        <v>685</v>
      </c>
      <c r="D168" s="396" t="s">
        <v>22</v>
      </c>
      <c r="E168" s="405">
        <f t="shared" si="4"/>
        <v>105.56</v>
      </c>
      <c r="F168">
        <f t="shared" si="5"/>
        <v>92814</v>
      </c>
      <c r="H168" s="679">
        <v>105.56</v>
      </c>
      <c r="I168" s="679">
        <v>111.24</v>
      </c>
    </row>
    <row r="169" spans="2:9" ht="30">
      <c r="B169" s="395">
        <v>92815</v>
      </c>
      <c r="C169" s="406" t="s">
        <v>686</v>
      </c>
      <c r="D169" s="395" t="s">
        <v>22</v>
      </c>
      <c r="E169" s="407">
        <f t="shared" si="4"/>
        <v>122.18</v>
      </c>
      <c r="F169">
        <f t="shared" si="5"/>
        <v>92815</v>
      </c>
      <c r="H169" s="680">
        <v>122.18</v>
      </c>
      <c r="I169" s="680">
        <v>128.56</v>
      </c>
    </row>
    <row r="170" spans="2:9" ht="30">
      <c r="B170" s="396">
        <v>92816</v>
      </c>
      <c r="C170" s="401" t="s">
        <v>687</v>
      </c>
      <c r="D170" s="396" t="s">
        <v>22</v>
      </c>
      <c r="E170" s="405">
        <f t="shared" si="4"/>
        <v>842.66</v>
      </c>
      <c r="F170">
        <f t="shared" si="5"/>
        <v>92816</v>
      </c>
      <c r="H170" s="679">
        <v>842.66</v>
      </c>
      <c r="I170" s="679">
        <v>850.65</v>
      </c>
    </row>
    <row r="171" spans="2:9" ht="30">
      <c r="B171" s="395">
        <v>92817</v>
      </c>
      <c r="C171" s="406" t="s">
        <v>688</v>
      </c>
      <c r="D171" s="395" t="s">
        <v>22</v>
      </c>
      <c r="E171" s="407">
        <f t="shared" si="4"/>
        <v>152.87</v>
      </c>
      <c r="F171">
        <f t="shared" si="5"/>
        <v>92817</v>
      </c>
      <c r="H171" s="680">
        <v>152.87</v>
      </c>
      <c r="I171" s="680">
        <v>160.86000000000001</v>
      </c>
    </row>
    <row r="172" spans="2:9" ht="30">
      <c r="B172" s="396">
        <v>92818</v>
      </c>
      <c r="C172" s="401" t="s">
        <v>689</v>
      </c>
      <c r="D172" s="396" t="s">
        <v>22</v>
      </c>
      <c r="E172" s="405">
        <f t="shared" si="4"/>
        <v>1205.1500000000001</v>
      </c>
      <c r="F172">
        <f t="shared" si="5"/>
        <v>92818</v>
      </c>
      <c r="H172" s="679">
        <v>1205.1500000000001</v>
      </c>
      <c r="I172" s="679">
        <v>1215.9000000000001</v>
      </c>
    </row>
    <row r="173" spans="2:9" ht="30">
      <c r="B173" s="395">
        <v>92819</v>
      </c>
      <c r="C173" s="406" t="s">
        <v>690</v>
      </c>
      <c r="D173" s="395" t="s">
        <v>22</v>
      </c>
      <c r="E173" s="407">
        <f t="shared" si="4"/>
        <v>205.8</v>
      </c>
      <c r="F173">
        <f t="shared" si="5"/>
        <v>92819</v>
      </c>
      <c r="H173" s="680">
        <v>205.8</v>
      </c>
      <c r="I173" s="680">
        <v>216.55</v>
      </c>
    </row>
    <row r="174" spans="2:9" ht="30">
      <c r="B174" s="396">
        <v>92820</v>
      </c>
      <c r="C174" s="401" t="s">
        <v>691</v>
      </c>
      <c r="D174" s="396" t="s">
        <v>22</v>
      </c>
      <c r="E174" s="405">
        <f t="shared" si="4"/>
        <v>42.89</v>
      </c>
      <c r="F174">
        <f t="shared" si="5"/>
        <v>92820</v>
      </c>
      <c r="H174" s="679">
        <v>42.89</v>
      </c>
      <c r="I174" s="679">
        <v>45.36</v>
      </c>
    </row>
    <row r="175" spans="2:9" ht="30">
      <c r="B175" s="395">
        <v>92821</v>
      </c>
      <c r="C175" s="406" t="s">
        <v>692</v>
      </c>
      <c r="D175" s="395" t="s">
        <v>22</v>
      </c>
      <c r="E175" s="407">
        <f t="shared" si="4"/>
        <v>55.13</v>
      </c>
      <c r="F175">
        <f t="shared" si="5"/>
        <v>92821</v>
      </c>
      <c r="H175" s="680">
        <v>55.13</v>
      </c>
      <c r="I175" s="680">
        <v>58.28</v>
      </c>
    </row>
    <row r="176" spans="2:9" ht="30">
      <c r="B176" s="396">
        <v>92822</v>
      </c>
      <c r="C176" s="401" t="s">
        <v>693</v>
      </c>
      <c r="D176" s="396" t="s">
        <v>22</v>
      </c>
      <c r="E176" s="405">
        <f t="shared" si="4"/>
        <v>67.38</v>
      </c>
      <c r="F176">
        <f t="shared" si="5"/>
        <v>92822</v>
      </c>
      <c r="H176" s="679">
        <v>67.38</v>
      </c>
      <c r="I176" s="679">
        <v>71.23</v>
      </c>
    </row>
    <row r="177" spans="2:9" ht="30">
      <c r="B177" s="395">
        <v>92824</v>
      </c>
      <c r="C177" s="406" t="s">
        <v>694</v>
      </c>
      <c r="D177" s="395" t="s">
        <v>22</v>
      </c>
      <c r="E177" s="407">
        <f t="shared" si="4"/>
        <v>80.3</v>
      </c>
      <c r="F177">
        <f t="shared" si="5"/>
        <v>92824</v>
      </c>
      <c r="H177" s="680">
        <v>80.3</v>
      </c>
      <c r="I177" s="680">
        <v>84.83</v>
      </c>
    </row>
    <row r="178" spans="2:9" ht="30">
      <c r="B178" s="396">
        <v>92825</v>
      </c>
      <c r="C178" s="401" t="s">
        <v>695</v>
      </c>
      <c r="D178" s="396" t="s">
        <v>22</v>
      </c>
      <c r="E178" s="405">
        <f t="shared" si="4"/>
        <v>93.26</v>
      </c>
      <c r="F178">
        <f t="shared" si="5"/>
        <v>92825</v>
      </c>
      <c r="H178" s="679">
        <v>93.26</v>
      </c>
      <c r="I178" s="679">
        <v>98.52</v>
      </c>
    </row>
    <row r="179" spans="2:9" ht="30">
      <c r="B179" s="395">
        <v>92826</v>
      </c>
      <c r="C179" s="406" t="s">
        <v>696</v>
      </c>
      <c r="D179" s="395" t="s">
        <v>22</v>
      </c>
      <c r="E179" s="407">
        <f t="shared" si="4"/>
        <v>108.23</v>
      </c>
      <c r="F179">
        <f t="shared" si="5"/>
        <v>92826</v>
      </c>
      <c r="H179" s="680">
        <v>108.23</v>
      </c>
      <c r="I179" s="680">
        <v>114.24</v>
      </c>
    </row>
    <row r="180" spans="2:9" ht="30">
      <c r="B180" s="396">
        <v>92827</v>
      </c>
      <c r="C180" s="401" t="s">
        <v>697</v>
      </c>
      <c r="D180" s="396" t="s">
        <v>22</v>
      </c>
      <c r="E180" s="405">
        <f t="shared" si="4"/>
        <v>124.05</v>
      </c>
      <c r="F180">
        <f t="shared" si="5"/>
        <v>92827</v>
      </c>
      <c r="H180" s="679">
        <v>124.05</v>
      </c>
      <c r="I180" s="679">
        <v>130.81</v>
      </c>
    </row>
    <row r="181" spans="2:9" ht="30">
      <c r="B181" s="395">
        <v>92828</v>
      </c>
      <c r="C181" s="406" t="s">
        <v>698</v>
      </c>
      <c r="D181" s="395" t="s">
        <v>22</v>
      </c>
      <c r="E181" s="407">
        <f t="shared" si="4"/>
        <v>142.88</v>
      </c>
      <c r="F181">
        <f t="shared" si="5"/>
        <v>92828</v>
      </c>
      <c r="H181" s="680">
        <v>142.88</v>
      </c>
      <c r="I181" s="680">
        <v>150.47999999999999</v>
      </c>
    </row>
    <row r="182" spans="2:9" ht="30">
      <c r="B182" s="396">
        <v>92829</v>
      </c>
      <c r="C182" s="401" t="s">
        <v>699</v>
      </c>
      <c r="D182" s="396" t="s">
        <v>22</v>
      </c>
      <c r="E182" s="405">
        <f t="shared" si="4"/>
        <v>867.02</v>
      </c>
      <c r="F182">
        <f t="shared" si="5"/>
        <v>92829</v>
      </c>
      <c r="H182" s="679">
        <v>867.02</v>
      </c>
      <c r="I182" s="679">
        <v>876.46</v>
      </c>
    </row>
    <row r="183" spans="2:9" ht="30">
      <c r="B183" s="395">
        <v>92830</v>
      </c>
      <c r="C183" s="406" t="s">
        <v>700</v>
      </c>
      <c r="D183" s="395" t="s">
        <v>22</v>
      </c>
      <c r="E183" s="407">
        <f t="shared" si="4"/>
        <v>177.23</v>
      </c>
      <c r="F183">
        <f t="shared" si="5"/>
        <v>92830</v>
      </c>
      <c r="H183" s="680">
        <v>177.23</v>
      </c>
      <c r="I183" s="680">
        <v>186.67</v>
      </c>
    </row>
    <row r="184" spans="2:9" ht="30">
      <c r="B184" s="396">
        <v>92831</v>
      </c>
      <c r="C184" s="401" t="s">
        <v>701</v>
      </c>
      <c r="D184" s="396" t="s">
        <v>22</v>
      </c>
      <c r="E184" s="405">
        <f t="shared" si="4"/>
        <v>1234.98</v>
      </c>
      <c r="F184">
        <f t="shared" si="5"/>
        <v>92831</v>
      </c>
      <c r="H184" s="679">
        <v>1234.98</v>
      </c>
      <c r="I184" s="679">
        <v>1247.49</v>
      </c>
    </row>
    <row r="185" spans="2:9" ht="30">
      <c r="B185" s="395">
        <v>92832</v>
      </c>
      <c r="C185" s="406" t="s">
        <v>702</v>
      </c>
      <c r="D185" s="395" t="s">
        <v>22</v>
      </c>
      <c r="E185" s="407">
        <f t="shared" si="4"/>
        <v>235.63</v>
      </c>
      <c r="F185">
        <f t="shared" si="5"/>
        <v>92832</v>
      </c>
      <c r="H185" s="680">
        <v>235.63</v>
      </c>
      <c r="I185" s="680">
        <v>248.14</v>
      </c>
    </row>
    <row r="186" spans="2:9" ht="30">
      <c r="B186" s="396">
        <v>95565</v>
      </c>
      <c r="C186" s="401" t="s">
        <v>703</v>
      </c>
      <c r="D186" s="396" t="s">
        <v>22</v>
      </c>
      <c r="E186" s="405">
        <f t="shared" si="4"/>
        <v>144.47</v>
      </c>
      <c r="F186">
        <f t="shared" si="5"/>
        <v>95565</v>
      </c>
      <c r="H186" s="679">
        <v>144.47</v>
      </c>
      <c r="I186" s="679">
        <v>146.55000000000001</v>
      </c>
    </row>
    <row r="187" spans="2:9" ht="30">
      <c r="B187" s="395">
        <v>95566</v>
      </c>
      <c r="C187" s="406" t="s">
        <v>704</v>
      </c>
      <c r="D187" s="395" t="s">
        <v>22</v>
      </c>
      <c r="E187" s="407">
        <f t="shared" si="4"/>
        <v>151.37</v>
      </c>
      <c r="F187">
        <f t="shared" si="5"/>
        <v>95566</v>
      </c>
      <c r="H187" s="680">
        <v>151.37</v>
      </c>
      <c r="I187" s="680">
        <v>153.84</v>
      </c>
    </row>
    <row r="188" spans="2:9" ht="30">
      <c r="B188" s="396">
        <v>95567</v>
      </c>
      <c r="C188" s="401" t="s">
        <v>705</v>
      </c>
      <c r="D188" s="396" t="s">
        <v>22</v>
      </c>
      <c r="E188" s="405">
        <f t="shared" si="4"/>
        <v>97.79</v>
      </c>
      <c r="F188">
        <f t="shared" si="5"/>
        <v>95567</v>
      </c>
      <c r="H188" s="679">
        <v>97.79</v>
      </c>
      <c r="I188" s="679">
        <v>99.87</v>
      </c>
    </row>
    <row r="189" spans="2:9" ht="30">
      <c r="B189" s="395">
        <v>95568</v>
      </c>
      <c r="C189" s="406" t="s">
        <v>706</v>
      </c>
      <c r="D189" s="395" t="s">
        <v>22</v>
      </c>
      <c r="E189" s="407">
        <f t="shared" si="4"/>
        <v>119.32</v>
      </c>
      <c r="F189">
        <f t="shared" si="5"/>
        <v>95568</v>
      </c>
      <c r="H189" s="680">
        <v>119.32</v>
      </c>
      <c r="I189" s="680">
        <v>121.96</v>
      </c>
    </row>
    <row r="190" spans="2:9" ht="30">
      <c r="B190" s="396">
        <v>95569</v>
      </c>
      <c r="C190" s="401" t="s">
        <v>707</v>
      </c>
      <c r="D190" s="396" t="s">
        <v>22</v>
      </c>
      <c r="E190" s="405">
        <f t="shared" si="4"/>
        <v>165.12</v>
      </c>
      <c r="F190">
        <f t="shared" si="5"/>
        <v>95569</v>
      </c>
      <c r="H190" s="679">
        <v>165.12</v>
      </c>
      <c r="I190" s="679">
        <v>168.32</v>
      </c>
    </row>
    <row r="191" spans="2:9" ht="30">
      <c r="B191" s="395">
        <v>95570</v>
      </c>
      <c r="C191" s="406" t="s">
        <v>708</v>
      </c>
      <c r="D191" s="395" t="s">
        <v>22</v>
      </c>
      <c r="E191" s="407">
        <f t="shared" si="4"/>
        <v>104.69</v>
      </c>
      <c r="F191">
        <f t="shared" si="5"/>
        <v>95570</v>
      </c>
      <c r="H191" s="680">
        <v>104.69</v>
      </c>
      <c r="I191" s="680">
        <v>107.16</v>
      </c>
    </row>
    <row r="192" spans="2:9" ht="30">
      <c r="B192" s="396">
        <v>95571</v>
      </c>
      <c r="C192" s="401" t="s">
        <v>709</v>
      </c>
      <c r="D192" s="396" t="s">
        <v>22</v>
      </c>
      <c r="E192" s="405">
        <f t="shared" si="4"/>
        <v>128.15</v>
      </c>
      <c r="F192">
        <f t="shared" si="5"/>
        <v>95571</v>
      </c>
      <c r="H192" s="679">
        <v>128.15</v>
      </c>
      <c r="I192" s="679">
        <v>131.30000000000001</v>
      </c>
    </row>
    <row r="193" spans="2:9" ht="30">
      <c r="B193" s="395">
        <v>95572</v>
      </c>
      <c r="C193" s="406" t="s">
        <v>710</v>
      </c>
      <c r="D193" s="395" t="s">
        <v>22</v>
      </c>
      <c r="E193" s="407">
        <f t="shared" si="4"/>
        <v>176.06</v>
      </c>
      <c r="F193">
        <f t="shared" si="5"/>
        <v>95572</v>
      </c>
      <c r="H193" s="680">
        <v>176.06</v>
      </c>
      <c r="I193" s="680">
        <v>179.91</v>
      </c>
    </row>
    <row r="194" spans="2:9" ht="30">
      <c r="B194" s="396">
        <v>97127</v>
      </c>
      <c r="C194" s="401" t="s">
        <v>2523</v>
      </c>
      <c r="D194" s="396" t="s">
        <v>22</v>
      </c>
      <c r="E194" s="405">
        <f t="shared" si="4"/>
        <v>4.21</v>
      </c>
      <c r="F194">
        <f t="shared" si="5"/>
        <v>97127</v>
      </c>
      <c r="H194" s="679">
        <v>4.21</v>
      </c>
      <c r="I194" s="679">
        <v>4.6399999999999997</v>
      </c>
    </row>
    <row r="195" spans="2:9" ht="30">
      <c r="B195" s="395">
        <v>97128</v>
      </c>
      <c r="C195" s="406" t="s">
        <v>2524</v>
      </c>
      <c r="D195" s="395" t="s">
        <v>22</v>
      </c>
      <c r="E195" s="407">
        <f t="shared" ref="E195:E258" si="6">IF($K$2=$H$1,H195,I195)</f>
        <v>8.77</v>
      </c>
      <c r="F195">
        <f t="shared" ref="F195:F258" si="7">IF(LEN($B195)=7,CONCATENATE(MID($B195,1,6),"00",RIGHT($B195,1)),IF(LEN($B195)=8,CONCATENATE(MID($B195,1,6),"0",RIGHT($B195,2)),$B195))</f>
        <v>97128</v>
      </c>
      <c r="H195" s="680">
        <v>8.77</v>
      </c>
      <c r="I195" s="680">
        <v>9.44</v>
      </c>
    </row>
    <row r="196" spans="2:9" ht="30">
      <c r="B196" s="396">
        <v>97129</v>
      </c>
      <c r="C196" s="401" t="s">
        <v>2525</v>
      </c>
      <c r="D196" s="396" t="s">
        <v>22</v>
      </c>
      <c r="E196" s="405">
        <f t="shared" si="6"/>
        <v>10.78</v>
      </c>
      <c r="F196">
        <f t="shared" si="7"/>
        <v>97129</v>
      </c>
      <c r="H196" s="679">
        <v>10.78</v>
      </c>
      <c r="I196" s="679">
        <v>11.61</v>
      </c>
    </row>
    <row r="197" spans="2:9" ht="30">
      <c r="B197" s="395">
        <v>97130</v>
      </c>
      <c r="C197" s="406" t="s">
        <v>2526</v>
      </c>
      <c r="D197" s="395" t="s">
        <v>22</v>
      </c>
      <c r="E197" s="407">
        <f t="shared" si="6"/>
        <v>12.8</v>
      </c>
      <c r="F197">
        <f t="shared" si="7"/>
        <v>97130</v>
      </c>
      <c r="H197" s="680">
        <v>12.8</v>
      </c>
      <c r="I197" s="680">
        <v>13.78</v>
      </c>
    </row>
    <row r="198" spans="2:9" ht="30">
      <c r="B198" s="396">
        <v>97131</v>
      </c>
      <c r="C198" s="401" t="s">
        <v>2527</v>
      </c>
      <c r="D198" s="396" t="s">
        <v>22</v>
      </c>
      <c r="E198" s="405">
        <f t="shared" si="6"/>
        <v>14.81</v>
      </c>
      <c r="F198">
        <f t="shared" si="7"/>
        <v>97131</v>
      </c>
      <c r="H198" s="679">
        <v>14.81</v>
      </c>
      <c r="I198" s="679">
        <v>15.95</v>
      </c>
    </row>
    <row r="199" spans="2:9" ht="30">
      <c r="B199" s="395">
        <v>97132</v>
      </c>
      <c r="C199" s="406" t="s">
        <v>2528</v>
      </c>
      <c r="D199" s="395" t="s">
        <v>22</v>
      </c>
      <c r="E199" s="407">
        <f t="shared" si="6"/>
        <v>16.82</v>
      </c>
      <c r="F199">
        <f t="shared" si="7"/>
        <v>97132</v>
      </c>
      <c r="H199" s="680">
        <v>16.82</v>
      </c>
      <c r="I199" s="680">
        <v>18.100000000000001</v>
      </c>
    </row>
    <row r="200" spans="2:9" ht="30">
      <c r="B200" s="396">
        <v>97133</v>
      </c>
      <c r="C200" s="401" t="s">
        <v>2529</v>
      </c>
      <c r="D200" s="396" t="s">
        <v>22</v>
      </c>
      <c r="E200" s="405">
        <f t="shared" si="6"/>
        <v>20.85</v>
      </c>
      <c r="F200">
        <f t="shared" si="7"/>
        <v>97133</v>
      </c>
      <c r="H200" s="679">
        <v>20.85</v>
      </c>
      <c r="I200" s="679">
        <v>22.44</v>
      </c>
    </row>
    <row r="201" spans="2:9" ht="30">
      <c r="B201" s="395">
        <v>97134</v>
      </c>
      <c r="C201" s="406" t="s">
        <v>2530</v>
      </c>
      <c r="D201" s="395" t="s">
        <v>22</v>
      </c>
      <c r="E201" s="407">
        <f t="shared" si="6"/>
        <v>2.0099999999999998</v>
      </c>
      <c r="F201">
        <f t="shared" si="7"/>
        <v>97134</v>
      </c>
      <c r="H201" s="680">
        <v>2.0099999999999998</v>
      </c>
      <c r="I201" s="680">
        <v>2.1800000000000002</v>
      </c>
    </row>
    <row r="202" spans="2:9" ht="30">
      <c r="B202" s="396">
        <v>97135</v>
      </c>
      <c r="C202" s="401" t="s">
        <v>2531</v>
      </c>
      <c r="D202" s="396" t="s">
        <v>22</v>
      </c>
      <c r="E202" s="405">
        <f t="shared" si="6"/>
        <v>4.6500000000000004</v>
      </c>
      <c r="F202">
        <f t="shared" si="7"/>
        <v>97135</v>
      </c>
      <c r="H202" s="679">
        <v>4.6500000000000004</v>
      </c>
      <c r="I202" s="679">
        <v>4.9400000000000004</v>
      </c>
    </row>
    <row r="203" spans="2:9" ht="30">
      <c r="B203" s="395">
        <v>97136</v>
      </c>
      <c r="C203" s="406" t="s">
        <v>2532</v>
      </c>
      <c r="D203" s="395" t="s">
        <v>22</v>
      </c>
      <c r="E203" s="407">
        <f t="shared" si="6"/>
        <v>5.71</v>
      </c>
      <c r="F203">
        <f t="shared" si="7"/>
        <v>97136</v>
      </c>
      <c r="H203" s="680">
        <v>5.71</v>
      </c>
      <c r="I203" s="680">
        <v>6.07</v>
      </c>
    </row>
    <row r="204" spans="2:9" ht="30">
      <c r="B204" s="396">
        <v>97137</v>
      </c>
      <c r="C204" s="401" t="s">
        <v>2533</v>
      </c>
      <c r="D204" s="396" t="s">
        <v>22</v>
      </c>
      <c r="E204" s="405">
        <f t="shared" si="6"/>
        <v>6.79</v>
      </c>
      <c r="F204">
        <f t="shared" si="7"/>
        <v>97137</v>
      </c>
      <c r="H204" s="679">
        <v>6.79</v>
      </c>
      <c r="I204" s="679">
        <v>7.21</v>
      </c>
    </row>
    <row r="205" spans="2:9" ht="30">
      <c r="B205" s="395">
        <v>97138</v>
      </c>
      <c r="C205" s="406" t="s">
        <v>2534</v>
      </c>
      <c r="D205" s="395" t="s">
        <v>22</v>
      </c>
      <c r="E205" s="407">
        <f t="shared" si="6"/>
        <v>7.85</v>
      </c>
      <c r="F205">
        <f t="shared" si="7"/>
        <v>97138</v>
      </c>
      <c r="H205" s="680">
        <v>7.85</v>
      </c>
      <c r="I205" s="680">
        <v>8.35</v>
      </c>
    </row>
    <row r="206" spans="2:9" ht="30">
      <c r="B206" s="396">
        <v>97139</v>
      </c>
      <c r="C206" s="401" t="s">
        <v>2535</v>
      </c>
      <c r="D206" s="396" t="s">
        <v>22</v>
      </c>
      <c r="E206" s="405">
        <f t="shared" si="6"/>
        <v>8.92</v>
      </c>
      <c r="F206">
        <f t="shared" si="7"/>
        <v>97139</v>
      </c>
      <c r="H206" s="679">
        <v>8.92</v>
      </c>
      <c r="I206" s="679">
        <v>9.4700000000000006</v>
      </c>
    </row>
    <row r="207" spans="2:9" ht="30">
      <c r="B207" s="395">
        <v>97140</v>
      </c>
      <c r="C207" s="406" t="s">
        <v>2536</v>
      </c>
      <c r="D207" s="395" t="s">
        <v>22</v>
      </c>
      <c r="E207" s="407">
        <f t="shared" si="6"/>
        <v>11.07</v>
      </c>
      <c r="F207">
        <f t="shared" si="7"/>
        <v>97140</v>
      </c>
      <c r="H207" s="680">
        <v>11.07</v>
      </c>
      <c r="I207" s="680">
        <v>11.76</v>
      </c>
    </row>
    <row r="208" spans="2:9" ht="30">
      <c r="B208" s="396">
        <v>103089</v>
      </c>
      <c r="C208" s="401" t="s">
        <v>5988</v>
      </c>
      <c r="D208" s="396" t="s">
        <v>22</v>
      </c>
      <c r="E208" s="405">
        <f t="shared" si="6"/>
        <v>10</v>
      </c>
      <c r="F208">
        <f t="shared" si="7"/>
        <v>103089</v>
      </c>
      <c r="H208" s="679">
        <v>10</v>
      </c>
      <c r="I208" s="679">
        <v>10.51</v>
      </c>
    </row>
    <row r="209" spans="2:9" ht="30">
      <c r="B209" s="395">
        <v>103090</v>
      </c>
      <c r="C209" s="406" t="s">
        <v>5989</v>
      </c>
      <c r="D209" s="395" t="s">
        <v>22</v>
      </c>
      <c r="E209" s="407">
        <f t="shared" si="6"/>
        <v>11.92</v>
      </c>
      <c r="F209">
        <f t="shared" si="7"/>
        <v>103090</v>
      </c>
      <c r="H209" s="680">
        <v>11.92</v>
      </c>
      <c r="I209" s="680">
        <v>12.55</v>
      </c>
    </row>
    <row r="210" spans="2:9" ht="30">
      <c r="B210" s="396">
        <v>103091</v>
      </c>
      <c r="C210" s="401" t="s">
        <v>5990</v>
      </c>
      <c r="D210" s="396" t="s">
        <v>22</v>
      </c>
      <c r="E210" s="405">
        <f t="shared" si="6"/>
        <v>16.73</v>
      </c>
      <c r="F210">
        <f t="shared" si="7"/>
        <v>103091</v>
      </c>
      <c r="H210" s="679">
        <v>16.73</v>
      </c>
      <c r="I210" s="679">
        <v>17.64</v>
      </c>
    </row>
    <row r="211" spans="2:9" ht="30">
      <c r="B211" s="395">
        <v>103092</v>
      </c>
      <c r="C211" s="406" t="s">
        <v>5991</v>
      </c>
      <c r="D211" s="395" t="s">
        <v>22</v>
      </c>
      <c r="E211" s="407">
        <f t="shared" si="6"/>
        <v>21.55</v>
      </c>
      <c r="F211">
        <f t="shared" si="7"/>
        <v>103092</v>
      </c>
      <c r="H211" s="680">
        <v>21.55</v>
      </c>
      <c r="I211" s="680">
        <v>22.73</v>
      </c>
    </row>
    <row r="212" spans="2:9" ht="30">
      <c r="B212" s="396">
        <v>103093</v>
      </c>
      <c r="C212" s="401" t="s">
        <v>5992</v>
      </c>
      <c r="D212" s="396" t="s">
        <v>22</v>
      </c>
      <c r="E212" s="405">
        <f t="shared" si="6"/>
        <v>32.94</v>
      </c>
      <c r="F212">
        <f t="shared" si="7"/>
        <v>103093</v>
      </c>
      <c r="H212" s="679">
        <v>32.94</v>
      </c>
      <c r="I212" s="679">
        <v>34.76</v>
      </c>
    </row>
    <row r="213" spans="2:9" ht="30">
      <c r="B213" s="395">
        <v>103094</v>
      </c>
      <c r="C213" s="406" t="s">
        <v>5993</v>
      </c>
      <c r="D213" s="395" t="s">
        <v>22</v>
      </c>
      <c r="E213" s="407">
        <f t="shared" si="6"/>
        <v>37.78</v>
      </c>
      <c r="F213">
        <f t="shared" si="7"/>
        <v>103094</v>
      </c>
      <c r="H213" s="680">
        <v>37.78</v>
      </c>
      <c r="I213" s="680">
        <v>39.9</v>
      </c>
    </row>
    <row r="214" spans="2:9" ht="30">
      <c r="B214" s="396">
        <v>103095</v>
      </c>
      <c r="C214" s="401" t="s">
        <v>5994</v>
      </c>
      <c r="D214" s="396" t="s">
        <v>22</v>
      </c>
      <c r="E214" s="405">
        <f t="shared" si="6"/>
        <v>49.14</v>
      </c>
      <c r="F214">
        <f t="shared" si="7"/>
        <v>103095</v>
      </c>
      <c r="H214" s="679">
        <v>49.14</v>
      </c>
      <c r="I214" s="679">
        <v>51.89</v>
      </c>
    </row>
    <row r="215" spans="2:9" ht="30">
      <c r="B215" s="395">
        <v>103096</v>
      </c>
      <c r="C215" s="406" t="s">
        <v>5995</v>
      </c>
      <c r="D215" s="395" t="s">
        <v>22</v>
      </c>
      <c r="E215" s="407">
        <f t="shared" si="6"/>
        <v>53.98</v>
      </c>
      <c r="F215">
        <f t="shared" si="7"/>
        <v>103096</v>
      </c>
      <c r="H215" s="680">
        <v>53.98</v>
      </c>
      <c r="I215" s="680">
        <v>57</v>
      </c>
    </row>
    <row r="216" spans="2:9" ht="30">
      <c r="B216" s="396">
        <v>103097</v>
      </c>
      <c r="C216" s="401" t="s">
        <v>5996</v>
      </c>
      <c r="D216" s="396" t="s">
        <v>22</v>
      </c>
      <c r="E216" s="405">
        <f t="shared" si="6"/>
        <v>65.37</v>
      </c>
      <c r="F216">
        <f t="shared" si="7"/>
        <v>103097</v>
      </c>
      <c r="H216" s="679">
        <v>65.37</v>
      </c>
      <c r="I216" s="679">
        <v>69.010000000000005</v>
      </c>
    </row>
    <row r="217" spans="2:9" ht="30">
      <c r="B217" s="395">
        <v>103098</v>
      </c>
      <c r="C217" s="406" t="s">
        <v>5997</v>
      </c>
      <c r="D217" s="395" t="s">
        <v>22</v>
      </c>
      <c r="E217" s="407">
        <f t="shared" si="6"/>
        <v>70.2</v>
      </c>
      <c r="F217">
        <f t="shared" si="7"/>
        <v>103098</v>
      </c>
      <c r="H217" s="680">
        <v>70.2</v>
      </c>
      <c r="I217" s="680">
        <v>74.13</v>
      </c>
    </row>
    <row r="218" spans="2:9" ht="30">
      <c r="B218" s="396">
        <v>103099</v>
      </c>
      <c r="C218" s="401" t="s">
        <v>5998</v>
      </c>
      <c r="D218" s="396" t="s">
        <v>22</v>
      </c>
      <c r="E218" s="405">
        <f t="shared" si="6"/>
        <v>79.83</v>
      </c>
      <c r="F218">
        <f t="shared" si="7"/>
        <v>103099</v>
      </c>
      <c r="H218" s="679">
        <v>79.83</v>
      </c>
      <c r="I218" s="679">
        <v>84.33</v>
      </c>
    </row>
    <row r="219" spans="2:9" ht="30">
      <c r="B219" s="395">
        <v>103100</v>
      </c>
      <c r="C219" s="406" t="s">
        <v>5999</v>
      </c>
      <c r="D219" s="395" t="s">
        <v>22</v>
      </c>
      <c r="E219" s="407">
        <f t="shared" si="6"/>
        <v>85.17</v>
      </c>
      <c r="F219">
        <f t="shared" si="7"/>
        <v>103100</v>
      </c>
      <c r="H219" s="680">
        <v>85.17</v>
      </c>
      <c r="I219" s="680">
        <v>89.97</v>
      </c>
    </row>
    <row r="220" spans="2:9" ht="30">
      <c r="B220" s="396">
        <v>103101</v>
      </c>
      <c r="C220" s="401" t="s">
        <v>6000</v>
      </c>
      <c r="D220" s="396" t="s">
        <v>22</v>
      </c>
      <c r="E220" s="405">
        <f t="shared" si="6"/>
        <v>93.79</v>
      </c>
      <c r="F220">
        <f t="shared" si="7"/>
        <v>103101</v>
      </c>
      <c r="H220" s="679">
        <v>93.79</v>
      </c>
      <c r="I220" s="679">
        <v>99.09</v>
      </c>
    </row>
    <row r="221" spans="2:9" ht="30">
      <c r="B221" s="395">
        <v>103102</v>
      </c>
      <c r="C221" s="406" t="s">
        <v>6001</v>
      </c>
      <c r="D221" s="395" t="s">
        <v>22</v>
      </c>
      <c r="E221" s="407">
        <f t="shared" si="6"/>
        <v>107.99</v>
      </c>
      <c r="F221">
        <f t="shared" si="7"/>
        <v>103102</v>
      </c>
      <c r="H221" s="680">
        <v>107.99</v>
      </c>
      <c r="I221" s="680">
        <v>114.12</v>
      </c>
    </row>
    <row r="222" spans="2:9" ht="30">
      <c r="B222" s="396">
        <v>103103</v>
      </c>
      <c r="C222" s="401" t="s">
        <v>6002</v>
      </c>
      <c r="D222" s="396" t="s">
        <v>22</v>
      </c>
      <c r="E222" s="405">
        <f t="shared" si="6"/>
        <v>116.61</v>
      </c>
      <c r="F222">
        <f t="shared" si="7"/>
        <v>103103</v>
      </c>
      <c r="H222" s="679">
        <v>116.61</v>
      </c>
      <c r="I222" s="679">
        <v>123.25</v>
      </c>
    </row>
    <row r="223" spans="2:9" ht="30">
      <c r="B223" s="395">
        <v>103104</v>
      </c>
      <c r="C223" s="406" t="s">
        <v>6003</v>
      </c>
      <c r="D223" s="395" t="s">
        <v>22</v>
      </c>
      <c r="E223" s="407">
        <f t="shared" si="6"/>
        <v>139.44999999999999</v>
      </c>
      <c r="F223">
        <f t="shared" si="7"/>
        <v>103104</v>
      </c>
      <c r="H223" s="680">
        <v>139.44999999999999</v>
      </c>
      <c r="I223" s="680">
        <v>147.38</v>
      </c>
    </row>
    <row r="224" spans="2:9" ht="30">
      <c r="B224" s="396">
        <v>103105</v>
      </c>
      <c r="C224" s="401" t="s">
        <v>6004</v>
      </c>
      <c r="D224" s="396" t="s">
        <v>23</v>
      </c>
      <c r="E224" s="405">
        <f t="shared" si="6"/>
        <v>42.59</v>
      </c>
      <c r="F224">
        <f t="shared" si="7"/>
        <v>103105</v>
      </c>
      <c r="H224" s="679">
        <v>42.59</v>
      </c>
      <c r="I224" s="679">
        <v>44.33</v>
      </c>
    </row>
    <row r="225" spans="2:9" ht="30">
      <c r="B225" s="395">
        <v>103106</v>
      </c>
      <c r="C225" s="406" t="s">
        <v>6005</v>
      </c>
      <c r="D225" s="395" t="s">
        <v>23</v>
      </c>
      <c r="E225" s="407">
        <f t="shared" si="6"/>
        <v>50.71</v>
      </c>
      <c r="F225">
        <f t="shared" si="7"/>
        <v>103106</v>
      </c>
      <c r="H225" s="680">
        <v>50.71</v>
      </c>
      <c r="I225" s="680">
        <v>52.87</v>
      </c>
    </row>
    <row r="226" spans="2:9" ht="30">
      <c r="B226" s="396">
        <v>103107</v>
      </c>
      <c r="C226" s="401" t="s">
        <v>6006</v>
      </c>
      <c r="D226" s="396" t="s">
        <v>23</v>
      </c>
      <c r="E226" s="405">
        <f t="shared" si="6"/>
        <v>70.98</v>
      </c>
      <c r="F226">
        <f t="shared" si="7"/>
        <v>103107</v>
      </c>
      <c r="H226" s="679">
        <v>70.98</v>
      </c>
      <c r="I226" s="679">
        <v>74.23</v>
      </c>
    </row>
    <row r="227" spans="2:9" ht="30">
      <c r="B227" s="395">
        <v>103108</v>
      </c>
      <c r="C227" s="406" t="s">
        <v>6007</v>
      </c>
      <c r="D227" s="395" t="s">
        <v>23</v>
      </c>
      <c r="E227" s="407">
        <f t="shared" si="6"/>
        <v>91.26</v>
      </c>
      <c r="F227">
        <f t="shared" si="7"/>
        <v>103108</v>
      </c>
      <c r="H227" s="680">
        <v>91.26</v>
      </c>
      <c r="I227" s="680">
        <v>95.6</v>
      </c>
    </row>
    <row r="228" spans="2:9" ht="30">
      <c r="B228" s="396">
        <v>103109</v>
      </c>
      <c r="C228" s="401" t="s">
        <v>6008</v>
      </c>
      <c r="D228" s="396" t="s">
        <v>23</v>
      </c>
      <c r="E228" s="405">
        <f t="shared" si="6"/>
        <v>149.62</v>
      </c>
      <c r="F228">
        <f t="shared" si="7"/>
        <v>103109</v>
      </c>
      <c r="H228" s="679">
        <v>149.62</v>
      </c>
      <c r="I228" s="679">
        <v>157.11000000000001</v>
      </c>
    </row>
    <row r="229" spans="2:9" ht="30">
      <c r="B229" s="395">
        <v>103110</v>
      </c>
      <c r="C229" s="406" t="s">
        <v>6009</v>
      </c>
      <c r="D229" s="395" t="s">
        <v>23</v>
      </c>
      <c r="E229" s="407">
        <f t="shared" si="6"/>
        <v>169.89</v>
      </c>
      <c r="F229">
        <f t="shared" si="7"/>
        <v>103110</v>
      </c>
      <c r="H229" s="680">
        <v>169.89</v>
      </c>
      <c r="I229" s="680">
        <v>178.49</v>
      </c>
    </row>
    <row r="230" spans="2:9" ht="30">
      <c r="B230" s="396">
        <v>103111</v>
      </c>
      <c r="C230" s="401" t="s">
        <v>6010</v>
      </c>
      <c r="D230" s="396" t="s">
        <v>23</v>
      </c>
      <c r="E230" s="405">
        <f t="shared" si="6"/>
        <v>228.25</v>
      </c>
      <c r="F230">
        <f t="shared" si="7"/>
        <v>103111</v>
      </c>
      <c r="H230" s="679">
        <v>228.25</v>
      </c>
      <c r="I230" s="679">
        <v>239.98</v>
      </c>
    </row>
    <row r="231" spans="2:9" ht="30">
      <c r="B231" s="395">
        <v>103112</v>
      </c>
      <c r="C231" s="406" t="s">
        <v>6011</v>
      </c>
      <c r="D231" s="395" t="s">
        <v>23</v>
      </c>
      <c r="E231" s="407">
        <f t="shared" si="6"/>
        <v>248.52</v>
      </c>
      <c r="F231">
        <f t="shared" si="7"/>
        <v>103112</v>
      </c>
      <c r="H231" s="680">
        <v>248.52</v>
      </c>
      <c r="I231" s="680">
        <v>261.33999999999997</v>
      </c>
    </row>
    <row r="232" spans="2:9" ht="30">
      <c r="B232" s="396">
        <v>103113</v>
      </c>
      <c r="C232" s="401" t="s">
        <v>6012</v>
      </c>
      <c r="D232" s="396" t="s">
        <v>23</v>
      </c>
      <c r="E232" s="405">
        <f t="shared" si="6"/>
        <v>306.88</v>
      </c>
      <c r="F232">
        <f t="shared" si="7"/>
        <v>103113</v>
      </c>
      <c r="H232" s="679">
        <v>306.88</v>
      </c>
      <c r="I232" s="679">
        <v>322.86</v>
      </c>
    </row>
    <row r="233" spans="2:9" ht="30">
      <c r="B233" s="395">
        <v>103114</v>
      </c>
      <c r="C233" s="406" t="s">
        <v>6013</v>
      </c>
      <c r="D233" s="395" t="s">
        <v>23</v>
      </c>
      <c r="E233" s="407">
        <f t="shared" si="6"/>
        <v>327.14999999999998</v>
      </c>
      <c r="F233">
        <f t="shared" si="7"/>
        <v>103114</v>
      </c>
      <c r="H233" s="680">
        <v>327.14999999999998</v>
      </c>
      <c r="I233" s="680">
        <v>344.22</v>
      </c>
    </row>
    <row r="234" spans="2:9" ht="30">
      <c r="B234" s="396">
        <v>103115</v>
      </c>
      <c r="C234" s="401" t="s">
        <v>6014</v>
      </c>
      <c r="D234" s="396" t="s">
        <v>23</v>
      </c>
      <c r="E234" s="405">
        <f t="shared" si="6"/>
        <v>367.69</v>
      </c>
      <c r="F234">
        <f t="shared" si="7"/>
        <v>103115</v>
      </c>
      <c r="H234" s="679">
        <v>367.69</v>
      </c>
      <c r="I234" s="679">
        <v>386.94</v>
      </c>
    </row>
    <row r="235" spans="2:9" ht="30">
      <c r="B235" s="395">
        <v>103116</v>
      </c>
      <c r="C235" s="406" t="s">
        <v>6015</v>
      </c>
      <c r="D235" s="395" t="s">
        <v>23</v>
      </c>
      <c r="E235" s="407">
        <f t="shared" si="6"/>
        <v>446.33</v>
      </c>
      <c r="F235">
        <f t="shared" si="7"/>
        <v>103116</v>
      </c>
      <c r="H235" s="680">
        <v>446.33</v>
      </c>
      <c r="I235" s="680">
        <v>469.82</v>
      </c>
    </row>
    <row r="236" spans="2:9" ht="30">
      <c r="B236" s="396">
        <v>103117</v>
      </c>
      <c r="C236" s="401" t="s">
        <v>6016</v>
      </c>
      <c r="D236" s="396" t="s">
        <v>23</v>
      </c>
      <c r="E236" s="405">
        <f t="shared" si="6"/>
        <v>486.87</v>
      </c>
      <c r="F236">
        <f t="shared" si="7"/>
        <v>103117</v>
      </c>
      <c r="H236" s="679">
        <v>486.87</v>
      </c>
      <c r="I236" s="679">
        <v>512.55999999999995</v>
      </c>
    </row>
    <row r="237" spans="2:9" ht="30">
      <c r="B237" s="395">
        <v>103118</v>
      </c>
      <c r="C237" s="406" t="s">
        <v>6017</v>
      </c>
      <c r="D237" s="395" t="s">
        <v>23</v>
      </c>
      <c r="E237" s="407">
        <f t="shared" si="6"/>
        <v>565.5</v>
      </c>
      <c r="F237">
        <f t="shared" si="7"/>
        <v>103118</v>
      </c>
      <c r="H237" s="680">
        <v>565.5</v>
      </c>
      <c r="I237" s="680">
        <v>595.41</v>
      </c>
    </row>
    <row r="238" spans="2:9" ht="30">
      <c r="B238" s="396">
        <v>103119</v>
      </c>
      <c r="C238" s="401" t="s">
        <v>6018</v>
      </c>
      <c r="D238" s="396" t="s">
        <v>23</v>
      </c>
      <c r="E238" s="405">
        <f t="shared" si="6"/>
        <v>606.04999999999995</v>
      </c>
      <c r="F238">
        <f t="shared" si="7"/>
        <v>103119</v>
      </c>
      <c r="H238" s="679">
        <v>606.04999999999995</v>
      </c>
      <c r="I238" s="679">
        <v>638.14</v>
      </c>
    </row>
    <row r="239" spans="2:9" ht="30">
      <c r="B239" s="395">
        <v>103120</v>
      </c>
      <c r="C239" s="406" t="s">
        <v>6019</v>
      </c>
      <c r="D239" s="395" t="s">
        <v>23</v>
      </c>
      <c r="E239" s="407">
        <f t="shared" si="6"/>
        <v>725.22</v>
      </c>
      <c r="F239">
        <f t="shared" si="7"/>
        <v>103120</v>
      </c>
      <c r="H239" s="680">
        <v>725.22</v>
      </c>
      <c r="I239" s="680">
        <v>763.75</v>
      </c>
    </row>
    <row r="240" spans="2:9" ht="30">
      <c r="B240" s="396">
        <v>103121</v>
      </c>
      <c r="C240" s="401" t="s">
        <v>6020</v>
      </c>
      <c r="D240" s="396" t="s">
        <v>23</v>
      </c>
      <c r="E240" s="405">
        <f t="shared" si="6"/>
        <v>55.73</v>
      </c>
      <c r="F240">
        <f t="shared" si="7"/>
        <v>103121</v>
      </c>
      <c r="H240" s="679">
        <v>55.73</v>
      </c>
      <c r="I240" s="679">
        <v>58.16</v>
      </c>
    </row>
    <row r="241" spans="2:9" ht="30">
      <c r="B241" s="395">
        <v>103122</v>
      </c>
      <c r="C241" s="406" t="s">
        <v>6021</v>
      </c>
      <c r="D241" s="395" t="s">
        <v>23</v>
      </c>
      <c r="E241" s="407">
        <f t="shared" si="6"/>
        <v>67.89</v>
      </c>
      <c r="F241">
        <f t="shared" si="7"/>
        <v>103122</v>
      </c>
      <c r="H241" s="680">
        <v>67.89</v>
      </c>
      <c r="I241" s="680">
        <v>70.989999999999995</v>
      </c>
    </row>
    <row r="242" spans="2:9" ht="30">
      <c r="B242" s="396">
        <v>103123</v>
      </c>
      <c r="C242" s="401" t="s">
        <v>6022</v>
      </c>
      <c r="D242" s="396" t="s">
        <v>23</v>
      </c>
      <c r="E242" s="405">
        <f t="shared" si="6"/>
        <v>98.31</v>
      </c>
      <c r="F242">
        <f t="shared" si="7"/>
        <v>103123</v>
      </c>
      <c r="H242" s="679">
        <v>98.31</v>
      </c>
      <c r="I242" s="679">
        <v>103.03</v>
      </c>
    </row>
    <row r="243" spans="2:9" ht="30">
      <c r="B243" s="395">
        <v>103124</v>
      </c>
      <c r="C243" s="406" t="s">
        <v>6023</v>
      </c>
      <c r="D243" s="395" t="s">
        <v>23</v>
      </c>
      <c r="E243" s="407">
        <f t="shared" si="6"/>
        <v>128.71</v>
      </c>
      <c r="F243">
        <f t="shared" si="7"/>
        <v>103124</v>
      </c>
      <c r="H243" s="680">
        <v>128.71</v>
      </c>
      <c r="I243" s="680">
        <v>135.06</v>
      </c>
    </row>
    <row r="244" spans="2:9" ht="30">
      <c r="B244" s="396">
        <v>103125</v>
      </c>
      <c r="C244" s="401" t="s">
        <v>6024</v>
      </c>
      <c r="D244" s="396" t="s">
        <v>23</v>
      </c>
      <c r="E244" s="405">
        <f t="shared" si="6"/>
        <v>216.24</v>
      </c>
      <c r="F244">
        <f t="shared" si="7"/>
        <v>103125</v>
      </c>
      <c r="H244" s="679">
        <v>216.24</v>
      </c>
      <c r="I244" s="679">
        <v>227.33</v>
      </c>
    </row>
    <row r="245" spans="2:9" ht="30">
      <c r="B245" s="395">
        <v>103126</v>
      </c>
      <c r="C245" s="406" t="s">
        <v>6025</v>
      </c>
      <c r="D245" s="395" t="s">
        <v>23</v>
      </c>
      <c r="E245" s="407">
        <f t="shared" si="6"/>
        <v>246.65</v>
      </c>
      <c r="F245">
        <f t="shared" si="7"/>
        <v>103126</v>
      </c>
      <c r="H245" s="680">
        <v>246.65</v>
      </c>
      <c r="I245" s="680">
        <v>259.38</v>
      </c>
    </row>
    <row r="246" spans="2:9" ht="30">
      <c r="B246" s="396">
        <v>103127</v>
      </c>
      <c r="C246" s="401" t="s">
        <v>6026</v>
      </c>
      <c r="D246" s="396" t="s">
        <v>23</v>
      </c>
      <c r="E246" s="405">
        <f t="shared" si="6"/>
        <v>334.21</v>
      </c>
      <c r="F246">
        <f t="shared" si="7"/>
        <v>103127</v>
      </c>
      <c r="H246" s="679">
        <v>334.21</v>
      </c>
      <c r="I246" s="679">
        <v>351.66</v>
      </c>
    </row>
    <row r="247" spans="2:9" ht="30">
      <c r="B247" s="395">
        <v>103128</v>
      </c>
      <c r="C247" s="406" t="s">
        <v>6027</v>
      </c>
      <c r="D247" s="395" t="s">
        <v>23</v>
      </c>
      <c r="E247" s="407">
        <f t="shared" si="6"/>
        <v>364.6</v>
      </c>
      <c r="F247">
        <f t="shared" si="7"/>
        <v>103128</v>
      </c>
      <c r="H247" s="680">
        <v>364.6</v>
      </c>
      <c r="I247" s="680">
        <v>383.69</v>
      </c>
    </row>
    <row r="248" spans="2:9" ht="30">
      <c r="B248" s="396">
        <v>103129</v>
      </c>
      <c r="C248" s="401" t="s">
        <v>6028</v>
      </c>
      <c r="D248" s="396" t="s">
        <v>23</v>
      </c>
      <c r="E248" s="405">
        <f t="shared" si="6"/>
        <v>452.16</v>
      </c>
      <c r="F248">
        <f t="shared" si="7"/>
        <v>103129</v>
      </c>
      <c r="H248" s="679">
        <v>452.16</v>
      </c>
      <c r="I248" s="679">
        <v>475.96</v>
      </c>
    </row>
    <row r="249" spans="2:9" ht="30">
      <c r="B249" s="395">
        <v>103130</v>
      </c>
      <c r="C249" s="406" t="s">
        <v>6029</v>
      </c>
      <c r="D249" s="395" t="s">
        <v>23</v>
      </c>
      <c r="E249" s="407">
        <f t="shared" si="6"/>
        <v>482.54</v>
      </c>
      <c r="F249">
        <f t="shared" si="7"/>
        <v>103130</v>
      </c>
      <c r="H249" s="680">
        <v>482.54</v>
      </c>
      <c r="I249" s="680">
        <v>507.99</v>
      </c>
    </row>
    <row r="250" spans="2:9" ht="30">
      <c r="B250" s="396">
        <v>103131</v>
      </c>
      <c r="C250" s="401" t="s">
        <v>6030</v>
      </c>
      <c r="D250" s="396" t="s">
        <v>23</v>
      </c>
      <c r="E250" s="405">
        <f t="shared" si="6"/>
        <v>543.36</v>
      </c>
      <c r="F250">
        <f t="shared" si="7"/>
        <v>103131</v>
      </c>
      <c r="H250" s="679">
        <v>543.36</v>
      </c>
      <c r="I250" s="679">
        <v>572.08000000000004</v>
      </c>
    </row>
    <row r="251" spans="2:9" ht="30">
      <c r="B251" s="395">
        <v>103132</v>
      </c>
      <c r="C251" s="406" t="s">
        <v>6031</v>
      </c>
      <c r="D251" s="395" t="s">
        <v>23</v>
      </c>
      <c r="E251" s="407">
        <f t="shared" si="6"/>
        <v>661.31</v>
      </c>
      <c r="F251">
        <f t="shared" si="7"/>
        <v>103132</v>
      </c>
      <c r="H251" s="680">
        <v>661.31</v>
      </c>
      <c r="I251" s="680">
        <v>696.39</v>
      </c>
    </row>
    <row r="252" spans="2:9" ht="30">
      <c r="B252" s="396">
        <v>103133</v>
      </c>
      <c r="C252" s="401" t="s">
        <v>6032</v>
      </c>
      <c r="D252" s="396" t="s">
        <v>23</v>
      </c>
      <c r="E252" s="405">
        <f t="shared" si="6"/>
        <v>722.12</v>
      </c>
      <c r="F252">
        <f t="shared" si="7"/>
        <v>103133</v>
      </c>
      <c r="H252" s="679">
        <v>722.12</v>
      </c>
      <c r="I252" s="679">
        <v>760.48</v>
      </c>
    </row>
    <row r="253" spans="2:9" ht="30">
      <c r="B253" s="395">
        <v>103134</v>
      </c>
      <c r="C253" s="406" t="s">
        <v>6033</v>
      </c>
      <c r="D253" s="395" t="s">
        <v>23</v>
      </c>
      <c r="E253" s="407">
        <f t="shared" si="6"/>
        <v>840.07</v>
      </c>
      <c r="F253">
        <f t="shared" si="7"/>
        <v>103134</v>
      </c>
      <c r="H253" s="680">
        <v>840.07</v>
      </c>
      <c r="I253" s="680">
        <v>884.79</v>
      </c>
    </row>
    <row r="254" spans="2:9" ht="30">
      <c r="B254" s="396">
        <v>103135</v>
      </c>
      <c r="C254" s="401" t="s">
        <v>6034</v>
      </c>
      <c r="D254" s="396" t="s">
        <v>23</v>
      </c>
      <c r="E254" s="405">
        <f t="shared" si="6"/>
        <v>900.89</v>
      </c>
      <c r="F254">
        <f t="shared" si="7"/>
        <v>103135</v>
      </c>
      <c r="H254" s="679">
        <v>900.89</v>
      </c>
      <c r="I254" s="679">
        <v>948.89</v>
      </c>
    </row>
    <row r="255" spans="2:9" ht="30">
      <c r="B255" s="395">
        <v>103136</v>
      </c>
      <c r="C255" s="406" t="s">
        <v>6035</v>
      </c>
      <c r="D255" s="395" t="s">
        <v>23</v>
      </c>
      <c r="E255" s="407">
        <f t="shared" si="6"/>
        <v>1079.6400000000001</v>
      </c>
      <c r="F255">
        <f t="shared" si="7"/>
        <v>103136</v>
      </c>
      <c r="H255" s="680">
        <v>1079.6400000000001</v>
      </c>
      <c r="I255" s="680">
        <v>1137.29</v>
      </c>
    </row>
    <row r="256" spans="2:9" ht="30">
      <c r="B256" s="396">
        <v>103137</v>
      </c>
      <c r="C256" s="401" t="s">
        <v>6036</v>
      </c>
      <c r="D256" s="396" t="s">
        <v>23</v>
      </c>
      <c r="E256" s="405">
        <f t="shared" si="6"/>
        <v>29.5</v>
      </c>
      <c r="F256">
        <f t="shared" si="7"/>
        <v>103137</v>
      </c>
      <c r="H256" s="679">
        <v>29.5</v>
      </c>
      <c r="I256" s="679">
        <v>30.52</v>
      </c>
    </row>
    <row r="257" spans="2:9" ht="30">
      <c r="B257" s="395">
        <v>103138</v>
      </c>
      <c r="C257" s="406" t="s">
        <v>6037</v>
      </c>
      <c r="D257" s="395" t="s">
        <v>23</v>
      </c>
      <c r="E257" s="407">
        <f t="shared" si="6"/>
        <v>33.53</v>
      </c>
      <c r="F257">
        <f t="shared" si="7"/>
        <v>103138</v>
      </c>
      <c r="H257" s="680">
        <v>33.53</v>
      </c>
      <c r="I257" s="680">
        <v>34.770000000000003</v>
      </c>
    </row>
    <row r="258" spans="2:9" ht="30">
      <c r="B258" s="396">
        <v>103139</v>
      </c>
      <c r="C258" s="401" t="s">
        <v>6038</v>
      </c>
      <c r="D258" s="396" t="s">
        <v>23</v>
      </c>
      <c r="E258" s="405">
        <f t="shared" si="6"/>
        <v>43.68</v>
      </c>
      <c r="F258">
        <f t="shared" si="7"/>
        <v>103139</v>
      </c>
      <c r="H258" s="679">
        <v>43.68</v>
      </c>
      <c r="I258" s="679">
        <v>45.47</v>
      </c>
    </row>
    <row r="259" spans="2:9" ht="30">
      <c r="B259" s="395">
        <v>103140</v>
      </c>
      <c r="C259" s="406" t="s">
        <v>6039</v>
      </c>
      <c r="D259" s="395" t="s">
        <v>23</v>
      </c>
      <c r="E259" s="407">
        <f t="shared" ref="E259:E322" si="8">IF($K$2=$H$1,H259,I259)</f>
        <v>53.81</v>
      </c>
      <c r="F259">
        <f t="shared" ref="F259:F322" si="9">IF(LEN($B259)=7,CONCATENATE(MID($B259,1,6),"00",RIGHT($B259,1)),IF(LEN($B259)=8,CONCATENATE(MID($B259,1,6),"0",RIGHT($B259,2)),$B259))</f>
        <v>103140</v>
      </c>
      <c r="H259" s="680">
        <v>53.81</v>
      </c>
      <c r="I259" s="680">
        <v>56.15</v>
      </c>
    </row>
    <row r="260" spans="2:9" ht="30">
      <c r="B260" s="396">
        <v>103141</v>
      </c>
      <c r="C260" s="401" t="s">
        <v>6040</v>
      </c>
      <c r="D260" s="396" t="s">
        <v>23</v>
      </c>
      <c r="E260" s="405">
        <f t="shared" si="8"/>
        <v>83</v>
      </c>
      <c r="F260">
        <f t="shared" si="9"/>
        <v>103141</v>
      </c>
      <c r="H260" s="679">
        <v>83</v>
      </c>
      <c r="I260" s="679">
        <v>86.9</v>
      </c>
    </row>
    <row r="261" spans="2:9" ht="30">
      <c r="B261" s="395">
        <v>103142</v>
      </c>
      <c r="C261" s="406" t="s">
        <v>6041</v>
      </c>
      <c r="D261" s="395" t="s">
        <v>23</v>
      </c>
      <c r="E261" s="407">
        <f t="shared" si="8"/>
        <v>93.12</v>
      </c>
      <c r="F261">
        <f t="shared" si="9"/>
        <v>103142</v>
      </c>
      <c r="H261" s="680">
        <v>93.12</v>
      </c>
      <c r="I261" s="680">
        <v>97.58</v>
      </c>
    </row>
    <row r="262" spans="2:9" ht="30">
      <c r="B262" s="396">
        <v>103143</v>
      </c>
      <c r="C262" s="401" t="s">
        <v>6042</v>
      </c>
      <c r="D262" s="396" t="s">
        <v>23</v>
      </c>
      <c r="E262" s="405">
        <f t="shared" si="8"/>
        <v>122.32</v>
      </c>
      <c r="F262">
        <f t="shared" si="9"/>
        <v>103143</v>
      </c>
      <c r="H262" s="679">
        <v>122.32</v>
      </c>
      <c r="I262" s="679">
        <v>128.34</v>
      </c>
    </row>
    <row r="263" spans="2:9" ht="30">
      <c r="B263" s="395">
        <v>103144</v>
      </c>
      <c r="C263" s="406" t="s">
        <v>6043</v>
      </c>
      <c r="D263" s="395" t="s">
        <v>23</v>
      </c>
      <c r="E263" s="407">
        <f t="shared" si="8"/>
        <v>132.44</v>
      </c>
      <c r="F263">
        <f t="shared" si="9"/>
        <v>103144</v>
      </c>
      <c r="H263" s="680">
        <v>132.44</v>
      </c>
      <c r="I263" s="680">
        <v>139</v>
      </c>
    </row>
    <row r="264" spans="2:9" ht="30">
      <c r="B264" s="396">
        <v>103145</v>
      </c>
      <c r="C264" s="401" t="s">
        <v>6044</v>
      </c>
      <c r="D264" s="396" t="s">
        <v>23</v>
      </c>
      <c r="E264" s="405">
        <f t="shared" si="8"/>
        <v>161.63</v>
      </c>
      <c r="F264">
        <f t="shared" si="9"/>
        <v>103145</v>
      </c>
      <c r="H264" s="679">
        <v>161.63</v>
      </c>
      <c r="I264" s="679">
        <v>169.78</v>
      </c>
    </row>
    <row r="265" spans="2:9" ht="30">
      <c r="B265" s="395">
        <v>103146</v>
      </c>
      <c r="C265" s="406" t="s">
        <v>6045</v>
      </c>
      <c r="D265" s="395" t="s">
        <v>23</v>
      </c>
      <c r="E265" s="407">
        <f t="shared" si="8"/>
        <v>171.76</v>
      </c>
      <c r="F265">
        <f t="shared" si="9"/>
        <v>103146</v>
      </c>
      <c r="H265" s="680">
        <v>171.76</v>
      </c>
      <c r="I265" s="680">
        <v>180.44</v>
      </c>
    </row>
    <row r="266" spans="2:9" ht="30">
      <c r="B266" s="396">
        <v>103147</v>
      </c>
      <c r="C266" s="401" t="s">
        <v>6046</v>
      </c>
      <c r="D266" s="396" t="s">
        <v>23</v>
      </c>
      <c r="E266" s="405">
        <f t="shared" si="8"/>
        <v>192.04</v>
      </c>
      <c r="F266">
        <f t="shared" si="9"/>
        <v>103147</v>
      </c>
      <c r="H266" s="679">
        <v>192.04</v>
      </c>
      <c r="I266" s="679">
        <v>201.82</v>
      </c>
    </row>
    <row r="267" spans="2:9" ht="30">
      <c r="B267" s="395">
        <v>103148</v>
      </c>
      <c r="C267" s="406" t="s">
        <v>6047</v>
      </c>
      <c r="D267" s="395" t="s">
        <v>23</v>
      </c>
      <c r="E267" s="407">
        <f t="shared" si="8"/>
        <v>231.34</v>
      </c>
      <c r="F267">
        <f t="shared" si="9"/>
        <v>103148</v>
      </c>
      <c r="H267" s="680">
        <v>231.34</v>
      </c>
      <c r="I267" s="680">
        <v>243.25</v>
      </c>
    </row>
    <row r="268" spans="2:9" ht="30">
      <c r="B268" s="396">
        <v>103149</v>
      </c>
      <c r="C268" s="401" t="s">
        <v>6048</v>
      </c>
      <c r="D268" s="396" t="s">
        <v>23</v>
      </c>
      <c r="E268" s="405">
        <f t="shared" si="8"/>
        <v>251.62</v>
      </c>
      <c r="F268">
        <f t="shared" si="9"/>
        <v>103149</v>
      </c>
      <c r="H268" s="679">
        <v>251.62</v>
      </c>
      <c r="I268" s="679">
        <v>264.61</v>
      </c>
    </row>
    <row r="269" spans="2:9" ht="30">
      <c r="B269" s="395">
        <v>103150</v>
      </c>
      <c r="C269" s="406" t="s">
        <v>6049</v>
      </c>
      <c r="D269" s="395" t="s">
        <v>23</v>
      </c>
      <c r="E269" s="407">
        <f t="shared" si="8"/>
        <v>290.89</v>
      </c>
      <c r="F269">
        <f t="shared" si="9"/>
        <v>103150</v>
      </c>
      <c r="H269" s="680">
        <v>290.89</v>
      </c>
      <c r="I269" s="680">
        <v>305.99</v>
      </c>
    </row>
    <row r="270" spans="2:9" ht="30">
      <c r="B270" s="396">
        <v>103151</v>
      </c>
      <c r="C270" s="401" t="s">
        <v>6050</v>
      </c>
      <c r="D270" s="396" t="s">
        <v>23</v>
      </c>
      <c r="E270" s="405">
        <f t="shared" si="8"/>
        <v>311.2</v>
      </c>
      <c r="F270">
        <f t="shared" si="9"/>
        <v>103151</v>
      </c>
      <c r="H270" s="679">
        <v>311.2</v>
      </c>
      <c r="I270" s="679">
        <v>327.39999999999998</v>
      </c>
    </row>
    <row r="271" spans="2:9" ht="30">
      <c r="B271" s="395">
        <v>103152</v>
      </c>
      <c r="C271" s="406" t="s">
        <v>6051</v>
      </c>
      <c r="D271" s="395" t="s">
        <v>23</v>
      </c>
      <c r="E271" s="407">
        <f t="shared" si="8"/>
        <v>370.79</v>
      </c>
      <c r="F271">
        <f t="shared" si="9"/>
        <v>103152</v>
      </c>
      <c r="H271" s="680">
        <v>370.79</v>
      </c>
      <c r="I271" s="680">
        <v>390.22</v>
      </c>
    </row>
    <row r="272" spans="2:9" ht="30">
      <c r="B272" s="396">
        <v>103372</v>
      </c>
      <c r="C272" s="401" t="s">
        <v>6300</v>
      </c>
      <c r="D272" s="396" t="s">
        <v>22</v>
      </c>
      <c r="E272" s="405">
        <f t="shared" si="8"/>
        <v>5.83</v>
      </c>
      <c r="F272">
        <f t="shared" si="9"/>
        <v>103372</v>
      </c>
      <c r="H272" s="679">
        <v>5.83</v>
      </c>
      <c r="I272" s="679">
        <v>5.85</v>
      </c>
    </row>
    <row r="273" spans="2:9" ht="30">
      <c r="B273" s="395">
        <v>103373</v>
      </c>
      <c r="C273" s="406" t="s">
        <v>6301</v>
      </c>
      <c r="D273" s="395" t="s">
        <v>22</v>
      </c>
      <c r="E273" s="407">
        <f t="shared" si="8"/>
        <v>11.44</v>
      </c>
      <c r="F273">
        <f t="shared" si="9"/>
        <v>103373</v>
      </c>
      <c r="H273" s="680">
        <v>11.44</v>
      </c>
      <c r="I273" s="680">
        <v>11.48</v>
      </c>
    </row>
    <row r="274" spans="2:9" ht="30">
      <c r="B274" s="396">
        <v>103376</v>
      </c>
      <c r="C274" s="401" t="s">
        <v>6302</v>
      </c>
      <c r="D274" s="396" t="s">
        <v>22</v>
      </c>
      <c r="E274" s="405">
        <f t="shared" si="8"/>
        <v>137.29</v>
      </c>
      <c r="F274">
        <f t="shared" si="9"/>
        <v>103376</v>
      </c>
      <c r="H274" s="679">
        <v>137.29</v>
      </c>
      <c r="I274" s="679">
        <v>137.4</v>
      </c>
    </row>
    <row r="275" spans="2:9" ht="30">
      <c r="B275" s="395">
        <v>103377</v>
      </c>
      <c r="C275" s="406" t="s">
        <v>6303</v>
      </c>
      <c r="D275" s="395" t="s">
        <v>22</v>
      </c>
      <c r="E275" s="407">
        <f t="shared" si="8"/>
        <v>294.02999999999997</v>
      </c>
      <c r="F275">
        <f t="shared" si="9"/>
        <v>103377</v>
      </c>
      <c r="H275" s="680">
        <v>294.02999999999997</v>
      </c>
      <c r="I275" s="680">
        <v>294.19</v>
      </c>
    </row>
    <row r="276" spans="2:9" ht="30">
      <c r="B276" s="396">
        <v>103379</v>
      </c>
      <c r="C276" s="401" t="s">
        <v>6304</v>
      </c>
      <c r="D276" s="396" t="s">
        <v>22</v>
      </c>
      <c r="E276" s="405">
        <f t="shared" si="8"/>
        <v>457.92</v>
      </c>
      <c r="F276">
        <f t="shared" si="9"/>
        <v>103379</v>
      </c>
      <c r="H276" s="679">
        <v>457.92</v>
      </c>
      <c r="I276" s="679">
        <v>458.12</v>
      </c>
    </row>
    <row r="277" spans="2:9" ht="30">
      <c r="B277" s="395">
        <v>103383</v>
      </c>
      <c r="C277" s="406" t="s">
        <v>6305</v>
      </c>
      <c r="D277" s="395" t="s">
        <v>22</v>
      </c>
      <c r="E277" s="407">
        <f t="shared" si="8"/>
        <v>1122.95</v>
      </c>
      <c r="F277">
        <f t="shared" si="9"/>
        <v>103383</v>
      </c>
      <c r="H277" s="680">
        <v>1122.95</v>
      </c>
      <c r="I277" s="680">
        <v>1123.1300000000001</v>
      </c>
    </row>
    <row r="278" spans="2:9" ht="30">
      <c r="B278" s="396">
        <v>103385</v>
      </c>
      <c r="C278" s="401" t="s">
        <v>6306</v>
      </c>
      <c r="D278" s="396" t="s">
        <v>22</v>
      </c>
      <c r="E278" s="405">
        <f t="shared" si="8"/>
        <v>1810.3</v>
      </c>
      <c r="F278">
        <f t="shared" si="9"/>
        <v>103385</v>
      </c>
      <c r="H278" s="679">
        <v>1810.3</v>
      </c>
      <c r="I278" s="679">
        <v>1810.64</v>
      </c>
    </row>
    <row r="279" spans="2:9" ht="30">
      <c r="B279" s="395">
        <v>103387</v>
      </c>
      <c r="C279" s="406" t="s">
        <v>6307</v>
      </c>
      <c r="D279" s="395" t="s">
        <v>22</v>
      </c>
      <c r="E279" s="407">
        <f t="shared" si="8"/>
        <v>3176.23</v>
      </c>
      <c r="F279">
        <f t="shared" si="9"/>
        <v>103387</v>
      </c>
      <c r="H279" s="680">
        <v>3176.23</v>
      </c>
      <c r="I279" s="680">
        <v>3176.76</v>
      </c>
    </row>
    <row r="280" spans="2:9" ht="30">
      <c r="B280" s="396">
        <v>103389</v>
      </c>
      <c r="C280" s="401" t="s">
        <v>6308</v>
      </c>
      <c r="D280" s="396" t="s">
        <v>22</v>
      </c>
      <c r="E280" s="405">
        <f t="shared" si="8"/>
        <v>4723.6499999999996</v>
      </c>
      <c r="F280">
        <f t="shared" si="9"/>
        <v>103389</v>
      </c>
      <c r="H280" s="679">
        <v>4723.6499999999996</v>
      </c>
      <c r="I280" s="679">
        <v>4724.42</v>
      </c>
    </row>
    <row r="281" spans="2:9" ht="30">
      <c r="B281" s="395">
        <v>103391</v>
      </c>
      <c r="C281" s="406" t="s">
        <v>6309</v>
      </c>
      <c r="D281" s="395" t="s">
        <v>22</v>
      </c>
      <c r="E281" s="407">
        <f t="shared" si="8"/>
        <v>3108.33</v>
      </c>
      <c r="F281">
        <f t="shared" si="9"/>
        <v>103391</v>
      </c>
      <c r="H281" s="680">
        <v>3108.33</v>
      </c>
      <c r="I281" s="680">
        <v>3109.42</v>
      </c>
    </row>
    <row r="282" spans="2:9" ht="30">
      <c r="B282" s="396">
        <v>103392</v>
      </c>
      <c r="C282" s="401" t="s">
        <v>6310</v>
      </c>
      <c r="D282" s="396" t="s">
        <v>22</v>
      </c>
      <c r="E282" s="405">
        <f t="shared" si="8"/>
        <v>5083.5</v>
      </c>
      <c r="F282">
        <f t="shared" si="9"/>
        <v>103392</v>
      </c>
      <c r="H282" s="679">
        <v>5083.5</v>
      </c>
      <c r="I282" s="679">
        <v>5084.79</v>
      </c>
    </row>
    <row r="283" spans="2:9" ht="30">
      <c r="B283" s="395">
        <v>103393</v>
      </c>
      <c r="C283" s="406" t="s">
        <v>6311</v>
      </c>
      <c r="D283" s="395" t="s">
        <v>22</v>
      </c>
      <c r="E283" s="407">
        <f t="shared" si="8"/>
        <v>5606.53</v>
      </c>
      <c r="F283">
        <f t="shared" si="9"/>
        <v>103393</v>
      </c>
      <c r="H283" s="680">
        <v>5606.53</v>
      </c>
      <c r="I283" s="680">
        <v>5607.99</v>
      </c>
    </row>
    <row r="284" spans="2:9" ht="30">
      <c r="B284" s="396">
        <v>103394</v>
      </c>
      <c r="C284" s="401" t="s">
        <v>6312</v>
      </c>
      <c r="D284" s="396" t="s">
        <v>22</v>
      </c>
      <c r="E284" s="405">
        <f t="shared" si="8"/>
        <v>4150.8500000000004</v>
      </c>
      <c r="F284">
        <f t="shared" si="9"/>
        <v>103394</v>
      </c>
      <c r="H284" s="679">
        <v>4150.8500000000004</v>
      </c>
      <c r="I284" s="679">
        <v>4152.6899999999996</v>
      </c>
    </row>
    <row r="285" spans="2:9" ht="30">
      <c r="B285" s="395">
        <v>103395</v>
      </c>
      <c r="C285" s="406" t="s">
        <v>6313</v>
      </c>
      <c r="D285" s="395" t="s">
        <v>22</v>
      </c>
      <c r="E285" s="407">
        <f t="shared" si="8"/>
        <v>2058.2800000000002</v>
      </c>
      <c r="F285">
        <f t="shared" si="9"/>
        <v>103395</v>
      </c>
      <c r="H285" s="680">
        <v>2058.2800000000002</v>
      </c>
      <c r="I285" s="680">
        <v>2060.5100000000002</v>
      </c>
    </row>
    <row r="286" spans="2:9" ht="30">
      <c r="B286" s="396">
        <v>103396</v>
      </c>
      <c r="C286" s="401" t="s">
        <v>6314</v>
      </c>
      <c r="D286" s="396" t="s">
        <v>22</v>
      </c>
      <c r="E286" s="405">
        <f t="shared" si="8"/>
        <v>1385.86</v>
      </c>
      <c r="F286">
        <f t="shared" si="9"/>
        <v>103396</v>
      </c>
      <c r="H286" s="679">
        <v>1385.86</v>
      </c>
      <c r="I286" s="679">
        <v>1388.46</v>
      </c>
    </row>
    <row r="287" spans="2:9" ht="30">
      <c r="B287" s="395">
        <v>103397</v>
      </c>
      <c r="C287" s="406" t="s">
        <v>6315</v>
      </c>
      <c r="D287" s="395" t="s">
        <v>23</v>
      </c>
      <c r="E287" s="407">
        <f t="shared" si="8"/>
        <v>3.06</v>
      </c>
      <c r="F287">
        <f t="shared" si="9"/>
        <v>103397</v>
      </c>
      <c r="H287" s="680">
        <v>3.06</v>
      </c>
      <c r="I287" s="680">
        <v>3.4</v>
      </c>
    </row>
    <row r="288" spans="2:9" ht="30">
      <c r="B288" s="396">
        <v>103398</v>
      </c>
      <c r="C288" s="401" t="s">
        <v>6316</v>
      </c>
      <c r="D288" s="396" t="s">
        <v>23</v>
      </c>
      <c r="E288" s="405">
        <f t="shared" si="8"/>
        <v>4.9000000000000004</v>
      </c>
      <c r="F288">
        <f t="shared" si="9"/>
        <v>103398</v>
      </c>
      <c r="H288" s="679">
        <v>4.9000000000000004</v>
      </c>
      <c r="I288" s="679">
        <v>5.45</v>
      </c>
    </row>
    <row r="289" spans="2:9" ht="30">
      <c r="B289" s="395">
        <v>103399</v>
      </c>
      <c r="C289" s="406" t="s">
        <v>6317</v>
      </c>
      <c r="D289" s="395" t="s">
        <v>23</v>
      </c>
      <c r="E289" s="407">
        <f t="shared" si="8"/>
        <v>9.66</v>
      </c>
      <c r="F289">
        <f t="shared" si="9"/>
        <v>103399</v>
      </c>
      <c r="H289" s="680">
        <v>9.66</v>
      </c>
      <c r="I289" s="680">
        <v>10.74</v>
      </c>
    </row>
    <row r="290" spans="2:9" ht="30">
      <c r="B290" s="396">
        <v>103400</v>
      </c>
      <c r="C290" s="401" t="s">
        <v>6318</v>
      </c>
      <c r="D290" s="396" t="s">
        <v>23</v>
      </c>
      <c r="E290" s="405">
        <f t="shared" si="8"/>
        <v>13.81</v>
      </c>
      <c r="F290">
        <f t="shared" si="9"/>
        <v>103400</v>
      </c>
      <c r="H290" s="679">
        <v>13.81</v>
      </c>
      <c r="I290" s="679">
        <v>15.35</v>
      </c>
    </row>
    <row r="291" spans="2:9" ht="30">
      <c r="B291" s="395">
        <v>103401</v>
      </c>
      <c r="C291" s="406" t="s">
        <v>6319</v>
      </c>
      <c r="D291" s="395" t="s">
        <v>23</v>
      </c>
      <c r="E291" s="407">
        <f t="shared" si="8"/>
        <v>16.88</v>
      </c>
      <c r="F291">
        <f t="shared" si="9"/>
        <v>103401</v>
      </c>
      <c r="H291" s="680">
        <v>16.88</v>
      </c>
      <c r="I291" s="680">
        <v>18.760000000000002</v>
      </c>
    </row>
    <row r="292" spans="2:9" ht="30">
      <c r="B292" s="396">
        <v>103402</v>
      </c>
      <c r="C292" s="401" t="s">
        <v>6320</v>
      </c>
      <c r="D292" s="396" t="s">
        <v>23</v>
      </c>
      <c r="E292" s="405">
        <f t="shared" si="8"/>
        <v>24.56</v>
      </c>
      <c r="F292">
        <f t="shared" si="9"/>
        <v>103402</v>
      </c>
      <c r="H292" s="679">
        <v>24.56</v>
      </c>
      <c r="I292" s="679">
        <v>27.29</v>
      </c>
    </row>
    <row r="293" spans="2:9" ht="30">
      <c r="B293" s="395">
        <v>103403</v>
      </c>
      <c r="C293" s="406" t="s">
        <v>6321</v>
      </c>
      <c r="D293" s="395" t="s">
        <v>23</v>
      </c>
      <c r="E293" s="407">
        <f t="shared" si="8"/>
        <v>27.63</v>
      </c>
      <c r="F293">
        <f t="shared" si="9"/>
        <v>103403</v>
      </c>
      <c r="H293" s="680">
        <v>27.63</v>
      </c>
      <c r="I293" s="680">
        <v>30.7</v>
      </c>
    </row>
    <row r="294" spans="2:9" ht="30">
      <c r="B294" s="396">
        <v>103404</v>
      </c>
      <c r="C294" s="401" t="s">
        <v>6322</v>
      </c>
      <c r="D294" s="396" t="s">
        <v>23</v>
      </c>
      <c r="E294" s="405">
        <f t="shared" si="8"/>
        <v>30.7</v>
      </c>
      <c r="F294">
        <f t="shared" si="9"/>
        <v>103404</v>
      </c>
      <c r="H294" s="679">
        <v>30.7</v>
      </c>
      <c r="I294" s="679">
        <v>34.11</v>
      </c>
    </row>
    <row r="295" spans="2:9" ht="30">
      <c r="B295" s="395">
        <v>103405</v>
      </c>
      <c r="C295" s="406" t="s">
        <v>6323</v>
      </c>
      <c r="D295" s="395" t="s">
        <v>23</v>
      </c>
      <c r="E295" s="407">
        <f t="shared" si="8"/>
        <v>34.54</v>
      </c>
      <c r="F295">
        <f t="shared" si="9"/>
        <v>103405</v>
      </c>
      <c r="H295" s="680">
        <v>34.54</v>
      </c>
      <c r="I295" s="680">
        <v>38.369999999999997</v>
      </c>
    </row>
    <row r="296" spans="2:9" ht="30">
      <c r="B296" s="396">
        <v>103406</v>
      </c>
      <c r="C296" s="401" t="s">
        <v>6324</v>
      </c>
      <c r="D296" s="396" t="s">
        <v>23</v>
      </c>
      <c r="E296" s="405">
        <f t="shared" si="8"/>
        <v>38.380000000000003</v>
      </c>
      <c r="F296">
        <f t="shared" si="9"/>
        <v>103406</v>
      </c>
      <c r="H296" s="679">
        <v>38.380000000000003</v>
      </c>
      <c r="I296" s="679">
        <v>42.64</v>
      </c>
    </row>
    <row r="297" spans="2:9" ht="30">
      <c r="B297" s="395">
        <v>103407</v>
      </c>
      <c r="C297" s="406" t="s">
        <v>6325</v>
      </c>
      <c r="D297" s="395" t="s">
        <v>23</v>
      </c>
      <c r="E297" s="407">
        <f t="shared" si="8"/>
        <v>42.99</v>
      </c>
      <c r="F297">
        <f t="shared" si="9"/>
        <v>103407</v>
      </c>
      <c r="H297" s="680">
        <v>42.99</v>
      </c>
      <c r="I297" s="680">
        <v>47.76</v>
      </c>
    </row>
    <row r="298" spans="2:9" ht="30">
      <c r="B298" s="396">
        <v>103408</v>
      </c>
      <c r="C298" s="401" t="s">
        <v>6326</v>
      </c>
      <c r="D298" s="396" t="s">
        <v>23</v>
      </c>
      <c r="E298" s="405">
        <f t="shared" si="8"/>
        <v>48.36</v>
      </c>
      <c r="F298">
        <f t="shared" si="9"/>
        <v>103408</v>
      </c>
      <c r="H298" s="679">
        <v>48.36</v>
      </c>
      <c r="I298" s="679">
        <v>53.74</v>
      </c>
    </row>
    <row r="299" spans="2:9" ht="30">
      <c r="B299" s="395">
        <v>103409</v>
      </c>
      <c r="C299" s="406" t="s">
        <v>6327</v>
      </c>
      <c r="D299" s="395" t="s">
        <v>23</v>
      </c>
      <c r="E299" s="407">
        <f t="shared" si="8"/>
        <v>54.5</v>
      </c>
      <c r="F299">
        <f t="shared" si="9"/>
        <v>103409</v>
      </c>
      <c r="H299" s="680">
        <v>54.5</v>
      </c>
      <c r="I299" s="680">
        <v>60.55</v>
      </c>
    </row>
    <row r="300" spans="2:9" ht="30">
      <c r="B300" s="396">
        <v>103410</v>
      </c>
      <c r="C300" s="401" t="s">
        <v>6328</v>
      </c>
      <c r="D300" s="396" t="s">
        <v>23</v>
      </c>
      <c r="E300" s="405">
        <f t="shared" si="8"/>
        <v>61.41</v>
      </c>
      <c r="F300">
        <f t="shared" si="9"/>
        <v>103410</v>
      </c>
      <c r="H300" s="679">
        <v>61.41</v>
      </c>
      <c r="I300" s="679">
        <v>68.239999999999995</v>
      </c>
    </row>
    <row r="301" spans="2:9" ht="30">
      <c r="B301" s="395">
        <v>103411</v>
      </c>
      <c r="C301" s="406" t="s">
        <v>6329</v>
      </c>
      <c r="D301" s="395" t="s">
        <v>23</v>
      </c>
      <c r="E301" s="407">
        <f t="shared" si="8"/>
        <v>6.13</v>
      </c>
      <c r="F301">
        <f t="shared" si="9"/>
        <v>103411</v>
      </c>
      <c r="H301" s="680">
        <v>6.13</v>
      </c>
      <c r="I301" s="680">
        <v>6.82</v>
      </c>
    </row>
    <row r="302" spans="2:9" ht="30">
      <c r="B302" s="396">
        <v>103412</v>
      </c>
      <c r="C302" s="401" t="s">
        <v>6330</v>
      </c>
      <c r="D302" s="396" t="s">
        <v>23</v>
      </c>
      <c r="E302" s="405">
        <f t="shared" si="8"/>
        <v>9.82</v>
      </c>
      <c r="F302">
        <f t="shared" si="9"/>
        <v>103412</v>
      </c>
      <c r="H302" s="679">
        <v>9.82</v>
      </c>
      <c r="I302" s="679">
        <v>10.91</v>
      </c>
    </row>
    <row r="303" spans="2:9" ht="30">
      <c r="B303" s="395">
        <v>103413</v>
      </c>
      <c r="C303" s="406" t="s">
        <v>6331</v>
      </c>
      <c r="D303" s="395" t="s">
        <v>23</v>
      </c>
      <c r="E303" s="407">
        <f t="shared" si="8"/>
        <v>19.34</v>
      </c>
      <c r="F303">
        <f t="shared" si="9"/>
        <v>103413</v>
      </c>
      <c r="H303" s="680">
        <v>19.34</v>
      </c>
      <c r="I303" s="680">
        <v>21.49</v>
      </c>
    </row>
    <row r="304" spans="2:9" ht="30">
      <c r="B304" s="396">
        <v>103414</v>
      </c>
      <c r="C304" s="401" t="s">
        <v>6332</v>
      </c>
      <c r="D304" s="396" t="s">
        <v>23</v>
      </c>
      <c r="E304" s="405">
        <f t="shared" si="8"/>
        <v>27.63</v>
      </c>
      <c r="F304">
        <f t="shared" si="9"/>
        <v>103414</v>
      </c>
      <c r="H304" s="679">
        <v>27.63</v>
      </c>
      <c r="I304" s="679">
        <v>30.7</v>
      </c>
    </row>
    <row r="305" spans="2:9" ht="30">
      <c r="B305" s="395">
        <v>103415</v>
      </c>
      <c r="C305" s="406" t="s">
        <v>6333</v>
      </c>
      <c r="D305" s="395" t="s">
        <v>23</v>
      </c>
      <c r="E305" s="407">
        <f t="shared" si="8"/>
        <v>33.770000000000003</v>
      </c>
      <c r="F305">
        <f t="shared" si="9"/>
        <v>103415</v>
      </c>
      <c r="H305" s="680">
        <v>33.770000000000003</v>
      </c>
      <c r="I305" s="680">
        <v>37.53</v>
      </c>
    </row>
    <row r="306" spans="2:9" ht="30">
      <c r="B306" s="396">
        <v>103416</v>
      </c>
      <c r="C306" s="401" t="s">
        <v>6334</v>
      </c>
      <c r="D306" s="396" t="s">
        <v>23</v>
      </c>
      <c r="E306" s="405">
        <f t="shared" si="8"/>
        <v>49.13</v>
      </c>
      <c r="F306">
        <f t="shared" si="9"/>
        <v>103416</v>
      </c>
      <c r="H306" s="679">
        <v>49.13</v>
      </c>
      <c r="I306" s="679">
        <v>54.59</v>
      </c>
    </row>
    <row r="307" spans="2:9" ht="30">
      <c r="B307" s="395">
        <v>103417</v>
      </c>
      <c r="C307" s="406" t="s">
        <v>6335</v>
      </c>
      <c r="D307" s="395" t="s">
        <v>23</v>
      </c>
      <c r="E307" s="407">
        <f t="shared" si="8"/>
        <v>55.27</v>
      </c>
      <c r="F307">
        <f t="shared" si="9"/>
        <v>103417</v>
      </c>
      <c r="H307" s="680">
        <v>55.27</v>
      </c>
      <c r="I307" s="680">
        <v>61.41</v>
      </c>
    </row>
    <row r="308" spans="2:9" ht="30">
      <c r="B308" s="396">
        <v>103418</v>
      </c>
      <c r="C308" s="401" t="s">
        <v>6336</v>
      </c>
      <c r="D308" s="396" t="s">
        <v>23</v>
      </c>
      <c r="E308" s="405">
        <f t="shared" si="8"/>
        <v>61.41</v>
      </c>
      <c r="F308">
        <f t="shared" si="9"/>
        <v>103418</v>
      </c>
      <c r="H308" s="679">
        <v>61.41</v>
      </c>
      <c r="I308" s="679">
        <v>68.239999999999995</v>
      </c>
    </row>
    <row r="309" spans="2:9" ht="30">
      <c r="B309" s="395">
        <v>103419</v>
      </c>
      <c r="C309" s="406" t="s">
        <v>6337</v>
      </c>
      <c r="D309" s="395" t="s">
        <v>23</v>
      </c>
      <c r="E309" s="407">
        <f t="shared" si="8"/>
        <v>69.09</v>
      </c>
      <c r="F309">
        <f t="shared" si="9"/>
        <v>103419</v>
      </c>
      <c r="H309" s="680">
        <v>69.09</v>
      </c>
      <c r="I309" s="680">
        <v>76.760000000000005</v>
      </c>
    </row>
    <row r="310" spans="2:9" ht="30">
      <c r="B310" s="396">
        <v>103420</v>
      </c>
      <c r="C310" s="401" t="s">
        <v>6338</v>
      </c>
      <c r="D310" s="396" t="s">
        <v>23</v>
      </c>
      <c r="E310" s="405">
        <f t="shared" si="8"/>
        <v>76.760000000000005</v>
      </c>
      <c r="F310">
        <f t="shared" si="9"/>
        <v>103420</v>
      </c>
      <c r="H310" s="679">
        <v>76.760000000000005</v>
      </c>
      <c r="I310" s="679">
        <v>85.29</v>
      </c>
    </row>
    <row r="311" spans="2:9" ht="30">
      <c r="B311" s="395">
        <v>103421</v>
      </c>
      <c r="C311" s="406" t="s">
        <v>6339</v>
      </c>
      <c r="D311" s="395" t="s">
        <v>23</v>
      </c>
      <c r="E311" s="407">
        <f t="shared" si="8"/>
        <v>85.98</v>
      </c>
      <c r="F311">
        <f t="shared" si="9"/>
        <v>103421</v>
      </c>
      <c r="H311" s="680">
        <v>85.98</v>
      </c>
      <c r="I311" s="680">
        <v>95.54</v>
      </c>
    </row>
    <row r="312" spans="2:9" ht="30">
      <c r="B312" s="396">
        <v>103422</v>
      </c>
      <c r="C312" s="401" t="s">
        <v>6340</v>
      </c>
      <c r="D312" s="396" t="s">
        <v>23</v>
      </c>
      <c r="E312" s="405">
        <f t="shared" si="8"/>
        <v>96.73</v>
      </c>
      <c r="F312">
        <f t="shared" si="9"/>
        <v>103422</v>
      </c>
      <c r="H312" s="679">
        <v>96.73</v>
      </c>
      <c r="I312" s="679">
        <v>107.47</v>
      </c>
    </row>
    <row r="313" spans="2:9" ht="30">
      <c r="B313" s="395">
        <v>103423</v>
      </c>
      <c r="C313" s="406" t="s">
        <v>6341</v>
      </c>
      <c r="D313" s="395" t="s">
        <v>23</v>
      </c>
      <c r="E313" s="407">
        <f t="shared" si="8"/>
        <v>109.01</v>
      </c>
      <c r="F313">
        <f t="shared" si="9"/>
        <v>103423</v>
      </c>
      <c r="H313" s="680">
        <v>109.01</v>
      </c>
      <c r="I313" s="680">
        <v>121.12</v>
      </c>
    </row>
    <row r="314" spans="2:9" ht="30">
      <c r="B314" s="396">
        <v>103424</v>
      </c>
      <c r="C314" s="401" t="s">
        <v>6342</v>
      </c>
      <c r="D314" s="396" t="s">
        <v>23</v>
      </c>
      <c r="E314" s="405">
        <f t="shared" si="8"/>
        <v>122.83</v>
      </c>
      <c r="F314">
        <f t="shared" si="9"/>
        <v>103424</v>
      </c>
      <c r="H314" s="679">
        <v>122.83</v>
      </c>
      <c r="I314" s="679">
        <v>136.47999999999999</v>
      </c>
    </row>
    <row r="315" spans="2:9" ht="30">
      <c r="B315" s="395">
        <v>103425</v>
      </c>
      <c r="C315" s="406" t="s">
        <v>6343</v>
      </c>
      <c r="D315" s="395" t="s">
        <v>23</v>
      </c>
      <c r="E315" s="407">
        <f t="shared" si="8"/>
        <v>15.89</v>
      </c>
      <c r="F315">
        <f t="shared" si="9"/>
        <v>103425</v>
      </c>
      <c r="H315" s="680">
        <v>15.89</v>
      </c>
      <c r="I315" s="680">
        <v>16.23</v>
      </c>
    </row>
    <row r="316" spans="2:9" ht="30">
      <c r="B316" s="396">
        <v>103426</v>
      </c>
      <c r="C316" s="401" t="s">
        <v>6344</v>
      </c>
      <c r="D316" s="396" t="s">
        <v>23</v>
      </c>
      <c r="E316" s="405">
        <f t="shared" si="8"/>
        <v>18.72</v>
      </c>
      <c r="F316">
        <f t="shared" si="9"/>
        <v>103426</v>
      </c>
      <c r="H316" s="679">
        <v>18.72</v>
      </c>
      <c r="I316" s="679">
        <v>19.27</v>
      </c>
    </row>
    <row r="317" spans="2:9" ht="30">
      <c r="B317" s="395">
        <v>103427</v>
      </c>
      <c r="C317" s="406" t="s">
        <v>6345</v>
      </c>
      <c r="D317" s="395" t="s">
        <v>23</v>
      </c>
      <c r="E317" s="407">
        <f t="shared" si="8"/>
        <v>37.57</v>
      </c>
      <c r="F317">
        <f t="shared" si="9"/>
        <v>103427</v>
      </c>
      <c r="H317" s="680">
        <v>37.57</v>
      </c>
      <c r="I317" s="680">
        <v>38.65</v>
      </c>
    </row>
    <row r="318" spans="2:9" ht="30">
      <c r="B318" s="396">
        <v>103428</v>
      </c>
      <c r="C318" s="401" t="s">
        <v>6346</v>
      </c>
      <c r="D318" s="396" t="s">
        <v>23</v>
      </c>
      <c r="E318" s="405">
        <f t="shared" si="8"/>
        <v>260.17</v>
      </c>
      <c r="F318">
        <f t="shared" si="9"/>
        <v>103428</v>
      </c>
      <c r="H318" s="679">
        <v>260.17</v>
      </c>
      <c r="I318" s="679">
        <v>263.58</v>
      </c>
    </row>
    <row r="319" spans="2:9" ht="30">
      <c r="B319" s="395">
        <v>103429</v>
      </c>
      <c r="C319" s="406" t="s">
        <v>6347</v>
      </c>
      <c r="D319" s="395" t="s">
        <v>23</v>
      </c>
      <c r="E319" s="407">
        <f t="shared" si="8"/>
        <v>2963.21</v>
      </c>
      <c r="F319">
        <f t="shared" si="9"/>
        <v>103429</v>
      </c>
      <c r="H319" s="680">
        <v>2963.21</v>
      </c>
      <c r="I319" s="680">
        <v>2970.04</v>
      </c>
    </row>
    <row r="320" spans="2:9" ht="30">
      <c r="B320" s="396">
        <v>103430</v>
      </c>
      <c r="C320" s="401" t="s">
        <v>6348</v>
      </c>
      <c r="D320" s="396" t="s">
        <v>23</v>
      </c>
      <c r="E320" s="405">
        <f t="shared" si="8"/>
        <v>34.6</v>
      </c>
      <c r="F320">
        <f t="shared" si="9"/>
        <v>103430</v>
      </c>
      <c r="H320" s="679">
        <v>34.6</v>
      </c>
      <c r="I320" s="679">
        <v>35.15</v>
      </c>
    </row>
    <row r="321" spans="2:9" ht="30">
      <c r="B321" s="395">
        <v>103431</v>
      </c>
      <c r="C321" s="406" t="s">
        <v>6349</v>
      </c>
      <c r="D321" s="395" t="s">
        <v>23</v>
      </c>
      <c r="E321" s="407">
        <f t="shared" si="8"/>
        <v>60.36</v>
      </c>
      <c r="F321">
        <f t="shared" si="9"/>
        <v>103431</v>
      </c>
      <c r="H321" s="680">
        <v>60.36</v>
      </c>
      <c r="I321" s="680">
        <v>61.44</v>
      </c>
    </row>
    <row r="322" spans="2:9" ht="30">
      <c r="B322" s="396">
        <v>103432</v>
      </c>
      <c r="C322" s="401" t="s">
        <v>6350</v>
      </c>
      <c r="D322" s="396" t="s">
        <v>23</v>
      </c>
      <c r="E322" s="405">
        <f t="shared" si="8"/>
        <v>1683.34</v>
      </c>
      <c r="F322">
        <f t="shared" si="9"/>
        <v>103432</v>
      </c>
      <c r="H322" s="679">
        <v>1683.34</v>
      </c>
      <c r="I322" s="679">
        <v>1686.75</v>
      </c>
    </row>
    <row r="323" spans="2:9" ht="30">
      <c r="B323" s="395">
        <v>103433</v>
      </c>
      <c r="C323" s="406" t="s">
        <v>6351</v>
      </c>
      <c r="D323" s="395" t="s">
        <v>23</v>
      </c>
      <c r="E323" s="407">
        <f t="shared" ref="E323:E386" si="10">IF($K$2=$H$1,H323,I323)</f>
        <v>34.74</v>
      </c>
      <c r="F323">
        <f t="shared" ref="F323:F386" si="11">IF(LEN($B323)=7,CONCATENATE(MID($B323,1,6),"00",RIGHT($B323,1)),IF(LEN($B323)=8,CONCATENATE(MID($B323,1,6),"0",RIGHT($B323,2)),$B323))</f>
        <v>103433</v>
      </c>
      <c r="H323" s="680">
        <v>34.74</v>
      </c>
      <c r="I323" s="680">
        <v>35.08</v>
      </c>
    </row>
    <row r="324" spans="2:9" ht="30">
      <c r="B324" s="396">
        <v>103434</v>
      </c>
      <c r="C324" s="401" t="s">
        <v>6352</v>
      </c>
      <c r="D324" s="396" t="s">
        <v>23</v>
      </c>
      <c r="E324" s="405">
        <f t="shared" si="10"/>
        <v>47.87</v>
      </c>
      <c r="F324">
        <f t="shared" si="11"/>
        <v>103434</v>
      </c>
      <c r="H324" s="679">
        <v>47.87</v>
      </c>
      <c r="I324" s="679">
        <v>48.42</v>
      </c>
    </row>
    <row r="325" spans="2:9" ht="30">
      <c r="B325" s="395">
        <v>103435</v>
      </c>
      <c r="C325" s="406" t="s">
        <v>6353</v>
      </c>
      <c r="D325" s="395" t="s">
        <v>23</v>
      </c>
      <c r="E325" s="407">
        <f t="shared" si="10"/>
        <v>88.92</v>
      </c>
      <c r="F325">
        <f t="shared" si="11"/>
        <v>103435</v>
      </c>
      <c r="H325" s="680">
        <v>88.92</v>
      </c>
      <c r="I325" s="680">
        <v>90</v>
      </c>
    </row>
    <row r="326" spans="2:9" ht="30">
      <c r="B326" s="396">
        <v>103436</v>
      </c>
      <c r="C326" s="401" t="s">
        <v>6354</v>
      </c>
      <c r="D326" s="396" t="s">
        <v>23</v>
      </c>
      <c r="E326" s="405">
        <f t="shared" si="10"/>
        <v>2387.59</v>
      </c>
      <c r="F326">
        <f t="shared" si="11"/>
        <v>103436</v>
      </c>
      <c r="H326" s="679">
        <v>2387.59</v>
      </c>
      <c r="I326" s="679">
        <v>2391</v>
      </c>
    </row>
    <row r="327" spans="2:9" ht="30">
      <c r="B327" s="395">
        <v>103437</v>
      </c>
      <c r="C327" s="406" t="s">
        <v>6355</v>
      </c>
      <c r="D327" s="395" t="s">
        <v>23</v>
      </c>
      <c r="E327" s="407">
        <f t="shared" si="10"/>
        <v>184.7</v>
      </c>
      <c r="F327">
        <f t="shared" si="11"/>
        <v>103437</v>
      </c>
      <c r="H327" s="680">
        <v>184.7</v>
      </c>
      <c r="I327" s="680">
        <v>186.85</v>
      </c>
    </row>
    <row r="328" spans="2:9" ht="30">
      <c r="B328" s="396">
        <v>103438</v>
      </c>
      <c r="C328" s="401" t="s">
        <v>6356</v>
      </c>
      <c r="D328" s="396" t="s">
        <v>23</v>
      </c>
      <c r="E328" s="405">
        <f t="shared" si="10"/>
        <v>184.7</v>
      </c>
      <c r="F328">
        <f t="shared" si="11"/>
        <v>103438</v>
      </c>
      <c r="H328" s="679">
        <v>184.7</v>
      </c>
      <c r="I328" s="679">
        <v>186.85</v>
      </c>
    </row>
    <row r="329" spans="2:9" ht="30">
      <c r="B329" s="395">
        <v>103439</v>
      </c>
      <c r="C329" s="406" t="s">
        <v>6357</v>
      </c>
      <c r="D329" s="395" t="s">
        <v>23</v>
      </c>
      <c r="E329" s="407">
        <f t="shared" si="10"/>
        <v>218.51</v>
      </c>
      <c r="F329">
        <f t="shared" si="11"/>
        <v>103439</v>
      </c>
      <c r="H329" s="680">
        <v>218.51</v>
      </c>
      <c r="I329" s="680">
        <v>220.66</v>
      </c>
    </row>
    <row r="330" spans="2:9" ht="30">
      <c r="B330" s="396">
        <v>103440</v>
      </c>
      <c r="C330" s="401" t="s">
        <v>6358</v>
      </c>
      <c r="D330" s="396" t="s">
        <v>23</v>
      </c>
      <c r="E330" s="405">
        <f t="shared" si="10"/>
        <v>411.51</v>
      </c>
      <c r="F330">
        <f t="shared" si="11"/>
        <v>103440</v>
      </c>
      <c r="H330" s="679">
        <v>411.51</v>
      </c>
      <c r="I330" s="679">
        <v>418.34</v>
      </c>
    </row>
    <row r="331" spans="2:9" ht="30">
      <c r="B331" s="395">
        <v>103441</v>
      </c>
      <c r="C331" s="406" t="s">
        <v>6359</v>
      </c>
      <c r="D331" s="395" t="s">
        <v>23</v>
      </c>
      <c r="E331" s="407">
        <f t="shared" si="10"/>
        <v>416.99</v>
      </c>
      <c r="F331">
        <f t="shared" si="11"/>
        <v>103441</v>
      </c>
      <c r="H331" s="680">
        <v>416.99</v>
      </c>
      <c r="I331" s="680">
        <v>423.82</v>
      </c>
    </row>
    <row r="332" spans="2:9" ht="30">
      <c r="B332" s="396">
        <v>103442</v>
      </c>
      <c r="C332" s="401" t="s">
        <v>6360</v>
      </c>
      <c r="D332" s="396" t="s">
        <v>23</v>
      </c>
      <c r="E332" s="405">
        <f t="shared" si="10"/>
        <v>549.14</v>
      </c>
      <c r="F332">
        <f t="shared" si="11"/>
        <v>103442</v>
      </c>
      <c r="H332" s="679">
        <v>549.14</v>
      </c>
      <c r="I332" s="679">
        <v>555.97</v>
      </c>
    </row>
    <row r="333" spans="2:9">
      <c r="B333" s="395">
        <v>93206</v>
      </c>
      <c r="C333" s="406" t="s">
        <v>711</v>
      </c>
      <c r="D333" s="395" t="s">
        <v>0</v>
      </c>
      <c r="E333" s="407">
        <f t="shared" si="10"/>
        <v>1159.6300000000001</v>
      </c>
      <c r="F333">
        <f t="shared" si="11"/>
        <v>93206</v>
      </c>
      <c r="H333" s="680">
        <v>1159.6300000000001</v>
      </c>
      <c r="I333" s="680">
        <v>1202.22</v>
      </c>
    </row>
    <row r="334" spans="2:9" ht="30">
      <c r="B334" s="396">
        <v>93207</v>
      </c>
      <c r="C334" s="401" t="s">
        <v>712</v>
      </c>
      <c r="D334" s="396" t="s">
        <v>0</v>
      </c>
      <c r="E334" s="405">
        <f t="shared" si="10"/>
        <v>1145.68</v>
      </c>
      <c r="F334">
        <f t="shared" si="11"/>
        <v>93207</v>
      </c>
      <c r="H334" s="679">
        <v>1145.68</v>
      </c>
      <c r="I334" s="679">
        <v>1170.98</v>
      </c>
    </row>
    <row r="335" spans="2:9">
      <c r="B335" s="395">
        <v>93208</v>
      </c>
      <c r="C335" s="406" t="s">
        <v>713</v>
      </c>
      <c r="D335" s="395" t="s">
        <v>0</v>
      </c>
      <c r="E335" s="407">
        <f t="shared" si="10"/>
        <v>923.19</v>
      </c>
      <c r="F335">
        <f t="shared" si="11"/>
        <v>93208</v>
      </c>
      <c r="H335" s="680">
        <v>923.19</v>
      </c>
      <c r="I335" s="680">
        <v>941.52</v>
      </c>
    </row>
    <row r="336" spans="2:9">
      <c r="B336" s="396">
        <v>93209</v>
      </c>
      <c r="C336" s="401" t="s">
        <v>714</v>
      </c>
      <c r="D336" s="396" t="s">
        <v>0</v>
      </c>
      <c r="E336" s="405">
        <f t="shared" si="10"/>
        <v>957.59</v>
      </c>
      <c r="F336">
        <f t="shared" si="11"/>
        <v>93209</v>
      </c>
      <c r="H336" s="679">
        <v>957.59</v>
      </c>
      <c r="I336" s="679">
        <v>989.51</v>
      </c>
    </row>
    <row r="337" spans="2:9" ht="30">
      <c r="B337" s="395">
        <v>93210</v>
      </c>
      <c r="C337" s="406" t="s">
        <v>715</v>
      </c>
      <c r="D337" s="395" t="s">
        <v>0</v>
      </c>
      <c r="E337" s="407">
        <f t="shared" si="10"/>
        <v>609.61</v>
      </c>
      <c r="F337">
        <f t="shared" si="11"/>
        <v>93210</v>
      </c>
      <c r="H337" s="680">
        <v>609.61</v>
      </c>
      <c r="I337" s="680">
        <v>625.21</v>
      </c>
    </row>
    <row r="338" spans="2:9">
      <c r="B338" s="396">
        <v>93211</v>
      </c>
      <c r="C338" s="401" t="s">
        <v>716</v>
      </c>
      <c r="D338" s="396" t="s">
        <v>0</v>
      </c>
      <c r="E338" s="405">
        <f t="shared" si="10"/>
        <v>601.09</v>
      </c>
      <c r="F338">
        <f t="shared" si="11"/>
        <v>93211</v>
      </c>
      <c r="H338" s="679">
        <v>601.09</v>
      </c>
      <c r="I338" s="679">
        <v>620.45000000000005</v>
      </c>
    </row>
    <row r="339" spans="2:9" ht="30">
      <c r="B339" s="395">
        <v>93212</v>
      </c>
      <c r="C339" s="406" t="s">
        <v>717</v>
      </c>
      <c r="D339" s="395" t="s">
        <v>0</v>
      </c>
      <c r="E339" s="407">
        <f t="shared" si="10"/>
        <v>1028.5999999999999</v>
      </c>
      <c r="F339">
        <f t="shared" si="11"/>
        <v>93212</v>
      </c>
      <c r="H339" s="680">
        <v>1028.5999999999999</v>
      </c>
      <c r="I339" s="680">
        <v>1054.56</v>
      </c>
    </row>
    <row r="340" spans="2:9">
      <c r="B340" s="396">
        <v>93213</v>
      </c>
      <c r="C340" s="401" t="s">
        <v>718</v>
      </c>
      <c r="D340" s="396" t="s">
        <v>0</v>
      </c>
      <c r="E340" s="405">
        <f t="shared" si="10"/>
        <v>1058.18</v>
      </c>
      <c r="F340">
        <f t="shared" si="11"/>
        <v>93213</v>
      </c>
      <c r="H340" s="679">
        <v>1058.18</v>
      </c>
      <c r="I340" s="679">
        <v>1092.7</v>
      </c>
    </row>
    <row r="341" spans="2:9" ht="30">
      <c r="B341" s="395">
        <v>93214</v>
      </c>
      <c r="C341" s="406" t="s">
        <v>7301</v>
      </c>
      <c r="D341" s="395" t="s">
        <v>23</v>
      </c>
      <c r="E341" s="407">
        <f t="shared" si="10"/>
        <v>6049</v>
      </c>
      <c r="F341">
        <f t="shared" si="11"/>
        <v>93214</v>
      </c>
      <c r="H341" s="680">
        <v>6049</v>
      </c>
      <c r="I341" s="680">
        <v>6090.86</v>
      </c>
    </row>
    <row r="342" spans="2:9" ht="30">
      <c r="B342" s="396">
        <v>93243</v>
      </c>
      <c r="C342" s="401" t="s">
        <v>7302</v>
      </c>
      <c r="D342" s="396" t="s">
        <v>23</v>
      </c>
      <c r="E342" s="405">
        <f t="shared" si="10"/>
        <v>9356.89</v>
      </c>
      <c r="F342">
        <f t="shared" si="11"/>
        <v>93243</v>
      </c>
      <c r="H342" s="679">
        <v>9356.89</v>
      </c>
      <c r="I342" s="679">
        <v>9412.06</v>
      </c>
    </row>
    <row r="343" spans="2:9">
      <c r="B343" s="395">
        <v>93582</v>
      </c>
      <c r="C343" s="406" t="s">
        <v>719</v>
      </c>
      <c r="D343" s="395" t="s">
        <v>0</v>
      </c>
      <c r="E343" s="407">
        <f t="shared" si="10"/>
        <v>283.16000000000003</v>
      </c>
      <c r="F343">
        <f t="shared" si="11"/>
        <v>93582</v>
      </c>
      <c r="H343" s="680">
        <v>283.16000000000003</v>
      </c>
      <c r="I343" s="680">
        <v>289.49</v>
      </c>
    </row>
    <row r="344" spans="2:9" ht="30">
      <c r="B344" s="396">
        <v>93583</v>
      </c>
      <c r="C344" s="401" t="s">
        <v>720</v>
      </c>
      <c r="D344" s="396" t="s">
        <v>0</v>
      </c>
      <c r="E344" s="405">
        <f t="shared" si="10"/>
        <v>458.95</v>
      </c>
      <c r="F344">
        <f t="shared" si="11"/>
        <v>93583</v>
      </c>
      <c r="H344" s="679">
        <v>458.95</v>
      </c>
      <c r="I344" s="679">
        <v>469.39</v>
      </c>
    </row>
    <row r="345" spans="2:9">
      <c r="B345" s="395">
        <v>93584</v>
      </c>
      <c r="C345" s="406" t="s">
        <v>721</v>
      </c>
      <c r="D345" s="395" t="s">
        <v>0</v>
      </c>
      <c r="E345" s="407">
        <f t="shared" si="10"/>
        <v>904.03</v>
      </c>
      <c r="F345">
        <f t="shared" si="11"/>
        <v>93584</v>
      </c>
      <c r="H345" s="680">
        <v>904.03</v>
      </c>
      <c r="I345" s="680">
        <v>924.05</v>
      </c>
    </row>
    <row r="346" spans="2:9">
      <c r="B346" s="396">
        <v>93585</v>
      </c>
      <c r="C346" s="401" t="s">
        <v>722</v>
      </c>
      <c r="D346" s="396" t="s">
        <v>0</v>
      </c>
      <c r="E346" s="405">
        <f t="shared" si="10"/>
        <v>1213.07</v>
      </c>
      <c r="F346">
        <f t="shared" si="11"/>
        <v>93585</v>
      </c>
      <c r="H346" s="679">
        <v>1213.07</v>
      </c>
      <c r="I346" s="679">
        <v>1236.77</v>
      </c>
    </row>
    <row r="347" spans="2:9" ht="30">
      <c r="B347" s="395">
        <v>98441</v>
      </c>
      <c r="C347" s="406" t="s">
        <v>2712</v>
      </c>
      <c r="D347" s="395" t="s">
        <v>0</v>
      </c>
      <c r="E347" s="407">
        <f t="shared" si="10"/>
        <v>145.94999999999999</v>
      </c>
      <c r="F347">
        <f t="shared" si="11"/>
        <v>98441</v>
      </c>
      <c r="H347" s="680">
        <v>145.94999999999999</v>
      </c>
      <c r="I347" s="680">
        <v>148.44</v>
      </c>
    </row>
    <row r="348" spans="2:9" ht="30">
      <c r="B348" s="396">
        <v>98442</v>
      </c>
      <c r="C348" s="401" t="s">
        <v>2713</v>
      </c>
      <c r="D348" s="396" t="s">
        <v>0</v>
      </c>
      <c r="E348" s="405">
        <f t="shared" si="10"/>
        <v>148.65</v>
      </c>
      <c r="F348">
        <f t="shared" si="11"/>
        <v>98442</v>
      </c>
      <c r="H348" s="679">
        <v>148.65</v>
      </c>
      <c r="I348" s="679">
        <v>151.44</v>
      </c>
    </row>
    <row r="349" spans="2:9" ht="30">
      <c r="B349" s="395">
        <v>98443</v>
      </c>
      <c r="C349" s="406" t="s">
        <v>2714</v>
      </c>
      <c r="D349" s="395" t="s">
        <v>0</v>
      </c>
      <c r="E349" s="407">
        <f t="shared" si="10"/>
        <v>129.96</v>
      </c>
      <c r="F349">
        <f t="shared" si="11"/>
        <v>98443</v>
      </c>
      <c r="H349" s="680">
        <v>129.96</v>
      </c>
      <c r="I349" s="680">
        <v>131.28</v>
      </c>
    </row>
    <row r="350" spans="2:9" ht="30">
      <c r="B350" s="396">
        <v>98444</v>
      </c>
      <c r="C350" s="401" t="s">
        <v>2715</v>
      </c>
      <c r="D350" s="396" t="s">
        <v>0</v>
      </c>
      <c r="E350" s="405">
        <f t="shared" si="10"/>
        <v>131.88999999999999</v>
      </c>
      <c r="F350">
        <f t="shared" si="11"/>
        <v>98444</v>
      </c>
      <c r="H350" s="679">
        <v>131.88999999999999</v>
      </c>
      <c r="I350" s="679">
        <v>133.43</v>
      </c>
    </row>
    <row r="351" spans="2:9" ht="30">
      <c r="B351" s="395">
        <v>98445</v>
      </c>
      <c r="C351" s="406" t="s">
        <v>2716</v>
      </c>
      <c r="D351" s="395" t="s">
        <v>0</v>
      </c>
      <c r="E351" s="407">
        <f t="shared" si="10"/>
        <v>172.51</v>
      </c>
      <c r="F351">
        <f t="shared" si="11"/>
        <v>98445</v>
      </c>
      <c r="H351" s="680">
        <v>172.51</v>
      </c>
      <c r="I351" s="680">
        <v>176.1</v>
      </c>
    </row>
    <row r="352" spans="2:9" ht="30">
      <c r="B352" s="396">
        <v>98446</v>
      </c>
      <c r="C352" s="401" t="s">
        <v>2717</v>
      </c>
      <c r="D352" s="396" t="s">
        <v>0</v>
      </c>
      <c r="E352" s="405">
        <f t="shared" si="10"/>
        <v>216.46</v>
      </c>
      <c r="F352">
        <f t="shared" si="11"/>
        <v>98446</v>
      </c>
      <c r="H352" s="679">
        <v>216.46</v>
      </c>
      <c r="I352" s="679">
        <v>222.37</v>
      </c>
    </row>
    <row r="353" spans="2:9" ht="30">
      <c r="B353" s="395">
        <v>98447</v>
      </c>
      <c r="C353" s="406" t="s">
        <v>2718</v>
      </c>
      <c r="D353" s="395" t="s">
        <v>0</v>
      </c>
      <c r="E353" s="407">
        <f t="shared" si="10"/>
        <v>150.18</v>
      </c>
      <c r="F353">
        <f t="shared" si="11"/>
        <v>98447</v>
      </c>
      <c r="H353" s="680">
        <v>150.18</v>
      </c>
      <c r="I353" s="680">
        <v>152.19999999999999</v>
      </c>
    </row>
    <row r="354" spans="2:9" ht="30">
      <c r="B354" s="396">
        <v>98448</v>
      </c>
      <c r="C354" s="401" t="s">
        <v>2719</v>
      </c>
      <c r="D354" s="396" t="s">
        <v>0</v>
      </c>
      <c r="E354" s="405">
        <f t="shared" si="10"/>
        <v>184.34</v>
      </c>
      <c r="F354">
        <f t="shared" si="11"/>
        <v>98448</v>
      </c>
      <c r="H354" s="679">
        <v>184.34</v>
      </c>
      <c r="I354" s="679">
        <v>188</v>
      </c>
    </row>
    <row r="355" spans="2:9" ht="30">
      <c r="B355" s="395">
        <v>98449</v>
      </c>
      <c r="C355" s="406" t="s">
        <v>2720</v>
      </c>
      <c r="D355" s="395" t="s">
        <v>0</v>
      </c>
      <c r="E355" s="407">
        <f t="shared" si="10"/>
        <v>198.84</v>
      </c>
      <c r="F355">
        <f t="shared" si="11"/>
        <v>98449</v>
      </c>
      <c r="H355" s="680">
        <v>198.84</v>
      </c>
      <c r="I355" s="680">
        <v>201.76</v>
      </c>
    </row>
    <row r="356" spans="2:9" ht="30">
      <c r="B356" s="396">
        <v>98450</v>
      </c>
      <c r="C356" s="401" t="s">
        <v>2721</v>
      </c>
      <c r="D356" s="396" t="s">
        <v>0</v>
      </c>
      <c r="E356" s="405">
        <f t="shared" si="10"/>
        <v>202.76</v>
      </c>
      <c r="F356">
        <f t="shared" si="11"/>
        <v>98450</v>
      </c>
      <c r="H356" s="679">
        <v>202.76</v>
      </c>
      <c r="I356" s="679">
        <v>206.13</v>
      </c>
    </row>
    <row r="357" spans="2:9" ht="30">
      <c r="B357" s="395">
        <v>98451</v>
      </c>
      <c r="C357" s="406" t="s">
        <v>2722</v>
      </c>
      <c r="D357" s="395" t="s">
        <v>0</v>
      </c>
      <c r="E357" s="407">
        <f t="shared" si="10"/>
        <v>180.54</v>
      </c>
      <c r="F357">
        <f t="shared" si="11"/>
        <v>98451</v>
      </c>
      <c r="H357" s="680">
        <v>180.54</v>
      </c>
      <c r="I357" s="680">
        <v>182.03</v>
      </c>
    </row>
    <row r="358" spans="2:9" ht="30">
      <c r="B358" s="396">
        <v>98452</v>
      </c>
      <c r="C358" s="401" t="s">
        <v>2723</v>
      </c>
      <c r="D358" s="396" t="s">
        <v>0</v>
      </c>
      <c r="E358" s="405">
        <f t="shared" si="10"/>
        <v>182.92</v>
      </c>
      <c r="F358">
        <f t="shared" si="11"/>
        <v>98452</v>
      </c>
      <c r="H358" s="679">
        <v>182.92</v>
      </c>
      <c r="I358" s="679">
        <v>184.69</v>
      </c>
    </row>
    <row r="359" spans="2:9" ht="30">
      <c r="B359" s="395">
        <v>98453</v>
      </c>
      <c r="C359" s="406" t="s">
        <v>2724</v>
      </c>
      <c r="D359" s="395" t="s">
        <v>0</v>
      </c>
      <c r="E359" s="407">
        <f t="shared" si="10"/>
        <v>230.06</v>
      </c>
      <c r="F359">
        <f t="shared" si="11"/>
        <v>98453</v>
      </c>
      <c r="H359" s="680">
        <v>230.06</v>
      </c>
      <c r="I359" s="680">
        <v>234.59</v>
      </c>
    </row>
    <row r="360" spans="2:9" ht="30">
      <c r="B360" s="396">
        <v>98454</v>
      </c>
      <c r="C360" s="401" t="s">
        <v>2725</v>
      </c>
      <c r="D360" s="396" t="s">
        <v>0</v>
      </c>
      <c r="E360" s="405">
        <f t="shared" si="10"/>
        <v>285.31</v>
      </c>
      <c r="F360">
        <f t="shared" si="11"/>
        <v>98454</v>
      </c>
      <c r="H360" s="679">
        <v>285.31</v>
      </c>
      <c r="I360" s="679">
        <v>293.39</v>
      </c>
    </row>
    <row r="361" spans="2:9" ht="30">
      <c r="B361" s="395">
        <v>98455</v>
      </c>
      <c r="C361" s="406" t="s">
        <v>2726</v>
      </c>
      <c r="D361" s="395" t="s">
        <v>0</v>
      </c>
      <c r="E361" s="407">
        <f t="shared" si="10"/>
        <v>205.42</v>
      </c>
      <c r="F361">
        <f t="shared" si="11"/>
        <v>98455</v>
      </c>
      <c r="H361" s="680">
        <v>205.42</v>
      </c>
      <c r="I361" s="680">
        <v>208.12</v>
      </c>
    </row>
    <row r="362" spans="2:9" ht="30">
      <c r="B362" s="396">
        <v>98456</v>
      </c>
      <c r="C362" s="401" t="s">
        <v>2727</v>
      </c>
      <c r="D362" s="396" t="s">
        <v>0</v>
      </c>
      <c r="E362" s="405">
        <f t="shared" si="10"/>
        <v>250.1</v>
      </c>
      <c r="F362">
        <f t="shared" si="11"/>
        <v>98456</v>
      </c>
      <c r="H362" s="679">
        <v>250.1</v>
      </c>
      <c r="I362" s="679">
        <v>255.59</v>
      </c>
    </row>
    <row r="363" spans="2:9">
      <c r="B363" s="395">
        <v>98458</v>
      </c>
      <c r="C363" s="406" t="s">
        <v>2728</v>
      </c>
      <c r="D363" s="395" t="s">
        <v>0</v>
      </c>
      <c r="E363" s="407">
        <f t="shared" si="10"/>
        <v>141.41</v>
      </c>
      <c r="F363">
        <f t="shared" si="11"/>
        <v>98458</v>
      </c>
      <c r="H363" s="680">
        <v>141.41</v>
      </c>
      <c r="I363" s="680">
        <v>143.41</v>
      </c>
    </row>
    <row r="364" spans="2:9">
      <c r="B364" s="396">
        <v>98459</v>
      </c>
      <c r="C364" s="401" t="s">
        <v>2729</v>
      </c>
      <c r="D364" s="396" t="s">
        <v>0</v>
      </c>
      <c r="E364" s="405">
        <f t="shared" si="10"/>
        <v>101.47</v>
      </c>
      <c r="F364">
        <f t="shared" si="11"/>
        <v>98459</v>
      </c>
      <c r="H364" s="679">
        <v>101.47</v>
      </c>
      <c r="I364" s="679">
        <v>103.32</v>
      </c>
    </row>
    <row r="365" spans="2:9">
      <c r="B365" s="395">
        <v>98460</v>
      </c>
      <c r="C365" s="406" t="s">
        <v>2730</v>
      </c>
      <c r="D365" s="395" t="s">
        <v>0</v>
      </c>
      <c r="E365" s="407">
        <f t="shared" si="10"/>
        <v>186.01</v>
      </c>
      <c r="F365">
        <f t="shared" si="11"/>
        <v>98460</v>
      </c>
      <c r="H365" s="680">
        <v>186.01</v>
      </c>
      <c r="I365" s="680">
        <v>186.83</v>
      </c>
    </row>
    <row r="366" spans="2:9">
      <c r="B366" s="396">
        <v>98461</v>
      </c>
      <c r="C366" s="401" t="s">
        <v>7303</v>
      </c>
      <c r="D366" s="396" t="s">
        <v>23</v>
      </c>
      <c r="E366" s="405">
        <f t="shared" si="10"/>
        <v>5247.79</v>
      </c>
      <c r="F366">
        <f t="shared" si="11"/>
        <v>98461</v>
      </c>
      <c r="H366" s="679">
        <v>5247.79</v>
      </c>
      <c r="I366" s="679">
        <v>5271.84</v>
      </c>
    </row>
    <row r="367" spans="2:9">
      <c r="B367" s="395">
        <v>98462</v>
      </c>
      <c r="C367" s="406" t="s">
        <v>7304</v>
      </c>
      <c r="D367" s="395" t="s">
        <v>23</v>
      </c>
      <c r="E367" s="407">
        <f t="shared" si="10"/>
        <v>7974.92</v>
      </c>
      <c r="F367">
        <f t="shared" si="11"/>
        <v>98462</v>
      </c>
      <c r="H367" s="680">
        <v>7974.92</v>
      </c>
      <c r="I367" s="680">
        <v>8011.67</v>
      </c>
    </row>
    <row r="368" spans="2:9" ht="30">
      <c r="B368" s="396">
        <v>5631</v>
      </c>
      <c r="C368" s="401" t="s">
        <v>723</v>
      </c>
      <c r="D368" s="396" t="s">
        <v>33</v>
      </c>
      <c r="E368" s="405">
        <f t="shared" si="10"/>
        <v>202.28</v>
      </c>
      <c r="F368">
        <f t="shared" si="11"/>
        <v>5631</v>
      </c>
      <c r="H368" s="679">
        <v>202.28</v>
      </c>
      <c r="I368" s="679">
        <v>204.76</v>
      </c>
    </row>
    <row r="369" spans="2:9" ht="45">
      <c r="B369" s="395">
        <v>5678</v>
      </c>
      <c r="C369" s="406" t="s">
        <v>724</v>
      </c>
      <c r="D369" s="395" t="s">
        <v>33</v>
      </c>
      <c r="E369" s="407">
        <f t="shared" si="10"/>
        <v>139.54</v>
      </c>
      <c r="F369">
        <f t="shared" si="11"/>
        <v>5678</v>
      </c>
      <c r="H369" s="680">
        <v>139.54</v>
      </c>
      <c r="I369" s="680">
        <v>142.02000000000001</v>
      </c>
    </row>
    <row r="370" spans="2:9" ht="45">
      <c r="B370" s="396">
        <v>5680</v>
      </c>
      <c r="C370" s="401" t="s">
        <v>725</v>
      </c>
      <c r="D370" s="396" t="s">
        <v>33</v>
      </c>
      <c r="E370" s="405">
        <f t="shared" si="10"/>
        <v>126.83</v>
      </c>
      <c r="F370">
        <f t="shared" si="11"/>
        <v>5680</v>
      </c>
      <c r="H370" s="679">
        <v>126.83</v>
      </c>
      <c r="I370" s="679">
        <v>129.31</v>
      </c>
    </row>
    <row r="371" spans="2:9" ht="30">
      <c r="B371" s="395">
        <v>5684</v>
      </c>
      <c r="C371" s="406" t="s">
        <v>726</v>
      </c>
      <c r="D371" s="395" t="s">
        <v>33</v>
      </c>
      <c r="E371" s="407">
        <f t="shared" si="10"/>
        <v>159.02000000000001</v>
      </c>
      <c r="F371">
        <f t="shared" si="11"/>
        <v>5684</v>
      </c>
      <c r="H371" s="680">
        <v>159.02000000000001</v>
      </c>
      <c r="I371" s="680">
        <v>160.91</v>
      </c>
    </row>
    <row r="372" spans="2:9" ht="30">
      <c r="B372" s="396">
        <v>5689</v>
      </c>
      <c r="C372" s="401" t="s">
        <v>213</v>
      </c>
      <c r="D372" s="396" t="s">
        <v>33</v>
      </c>
      <c r="E372" s="405">
        <f t="shared" si="10"/>
        <v>7.52</v>
      </c>
      <c r="F372">
        <f t="shared" si="11"/>
        <v>5689</v>
      </c>
      <c r="H372" s="679">
        <v>7.52</v>
      </c>
      <c r="I372" s="679">
        <v>7.52</v>
      </c>
    </row>
    <row r="373" spans="2:9">
      <c r="B373" s="395">
        <v>5795</v>
      </c>
      <c r="C373" s="406" t="s">
        <v>468</v>
      </c>
      <c r="D373" s="395" t="s">
        <v>33</v>
      </c>
      <c r="E373" s="407">
        <f t="shared" si="10"/>
        <v>18.079999999999998</v>
      </c>
      <c r="F373">
        <f t="shared" si="11"/>
        <v>5795</v>
      </c>
      <c r="H373" s="680">
        <v>18.079999999999998</v>
      </c>
      <c r="I373" s="680">
        <v>19.57</v>
      </c>
    </row>
    <row r="374" spans="2:9" ht="30">
      <c r="B374" s="396">
        <v>5811</v>
      </c>
      <c r="C374" s="401" t="s">
        <v>727</v>
      </c>
      <c r="D374" s="396" t="s">
        <v>33</v>
      </c>
      <c r="E374" s="405">
        <f t="shared" si="10"/>
        <v>191.64</v>
      </c>
      <c r="F374">
        <f t="shared" si="11"/>
        <v>5811</v>
      </c>
      <c r="H374" s="679">
        <v>191.64</v>
      </c>
      <c r="I374" s="679">
        <v>193.56</v>
      </c>
    </row>
    <row r="375" spans="2:9">
      <c r="B375" s="395">
        <v>5823</v>
      </c>
      <c r="C375" s="406" t="s">
        <v>469</v>
      </c>
      <c r="D375" s="395" t="s">
        <v>33</v>
      </c>
      <c r="E375" s="407">
        <f t="shared" si="10"/>
        <v>184.21</v>
      </c>
      <c r="F375">
        <f t="shared" si="11"/>
        <v>5823</v>
      </c>
      <c r="H375" s="680">
        <v>184.21</v>
      </c>
      <c r="I375" s="680">
        <v>193.73</v>
      </c>
    </row>
    <row r="376" spans="2:9" ht="30">
      <c r="B376" s="396">
        <v>5824</v>
      </c>
      <c r="C376" s="401" t="s">
        <v>728</v>
      </c>
      <c r="D376" s="396" t="s">
        <v>33</v>
      </c>
      <c r="E376" s="405">
        <f t="shared" si="10"/>
        <v>206.33</v>
      </c>
      <c r="F376">
        <f t="shared" si="11"/>
        <v>5824</v>
      </c>
      <c r="H376" s="679">
        <v>206.33</v>
      </c>
      <c r="I376" s="679">
        <v>208.36</v>
      </c>
    </row>
    <row r="377" spans="2:9" ht="30">
      <c r="B377" s="395">
        <v>5835</v>
      </c>
      <c r="C377" s="406" t="s">
        <v>729</v>
      </c>
      <c r="D377" s="395" t="s">
        <v>33</v>
      </c>
      <c r="E377" s="407">
        <f t="shared" si="10"/>
        <v>390.15</v>
      </c>
      <c r="F377">
        <f t="shared" si="11"/>
        <v>5835</v>
      </c>
      <c r="H377" s="680">
        <v>390.15</v>
      </c>
      <c r="I377" s="680">
        <v>392.52</v>
      </c>
    </row>
    <row r="378" spans="2:9">
      <c r="B378" s="396">
        <v>5839</v>
      </c>
      <c r="C378" s="401" t="s">
        <v>730</v>
      </c>
      <c r="D378" s="396" t="s">
        <v>33</v>
      </c>
      <c r="E378" s="405">
        <f t="shared" si="10"/>
        <v>11.31</v>
      </c>
      <c r="F378">
        <f t="shared" si="11"/>
        <v>5839</v>
      </c>
      <c r="H378" s="679">
        <v>11.31</v>
      </c>
      <c r="I378" s="679">
        <v>11.31</v>
      </c>
    </row>
    <row r="379" spans="2:9">
      <c r="B379" s="395">
        <v>5843</v>
      </c>
      <c r="C379" s="406" t="s">
        <v>214</v>
      </c>
      <c r="D379" s="395" t="s">
        <v>33</v>
      </c>
      <c r="E379" s="407">
        <f t="shared" si="10"/>
        <v>164.05</v>
      </c>
      <c r="F379">
        <f t="shared" si="11"/>
        <v>5843</v>
      </c>
      <c r="H379" s="680">
        <v>164.05</v>
      </c>
      <c r="I379" s="680">
        <v>165.95</v>
      </c>
    </row>
    <row r="380" spans="2:9">
      <c r="B380" s="396">
        <v>5847</v>
      </c>
      <c r="C380" s="401" t="s">
        <v>731</v>
      </c>
      <c r="D380" s="396" t="s">
        <v>33</v>
      </c>
      <c r="E380" s="405">
        <f t="shared" si="10"/>
        <v>250.61</v>
      </c>
      <c r="F380">
        <f t="shared" si="11"/>
        <v>5847</v>
      </c>
      <c r="H380" s="679">
        <v>250.61</v>
      </c>
      <c r="I380" s="679">
        <v>252.51</v>
      </c>
    </row>
    <row r="381" spans="2:9" ht="30">
      <c r="B381" s="395">
        <v>5851</v>
      </c>
      <c r="C381" s="406" t="s">
        <v>34</v>
      </c>
      <c r="D381" s="395" t="s">
        <v>33</v>
      </c>
      <c r="E381" s="407">
        <f t="shared" si="10"/>
        <v>237.95</v>
      </c>
      <c r="F381">
        <f t="shared" si="11"/>
        <v>5851</v>
      </c>
      <c r="H381" s="680">
        <v>237.95</v>
      </c>
      <c r="I381" s="680">
        <v>239.85</v>
      </c>
    </row>
    <row r="382" spans="2:9">
      <c r="B382" s="396">
        <v>5855</v>
      </c>
      <c r="C382" s="401" t="s">
        <v>732</v>
      </c>
      <c r="D382" s="396" t="s">
        <v>33</v>
      </c>
      <c r="E382" s="405">
        <f t="shared" si="10"/>
        <v>644.85</v>
      </c>
      <c r="F382">
        <f t="shared" si="11"/>
        <v>5855</v>
      </c>
      <c r="H382" s="679">
        <v>644.85</v>
      </c>
      <c r="I382" s="679">
        <v>646.75</v>
      </c>
    </row>
    <row r="383" spans="2:9" ht="30">
      <c r="B383" s="395">
        <v>5863</v>
      </c>
      <c r="C383" s="406" t="s">
        <v>733</v>
      </c>
      <c r="D383" s="395" t="s">
        <v>33</v>
      </c>
      <c r="E383" s="407">
        <f t="shared" si="10"/>
        <v>24.53</v>
      </c>
      <c r="F383">
        <f t="shared" si="11"/>
        <v>5863</v>
      </c>
      <c r="H383" s="680">
        <v>24.53</v>
      </c>
      <c r="I383" s="680">
        <v>24.53</v>
      </c>
    </row>
    <row r="384" spans="2:9" ht="30">
      <c r="B384" s="396">
        <v>5867</v>
      </c>
      <c r="C384" s="401" t="s">
        <v>734</v>
      </c>
      <c r="D384" s="396" t="s">
        <v>33</v>
      </c>
      <c r="E384" s="405">
        <f t="shared" si="10"/>
        <v>160.12</v>
      </c>
      <c r="F384">
        <f t="shared" si="11"/>
        <v>5867</v>
      </c>
      <c r="H384" s="679">
        <v>160.12</v>
      </c>
      <c r="I384" s="679">
        <v>162.01</v>
      </c>
    </row>
    <row r="385" spans="2:9" ht="45">
      <c r="B385" s="395">
        <v>5875</v>
      </c>
      <c r="C385" s="406" t="s">
        <v>735</v>
      </c>
      <c r="D385" s="395" t="s">
        <v>33</v>
      </c>
      <c r="E385" s="407">
        <f t="shared" si="10"/>
        <v>127.34</v>
      </c>
      <c r="F385">
        <f t="shared" si="11"/>
        <v>5875</v>
      </c>
      <c r="H385" s="680">
        <v>127.34</v>
      </c>
      <c r="I385" s="680">
        <v>129.82</v>
      </c>
    </row>
    <row r="386" spans="2:9" ht="30">
      <c r="B386" s="396">
        <v>5879</v>
      </c>
      <c r="C386" s="401" t="s">
        <v>736</v>
      </c>
      <c r="D386" s="396" t="s">
        <v>33</v>
      </c>
      <c r="E386" s="405">
        <f t="shared" si="10"/>
        <v>140.41999999999999</v>
      </c>
      <c r="F386">
        <f t="shared" si="11"/>
        <v>5879</v>
      </c>
      <c r="H386" s="679">
        <v>140.41999999999999</v>
      </c>
      <c r="I386" s="679">
        <v>142.31</v>
      </c>
    </row>
    <row r="387" spans="2:9" ht="30">
      <c r="B387" s="395">
        <v>5882</v>
      </c>
      <c r="C387" s="406" t="s">
        <v>737</v>
      </c>
      <c r="D387" s="395" t="s">
        <v>33</v>
      </c>
      <c r="E387" s="407">
        <f t="shared" ref="E387:E450" si="12">IF($K$2=$H$1,H387,I387)</f>
        <v>111.37</v>
      </c>
      <c r="F387">
        <f t="shared" ref="F387:F450" si="13">IF(LEN($B387)=7,CONCATENATE(MID($B387,1,6),"00",RIGHT($B387,1)),IF(LEN($B387)=8,CONCATENATE(MID($B387,1,6),"0",RIGHT($B387,2)),$B387))</f>
        <v>5882</v>
      </c>
      <c r="H387" s="680">
        <v>111.37</v>
      </c>
      <c r="I387" s="680">
        <v>113.24</v>
      </c>
    </row>
    <row r="388" spans="2:9" ht="30">
      <c r="B388" s="396">
        <v>5890</v>
      </c>
      <c r="C388" s="401" t="s">
        <v>215</v>
      </c>
      <c r="D388" s="396" t="s">
        <v>33</v>
      </c>
      <c r="E388" s="405">
        <f t="shared" si="12"/>
        <v>194.35</v>
      </c>
      <c r="F388">
        <f t="shared" si="13"/>
        <v>5890</v>
      </c>
      <c r="H388" s="679">
        <v>194.35</v>
      </c>
      <c r="I388" s="679">
        <v>196.38</v>
      </c>
    </row>
    <row r="389" spans="2:9" ht="30">
      <c r="B389" s="395">
        <v>5894</v>
      </c>
      <c r="C389" s="406" t="s">
        <v>738</v>
      </c>
      <c r="D389" s="395" t="s">
        <v>33</v>
      </c>
      <c r="E389" s="407">
        <f t="shared" si="12"/>
        <v>202.35</v>
      </c>
      <c r="F389">
        <f t="shared" si="13"/>
        <v>5894</v>
      </c>
      <c r="H389" s="680">
        <v>202.35</v>
      </c>
      <c r="I389" s="680">
        <v>204.38</v>
      </c>
    </row>
    <row r="390" spans="2:9" ht="30">
      <c r="B390" s="396">
        <v>5901</v>
      </c>
      <c r="C390" s="401" t="s">
        <v>739</v>
      </c>
      <c r="D390" s="396" t="s">
        <v>33</v>
      </c>
      <c r="E390" s="405">
        <f t="shared" si="12"/>
        <v>310.75</v>
      </c>
      <c r="F390">
        <f t="shared" si="13"/>
        <v>5901</v>
      </c>
      <c r="H390" s="679">
        <v>310.75</v>
      </c>
      <c r="I390" s="679">
        <v>312.77999999999997</v>
      </c>
    </row>
    <row r="391" spans="2:9" ht="30">
      <c r="B391" s="395">
        <v>5909</v>
      </c>
      <c r="C391" s="406" t="s">
        <v>216</v>
      </c>
      <c r="D391" s="395" t="s">
        <v>33</v>
      </c>
      <c r="E391" s="407">
        <f t="shared" si="12"/>
        <v>28.26</v>
      </c>
      <c r="F391">
        <f t="shared" si="13"/>
        <v>5909</v>
      </c>
      <c r="H391" s="680">
        <v>28.26</v>
      </c>
      <c r="I391" s="680">
        <v>30.13</v>
      </c>
    </row>
    <row r="392" spans="2:9">
      <c r="B392" s="396">
        <v>5921</v>
      </c>
      <c r="C392" s="401" t="s">
        <v>740</v>
      </c>
      <c r="D392" s="396" t="s">
        <v>33</v>
      </c>
      <c r="E392" s="405">
        <f t="shared" si="12"/>
        <v>5.9</v>
      </c>
      <c r="F392">
        <f t="shared" si="13"/>
        <v>5921</v>
      </c>
      <c r="H392" s="679">
        <v>5.9</v>
      </c>
      <c r="I392" s="679">
        <v>5.9</v>
      </c>
    </row>
    <row r="393" spans="2:9" ht="30">
      <c r="B393" s="395">
        <v>5928</v>
      </c>
      <c r="C393" s="406" t="s">
        <v>741</v>
      </c>
      <c r="D393" s="395" t="s">
        <v>33</v>
      </c>
      <c r="E393" s="407">
        <f t="shared" si="12"/>
        <v>268.56</v>
      </c>
      <c r="F393">
        <f t="shared" si="13"/>
        <v>5928</v>
      </c>
      <c r="H393" s="680">
        <v>268.56</v>
      </c>
      <c r="I393" s="680">
        <v>270.95999999999998</v>
      </c>
    </row>
    <row r="394" spans="2:9" ht="30">
      <c r="B394" s="396">
        <v>5932</v>
      </c>
      <c r="C394" s="401" t="s">
        <v>35</v>
      </c>
      <c r="D394" s="396" t="s">
        <v>33</v>
      </c>
      <c r="E394" s="405">
        <f t="shared" si="12"/>
        <v>237.24</v>
      </c>
      <c r="F394">
        <f t="shared" si="13"/>
        <v>5932</v>
      </c>
      <c r="H394" s="679">
        <v>237.24</v>
      </c>
      <c r="I394" s="679">
        <v>240.05</v>
      </c>
    </row>
    <row r="395" spans="2:9" ht="30">
      <c r="B395" s="395">
        <v>5940</v>
      </c>
      <c r="C395" s="406" t="s">
        <v>742</v>
      </c>
      <c r="D395" s="395" t="s">
        <v>33</v>
      </c>
      <c r="E395" s="407">
        <f t="shared" si="12"/>
        <v>177.86</v>
      </c>
      <c r="F395">
        <f t="shared" si="13"/>
        <v>5940</v>
      </c>
      <c r="H395" s="680">
        <v>177.86</v>
      </c>
      <c r="I395" s="680">
        <v>179.92</v>
      </c>
    </row>
    <row r="396" spans="2:9" ht="30">
      <c r="B396" s="396">
        <v>5944</v>
      </c>
      <c r="C396" s="401" t="s">
        <v>743</v>
      </c>
      <c r="D396" s="396" t="s">
        <v>33</v>
      </c>
      <c r="E396" s="405">
        <f t="shared" si="12"/>
        <v>218.99</v>
      </c>
      <c r="F396">
        <f t="shared" si="13"/>
        <v>5944</v>
      </c>
      <c r="H396" s="679">
        <v>218.99</v>
      </c>
      <c r="I396" s="679">
        <v>221.05</v>
      </c>
    </row>
    <row r="397" spans="2:9" ht="30">
      <c r="B397" s="395">
        <v>5953</v>
      </c>
      <c r="C397" s="406" t="s">
        <v>217</v>
      </c>
      <c r="D397" s="395" t="s">
        <v>33</v>
      </c>
      <c r="E397" s="407">
        <f t="shared" si="12"/>
        <v>62.25</v>
      </c>
      <c r="F397">
        <f t="shared" si="13"/>
        <v>5953</v>
      </c>
      <c r="H397" s="680">
        <v>62.25</v>
      </c>
      <c r="I397" s="680">
        <v>62.25</v>
      </c>
    </row>
    <row r="398" spans="2:9" ht="30">
      <c r="B398" s="396">
        <v>6259</v>
      </c>
      <c r="C398" s="401" t="s">
        <v>744</v>
      </c>
      <c r="D398" s="396" t="s">
        <v>33</v>
      </c>
      <c r="E398" s="405">
        <f t="shared" si="12"/>
        <v>249.33</v>
      </c>
      <c r="F398">
        <f t="shared" si="13"/>
        <v>6259</v>
      </c>
      <c r="H398" s="679">
        <v>249.33</v>
      </c>
      <c r="I398" s="679">
        <v>251.36</v>
      </c>
    </row>
    <row r="399" spans="2:9" ht="30">
      <c r="B399" s="395">
        <v>6879</v>
      </c>
      <c r="C399" s="406" t="s">
        <v>745</v>
      </c>
      <c r="D399" s="395" t="s">
        <v>33</v>
      </c>
      <c r="E399" s="407">
        <f t="shared" si="12"/>
        <v>212.61</v>
      </c>
      <c r="F399">
        <f t="shared" si="13"/>
        <v>6879</v>
      </c>
      <c r="H399" s="680">
        <v>212.61</v>
      </c>
      <c r="I399" s="680">
        <v>214.5</v>
      </c>
    </row>
    <row r="400" spans="2:9">
      <c r="B400" s="396">
        <v>7030</v>
      </c>
      <c r="C400" s="401" t="s">
        <v>746</v>
      </c>
      <c r="D400" s="396" t="s">
        <v>33</v>
      </c>
      <c r="E400" s="405">
        <f t="shared" si="12"/>
        <v>285.81</v>
      </c>
      <c r="F400">
        <f t="shared" si="13"/>
        <v>7030</v>
      </c>
      <c r="H400" s="679">
        <v>285.81</v>
      </c>
      <c r="I400" s="679">
        <v>285.81</v>
      </c>
    </row>
    <row r="401" spans="2:9" ht="30">
      <c r="B401" s="395">
        <v>7042</v>
      </c>
      <c r="C401" s="406" t="s">
        <v>747</v>
      </c>
      <c r="D401" s="395" t="s">
        <v>33</v>
      </c>
      <c r="E401" s="407">
        <f t="shared" si="12"/>
        <v>20.75</v>
      </c>
      <c r="F401">
        <f t="shared" si="13"/>
        <v>7042</v>
      </c>
      <c r="H401" s="680">
        <v>20.75</v>
      </c>
      <c r="I401" s="680">
        <v>20.75</v>
      </c>
    </row>
    <row r="402" spans="2:9" ht="30">
      <c r="B402" s="396">
        <v>7049</v>
      </c>
      <c r="C402" s="401" t="s">
        <v>748</v>
      </c>
      <c r="D402" s="396" t="s">
        <v>33</v>
      </c>
      <c r="E402" s="405">
        <f t="shared" si="12"/>
        <v>224.84</v>
      </c>
      <c r="F402">
        <f t="shared" si="13"/>
        <v>7049</v>
      </c>
      <c r="H402" s="679">
        <v>224.84</v>
      </c>
      <c r="I402" s="679">
        <v>226.73</v>
      </c>
    </row>
    <row r="403" spans="2:9" ht="30">
      <c r="B403" s="395">
        <v>67826</v>
      </c>
      <c r="C403" s="406" t="s">
        <v>749</v>
      </c>
      <c r="D403" s="395" t="s">
        <v>33</v>
      </c>
      <c r="E403" s="407">
        <f t="shared" si="12"/>
        <v>172.76</v>
      </c>
      <c r="F403">
        <f t="shared" si="13"/>
        <v>67826</v>
      </c>
      <c r="H403" s="680">
        <v>172.76</v>
      </c>
      <c r="I403" s="680">
        <v>174.68</v>
      </c>
    </row>
    <row r="404" spans="2:9">
      <c r="B404" s="396">
        <v>73417</v>
      </c>
      <c r="C404" s="401" t="s">
        <v>750</v>
      </c>
      <c r="D404" s="396" t="s">
        <v>33</v>
      </c>
      <c r="E404" s="405">
        <f t="shared" si="12"/>
        <v>203.99</v>
      </c>
      <c r="F404">
        <f t="shared" si="13"/>
        <v>73417</v>
      </c>
      <c r="H404" s="679">
        <v>203.99</v>
      </c>
      <c r="I404" s="679">
        <v>203.99</v>
      </c>
    </row>
    <row r="405" spans="2:9" ht="30">
      <c r="B405" s="395">
        <v>73436</v>
      </c>
      <c r="C405" s="406" t="s">
        <v>218</v>
      </c>
      <c r="D405" s="395" t="s">
        <v>33</v>
      </c>
      <c r="E405" s="407">
        <f t="shared" si="12"/>
        <v>195.27</v>
      </c>
      <c r="F405">
        <f t="shared" si="13"/>
        <v>73436</v>
      </c>
      <c r="H405" s="680">
        <v>195.27</v>
      </c>
      <c r="I405" s="680">
        <v>200.94</v>
      </c>
    </row>
    <row r="406" spans="2:9" ht="30">
      <c r="B406" s="396">
        <v>73467</v>
      </c>
      <c r="C406" s="401" t="s">
        <v>751</v>
      </c>
      <c r="D406" s="396" t="s">
        <v>33</v>
      </c>
      <c r="E406" s="405">
        <f t="shared" si="12"/>
        <v>241.71</v>
      </c>
      <c r="F406">
        <f t="shared" si="13"/>
        <v>73467</v>
      </c>
      <c r="H406" s="679">
        <v>241.71</v>
      </c>
      <c r="I406" s="679">
        <v>243.74</v>
      </c>
    </row>
    <row r="407" spans="2:9" ht="30">
      <c r="B407" s="395">
        <v>73536</v>
      </c>
      <c r="C407" s="406" t="s">
        <v>752</v>
      </c>
      <c r="D407" s="395" t="s">
        <v>33</v>
      </c>
      <c r="E407" s="407">
        <f t="shared" si="12"/>
        <v>17.55</v>
      </c>
      <c r="F407">
        <f t="shared" si="13"/>
        <v>73536</v>
      </c>
      <c r="H407" s="680">
        <v>17.55</v>
      </c>
      <c r="I407" s="680">
        <v>17.55</v>
      </c>
    </row>
    <row r="408" spans="2:9" ht="30">
      <c r="B408" s="396">
        <v>83362</v>
      </c>
      <c r="C408" s="401" t="s">
        <v>753</v>
      </c>
      <c r="D408" s="396" t="s">
        <v>33</v>
      </c>
      <c r="E408" s="405">
        <f t="shared" si="12"/>
        <v>256.39</v>
      </c>
      <c r="F408">
        <f t="shared" si="13"/>
        <v>83362</v>
      </c>
      <c r="H408" s="679">
        <v>256.39</v>
      </c>
      <c r="I408" s="679">
        <v>258.42</v>
      </c>
    </row>
    <row r="409" spans="2:9" ht="30">
      <c r="B409" s="395">
        <v>83765</v>
      </c>
      <c r="C409" s="406" t="s">
        <v>754</v>
      </c>
      <c r="D409" s="395" t="s">
        <v>33</v>
      </c>
      <c r="E409" s="407">
        <f t="shared" si="12"/>
        <v>95.5</v>
      </c>
      <c r="F409">
        <f t="shared" si="13"/>
        <v>83765</v>
      </c>
      <c r="H409" s="680">
        <v>95.5</v>
      </c>
      <c r="I409" s="680">
        <v>97.98</v>
      </c>
    </row>
    <row r="410" spans="2:9" ht="30">
      <c r="B410" s="396">
        <v>87445</v>
      </c>
      <c r="C410" s="401" t="s">
        <v>219</v>
      </c>
      <c r="D410" s="396" t="s">
        <v>33</v>
      </c>
      <c r="E410" s="405">
        <f t="shared" si="12"/>
        <v>5.64</v>
      </c>
      <c r="F410">
        <f t="shared" si="13"/>
        <v>87445</v>
      </c>
      <c r="H410" s="679">
        <v>5.64</v>
      </c>
      <c r="I410" s="679">
        <v>5.64</v>
      </c>
    </row>
    <row r="411" spans="2:9" ht="30">
      <c r="B411" s="395">
        <v>88386</v>
      </c>
      <c r="C411" s="406" t="s">
        <v>755</v>
      </c>
      <c r="D411" s="395" t="s">
        <v>33</v>
      </c>
      <c r="E411" s="407">
        <f t="shared" si="12"/>
        <v>5.4</v>
      </c>
      <c r="F411">
        <f t="shared" si="13"/>
        <v>88386</v>
      </c>
      <c r="H411" s="680">
        <v>5.4</v>
      </c>
      <c r="I411" s="680">
        <v>5.4</v>
      </c>
    </row>
    <row r="412" spans="2:9" ht="30">
      <c r="B412" s="396">
        <v>88393</v>
      </c>
      <c r="C412" s="401" t="s">
        <v>756</v>
      </c>
      <c r="D412" s="396" t="s">
        <v>33</v>
      </c>
      <c r="E412" s="405">
        <f t="shared" si="12"/>
        <v>7.46</v>
      </c>
      <c r="F412">
        <f t="shared" si="13"/>
        <v>88393</v>
      </c>
      <c r="H412" s="679">
        <v>7.46</v>
      </c>
      <c r="I412" s="679">
        <v>7.46</v>
      </c>
    </row>
    <row r="413" spans="2:9" ht="30">
      <c r="B413" s="395">
        <v>88399</v>
      </c>
      <c r="C413" s="406" t="s">
        <v>757</v>
      </c>
      <c r="D413" s="395" t="s">
        <v>33</v>
      </c>
      <c r="E413" s="407">
        <f t="shared" si="12"/>
        <v>3.98</v>
      </c>
      <c r="F413">
        <f t="shared" si="13"/>
        <v>88399</v>
      </c>
      <c r="H413" s="680">
        <v>3.98</v>
      </c>
      <c r="I413" s="680">
        <v>3.98</v>
      </c>
    </row>
    <row r="414" spans="2:9" ht="30">
      <c r="B414" s="396">
        <v>88418</v>
      </c>
      <c r="C414" s="401" t="s">
        <v>220</v>
      </c>
      <c r="D414" s="396" t="s">
        <v>33</v>
      </c>
      <c r="E414" s="405">
        <f t="shared" si="12"/>
        <v>15.22</v>
      </c>
      <c r="F414">
        <f t="shared" si="13"/>
        <v>88418</v>
      </c>
      <c r="H414" s="679">
        <v>15.22</v>
      </c>
      <c r="I414" s="679">
        <v>15.22</v>
      </c>
    </row>
    <row r="415" spans="2:9" ht="30">
      <c r="B415" s="395">
        <v>88433</v>
      </c>
      <c r="C415" s="406" t="s">
        <v>758</v>
      </c>
      <c r="D415" s="395" t="s">
        <v>33</v>
      </c>
      <c r="E415" s="407">
        <f t="shared" si="12"/>
        <v>19.809999999999999</v>
      </c>
      <c r="F415">
        <f t="shared" si="13"/>
        <v>88433</v>
      </c>
      <c r="H415" s="680">
        <v>19.809999999999999</v>
      </c>
      <c r="I415" s="680">
        <v>19.809999999999999</v>
      </c>
    </row>
    <row r="416" spans="2:9" ht="30">
      <c r="B416" s="396">
        <v>88830</v>
      </c>
      <c r="C416" s="401" t="s">
        <v>2037</v>
      </c>
      <c r="D416" s="396" t="s">
        <v>33</v>
      </c>
      <c r="E416" s="405">
        <f t="shared" si="12"/>
        <v>2.1</v>
      </c>
      <c r="F416">
        <f t="shared" si="13"/>
        <v>88830</v>
      </c>
      <c r="H416" s="679">
        <v>2.1</v>
      </c>
      <c r="I416" s="679">
        <v>2.1</v>
      </c>
    </row>
    <row r="417" spans="2:9">
      <c r="B417" s="395">
        <v>88843</v>
      </c>
      <c r="C417" s="406" t="s">
        <v>759</v>
      </c>
      <c r="D417" s="395" t="s">
        <v>33</v>
      </c>
      <c r="E417" s="407">
        <f t="shared" si="12"/>
        <v>197.93</v>
      </c>
      <c r="F417">
        <f t="shared" si="13"/>
        <v>88843</v>
      </c>
      <c r="H417" s="680">
        <v>197.93</v>
      </c>
      <c r="I417" s="680">
        <v>199.83</v>
      </c>
    </row>
    <row r="418" spans="2:9" ht="30">
      <c r="B418" s="396">
        <v>88907</v>
      </c>
      <c r="C418" s="401" t="s">
        <v>760</v>
      </c>
      <c r="D418" s="396" t="s">
        <v>33</v>
      </c>
      <c r="E418" s="405">
        <f t="shared" si="12"/>
        <v>242.28</v>
      </c>
      <c r="F418">
        <f t="shared" si="13"/>
        <v>88907</v>
      </c>
      <c r="H418" s="679">
        <v>242.28</v>
      </c>
      <c r="I418" s="679">
        <v>244.76</v>
      </c>
    </row>
    <row r="419" spans="2:9" ht="30">
      <c r="B419" s="395">
        <v>89021</v>
      </c>
      <c r="C419" s="406" t="s">
        <v>761</v>
      </c>
      <c r="D419" s="395" t="s">
        <v>33</v>
      </c>
      <c r="E419" s="407">
        <f t="shared" si="12"/>
        <v>2.75</v>
      </c>
      <c r="F419">
        <f t="shared" si="13"/>
        <v>89021</v>
      </c>
      <c r="H419" s="680">
        <v>2.75</v>
      </c>
      <c r="I419" s="680">
        <v>2.75</v>
      </c>
    </row>
    <row r="420" spans="2:9">
      <c r="B420" s="396">
        <v>89028</v>
      </c>
      <c r="C420" s="401" t="s">
        <v>37</v>
      </c>
      <c r="D420" s="396" t="s">
        <v>33</v>
      </c>
      <c r="E420" s="405">
        <f t="shared" si="12"/>
        <v>192.14</v>
      </c>
      <c r="F420">
        <f t="shared" si="13"/>
        <v>89028</v>
      </c>
      <c r="H420" s="679">
        <v>192.14</v>
      </c>
      <c r="I420" s="679">
        <v>192.14</v>
      </c>
    </row>
    <row r="421" spans="2:9">
      <c r="B421" s="395">
        <v>89032</v>
      </c>
      <c r="C421" s="406" t="s">
        <v>762</v>
      </c>
      <c r="D421" s="395" t="s">
        <v>33</v>
      </c>
      <c r="E421" s="407">
        <f t="shared" si="12"/>
        <v>176.79</v>
      </c>
      <c r="F421">
        <f t="shared" si="13"/>
        <v>89032</v>
      </c>
      <c r="H421" s="680">
        <v>176.79</v>
      </c>
      <c r="I421" s="680">
        <v>178.69</v>
      </c>
    </row>
    <row r="422" spans="2:9">
      <c r="B422" s="396">
        <v>89035</v>
      </c>
      <c r="C422" s="401" t="s">
        <v>221</v>
      </c>
      <c r="D422" s="396" t="s">
        <v>33</v>
      </c>
      <c r="E422" s="405">
        <f t="shared" si="12"/>
        <v>120.94</v>
      </c>
      <c r="F422">
        <f t="shared" si="13"/>
        <v>89035</v>
      </c>
      <c r="H422" s="679">
        <v>120.94</v>
      </c>
      <c r="I422" s="679">
        <v>122.84</v>
      </c>
    </row>
    <row r="423" spans="2:9" ht="30">
      <c r="B423" s="395">
        <v>89225</v>
      </c>
      <c r="C423" s="406" t="s">
        <v>763</v>
      </c>
      <c r="D423" s="395" t="s">
        <v>33</v>
      </c>
      <c r="E423" s="407">
        <f t="shared" si="12"/>
        <v>5.89</v>
      </c>
      <c r="F423">
        <f t="shared" si="13"/>
        <v>89225</v>
      </c>
      <c r="H423" s="680">
        <v>5.89</v>
      </c>
      <c r="I423" s="680">
        <v>5.89</v>
      </c>
    </row>
    <row r="424" spans="2:9">
      <c r="B424" s="396">
        <v>89234</v>
      </c>
      <c r="C424" s="401" t="s">
        <v>764</v>
      </c>
      <c r="D424" s="396" t="s">
        <v>33</v>
      </c>
      <c r="E424" s="405">
        <f t="shared" si="12"/>
        <v>603.72</v>
      </c>
      <c r="F424">
        <f t="shared" si="13"/>
        <v>89234</v>
      </c>
      <c r="H424" s="679">
        <v>603.72</v>
      </c>
      <c r="I424" s="679">
        <v>606.09</v>
      </c>
    </row>
    <row r="425" spans="2:9">
      <c r="B425" s="395">
        <v>89242</v>
      </c>
      <c r="C425" s="406" t="s">
        <v>765</v>
      </c>
      <c r="D425" s="395" t="s">
        <v>33</v>
      </c>
      <c r="E425" s="407">
        <f t="shared" si="12"/>
        <v>1439.14</v>
      </c>
      <c r="F425">
        <f t="shared" si="13"/>
        <v>89242</v>
      </c>
      <c r="H425" s="680">
        <v>1439.14</v>
      </c>
      <c r="I425" s="680">
        <v>1441.51</v>
      </c>
    </row>
    <row r="426" spans="2:9">
      <c r="B426" s="396">
        <v>89250</v>
      </c>
      <c r="C426" s="401" t="s">
        <v>222</v>
      </c>
      <c r="D426" s="396" t="s">
        <v>33</v>
      </c>
      <c r="E426" s="405">
        <f t="shared" si="12"/>
        <v>1245.29</v>
      </c>
      <c r="F426">
        <f t="shared" si="13"/>
        <v>89250</v>
      </c>
      <c r="H426" s="679">
        <v>1245.29</v>
      </c>
      <c r="I426" s="679">
        <v>1247.6600000000001</v>
      </c>
    </row>
    <row r="427" spans="2:9" ht="30">
      <c r="B427" s="395">
        <v>89257</v>
      </c>
      <c r="C427" s="406" t="s">
        <v>766</v>
      </c>
      <c r="D427" s="395" t="s">
        <v>33</v>
      </c>
      <c r="E427" s="407">
        <f t="shared" si="12"/>
        <v>335.94</v>
      </c>
      <c r="F427">
        <f t="shared" si="13"/>
        <v>89257</v>
      </c>
      <c r="H427" s="680">
        <v>335.94</v>
      </c>
      <c r="I427" s="680">
        <v>338.31</v>
      </c>
    </row>
    <row r="428" spans="2:9" ht="30">
      <c r="B428" s="396">
        <v>89272</v>
      </c>
      <c r="C428" s="401" t="s">
        <v>767</v>
      </c>
      <c r="D428" s="396" t="s">
        <v>33</v>
      </c>
      <c r="E428" s="405">
        <f t="shared" si="12"/>
        <v>194.5</v>
      </c>
      <c r="F428">
        <f t="shared" si="13"/>
        <v>89272</v>
      </c>
      <c r="H428" s="679">
        <v>194.5</v>
      </c>
      <c r="I428" s="679">
        <v>196.3</v>
      </c>
    </row>
    <row r="429" spans="2:9" ht="30">
      <c r="B429" s="395">
        <v>89278</v>
      </c>
      <c r="C429" s="406" t="s">
        <v>768</v>
      </c>
      <c r="D429" s="395" t="s">
        <v>33</v>
      </c>
      <c r="E429" s="407">
        <f t="shared" si="12"/>
        <v>13.23</v>
      </c>
      <c r="F429">
        <f t="shared" si="13"/>
        <v>89278</v>
      </c>
      <c r="H429" s="680">
        <v>13.23</v>
      </c>
      <c r="I429" s="680">
        <v>13.23</v>
      </c>
    </row>
    <row r="430" spans="2:9">
      <c r="B430" s="396">
        <v>89843</v>
      </c>
      <c r="C430" s="401" t="s">
        <v>38</v>
      </c>
      <c r="D430" s="396" t="s">
        <v>33</v>
      </c>
      <c r="E430" s="405">
        <f t="shared" si="12"/>
        <v>196.46</v>
      </c>
      <c r="F430">
        <f t="shared" si="13"/>
        <v>89843</v>
      </c>
      <c r="H430" s="679">
        <v>196.46</v>
      </c>
      <c r="I430" s="679">
        <v>200.74</v>
      </c>
    </row>
    <row r="431" spans="2:9" ht="30">
      <c r="B431" s="395">
        <v>89876</v>
      </c>
      <c r="C431" s="406" t="s">
        <v>223</v>
      </c>
      <c r="D431" s="395" t="s">
        <v>33</v>
      </c>
      <c r="E431" s="407">
        <f t="shared" si="12"/>
        <v>298.70999999999998</v>
      </c>
      <c r="F431">
        <f t="shared" si="13"/>
        <v>89876</v>
      </c>
      <c r="H431" s="680">
        <v>298.70999999999998</v>
      </c>
      <c r="I431" s="680">
        <v>300.63</v>
      </c>
    </row>
    <row r="432" spans="2:9" ht="30">
      <c r="B432" s="396">
        <v>89883</v>
      </c>
      <c r="C432" s="401" t="s">
        <v>224</v>
      </c>
      <c r="D432" s="396" t="s">
        <v>33</v>
      </c>
      <c r="E432" s="405">
        <f t="shared" si="12"/>
        <v>334.45</v>
      </c>
      <c r="F432">
        <f t="shared" si="13"/>
        <v>89883</v>
      </c>
      <c r="H432" s="679">
        <v>334.45</v>
      </c>
      <c r="I432" s="679">
        <v>336.37</v>
      </c>
    </row>
    <row r="433" spans="2:9">
      <c r="B433" s="395">
        <v>90586</v>
      </c>
      <c r="C433" s="406" t="s">
        <v>769</v>
      </c>
      <c r="D433" s="395" t="s">
        <v>33</v>
      </c>
      <c r="E433" s="407">
        <f t="shared" si="12"/>
        <v>1.37</v>
      </c>
      <c r="F433">
        <f t="shared" si="13"/>
        <v>90586</v>
      </c>
      <c r="H433" s="680">
        <v>1.37</v>
      </c>
      <c r="I433" s="680">
        <v>1.37</v>
      </c>
    </row>
    <row r="434" spans="2:9">
      <c r="B434" s="396">
        <v>90625</v>
      </c>
      <c r="C434" s="401" t="s">
        <v>225</v>
      </c>
      <c r="D434" s="396" t="s">
        <v>33</v>
      </c>
      <c r="E434" s="405">
        <f t="shared" si="12"/>
        <v>8.92</v>
      </c>
      <c r="F434">
        <f t="shared" si="13"/>
        <v>90625</v>
      </c>
      <c r="H434" s="679">
        <v>8.92</v>
      </c>
      <c r="I434" s="679">
        <v>8.92</v>
      </c>
    </row>
    <row r="435" spans="2:9" ht="30">
      <c r="B435" s="395">
        <v>90631</v>
      </c>
      <c r="C435" s="406" t="s">
        <v>226</v>
      </c>
      <c r="D435" s="395" t="s">
        <v>33</v>
      </c>
      <c r="E435" s="407">
        <f t="shared" si="12"/>
        <v>133.04</v>
      </c>
      <c r="F435">
        <f t="shared" si="13"/>
        <v>90631</v>
      </c>
      <c r="H435" s="680">
        <v>133.04</v>
      </c>
      <c r="I435" s="680">
        <v>134.93</v>
      </c>
    </row>
    <row r="436" spans="2:9" ht="30">
      <c r="B436" s="396">
        <v>90637</v>
      </c>
      <c r="C436" s="401" t="s">
        <v>39</v>
      </c>
      <c r="D436" s="396" t="s">
        <v>33</v>
      </c>
      <c r="E436" s="405">
        <f t="shared" si="12"/>
        <v>16.7</v>
      </c>
      <c r="F436">
        <f t="shared" si="13"/>
        <v>90637</v>
      </c>
      <c r="H436" s="679">
        <v>16.7</v>
      </c>
      <c r="I436" s="679">
        <v>16.7</v>
      </c>
    </row>
    <row r="437" spans="2:9" ht="30">
      <c r="B437" s="395">
        <v>90643</v>
      </c>
      <c r="C437" s="406" t="s">
        <v>770</v>
      </c>
      <c r="D437" s="395" t="s">
        <v>33</v>
      </c>
      <c r="E437" s="407">
        <f t="shared" si="12"/>
        <v>28.59</v>
      </c>
      <c r="F437">
        <f t="shared" si="13"/>
        <v>90643</v>
      </c>
      <c r="H437" s="680">
        <v>28.59</v>
      </c>
      <c r="I437" s="680">
        <v>28.59</v>
      </c>
    </row>
    <row r="438" spans="2:9" ht="30">
      <c r="B438" s="396">
        <v>90650</v>
      </c>
      <c r="C438" s="401" t="s">
        <v>771</v>
      </c>
      <c r="D438" s="396" t="s">
        <v>33</v>
      </c>
      <c r="E438" s="405">
        <f t="shared" si="12"/>
        <v>12.07</v>
      </c>
      <c r="F438">
        <f t="shared" si="13"/>
        <v>90650</v>
      </c>
      <c r="H438" s="679">
        <v>12.07</v>
      </c>
      <c r="I438" s="679">
        <v>12.07</v>
      </c>
    </row>
    <row r="439" spans="2:9">
      <c r="B439" s="395">
        <v>90656</v>
      </c>
      <c r="C439" s="406" t="s">
        <v>227</v>
      </c>
      <c r="D439" s="395" t="s">
        <v>33</v>
      </c>
      <c r="E439" s="407">
        <f t="shared" si="12"/>
        <v>16.53</v>
      </c>
      <c r="F439">
        <f t="shared" si="13"/>
        <v>90656</v>
      </c>
      <c r="H439" s="680">
        <v>16.53</v>
      </c>
      <c r="I439" s="680">
        <v>16.53</v>
      </c>
    </row>
    <row r="440" spans="2:9">
      <c r="B440" s="396">
        <v>90662</v>
      </c>
      <c r="C440" s="401" t="s">
        <v>228</v>
      </c>
      <c r="D440" s="396" t="s">
        <v>33</v>
      </c>
      <c r="E440" s="405">
        <f t="shared" si="12"/>
        <v>17.239999999999998</v>
      </c>
      <c r="F440">
        <f t="shared" si="13"/>
        <v>90662</v>
      </c>
      <c r="H440" s="679">
        <v>17.239999999999998</v>
      </c>
      <c r="I440" s="679">
        <v>17.239999999999998</v>
      </c>
    </row>
    <row r="441" spans="2:9" ht="30">
      <c r="B441" s="395">
        <v>90668</v>
      </c>
      <c r="C441" s="406" t="s">
        <v>772</v>
      </c>
      <c r="D441" s="395" t="s">
        <v>33</v>
      </c>
      <c r="E441" s="407">
        <f t="shared" si="12"/>
        <v>31.79</v>
      </c>
      <c r="F441">
        <f t="shared" si="13"/>
        <v>90668</v>
      </c>
      <c r="H441" s="680">
        <v>31.79</v>
      </c>
      <c r="I441" s="680">
        <v>31.79</v>
      </c>
    </row>
    <row r="442" spans="2:9" ht="45">
      <c r="B442" s="396">
        <v>90674</v>
      </c>
      <c r="C442" s="401" t="s">
        <v>773</v>
      </c>
      <c r="D442" s="396" t="s">
        <v>33</v>
      </c>
      <c r="E442" s="405">
        <f t="shared" si="12"/>
        <v>672.52</v>
      </c>
      <c r="F442">
        <f t="shared" si="13"/>
        <v>90674</v>
      </c>
      <c r="H442" s="679">
        <v>672.52</v>
      </c>
      <c r="I442" s="679">
        <v>674.41</v>
      </c>
    </row>
    <row r="443" spans="2:9" ht="45">
      <c r="B443" s="395">
        <v>90680</v>
      </c>
      <c r="C443" s="406" t="s">
        <v>774</v>
      </c>
      <c r="D443" s="395" t="s">
        <v>33</v>
      </c>
      <c r="E443" s="407">
        <f t="shared" si="12"/>
        <v>396.62</v>
      </c>
      <c r="F443">
        <f t="shared" si="13"/>
        <v>90680</v>
      </c>
      <c r="H443" s="680">
        <v>396.62</v>
      </c>
      <c r="I443" s="680">
        <v>398.51</v>
      </c>
    </row>
    <row r="444" spans="2:9" ht="30">
      <c r="B444" s="396">
        <v>90686</v>
      </c>
      <c r="C444" s="401" t="s">
        <v>775</v>
      </c>
      <c r="D444" s="396" t="s">
        <v>33</v>
      </c>
      <c r="E444" s="405">
        <f t="shared" si="12"/>
        <v>137.71</v>
      </c>
      <c r="F444">
        <f t="shared" si="13"/>
        <v>90686</v>
      </c>
      <c r="H444" s="679">
        <v>137.71</v>
      </c>
      <c r="I444" s="679">
        <v>139.77000000000001</v>
      </c>
    </row>
    <row r="445" spans="2:9" ht="30">
      <c r="B445" s="395">
        <v>90692</v>
      </c>
      <c r="C445" s="406" t="s">
        <v>776</v>
      </c>
      <c r="D445" s="395" t="s">
        <v>33</v>
      </c>
      <c r="E445" s="407">
        <f t="shared" si="12"/>
        <v>108.3</v>
      </c>
      <c r="F445">
        <f t="shared" si="13"/>
        <v>90692</v>
      </c>
      <c r="H445" s="680">
        <v>108.3</v>
      </c>
      <c r="I445" s="680">
        <v>110.36</v>
      </c>
    </row>
    <row r="446" spans="2:9" ht="30">
      <c r="B446" s="396">
        <v>90964</v>
      </c>
      <c r="C446" s="401" t="s">
        <v>229</v>
      </c>
      <c r="D446" s="396" t="s">
        <v>33</v>
      </c>
      <c r="E446" s="405">
        <f t="shared" si="12"/>
        <v>31.7</v>
      </c>
      <c r="F446">
        <f t="shared" si="13"/>
        <v>90964</v>
      </c>
      <c r="H446" s="679">
        <v>31.7</v>
      </c>
      <c r="I446" s="679">
        <v>31.7</v>
      </c>
    </row>
    <row r="447" spans="2:9" ht="30">
      <c r="B447" s="395">
        <v>90972</v>
      </c>
      <c r="C447" s="406" t="s">
        <v>777</v>
      </c>
      <c r="D447" s="395" t="s">
        <v>33</v>
      </c>
      <c r="E447" s="407">
        <f t="shared" si="12"/>
        <v>80.650000000000006</v>
      </c>
      <c r="F447">
        <f t="shared" si="13"/>
        <v>90972</v>
      </c>
      <c r="H447" s="680">
        <v>80.650000000000006</v>
      </c>
      <c r="I447" s="680">
        <v>80.650000000000006</v>
      </c>
    </row>
    <row r="448" spans="2:9" ht="30">
      <c r="B448" s="396">
        <v>90979</v>
      </c>
      <c r="C448" s="401" t="s">
        <v>230</v>
      </c>
      <c r="D448" s="396" t="s">
        <v>33</v>
      </c>
      <c r="E448" s="405">
        <f t="shared" si="12"/>
        <v>208.39</v>
      </c>
      <c r="F448">
        <f t="shared" si="13"/>
        <v>90979</v>
      </c>
      <c r="H448" s="679">
        <v>208.39</v>
      </c>
      <c r="I448" s="679">
        <v>208.39</v>
      </c>
    </row>
    <row r="449" spans="2:9" ht="30">
      <c r="B449" s="395">
        <v>90991</v>
      </c>
      <c r="C449" s="406" t="s">
        <v>778</v>
      </c>
      <c r="D449" s="395" t="s">
        <v>33</v>
      </c>
      <c r="E449" s="407">
        <f t="shared" si="12"/>
        <v>196.47</v>
      </c>
      <c r="F449">
        <f t="shared" si="13"/>
        <v>90991</v>
      </c>
      <c r="H449" s="680">
        <v>196.47</v>
      </c>
      <c r="I449" s="680">
        <v>198.95</v>
      </c>
    </row>
    <row r="450" spans="2:9" ht="30">
      <c r="B450" s="396">
        <v>90999</v>
      </c>
      <c r="C450" s="401" t="s">
        <v>779</v>
      </c>
      <c r="D450" s="396" t="s">
        <v>33</v>
      </c>
      <c r="E450" s="405">
        <f t="shared" si="12"/>
        <v>106.84</v>
      </c>
      <c r="F450">
        <f t="shared" si="13"/>
        <v>90999</v>
      </c>
      <c r="H450" s="679">
        <v>106.84</v>
      </c>
      <c r="I450" s="679">
        <v>106.84</v>
      </c>
    </row>
    <row r="451" spans="2:9" ht="30">
      <c r="B451" s="395">
        <v>91031</v>
      </c>
      <c r="C451" s="406" t="s">
        <v>231</v>
      </c>
      <c r="D451" s="395" t="s">
        <v>33</v>
      </c>
      <c r="E451" s="407">
        <f t="shared" ref="E451:E514" si="14">IF($K$2=$H$1,H451,I451)</f>
        <v>250.17</v>
      </c>
      <c r="F451">
        <f t="shared" ref="F451:F514" si="15">IF(LEN($B451)=7,CONCATENATE(MID($B451,1,6),"00",RIGHT($B451,1)),IF(LEN($B451)=8,CONCATENATE(MID($B451,1,6),"0",RIGHT($B451,2)),$B451))</f>
        <v>91031</v>
      </c>
      <c r="H451" s="680">
        <v>250.17</v>
      </c>
      <c r="I451" s="680">
        <v>252.2</v>
      </c>
    </row>
    <row r="452" spans="2:9" ht="30">
      <c r="B452" s="396">
        <v>91277</v>
      </c>
      <c r="C452" s="401" t="s">
        <v>780</v>
      </c>
      <c r="D452" s="396" t="s">
        <v>33</v>
      </c>
      <c r="E452" s="405">
        <f t="shared" si="14"/>
        <v>8.33</v>
      </c>
      <c r="F452">
        <f t="shared" si="15"/>
        <v>91277</v>
      </c>
      <c r="H452" s="679">
        <v>8.33</v>
      </c>
      <c r="I452" s="679">
        <v>8.33</v>
      </c>
    </row>
    <row r="453" spans="2:9" ht="30">
      <c r="B453" s="395">
        <v>91283</v>
      </c>
      <c r="C453" s="406" t="s">
        <v>781</v>
      </c>
      <c r="D453" s="395" t="s">
        <v>33</v>
      </c>
      <c r="E453" s="407">
        <f t="shared" si="14"/>
        <v>9.5</v>
      </c>
      <c r="F453">
        <f t="shared" si="15"/>
        <v>91283</v>
      </c>
      <c r="H453" s="680">
        <v>9.5</v>
      </c>
      <c r="I453" s="680">
        <v>9.5</v>
      </c>
    </row>
    <row r="454" spans="2:9" ht="30">
      <c r="B454" s="396">
        <v>91386</v>
      </c>
      <c r="C454" s="401" t="s">
        <v>782</v>
      </c>
      <c r="D454" s="396" t="s">
        <v>33</v>
      </c>
      <c r="E454" s="405">
        <f t="shared" si="14"/>
        <v>255.92</v>
      </c>
      <c r="F454">
        <f t="shared" si="15"/>
        <v>91386</v>
      </c>
      <c r="H454" s="679">
        <v>255.92</v>
      </c>
      <c r="I454" s="679">
        <v>257.83999999999997</v>
      </c>
    </row>
    <row r="455" spans="2:9" ht="30">
      <c r="B455" s="395">
        <v>91533</v>
      </c>
      <c r="C455" s="406" t="s">
        <v>783</v>
      </c>
      <c r="D455" s="395" t="s">
        <v>33</v>
      </c>
      <c r="E455" s="407">
        <f t="shared" si="14"/>
        <v>23.44</v>
      </c>
      <c r="F455">
        <f t="shared" si="15"/>
        <v>91533</v>
      </c>
      <c r="H455" s="680">
        <v>23.44</v>
      </c>
      <c r="I455" s="680">
        <v>25.33</v>
      </c>
    </row>
    <row r="456" spans="2:9" ht="30">
      <c r="B456" s="396">
        <v>91634</v>
      </c>
      <c r="C456" s="401" t="s">
        <v>784</v>
      </c>
      <c r="D456" s="396" t="s">
        <v>33</v>
      </c>
      <c r="E456" s="405">
        <f t="shared" si="14"/>
        <v>226.5</v>
      </c>
      <c r="F456">
        <f t="shared" si="15"/>
        <v>91634</v>
      </c>
      <c r="H456" s="679">
        <v>226.5</v>
      </c>
      <c r="I456" s="679">
        <v>228.9</v>
      </c>
    </row>
    <row r="457" spans="2:9" ht="30">
      <c r="B457" s="395">
        <v>91645</v>
      </c>
      <c r="C457" s="406" t="s">
        <v>785</v>
      </c>
      <c r="D457" s="395" t="s">
        <v>33</v>
      </c>
      <c r="E457" s="407">
        <f t="shared" si="14"/>
        <v>439.71</v>
      </c>
      <c r="F457">
        <f t="shared" si="15"/>
        <v>91645</v>
      </c>
      <c r="H457" s="680">
        <v>439.71</v>
      </c>
      <c r="I457" s="680">
        <v>442.42</v>
      </c>
    </row>
    <row r="458" spans="2:9">
      <c r="B458" s="396">
        <v>91692</v>
      </c>
      <c r="C458" s="401" t="s">
        <v>786</v>
      </c>
      <c r="D458" s="396" t="s">
        <v>33</v>
      </c>
      <c r="E458" s="405">
        <f t="shared" si="14"/>
        <v>18.170000000000002</v>
      </c>
      <c r="F458">
        <f t="shared" si="15"/>
        <v>91692</v>
      </c>
      <c r="H458" s="679">
        <v>18.170000000000002</v>
      </c>
      <c r="I458" s="679">
        <v>20.059999999999999</v>
      </c>
    </row>
    <row r="459" spans="2:9">
      <c r="B459" s="395">
        <v>92043</v>
      </c>
      <c r="C459" s="406" t="s">
        <v>787</v>
      </c>
      <c r="D459" s="395" t="s">
        <v>33</v>
      </c>
      <c r="E459" s="407">
        <f t="shared" si="14"/>
        <v>11.48</v>
      </c>
      <c r="F459">
        <f t="shared" si="15"/>
        <v>92043</v>
      </c>
      <c r="H459" s="680">
        <v>11.48</v>
      </c>
      <c r="I459" s="680">
        <v>11.48</v>
      </c>
    </row>
    <row r="460" spans="2:9" ht="45">
      <c r="B460" s="396">
        <v>92106</v>
      </c>
      <c r="C460" s="401" t="s">
        <v>788</v>
      </c>
      <c r="D460" s="396" t="s">
        <v>33</v>
      </c>
      <c r="E460" s="405">
        <f t="shared" si="14"/>
        <v>340.53</v>
      </c>
      <c r="F460">
        <f t="shared" si="15"/>
        <v>92106</v>
      </c>
      <c r="H460" s="679">
        <v>340.53</v>
      </c>
      <c r="I460" s="679">
        <v>342.56</v>
      </c>
    </row>
    <row r="461" spans="2:9" ht="30">
      <c r="B461" s="395">
        <v>92112</v>
      </c>
      <c r="C461" s="406" t="s">
        <v>232</v>
      </c>
      <c r="D461" s="395" t="s">
        <v>33</v>
      </c>
      <c r="E461" s="407">
        <f t="shared" si="14"/>
        <v>3.84</v>
      </c>
      <c r="F461">
        <f t="shared" si="15"/>
        <v>92112</v>
      </c>
      <c r="H461" s="680">
        <v>3.84</v>
      </c>
      <c r="I461" s="680">
        <v>3.84</v>
      </c>
    </row>
    <row r="462" spans="2:9">
      <c r="B462" s="396">
        <v>92118</v>
      </c>
      <c r="C462" s="401" t="s">
        <v>233</v>
      </c>
      <c r="D462" s="396" t="s">
        <v>33</v>
      </c>
      <c r="E462" s="405">
        <f t="shared" si="14"/>
        <v>0.47</v>
      </c>
      <c r="F462">
        <f t="shared" si="15"/>
        <v>92118</v>
      </c>
      <c r="H462" s="679">
        <v>0.47</v>
      </c>
      <c r="I462" s="679">
        <v>0.47</v>
      </c>
    </row>
    <row r="463" spans="2:9">
      <c r="B463" s="395">
        <v>92138</v>
      </c>
      <c r="C463" s="406" t="s">
        <v>789</v>
      </c>
      <c r="D463" s="395" t="s">
        <v>33</v>
      </c>
      <c r="E463" s="407">
        <f t="shared" si="14"/>
        <v>85.96</v>
      </c>
      <c r="F463">
        <f t="shared" si="15"/>
        <v>92138</v>
      </c>
      <c r="H463" s="680">
        <v>85.96</v>
      </c>
      <c r="I463" s="680">
        <v>87.84</v>
      </c>
    </row>
    <row r="464" spans="2:9" ht="30">
      <c r="B464" s="396">
        <v>92145</v>
      </c>
      <c r="C464" s="401" t="s">
        <v>234</v>
      </c>
      <c r="D464" s="396" t="s">
        <v>33</v>
      </c>
      <c r="E464" s="405">
        <f t="shared" si="14"/>
        <v>61.2</v>
      </c>
      <c r="F464">
        <f t="shared" si="15"/>
        <v>92145</v>
      </c>
      <c r="H464" s="679">
        <v>61.2</v>
      </c>
      <c r="I464" s="679">
        <v>63.08</v>
      </c>
    </row>
    <row r="465" spans="2:9" ht="30">
      <c r="B465" s="395">
        <v>92242</v>
      </c>
      <c r="C465" s="406" t="s">
        <v>790</v>
      </c>
      <c r="D465" s="395" t="s">
        <v>33</v>
      </c>
      <c r="E465" s="407">
        <f t="shared" si="14"/>
        <v>387.1</v>
      </c>
      <c r="F465">
        <f t="shared" si="15"/>
        <v>92242</v>
      </c>
      <c r="H465" s="680">
        <v>387.1</v>
      </c>
      <c r="I465" s="680">
        <v>389.81</v>
      </c>
    </row>
    <row r="466" spans="2:9">
      <c r="B466" s="396">
        <v>92716</v>
      </c>
      <c r="C466" s="401" t="s">
        <v>791</v>
      </c>
      <c r="D466" s="396" t="s">
        <v>33</v>
      </c>
      <c r="E466" s="405">
        <f t="shared" si="14"/>
        <v>116.09</v>
      </c>
      <c r="F466">
        <f t="shared" si="15"/>
        <v>92716</v>
      </c>
      <c r="H466" s="679">
        <v>116.09</v>
      </c>
      <c r="I466" s="679">
        <v>116.09</v>
      </c>
    </row>
    <row r="467" spans="2:9">
      <c r="B467" s="395">
        <v>92960</v>
      </c>
      <c r="C467" s="406" t="s">
        <v>792</v>
      </c>
      <c r="D467" s="395" t="s">
        <v>33</v>
      </c>
      <c r="E467" s="407">
        <f t="shared" si="14"/>
        <v>19.55</v>
      </c>
      <c r="F467">
        <f t="shared" si="15"/>
        <v>92960</v>
      </c>
      <c r="H467" s="680">
        <v>19.55</v>
      </c>
      <c r="I467" s="680">
        <v>19.55</v>
      </c>
    </row>
    <row r="468" spans="2:9">
      <c r="B468" s="396">
        <v>92966</v>
      </c>
      <c r="C468" s="401" t="s">
        <v>793</v>
      </c>
      <c r="D468" s="396" t="s">
        <v>33</v>
      </c>
      <c r="E468" s="405">
        <f t="shared" si="14"/>
        <v>18.2</v>
      </c>
      <c r="F468">
        <f t="shared" si="15"/>
        <v>92966</v>
      </c>
      <c r="H468" s="679">
        <v>18.2</v>
      </c>
      <c r="I468" s="679">
        <v>19.690000000000001</v>
      </c>
    </row>
    <row r="469" spans="2:9" ht="45">
      <c r="B469" s="395">
        <v>93224</v>
      </c>
      <c r="C469" s="406" t="s">
        <v>794</v>
      </c>
      <c r="D469" s="395" t="s">
        <v>33</v>
      </c>
      <c r="E469" s="407">
        <f t="shared" si="14"/>
        <v>1004.68</v>
      </c>
      <c r="F469">
        <f t="shared" si="15"/>
        <v>93224</v>
      </c>
      <c r="H469" s="680">
        <v>1004.68</v>
      </c>
      <c r="I469" s="680">
        <v>1006.57</v>
      </c>
    </row>
    <row r="470" spans="2:9" ht="30">
      <c r="B470" s="396">
        <v>93233</v>
      </c>
      <c r="C470" s="401" t="s">
        <v>235</v>
      </c>
      <c r="D470" s="396" t="s">
        <v>33</v>
      </c>
      <c r="E470" s="405">
        <f t="shared" si="14"/>
        <v>4.88</v>
      </c>
      <c r="F470">
        <f t="shared" si="15"/>
        <v>93233</v>
      </c>
      <c r="H470" s="679">
        <v>4.88</v>
      </c>
      <c r="I470" s="679">
        <v>4.88</v>
      </c>
    </row>
    <row r="471" spans="2:9">
      <c r="B471" s="395">
        <v>93272</v>
      </c>
      <c r="C471" s="406" t="s">
        <v>795</v>
      </c>
      <c r="D471" s="395" t="s">
        <v>33</v>
      </c>
      <c r="E471" s="407">
        <f t="shared" si="14"/>
        <v>81.83</v>
      </c>
      <c r="F471">
        <f t="shared" si="15"/>
        <v>93272</v>
      </c>
      <c r="H471" s="680">
        <v>81.83</v>
      </c>
      <c r="I471" s="680">
        <v>83.63</v>
      </c>
    </row>
    <row r="472" spans="2:9">
      <c r="B472" s="396">
        <v>93281</v>
      </c>
      <c r="C472" s="401" t="s">
        <v>796</v>
      </c>
      <c r="D472" s="396" t="s">
        <v>33</v>
      </c>
      <c r="E472" s="405">
        <f t="shared" si="14"/>
        <v>17.420000000000002</v>
      </c>
      <c r="F472">
        <f t="shared" si="15"/>
        <v>93281</v>
      </c>
      <c r="H472" s="679">
        <v>17.420000000000002</v>
      </c>
      <c r="I472" s="679">
        <v>19.22</v>
      </c>
    </row>
    <row r="473" spans="2:9" ht="30">
      <c r="B473" s="395">
        <v>93287</v>
      </c>
      <c r="C473" s="406" t="s">
        <v>797</v>
      </c>
      <c r="D473" s="395" t="s">
        <v>33</v>
      </c>
      <c r="E473" s="407">
        <f t="shared" si="14"/>
        <v>313.19</v>
      </c>
      <c r="F473">
        <f t="shared" si="15"/>
        <v>93287</v>
      </c>
      <c r="H473" s="680">
        <v>313.19</v>
      </c>
      <c r="I473" s="680">
        <v>314.99</v>
      </c>
    </row>
    <row r="474" spans="2:9" ht="30">
      <c r="B474" s="396">
        <v>93402</v>
      </c>
      <c r="C474" s="401" t="s">
        <v>798</v>
      </c>
      <c r="D474" s="396" t="s">
        <v>33</v>
      </c>
      <c r="E474" s="405">
        <f t="shared" si="14"/>
        <v>263.02</v>
      </c>
      <c r="F474">
        <f t="shared" si="15"/>
        <v>93402</v>
      </c>
      <c r="H474" s="679">
        <v>263.02</v>
      </c>
      <c r="I474" s="679">
        <v>265.42</v>
      </c>
    </row>
    <row r="475" spans="2:9" ht="30">
      <c r="B475" s="395">
        <v>93408</v>
      </c>
      <c r="C475" s="406" t="s">
        <v>3813</v>
      </c>
      <c r="D475" s="395" t="s">
        <v>33</v>
      </c>
      <c r="E475" s="407">
        <f t="shared" si="14"/>
        <v>86.11</v>
      </c>
      <c r="F475">
        <f t="shared" si="15"/>
        <v>93408</v>
      </c>
      <c r="H475" s="680">
        <v>86.11</v>
      </c>
      <c r="I475" s="680">
        <v>88.34</v>
      </c>
    </row>
    <row r="476" spans="2:9" ht="30">
      <c r="B476" s="396">
        <v>93415</v>
      </c>
      <c r="C476" s="401" t="s">
        <v>799</v>
      </c>
      <c r="D476" s="396" t="s">
        <v>33</v>
      </c>
      <c r="E476" s="405">
        <f t="shared" si="14"/>
        <v>13</v>
      </c>
      <c r="F476">
        <f t="shared" si="15"/>
        <v>93415</v>
      </c>
      <c r="H476" s="679">
        <v>13</v>
      </c>
      <c r="I476" s="679">
        <v>13</v>
      </c>
    </row>
    <row r="477" spans="2:9">
      <c r="B477" s="395">
        <v>93421</v>
      </c>
      <c r="C477" s="406" t="s">
        <v>434</v>
      </c>
      <c r="D477" s="395" t="s">
        <v>33</v>
      </c>
      <c r="E477" s="407">
        <f t="shared" si="14"/>
        <v>80.92</v>
      </c>
      <c r="F477">
        <f t="shared" si="15"/>
        <v>93421</v>
      </c>
      <c r="H477" s="680">
        <v>80.92</v>
      </c>
      <c r="I477" s="680">
        <v>80.92</v>
      </c>
    </row>
    <row r="478" spans="2:9">
      <c r="B478" s="396">
        <v>93427</v>
      </c>
      <c r="C478" s="401" t="s">
        <v>800</v>
      </c>
      <c r="D478" s="396" t="s">
        <v>33</v>
      </c>
      <c r="E478" s="405">
        <f t="shared" si="14"/>
        <v>184.56</v>
      </c>
      <c r="F478">
        <f t="shared" si="15"/>
        <v>93427</v>
      </c>
      <c r="H478" s="679">
        <v>184.56</v>
      </c>
      <c r="I478" s="679">
        <v>184.56</v>
      </c>
    </row>
    <row r="479" spans="2:9">
      <c r="B479" s="395">
        <v>93433</v>
      </c>
      <c r="C479" s="406" t="s">
        <v>801</v>
      </c>
      <c r="D479" s="395" t="s">
        <v>33</v>
      </c>
      <c r="E479" s="407">
        <f t="shared" si="14"/>
        <v>2698.09</v>
      </c>
      <c r="F479">
        <f t="shared" si="15"/>
        <v>93433</v>
      </c>
      <c r="H479" s="680">
        <v>2698.09</v>
      </c>
      <c r="I479" s="680">
        <v>2707.61</v>
      </c>
    </row>
    <row r="480" spans="2:9">
      <c r="B480" s="396">
        <v>93439</v>
      </c>
      <c r="C480" s="401" t="s">
        <v>802</v>
      </c>
      <c r="D480" s="396" t="s">
        <v>33</v>
      </c>
      <c r="E480" s="405">
        <f t="shared" si="14"/>
        <v>223.41</v>
      </c>
      <c r="F480">
        <f t="shared" si="15"/>
        <v>93439</v>
      </c>
      <c r="H480" s="679">
        <v>223.41</v>
      </c>
      <c r="I480" s="679">
        <v>232.93</v>
      </c>
    </row>
    <row r="481" spans="2:9">
      <c r="B481" s="395">
        <v>95121</v>
      </c>
      <c r="C481" s="406" t="s">
        <v>803</v>
      </c>
      <c r="D481" s="395" t="s">
        <v>33</v>
      </c>
      <c r="E481" s="407">
        <f t="shared" si="14"/>
        <v>284.14999999999998</v>
      </c>
      <c r="F481">
        <f t="shared" si="15"/>
        <v>95121</v>
      </c>
      <c r="H481" s="680">
        <v>284.14999999999998</v>
      </c>
      <c r="I481" s="680">
        <v>293.67</v>
      </c>
    </row>
    <row r="482" spans="2:9">
      <c r="B482" s="396">
        <v>95127</v>
      </c>
      <c r="C482" s="401" t="s">
        <v>470</v>
      </c>
      <c r="D482" s="396" t="s">
        <v>33</v>
      </c>
      <c r="E482" s="405">
        <f t="shared" si="14"/>
        <v>211.14</v>
      </c>
      <c r="F482">
        <f t="shared" si="15"/>
        <v>95127</v>
      </c>
      <c r="H482" s="679">
        <v>211.14</v>
      </c>
      <c r="I482" s="679">
        <v>213.03</v>
      </c>
    </row>
    <row r="483" spans="2:9">
      <c r="B483" s="395">
        <v>95133</v>
      </c>
      <c r="C483" s="406" t="s">
        <v>804</v>
      </c>
      <c r="D483" s="395" t="s">
        <v>33</v>
      </c>
      <c r="E483" s="407">
        <f t="shared" si="14"/>
        <v>157.06</v>
      </c>
      <c r="F483">
        <f t="shared" si="15"/>
        <v>95133</v>
      </c>
      <c r="H483" s="680">
        <v>157.06</v>
      </c>
      <c r="I483" s="680">
        <v>159.32</v>
      </c>
    </row>
    <row r="484" spans="2:9">
      <c r="B484" s="396">
        <v>95139</v>
      </c>
      <c r="C484" s="401" t="s">
        <v>805</v>
      </c>
      <c r="D484" s="396" t="s">
        <v>33</v>
      </c>
      <c r="E484" s="405">
        <f t="shared" si="14"/>
        <v>7.0000000000000007E-2</v>
      </c>
      <c r="F484">
        <f t="shared" si="15"/>
        <v>95139</v>
      </c>
      <c r="H484" s="679">
        <v>7.0000000000000007E-2</v>
      </c>
      <c r="I484" s="679">
        <v>7.0000000000000007E-2</v>
      </c>
    </row>
    <row r="485" spans="2:9">
      <c r="B485" s="395">
        <v>95212</v>
      </c>
      <c r="C485" s="406" t="s">
        <v>806</v>
      </c>
      <c r="D485" s="395" t="s">
        <v>33</v>
      </c>
      <c r="E485" s="407">
        <f t="shared" si="14"/>
        <v>141.21</v>
      </c>
      <c r="F485">
        <f t="shared" si="15"/>
        <v>95212</v>
      </c>
      <c r="H485" s="680">
        <v>141.21</v>
      </c>
      <c r="I485" s="680">
        <v>143.01</v>
      </c>
    </row>
    <row r="486" spans="2:9">
      <c r="B486" s="396">
        <v>95258</v>
      </c>
      <c r="C486" s="401" t="s">
        <v>548</v>
      </c>
      <c r="D486" s="396" t="s">
        <v>33</v>
      </c>
      <c r="E486" s="405">
        <f t="shared" si="14"/>
        <v>17.600000000000001</v>
      </c>
      <c r="F486">
        <f t="shared" si="15"/>
        <v>95258</v>
      </c>
      <c r="H486" s="679">
        <v>17.600000000000001</v>
      </c>
      <c r="I486" s="679">
        <v>19.09</v>
      </c>
    </row>
    <row r="487" spans="2:9">
      <c r="B487" s="395">
        <v>95264</v>
      </c>
      <c r="C487" s="406" t="s">
        <v>807</v>
      </c>
      <c r="D487" s="395" t="s">
        <v>33</v>
      </c>
      <c r="E487" s="407">
        <f t="shared" si="14"/>
        <v>6.29</v>
      </c>
      <c r="F487">
        <f t="shared" si="15"/>
        <v>95264</v>
      </c>
      <c r="H487" s="680">
        <v>6.29</v>
      </c>
      <c r="I487" s="680">
        <v>6.29</v>
      </c>
    </row>
    <row r="488" spans="2:9" ht="30">
      <c r="B488" s="396">
        <v>95270</v>
      </c>
      <c r="C488" s="401" t="s">
        <v>808</v>
      </c>
      <c r="D488" s="396" t="s">
        <v>33</v>
      </c>
      <c r="E488" s="405">
        <f t="shared" si="14"/>
        <v>8.16</v>
      </c>
      <c r="F488">
        <f t="shared" si="15"/>
        <v>95270</v>
      </c>
      <c r="H488" s="679">
        <v>8.16</v>
      </c>
      <c r="I488" s="679">
        <v>8.16</v>
      </c>
    </row>
    <row r="489" spans="2:9">
      <c r="B489" s="395">
        <v>95276</v>
      </c>
      <c r="C489" s="406" t="s">
        <v>809</v>
      </c>
      <c r="D489" s="395" t="s">
        <v>33</v>
      </c>
      <c r="E489" s="407">
        <f t="shared" si="14"/>
        <v>3.58</v>
      </c>
      <c r="F489">
        <f t="shared" si="15"/>
        <v>95276</v>
      </c>
      <c r="H489" s="680">
        <v>3.58</v>
      </c>
      <c r="I489" s="680">
        <v>3.58</v>
      </c>
    </row>
    <row r="490" spans="2:9">
      <c r="B490" s="396">
        <v>95282</v>
      </c>
      <c r="C490" s="401" t="s">
        <v>7305</v>
      </c>
      <c r="D490" s="396" t="s">
        <v>33</v>
      </c>
      <c r="E490" s="405">
        <f t="shared" si="14"/>
        <v>8.36</v>
      </c>
      <c r="F490">
        <f t="shared" si="15"/>
        <v>95282</v>
      </c>
      <c r="H490" s="679">
        <v>8.36</v>
      </c>
      <c r="I490" s="679">
        <v>8.36</v>
      </c>
    </row>
    <row r="491" spans="2:9" ht="30">
      <c r="B491" s="395">
        <v>95620</v>
      </c>
      <c r="C491" s="406" t="s">
        <v>810</v>
      </c>
      <c r="D491" s="395" t="s">
        <v>33</v>
      </c>
      <c r="E491" s="407">
        <f t="shared" si="14"/>
        <v>16.93</v>
      </c>
      <c r="F491">
        <f t="shared" si="15"/>
        <v>95620</v>
      </c>
      <c r="H491" s="680">
        <v>16.93</v>
      </c>
      <c r="I491" s="680">
        <v>18.420000000000002</v>
      </c>
    </row>
    <row r="492" spans="2:9" ht="30">
      <c r="B492" s="396">
        <v>95631</v>
      </c>
      <c r="C492" s="401" t="s">
        <v>811</v>
      </c>
      <c r="D492" s="396" t="s">
        <v>33</v>
      </c>
      <c r="E492" s="405">
        <f t="shared" si="14"/>
        <v>233.76</v>
      </c>
      <c r="F492">
        <f t="shared" si="15"/>
        <v>95631</v>
      </c>
      <c r="H492" s="679">
        <v>233.76</v>
      </c>
      <c r="I492" s="679">
        <v>235.65</v>
      </c>
    </row>
    <row r="493" spans="2:9">
      <c r="B493" s="395">
        <v>95702</v>
      </c>
      <c r="C493" s="406" t="s">
        <v>812</v>
      </c>
      <c r="D493" s="395" t="s">
        <v>33</v>
      </c>
      <c r="E493" s="407">
        <f t="shared" si="14"/>
        <v>32.35</v>
      </c>
      <c r="F493">
        <f t="shared" si="15"/>
        <v>95702</v>
      </c>
      <c r="H493" s="680">
        <v>32.35</v>
      </c>
      <c r="I493" s="680">
        <v>34.24</v>
      </c>
    </row>
    <row r="494" spans="2:9" ht="30">
      <c r="B494" s="396">
        <v>95708</v>
      </c>
      <c r="C494" s="401" t="s">
        <v>813</v>
      </c>
      <c r="D494" s="396" t="s">
        <v>33</v>
      </c>
      <c r="E494" s="405">
        <f t="shared" si="14"/>
        <v>131</v>
      </c>
      <c r="F494">
        <f t="shared" si="15"/>
        <v>95708</v>
      </c>
      <c r="H494" s="679">
        <v>131</v>
      </c>
      <c r="I494" s="679">
        <v>132.88999999999999</v>
      </c>
    </row>
    <row r="495" spans="2:9" ht="30">
      <c r="B495" s="395">
        <v>95714</v>
      </c>
      <c r="C495" s="406" t="s">
        <v>814</v>
      </c>
      <c r="D495" s="395" t="s">
        <v>33</v>
      </c>
      <c r="E495" s="407">
        <f t="shared" si="14"/>
        <v>249.05</v>
      </c>
      <c r="F495">
        <f t="shared" si="15"/>
        <v>95714</v>
      </c>
      <c r="H495" s="680">
        <v>249.05</v>
      </c>
      <c r="I495" s="680">
        <v>251.53</v>
      </c>
    </row>
    <row r="496" spans="2:9" ht="30">
      <c r="B496" s="396">
        <v>95720</v>
      </c>
      <c r="C496" s="401" t="s">
        <v>815</v>
      </c>
      <c r="D496" s="396" t="s">
        <v>33</v>
      </c>
      <c r="E496" s="405">
        <f t="shared" si="14"/>
        <v>244.12</v>
      </c>
      <c r="F496">
        <f t="shared" si="15"/>
        <v>95720</v>
      </c>
      <c r="H496" s="679">
        <v>244.12</v>
      </c>
      <c r="I496" s="679">
        <v>246.6</v>
      </c>
    </row>
    <row r="497" spans="2:9">
      <c r="B497" s="395">
        <v>95872</v>
      </c>
      <c r="C497" s="406" t="s">
        <v>576</v>
      </c>
      <c r="D497" s="395" t="s">
        <v>33</v>
      </c>
      <c r="E497" s="407">
        <f t="shared" si="14"/>
        <v>313.08</v>
      </c>
      <c r="F497">
        <f t="shared" si="15"/>
        <v>95872</v>
      </c>
      <c r="H497" s="680">
        <v>313.08</v>
      </c>
      <c r="I497" s="680">
        <v>313.08</v>
      </c>
    </row>
    <row r="498" spans="2:9">
      <c r="B498" s="396">
        <v>96013</v>
      </c>
      <c r="C498" s="401" t="s">
        <v>593</v>
      </c>
      <c r="D498" s="396" t="s">
        <v>33</v>
      </c>
      <c r="E498" s="405">
        <f t="shared" si="14"/>
        <v>174.12</v>
      </c>
      <c r="F498">
        <f t="shared" si="15"/>
        <v>96013</v>
      </c>
      <c r="H498" s="679">
        <v>174.12</v>
      </c>
      <c r="I498" s="679">
        <v>176.02</v>
      </c>
    </row>
    <row r="499" spans="2:9">
      <c r="B499" s="395">
        <v>96020</v>
      </c>
      <c r="C499" s="406" t="s">
        <v>598</v>
      </c>
      <c r="D499" s="395" t="s">
        <v>33</v>
      </c>
      <c r="E499" s="407">
        <f t="shared" si="14"/>
        <v>173.56</v>
      </c>
      <c r="F499">
        <f t="shared" si="15"/>
        <v>96020</v>
      </c>
      <c r="H499" s="680">
        <v>173.56</v>
      </c>
      <c r="I499" s="680">
        <v>175.46</v>
      </c>
    </row>
    <row r="500" spans="2:9">
      <c r="B500" s="396">
        <v>96028</v>
      </c>
      <c r="C500" s="401" t="s">
        <v>603</v>
      </c>
      <c r="D500" s="396" t="s">
        <v>33</v>
      </c>
      <c r="E500" s="405">
        <f t="shared" si="14"/>
        <v>130.44999999999999</v>
      </c>
      <c r="F500">
        <f t="shared" si="15"/>
        <v>96028</v>
      </c>
      <c r="H500" s="679">
        <v>130.44999999999999</v>
      </c>
      <c r="I500" s="679">
        <v>132.35</v>
      </c>
    </row>
    <row r="501" spans="2:9" ht="30">
      <c r="B501" s="395">
        <v>96035</v>
      </c>
      <c r="C501" s="406" t="s">
        <v>608</v>
      </c>
      <c r="D501" s="395" t="s">
        <v>33</v>
      </c>
      <c r="E501" s="407">
        <f t="shared" si="14"/>
        <v>264.83999999999997</v>
      </c>
      <c r="F501">
        <f t="shared" si="15"/>
        <v>96035</v>
      </c>
      <c r="H501" s="680">
        <v>264.83999999999997</v>
      </c>
      <c r="I501" s="680">
        <v>266.76</v>
      </c>
    </row>
    <row r="502" spans="2:9">
      <c r="B502" s="396">
        <v>96157</v>
      </c>
      <c r="C502" s="401" t="s">
        <v>614</v>
      </c>
      <c r="D502" s="396" t="s">
        <v>33</v>
      </c>
      <c r="E502" s="405">
        <f t="shared" si="14"/>
        <v>131.01</v>
      </c>
      <c r="F502">
        <f t="shared" si="15"/>
        <v>96157</v>
      </c>
      <c r="H502" s="679">
        <v>131.01</v>
      </c>
      <c r="I502" s="679">
        <v>132.91</v>
      </c>
    </row>
    <row r="503" spans="2:9" ht="30">
      <c r="B503" s="395">
        <v>96158</v>
      </c>
      <c r="C503" s="406" t="s">
        <v>619</v>
      </c>
      <c r="D503" s="395" t="s">
        <v>33</v>
      </c>
      <c r="E503" s="407">
        <f t="shared" si="14"/>
        <v>124.23</v>
      </c>
      <c r="F503">
        <f t="shared" si="15"/>
        <v>96158</v>
      </c>
      <c r="H503" s="680">
        <v>124.23</v>
      </c>
      <c r="I503" s="680">
        <v>126.29</v>
      </c>
    </row>
    <row r="504" spans="2:9">
      <c r="B504" s="396">
        <v>96245</v>
      </c>
      <c r="C504" s="401" t="s">
        <v>1317</v>
      </c>
      <c r="D504" s="396" t="s">
        <v>33</v>
      </c>
      <c r="E504" s="405">
        <f t="shared" si="14"/>
        <v>90.83</v>
      </c>
      <c r="F504">
        <f t="shared" si="15"/>
        <v>96245</v>
      </c>
      <c r="H504" s="679">
        <v>90.83</v>
      </c>
      <c r="I504" s="679">
        <v>93.31</v>
      </c>
    </row>
    <row r="505" spans="2:9" ht="30">
      <c r="B505" s="395">
        <v>96463</v>
      </c>
      <c r="C505" s="406" t="s">
        <v>2038</v>
      </c>
      <c r="D505" s="395" t="s">
        <v>33</v>
      </c>
      <c r="E505" s="407">
        <f t="shared" si="14"/>
        <v>219.78</v>
      </c>
      <c r="F505">
        <f t="shared" si="15"/>
        <v>96463</v>
      </c>
      <c r="H505" s="680">
        <v>219.78</v>
      </c>
      <c r="I505" s="680">
        <v>221.67</v>
      </c>
    </row>
    <row r="506" spans="2:9" ht="30">
      <c r="B506" s="396">
        <v>98764</v>
      </c>
      <c r="C506" s="401" t="s">
        <v>2817</v>
      </c>
      <c r="D506" s="396" t="s">
        <v>33</v>
      </c>
      <c r="E506" s="405">
        <f t="shared" si="14"/>
        <v>5.05</v>
      </c>
      <c r="F506">
        <f t="shared" si="15"/>
        <v>98764</v>
      </c>
      <c r="H506" s="679">
        <v>5.05</v>
      </c>
      <c r="I506" s="679">
        <v>5.05</v>
      </c>
    </row>
    <row r="507" spans="2:9" ht="30">
      <c r="B507" s="395">
        <v>99833</v>
      </c>
      <c r="C507" s="406" t="s">
        <v>3027</v>
      </c>
      <c r="D507" s="395" t="s">
        <v>33</v>
      </c>
      <c r="E507" s="407">
        <f t="shared" si="14"/>
        <v>5.03</v>
      </c>
      <c r="F507">
        <f t="shared" si="15"/>
        <v>99833</v>
      </c>
      <c r="H507" s="680">
        <v>5.03</v>
      </c>
      <c r="I507" s="680">
        <v>5.03</v>
      </c>
    </row>
    <row r="508" spans="2:9">
      <c r="B508" s="396">
        <v>100641</v>
      </c>
      <c r="C508" s="401" t="s">
        <v>3675</v>
      </c>
      <c r="D508" s="396" t="s">
        <v>33</v>
      </c>
      <c r="E508" s="405">
        <f t="shared" si="14"/>
        <v>5005.26</v>
      </c>
      <c r="F508">
        <f t="shared" si="15"/>
        <v>100641</v>
      </c>
      <c r="H508" s="679">
        <v>5005.26</v>
      </c>
      <c r="I508" s="679">
        <v>5007.3</v>
      </c>
    </row>
    <row r="509" spans="2:9">
      <c r="B509" s="395">
        <v>100647</v>
      </c>
      <c r="C509" s="406" t="s">
        <v>3676</v>
      </c>
      <c r="D509" s="395" t="s">
        <v>33</v>
      </c>
      <c r="E509" s="407">
        <f t="shared" si="14"/>
        <v>6669.99</v>
      </c>
      <c r="F509">
        <f t="shared" si="15"/>
        <v>100647</v>
      </c>
      <c r="H509" s="680">
        <v>6669.99</v>
      </c>
      <c r="I509" s="680">
        <v>6672.03</v>
      </c>
    </row>
    <row r="510" spans="2:9" ht="30">
      <c r="B510" s="396">
        <v>102275</v>
      </c>
      <c r="C510" s="401" t="s">
        <v>5443</v>
      </c>
      <c r="D510" s="396" t="s">
        <v>33</v>
      </c>
      <c r="E510" s="405">
        <f t="shared" si="14"/>
        <v>17.48</v>
      </c>
      <c r="F510">
        <f t="shared" si="15"/>
        <v>102275</v>
      </c>
      <c r="H510" s="679">
        <v>17.48</v>
      </c>
      <c r="I510" s="679">
        <v>18.97</v>
      </c>
    </row>
    <row r="511" spans="2:9" ht="30">
      <c r="B511" s="395">
        <v>104091</v>
      </c>
      <c r="C511" s="406" t="s">
        <v>6862</v>
      </c>
      <c r="D511" s="395" t="s">
        <v>33</v>
      </c>
      <c r="E511" s="407">
        <f t="shared" si="14"/>
        <v>0.95</v>
      </c>
      <c r="F511">
        <f t="shared" si="15"/>
        <v>104091</v>
      </c>
      <c r="H511" s="680">
        <v>0.95</v>
      </c>
      <c r="I511" s="680">
        <v>0.95</v>
      </c>
    </row>
    <row r="512" spans="2:9" ht="30">
      <c r="B512" s="396">
        <v>104097</v>
      </c>
      <c r="C512" s="401" t="s">
        <v>6863</v>
      </c>
      <c r="D512" s="396" t="s">
        <v>33</v>
      </c>
      <c r="E512" s="405">
        <f t="shared" si="14"/>
        <v>1.33</v>
      </c>
      <c r="F512">
        <f t="shared" si="15"/>
        <v>104097</v>
      </c>
      <c r="H512" s="679">
        <v>1.33</v>
      </c>
      <c r="I512" s="679">
        <v>1.33</v>
      </c>
    </row>
    <row r="513" spans="2:9" ht="30">
      <c r="B513" s="395">
        <v>5632</v>
      </c>
      <c r="C513" s="406" t="s">
        <v>816</v>
      </c>
      <c r="D513" s="395" t="s">
        <v>40</v>
      </c>
      <c r="E513" s="407">
        <f t="shared" si="14"/>
        <v>74.16</v>
      </c>
      <c r="F513">
        <f t="shared" si="15"/>
        <v>5632</v>
      </c>
      <c r="H513" s="680">
        <v>74.16</v>
      </c>
      <c r="I513" s="680">
        <v>76.64</v>
      </c>
    </row>
    <row r="514" spans="2:9" ht="45">
      <c r="B514" s="396">
        <v>5679</v>
      </c>
      <c r="C514" s="401" t="s">
        <v>817</v>
      </c>
      <c r="D514" s="396" t="s">
        <v>40</v>
      </c>
      <c r="E514" s="405">
        <f t="shared" si="14"/>
        <v>51.13</v>
      </c>
      <c r="F514">
        <f t="shared" si="15"/>
        <v>5679</v>
      </c>
      <c r="H514" s="679">
        <v>51.13</v>
      </c>
      <c r="I514" s="679">
        <v>53.61</v>
      </c>
    </row>
    <row r="515" spans="2:9" ht="45">
      <c r="B515" s="395">
        <v>5681</v>
      </c>
      <c r="C515" s="406" t="s">
        <v>818</v>
      </c>
      <c r="D515" s="395" t="s">
        <v>40</v>
      </c>
      <c r="E515" s="407">
        <f t="shared" ref="E515:E578" si="16">IF($K$2=$H$1,H515,I515)</f>
        <v>47.73</v>
      </c>
      <c r="F515">
        <f t="shared" ref="F515:F578" si="17">IF(LEN($B515)=7,CONCATENATE(MID($B515,1,6),"00",RIGHT($B515,1)),IF(LEN($B515)=8,CONCATENATE(MID($B515,1,6),"0",RIGHT($B515,2)),$B515))</f>
        <v>5681</v>
      </c>
      <c r="H515" s="680">
        <v>47.73</v>
      </c>
      <c r="I515" s="680">
        <v>50.21</v>
      </c>
    </row>
    <row r="516" spans="2:9" ht="30">
      <c r="B516" s="396">
        <v>5685</v>
      </c>
      <c r="C516" s="401" t="s">
        <v>819</v>
      </c>
      <c r="D516" s="396" t="s">
        <v>40</v>
      </c>
      <c r="E516" s="405">
        <f t="shared" si="16"/>
        <v>55.24</v>
      </c>
      <c r="F516">
        <f t="shared" si="17"/>
        <v>5685</v>
      </c>
      <c r="H516" s="679">
        <v>55.24</v>
      </c>
      <c r="I516" s="679">
        <v>57.13</v>
      </c>
    </row>
    <row r="517" spans="2:9" ht="30">
      <c r="B517" s="395">
        <v>5690</v>
      </c>
      <c r="C517" s="406" t="s">
        <v>820</v>
      </c>
      <c r="D517" s="395" t="s">
        <v>40</v>
      </c>
      <c r="E517" s="407">
        <f t="shared" si="16"/>
        <v>4.67</v>
      </c>
      <c r="F517">
        <f t="shared" si="17"/>
        <v>5690</v>
      </c>
      <c r="H517" s="680">
        <v>4.67</v>
      </c>
      <c r="I517" s="680">
        <v>4.67</v>
      </c>
    </row>
    <row r="518" spans="2:9" ht="30">
      <c r="B518" s="396">
        <v>5806</v>
      </c>
      <c r="C518" s="401" t="s">
        <v>821</v>
      </c>
      <c r="D518" s="396" t="s">
        <v>40</v>
      </c>
      <c r="E518" s="405">
        <f t="shared" si="16"/>
        <v>0.26</v>
      </c>
      <c r="F518">
        <f t="shared" si="17"/>
        <v>5806</v>
      </c>
      <c r="H518" s="679">
        <v>0.26</v>
      </c>
      <c r="I518" s="679">
        <v>0.26</v>
      </c>
    </row>
    <row r="519" spans="2:9" ht="30">
      <c r="B519" s="395">
        <v>5826</v>
      </c>
      <c r="C519" s="406" t="s">
        <v>822</v>
      </c>
      <c r="D519" s="395" t="s">
        <v>40</v>
      </c>
      <c r="E519" s="407">
        <f t="shared" si="16"/>
        <v>44.86</v>
      </c>
      <c r="F519">
        <f t="shared" si="17"/>
        <v>5826</v>
      </c>
      <c r="H519" s="680">
        <v>44.86</v>
      </c>
      <c r="I519" s="680">
        <v>46.89</v>
      </c>
    </row>
    <row r="520" spans="2:9">
      <c r="B520" s="396">
        <v>5829</v>
      </c>
      <c r="C520" s="401" t="s">
        <v>471</v>
      </c>
      <c r="D520" s="396" t="s">
        <v>40</v>
      </c>
      <c r="E520" s="405">
        <f t="shared" si="16"/>
        <v>124.22</v>
      </c>
      <c r="F520">
        <f t="shared" si="17"/>
        <v>5829</v>
      </c>
      <c r="H520" s="679">
        <v>124.22</v>
      </c>
      <c r="I520" s="679">
        <v>133.74</v>
      </c>
    </row>
    <row r="521" spans="2:9" ht="30">
      <c r="B521" s="395">
        <v>5837</v>
      </c>
      <c r="C521" s="406" t="s">
        <v>823</v>
      </c>
      <c r="D521" s="395" t="s">
        <v>40</v>
      </c>
      <c r="E521" s="407">
        <f t="shared" si="16"/>
        <v>136.16</v>
      </c>
      <c r="F521">
        <f t="shared" si="17"/>
        <v>5837</v>
      </c>
      <c r="H521" s="680">
        <v>136.16</v>
      </c>
      <c r="I521" s="680">
        <v>138.53</v>
      </c>
    </row>
    <row r="522" spans="2:9">
      <c r="B522" s="396">
        <v>5841</v>
      </c>
      <c r="C522" s="401" t="s">
        <v>824</v>
      </c>
      <c r="D522" s="396" t="s">
        <v>40</v>
      </c>
      <c r="E522" s="405">
        <f t="shared" si="16"/>
        <v>5.38</v>
      </c>
      <c r="F522">
        <f t="shared" si="17"/>
        <v>5841</v>
      </c>
      <c r="H522" s="679">
        <v>5.38</v>
      </c>
      <c r="I522" s="679">
        <v>5.38</v>
      </c>
    </row>
    <row r="523" spans="2:9">
      <c r="B523" s="395">
        <v>5845</v>
      </c>
      <c r="C523" s="406" t="s">
        <v>236</v>
      </c>
      <c r="D523" s="395" t="s">
        <v>40</v>
      </c>
      <c r="E523" s="407">
        <f t="shared" si="16"/>
        <v>39</v>
      </c>
      <c r="F523">
        <f t="shared" si="17"/>
        <v>5845</v>
      </c>
      <c r="H523" s="680">
        <v>39</v>
      </c>
      <c r="I523" s="680">
        <v>40.9</v>
      </c>
    </row>
    <row r="524" spans="2:9">
      <c r="B524" s="396">
        <v>5849</v>
      </c>
      <c r="C524" s="401" t="s">
        <v>825</v>
      </c>
      <c r="D524" s="396" t="s">
        <v>40</v>
      </c>
      <c r="E524" s="405">
        <f t="shared" si="16"/>
        <v>65.489999999999995</v>
      </c>
      <c r="F524">
        <f t="shared" si="17"/>
        <v>5849</v>
      </c>
      <c r="H524" s="679">
        <v>65.489999999999995</v>
      </c>
      <c r="I524" s="679">
        <v>67.39</v>
      </c>
    </row>
    <row r="525" spans="2:9" ht="30">
      <c r="B525" s="395">
        <v>5853</v>
      </c>
      <c r="C525" s="406" t="s">
        <v>41</v>
      </c>
      <c r="D525" s="395" t="s">
        <v>40</v>
      </c>
      <c r="E525" s="407">
        <f t="shared" si="16"/>
        <v>65.790000000000006</v>
      </c>
      <c r="F525">
        <f t="shared" si="17"/>
        <v>5853</v>
      </c>
      <c r="H525" s="680">
        <v>65.790000000000006</v>
      </c>
      <c r="I525" s="680">
        <v>67.69</v>
      </c>
    </row>
    <row r="526" spans="2:9">
      <c r="B526" s="396">
        <v>5857</v>
      </c>
      <c r="C526" s="401" t="s">
        <v>826</v>
      </c>
      <c r="D526" s="396" t="s">
        <v>40</v>
      </c>
      <c r="E526" s="405">
        <f t="shared" si="16"/>
        <v>177.63</v>
      </c>
      <c r="F526">
        <f t="shared" si="17"/>
        <v>5857</v>
      </c>
      <c r="H526" s="679">
        <v>177.63</v>
      </c>
      <c r="I526" s="679">
        <v>179.53</v>
      </c>
    </row>
    <row r="527" spans="2:9" ht="30">
      <c r="B527" s="395">
        <v>5865</v>
      </c>
      <c r="C527" s="406" t="s">
        <v>827</v>
      </c>
      <c r="D527" s="395" t="s">
        <v>40</v>
      </c>
      <c r="E527" s="407">
        <f t="shared" si="16"/>
        <v>11.68</v>
      </c>
      <c r="F527">
        <f t="shared" si="17"/>
        <v>5865</v>
      </c>
      <c r="H527" s="680">
        <v>11.68</v>
      </c>
      <c r="I527" s="680">
        <v>11.68</v>
      </c>
    </row>
    <row r="528" spans="2:9" ht="30">
      <c r="B528" s="396">
        <v>5869</v>
      </c>
      <c r="C528" s="401" t="s">
        <v>828</v>
      </c>
      <c r="D528" s="396" t="s">
        <v>40</v>
      </c>
      <c r="E528" s="405">
        <f t="shared" si="16"/>
        <v>64.069999999999993</v>
      </c>
      <c r="F528">
        <f t="shared" si="17"/>
        <v>5869</v>
      </c>
      <c r="H528" s="679">
        <v>64.069999999999993</v>
      </c>
      <c r="I528" s="679">
        <v>65.959999999999994</v>
      </c>
    </row>
    <row r="529" spans="2:9" ht="45">
      <c r="B529" s="395">
        <v>5877</v>
      </c>
      <c r="C529" s="406" t="s">
        <v>829</v>
      </c>
      <c r="D529" s="395" t="s">
        <v>40</v>
      </c>
      <c r="E529" s="407">
        <f t="shared" si="16"/>
        <v>50.05</v>
      </c>
      <c r="F529">
        <f t="shared" si="17"/>
        <v>5877</v>
      </c>
      <c r="H529" s="680">
        <v>50.05</v>
      </c>
      <c r="I529" s="680">
        <v>52.53</v>
      </c>
    </row>
    <row r="530" spans="2:9" ht="30">
      <c r="B530" s="396">
        <v>5881</v>
      </c>
      <c r="C530" s="401" t="s">
        <v>830</v>
      </c>
      <c r="D530" s="396" t="s">
        <v>40</v>
      </c>
      <c r="E530" s="405">
        <f t="shared" si="16"/>
        <v>69.44</v>
      </c>
      <c r="F530">
        <f t="shared" si="17"/>
        <v>5881</v>
      </c>
      <c r="H530" s="679">
        <v>69.44</v>
      </c>
      <c r="I530" s="679">
        <v>71.33</v>
      </c>
    </row>
    <row r="531" spans="2:9" ht="30">
      <c r="B531" s="395">
        <v>5884</v>
      </c>
      <c r="C531" s="406" t="s">
        <v>831</v>
      </c>
      <c r="D531" s="395" t="s">
        <v>40</v>
      </c>
      <c r="E531" s="407">
        <f t="shared" si="16"/>
        <v>42.68</v>
      </c>
      <c r="F531">
        <f t="shared" si="17"/>
        <v>5884</v>
      </c>
      <c r="H531" s="680">
        <v>42.68</v>
      </c>
      <c r="I531" s="680">
        <v>44.55</v>
      </c>
    </row>
    <row r="532" spans="2:9" ht="30">
      <c r="B532" s="396">
        <v>5892</v>
      </c>
      <c r="C532" s="401" t="s">
        <v>237</v>
      </c>
      <c r="D532" s="396" t="s">
        <v>40</v>
      </c>
      <c r="E532" s="405">
        <f t="shared" si="16"/>
        <v>40.61</v>
      </c>
      <c r="F532">
        <f t="shared" si="17"/>
        <v>5892</v>
      </c>
      <c r="H532" s="679">
        <v>40.61</v>
      </c>
      <c r="I532" s="679">
        <v>42.64</v>
      </c>
    </row>
    <row r="533" spans="2:9" ht="30">
      <c r="B533" s="395">
        <v>5896</v>
      </c>
      <c r="C533" s="406" t="s">
        <v>832</v>
      </c>
      <c r="D533" s="395" t="s">
        <v>40</v>
      </c>
      <c r="E533" s="407">
        <f t="shared" si="16"/>
        <v>42.89</v>
      </c>
      <c r="F533">
        <f t="shared" si="17"/>
        <v>5896</v>
      </c>
      <c r="H533" s="680">
        <v>42.89</v>
      </c>
      <c r="I533" s="680">
        <v>44.92</v>
      </c>
    </row>
    <row r="534" spans="2:9" ht="30">
      <c r="B534" s="396">
        <v>5903</v>
      </c>
      <c r="C534" s="401" t="s">
        <v>833</v>
      </c>
      <c r="D534" s="396" t="s">
        <v>40</v>
      </c>
      <c r="E534" s="405">
        <f t="shared" si="16"/>
        <v>55.18</v>
      </c>
      <c r="F534">
        <f t="shared" si="17"/>
        <v>5903</v>
      </c>
      <c r="H534" s="679">
        <v>55.18</v>
      </c>
      <c r="I534" s="679">
        <v>57.21</v>
      </c>
    </row>
    <row r="535" spans="2:9" ht="30">
      <c r="B535" s="395">
        <v>5911</v>
      </c>
      <c r="C535" s="406" t="s">
        <v>238</v>
      </c>
      <c r="D535" s="395" t="s">
        <v>40</v>
      </c>
      <c r="E535" s="407">
        <f t="shared" si="16"/>
        <v>21.65</v>
      </c>
      <c r="F535">
        <f t="shared" si="17"/>
        <v>5911</v>
      </c>
      <c r="H535" s="680">
        <v>21.65</v>
      </c>
      <c r="I535" s="680">
        <v>23.52</v>
      </c>
    </row>
    <row r="536" spans="2:9">
      <c r="B536" s="396">
        <v>5923</v>
      </c>
      <c r="C536" s="401" t="s">
        <v>834</v>
      </c>
      <c r="D536" s="396" t="s">
        <v>40</v>
      </c>
      <c r="E536" s="405">
        <f t="shared" si="16"/>
        <v>3.67</v>
      </c>
      <c r="F536">
        <f t="shared" si="17"/>
        <v>5923</v>
      </c>
      <c r="H536" s="679">
        <v>3.67</v>
      </c>
      <c r="I536" s="679">
        <v>3.67</v>
      </c>
    </row>
    <row r="537" spans="2:9" ht="30">
      <c r="B537" s="395">
        <v>5930</v>
      </c>
      <c r="C537" s="406" t="s">
        <v>835</v>
      </c>
      <c r="D537" s="395" t="s">
        <v>40</v>
      </c>
      <c r="E537" s="407">
        <f t="shared" si="16"/>
        <v>54.87</v>
      </c>
      <c r="F537">
        <f t="shared" si="17"/>
        <v>5930</v>
      </c>
      <c r="H537" s="680">
        <v>54.87</v>
      </c>
      <c r="I537" s="680">
        <v>57.27</v>
      </c>
    </row>
    <row r="538" spans="2:9" ht="30">
      <c r="B538" s="396">
        <v>5934</v>
      </c>
      <c r="C538" s="401" t="s">
        <v>42</v>
      </c>
      <c r="D538" s="396" t="s">
        <v>40</v>
      </c>
      <c r="E538" s="405">
        <f t="shared" si="16"/>
        <v>75.56</v>
      </c>
      <c r="F538">
        <f t="shared" si="17"/>
        <v>5934</v>
      </c>
      <c r="H538" s="679">
        <v>75.56</v>
      </c>
      <c r="I538" s="679">
        <v>78.37</v>
      </c>
    </row>
    <row r="539" spans="2:9" ht="30">
      <c r="B539" s="395">
        <v>5942</v>
      </c>
      <c r="C539" s="406" t="s">
        <v>836</v>
      </c>
      <c r="D539" s="395" t="s">
        <v>40</v>
      </c>
      <c r="E539" s="407">
        <f t="shared" si="16"/>
        <v>60.89</v>
      </c>
      <c r="F539">
        <f t="shared" si="17"/>
        <v>5942</v>
      </c>
      <c r="H539" s="680">
        <v>60.89</v>
      </c>
      <c r="I539" s="680">
        <v>62.95</v>
      </c>
    </row>
    <row r="540" spans="2:9" ht="30">
      <c r="B540" s="396">
        <v>5946</v>
      </c>
      <c r="C540" s="401" t="s">
        <v>837</v>
      </c>
      <c r="D540" s="396" t="s">
        <v>40</v>
      </c>
      <c r="E540" s="405">
        <f t="shared" si="16"/>
        <v>77.61</v>
      </c>
      <c r="F540">
        <f t="shared" si="17"/>
        <v>5946</v>
      </c>
      <c r="H540" s="679">
        <v>77.61</v>
      </c>
      <c r="I540" s="679">
        <v>79.67</v>
      </c>
    </row>
    <row r="541" spans="2:9">
      <c r="B541" s="395">
        <v>5952</v>
      </c>
      <c r="C541" s="406" t="s">
        <v>472</v>
      </c>
      <c r="D541" s="395" t="s">
        <v>40</v>
      </c>
      <c r="E541" s="407">
        <f t="shared" si="16"/>
        <v>15.85</v>
      </c>
      <c r="F541">
        <f t="shared" si="17"/>
        <v>5952</v>
      </c>
      <c r="H541" s="680">
        <v>15.85</v>
      </c>
      <c r="I541" s="680">
        <v>17.34</v>
      </c>
    </row>
    <row r="542" spans="2:9" ht="30">
      <c r="B542" s="396">
        <v>5954</v>
      </c>
      <c r="C542" s="401" t="s">
        <v>239</v>
      </c>
      <c r="D542" s="396" t="s">
        <v>40</v>
      </c>
      <c r="E542" s="405">
        <f t="shared" si="16"/>
        <v>5.59</v>
      </c>
      <c r="F542">
        <f t="shared" si="17"/>
        <v>5954</v>
      </c>
      <c r="H542" s="679">
        <v>5.59</v>
      </c>
      <c r="I542" s="679">
        <v>5.59</v>
      </c>
    </row>
    <row r="543" spans="2:9" ht="30">
      <c r="B543" s="395">
        <v>5961</v>
      </c>
      <c r="C543" s="406" t="s">
        <v>838</v>
      </c>
      <c r="D543" s="395" t="s">
        <v>40</v>
      </c>
      <c r="E543" s="407">
        <f t="shared" si="16"/>
        <v>45.12</v>
      </c>
      <c r="F543">
        <f t="shared" si="17"/>
        <v>5961</v>
      </c>
      <c r="H543" s="680">
        <v>45.12</v>
      </c>
      <c r="I543" s="680">
        <v>47.04</v>
      </c>
    </row>
    <row r="544" spans="2:9" ht="30">
      <c r="B544" s="396">
        <v>6260</v>
      </c>
      <c r="C544" s="401" t="s">
        <v>839</v>
      </c>
      <c r="D544" s="396" t="s">
        <v>40</v>
      </c>
      <c r="E544" s="405">
        <f t="shared" si="16"/>
        <v>44.59</v>
      </c>
      <c r="F544">
        <f t="shared" si="17"/>
        <v>6260</v>
      </c>
      <c r="H544" s="679">
        <v>44.59</v>
      </c>
      <c r="I544" s="679">
        <v>46.62</v>
      </c>
    </row>
    <row r="545" spans="2:9" ht="30">
      <c r="B545" s="395">
        <v>6880</v>
      </c>
      <c r="C545" s="406" t="s">
        <v>840</v>
      </c>
      <c r="D545" s="395" t="s">
        <v>40</v>
      </c>
      <c r="E545" s="407">
        <f t="shared" si="16"/>
        <v>77.05</v>
      </c>
      <c r="F545">
        <f t="shared" si="17"/>
        <v>6880</v>
      </c>
      <c r="H545" s="680">
        <v>77.05</v>
      </c>
      <c r="I545" s="680">
        <v>78.94</v>
      </c>
    </row>
    <row r="546" spans="2:9">
      <c r="B546" s="396">
        <v>7031</v>
      </c>
      <c r="C546" s="401" t="s">
        <v>841</v>
      </c>
      <c r="D546" s="396" t="s">
        <v>40</v>
      </c>
      <c r="E546" s="405">
        <f t="shared" si="16"/>
        <v>5.37</v>
      </c>
      <c r="F546">
        <f t="shared" si="17"/>
        <v>7031</v>
      </c>
      <c r="H546" s="679">
        <v>5.37</v>
      </c>
      <c r="I546" s="679">
        <v>5.37</v>
      </c>
    </row>
    <row r="547" spans="2:9" ht="30">
      <c r="B547" s="395">
        <v>7043</v>
      </c>
      <c r="C547" s="406" t="s">
        <v>842</v>
      </c>
      <c r="D547" s="395" t="s">
        <v>40</v>
      </c>
      <c r="E547" s="407">
        <f t="shared" si="16"/>
        <v>0.33</v>
      </c>
      <c r="F547">
        <f t="shared" si="17"/>
        <v>7043</v>
      </c>
      <c r="H547" s="680">
        <v>0.33</v>
      </c>
      <c r="I547" s="680">
        <v>0.33</v>
      </c>
    </row>
    <row r="548" spans="2:9" ht="30">
      <c r="B548" s="396">
        <v>7050</v>
      </c>
      <c r="C548" s="401" t="s">
        <v>843</v>
      </c>
      <c r="D548" s="396" t="s">
        <v>40</v>
      </c>
      <c r="E548" s="405">
        <f t="shared" si="16"/>
        <v>70.2</v>
      </c>
      <c r="F548">
        <f t="shared" si="17"/>
        <v>7050</v>
      </c>
      <c r="H548" s="679">
        <v>70.2</v>
      </c>
      <c r="I548" s="679">
        <v>72.09</v>
      </c>
    </row>
    <row r="549" spans="2:9" ht="30">
      <c r="B549" s="395">
        <v>67827</v>
      </c>
      <c r="C549" s="406" t="s">
        <v>844</v>
      </c>
      <c r="D549" s="395" t="s">
        <v>40</v>
      </c>
      <c r="E549" s="407">
        <f t="shared" si="16"/>
        <v>46.14</v>
      </c>
      <c r="F549">
        <f t="shared" si="17"/>
        <v>67827</v>
      </c>
      <c r="H549" s="680">
        <v>46.14</v>
      </c>
      <c r="I549" s="680">
        <v>48.06</v>
      </c>
    </row>
    <row r="550" spans="2:9">
      <c r="B550" s="396">
        <v>73395</v>
      </c>
      <c r="C550" s="401" t="s">
        <v>845</v>
      </c>
      <c r="D550" s="396" t="s">
        <v>40</v>
      </c>
      <c r="E550" s="405">
        <f t="shared" si="16"/>
        <v>8.2100000000000009</v>
      </c>
      <c r="F550">
        <f t="shared" si="17"/>
        <v>73395</v>
      </c>
      <c r="H550" s="679">
        <v>8.2100000000000009</v>
      </c>
      <c r="I550" s="679">
        <v>8.2100000000000009</v>
      </c>
    </row>
    <row r="551" spans="2:9" ht="30">
      <c r="B551" s="395">
        <v>83766</v>
      </c>
      <c r="C551" s="406" t="s">
        <v>846</v>
      </c>
      <c r="D551" s="395" t="s">
        <v>40</v>
      </c>
      <c r="E551" s="407">
        <f t="shared" si="16"/>
        <v>33.450000000000003</v>
      </c>
      <c r="F551">
        <f t="shared" si="17"/>
        <v>83766</v>
      </c>
      <c r="H551" s="680">
        <v>33.450000000000003</v>
      </c>
      <c r="I551" s="680">
        <v>35.93</v>
      </c>
    </row>
    <row r="552" spans="2:9" ht="30">
      <c r="B552" s="396">
        <v>84013</v>
      </c>
      <c r="C552" s="401" t="s">
        <v>847</v>
      </c>
      <c r="D552" s="396" t="s">
        <v>40</v>
      </c>
      <c r="E552" s="405">
        <f t="shared" si="16"/>
        <v>71.7</v>
      </c>
      <c r="F552">
        <f t="shared" si="17"/>
        <v>84013</v>
      </c>
      <c r="H552" s="679">
        <v>71.7</v>
      </c>
      <c r="I552" s="679">
        <v>74.180000000000007</v>
      </c>
    </row>
    <row r="553" spans="2:9" ht="30">
      <c r="B553" s="395">
        <v>87446</v>
      </c>
      <c r="C553" s="406" t="s">
        <v>240</v>
      </c>
      <c r="D553" s="395" t="s">
        <v>40</v>
      </c>
      <c r="E553" s="407">
        <f t="shared" si="16"/>
        <v>0.54</v>
      </c>
      <c r="F553">
        <f t="shared" si="17"/>
        <v>87446</v>
      </c>
      <c r="H553" s="680">
        <v>0.54</v>
      </c>
      <c r="I553" s="680">
        <v>0.54</v>
      </c>
    </row>
    <row r="554" spans="2:9" ht="30">
      <c r="B554" s="396">
        <v>88392</v>
      </c>
      <c r="C554" s="401" t="s">
        <v>848</v>
      </c>
      <c r="D554" s="396" t="s">
        <v>40</v>
      </c>
      <c r="E554" s="405">
        <f t="shared" si="16"/>
        <v>1.07</v>
      </c>
      <c r="F554">
        <f t="shared" si="17"/>
        <v>88392</v>
      </c>
      <c r="H554" s="679">
        <v>1.07</v>
      </c>
      <c r="I554" s="679">
        <v>1.07</v>
      </c>
    </row>
    <row r="555" spans="2:9" ht="30">
      <c r="B555" s="395">
        <v>88398</v>
      </c>
      <c r="C555" s="406" t="s">
        <v>849</v>
      </c>
      <c r="D555" s="395" t="s">
        <v>40</v>
      </c>
      <c r="E555" s="407">
        <f t="shared" si="16"/>
        <v>1.28</v>
      </c>
      <c r="F555">
        <f t="shared" si="17"/>
        <v>88398</v>
      </c>
      <c r="H555" s="680">
        <v>1.28</v>
      </c>
      <c r="I555" s="680">
        <v>1.28</v>
      </c>
    </row>
    <row r="556" spans="2:9" ht="30">
      <c r="B556" s="396">
        <v>88404</v>
      </c>
      <c r="C556" s="401" t="s">
        <v>850</v>
      </c>
      <c r="D556" s="396" t="s">
        <v>40</v>
      </c>
      <c r="E556" s="405">
        <f t="shared" si="16"/>
        <v>1.01</v>
      </c>
      <c r="F556">
        <f t="shared" si="17"/>
        <v>88404</v>
      </c>
      <c r="H556" s="679">
        <v>1.01</v>
      </c>
      <c r="I556" s="679">
        <v>1.01</v>
      </c>
    </row>
    <row r="557" spans="2:9" ht="30">
      <c r="B557" s="395">
        <v>88430</v>
      </c>
      <c r="C557" s="406" t="s">
        <v>241</v>
      </c>
      <c r="D557" s="395" t="s">
        <v>40</v>
      </c>
      <c r="E557" s="407">
        <f t="shared" si="16"/>
        <v>6.66</v>
      </c>
      <c r="F557">
        <f t="shared" si="17"/>
        <v>88430</v>
      </c>
      <c r="H557" s="680">
        <v>6.66</v>
      </c>
      <c r="I557" s="680">
        <v>6.66</v>
      </c>
    </row>
    <row r="558" spans="2:9" ht="30">
      <c r="B558" s="396">
        <v>88438</v>
      </c>
      <c r="C558" s="401" t="s">
        <v>851</v>
      </c>
      <c r="D558" s="396" t="s">
        <v>40</v>
      </c>
      <c r="E558" s="405">
        <f t="shared" si="16"/>
        <v>8.83</v>
      </c>
      <c r="F558">
        <f t="shared" si="17"/>
        <v>88438</v>
      </c>
      <c r="H558" s="679">
        <v>8.83</v>
      </c>
      <c r="I558" s="679">
        <v>8.83</v>
      </c>
    </row>
    <row r="559" spans="2:9" ht="30">
      <c r="B559" s="395">
        <v>88831</v>
      </c>
      <c r="C559" s="406" t="s">
        <v>2039</v>
      </c>
      <c r="D559" s="395" t="s">
        <v>40</v>
      </c>
      <c r="E559" s="407">
        <f t="shared" si="16"/>
        <v>0.4</v>
      </c>
      <c r="F559">
        <f t="shared" si="17"/>
        <v>88831</v>
      </c>
      <c r="H559" s="680">
        <v>0.4</v>
      </c>
      <c r="I559" s="680">
        <v>0.4</v>
      </c>
    </row>
    <row r="560" spans="2:9">
      <c r="B560" s="396">
        <v>88844</v>
      </c>
      <c r="C560" s="401" t="s">
        <v>852</v>
      </c>
      <c r="D560" s="396" t="s">
        <v>40</v>
      </c>
      <c r="E560" s="405">
        <f t="shared" si="16"/>
        <v>56.32</v>
      </c>
      <c r="F560">
        <f t="shared" si="17"/>
        <v>88844</v>
      </c>
      <c r="H560" s="679">
        <v>56.32</v>
      </c>
      <c r="I560" s="679">
        <v>58.22</v>
      </c>
    </row>
    <row r="561" spans="2:9" ht="30">
      <c r="B561" s="395">
        <v>88908</v>
      </c>
      <c r="C561" s="406" t="s">
        <v>853</v>
      </c>
      <c r="D561" s="395" t="s">
        <v>40</v>
      </c>
      <c r="E561" s="407">
        <f t="shared" si="16"/>
        <v>80.2</v>
      </c>
      <c r="F561">
        <f t="shared" si="17"/>
        <v>88908</v>
      </c>
      <c r="H561" s="680">
        <v>80.2</v>
      </c>
      <c r="I561" s="680">
        <v>82.68</v>
      </c>
    </row>
    <row r="562" spans="2:9" ht="30">
      <c r="B562" s="396">
        <v>89022</v>
      </c>
      <c r="C562" s="401" t="s">
        <v>854</v>
      </c>
      <c r="D562" s="396" t="s">
        <v>40</v>
      </c>
      <c r="E562" s="405">
        <f t="shared" si="16"/>
        <v>0.37</v>
      </c>
      <c r="F562">
        <f t="shared" si="17"/>
        <v>89022</v>
      </c>
      <c r="H562" s="679">
        <v>0.37</v>
      </c>
      <c r="I562" s="679">
        <v>0.37</v>
      </c>
    </row>
    <row r="563" spans="2:9">
      <c r="B563" s="395">
        <v>89027</v>
      </c>
      <c r="C563" s="406" t="s">
        <v>43</v>
      </c>
      <c r="D563" s="395" t="s">
        <v>40</v>
      </c>
      <c r="E563" s="407">
        <f t="shared" si="16"/>
        <v>4.37</v>
      </c>
      <c r="F563">
        <f t="shared" si="17"/>
        <v>89027</v>
      </c>
      <c r="H563" s="680">
        <v>4.37</v>
      </c>
      <c r="I563" s="680">
        <v>4.37</v>
      </c>
    </row>
    <row r="564" spans="2:9">
      <c r="B564" s="396">
        <v>89031</v>
      </c>
      <c r="C564" s="401" t="s">
        <v>855</v>
      </c>
      <c r="D564" s="396" t="s">
        <v>40</v>
      </c>
      <c r="E564" s="405">
        <f t="shared" si="16"/>
        <v>54.55</v>
      </c>
      <c r="F564">
        <f t="shared" si="17"/>
        <v>89031</v>
      </c>
      <c r="H564" s="679">
        <v>54.55</v>
      </c>
      <c r="I564" s="679">
        <v>56.45</v>
      </c>
    </row>
    <row r="565" spans="2:9">
      <c r="B565" s="395">
        <v>89036</v>
      </c>
      <c r="C565" s="406" t="s">
        <v>242</v>
      </c>
      <c r="D565" s="395" t="s">
        <v>40</v>
      </c>
      <c r="E565" s="407">
        <f t="shared" si="16"/>
        <v>33.03</v>
      </c>
      <c r="F565">
        <f t="shared" si="17"/>
        <v>89036</v>
      </c>
      <c r="H565" s="680">
        <v>33.03</v>
      </c>
      <c r="I565" s="680">
        <v>34.93</v>
      </c>
    </row>
    <row r="566" spans="2:9">
      <c r="B566" s="396">
        <v>89218</v>
      </c>
      <c r="C566" s="401" t="s">
        <v>44</v>
      </c>
      <c r="D566" s="396" t="s">
        <v>40</v>
      </c>
      <c r="E566" s="405">
        <f t="shared" si="16"/>
        <v>69.84</v>
      </c>
      <c r="F566">
        <f t="shared" si="17"/>
        <v>89218</v>
      </c>
      <c r="H566" s="679">
        <v>69.84</v>
      </c>
      <c r="I566" s="679">
        <v>74.12</v>
      </c>
    </row>
    <row r="567" spans="2:9" ht="30">
      <c r="B567" s="395">
        <v>89226</v>
      </c>
      <c r="C567" s="406" t="s">
        <v>856</v>
      </c>
      <c r="D567" s="395" t="s">
        <v>40</v>
      </c>
      <c r="E567" s="407">
        <f t="shared" si="16"/>
        <v>1.65</v>
      </c>
      <c r="F567">
        <f t="shared" si="17"/>
        <v>89226</v>
      </c>
      <c r="H567" s="680">
        <v>1.65</v>
      </c>
      <c r="I567" s="680">
        <v>1.65</v>
      </c>
    </row>
    <row r="568" spans="2:9">
      <c r="B568" s="396">
        <v>89235</v>
      </c>
      <c r="C568" s="401" t="s">
        <v>857</v>
      </c>
      <c r="D568" s="396" t="s">
        <v>40</v>
      </c>
      <c r="E568" s="405">
        <f t="shared" si="16"/>
        <v>179.18</v>
      </c>
      <c r="F568">
        <f t="shared" si="17"/>
        <v>89235</v>
      </c>
      <c r="H568" s="679">
        <v>179.18</v>
      </c>
      <c r="I568" s="679">
        <v>181.55</v>
      </c>
    </row>
    <row r="569" spans="2:9">
      <c r="B569" s="395">
        <v>89243</v>
      </c>
      <c r="C569" s="406" t="s">
        <v>858</v>
      </c>
      <c r="D569" s="395" t="s">
        <v>40</v>
      </c>
      <c r="E569" s="407">
        <f t="shared" si="16"/>
        <v>392.19</v>
      </c>
      <c r="F569">
        <f t="shared" si="17"/>
        <v>89243</v>
      </c>
      <c r="H569" s="680">
        <v>392.19</v>
      </c>
      <c r="I569" s="680">
        <v>394.56</v>
      </c>
    </row>
    <row r="570" spans="2:9">
      <c r="B570" s="396">
        <v>89251</v>
      </c>
      <c r="C570" s="401" t="s">
        <v>243</v>
      </c>
      <c r="D570" s="396" t="s">
        <v>40</v>
      </c>
      <c r="E570" s="405">
        <f t="shared" si="16"/>
        <v>343.38</v>
      </c>
      <c r="F570">
        <f t="shared" si="17"/>
        <v>89251</v>
      </c>
      <c r="H570" s="679">
        <v>343.38</v>
      </c>
      <c r="I570" s="679">
        <v>345.75</v>
      </c>
    </row>
    <row r="571" spans="2:9" ht="30">
      <c r="B571" s="395">
        <v>89258</v>
      </c>
      <c r="C571" s="406" t="s">
        <v>859</v>
      </c>
      <c r="D571" s="395" t="s">
        <v>40</v>
      </c>
      <c r="E571" s="407">
        <f t="shared" si="16"/>
        <v>115.14</v>
      </c>
      <c r="F571">
        <f t="shared" si="17"/>
        <v>89258</v>
      </c>
      <c r="H571" s="680">
        <v>115.14</v>
      </c>
      <c r="I571" s="680">
        <v>117.51</v>
      </c>
    </row>
    <row r="572" spans="2:9" ht="30">
      <c r="B572" s="396">
        <v>89273</v>
      </c>
      <c r="C572" s="401" t="s">
        <v>860</v>
      </c>
      <c r="D572" s="396" t="s">
        <v>40</v>
      </c>
      <c r="E572" s="405">
        <f t="shared" si="16"/>
        <v>82.52</v>
      </c>
      <c r="F572">
        <f t="shared" si="17"/>
        <v>89273</v>
      </c>
      <c r="H572" s="679">
        <v>82.52</v>
      </c>
      <c r="I572" s="679">
        <v>84.32</v>
      </c>
    </row>
    <row r="573" spans="2:9" ht="30">
      <c r="B573" s="395">
        <v>89279</v>
      </c>
      <c r="C573" s="406" t="s">
        <v>861</v>
      </c>
      <c r="D573" s="395" t="s">
        <v>40</v>
      </c>
      <c r="E573" s="407">
        <f t="shared" si="16"/>
        <v>2.0099999999999998</v>
      </c>
      <c r="F573">
        <f t="shared" si="17"/>
        <v>89279</v>
      </c>
      <c r="H573" s="680">
        <v>2.0099999999999998</v>
      </c>
      <c r="I573" s="680">
        <v>2.0099999999999998</v>
      </c>
    </row>
    <row r="574" spans="2:9" ht="30">
      <c r="B574" s="396">
        <v>89877</v>
      </c>
      <c r="C574" s="401" t="s">
        <v>244</v>
      </c>
      <c r="D574" s="396" t="s">
        <v>40</v>
      </c>
      <c r="E574" s="405">
        <f t="shared" si="16"/>
        <v>57.49</v>
      </c>
      <c r="F574">
        <f t="shared" si="17"/>
        <v>89877</v>
      </c>
      <c r="H574" s="679">
        <v>57.49</v>
      </c>
      <c r="I574" s="679">
        <v>59.41</v>
      </c>
    </row>
    <row r="575" spans="2:9" ht="30">
      <c r="B575" s="395">
        <v>89884</v>
      </c>
      <c r="C575" s="406" t="s">
        <v>245</v>
      </c>
      <c r="D575" s="395" t="s">
        <v>40</v>
      </c>
      <c r="E575" s="407">
        <f t="shared" si="16"/>
        <v>60.57</v>
      </c>
      <c r="F575">
        <f t="shared" si="17"/>
        <v>89884</v>
      </c>
      <c r="H575" s="680">
        <v>60.57</v>
      </c>
      <c r="I575" s="680">
        <v>62.49</v>
      </c>
    </row>
    <row r="576" spans="2:9">
      <c r="B576" s="396">
        <v>90587</v>
      </c>
      <c r="C576" s="401" t="s">
        <v>862</v>
      </c>
      <c r="D576" s="396" t="s">
        <v>40</v>
      </c>
      <c r="E576" s="405">
        <f t="shared" si="16"/>
        <v>0.49</v>
      </c>
      <c r="F576">
        <f t="shared" si="17"/>
        <v>90587</v>
      </c>
      <c r="H576" s="679">
        <v>0.49</v>
      </c>
      <c r="I576" s="679">
        <v>0.49</v>
      </c>
    </row>
    <row r="577" spans="2:9">
      <c r="B577" s="395">
        <v>90626</v>
      </c>
      <c r="C577" s="406" t="s">
        <v>246</v>
      </c>
      <c r="D577" s="395" t="s">
        <v>40</v>
      </c>
      <c r="E577" s="407">
        <f t="shared" si="16"/>
        <v>2.66</v>
      </c>
      <c r="F577">
        <f t="shared" si="17"/>
        <v>90626</v>
      </c>
      <c r="H577" s="680">
        <v>2.66</v>
      </c>
      <c r="I577" s="680">
        <v>2.66</v>
      </c>
    </row>
    <row r="578" spans="2:9" ht="30">
      <c r="B578" s="396">
        <v>90632</v>
      </c>
      <c r="C578" s="401" t="s">
        <v>247</v>
      </c>
      <c r="D578" s="396" t="s">
        <v>40</v>
      </c>
      <c r="E578" s="405">
        <f t="shared" si="16"/>
        <v>71.27</v>
      </c>
      <c r="F578">
        <f t="shared" si="17"/>
        <v>90632</v>
      </c>
      <c r="H578" s="679">
        <v>71.27</v>
      </c>
      <c r="I578" s="679">
        <v>73.16</v>
      </c>
    </row>
    <row r="579" spans="2:9" ht="30">
      <c r="B579" s="395">
        <v>90638</v>
      </c>
      <c r="C579" s="406" t="s">
        <v>45</v>
      </c>
      <c r="D579" s="395" t="s">
        <v>40</v>
      </c>
      <c r="E579" s="407">
        <f t="shared" ref="E579:E642" si="18">IF($K$2=$H$1,H579,I579)</f>
        <v>5.12</v>
      </c>
      <c r="F579">
        <f t="shared" ref="F579:F642" si="19">IF(LEN($B579)=7,CONCATENATE(MID($B579,1,6),"00",RIGHT($B579,1)),IF(LEN($B579)=8,CONCATENATE(MID($B579,1,6),"0",RIGHT($B579,2)),$B579))</f>
        <v>90638</v>
      </c>
      <c r="H579" s="680">
        <v>5.12</v>
      </c>
      <c r="I579" s="680">
        <v>5.12</v>
      </c>
    </row>
    <row r="580" spans="2:9" ht="30">
      <c r="B580" s="396">
        <v>90644</v>
      </c>
      <c r="C580" s="401" t="s">
        <v>863</v>
      </c>
      <c r="D580" s="396" t="s">
        <v>40</v>
      </c>
      <c r="E580" s="405">
        <f t="shared" si="18"/>
        <v>7.65</v>
      </c>
      <c r="F580">
        <f t="shared" si="19"/>
        <v>90644</v>
      </c>
      <c r="H580" s="679">
        <v>7.65</v>
      </c>
      <c r="I580" s="679">
        <v>7.65</v>
      </c>
    </row>
    <row r="581" spans="2:9" ht="30">
      <c r="B581" s="395">
        <v>90651</v>
      </c>
      <c r="C581" s="406" t="s">
        <v>864</v>
      </c>
      <c r="D581" s="395" t="s">
        <v>40</v>
      </c>
      <c r="E581" s="407">
        <f t="shared" si="18"/>
        <v>0.96</v>
      </c>
      <c r="F581">
        <f t="shared" si="19"/>
        <v>90651</v>
      </c>
      <c r="H581" s="680">
        <v>0.96</v>
      </c>
      <c r="I581" s="680">
        <v>0.96</v>
      </c>
    </row>
    <row r="582" spans="2:9">
      <c r="B582" s="396">
        <v>90657</v>
      </c>
      <c r="C582" s="401" t="s">
        <v>248</v>
      </c>
      <c r="D582" s="396" t="s">
        <v>40</v>
      </c>
      <c r="E582" s="405">
        <f t="shared" si="18"/>
        <v>4.97</v>
      </c>
      <c r="F582">
        <f t="shared" si="19"/>
        <v>90657</v>
      </c>
      <c r="H582" s="679">
        <v>4.97</v>
      </c>
      <c r="I582" s="679">
        <v>4.97</v>
      </c>
    </row>
    <row r="583" spans="2:9">
      <c r="B583" s="395">
        <v>90663</v>
      </c>
      <c r="C583" s="406" t="s">
        <v>249</v>
      </c>
      <c r="D583" s="395" t="s">
        <v>40</v>
      </c>
      <c r="E583" s="407">
        <f t="shared" si="18"/>
        <v>5.33</v>
      </c>
      <c r="F583">
        <f t="shared" si="19"/>
        <v>90663</v>
      </c>
      <c r="H583" s="680">
        <v>5.33</v>
      </c>
      <c r="I583" s="680">
        <v>5.33</v>
      </c>
    </row>
    <row r="584" spans="2:9" ht="30">
      <c r="B584" s="396">
        <v>90669</v>
      </c>
      <c r="C584" s="401" t="s">
        <v>865</v>
      </c>
      <c r="D584" s="396" t="s">
        <v>40</v>
      </c>
      <c r="E584" s="405">
        <f t="shared" si="18"/>
        <v>7.52</v>
      </c>
      <c r="F584">
        <f t="shared" si="19"/>
        <v>90669</v>
      </c>
      <c r="H584" s="679">
        <v>7.52</v>
      </c>
      <c r="I584" s="679">
        <v>7.52</v>
      </c>
    </row>
    <row r="585" spans="2:9" ht="45">
      <c r="B585" s="395">
        <v>90675</v>
      </c>
      <c r="C585" s="406" t="s">
        <v>866</v>
      </c>
      <c r="D585" s="395" t="s">
        <v>40</v>
      </c>
      <c r="E585" s="407">
        <f t="shared" si="18"/>
        <v>268.04000000000002</v>
      </c>
      <c r="F585">
        <f t="shared" si="19"/>
        <v>90675</v>
      </c>
      <c r="H585" s="680">
        <v>268.04000000000002</v>
      </c>
      <c r="I585" s="680">
        <v>269.93</v>
      </c>
    </row>
    <row r="586" spans="2:9" ht="45">
      <c r="B586" s="396">
        <v>90681</v>
      </c>
      <c r="C586" s="401" t="s">
        <v>867</v>
      </c>
      <c r="D586" s="396" t="s">
        <v>40</v>
      </c>
      <c r="E586" s="405">
        <f t="shared" si="18"/>
        <v>151.79</v>
      </c>
      <c r="F586">
        <f t="shared" si="19"/>
        <v>90681</v>
      </c>
      <c r="H586" s="679">
        <v>151.79</v>
      </c>
      <c r="I586" s="679">
        <v>153.68</v>
      </c>
    </row>
    <row r="587" spans="2:9" ht="30">
      <c r="B587" s="395">
        <v>90687</v>
      </c>
      <c r="C587" s="406" t="s">
        <v>868</v>
      </c>
      <c r="D587" s="395" t="s">
        <v>40</v>
      </c>
      <c r="E587" s="407">
        <f t="shared" si="18"/>
        <v>47.54</v>
      </c>
      <c r="F587">
        <f t="shared" si="19"/>
        <v>90687</v>
      </c>
      <c r="H587" s="680">
        <v>47.54</v>
      </c>
      <c r="I587" s="680">
        <v>49.6</v>
      </c>
    </row>
    <row r="588" spans="2:9" ht="30">
      <c r="B588" s="396">
        <v>90693</v>
      </c>
      <c r="C588" s="401" t="s">
        <v>869</v>
      </c>
      <c r="D588" s="396" t="s">
        <v>40</v>
      </c>
      <c r="E588" s="405">
        <f t="shared" si="18"/>
        <v>40.11</v>
      </c>
      <c r="F588">
        <f t="shared" si="19"/>
        <v>90693</v>
      </c>
      <c r="H588" s="679">
        <v>40.11</v>
      </c>
      <c r="I588" s="679">
        <v>42.17</v>
      </c>
    </row>
    <row r="589" spans="2:9" ht="30">
      <c r="B589" s="395">
        <v>90965</v>
      </c>
      <c r="C589" s="406" t="s">
        <v>250</v>
      </c>
      <c r="D589" s="395" t="s">
        <v>40</v>
      </c>
      <c r="E589" s="407">
        <f t="shared" si="18"/>
        <v>7.47</v>
      </c>
      <c r="F589">
        <f t="shared" si="19"/>
        <v>90965</v>
      </c>
      <c r="H589" s="680">
        <v>7.47</v>
      </c>
      <c r="I589" s="680">
        <v>7.47</v>
      </c>
    </row>
    <row r="590" spans="2:9" ht="30">
      <c r="B590" s="396">
        <v>90973</v>
      </c>
      <c r="C590" s="401" t="s">
        <v>870</v>
      </c>
      <c r="D590" s="396" t="s">
        <v>40</v>
      </c>
      <c r="E590" s="405">
        <f t="shared" si="18"/>
        <v>7.49</v>
      </c>
      <c r="F590">
        <f t="shared" si="19"/>
        <v>90973</v>
      </c>
      <c r="H590" s="679">
        <v>7.49</v>
      </c>
      <c r="I590" s="679">
        <v>7.49</v>
      </c>
    </row>
    <row r="591" spans="2:9" ht="30">
      <c r="B591" s="395">
        <v>90982</v>
      </c>
      <c r="C591" s="406" t="s">
        <v>251</v>
      </c>
      <c r="D591" s="395" t="s">
        <v>40</v>
      </c>
      <c r="E591" s="407">
        <f t="shared" si="18"/>
        <v>19.03</v>
      </c>
      <c r="F591">
        <f t="shared" si="19"/>
        <v>90982</v>
      </c>
      <c r="H591" s="680">
        <v>19.03</v>
      </c>
      <c r="I591" s="680">
        <v>19.03</v>
      </c>
    </row>
    <row r="592" spans="2:9" ht="30">
      <c r="B592" s="396">
        <v>91001</v>
      </c>
      <c r="C592" s="401" t="s">
        <v>871</v>
      </c>
      <c r="D592" s="396" t="s">
        <v>40</v>
      </c>
      <c r="E592" s="405">
        <f t="shared" si="18"/>
        <v>8.8800000000000008</v>
      </c>
      <c r="F592">
        <f t="shared" si="19"/>
        <v>91001</v>
      </c>
      <c r="H592" s="679">
        <v>8.8800000000000008</v>
      </c>
      <c r="I592" s="679">
        <v>8.8800000000000008</v>
      </c>
    </row>
    <row r="593" spans="2:9" ht="30">
      <c r="B593" s="395">
        <v>91032</v>
      </c>
      <c r="C593" s="406" t="s">
        <v>252</v>
      </c>
      <c r="D593" s="395" t="s">
        <v>40</v>
      </c>
      <c r="E593" s="407">
        <f t="shared" si="18"/>
        <v>49.7</v>
      </c>
      <c r="F593">
        <f t="shared" si="19"/>
        <v>91032</v>
      </c>
      <c r="H593" s="680">
        <v>49.7</v>
      </c>
      <c r="I593" s="680">
        <v>51.73</v>
      </c>
    </row>
    <row r="594" spans="2:9" ht="30">
      <c r="B594" s="396">
        <v>91278</v>
      </c>
      <c r="C594" s="401" t="s">
        <v>872</v>
      </c>
      <c r="D594" s="396" t="s">
        <v>40</v>
      </c>
      <c r="E594" s="405">
        <f t="shared" si="18"/>
        <v>0.57999999999999996</v>
      </c>
      <c r="F594">
        <f t="shared" si="19"/>
        <v>91278</v>
      </c>
      <c r="H594" s="679">
        <v>0.57999999999999996</v>
      </c>
      <c r="I594" s="679">
        <v>0.57999999999999996</v>
      </c>
    </row>
    <row r="595" spans="2:9" ht="30">
      <c r="B595" s="395">
        <v>91285</v>
      </c>
      <c r="C595" s="406" t="s">
        <v>873</v>
      </c>
      <c r="D595" s="395" t="s">
        <v>40</v>
      </c>
      <c r="E595" s="407">
        <f t="shared" si="18"/>
        <v>1.1000000000000001</v>
      </c>
      <c r="F595">
        <f t="shared" si="19"/>
        <v>91285</v>
      </c>
      <c r="H595" s="680">
        <v>1.1000000000000001</v>
      </c>
      <c r="I595" s="680">
        <v>1.1000000000000001</v>
      </c>
    </row>
    <row r="596" spans="2:9" ht="30">
      <c r="B596" s="396">
        <v>91387</v>
      </c>
      <c r="C596" s="401" t="s">
        <v>874</v>
      </c>
      <c r="D596" s="396" t="s">
        <v>40</v>
      </c>
      <c r="E596" s="405">
        <f t="shared" si="18"/>
        <v>54.11</v>
      </c>
      <c r="F596">
        <f t="shared" si="19"/>
        <v>91387</v>
      </c>
      <c r="H596" s="679">
        <v>54.11</v>
      </c>
      <c r="I596" s="679">
        <v>56.03</v>
      </c>
    </row>
    <row r="597" spans="2:9" ht="30">
      <c r="B597" s="395">
        <v>91395</v>
      </c>
      <c r="C597" s="406" t="s">
        <v>875</v>
      </c>
      <c r="D597" s="395" t="s">
        <v>40</v>
      </c>
      <c r="E597" s="407">
        <f t="shared" si="18"/>
        <v>42.45</v>
      </c>
      <c r="F597">
        <f t="shared" si="19"/>
        <v>91395</v>
      </c>
      <c r="H597" s="680">
        <v>42.45</v>
      </c>
      <c r="I597" s="680">
        <v>44.48</v>
      </c>
    </row>
    <row r="598" spans="2:9" ht="30">
      <c r="B598" s="396">
        <v>91486</v>
      </c>
      <c r="C598" s="401" t="s">
        <v>876</v>
      </c>
      <c r="D598" s="396" t="s">
        <v>40</v>
      </c>
      <c r="E598" s="405">
        <f t="shared" si="18"/>
        <v>50.04</v>
      </c>
      <c r="F598">
        <f t="shared" si="19"/>
        <v>91486</v>
      </c>
      <c r="H598" s="679">
        <v>50.04</v>
      </c>
      <c r="I598" s="679">
        <v>52.07</v>
      </c>
    </row>
    <row r="599" spans="2:9" ht="30">
      <c r="B599" s="395">
        <v>91534</v>
      </c>
      <c r="C599" s="406" t="s">
        <v>877</v>
      </c>
      <c r="D599" s="395" t="s">
        <v>40</v>
      </c>
      <c r="E599" s="407">
        <f t="shared" si="18"/>
        <v>17.41</v>
      </c>
      <c r="F599">
        <f t="shared" si="19"/>
        <v>91534</v>
      </c>
      <c r="H599" s="680">
        <v>17.41</v>
      </c>
      <c r="I599" s="680">
        <v>19.3</v>
      </c>
    </row>
    <row r="600" spans="2:9" ht="30">
      <c r="B600" s="396">
        <v>91635</v>
      </c>
      <c r="C600" s="401" t="s">
        <v>878</v>
      </c>
      <c r="D600" s="396" t="s">
        <v>40</v>
      </c>
      <c r="E600" s="405">
        <f t="shared" si="18"/>
        <v>47.67</v>
      </c>
      <c r="F600">
        <f t="shared" si="19"/>
        <v>91635</v>
      </c>
      <c r="H600" s="679">
        <v>47.67</v>
      </c>
      <c r="I600" s="679">
        <v>50.07</v>
      </c>
    </row>
    <row r="601" spans="2:9" ht="30">
      <c r="B601" s="395">
        <v>91646</v>
      </c>
      <c r="C601" s="406" t="s">
        <v>879</v>
      </c>
      <c r="D601" s="395" t="s">
        <v>40</v>
      </c>
      <c r="E601" s="407">
        <f t="shared" si="18"/>
        <v>63.24</v>
      </c>
      <c r="F601">
        <f t="shared" si="19"/>
        <v>91646</v>
      </c>
      <c r="H601" s="680">
        <v>63.24</v>
      </c>
      <c r="I601" s="680">
        <v>65.95</v>
      </c>
    </row>
    <row r="602" spans="2:9">
      <c r="B602" s="396">
        <v>91693</v>
      </c>
      <c r="C602" s="401" t="s">
        <v>880</v>
      </c>
      <c r="D602" s="396" t="s">
        <v>40</v>
      </c>
      <c r="E602" s="405">
        <f t="shared" si="18"/>
        <v>16.68</v>
      </c>
      <c r="F602">
        <f t="shared" si="19"/>
        <v>91693</v>
      </c>
      <c r="H602" s="679">
        <v>16.68</v>
      </c>
      <c r="I602" s="679">
        <v>18.57</v>
      </c>
    </row>
    <row r="603" spans="2:9">
      <c r="B603" s="395">
        <v>92044</v>
      </c>
      <c r="C603" s="406" t="s">
        <v>881</v>
      </c>
      <c r="D603" s="395" t="s">
        <v>40</v>
      </c>
      <c r="E603" s="407">
        <f t="shared" si="18"/>
        <v>6.54</v>
      </c>
      <c r="F603">
        <f t="shared" si="19"/>
        <v>92044</v>
      </c>
      <c r="H603" s="680">
        <v>6.54</v>
      </c>
      <c r="I603" s="680">
        <v>6.54</v>
      </c>
    </row>
    <row r="604" spans="2:9" ht="45">
      <c r="B604" s="396">
        <v>92107</v>
      </c>
      <c r="C604" s="401" t="s">
        <v>882</v>
      </c>
      <c r="D604" s="396" t="s">
        <v>40</v>
      </c>
      <c r="E604" s="405">
        <f t="shared" si="18"/>
        <v>69.55</v>
      </c>
      <c r="F604">
        <f t="shared" si="19"/>
        <v>92107</v>
      </c>
      <c r="H604" s="679">
        <v>69.55</v>
      </c>
      <c r="I604" s="679">
        <v>71.58</v>
      </c>
    </row>
    <row r="605" spans="2:9" ht="30">
      <c r="B605" s="395">
        <v>92113</v>
      </c>
      <c r="C605" s="406" t="s">
        <v>253</v>
      </c>
      <c r="D605" s="395" t="s">
        <v>40</v>
      </c>
      <c r="E605" s="407">
        <f t="shared" si="18"/>
        <v>1.19</v>
      </c>
      <c r="F605">
        <f t="shared" si="19"/>
        <v>92113</v>
      </c>
      <c r="H605" s="680">
        <v>1.19</v>
      </c>
      <c r="I605" s="680">
        <v>1.19</v>
      </c>
    </row>
    <row r="606" spans="2:9">
      <c r="B606" s="396">
        <v>92119</v>
      </c>
      <c r="C606" s="401" t="s">
        <v>254</v>
      </c>
      <c r="D606" s="396" t="s">
        <v>40</v>
      </c>
      <c r="E606" s="405">
        <f t="shared" si="18"/>
        <v>0.28999999999999998</v>
      </c>
      <c r="F606">
        <f t="shared" si="19"/>
        <v>92119</v>
      </c>
      <c r="H606" s="679">
        <v>0.28999999999999998</v>
      </c>
      <c r="I606" s="679">
        <v>0.28999999999999998</v>
      </c>
    </row>
    <row r="607" spans="2:9">
      <c r="B607" s="395">
        <v>92139</v>
      </c>
      <c r="C607" s="406" t="s">
        <v>883</v>
      </c>
      <c r="D607" s="395" t="s">
        <v>40</v>
      </c>
      <c r="E607" s="407">
        <f t="shared" si="18"/>
        <v>32.54</v>
      </c>
      <c r="F607">
        <f t="shared" si="19"/>
        <v>92139</v>
      </c>
      <c r="H607" s="680">
        <v>32.54</v>
      </c>
      <c r="I607" s="680">
        <v>34.42</v>
      </c>
    </row>
    <row r="608" spans="2:9" ht="30">
      <c r="B608" s="396">
        <v>92146</v>
      </c>
      <c r="C608" s="401" t="s">
        <v>255</v>
      </c>
      <c r="D608" s="396" t="s">
        <v>40</v>
      </c>
      <c r="E608" s="405">
        <f t="shared" si="18"/>
        <v>22.35</v>
      </c>
      <c r="F608">
        <f t="shared" si="19"/>
        <v>92146</v>
      </c>
      <c r="H608" s="679">
        <v>22.35</v>
      </c>
      <c r="I608" s="679">
        <v>24.23</v>
      </c>
    </row>
    <row r="609" spans="2:9" ht="30">
      <c r="B609" s="395">
        <v>92243</v>
      </c>
      <c r="C609" s="406" t="s">
        <v>884</v>
      </c>
      <c r="D609" s="395" t="s">
        <v>40</v>
      </c>
      <c r="E609" s="407">
        <f t="shared" si="18"/>
        <v>52.14</v>
      </c>
      <c r="F609">
        <f t="shared" si="19"/>
        <v>92243</v>
      </c>
      <c r="H609" s="680">
        <v>52.14</v>
      </c>
      <c r="I609" s="680">
        <v>54.85</v>
      </c>
    </row>
    <row r="610" spans="2:9">
      <c r="B610" s="396">
        <v>92717</v>
      </c>
      <c r="C610" s="401" t="s">
        <v>885</v>
      </c>
      <c r="D610" s="396" t="s">
        <v>40</v>
      </c>
      <c r="E610" s="405">
        <f t="shared" si="18"/>
        <v>0.31</v>
      </c>
      <c r="F610">
        <f t="shared" si="19"/>
        <v>92717</v>
      </c>
      <c r="H610" s="679">
        <v>0.31</v>
      </c>
      <c r="I610" s="679">
        <v>0.31</v>
      </c>
    </row>
    <row r="611" spans="2:9">
      <c r="B611" s="395">
        <v>92961</v>
      </c>
      <c r="C611" s="406" t="s">
        <v>886</v>
      </c>
      <c r="D611" s="395" t="s">
        <v>40</v>
      </c>
      <c r="E611" s="407">
        <f t="shared" si="18"/>
        <v>4.8600000000000003</v>
      </c>
      <c r="F611">
        <f t="shared" si="19"/>
        <v>92961</v>
      </c>
      <c r="H611" s="680">
        <v>4.8600000000000003</v>
      </c>
      <c r="I611" s="680">
        <v>4.8600000000000003</v>
      </c>
    </row>
    <row r="612" spans="2:9">
      <c r="B612" s="396">
        <v>92967</v>
      </c>
      <c r="C612" s="401" t="s">
        <v>887</v>
      </c>
      <c r="D612" s="396" t="s">
        <v>40</v>
      </c>
      <c r="E612" s="405">
        <f t="shared" si="18"/>
        <v>15.9</v>
      </c>
      <c r="F612">
        <f t="shared" si="19"/>
        <v>92967</v>
      </c>
      <c r="H612" s="679">
        <v>15.9</v>
      </c>
      <c r="I612" s="679">
        <v>17.39</v>
      </c>
    </row>
    <row r="613" spans="2:9" ht="45">
      <c r="B613" s="395">
        <v>93225</v>
      </c>
      <c r="C613" s="406" t="s">
        <v>888</v>
      </c>
      <c r="D613" s="395" t="s">
        <v>40</v>
      </c>
      <c r="E613" s="407">
        <f t="shared" si="18"/>
        <v>407.61</v>
      </c>
      <c r="F613">
        <f t="shared" si="19"/>
        <v>93225</v>
      </c>
      <c r="H613" s="680">
        <v>407.61</v>
      </c>
      <c r="I613" s="680">
        <v>409.5</v>
      </c>
    </row>
    <row r="614" spans="2:9" ht="30">
      <c r="B614" s="396">
        <v>93234</v>
      </c>
      <c r="C614" s="401" t="s">
        <v>256</v>
      </c>
      <c r="D614" s="396" t="s">
        <v>40</v>
      </c>
      <c r="E614" s="405">
        <f t="shared" si="18"/>
        <v>0.5</v>
      </c>
      <c r="F614">
        <f t="shared" si="19"/>
        <v>93234</v>
      </c>
      <c r="H614" s="679">
        <v>0.5</v>
      </c>
      <c r="I614" s="679">
        <v>0.5</v>
      </c>
    </row>
    <row r="615" spans="2:9" ht="30">
      <c r="B615" s="395">
        <v>93244</v>
      </c>
      <c r="C615" s="406" t="s">
        <v>257</v>
      </c>
      <c r="D615" s="395" t="s">
        <v>40</v>
      </c>
      <c r="E615" s="407">
        <f t="shared" si="18"/>
        <v>56.78</v>
      </c>
      <c r="F615">
        <f t="shared" si="19"/>
        <v>93244</v>
      </c>
      <c r="H615" s="680">
        <v>56.78</v>
      </c>
      <c r="I615" s="680">
        <v>58.67</v>
      </c>
    </row>
    <row r="616" spans="2:9">
      <c r="B616" s="396">
        <v>93274</v>
      </c>
      <c r="C616" s="401" t="s">
        <v>889</v>
      </c>
      <c r="D616" s="396" t="s">
        <v>40</v>
      </c>
      <c r="E616" s="405">
        <f t="shared" si="18"/>
        <v>46.84</v>
      </c>
      <c r="F616">
        <f t="shared" si="19"/>
        <v>93274</v>
      </c>
      <c r="H616" s="679">
        <v>46.84</v>
      </c>
      <c r="I616" s="679">
        <v>48.64</v>
      </c>
    </row>
    <row r="617" spans="2:9">
      <c r="B617" s="395">
        <v>93282</v>
      </c>
      <c r="C617" s="406" t="s">
        <v>890</v>
      </c>
      <c r="D617" s="395" t="s">
        <v>40</v>
      </c>
      <c r="E617" s="407">
        <f t="shared" si="18"/>
        <v>16.29</v>
      </c>
      <c r="F617">
        <f t="shared" si="19"/>
        <v>93282</v>
      </c>
      <c r="H617" s="680">
        <v>16.29</v>
      </c>
      <c r="I617" s="680">
        <v>18.09</v>
      </c>
    </row>
    <row r="618" spans="2:9" ht="30">
      <c r="B618" s="396">
        <v>93288</v>
      </c>
      <c r="C618" s="401" t="s">
        <v>891</v>
      </c>
      <c r="D618" s="396" t="s">
        <v>40</v>
      </c>
      <c r="E618" s="405">
        <f t="shared" si="18"/>
        <v>143.97</v>
      </c>
      <c r="F618">
        <f t="shared" si="19"/>
        <v>93288</v>
      </c>
      <c r="H618" s="679">
        <v>143.97</v>
      </c>
      <c r="I618" s="679">
        <v>145.77000000000001</v>
      </c>
    </row>
    <row r="619" spans="2:9" ht="30">
      <c r="B619" s="395">
        <v>93403</v>
      </c>
      <c r="C619" s="406" t="s">
        <v>892</v>
      </c>
      <c r="D619" s="395" t="s">
        <v>40</v>
      </c>
      <c r="E619" s="407">
        <f t="shared" si="18"/>
        <v>52.12</v>
      </c>
      <c r="F619">
        <f t="shared" si="19"/>
        <v>93403</v>
      </c>
      <c r="H619" s="680">
        <v>52.12</v>
      </c>
      <c r="I619" s="680">
        <v>54.52</v>
      </c>
    </row>
    <row r="620" spans="2:9" ht="30">
      <c r="B620" s="396">
        <v>93409</v>
      </c>
      <c r="C620" s="401" t="s">
        <v>3814</v>
      </c>
      <c r="D620" s="396" t="s">
        <v>40</v>
      </c>
      <c r="E620" s="405">
        <f t="shared" si="18"/>
        <v>26.92</v>
      </c>
      <c r="F620">
        <f t="shared" si="19"/>
        <v>93409</v>
      </c>
      <c r="H620" s="679">
        <v>26.92</v>
      </c>
      <c r="I620" s="679">
        <v>29.15</v>
      </c>
    </row>
    <row r="621" spans="2:9">
      <c r="B621" s="395">
        <v>93416</v>
      </c>
      <c r="C621" s="406" t="s">
        <v>893</v>
      </c>
      <c r="D621" s="395" t="s">
        <v>40</v>
      </c>
      <c r="E621" s="407">
        <f t="shared" si="18"/>
        <v>0.39</v>
      </c>
      <c r="F621">
        <f t="shared" si="19"/>
        <v>93416</v>
      </c>
      <c r="H621" s="680">
        <v>0.39</v>
      </c>
      <c r="I621" s="680">
        <v>0.39</v>
      </c>
    </row>
    <row r="622" spans="2:9">
      <c r="B622" s="396">
        <v>93422</v>
      </c>
      <c r="C622" s="401" t="s">
        <v>435</v>
      </c>
      <c r="D622" s="396" t="s">
        <v>40</v>
      </c>
      <c r="E622" s="405">
        <f t="shared" si="18"/>
        <v>5.16</v>
      </c>
      <c r="F622">
        <f t="shared" si="19"/>
        <v>93422</v>
      </c>
      <c r="H622" s="679">
        <v>5.16</v>
      </c>
      <c r="I622" s="679">
        <v>5.16</v>
      </c>
    </row>
    <row r="623" spans="2:9">
      <c r="B623" s="395">
        <v>93428</v>
      </c>
      <c r="C623" s="406" t="s">
        <v>894</v>
      </c>
      <c r="D623" s="395" t="s">
        <v>40</v>
      </c>
      <c r="E623" s="407">
        <f t="shared" si="18"/>
        <v>7.31</v>
      </c>
      <c r="F623">
        <f t="shared" si="19"/>
        <v>93428</v>
      </c>
      <c r="H623" s="680">
        <v>7.31</v>
      </c>
      <c r="I623" s="680">
        <v>7.31</v>
      </c>
    </row>
    <row r="624" spans="2:9">
      <c r="B624" s="396">
        <v>93434</v>
      </c>
      <c r="C624" s="401" t="s">
        <v>895</v>
      </c>
      <c r="D624" s="396" t="s">
        <v>40</v>
      </c>
      <c r="E624" s="405">
        <f t="shared" si="18"/>
        <v>232.96</v>
      </c>
      <c r="F624">
        <f t="shared" si="19"/>
        <v>93434</v>
      </c>
      <c r="H624" s="679">
        <v>232.96</v>
      </c>
      <c r="I624" s="679">
        <v>242.48</v>
      </c>
    </row>
    <row r="625" spans="2:9">
      <c r="B625" s="395">
        <v>93440</v>
      </c>
      <c r="C625" s="406" t="s">
        <v>896</v>
      </c>
      <c r="D625" s="395" t="s">
        <v>40</v>
      </c>
      <c r="E625" s="407">
        <f t="shared" si="18"/>
        <v>95.37</v>
      </c>
      <c r="F625">
        <f t="shared" si="19"/>
        <v>93440</v>
      </c>
      <c r="H625" s="680">
        <v>95.37</v>
      </c>
      <c r="I625" s="680">
        <v>104.89</v>
      </c>
    </row>
    <row r="626" spans="2:9">
      <c r="B626" s="396">
        <v>95122</v>
      </c>
      <c r="C626" s="401" t="s">
        <v>897</v>
      </c>
      <c r="D626" s="396" t="s">
        <v>40</v>
      </c>
      <c r="E626" s="405">
        <f t="shared" si="18"/>
        <v>154.03</v>
      </c>
      <c r="F626">
        <f t="shared" si="19"/>
        <v>95122</v>
      </c>
      <c r="H626" s="679">
        <v>154.03</v>
      </c>
      <c r="I626" s="679">
        <v>163.55000000000001</v>
      </c>
    </row>
    <row r="627" spans="2:9">
      <c r="B627" s="395">
        <v>95128</v>
      </c>
      <c r="C627" s="406" t="s">
        <v>473</v>
      </c>
      <c r="D627" s="395" t="s">
        <v>40</v>
      </c>
      <c r="E627" s="407">
        <f t="shared" si="18"/>
        <v>35.49</v>
      </c>
      <c r="F627">
        <f t="shared" si="19"/>
        <v>95128</v>
      </c>
      <c r="H627" s="680">
        <v>35.49</v>
      </c>
      <c r="I627" s="680">
        <v>37.380000000000003</v>
      </c>
    </row>
    <row r="628" spans="2:9">
      <c r="B628" s="396">
        <v>95140</v>
      </c>
      <c r="C628" s="401" t="s">
        <v>898</v>
      </c>
      <c r="D628" s="396" t="s">
        <v>40</v>
      </c>
      <c r="E628" s="405">
        <f t="shared" si="18"/>
        <v>0.04</v>
      </c>
      <c r="F628">
        <f t="shared" si="19"/>
        <v>95140</v>
      </c>
      <c r="H628" s="679">
        <v>0.04</v>
      </c>
      <c r="I628" s="679">
        <v>0.04</v>
      </c>
    </row>
    <row r="629" spans="2:9">
      <c r="B629" s="395">
        <v>95213</v>
      </c>
      <c r="C629" s="406" t="s">
        <v>899</v>
      </c>
      <c r="D629" s="395" t="s">
        <v>40</v>
      </c>
      <c r="E629" s="407">
        <f t="shared" si="18"/>
        <v>74.34</v>
      </c>
      <c r="F629">
        <f t="shared" si="19"/>
        <v>95213</v>
      </c>
      <c r="H629" s="680">
        <v>74.34</v>
      </c>
      <c r="I629" s="680">
        <v>76.14</v>
      </c>
    </row>
    <row r="630" spans="2:9">
      <c r="B630" s="396">
        <v>95259</v>
      </c>
      <c r="C630" s="401" t="s">
        <v>549</v>
      </c>
      <c r="D630" s="396" t="s">
        <v>40</v>
      </c>
      <c r="E630" s="405">
        <f t="shared" si="18"/>
        <v>15.62</v>
      </c>
      <c r="F630">
        <f t="shared" si="19"/>
        <v>95259</v>
      </c>
      <c r="H630" s="679">
        <v>15.62</v>
      </c>
      <c r="I630" s="679">
        <v>17.11</v>
      </c>
    </row>
    <row r="631" spans="2:9">
      <c r="B631" s="395">
        <v>95265</v>
      </c>
      <c r="C631" s="406" t="s">
        <v>900</v>
      </c>
      <c r="D631" s="395" t="s">
        <v>40</v>
      </c>
      <c r="E631" s="407">
        <f t="shared" si="18"/>
        <v>0.78</v>
      </c>
      <c r="F631">
        <f t="shared" si="19"/>
        <v>95265</v>
      </c>
      <c r="H631" s="680">
        <v>0.78</v>
      </c>
      <c r="I631" s="680">
        <v>0.78</v>
      </c>
    </row>
    <row r="632" spans="2:9" ht="30">
      <c r="B632" s="396">
        <v>95271</v>
      </c>
      <c r="C632" s="401" t="s">
        <v>901</v>
      </c>
      <c r="D632" s="396" t="s">
        <v>40</v>
      </c>
      <c r="E632" s="405">
        <f t="shared" si="18"/>
        <v>0.55000000000000004</v>
      </c>
      <c r="F632">
        <f t="shared" si="19"/>
        <v>95271</v>
      </c>
      <c r="H632" s="679">
        <v>0.55000000000000004</v>
      </c>
      <c r="I632" s="679">
        <v>0.55000000000000004</v>
      </c>
    </row>
    <row r="633" spans="2:9">
      <c r="B633" s="395">
        <v>95277</v>
      </c>
      <c r="C633" s="406" t="s">
        <v>902</v>
      </c>
      <c r="D633" s="395" t="s">
        <v>40</v>
      </c>
      <c r="E633" s="407">
        <f t="shared" si="18"/>
        <v>0.54</v>
      </c>
      <c r="F633">
        <f t="shared" si="19"/>
        <v>95277</v>
      </c>
      <c r="H633" s="680">
        <v>0.54</v>
      </c>
      <c r="I633" s="680">
        <v>0.54</v>
      </c>
    </row>
    <row r="634" spans="2:9">
      <c r="B634" s="396">
        <v>95283</v>
      </c>
      <c r="C634" s="401" t="s">
        <v>7306</v>
      </c>
      <c r="D634" s="396" t="s">
        <v>40</v>
      </c>
      <c r="E634" s="405">
        <f t="shared" si="18"/>
        <v>0.66</v>
      </c>
      <c r="F634">
        <f t="shared" si="19"/>
        <v>95283</v>
      </c>
      <c r="H634" s="679">
        <v>0.66</v>
      </c>
      <c r="I634" s="679">
        <v>0.66</v>
      </c>
    </row>
    <row r="635" spans="2:9" ht="30">
      <c r="B635" s="395">
        <v>95621</v>
      </c>
      <c r="C635" s="406" t="s">
        <v>903</v>
      </c>
      <c r="D635" s="395" t="s">
        <v>40</v>
      </c>
      <c r="E635" s="407">
        <f t="shared" si="18"/>
        <v>15.3</v>
      </c>
      <c r="F635">
        <f t="shared" si="19"/>
        <v>95621</v>
      </c>
      <c r="H635" s="680">
        <v>15.3</v>
      </c>
      <c r="I635" s="680">
        <v>16.79</v>
      </c>
    </row>
    <row r="636" spans="2:9" ht="30">
      <c r="B636" s="396">
        <v>95632</v>
      </c>
      <c r="C636" s="401" t="s">
        <v>904</v>
      </c>
      <c r="D636" s="396" t="s">
        <v>40</v>
      </c>
      <c r="E636" s="405">
        <f t="shared" si="18"/>
        <v>74.45</v>
      </c>
      <c r="F636">
        <f t="shared" si="19"/>
        <v>95632</v>
      </c>
      <c r="H636" s="679">
        <v>74.45</v>
      </c>
      <c r="I636" s="679">
        <v>76.34</v>
      </c>
    </row>
    <row r="637" spans="2:9">
      <c r="B637" s="395">
        <v>95703</v>
      </c>
      <c r="C637" s="406" t="s">
        <v>905</v>
      </c>
      <c r="D637" s="395" t="s">
        <v>40</v>
      </c>
      <c r="E637" s="407">
        <f t="shared" si="18"/>
        <v>22.46</v>
      </c>
      <c r="F637">
        <f t="shared" si="19"/>
        <v>95703</v>
      </c>
      <c r="H637" s="680">
        <v>22.46</v>
      </c>
      <c r="I637" s="680">
        <v>24.35</v>
      </c>
    </row>
    <row r="638" spans="2:9" ht="30">
      <c r="B638" s="396">
        <v>95709</v>
      </c>
      <c r="C638" s="401" t="s">
        <v>906</v>
      </c>
      <c r="D638" s="396" t="s">
        <v>40</v>
      </c>
      <c r="E638" s="405">
        <f t="shared" si="18"/>
        <v>68.989999999999995</v>
      </c>
      <c r="F638">
        <f t="shared" si="19"/>
        <v>95709</v>
      </c>
      <c r="H638" s="679">
        <v>68.989999999999995</v>
      </c>
      <c r="I638" s="679">
        <v>70.88</v>
      </c>
    </row>
    <row r="639" spans="2:9" ht="30">
      <c r="B639" s="395">
        <v>95715</v>
      </c>
      <c r="C639" s="406" t="s">
        <v>907</v>
      </c>
      <c r="D639" s="395" t="s">
        <v>40</v>
      </c>
      <c r="E639" s="407">
        <f t="shared" si="18"/>
        <v>83.43</v>
      </c>
      <c r="F639">
        <f t="shared" si="19"/>
        <v>95715</v>
      </c>
      <c r="H639" s="680">
        <v>83.43</v>
      </c>
      <c r="I639" s="680">
        <v>85.91</v>
      </c>
    </row>
    <row r="640" spans="2:9" ht="30">
      <c r="B640" s="396">
        <v>95721</v>
      </c>
      <c r="C640" s="401" t="s">
        <v>908</v>
      </c>
      <c r="D640" s="396" t="s">
        <v>40</v>
      </c>
      <c r="E640" s="405">
        <f t="shared" si="18"/>
        <v>81.08</v>
      </c>
      <c r="F640">
        <f t="shared" si="19"/>
        <v>95721</v>
      </c>
      <c r="H640" s="679">
        <v>81.08</v>
      </c>
      <c r="I640" s="679">
        <v>83.56</v>
      </c>
    </row>
    <row r="641" spans="2:9">
      <c r="B641" s="395">
        <v>95873</v>
      </c>
      <c r="C641" s="406" t="s">
        <v>577</v>
      </c>
      <c r="D641" s="395" t="s">
        <v>40</v>
      </c>
      <c r="E641" s="407">
        <f t="shared" si="18"/>
        <v>11.69</v>
      </c>
      <c r="F641">
        <f t="shared" si="19"/>
        <v>95873</v>
      </c>
      <c r="H641" s="680">
        <v>11.69</v>
      </c>
      <c r="I641" s="680">
        <v>11.69</v>
      </c>
    </row>
    <row r="642" spans="2:9">
      <c r="B642" s="396">
        <v>96014</v>
      </c>
      <c r="C642" s="401" t="s">
        <v>624</v>
      </c>
      <c r="D642" s="396" t="s">
        <v>40</v>
      </c>
      <c r="E642" s="405">
        <f t="shared" si="18"/>
        <v>44.13</v>
      </c>
      <c r="F642">
        <f t="shared" si="19"/>
        <v>96014</v>
      </c>
      <c r="H642" s="679">
        <v>44.13</v>
      </c>
      <c r="I642" s="679">
        <v>46.03</v>
      </c>
    </row>
    <row r="643" spans="2:9">
      <c r="B643" s="395">
        <v>96021</v>
      </c>
      <c r="C643" s="406" t="s">
        <v>625</v>
      </c>
      <c r="D643" s="395" t="s">
        <v>40</v>
      </c>
      <c r="E643" s="407">
        <f t="shared" ref="E643:E706" si="20">IF($K$2=$H$1,H643,I643)</f>
        <v>43.85</v>
      </c>
      <c r="F643">
        <f t="shared" ref="F643:F706" si="21">IF(LEN($B643)=7,CONCATENATE(MID($B643,1,6),"00",RIGHT($B643,1)),IF(LEN($B643)=8,CONCATENATE(MID($B643,1,6),"0",RIGHT($B643,2)),$B643))</f>
        <v>96021</v>
      </c>
      <c r="H643" s="680">
        <v>43.85</v>
      </c>
      <c r="I643" s="680">
        <v>45.75</v>
      </c>
    </row>
    <row r="644" spans="2:9">
      <c r="B644" s="396">
        <v>96029</v>
      </c>
      <c r="C644" s="401" t="s">
        <v>626</v>
      </c>
      <c r="D644" s="396" t="s">
        <v>40</v>
      </c>
      <c r="E644" s="405">
        <f t="shared" si="20"/>
        <v>37.880000000000003</v>
      </c>
      <c r="F644">
        <f t="shared" si="21"/>
        <v>96029</v>
      </c>
      <c r="H644" s="679">
        <v>37.880000000000003</v>
      </c>
      <c r="I644" s="679">
        <v>39.78</v>
      </c>
    </row>
    <row r="645" spans="2:9" ht="30">
      <c r="B645" s="395">
        <v>96036</v>
      </c>
      <c r="C645" s="406" t="s">
        <v>627</v>
      </c>
      <c r="D645" s="395" t="s">
        <v>40</v>
      </c>
      <c r="E645" s="407">
        <f t="shared" si="20"/>
        <v>58.92</v>
      </c>
      <c r="F645">
        <f t="shared" si="21"/>
        <v>96036</v>
      </c>
      <c r="H645" s="680">
        <v>58.92</v>
      </c>
      <c r="I645" s="680">
        <v>60.84</v>
      </c>
    </row>
    <row r="646" spans="2:9">
      <c r="B646" s="396">
        <v>96155</v>
      </c>
      <c r="C646" s="401" t="s">
        <v>628</v>
      </c>
      <c r="D646" s="396" t="s">
        <v>40</v>
      </c>
      <c r="E646" s="405">
        <f t="shared" si="20"/>
        <v>38.159999999999997</v>
      </c>
      <c r="F646">
        <f t="shared" si="21"/>
        <v>96155</v>
      </c>
      <c r="H646" s="679">
        <v>38.159999999999997</v>
      </c>
      <c r="I646" s="679">
        <v>40.06</v>
      </c>
    </row>
    <row r="647" spans="2:9" ht="30">
      <c r="B647" s="395">
        <v>96156</v>
      </c>
      <c r="C647" s="406" t="s">
        <v>629</v>
      </c>
      <c r="D647" s="395" t="s">
        <v>40</v>
      </c>
      <c r="E647" s="407">
        <f t="shared" si="20"/>
        <v>47.57</v>
      </c>
      <c r="F647">
        <f t="shared" si="21"/>
        <v>96156</v>
      </c>
      <c r="H647" s="680">
        <v>47.57</v>
      </c>
      <c r="I647" s="680">
        <v>49.63</v>
      </c>
    </row>
    <row r="648" spans="2:9">
      <c r="B648" s="396">
        <v>96159</v>
      </c>
      <c r="C648" s="401" t="s">
        <v>909</v>
      </c>
      <c r="D648" s="396" t="s">
        <v>40</v>
      </c>
      <c r="E648" s="405">
        <f t="shared" si="20"/>
        <v>70.930000000000007</v>
      </c>
      <c r="F648">
        <f t="shared" si="21"/>
        <v>96159</v>
      </c>
      <c r="H648" s="679">
        <v>70.930000000000007</v>
      </c>
      <c r="I648" s="679">
        <v>73.19</v>
      </c>
    </row>
    <row r="649" spans="2:9">
      <c r="B649" s="395">
        <v>96246</v>
      </c>
      <c r="C649" s="406" t="s">
        <v>1318</v>
      </c>
      <c r="D649" s="395" t="s">
        <v>40</v>
      </c>
      <c r="E649" s="407">
        <f t="shared" si="20"/>
        <v>45.09</v>
      </c>
      <c r="F649">
        <f t="shared" si="21"/>
        <v>96246</v>
      </c>
      <c r="H649" s="680">
        <v>45.09</v>
      </c>
      <c r="I649" s="680">
        <v>47.57</v>
      </c>
    </row>
    <row r="650" spans="2:9" ht="30">
      <c r="B650" s="396">
        <v>96464</v>
      </c>
      <c r="C650" s="401" t="s">
        <v>2040</v>
      </c>
      <c r="D650" s="396" t="s">
        <v>40</v>
      </c>
      <c r="E650" s="405">
        <f t="shared" si="20"/>
        <v>80.77</v>
      </c>
      <c r="F650">
        <f t="shared" si="21"/>
        <v>96464</v>
      </c>
      <c r="H650" s="679">
        <v>80.77</v>
      </c>
      <c r="I650" s="679">
        <v>82.66</v>
      </c>
    </row>
    <row r="651" spans="2:9" ht="30">
      <c r="B651" s="395">
        <v>98765</v>
      </c>
      <c r="C651" s="406" t="s">
        <v>2818</v>
      </c>
      <c r="D651" s="395" t="s">
        <v>40</v>
      </c>
      <c r="E651" s="407">
        <f t="shared" si="20"/>
        <v>0.11</v>
      </c>
      <c r="F651">
        <f t="shared" si="21"/>
        <v>98765</v>
      </c>
      <c r="H651" s="680">
        <v>0.11</v>
      </c>
      <c r="I651" s="680">
        <v>0.11</v>
      </c>
    </row>
    <row r="652" spans="2:9" ht="30">
      <c r="B652" s="396">
        <v>99834</v>
      </c>
      <c r="C652" s="401" t="s">
        <v>3028</v>
      </c>
      <c r="D652" s="396" t="s">
        <v>40</v>
      </c>
      <c r="E652" s="405">
        <f t="shared" si="20"/>
        <v>0.24</v>
      </c>
      <c r="F652">
        <f t="shared" si="21"/>
        <v>99834</v>
      </c>
      <c r="H652" s="679">
        <v>0.24</v>
      </c>
      <c r="I652" s="679">
        <v>0.24</v>
      </c>
    </row>
    <row r="653" spans="2:9">
      <c r="B653" s="395">
        <v>100642</v>
      </c>
      <c r="C653" s="406" t="s">
        <v>3677</v>
      </c>
      <c r="D653" s="395" t="s">
        <v>40</v>
      </c>
      <c r="E653" s="407">
        <f t="shared" si="20"/>
        <v>196.56</v>
      </c>
      <c r="F653">
        <f t="shared" si="21"/>
        <v>100642</v>
      </c>
      <c r="H653" s="680">
        <v>196.56</v>
      </c>
      <c r="I653" s="680">
        <v>198.6</v>
      </c>
    </row>
    <row r="654" spans="2:9">
      <c r="B654" s="396">
        <v>100648</v>
      </c>
      <c r="C654" s="401" t="s">
        <v>3678</v>
      </c>
      <c r="D654" s="396" t="s">
        <v>40</v>
      </c>
      <c r="E654" s="405">
        <f t="shared" si="20"/>
        <v>391.5</v>
      </c>
      <c r="F654">
        <f t="shared" si="21"/>
        <v>100648</v>
      </c>
      <c r="H654" s="679">
        <v>391.5</v>
      </c>
      <c r="I654" s="679">
        <v>393.54</v>
      </c>
    </row>
    <row r="655" spans="2:9" ht="30">
      <c r="B655" s="395">
        <v>102274</v>
      </c>
      <c r="C655" s="406" t="s">
        <v>5444</v>
      </c>
      <c r="D655" s="395" t="s">
        <v>40</v>
      </c>
      <c r="E655" s="407">
        <f t="shared" si="20"/>
        <v>14.72</v>
      </c>
      <c r="F655">
        <f t="shared" si="21"/>
        <v>102274</v>
      </c>
      <c r="H655" s="680">
        <v>14.72</v>
      </c>
      <c r="I655" s="680">
        <v>16.21</v>
      </c>
    </row>
    <row r="656" spans="2:9" ht="30">
      <c r="B656" s="396">
        <v>104092</v>
      </c>
      <c r="C656" s="401" t="s">
        <v>6864</v>
      </c>
      <c r="D656" s="396" t="s">
        <v>40</v>
      </c>
      <c r="E656" s="405">
        <f t="shared" si="20"/>
        <v>0.15</v>
      </c>
      <c r="F656">
        <f t="shared" si="21"/>
        <v>104092</v>
      </c>
      <c r="H656" s="679">
        <v>0.15</v>
      </c>
      <c r="I656" s="679">
        <v>0.15</v>
      </c>
    </row>
    <row r="657" spans="2:9" ht="30">
      <c r="B657" s="395">
        <v>104098</v>
      </c>
      <c r="C657" s="406" t="s">
        <v>6865</v>
      </c>
      <c r="D657" s="395" t="s">
        <v>40</v>
      </c>
      <c r="E657" s="407">
        <f t="shared" si="20"/>
        <v>0.22</v>
      </c>
      <c r="F657">
        <f t="shared" si="21"/>
        <v>104098</v>
      </c>
      <c r="H657" s="680">
        <v>0.22</v>
      </c>
      <c r="I657" s="680">
        <v>0.22</v>
      </c>
    </row>
    <row r="658" spans="2:9" ht="30">
      <c r="B658" s="396">
        <v>5089</v>
      </c>
      <c r="C658" s="401" t="s">
        <v>258</v>
      </c>
      <c r="D658" s="396" t="s">
        <v>36</v>
      </c>
      <c r="E658" s="405">
        <f t="shared" si="20"/>
        <v>44.26</v>
      </c>
      <c r="F658">
        <f t="shared" si="21"/>
        <v>5089</v>
      </c>
      <c r="H658" s="679">
        <v>44.26</v>
      </c>
      <c r="I658" s="679">
        <v>44.26</v>
      </c>
    </row>
    <row r="659" spans="2:9" ht="30">
      <c r="B659" s="395">
        <v>5627</v>
      </c>
      <c r="C659" s="406" t="s">
        <v>910</v>
      </c>
      <c r="D659" s="395" t="s">
        <v>36</v>
      </c>
      <c r="E659" s="407">
        <f t="shared" si="20"/>
        <v>47.27</v>
      </c>
      <c r="F659">
        <f t="shared" si="21"/>
        <v>5627</v>
      </c>
      <c r="H659" s="680">
        <v>47.27</v>
      </c>
      <c r="I659" s="680">
        <v>47.27</v>
      </c>
    </row>
    <row r="660" spans="2:9" ht="30">
      <c r="B660" s="396">
        <v>5628</v>
      </c>
      <c r="C660" s="401" t="s">
        <v>911</v>
      </c>
      <c r="D660" s="396" t="s">
        <v>36</v>
      </c>
      <c r="E660" s="405">
        <f t="shared" si="20"/>
        <v>6.41</v>
      </c>
      <c r="F660">
        <f t="shared" si="21"/>
        <v>5628</v>
      </c>
      <c r="H660" s="679">
        <v>6.41</v>
      </c>
      <c r="I660" s="679">
        <v>6.41</v>
      </c>
    </row>
    <row r="661" spans="2:9" ht="30">
      <c r="B661" s="395">
        <v>5629</v>
      </c>
      <c r="C661" s="406" t="s">
        <v>912</v>
      </c>
      <c r="D661" s="395" t="s">
        <v>36</v>
      </c>
      <c r="E661" s="407">
        <f t="shared" si="20"/>
        <v>59.09</v>
      </c>
      <c r="F661">
        <f t="shared" si="21"/>
        <v>5629</v>
      </c>
      <c r="H661" s="680">
        <v>59.09</v>
      </c>
      <c r="I661" s="680">
        <v>59.09</v>
      </c>
    </row>
    <row r="662" spans="2:9" ht="30">
      <c r="B662" s="396">
        <v>5630</v>
      </c>
      <c r="C662" s="401" t="s">
        <v>913</v>
      </c>
      <c r="D662" s="396" t="s">
        <v>36</v>
      </c>
      <c r="E662" s="405">
        <f t="shared" si="20"/>
        <v>69.03</v>
      </c>
      <c r="F662">
        <f t="shared" si="21"/>
        <v>5630</v>
      </c>
      <c r="H662" s="679">
        <v>69.03</v>
      </c>
      <c r="I662" s="679">
        <v>69.03</v>
      </c>
    </row>
    <row r="663" spans="2:9" ht="30">
      <c r="B663" s="395">
        <v>5658</v>
      </c>
      <c r="C663" s="406" t="s">
        <v>914</v>
      </c>
      <c r="D663" s="395" t="s">
        <v>36</v>
      </c>
      <c r="E663" s="407">
        <f t="shared" si="20"/>
        <v>2.85</v>
      </c>
      <c r="F663">
        <f t="shared" si="21"/>
        <v>5658</v>
      </c>
      <c r="H663" s="680">
        <v>2.85</v>
      </c>
      <c r="I663" s="680">
        <v>2.85</v>
      </c>
    </row>
    <row r="664" spans="2:9" ht="45">
      <c r="B664" s="396">
        <v>5664</v>
      </c>
      <c r="C664" s="401" t="s">
        <v>915</v>
      </c>
      <c r="D664" s="396" t="s">
        <v>36</v>
      </c>
      <c r="E664" s="405">
        <f t="shared" si="20"/>
        <v>33.74</v>
      </c>
      <c r="F664">
        <f t="shared" si="21"/>
        <v>5664</v>
      </c>
      <c r="H664" s="679">
        <v>33.74</v>
      </c>
      <c r="I664" s="679">
        <v>33.74</v>
      </c>
    </row>
    <row r="665" spans="2:9" ht="45">
      <c r="B665" s="395">
        <v>5667</v>
      </c>
      <c r="C665" s="406" t="s">
        <v>916</v>
      </c>
      <c r="D665" s="395" t="s">
        <v>36</v>
      </c>
      <c r="E665" s="407">
        <f t="shared" si="20"/>
        <v>30</v>
      </c>
      <c r="F665">
        <f t="shared" si="21"/>
        <v>5667</v>
      </c>
      <c r="H665" s="680">
        <v>30</v>
      </c>
      <c r="I665" s="680">
        <v>30</v>
      </c>
    </row>
    <row r="666" spans="2:9" ht="45">
      <c r="B666" s="396">
        <v>5668</v>
      </c>
      <c r="C666" s="401" t="s">
        <v>917</v>
      </c>
      <c r="D666" s="396" t="s">
        <v>36</v>
      </c>
      <c r="E666" s="405">
        <f t="shared" si="20"/>
        <v>49.1</v>
      </c>
      <c r="F666">
        <f t="shared" si="21"/>
        <v>5668</v>
      </c>
      <c r="H666" s="679">
        <v>49.1</v>
      </c>
      <c r="I666" s="679">
        <v>49.1</v>
      </c>
    </row>
    <row r="667" spans="2:9" ht="30">
      <c r="B667" s="395">
        <v>5674</v>
      </c>
      <c r="C667" s="406" t="s">
        <v>918</v>
      </c>
      <c r="D667" s="395" t="s">
        <v>36</v>
      </c>
      <c r="E667" s="407">
        <f t="shared" si="20"/>
        <v>42.57</v>
      </c>
      <c r="F667">
        <f t="shared" si="21"/>
        <v>5674</v>
      </c>
      <c r="H667" s="680">
        <v>42.57</v>
      </c>
      <c r="I667" s="680">
        <v>42.57</v>
      </c>
    </row>
    <row r="668" spans="2:9" ht="30">
      <c r="B668" s="396">
        <v>5692</v>
      </c>
      <c r="C668" s="401" t="s">
        <v>919</v>
      </c>
      <c r="D668" s="396" t="s">
        <v>36</v>
      </c>
      <c r="E668" s="405">
        <f t="shared" si="20"/>
        <v>0.27</v>
      </c>
      <c r="F668">
        <f t="shared" si="21"/>
        <v>5692</v>
      </c>
      <c r="H668" s="679">
        <v>0.27</v>
      </c>
      <c r="I668" s="679">
        <v>0.27</v>
      </c>
    </row>
    <row r="669" spans="2:9" ht="30">
      <c r="B669" s="395">
        <v>5693</v>
      </c>
      <c r="C669" s="406" t="s">
        <v>920</v>
      </c>
      <c r="D669" s="395" t="s">
        <v>36</v>
      </c>
      <c r="E669" s="407">
        <f t="shared" si="20"/>
        <v>17.02</v>
      </c>
      <c r="F669">
        <f t="shared" si="21"/>
        <v>5693</v>
      </c>
      <c r="H669" s="680">
        <v>17.02</v>
      </c>
      <c r="I669" s="680">
        <v>17.02</v>
      </c>
    </row>
    <row r="670" spans="2:9" ht="30">
      <c r="B670" s="396">
        <v>5695</v>
      </c>
      <c r="C670" s="401" t="s">
        <v>921</v>
      </c>
      <c r="D670" s="396" t="s">
        <v>36</v>
      </c>
      <c r="E670" s="405">
        <f t="shared" si="20"/>
        <v>38</v>
      </c>
      <c r="F670">
        <f t="shared" si="21"/>
        <v>5695</v>
      </c>
      <c r="H670" s="679">
        <v>38</v>
      </c>
      <c r="I670" s="679">
        <v>38</v>
      </c>
    </row>
    <row r="671" spans="2:9">
      <c r="B671" s="395">
        <v>5703</v>
      </c>
      <c r="C671" s="406" t="s">
        <v>474</v>
      </c>
      <c r="D671" s="395" t="s">
        <v>36</v>
      </c>
      <c r="E671" s="407">
        <f t="shared" si="20"/>
        <v>24.99</v>
      </c>
      <c r="F671">
        <f t="shared" si="21"/>
        <v>5703</v>
      </c>
      <c r="H671" s="680">
        <v>24.99</v>
      </c>
      <c r="I671" s="680">
        <v>24.99</v>
      </c>
    </row>
    <row r="672" spans="2:9" ht="30">
      <c r="B672" s="396">
        <v>5705</v>
      </c>
      <c r="C672" s="401" t="s">
        <v>922</v>
      </c>
      <c r="D672" s="396" t="s">
        <v>36</v>
      </c>
      <c r="E672" s="405">
        <f t="shared" si="20"/>
        <v>36.67</v>
      </c>
      <c r="F672">
        <f t="shared" si="21"/>
        <v>5705</v>
      </c>
      <c r="H672" s="679">
        <v>36.67</v>
      </c>
      <c r="I672" s="679">
        <v>36.67</v>
      </c>
    </row>
    <row r="673" spans="2:9">
      <c r="B673" s="395">
        <v>5707</v>
      </c>
      <c r="C673" s="406" t="s">
        <v>923</v>
      </c>
      <c r="D673" s="395" t="s">
        <v>36</v>
      </c>
      <c r="E673" s="407">
        <f t="shared" si="20"/>
        <v>63.19</v>
      </c>
      <c r="F673">
        <f t="shared" si="21"/>
        <v>5707</v>
      </c>
      <c r="H673" s="680">
        <v>63.19</v>
      </c>
      <c r="I673" s="680">
        <v>63.19</v>
      </c>
    </row>
    <row r="674" spans="2:9" ht="30">
      <c r="B674" s="396">
        <v>5710</v>
      </c>
      <c r="C674" s="401" t="s">
        <v>924</v>
      </c>
      <c r="D674" s="396" t="s">
        <v>36</v>
      </c>
      <c r="E674" s="405">
        <f t="shared" si="20"/>
        <v>158.61000000000001</v>
      </c>
      <c r="F674">
        <f t="shared" si="21"/>
        <v>5710</v>
      </c>
      <c r="H674" s="679">
        <v>158.61000000000001</v>
      </c>
      <c r="I674" s="679">
        <v>158.61000000000001</v>
      </c>
    </row>
    <row r="675" spans="2:9" ht="30">
      <c r="B675" s="395">
        <v>5711</v>
      </c>
      <c r="C675" s="406" t="s">
        <v>925</v>
      </c>
      <c r="D675" s="395" t="s">
        <v>36</v>
      </c>
      <c r="E675" s="407">
        <f t="shared" si="20"/>
        <v>95.38</v>
      </c>
      <c r="F675">
        <f t="shared" si="21"/>
        <v>5711</v>
      </c>
      <c r="H675" s="680">
        <v>95.38</v>
      </c>
      <c r="I675" s="680">
        <v>95.38</v>
      </c>
    </row>
    <row r="676" spans="2:9">
      <c r="B676" s="396">
        <v>5714</v>
      </c>
      <c r="C676" s="401" t="s">
        <v>259</v>
      </c>
      <c r="D676" s="396" t="s">
        <v>36</v>
      </c>
      <c r="E676" s="405">
        <f t="shared" si="20"/>
        <v>15.74</v>
      </c>
      <c r="F676">
        <f t="shared" si="21"/>
        <v>5714</v>
      </c>
      <c r="H676" s="679">
        <v>15.74</v>
      </c>
      <c r="I676" s="679">
        <v>15.74</v>
      </c>
    </row>
    <row r="677" spans="2:9">
      <c r="B677" s="395">
        <v>5715</v>
      </c>
      <c r="C677" s="406" t="s">
        <v>260</v>
      </c>
      <c r="D677" s="395" t="s">
        <v>36</v>
      </c>
      <c r="E677" s="407">
        <f t="shared" si="20"/>
        <v>72.17</v>
      </c>
      <c r="F677">
        <f t="shared" si="21"/>
        <v>5715</v>
      </c>
      <c r="H677" s="680">
        <v>72.17</v>
      </c>
      <c r="I677" s="680">
        <v>72.17</v>
      </c>
    </row>
    <row r="678" spans="2:9">
      <c r="B678" s="396">
        <v>5718</v>
      </c>
      <c r="C678" s="401" t="s">
        <v>926</v>
      </c>
      <c r="D678" s="396" t="s">
        <v>36</v>
      </c>
      <c r="E678" s="405">
        <f t="shared" si="20"/>
        <v>113.84</v>
      </c>
      <c r="F678">
        <f t="shared" si="21"/>
        <v>5718</v>
      </c>
      <c r="H678" s="679">
        <v>113.84</v>
      </c>
      <c r="I678" s="679">
        <v>113.84</v>
      </c>
    </row>
    <row r="679" spans="2:9" ht="30">
      <c r="B679" s="395">
        <v>5721</v>
      </c>
      <c r="C679" s="406" t="s">
        <v>46</v>
      </c>
      <c r="D679" s="395" t="s">
        <v>36</v>
      </c>
      <c r="E679" s="407">
        <f t="shared" si="20"/>
        <v>100.44</v>
      </c>
      <c r="F679">
        <f t="shared" si="21"/>
        <v>5721</v>
      </c>
      <c r="H679" s="680">
        <v>100.44</v>
      </c>
      <c r="I679" s="680">
        <v>100.44</v>
      </c>
    </row>
    <row r="680" spans="2:9">
      <c r="B680" s="396">
        <v>5722</v>
      </c>
      <c r="C680" s="401" t="s">
        <v>927</v>
      </c>
      <c r="D680" s="396" t="s">
        <v>36</v>
      </c>
      <c r="E680" s="405">
        <f t="shared" si="20"/>
        <v>232.29</v>
      </c>
      <c r="F680">
        <f t="shared" si="21"/>
        <v>5722</v>
      </c>
      <c r="H680" s="679">
        <v>232.29</v>
      </c>
      <c r="I680" s="679">
        <v>232.29</v>
      </c>
    </row>
    <row r="681" spans="2:9">
      <c r="B681" s="395">
        <v>5724</v>
      </c>
      <c r="C681" s="406" t="s">
        <v>928</v>
      </c>
      <c r="D681" s="395" t="s">
        <v>36</v>
      </c>
      <c r="E681" s="407">
        <f t="shared" si="20"/>
        <v>55.32</v>
      </c>
      <c r="F681">
        <f t="shared" si="21"/>
        <v>5724</v>
      </c>
      <c r="H681" s="680">
        <v>55.32</v>
      </c>
      <c r="I681" s="680">
        <v>55.32</v>
      </c>
    </row>
    <row r="682" spans="2:9" ht="30">
      <c r="B682" s="396">
        <v>5727</v>
      </c>
      <c r="C682" s="401" t="s">
        <v>929</v>
      </c>
      <c r="D682" s="396" t="s">
        <v>36</v>
      </c>
      <c r="E682" s="405">
        <f t="shared" si="20"/>
        <v>12.85</v>
      </c>
      <c r="F682">
        <f t="shared" si="21"/>
        <v>5727</v>
      </c>
      <c r="H682" s="679">
        <v>12.85</v>
      </c>
      <c r="I682" s="679">
        <v>12.85</v>
      </c>
    </row>
    <row r="683" spans="2:9" ht="30">
      <c r="B683" s="395">
        <v>5729</v>
      </c>
      <c r="C683" s="406" t="s">
        <v>930</v>
      </c>
      <c r="D683" s="395" t="s">
        <v>36</v>
      </c>
      <c r="E683" s="407">
        <f t="shared" si="20"/>
        <v>52.27</v>
      </c>
      <c r="F683">
        <f t="shared" si="21"/>
        <v>5729</v>
      </c>
      <c r="H683" s="680">
        <v>52.27</v>
      </c>
      <c r="I683" s="680">
        <v>52.27</v>
      </c>
    </row>
    <row r="684" spans="2:9" ht="30">
      <c r="B684" s="396">
        <v>5730</v>
      </c>
      <c r="C684" s="401" t="s">
        <v>931</v>
      </c>
      <c r="D684" s="396" t="s">
        <v>36</v>
      </c>
      <c r="E684" s="405">
        <f t="shared" si="20"/>
        <v>43.78</v>
      </c>
      <c r="F684">
        <f t="shared" si="21"/>
        <v>5730</v>
      </c>
      <c r="H684" s="679">
        <v>43.78</v>
      </c>
      <c r="I684" s="679">
        <v>43.78</v>
      </c>
    </row>
    <row r="685" spans="2:9" ht="45">
      <c r="B685" s="395">
        <v>5735</v>
      </c>
      <c r="C685" s="406" t="s">
        <v>932</v>
      </c>
      <c r="D685" s="395" t="s">
        <v>36</v>
      </c>
      <c r="E685" s="407">
        <f t="shared" si="20"/>
        <v>32.549999999999997</v>
      </c>
      <c r="F685">
        <f t="shared" si="21"/>
        <v>5735</v>
      </c>
      <c r="H685" s="680">
        <v>32.549999999999997</v>
      </c>
      <c r="I685" s="680">
        <v>32.549999999999997</v>
      </c>
    </row>
    <row r="686" spans="2:9" ht="45">
      <c r="B686" s="396">
        <v>5736</v>
      </c>
      <c r="C686" s="401" t="s">
        <v>933</v>
      </c>
      <c r="D686" s="396" t="s">
        <v>36</v>
      </c>
      <c r="E686" s="405">
        <f t="shared" si="20"/>
        <v>44.74</v>
      </c>
      <c r="F686">
        <f t="shared" si="21"/>
        <v>5736</v>
      </c>
      <c r="H686" s="679">
        <v>44.74</v>
      </c>
      <c r="I686" s="679">
        <v>44.74</v>
      </c>
    </row>
    <row r="687" spans="2:9" ht="30">
      <c r="B687" s="395">
        <v>5738</v>
      </c>
      <c r="C687" s="406" t="s">
        <v>934</v>
      </c>
      <c r="D687" s="395" t="s">
        <v>36</v>
      </c>
      <c r="E687" s="407">
        <f t="shared" si="20"/>
        <v>46.48</v>
      </c>
      <c r="F687">
        <f t="shared" si="21"/>
        <v>5738</v>
      </c>
      <c r="H687" s="680">
        <v>46.48</v>
      </c>
      <c r="I687" s="680">
        <v>46.48</v>
      </c>
    </row>
    <row r="688" spans="2:9" ht="30">
      <c r="B688" s="396">
        <v>5739</v>
      </c>
      <c r="C688" s="401" t="s">
        <v>935</v>
      </c>
      <c r="D688" s="396" t="s">
        <v>36</v>
      </c>
      <c r="E688" s="405">
        <f t="shared" si="20"/>
        <v>58.16</v>
      </c>
      <c r="F688">
        <f t="shared" si="21"/>
        <v>5739</v>
      </c>
      <c r="H688" s="679">
        <v>58.16</v>
      </c>
      <c r="I688" s="679">
        <v>58.16</v>
      </c>
    </row>
    <row r="689" spans="2:9" ht="30">
      <c r="B689" s="395">
        <v>5741</v>
      </c>
      <c r="C689" s="406" t="s">
        <v>936</v>
      </c>
      <c r="D689" s="395" t="s">
        <v>36</v>
      </c>
      <c r="E689" s="407">
        <f t="shared" si="20"/>
        <v>39.14</v>
      </c>
      <c r="F689">
        <f t="shared" si="21"/>
        <v>5741</v>
      </c>
      <c r="H689" s="680">
        <v>39.14</v>
      </c>
      <c r="I689" s="680">
        <v>39.14</v>
      </c>
    </row>
    <row r="690" spans="2:9" ht="30">
      <c r="B690" s="396">
        <v>5742</v>
      </c>
      <c r="C690" s="401" t="s">
        <v>937</v>
      </c>
      <c r="D690" s="396" t="s">
        <v>36</v>
      </c>
      <c r="E690" s="405">
        <f t="shared" si="20"/>
        <v>29.55</v>
      </c>
      <c r="F690">
        <f t="shared" si="21"/>
        <v>5742</v>
      </c>
      <c r="H690" s="679">
        <v>29.55</v>
      </c>
      <c r="I690" s="679">
        <v>29.55</v>
      </c>
    </row>
    <row r="691" spans="2:9" ht="30">
      <c r="B691" s="395">
        <v>5747</v>
      </c>
      <c r="C691" s="406" t="s">
        <v>938</v>
      </c>
      <c r="D691" s="395" t="s">
        <v>36</v>
      </c>
      <c r="E691" s="407">
        <f t="shared" si="20"/>
        <v>169.41</v>
      </c>
      <c r="F691">
        <f t="shared" si="21"/>
        <v>5747</v>
      </c>
      <c r="H691" s="680">
        <v>169.41</v>
      </c>
      <c r="I691" s="680">
        <v>169.41</v>
      </c>
    </row>
    <row r="692" spans="2:9" ht="30">
      <c r="B692" s="396">
        <v>5751</v>
      </c>
      <c r="C692" s="401" t="s">
        <v>261</v>
      </c>
      <c r="D692" s="396" t="s">
        <v>36</v>
      </c>
      <c r="E692" s="405">
        <f t="shared" si="20"/>
        <v>31.57</v>
      </c>
      <c r="F692">
        <f t="shared" si="21"/>
        <v>5751</v>
      </c>
      <c r="H692" s="679">
        <v>31.57</v>
      </c>
      <c r="I692" s="679">
        <v>31.57</v>
      </c>
    </row>
    <row r="693" spans="2:9" ht="30">
      <c r="B693" s="395">
        <v>5754</v>
      </c>
      <c r="C693" s="406" t="s">
        <v>939</v>
      </c>
      <c r="D693" s="395" t="s">
        <v>36</v>
      </c>
      <c r="E693" s="407">
        <f t="shared" si="20"/>
        <v>34.659999999999997</v>
      </c>
      <c r="F693">
        <f t="shared" si="21"/>
        <v>5754</v>
      </c>
      <c r="H693" s="680">
        <v>34.659999999999997</v>
      </c>
      <c r="I693" s="680">
        <v>34.659999999999997</v>
      </c>
    </row>
    <row r="694" spans="2:9" ht="30">
      <c r="B694" s="396">
        <v>5763</v>
      </c>
      <c r="C694" s="401" t="s">
        <v>940</v>
      </c>
      <c r="D694" s="396" t="s">
        <v>36</v>
      </c>
      <c r="E694" s="405">
        <f t="shared" si="20"/>
        <v>49.43</v>
      </c>
      <c r="F694">
        <f t="shared" si="21"/>
        <v>5763</v>
      </c>
      <c r="H694" s="679">
        <v>49.43</v>
      </c>
      <c r="I694" s="679">
        <v>49.43</v>
      </c>
    </row>
    <row r="695" spans="2:9" ht="30">
      <c r="B695" s="395">
        <v>5765</v>
      </c>
      <c r="C695" s="406" t="s">
        <v>262</v>
      </c>
      <c r="D695" s="395" t="s">
        <v>36</v>
      </c>
      <c r="E695" s="407">
        <f t="shared" si="20"/>
        <v>4.24</v>
      </c>
      <c r="F695">
        <f t="shared" si="21"/>
        <v>5765</v>
      </c>
      <c r="H695" s="680">
        <v>4.24</v>
      </c>
      <c r="I695" s="680">
        <v>4.24</v>
      </c>
    </row>
    <row r="696" spans="2:9" ht="30">
      <c r="B696" s="396">
        <v>5766</v>
      </c>
      <c r="C696" s="401" t="s">
        <v>263</v>
      </c>
      <c r="D696" s="396" t="s">
        <v>36</v>
      </c>
      <c r="E696" s="405">
        <f t="shared" si="20"/>
        <v>2.37</v>
      </c>
      <c r="F696">
        <f t="shared" si="21"/>
        <v>5766</v>
      </c>
      <c r="H696" s="679">
        <v>2.37</v>
      </c>
      <c r="I696" s="679">
        <v>2.37</v>
      </c>
    </row>
    <row r="697" spans="2:9" ht="30">
      <c r="B697" s="395">
        <v>5779</v>
      </c>
      <c r="C697" s="406" t="s">
        <v>47</v>
      </c>
      <c r="D697" s="395" t="s">
        <v>36</v>
      </c>
      <c r="E697" s="407">
        <f t="shared" si="20"/>
        <v>72.010000000000005</v>
      </c>
      <c r="F697">
        <f t="shared" si="21"/>
        <v>5779</v>
      </c>
      <c r="H697" s="680">
        <v>72.010000000000005</v>
      </c>
      <c r="I697" s="680">
        <v>72.010000000000005</v>
      </c>
    </row>
    <row r="698" spans="2:9" ht="30">
      <c r="B698" s="396">
        <v>5787</v>
      </c>
      <c r="C698" s="401" t="s">
        <v>941</v>
      </c>
      <c r="D698" s="396" t="s">
        <v>36</v>
      </c>
      <c r="E698" s="405">
        <f t="shared" si="20"/>
        <v>75.38</v>
      </c>
      <c r="F698">
        <f t="shared" si="21"/>
        <v>5787</v>
      </c>
      <c r="H698" s="679">
        <v>75.38</v>
      </c>
      <c r="I698" s="679">
        <v>75.38</v>
      </c>
    </row>
    <row r="699" spans="2:9" ht="30">
      <c r="B699" s="395">
        <v>5797</v>
      </c>
      <c r="C699" s="406" t="s">
        <v>264</v>
      </c>
      <c r="D699" s="395" t="s">
        <v>36</v>
      </c>
      <c r="E699" s="407">
        <f t="shared" si="20"/>
        <v>6.15</v>
      </c>
      <c r="F699">
        <f t="shared" si="21"/>
        <v>5797</v>
      </c>
      <c r="H699" s="680">
        <v>6.15</v>
      </c>
      <c r="I699" s="680">
        <v>6.15</v>
      </c>
    </row>
    <row r="700" spans="2:9" ht="30">
      <c r="B700" s="396">
        <v>5800</v>
      </c>
      <c r="C700" s="401" t="s">
        <v>942</v>
      </c>
      <c r="D700" s="396" t="s">
        <v>36</v>
      </c>
      <c r="E700" s="405">
        <f t="shared" si="20"/>
        <v>0.37</v>
      </c>
      <c r="F700">
        <f t="shared" si="21"/>
        <v>5800</v>
      </c>
      <c r="H700" s="679">
        <v>0.37</v>
      </c>
      <c r="I700" s="679">
        <v>0.37</v>
      </c>
    </row>
    <row r="701" spans="2:9">
      <c r="B701" s="395">
        <v>7032</v>
      </c>
      <c r="C701" s="406" t="s">
        <v>943</v>
      </c>
      <c r="D701" s="395" t="s">
        <v>36</v>
      </c>
      <c r="E701" s="407">
        <f t="shared" si="20"/>
        <v>4.5599999999999996</v>
      </c>
      <c r="F701">
        <f t="shared" si="21"/>
        <v>7032</v>
      </c>
      <c r="H701" s="680">
        <v>4.5599999999999996</v>
      </c>
      <c r="I701" s="680">
        <v>4.5599999999999996</v>
      </c>
    </row>
    <row r="702" spans="2:9">
      <c r="B702" s="396">
        <v>7033</v>
      </c>
      <c r="C702" s="401" t="s">
        <v>944</v>
      </c>
      <c r="D702" s="396" t="s">
        <v>36</v>
      </c>
      <c r="E702" s="405">
        <f t="shared" si="20"/>
        <v>0.81</v>
      </c>
      <c r="F702">
        <f t="shared" si="21"/>
        <v>7033</v>
      </c>
      <c r="H702" s="679">
        <v>0.81</v>
      </c>
      <c r="I702" s="679">
        <v>0.81</v>
      </c>
    </row>
    <row r="703" spans="2:9">
      <c r="B703" s="395">
        <v>7034</v>
      </c>
      <c r="C703" s="406" t="s">
        <v>945</v>
      </c>
      <c r="D703" s="395" t="s">
        <v>36</v>
      </c>
      <c r="E703" s="407">
        <f t="shared" si="20"/>
        <v>5.71</v>
      </c>
      <c r="F703">
        <f t="shared" si="21"/>
        <v>7034</v>
      </c>
      <c r="H703" s="680">
        <v>5.71</v>
      </c>
      <c r="I703" s="680">
        <v>5.71</v>
      </c>
    </row>
    <row r="704" spans="2:9">
      <c r="B704" s="396">
        <v>7035</v>
      </c>
      <c r="C704" s="401" t="s">
        <v>946</v>
      </c>
      <c r="D704" s="396" t="s">
        <v>36</v>
      </c>
      <c r="E704" s="405">
        <f t="shared" si="20"/>
        <v>274.73</v>
      </c>
      <c r="F704">
        <f t="shared" si="21"/>
        <v>7035</v>
      </c>
      <c r="H704" s="679">
        <v>274.73</v>
      </c>
      <c r="I704" s="679">
        <v>274.73</v>
      </c>
    </row>
    <row r="705" spans="2:9" ht="30">
      <c r="B705" s="395">
        <v>7038</v>
      </c>
      <c r="C705" s="406" t="s">
        <v>947</v>
      </c>
      <c r="D705" s="395" t="s">
        <v>36</v>
      </c>
      <c r="E705" s="407">
        <f t="shared" si="20"/>
        <v>53.16</v>
      </c>
      <c r="F705">
        <f t="shared" si="21"/>
        <v>7038</v>
      </c>
      <c r="H705" s="680">
        <v>53.16</v>
      </c>
      <c r="I705" s="680">
        <v>53.16</v>
      </c>
    </row>
    <row r="706" spans="2:9" ht="30">
      <c r="B706" s="396">
        <v>7039</v>
      </c>
      <c r="C706" s="401" t="s">
        <v>948</v>
      </c>
      <c r="D706" s="396" t="s">
        <v>36</v>
      </c>
      <c r="E706" s="405">
        <f t="shared" si="20"/>
        <v>7.38</v>
      </c>
      <c r="F706">
        <f t="shared" si="21"/>
        <v>7039</v>
      </c>
      <c r="H706" s="679">
        <v>7.38</v>
      </c>
      <c r="I706" s="679">
        <v>7.38</v>
      </c>
    </row>
    <row r="707" spans="2:9" ht="30">
      <c r="B707" s="395">
        <v>7040</v>
      </c>
      <c r="C707" s="406" t="s">
        <v>949</v>
      </c>
      <c r="D707" s="395" t="s">
        <v>36</v>
      </c>
      <c r="E707" s="407">
        <f t="shared" ref="E707:E770" si="22">IF($K$2=$H$1,H707,I707)</f>
        <v>66.53</v>
      </c>
      <c r="F707">
        <f t="shared" ref="F707:F770" si="23">IF(LEN($B707)=7,CONCATENATE(MID($B707,1,6),"00",RIGHT($B707,1)),IF(LEN($B707)=8,CONCATENATE(MID($B707,1,6),"0",RIGHT($B707,2)),$B707))</f>
        <v>7040</v>
      </c>
      <c r="H707" s="680">
        <v>66.53</v>
      </c>
      <c r="I707" s="680">
        <v>66.53</v>
      </c>
    </row>
    <row r="708" spans="2:9" ht="30">
      <c r="B708" s="396">
        <v>7044</v>
      </c>
      <c r="C708" s="401" t="s">
        <v>950</v>
      </c>
      <c r="D708" s="396" t="s">
        <v>36</v>
      </c>
      <c r="E708" s="405">
        <f t="shared" si="22"/>
        <v>0.3</v>
      </c>
      <c r="F708">
        <f t="shared" si="23"/>
        <v>7044</v>
      </c>
      <c r="H708" s="679">
        <v>0.3</v>
      </c>
      <c r="I708" s="679">
        <v>0.3</v>
      </c>
    </row>
    <row r="709" spans="2:9" ht="30">
      <c r="B709" s="395">
        <v>7045</v>
      </c>
      <c r="C709" s="406" t="s">
        <v>951</v>
      </c>
      <c r="D709" s="395" t="s">
        <v>36</v>
      </c>
      <c r="E709" s="407">
        <f t="shared" si="22"/>
        <v>0.03</v>
      </c>
      <c r="F709">
        <f t="shared" si="23"/>
        <v>7045</v>
      </c>
      <c r="H709" s="680">
        <v>0.03</v>
      </c>
      <c r="I709" s="680">
        <v>0.03</v>
      </c>
    </row>
    <row r="710" spans="2:9" ht="30">
      <c r="B710" s="396">
        <v>7046</v>
      </c>
      <c r="C710" s="401" t="s">
        <v>952</v>
      </c>
      <c r="D710" s="396" t="s">
        <v>36</v>
      </c>
      <c r="E710" s="405">
        <f t="shared" si="22"/>
        <v>0.33</v>
      </c>
      <c r="F710">
        <f t="shared" si="23"/>
        <v>7046</v>
      </c>
      <c r="H710" s="679">
        <v>0.33</v>
      </c>
      <c r="I710" s="679">
        <v>0.33</v>
      </c>
    </row>
    <row r="711" spans="2:9" ht="30">
      <c r="B711" s="395">
        <v>7047</v>
      </c>
      <c r="C711" s="406" t="s">
        <v>953</v>
      </c>
      <c r="D711" s="395" t="s">
        <v>36</v>
      </c>
      <c r="E711" s="407">
        <f t="shared" si="22"/>
        <v>20.09</v>
      </c>
      <c r="F711">
        <f t="shared" si="23"/>
        <v>7047</v>
      </c>
      <c r="H711" s="680">
        <v>20.09</v>
      </c>
      <c r="I711" s="680">
        <v>20.09</v>
      </c>
    </row>
    <row r="712" spans="2:9" ht="30">
      <c r="B712" s="396">
        <v>7051</v>
      </c>
      <c r="C712" s="401" t="s">
        <v>954</v>
      </c>
      <c r="D712" s="396" t="s">
        <v>36</v>
      </c>
      <c r="E712" s="405">
        <f t="shared" si="22"/>
        <v>47.15</v>
      </c>
      <c r="F712">
        <f t="shared" si="23"/>
        <v>7051</v>
      </c>
      <c r="H712" s="679">
        <v>47.15</v>
      </c>
      <c r="I712" s="679">
        <v>47.15</v>
      </c>
    </row>
    <row r="713" spans="2:9" ht="30">
      <c r="B713" s="395">
        <v>7052</v>
      </c>
      <c r="C713" s="406" t="s">
        <v>955</v>
      </c>
      <c r="D713" s="395" t="s">
        <v>36</v>
      </c>
      <c r="E713" s="407">
        <f t="shared" si="22"/>
        <v>6.54</v>
      </c>
      <c r="F713">
        <f t="shared" si="23"/>
        <v>7052</v>
      </c>
      <c r="H713" s="680">
        <v>6.54</v>
      </c>
      <c r="I713" s="680">
        <v>6.54</v>
      </c>
    </row>
    <row r="714" spans="2:9" ht="30">
      <c r="B714" s="396">
        <v>7053</v>
      </c>
      <c r="C714" s="401" t="s">
        <v>956</v>
      </c>
      <c r="D714" s="396" t="s">
        <v>36</v>
      </c>
      <c r="E714" s="405">
        <f t="shared" si="22"/>
        <v>59.01</v>
      </c>
      <c r="F714">
        <f t="shared" si="23"/>
        <v>7053</v>
      </c>
      <c r="H714" s="679">
        <v>59.01</v>
      </c>
      <c r="I714" s="679">
        <v>59.01</v>
      </c>
    </row>
    <row r="715" spans="2:9" ht="30">
      <c r="B715" s="395">
        <v>7054</v>
      </c>
      <c r="C715" s="406" t="s">
        <v>957</v>
      </c>
      <c r="D715" s="395" t="s">
        <v>36</v>
      </c>
      <c r="E715" s="407">
        <f t="shared" si="22"/>
        <v>95.63</v>
      </c>
      <c r="F715">
        <f t="shared" si="23"/>
        <v>7054</v>
      </c>
      <c r="H715" s="680">
        <v>95.63</v>
      </c>
      <c r="I715" s="680">
        <v>95.63</v>
      </c>
    </row>
    <row r="716" spans="2:9" ht="30">
      <c r="B716" s="396">
        <v>7058</v>
      </c>
      <c r="C716" s="401" t="s">
        <v>958</v>
      </c>
      <c r="D716" s="396" t="s">
        <v>36</v>
      </c>
      <c r="E716" s="405">
        <f t="shared" si="22"/>
        <v>21.78</v>
      </c>
      <c r="F716">
        <f t="shared" si="23"/>
        <v>7058</v>
      </c>
      <c r="H716" s="679">
        <v>21.78</v>
      </c>
      <c r="I716" s="679">
        <v>21.78</v>
      </c>
    </row>
    <row r="717" spans="2:9" ht="30">
      <c r="B717" s="395">
        <v>7059</v>
      </c>
      <c r="C717" s="406" t="s">
        <v>959</v>
      </c>
      <c r="D717" s="395" t="s">
        <v>36</v>
      </c>
      <c r="E717" s="407">
        <f t="shared" si="22"/>
        <v>4.29</v>
      </c>
      <c r="F717">
        <f t="shared" si="23"/>
        <v>7059</v>
      </c>
      <c r="H717" s="680">
        <v>4.29</v>
      </c>
      <c r="I717" s="680">
        <v>4.29</v>
      </c>
    </row>
    <row r="718" spans="2:9" ht="30">
      <c r="B718" s="396">
        <v>7060</v>
      </c>
      <c r="C718" s="401" t="s">
        <v>960</v>
      </c>
      <c r="D718" s="396" t="s">
        <v>36</v>
      </c>
      <c r="E718" s="405">
        <f t="shared" si="22"/>
        <v>39.32</v>
      </c>
      <c r="F718">
        <f t="shared" si="23"/>
        <v>7060</v>
      </c>
      <c r="H718" s="679">
        <v>39.32</v>
      </c>
      <c r="I718" s="679">
        <v>39.32</v>
      </c>
    </row>
    <row r="719" spans="2:9" ht="30">
      <c r="B719" s="395">
        <v>7061</v>
      </c>
      <c r="C719" s="406" t="s">
        <v>961</v>
      </c>
      <c r="D719" s="395" t="s">
        <v>36</v>
      </c>
      <c r="E719" s="407">
        <f t="shared" si="22"/>
        <v>87.3</v>
      </c>
      <c r="F719">
        <f t="shared" si="23"/>
        <v>7061</v>
      </c>
      <c r="H719" s="680">
        <v>87.3</v>
      </c>
      <c r="I719" s="680">
        <v>87.3</v>
      </c>
    </row>
    <row r="720" spans="2:9">
      <c r="B720" s="396">
        <v>7063</v>
      </c>
      <c r="C720" s="401" t="s">
        <v>265</v>
      </c>
      <c r="D720" s="396" t="s">
        <v>36</v>
      </c>
      <c r="E720" s="405">
        <f t="shared" si="22"/>
        <v>19.63</v>
      </c>
      <c r="F720">
        <f t="shared" si="23"/>
        <v>7063</v>
      </c>
      <c r="H720" s="679">
        <v>19.63</v>
      </c>
      <c r="I720" s="679">
        <v>19.63</v>
      </c>
    </row>
    <row r="721" spans="2:9">
      <c r="B721" s="395">
        <v>7064</v>
      </c>
      <c r="C721" s="406" t="s">
        <v>266</v>
      </c>
      <c r="D721" s="395" t="s">
        <v>36</v>
      </c>
      <c r="E721" s="407">
        <f t="shared" si="22"/>
        <v>2.72</v>
      </c>
      <c r="F721">
        <f t="shared" si="23"/>
        <v>7064</v>
      </c>
      <c r="H721" s="680">
        <v>2.72</v>
      </c>
      <c r="I721" s="680">
        <v>2.72</v>
      </c>
    </row>
    <row r="722" spans="2:9">
      <c r="B722" s="396">
        <v>7065</v>
      </c>
      <c r="C722" s="401" t="s">
        <v>267</v>
      </c>
      <c r="D722" s="396" t="s">
        <v>36</v>
      </c>
      <c r="E722" s="405">
        <f t="shared" si="22"/>
        <v>21.47</v>
      </c>
      <c r="F722">
        <f t="shared" si="23"/>
        <v>7065</v>
      </c>
      <c r="H722" s="679">
        <v>21.47</v>
      </c>
      <c r="I722" s="679">
        <v>21.47</v>
      </c>
    </row>
    <row r="723" spans="2:9">
      <c r="B723" s="395">
        <v>7066</v>
      </c>
      <c r="C723" s="406" t="s">
        <v>268</v>
      </c>
      <c r="D723" s="395" t="s">
        <v>36</v>
      </c>
      <c r="E723" s="407">
        <f t="shared" si="22"/>
        <v>103.58</v>
      </c>
      <c r="F723">
        <f t="shared" si="23"/>
        <v>7066</v>
      </c>
      <c r="H723" s="680">
        <v>103.58</v>
      </c>
      <c r="I723" s="680">
        <v>103.58</v>
      </c>
    </row>
    <row r="724" spans="2:9" ht="45">
      <c r="B724" s="396">
        <v>53786</v>
      </c>
      <c r="C724" s="401" t="s">
        <v>962</v>
      </c>
      <c r="D724" s="396" t="s">
        <v>36</v>
      </c>
      <c r="E724" s="405">
        <f t="shared" si="22"/>
        <v>54.67</v>
      </c>
      <c r="F724">
        <f t="shared" si="23"/>
        <v>53786</v>
      </c>
      <c r="H724" s="679">
        <v>54.67</v>
      </c>
      <c r="I724" s="679">
        <v>54.67</v>
      </c>
    </row>
    <row r="725" spans="2:9" ht="30">
      <c r="B725" s="395">
        <v>53788</v>
      </c>
      <c r="C725" s="406" t="s">
        <v>963</v>
      </c>
      <c r="D725" s="395" t="s">
        <v>36</v>
      </c>
      <c r="E725" s="407">
        <f t="shared" si="22"/>
        <v>61.21</v>
      </c>
      <c r="F725">
        <f t="shared" si="23"/>
        <v>53788</v>
      </c>
      <c r="H725" s="680">
        <v>61.21</v>
      </c>
      <c r="I725" s="680">
        <v>61.21</v>
      </c>
    </row>
    <row r="726" spans="2:9" ht="30">
      <c r="B726" s="396">
        <v>53792</v>
      </c>
      <c r="C726" s="401" t="s">
        <v>964</v>
      </c>
      <c r="D726" s="396" t="s">
        <v>36</v>
      </c>
      <c r="E726" s="405">
        <f t="shared" si="22"/>
        <v>108.52</v>
      </c>
      <c r="F726">
        <f t="shared" si="23"/>
        <v>53792</v>
      </c>
      <c r="H726" s="679">
        <v>108.52</v>
      </c>
      <c r="I726" s="679">
        <v>108.52</v>
      </c>
    </row>
    <row r="727" spans="2:9">
      <c r="B727" s="395">
        <v>53794</v>
      </c>
      <c r="C727" s="406" t="s">
        <v>475</v>
      </c>
      <c r="D727" s="395" t="s">
        <v>36</v>
      </c>
      <c r="E727" s="407">
        <f t="shared" si="22"/>
        <v>35</v>
      </c>
      <c r="F727">
        <f t="shared" si="23"/>
        <v>53794</v>
      </c>
      <c r="H727" s="680">
        <v>35</v>
      </c>
      <c r="I727" s="680">
        <v>35</v>
      </c>
    </row>
    <row r="728" spans="2:9" ht="45">
      <c r="B728" s="396">
        <v>53797</v>
      </c>
      <c r="C728" s="401" t="s">
        <v>965</v>
      </c>
      <c r="D728" s="396" t="s">
        <v>36</v>
      </c>
      <c r="E728" s="405">
        <f t="shared" si="22"/>
        <v>124.8</v>
      </c>
      <c r="F728">
        <f t="shared" si="23"/>
        <v>53797</v>
      </c>
      <c r="H728" s="679">
        <v>124.8</v>
      </c>
      <c r="I728" s="679">
        <v>124.8</v>
      </c>
    </row>
    <row r="729" spans="2:9" ht="30">
      <c r="B729" s="395">
        <v>53804</v>
      </c>
      <c r="C729" s="406" t="s">
        <v>966</v>
      </c>
      <c r="D729" s="395" t="s">
        <v>36</v>
      </c>
      <c r="E729" s="407">
        <f t="shared" si="22"/>
        <v>5.93</v>
      </c>
      <c r="F729">
        <f t="shared" si="23"/>
        <v>53804</v>
      </c>
      <c r="H729" s="680">
        <v>5.93</v>
      </c>
      <c r="I729" s="680">
        <v>5.93</v>
      </c>
    </row>
    <row r="730" spans="2:9">
      <c r="B730" s="396">
        <v>53806</v>
      </c>
      <c r="C730" s="401" t="s">
        <v>967</v>
      </c>
      <c r="D730" s="396" t="s">
        <v>36</v>
      </c>
      <c r="E730" s="405">
        <f t="shared" si="22"/>
        <v>71.28</v>
      </c>
      <c r="F730">
        <f t="shared" si="23"/>
        <v>53806</v>
      </c>
      <c r="H730" s="679">
        <v>71.28</v>
      </c>
      <c r="I730" s="679">
        <v>71.28</v>
      </c>
    </row>
    <row r="731" spans="2:9" ht="30">
      <c r="B731" s="395">
        <v>53810</v>
      </c>
      <c r="C731" s="406" t="s">
        <v>48</v>
      </c>
      <c r="D731" s="395" t="s">
        <v>36</v>
      </c>
      <c r="E731" s="407">
        <f t="shared" si="22"/>
        <v>71.72</v>
      </c>
      <c r="F731">
        <f t="shared" si="23"/>
        <v>53810</v>
      </c>
      <c r="H731" s="680">
        <v>71.72</v>
      </c>
      <c r="I731" s="680">
        <v>71.72</v>
      </c>
    </row>
    <row r="732" spans="2:9">
      <c r="B732" s="396">
        <v>53814</v>
      </c>
      <c r="C732" s="401" t="s">
        <v>968</v>
      </c>
      <c r="D732" s="396" t="s">
        <v>36</v>
      </c>
      <c r="E732" s="405">
        <f t="shared" si="22"/>
        <v>234.93</v>
      </c>
      <c r="F732">
        <f t="shared" si="23"/>
        <v>53814</v>
      </c>
      <c r="H732" s="679">
        <v>234.93</v>
      </c>
      <c r="I732" s="679">
        <v>234.93</v>
      </c>
    </row>
    <row r="733" spans="2:9">
      <c r="B733" s="395">
        <v>53817</v>
      </c>
      <c r="C733" s="406" t="s">
        <v>969</v>
      </c>
      <c r="D733" s="395" t="s">
        <v>36</v>
      </c>
      <c r="E733" s="407">
        <f t="shared" si="22"/>
        <v>66.92</v>
      </c>
      <c r="F733">
        <f t="shared" si="23"/>
        <v>53817</v>
      </c>
      <c r="H733" s="680">
        <v>66.92</v>
      </c>
      <c r="I733" s="680">
        <v>66.92</v>
      </c>
    </row>
    <row r="734" spans="2:9" ht="30">
      <c r="B734" s="396">
        <v>53818</v>
      </c>
      <c r="C734" s="401" t="s">
        <v>970</v>
      </c>
      <c r="D734" s="396" t="s">
        <v>36</v>
      </c>
      <c r="E734" s="405">
        <f t="shared" si="22"/>
        <v>10.26</v>
      </c>
      <c r="F734">
        <f t="shared" si="23"/>
        <v>53818</v>
      </c>
      <c r="H734" s="679">
        <v>10.26</v>
      </c>
      <c r="I734" s="679">
        <v>10.26</v>
      </c>
    </row>
    <row r="735" spans="2:9" ht="30">
      <c r="B735" s="395">
        <v>53827</v>
      </c>
      <c r="C735" s="406" t="s">
        <v>269</v>
      </c>
      <c r="D735" s="395" t="s">
        <v>36</v>
      </c>
      <c r="E735" s="407">
        <f t="shared" si="22"/>
        <v>122.17</v>
      </c>
      <c r="F735">
        <f t="shared" si="23"/>
        <v>53827</v>
      </c>
      <c r="H735" s="680">
        <v>122.17</v>
      </c>
      <c r="I735" s="680">
        <v>122.17</v>
      </c>
    </row>
    <row r="736" spans="2:9" ht="30">
      <c r="B736" s="396">
        <v>53829</v>
      </c>
      <c r="C736" s="401" t="s">
        <v>971</v>
      </c>
      <c r="D736" s="396" t="s">
        <v>36</v>
      </c>
      <c r="E736" s="405">
        <f t="shared" si="22"/>
        <v>124.8</v>
      </c>
      <c r="F736">
        <f t="shared" si="23"/>
        <v>53829</v>
      </c>
      <c r="H736" s="679">
        <v>124.8</v>
      </c>
      <c r="I736" s="679">
        <v>124.8</v>
      </c>
    </row>
    <row r="737" spans="2:9" ht="30">
      <c r="B737" s="395">
        <v>53831</v>
      </c>
      <c r="C737" s="406" t="s">
        <v>972</v>
      </c>
      <c r="D737" s="395" t="s">
        <v>36</v>
      </c>
      <c r="E737" s="407">
        <f t="shared" si="22"/>
        <v>206.14</v>
      </c>
      <c r="F737">
        <f t="shared" si="23"/>
        <v>53831</v>
      </c>
      <c r="H737" s="680">
        <v>206.14</v>
      </c>
      <c r="I737" s="680">
        <v>206.14</v>
      </c>
    </row>
    <row r="738" spans="2:9">
      <c r="B738" s="396">
        <v>53840</v>
      </c>
      <c r="C738" s="401" t="s">
        <v>973</v>
      </c>
      <c r="D738" s="396" t="s">
        <v>36</v>
      </c>
      <c r="E738" s="405">
        <f t="shared" si="22"/>
        <v>3.22</v>
      </c>
      <c r="F738">
        <f t="shared" si="23"/>
        <v>53840</v>
      </c>
      <c r="H738" s="679">
        <v>3.22</v>
      </c>
      <c r="I738" s="679">
        <v>3.22</v>
      </c>
    </row>
    <row r="739" spans="2:9">
      <c r="B739" s="395">
        <v>53841</v>
      </c>
      <c r="C739" s="406" t="s">
        <v>974</v>
      </c>
      <c r="D739" s="395" t="s">
        <v>36</v>
      </c>
      <c r="E739" s="407">
        <f t="shared" si="22"/>
        <v>2.23</v>
      </c>
      <c r="F739">
        <f t="shared" si="23"/>
        <v>53841</v>
      </c>
      <c r="H739" s="680">
        <v>2.23</v>
      </c>
      <c r="I739" s="680">
        <v>2.23</v>
      </c>
    </row>
    <row r="740" spans="2:9" ht="30">
      <c r="B740" s="396">
        <v>53849</v>
      </c>
      <c r="C740" s="401" t="s">
        <v>975</v>
      </c>
      <c r="D740" s="396" t="s">
        <v>36</v>
      </c>
      <c r="E740" s="405">
        <f t="shared" si="22"/>
        <v>89.67</v>
      </c>
      <c r="F740">
        <f t="shared" si="23"/>
        <v>53849</v>
      </c>
      <c r="H740" s="679">
        <v>89.67</v>
      </c>
      <c r="I740" s="679">
        <v>89.67</v>
      </c>
    </row>
    <row r="741" spans="2:9" ht="30">
      <c r="B741" s="395">
        <v>53857</v>
      </c>
      <c r="C741" s="406" t="s">
        <v>976</v>
      </c>
      <c r="D741" s="395" t="s">
        <v>36</v>
      </c>
      <c r="E741" s="407">
        <f t="shared" si="22"/>
        <v>68</v>
      </c>
      <c r="F741">
        <f t="shared" si="23"/>
        <v>53857</v>
      </c>
      <c r="H741" s="680">
        <v>68</v>
      </c>
      <c r="I741" s="680">
        <v>68</v>
      </c>
    </row>
    <row r="742" spans="2:9" ht="30">
      <c r="B742" s="396">
        <v>53858</v>
      </c>
      <c r="C742" s="401" t="s">
        <v>977</v>
      </c>
      <c r="D742" s="396" t="s">
        <v>36</v>
      </c>
      <c r="E742" s="405">
        <f t="shared" si="22"/>
        <v>48.97</v>
      </c>
      <c r="F742">
        <f t="shared" si="23"/>
        <v>53858</v>
      </c>
      <c r="H742" s="679">
        <v>48.97</v>
      </c>
      <c r="I742" s="679">
        <v>48.97</v>
      </c>
    </row>
    <row r="743" spans="2:9" ht="30">
      <c r="B743" s="395">
        <v>53861</v>
      </c>
      <c r="C743" s="406" t="s">
        <v>978</v>
      </c>
      <c r="D743" s="395" t="s">
        <v>36</v>
      </c>
      <c r="E743" s="407">
        <f t="shared" si="22"/>
        <v>66</v>
      </c>
      <c r="F743">
        <f t="shared" si="23"/>
        <v>53861</v>
      </c>
      <c r="H743" s="680">
        <v>66</v>
      </c>
      <c r="I743" s="680">
        <v>66</v>
      </c>
    </row>
    <row r="744" spans="2:9">
      <c r="B744" s="396">
        <v>53863</v>
      </c>
      <c r="C744" s="401" t="s">
        <v>979</v>
      </c>
      <c r="D744" s="396" t="s">
        <v>36</v>
      </c>
      <c r="E744" s="405">
        <f t="shared" si="22"/>
        <v>2.23</v>
      </c>
      <c r="F744">
        <f t="shared" si="23"/>
        <v>53863</v>
      </c>
      <c r="H744" s="679">
        <v>2.23</v>
      </c>
      <c r="I744" s="679">
        <v>2.23</v>
      </c>
    </row>
    <row r="745" spans="2:9" ht="30">
      <c r="B745" s="395">
        <v>53865</v>
      </c>
      <c r="C745" s="406" t="s">
        <v>980</v>
      </c>
      <c r="D745" s="395" t="s">
        <v>36</v>
      </c>
      <c r="E745" s="407">
        <f t="shared" si="22"/>
        <v>50.51</v>
      </c>
      <c r="F745">
        <f t="shared" si="23"/>
        <v>53865</v>
      </c>
      <c r="H745" s="680">
        <v>50.51</v>
      </c>
      <c r="I745" s="680">
        <v>50.51</v>
      </c>
    </row>
    <row r="746" spans="2:9" ht="30">
      <c r="B746" s="396">
        <v>53866</v>
      </c>
      <c r="C746" s="401" t="s">
        <v>981</v>
      </c>
      <c r="D746" s="396" t="s">
        <v>36</v>
      </c>
      <c r="E746" s="405">
        <f t="shared" si="22"/>
        <v>2.0099999999999998</v>
      </c>
      <c r="F746">
        <f t="shared" si="23"/>
        <v>53866</v>
      </c>
      <c r="H746" s="679">
        <v>2.0099999999999998</v>
      </c>
      <c r="I746" s="679">
        <v>2.0099999999999998</v>
      </c>
    </row>
    <row r="747" spans="2:9" ht="30">
      <c r="B747" s="395">
        <v>53882</v>
      </c>
      <c r="C747" s="406" t="s">
        <v>982</v>
      </c>
      <c r="D747" s="395" t="s">
        <v>36</v>
      </c>
      <c r="E747" s="407">
        <f t="shared" si="22"/>
        <v>35.33</v>
      </c>
      <c r="F747">
        <f t="shared" si="23"/>
        <v>53882</v>
      </c>
      <c r="H747" s="680">
        <v>35.33</v>
      </c>
      <c r="I747" s="680">
        <v>35.33</v>
      </c>
    </row>
    <row r="748" spans="2:9" ht="30">
      <c r="B748" s="396">
        <v>55263</v>
      </c>
      <c r="C748" s="401" t="s">
        <v>983</v>
      </c>
      <c r="D748" s="396" t="s">
        <v>36</v>
      </c>
      <c r="E748" s="405">
        <f t="shared" si="22"/>
        <v>69.03</v>
      </c>
      <c r="F748">
        <f t="shared" si="23"/>
        <v>55263</v>
      </c>
      <c r="H748" s="679">
        <v>69.03</v>
      </c>
      <c r="I748" s="679">
        <v>69.03</v>
      </c>
    </row>
    <row r="749" spans="2:9">
      <c r="B749" s="395">
        <v>73303</v>
      </c>
      <c r="C749" s="406" t="s">
        <v>984</v>
      </c>
      <c r="D749" s="395" t="s">
        <v>36</v>
      </c>
      <c r="E749" s="407">
        <f t="shared" si="22"/>
        <v>6.96</v>
      </c>
      <c r="F749">
        <f t="shared" si="23"/>
        <v>73303</v>
      </c>
      <c r="H749" s="680">
        <v>6.96</v>
      </c>
      <c r="I749" s="680">
        <v>6.96</v>
      </c>
    </row>
    <row r="750" spans="2:9">
      <c r="B750" s="396">
        <v>73307</v>
      </c>
      <c r="C750" s="401" t="s">
        <v>985</v>
      </c>
      <c r="D750" s="396" t="s">
        <v>36</v>
      </c>
      <c r="E750" s="405">
        <f t="shared" si="22"/>
        <v>6.21</v>
      </c>
      <c r="F750">
        <f t="shared" si="23"/>
        <v>73307</v>
      </c>
      <c r="H750" s="679">
        <v>6.21</v>
      </c>
      <c r="I750" s="679">
        <v>6.21</v>
      </c>
    </row>
    <row r="751" spans="2:9" ht="30">
      <c r="B751" s="395">
        <v>73309</v>
      </c>
      <c r="C751" s="406" t="s">
        <v>270</v>
      </c>
      <c r="D751" s="395" t="s">
        <v>36</v>
      </c>
      <c r="E751" s="407">
        <f t="shared" si="22"/>
        <v>35.36</v>
      </c>
      <c r="F751">
        <f t="shared" si="23"/>
        <v>73309</v>
      </c>
      <c r="H751" s="680">
        <v>35.36</v>
      </c>
      <c r="I751" s="680">
        <v>35.36</v>
      </c>
    </row>
    <row r="752" spans="2:9">
      <c r="B752" s="396">
        <v>73311</v>
      </c>
      <c r="C752" s="401" t="s">
        <v>271</v>
      </c>
      <c r="D752" s="396" t="s">
        <v>36</v>
      </c>
      <c r="E752" s="405">
        <f t="shared" si="22"/>
        <v>190.82</v>
      </c>
      <c r="F752">
        <f t="shared" si="23"/>
        <v>73311</v>
      </c>
      <c r="H752" s="679">
        <v>190.82</v>
      </c>
      <c r="I752" s="679">
        <v>190.82</v>
      </c>
    </row>
    <row r="753" spans="2:9" ht="30">
      <c r="B753" s="395">
        <v>73313</v>
      </c>
      <c r="C753" s="406" t="s">
        <v>272</v>
      </c>
      <c r="D753" s="395" t="s">
        <v>36</v>
      </c>
      <c r="E753" s="407">
        <f t="shared" si="22"/>
        <v>4.91</v>
      </c>
      <c r="F753">
        <f t="shared" si="23"/>
        <v>73313</v>
      </c>
      <c r="H753" s="680">
        <v>4.91</v>
      </c>
      <c r="I753" s="680">
        <v>4.91</v>
      </c>
    </row>
    <row r="754" spans="2:9" ht="30">
      <c r="B754" s="396">
        <v>73315</v>
      </c>
      <c r="C754" s="401" t="s">
        <v>273</v>
      </c>
      <c r="D754" s="396" t="s">
        <v>36</v>
      </c>
      <c r="E754" s="405">
        <f t="shared" si="22"/>
        <v>61.21</v>
      </c>
      <c r="F754">
        <f t="shared" si="23"/>
        <v>73315</v>
      </c>
      <c r="H754" s="679">
        <v>61.21</v>
      </c>
      <c r="I754" s="679">
        <v>61.21</v>
      </c>
    </row>
    <row r="755" spans="2:9" ht="30">
      <c r="B755" s="395">
        <v>73335</v>
      </c>
      <c r="C755" s="406" t="s">
        <v>986</v>
      </c>
      <c r="D755" s="395" t="s">
        <v>36</v>
      </c>
      <c r="E755" s="407">
        <f t="shared" si="22"/>
        <v>33.44</v>
      </c>
      <c r="F755">
        <f t="shared" si="23"/>
        <v>73335</v>
      </c>
      <c r="H755" s="680">
        <v>33.44</v>
      </c>
      <c r="I755" s="680">
        <v>33.44</v>
      </c>
    </row>
    <row r="756" spans="2:9" ht="45">
      <c r="B756" s="396">
        <v>73340</v>
      </c>
      <c r="C756" s="401" t="s">
        <v>987</v>
      </c>
      <c r="D756" s="396" t="s">
        <v>36</v>
      </c>
      <c r="E756" s="405">
        <f t="shared" si="22"/>
        <v>165.82</v>
      </c>
      <c r="F756">
        <f t="shared" si="23"/>
        <v>73340</v>
      </c>
      <c r="H756" s="679">
        <v>165.82</v>
      </c>
      <c r="I756" s="679">
        <v>165.82</v>
      </c>
    </row>
    <row r="757" spans="2:9" ht="30">
      <c r="B757" s="395">
        <v>83361</v>
      </c>
      <c r="C757" s="406" t="s">
        <v>988</v>
      </c>
      <c r="D757" s="395" t="s">
        <v>36</v>
      </c>
      <c r="E757" s="407">
        <f t="shared" si="22"/>
        <v>40.53</v>
      </c>
      <c r="F757">
        <f t="shared" si="23"/>
        <v>83361</v>
      </c>
      <c r="H757" s="680">
        <v>40.53</v>
      </c>
      <c r="I757" s="680">
        <v>40.53</v>
      </c>
    </row>
    <row r="758" spans="2:9" ht="30">
      <c r="B758" s="396">
        <v>83761</v>
      </c>
      <c r="C758" s="401" t="s">
        <v>989</v>
      </c>
      <c r="D758" s="396" t="s">
        <v>36</v>
      </c>
      <c r="E758" s="405">
        <f t="shared" si="22"/>
        <v>9.2799999999999994</v>
      </c>
      <c r="F758">
        <f t="shared" si="23"/>
        <v>83761</v>
      </c>
      <c r="H758" s="679">
        <v>9.2799999999999994</v>
      </c>
      <c r="I758" s="679">
        <v>9.2799999999999994</v>
      </c>
    </row>
    <row r="759" spans="2:9" ht="30">
      <c r="B759" s="395">
        <v>83762</v>
      </c>
      <c r="C759" s="406" t="s">
        <v>990</v>
      </c>
      <c r="D759" s="395" t="s">
        <v>36</v>
      </c>
      <c r="E759" s="407">
        <f t="shared" si="22"/>
        <v>8.2799999999999994</v>
      </c>
      <c r="F759">
        <f t="shared" si="23"/>
        <v>83762</v>
      </c>
      <c r="H759" s="680">
        <v>8.2799999999999994</v>
      </c>
      <c r="I759" s="680">
        <v>8.2799999999999994</v>
      </c>
    </row>
    <row r="760" spans="2:9" ht="30">
      <c r="B760" s="396">
        <v>83763</v>
      </c>
      <c r="C760" s="401" t="s">
        <v>991</v>
      </c>
      <c r="D760" s="396" t="s">
        <v>36</v>
      </c>
      <c r="E760" s="405">
        <f t="shared" si="22"/>
        <v>53.77</v>
      </c>
      <c r="F760">
        <f t="shared" si="23"/>
        <v>83763</v>
      </c>
      <c r="H760" s="679">
        <v>53.77</v>
      </c>
      <c r="I760" s="679">
        <v>53.77</v>
      </c>
    </row>
    <row r="761" spans="2:9" ht="30">
      <c r="B761" s="395">
        <v>83764</v>
      </c>
      <c r="C761" s="406" t="s">
        <v>992</v>
      </c>
      <c r="D761" s="395" t="s">
        <v>36</v>
      </c>
      <c r="E761" s="407">
        <f t="shared" si="22"/>
        <v>1.67</v>
      </c>
      <c r="F761">
        <f t="shared" si="23"/>
        <v>83764</v>
      </c>
      <c r="H761" s="680">
        <v>1.67</v>
      </c>
      <c r="I761" s="680">
        <v>1.67</v>
      </c>
    </row>
    <row r="762" spans="2:9">
      <c r="B762" s="396">
        <v>87026</v>
      </c>
      <c r="C762" s="401" t="s">
        <v>993</v>
      </c>
      <c r="D762" s="396" t="s">
        <v>36</v>
      </c>
      <c r="E762" s="405">
        <f t="shared" si="22"/>
        <v>0.45</v>
      </c>
      <c r="F762">
        <f t="shared" si="23"/>
        <v>87026</v>
      </c>
      <c r="H762" s="679">
        <v>0.45</v>
      </c>
      <c r="I762" s="679">
        <v>0.45</v>
      </c>
    </row>
    <row r="763" spans="2:9" ht="30">
      <c r="B763" s="395">
        <v>87441</v>
      </c>
      <c r="C763" s="406" t="s">
        <v>6361</v>
      </c>
      <c r="D763" s="395" t="s">
        <v>36</v>
      </c>
      <c r="E763" s="407">
        <f t="shared" si="22"/>
        <v>0.49</v>
      </c>
      <c r="F763">
        <f t="shared" si="23"/>
        <v>87441</v>
      </c>
      <c r="H763" s="680">
        <v>0.49</v>
      </c>
      <c r="I763" s="680">
        <v>0.49</v>
      </c>
    </row>
    <row r="764" spans="2:9" ht="30">
      <c r="B764" s="396">
        <v>87442</v>
      </c>
      <c r="C764" s="401" t="s">
        <v>6362</v>
      </c>
      <c r="D764" s="396" t="s">
        <v>36</v>
      </c>
      <c r="E764" s="405">
        <f t="shared" si="22"/>
        <v>0.05</v>
      </c>
      <c r="F764">
        <f t="shared" si="23"/>
        <v>87442</v>
      </c>
      <c r="H764" s="679">
        <v>0.05</v>
      </c>
      <c r="I764" s="679">
        <v>0.05</v>
      </c>
    </row>
    <row r="765" spans="2:9" ht="30">
      <c r="B765" s="395">
        <v>87443</v>
      </c>
      <c r="C765" s="406" t="s">
        <v>6363</v>
      </c>
      <c r="D765" s="395" t="s">
        <v>36</v>
      </c>
      <c r="E765" s="407">
        <f t="shared" si="22"/>
        <v>0.62</v>
      </c>
      <c r="F765">
        <f t="shared" si="23"/>
        <v>87443</v>
      </c>
      <c r="H765" s="680">
        <v>0.62</v>
      </c>
      <c r="I765" s="680">
        <v>0.62</v>
      </c>
    </row>
    <row r="766" spans="2:9" ht="30">
      <c r="B766" s="396">
        <v>87444</v>
      </c>
      <c r="C766" s="401" t="s">
        <v>6364</v>
      </c>
      <c r="D766" s="396" t="s">
        <v>36</v>
      </c>
      <c r="E766" s="405">
        <f t="shared" si="22"/>
        <v>4.4800000000000004</v>
      </c>
      <c r="F766">
        <f t="shared" si="23"/>
        <v>87444</v>
      </c>
      <c r="H766" s="679">
        <v>4.4800000000000004</v>
      </c>
      <c r="I766" s="679">
        <v>4.4800000000000004</v>
      </c>
    </row>
    <row r="767" spans="2:9" ht="30">
      <c r="B767" s="395">
        <v>88387</v>
      </c>
      <c r="C767" s="406" t="s">
        <v>994</v>
      </c>
      <c r="D767" s="395" t="s">
        <v>36</v>
      </c>
      <c r="E767" s="407">
        <f t="shared" si="22"/>
        <v>0.96</v>
      </c>
      <c r="F767">
        <f t="shared" si="23"/>
        <v>88387</v>
      </c>
      <c r="H767" s="680">
        <v>0.96</v>
      </c>
      <c r="I767" s="680">
        <v>0.96</v>
      </c>
    </row>
    <row r="768" spans="2:9" ht="30">
      <c r="B768" s="396">
        <v>88389</v>
      </c>
      <c r="C768" s="401" t="s">
        <v>995</v>
      </c>
      <c r="D768" s="396" t="s">
        <v>36</v>
      </c>
      <c r="E768" s="405">
        <f t="shared" si="22"/>
        <v>0.11</v>
      </c>
      <c r="F768">
        <f t="shared" si="23"/>
        <v>88389</v>
      </c>
      <c r="H768" s="679">
        <v>0.11</v>
      </c>
      <c r="I768" s="679">
        <v>0.11</v>
      </c>
    </row>
    <row r="769" spans="2:9" ht="30">
      <c r="B769" s="395">
        <v>88390</v>
      </c>
      <c r="C769" s="406" t="s">
        <v>996</v>
      </c>
      <c r="D769" s="395" t="s">
        <v>36</v>
      </c>
      <c r="E769" s="407">
        <f t="shared" si="22"/>
        <v>1.05</v>
      </c>
      <c r="F769">
        <f t="shared" si="23"/>
        <v>88390</v>
      </c>
      <c r="H769" s="680">
        <v>1.05</v>
      </c>
      <c r="I769" s="680">
        <v>1.05</v>
      </c>
    </row>
    <row r="770" spans="2:9" ht="30">
      <c r="B770" s="396">
        <v>88391</v>
      </c>
      <c r="C770" s="401" t="s">
        <v>997</v>
      </c>
      <c r="D770" s="396" t="s">
        <v>36</v>
      </c>
      <c r="E770" s="405">
        <f t="shared" si="22"/>
        <v>3.28</v>
      </c>
      <c r="F770">
        <f t="shared" si="23"/>
        <v>88391</v>
      </c>
      <c r="H770" s="679">
        <v>3.28</v>
      </c>
      <c r="I770" s="679">
        <v>3.28</v>
      </c>
    </row>
    <row r="771" spans="2:9" ht="30">
      <c r="B771" s="395">
        <v>88394</v>
      </c>
      <c r="C771" s="406" t="s">
        <v>998</v>
      </c>
      <c r="D771" s="395" t="s">
        <v>36</v>
      </c>
      <c r="E771" s="407">
        <f t="shared" ref="E771:E834" si="24">IF($K$2=$H$1,H771,I771)</f>
        <v>1.1499999999999999</v>
      </c>
      <c r="F771">
        <f t="shared" ref="F771:F834" si="25">IF(LEN($B771)=7,CONCATENATE(MID($B771,1,6),"00",RIGHT($B771,1)),IF(LEN($B771)=8,CONCATENATE(MID($B771,1,6),"0",RIGHT($B771,2)),$B771))</f>
        <v>88394</v>
      </c>
      <c r="H771" s="680">
        <v>1.1499999999999999</v>
      </c>
      <c r="I771" s="680">
        <v>1.1499999999999999</v>
      </c>
    </row>
    <row r="772" spans="2:9" ht="30">
      <c r="B772" s="396">
        <v>88395</v>
      </c>
      <c r="C772" s="401" t="s">
        <v>999</v>
      </c>
      <c r="D772" s="396" t="s">
        <v>36</v>
      </c>
      <c r="E772" s="405">
        <f t="shared" si="24"/>
        <v>0.13</v>
      </c>
      <c r="F772">
        <f t="shared" si="25"/>
        <v>88395</v>
      </c>
      <c r="H772" s="679">
        <v>0.13</v>
      </c>
      <c r="I772" s="679">
        <v>0.13</v>
      </c>
    </row>
    <row r="773" spans="2:9" ht="30">
      <c r="B773" s="395">
        <v>88396</v>
      </c>
      <c r="C773" s="406" t="s">
        <v>1000</v>
      </c>
      <c r="D773" s="395" t="s">
        <v>36</v>
      </c>
      <c r="E773" s="407">
        <f t="shared" si="24"/>
        <v>1.26</v>
      </c>
      <c r="F773">
        <f t="shared" si="25"/>
        <v>88396</v>
      </c>
      <c r="H773" s="680">
        <v>1.26</v>
      </c>
      <c r="I773" s="680">
        <v>1.26</v>
      </c>
    </row>
    <row r="774" spans="2:9" ht="30">
      <c r="B774" s="396">
        <v>88397</v>
      </c>
      <c r="C774" s="401" t="s">
        <v>1001</v>
      </c>
      <c r="D774" s="396" t="s">
        <v>36</v>
      </c>
      <c r="E774" s="405">
        <f t="shared" si="24"/>
        <v>4.92</v>
      </c>
      <c r="F774">
        <f t="shared" si="25"/>
        <v>88397</v>
      </c>
      <c r="H774" s="679">
        <v>4.92</v>
      </c>
      <c r="I774" s="679">
        <v>4.92</v>
      </c>
    </row>
    <row r="775" spans="2:9" ht="30">
      <c r="B775" s="395">
        <v>88400</v>
      </c>
      <c r="C775" s="406" t="s">
        <v>1002</v>
      </c>
      <c r="D775" s="395" t="s">
        <v>36</v>
      </c>
      <c r="E775" s="407">
        <f t="shared" si="24"/>
        <v>0.91</v>
      </c>
      <c r="F775">
        <f t="shared" si="25"/>
        <v>88400</v>
      </c>
      <c r="H775" s="680">
        <v>0.91</v>
      </c>
      <c r="I775" s="680">
        <v>0.91</v>
      </c>
    </row>
    <row r="776" spans="2:9" ht="30">
      <c r="B776" s="396">
        <v>88401</v>
      </c>
      <c r="C776" s="401" t="s">
        <v>1003</v>
      </c>
      <c r="D776" s="396" t="s">
        <v>36</v>
      </c>
      <c r="E776" s="405">
        <f t="shared" si="24"/>
        <v>0.1</v>
      </c>
      <c r="F776">
        <f t="shared" si="25"/>
        <v>88401</v>
      </c>
      <c r="H776" s="679">
        <v>0.1</v>
      </c>
      <c r="I776" s="679">
        <v>0.1</v>
      </c>
    </row>
    <row r="777" spans="2:9" ht="30">
      <c r="B777" s="395">
        <v>88402</v>
      </c>
      <c r="C777" s="406" t="s">
        <v>1004</v>
      </c>
      <c r="D777" s="395" t="s">
        <v>36</v>
      </c>
      <c r="E777" s="407">
        <f t="shared" si="24"/>
        <v>1</v>
      </c>
      <c r="F777">
        <f t="shared" si="25"/>
        <v>88402</v>
      </c>
      <c r="H777" s="680">
        <v>1</v>
      </c>
      <c r="I777" s="680">
        <v>1</v>
      </c>
    </row>
    <row r="778" spans="2:9" ht="30">
      <c r="B778" s="396">
        <v>88403</v>
      </c>
      <c r="C778" s="401" t="s">
        <v>1005</v>
      </c>
      <c r="D778" s="396" t="s">
        <v>36</v>
      </c>
      <c r="E778" s="405">
        <f t="shared" si="24"/>
        <v>1.97</v>
      </c>
      <c r="F778">
        <f t="shared" si="25"/>
        <v>88403</v>
      </c>
      <c r="H778" s="679">
        <v>1.97</v>
      </c>
      <c r="I778" s="679">
        <v>1.97</v>
      </c>
    </row>
    <row r="779" spans="2:9" ht="30">
      <c r="B779" s="395">
        <v>88419</v>
      </c>
      <c r="C779" s="406" t="s">
        <v>274</v>
      </c>
      <c r="D779" s="395" t="s">
        <v>36</v>
      </c>
      <c r="E779" s="407">
        <f t="shared" si="24"/>
        <v>5.96</v>
      </c>
      <c r="F779">
        <f t="shared" si="25"/>
        <v>88419</v>
      </c>
      <c r="H779" s="680">
        <v>5.96</v>
      </c>
      <c r="I779" s="680">
        <v>5.96</v>
      </c>
    </row>
    <row r="780" spans="2:9" ht="30">
      <c r="B780" s="396">
        <v>88422</v>
      </c>
      <c r="C780" s="401" t="s">
        <v>275</v>
      </c>
      <c r="D780" s="396" t="s">
        <v>36</v>
      </c>
      <c r="E780" s="405">
        <f t="shared" si="24"/>
        <v>0.7</v>
      </c>
      <c r="F780">
        <f t="shared" si="25"/>
        <v>88422</v>
      </c>
      <c r="H780" s="679">
        <v>0.7</v>
      </c>
      <c r="I780" s="679">
        <v>0.7</v>
      </c>
    </row>
    <row r="781" spans="2:9" ht="30">
      <c r="B781" s="395">
        <v>88425</v>
      </c>
      <c r="C781" s="406" t="s">
        <v>276</v>
      </c>
      <c r="D781" s="395" t="s">
        <v>36</v>
      </c>
      <c r="E781" s="407">
        <f t="shared" si="24"/>
        <v>7.45</v>
      </c>
      <c r="F781">
        <f t="shared" si="25"/>
        <v>88425</v>
      </c>
      <c r="H781" s="680">
        <v>7.45</v>
      </c>
      <c r="I781" s="680">
        <v>7.45</v>
      </c>
    </row>
    <row r="782" spans="2:9" ht="30">
      <c r="B782" s="396">
        <v>88427</v>
      </c>
      <c r="C782" s="401" t="s">
        <v>1006</v>
      </c>
      <c r="D782" s="396" t="s">
        <v>36</v>
      </c>
      <c r="E782" s="405">
        <f t="shared" si="24"/>
        <v>1.1100000000000001</v>
      </c>
      <c r="F782">
        <f t="shared" si="25"/>
        <v>88427</v>
      </c>
      <c r="H782" s="679">
        <v>1.1100000000000001</v>
      </c>
      <c r="I782" s="679">
        <v>1.1100000000000001</v>
      </c>
    </row>
    <row r="783" spans="2:9" ht="30">
      <c r="B783" s="395">
        <v>88434</v>
      </c>
      <c r="C783" s="406" t="s">
        <v>1007</v>
      </c>
      <c r="D783" s="395" t="s">
        <v>36</v>
      </c>
      <c r="E783" s="407">
        <f t="shared" si="24"/>
        <v>7.9</v>
      </c>
      <c r="F783">
        <f t="shared" si="25"/>
        <v>88434</v>
      </c>
      <c r="H783" s="680">
        <v>7.9</v>
      </c>
      <c r="I783" s="680">
        <v>7.9</v>
      </c>
    </row>
    <row r="784" spans="2:9" ht="30">
      <c r="B784" s="396">
        <v>88435</v>
      </c>
      <c r="C784" s="401" t="s">
        <v>1008</v>
      </c>
      <c r="D784" s="396" t="s">
        <v>36</v>
      </c>
      <c r="E784" s="405">
        <f t="shared" si="24"/>
        <v>0.93</v>
      </c>
      <c r="F784">
        <f t="shared" si="25"/>
        <v>88435</v>
      </c>
      <c r="H784" s="679">
        <v>0.93</v>
      </c>
      <c r="I784" s="679">
        <v>0.93</v>
      </c>
    </row>
    <row r="785" spans="2:9" ht="30">
      <c r="B785" s="395">
        <v>88436</v>
      </c>
      <c r="C785" s="406" t="s">
        <v>1009</v>
      </c>
      <c r="D785" s="395" t="s">
        <v>36</v>
      </c>
      <c r="E785" s="407">
        <f t="shared" si="24"/>
        <v>9.8699999999999992</v>
      </c>
      <c r="F785">
        <f t="shared" si="25"/>
        <v>88436</v>
      </c>
      <c r="H785" s="680">
        <v>9.8699999999999992</v>
      </c>
      <c r="I785" s="680">
        <v>9.8699999999999992</v>
      </c>
    </row>
    <row r="786" spans="2:9" ht="30">
      <c r="B786" s="396">
        <v>88437</v>
      </c>
      <c r="C786" s="401" t="s">
        <v>1010</v>
      </c>
      <c r="D786" s="396" t="s">
        <v>36</v>
      </c>
      <c r="E786" s="405">
        <f t="shared" si="24"/>
        <v>1.1100000000000001</v>
      </c>
      <c r="F786">
        <f t="shared" si="25"/>
        <v>88437</v>
      </c>
      <c r="H786" s="679">
        <v>1.1100000000000001</v>
      </c>
      <c r="I786" s="679">
        <v>1.1100000000000001</v>
      </c>
    </row>
    <row r="787" spans="2:9" ht="30">
      <c r="B787" s="395">
        <v>88569</v>
      </c>
      <c r="C787" s="406" t="s">
        <v>277</v>
      </c>
      <c r="D787" s="395" t="s">
        <v>36</v>
      </c>
      <c r="E787" s="407">
        <f t="shared" si="24"/>
        <v>3.63</v>
      </c>
      <c r="F787">
        <f t="shared" si="25"/>
        <v>88569</v>
      </c>
      <c r="H787" s="680">
        <v>3.63</v>
      </c>
      <c r="I787" s="680">
        <v>3.63</v>
      </c>
    </row>
    <row r="788" spans="2:9" ht="30">
      <c r="B788" s="396">
        <v>88570</v>
      </c>
      <c r="C788" s="401" t="s">
        <v>278</v>
      </c>
      <c r="D788" s="396" t="s">
        <v>36</v>
      </c>
      <c r="E788" s="405">
        <f t="shared" si="24"/>
        <v>0.6</v>
      </c>
      <c r="F788">
        <f t="shared" si="25"/>
        <v>88570</v>
      </c>
      <c r="H788" s="679">
        <v>0.6</v>
      </c>
      <c r="I788" s="679">
        <v>0.6</v>
      </c>
    </row>
    <row r="789" spans="2:9" ht="30">
      <c r="B789" s="395">
        <v>88826</v>
      </c>
      <c r="C789" s="406" t="s">
        <v>2041</v>
      </c>
      <c r="D789" s="395" t="s">
        <v>36</v>
      </c>
      <c r="E789" s="407">
        <f t="shared" si="24"/>
        <v>0.36</v>
      </c>
      <c r="F789">
        <f t="shared" si="25"/>
        <v>88826</v>
      </c>
      <c r="H789" s="680">
        <v>0.36</v>
      </c>
      <c r="I789" s="680">
        <v>0.36</v>
      </c>
    </row>
    <row r="790" spans="2:9" ht="30">
      <c r="B790" s="396">
        <v>88827</v>
      </c>
      <c r="C790" s="401" t="s">
        <v>2042</v>
      </c>
      <c r="D790" s="396" t="s">
        <v>36</v>
      </c>
      <c r="E790" s="405">
        <f t="shared" si="24"/>
        <v>0.04</v>
      </c>
      <c r="F790">
        <f t="shared" si="25"/>
        <v>88827</v>
      </c>
      <c r="H790" s="679">
        <v>0.04</v>
      </c>
      <c r="I790" s="679">
        <v>0.04</v>
      </c>
    </row>
    <row r="791" spans="2:9" ht="30">
      <c r="B791" s="395">
        <v>88828</v>
      </c>
      <c r="C791" s="406" t="s">
        <v>2043</v>
      </c>
      <c r="D791" s="395" t="s">
        <v>36</v>
      </c>
      <c r="E791" s="407">
        <f t="shared" si="24"/>
        <v>0.39</v>
      </c>
      <c r="F791">
        <f t="shared" si="25"/>
        <v>88828</v>
      </c>
      <c r="H791" s="680">
        <v>0.39</v>
      </c>
      <c r="I791" s="680">
        <v>0.39</v>
      </c>
    </row>
    <row r="792" spans="2:9" ht="30">
      <c r="B792" s="396">
        <v>88829</v>
      </c>
      <c r="C792" s="401" t="s">
        <v>2044</v>
      </c>
      <c r="D792" s="396" t="s">
        <v>36</v>
      </c>
      <c r="E792" s="405">
        <f t="shared" si="24"/>
        <v>1.31</v>
      </c>
      <c r="F792">
        <f t="shared" si="25"/>
        <v>88829</v>
      </c>
      <c r="H792" s="679">
        <v>1.31</v>
      </c>
      <c r="I792" s="679">
        <v>1.31</v>
      </c>
    </row>
    <row r="793" spans="2:9" ht="30">
      <c r="B793" s="395">
        <v>88832</v>
      </c>
      <c r="C793" s="406" t="s">
        <v>1011</v>
      </c>
      <c r="D793" s="395" t="s">
        <v>36</v>
      </c>
      <c r="E793" s="407">
        <f t="shared" si="24"/>
        <v>45.1</v>
      </c>
      <c r="F793">
        <f t="shared" si="25"/>
        <v>88832</v>
      </c>
      <c r="H793" s="680">
        <v>45.1</v>
      </c>
      <c r="I793" s="680">
        <v>45.1</v>
      </c>
    </row>
    <row r="794" spans="2:9" ht="30">
      <c r="B794" s="396">
        <v>88834</v>
      </c>
      <c r="C794" s="401" t="s">
        <v>1012</v>
      </c>
      <c r="D794" s="396" t="s">
        <v>36</v>
      </c>
      <c r="E794" s="405">
        <f t="shared" si="24"/>
        <v>6.12</v>
      </c>
      <c r="F794">
        <f t="shared" si="25"/>
        <v>88834</v>
      </c>
      <c r="H794" s="679">
        <v>6.12</v>
      </c>
      <c r="I794" s="679">
        <v>6.12</v>
      </c>
    </row>
    <row r="795" spans="2:9" ht="30">
      <c r="B795" s="395">
        <v>88835</v>
      </c>
      <c r="C795" s="406" t="s">
        <v>1013</v>
      </c>
      <c r="D795" s="395" t="s">
        <v>36</v>
      </c>
      <c r="E795" s="407">
        <f t="shared" si="24"/>
        <v>56.38</v>
      </c>
      <c r="F795">
        <f t="shared" si="25"/>
        <v>88835</v>
      </c>
      <c r="H795" s="680">
        <v>56.38</v>
      </c>
      <c r="I795" s="680">
        <v>56.38</v>
      </c>
    </row>
    <row r="796" spans="2:9" ht="30">
      <c r="B796" s="396">
        <v>88836</v>
      </c>
      <c r="C796" s="401" t="s">
        <v>1014</v>
      </c>
      <c r="D796" s="396" t="s">
        <v>36</v>
      </c>
      <c r="E796" s="405">
        <f t="shared" si="24"/>
        <v>68.39</v>
      </c>
      <c r="F796">
        <f t="shared" si="25"/>
        <v>88836</v>
      </c>
      <c r="H796" s="679">
        <v>68.39</v>
      </c>
      <c r="I796" s="679">
        <v>68.39</v>
      </c>
    </row>
    <row r="797" spans="2:9">
      <c r="B797" s="395">
        <v>88839</v>
      </c>
      <c r="C797" s="406" t="s">
        <v>1015</v>
      </c>
      <c r="D797" s="395" t="s">
        <v>36</v>
      </c>
      <c r="E797" s="407">
        <f t="shared" si="24"/>
        <v>32.380000000000003</v>
      </c>
      <c r="F797">
        <f t="shared" si="25"/>
        <v>88839</v>
      </c>
      <c r="H797" s="680">
        <v>32.380000000000003</v>
      </c>
      <c r="I797" s="680">
        <v>32.380000000000003</v>
      </c>
    </row>
    <row r="798" spans="2:9">
      <c r="B798" s="396">
        <v>88840</v>
      </c>
      <c r="C798" s="401" t="s">
        <v>1016</v>
      </c>
      <c r="D798" s="396" t="s">
        <v>36</v>
      </c>
      <c r="E798" s="405">
        <f t="shared" si="24"/>
        <v>7.29</v>
      </c>
      <c r="F798">
        <f t="shared" si="25"/>
        <v>88840</v>
      </c>
      <c r="H798" s="679">
        <v>7.29</v>
      </c>
      <c r="I798" s="679">
        <v>7.29</v>
      </c>
    </row>
    <row r="799" spans="2:9">
      <c r="B799" s="395">
        <v>88841</v>
      </c>
      <c r="C799" s="406" t="s">
        <v>1017</v>
      </c>
      <c r="D799" s="395" t="s">
        <v>36</v>
      </c>
      <c r="E799" s="407">
        <f t="shared" si="24"/>
        <v>57.9</v>
      </c>
      <c r="F799">
        <f t="shared" si="25"/>
        <v>88841</v>
      </c>
      <c r="H799" s="680">
        <v>57.9</v>
      </c>
      <c r="I799" s="680">
        <v>57.9</v>
      </c>
    </row>
    <row r="800" spans="2:9">
      <c r="B800" s="396">
        <v>88842</v>
      </c>
      <c r="C800" s="401" t="s">
        <v>1018</v>
      </c>
      <c r="D800" s="396" t="s">
        <v>36</v>
      </c>
      <c r="E800" s="405">
        <f t="shared" si="24"/>
        <v>83.71</v>
      </c>
      <c r="F800">
        <f t="shared" si="25"/>
        <v>88842</v>
      </c>
      <c r="H800" s="679">
        <v>83.71</v>
      </c>
      <c r="I800" s="679">
        <v>83.71</v>
      </c>
    </row>
    <row r="801" spans="2:9" ht="30">
      <c r="B801" s="395">
        <v>88847</v>
      </c>
      <c r="C801" s="406" t="s">
        <v>1019</v>
      </c>
      <c r="D801" s="395" t="s">
        <v>36</v>
      </c>
      <c r="E801" s="407">
        <f t="shared" si="24"/>
        <v>20.88</v>
      </c>
      <c r="F801">
        <f t="shared" si="25"/>
        <v>88847</v>
      </c>
      <c r="H801" s="680">
        <v>20.88</v>
      </c>
      <c r="I801" s="680">
        <v>20.88</v>
      </c>
    </row>
    <row r="802" spans="2:9" ht="30">
      <c r="B802" s="396">
        <v>88848</v>
      </c>
      <c r="C802" s="401" t="s">
        <v>1020</v>
      </c>
      <c r="D802" s="396" t="s">
        <v>36</v>
      </c>
      <c r="E802" s="405">
        <f t="shared" si="24"/>
        <v>4.38</v>
      </c>
      <c r="F802">
        <f t="shared" si="25"/>
        <v>88848</v>
      </c>
      <c r="H802" s="679">
        <v>4.38</v>
      </c>
      <c r="I802" s="679">
        <v>4.38</v>
      </c>
    </row>
    <row r="803" spans="2:9" ht="30">
      <c r="B803" s="395">
        <v>88853</v>
      </c>
      <c r="C803" s="406" t="s">
        <v>1021</v>
      </c>
      <c r="D803" s="395" t="s">
        <v>36</v>
      </c>
      <c r="E803" s="407">
        <f t="shared" si="24"/>
        <v>0.24</v>
      </c>
      <c r="F803">
        <f t="shared" si="25"/>
        <v>88853</v>
      </c>
      <c r="H803" s="680">
        <v>0.24</v>
      </c>
      <c r="I803" s="680">
        <v>0.24</v>
      </c>
    </row>
    <row r="804" spans="2:9" ht="30">
      <c r="B804" s="396">
        <v>88854</v>
      </c>
      <c r="C804" s="401" t="s">
        <v>1022</v>
      </c>
      <c r="D804" s="396" t="s">
        <v>36</v>
      </c>
      <c r="E804" s="405">
        <f t="shared" si="24"/>
        <v>0.02</v>
      </c>
      <c r="F804">
        <f t="shared" si="25"/>
        <v>88854</v>
      </c>
      <c r="H804" s="679">
        <v>0.02</v>
      </c>
      <c r="I804" s="679">
        <v>0.02</v>
      </c>
    </row>
    <row r="805" spans="2:9" ht="30">
      <c r="B805" s="395">
        <v>88855</v>
      </c>
      <c r="C805" s="406" t="s">
        <v>1023</v>
      </c>
      <c r="D805" s="395" t="s">
        <v>36</v>
      </c>
      <c r="E805" s="407">
        <f t="shared" si="24"/>
        <v>4.0999999999999996</v>
      </c>
      <c r="F805">
        <f t="shared" si="25"/>
        <v>88855</v>
      </c>
      <c r="H805" s="680">
        <v>4.0999999999999996</v>
      </c>
      <c r="I805" s="680">
        <v>4.0999999999999996</v>
      </c>
    </row>
    <row r="806" spans="2:9">
      <c r="B806" s="396">
        <v>88856</v>
      </c>
      <c r="C806" s="401" t="s">
        <v>1024</v>
      </c>
      <c r="D806" s="396" t="s">
        <v>36</v>
      </c>
      <c r="E806" s="405">
        <f t="shared" si="24"/>
        <v>0.56999999999999995</v>
      </c>
      <c r="F806">
        <f t="shared" si="25"/>
        <v>88856</v>
      </c>
      <c r="H806" s="679">
        <v>0.56999999999999995</v>
      </c>
      <c r="I806" s="679">
        <v>0.56999999999999995</v>
      </c>
    </row>
    <row r="807" spans="2:9" ht="45">
      <c r="B807" s="395">
        <v>88857</v>
      </c>
      <c r="C807" s="406" t="s">
        <v>1025</v>
      </c>
      <c r="D807" s="395" t="s">
        <v>36</v>
      </c>
      <c r="E807" s="407">
        <f t="shared" si="24"/>
        <v>26.99</v>
      </c>
      <c r="F807">
        <f t="shared" si="25"/>
        <v>88857</v>
      </c>
      <c r="H807" s="680">
        <v>26.99</v>
      </c>
      <c r="I807" s="680">
        <v>26.99</v>
      </c>
    </row>
    <row r="808" spans="2:9" ht="30">
      <c r="B808" s="396">
        <v>88858</v>
      </c>
      <c r="C808" s="401" t="s">
        <v>1026</v>
      </c>
      <c r="D808" s="396" t="s">
        <v>36</v>
      </c>
      <c r="E808" s="405">
        <f t="shared" si="24"/>
        <v>3.66</v>
      </c>
      <c r="F808">
        <f t="shared" si="25"/>
        <v>88858</v>
      </c>
      <c r="H808" s="679">
        <v>3.66</v>
      </c>
      <c r="I808" s="679">
        <v>3.66</v>
      </c>
    </row>
    <row r="809" spans="2:9" ht="45">
      <c r="B809" s="395">
        <v>88859</v>
      </c>
      <c r="C809" s="406" t="s">
        <v>1027</v>
      </c>
      <c r="D809" s="395" t="s">
        <v>36</v>
      </c>
      <c r="E809" s="407">
        <f t="shared" si="24"/>
        <v>24</v>
      </c>
      <c r="F809">
        <f t="shared" si="25"/>
        <v>88859</v>
      </c>
      <c r="H809" s="680">
        <v>24</v>
      </c>
      <c r="I809" s="680">
        <v>24</v>
      </c>
    </row>
    <row r="810" spans="2:9" ht="30">
      <c r="B810" s="396">
        <v>88860</v>
      </c>
      <c r="C810" s="401" t="s">
        <v>1028</v>
      </c>
      <c r="D810" s="396" t="s">
        <v>36</v>
      </c>
      <c r="E810" s="405">
        <f t="shared" si="24"/>
        <v>3.25</v>
      </c>
      <c r="F810">
        <f t="shared" si="25"/>
        <v>88860</v>
      </c>
      <c r="H810" s="679">
        <v>3.25</v>
      </c>
      <c r="I810" s="679">
        <v>3.25</v>
      </c>
    </row>
    <row r="811" spans="2:9" ht="30">
      <c r="B811" s="395">
        <v>88900</v>
      </c>
      <c r="C811" s="406" t="s">
        <v>1029</v>
      </c>
      <c r="D811" s="395" t="s">
        <v>36</v>
      </c>
      <c r="E811" s="407">
        <f t="shared" si="24"/>
        <v>52.59</v>
      </c>
      <c r="F811">
        <f t="shared" si="25"/>
        <v>88900</v>
      </c>
      <c r="H811" s="680">
        <v>52.59</v>
      </c>
      <c r="I811" s="680">
        <v>52.59</v>
      </c>
    </row>
    <row r="812" spans="2:9" ht="30">
      <c r="B812" s="396">
        <v>88902</v>
      </c>
      <c r="C812" s="401" t="s">
        <v>1030</v>
      </c>
      <c r="D812" s="396" t="s">
        <v>36</v>
      </c>
      <c r="E812" s="405">
        <f t="shared" si="24"/>
        <v>7.13</v>
      </c>
      <c r="F812">
        <f t="shared" si="25"/>
        <v>88902</v>
      </c>
      <c r="H812" s="679">
        <v>7.13</v>
      </c>
      <c r="I812" s="679">
        <v>7.13</v>
      </c>
    </row>
    <row r="813" spans="2:9" ht="30">
      <c r="B813" s="395">
        <v>88903</v>
      </c>
      <c r="C813" s="406" t="s">
        <v>1031</v>
      </c>
      <c r="D813" s="395" t="s">
        <v>36</v>
      </c>
      <c r="E813" s="407">
        <f t="shared" si="24"/>
        <v>65.739999999999995</v>
      </c>
      <c r="F813">
        <f t="shared" si="25"/>
        <v>88903</v>
      </c>
      <c r="H813" s="680">
        <v>65.739999999999995</v>
      </c>
      <c r="I813" s="680">
        <v>65.739999999999995</v>
      </c>
    </row>
    <row r="814" spans="2:9" ht="30">
      <c r="B814" s="396">
        <v>88904</v>
      </c>
      <c r="C814" s="401" t="s">
        <v>1032</v>
      </c>
      <c r="D814" s="396" t="s">
        <v>36</v>
      </c>
      <c r="E814" s="405">
        <f t="shared" si="24"/>
        <v>96.34</v>
      </c>
      <c r="F814">
        <f t="shared" si="25"/>
        <v>88904</v>
      </c>
      <c r="H814" s="679">
        <v>96.34</v>
      </c>
      <c r="I814" s="679">
        <v>96.34</v>
      </c>
    </row>
    <row r="815" spans="2:9" ht="30">
      <c r="B815" s="395">
        <v>89009</v>
      </c>
      <c r="C815" s="406" t="s">
        <v>49</v>
      </c>
      <c r="D815" s="395" t="s">
        <v>36</v>
      </c>
      <c r="E815" s="407">
        <f t="shared" si="24"/>
        <v>40.11</v>
      </c>
      <c r="F815">
        <f t="shared" si="25"/>
        <v>89009</v>
      </c>
      <c r="H815" s="680">
        <v>40.11</v>
      </c>
      <c r="I815" s="680">
        <v>40.11</v>
      </c>
    </row>
    <row r="816" spans="2:9" ht="30">
      <c r="B816" s="396">
        <v>89010</v>
      </c>
      <c r="C816" s="401" t="s">
        <v>50</v>
      </c>
      <c r="D816" s="396" t="s">
        <v>36</v>
      </c>
      <c r="E816" s="405">
        <f t="shared" si="24"/>
        <v>9.0299999999999994</v>
      </c>
      <c r="F816">
        <f t="shared" si="25"/>
        <v>89010</v>
      </c>
      <c r="H816" s="679">
        <v>9.0299999999999994</v>
      </c>
      <c r="I816" s="679">
        <v>9.0299999999999994</v>
      </c>
    </row>
    <row r="817" spans="2:9" ht="45">
      <c r="B817" s="395">
        <v>89011</v>
      </c>
      <c r="C817" s="406" t="s">
        <v>1033</v>
      </c>
      <c r="D817" s="395" t="s">
        <v>36</v>
      </c>
      <c r="E817" s="407">
        <f t="shared" si="24"/>
        <v>26.04</v>
      </c>
      <c r="F817">
        <f t="shared" si="25"/>
        <v>89011</v>
      </c>
      <c r="H817" s="680">
        <v>26.04</v>
      </c>
      <c r="I817" s="680">
        <v>26.04</v>
      </c>
    </row>
    <row r="818" spans="2:9" ht="30">
      <c r="B818" s="396">
        <v>89012</v>
      </c>
      <c r="C818" s="401" t="s">
        <v>1034</v>
      </c>
      <c r="D818" s="396" t="s">
        <v>36</v>
      </c>
      <c r="E818" s="405">
        <f t="shared" si="24"/>
        <v>3.53</v>
      </c>
      <c r="F818">
        <f t="shared" si="25"/>
        <v>89012</v>
      </c>
      <c r="H818" s="679">
        <v>3.53</v>
      </c>
      <c r="I818" s="679">
        <v>3.53</v>
      </c>
    </row>
    <row r="819" spans="2:9">
      <c r="B819" s="395">
        <v>89013</v>
      </c>
      <c r="C819" s="406" t="s">
        <v>1035</v>
      </c>
      <c r="D819" s="395" t="s">
        <v>36</v>
      </c>
      <c r="E819" s="407">
        <f t="shared" si="24"/>
        <v>131.41</v>
      </c>
      <c r="F819">
        <f t="shared" si="25"/>
        <v>89013</v>
      </c>
      <c r="H819" s="680">
        <v>131.41</v>
      </c>
      <c r="I819" s="680">
        <v>131.41</v>
      </c>
    </row>
    <row r="820" spans="2:9">
      <c r="B820" s="396">
        <v>89014</v>
      </c>
      <c r="C820" s="401" t="s">
        <v>1036</v>
      </c>
      <c r="D820" s="396" t="s">
        <v>36</v>
      </c>
      <c r="E820" s="405">
        <f t="shared" si="24"/>
        <v>29.57</v>
      </c>
      <c r="F820">
        <f t="shared" si="25"/>
        <v>89014</v>
      </c>
      <c r="H820" s="679">
        <v>29.57</v>
      </c>
      <c r="I820" s="679">
        <v>29.57</v>
      </c>
    </row>
    <row r="821" spans="2:9">
      <c r="B821" s="395">
        <v>89015</v>
      </c>
      <c r="C821" s="406" t="s">
        <v>1037</v>
      </c>
      <c r="D821" s="395" t="s">
        <v>36</v>
      </c>
      <c r="E821" s="407">
        <f t="shared" si="24"/>
        <v>4.74</v>
      </c>
      <c r="F821">
        <f t="shared" si="25"/>
        <v>89015</v>
      </c>
      <c r="H821" s="680">
        <v>4.74</v>
      </c>
      <c r="I821" s="680">
        <v>4.74</v>
      </c>
    </row>
    <row r="822" spans="2:9">
      <c r="B822" s="396">
        <v>89016</v>
      </c>
      <c r="C822" s="401" t="s">
        <v>1038</v>
      </c>
      <c r="D822" s="396" t="s">
        <v>36</v>
      </c>
      <c r="E822" s="405">
        <f t="shared" si="24"/>
        <v>0.64</v>
      </c>
      <c r="F822">
        <f t="shared" si="25"/>
        <v>89016</v>
      </c>
      <c r="H822" s="679">
        <v>0.64</v>
      </c>
      <c r="I822" s="679">
        <v>0.64</v>
      </c>
    </row>
    <row r="823" spans="2:9">
      <c r="B823" s="395">
        <v>89017</v>
      </c>
      <c r="C823" s="406" t="s">
        <v>1039</v>
      </c>
      <c r="D823" s="395" t="s">
        <v>36</v>
      </c>
      <c r="E823" s="407">
        <f t="shared" si="24"/>
        <v>39.869999999999997</v>
      </c>
      <c r="F823">
        <f t="shared" si="25"/>
        <v>89017</v>
      </c>
      <c r="H823" s="680">
        <v>39.869999999999997</v>
      </c>
      <c r="I823" s="680">
        <v>39.869999999999997</v>
      </c>
    </row>
    <row r="824" spans="2:9">
      <c r="B824" s="396">
        <v>89018</v>
      </c>
      <c r="C824" s="401" t="s">
        <v>1040</v>
      </c>
      <c r="D824" s="396" t="s">
        <v>36</v>
      </c>
      <c r="E824" s="405">
        <f t="shared" si="24"/>
        <v>8.9700000000000006</v>
      </c>
      <c r="F824">
        <f t="shared" si="25"/>
        <v>89018</v>
      </c>
      <c r="H824" s="679">
        <v>8.9700000000000006</v>
      </c>
      <c r="I824" s="679">
        <v>8.9700000000000006</v>
      </c>
    </row>
    <row r="825" spans="2:9" ht="30">
      <c r="B825" s="395">
        <v>89019</v>
      </c>
      <c r="C825" s="406" t="s">
        <v>1041</v>
      </c>
      <c r="D825" s="395" t="s">
        <v>36</v>
      </c>
      <c r="E825" s="407">
        <f t="shared" si="24"/>
        <v>0.33</v>
      </c>
      <c r="F825">
        <f t="shared" si="25"/>
        <v>89019</v>
      </c>
      <c r="H825" s="680">
        <v>0.33</v>
      </c>
      <c r="I825" s="680">
        <v>0.33</v>
      </c>
    </row>
    <row r="826" spans="2:9" ht="30">
      <c r="B826" s="396">
        <v>89020</v>
      </c>
      <c r="C826" s="401" t="s">
        <v>1042</v>
      </c>
      <c r="D826" s="396" t="s">
        <v>36</v>
      </c>
      <c r="E826" s="405">
        <f t="shared" si="24"/>
        <v>0.04</v>
      </c>
      <c r="F826">
        <f t="shared" si="25"/>
        <v>89020</v>
      </c>
      <c r="H826" s="679">
        <v>0.04</v>
      </c>
      <c r="I826" s="679">
        <v>0.04</v>
      </c>
    </row>
    <row r="827" spans="2:9">
      <c r="B827" s="395">
        <v>89023</v>
      </c>
      <c r="C827" s="406" t="s">
        <v>1043</v>
      </c>
      <c r="D827" s="395" t="s">
        <v>36</v>
      </c>
      <c r="E827" s="407">
        <f t="shared" si="24"/>
        <v>3.71</v>
      </c>
      <c r="F827">
        <f t="shared" si="25"/>
        <v>89023</v>
      </c>
      <c r="H827" s="680">
        <v>3.71</v>
      </c>
      <c r="I827" s="680">
        <v>3.71</v>
      </c>
    </row>
    <row r="828" spans="2:9">
      <c r="B828" s="396">
        <v>89024</v>
      </c>
      <c r="C828" s="401" t="s">
        <v>1044</v>
      </c>
      <c r="D828" s="396" t="s">
        <v>36</v>
      </c>
      <c r="E828" s="405">
        <f t="shared" si="24"/>
        <v>0.66</v>
      </c>
      <c r="F828">
        <f t="shared" si="25"/>
        <v>89024</v>
      </c>
      <c r="H828" s="679">
        <v>0.66</v>
      </c>
      <c r="I828" s="679">
        <v>0.66</v>
      </c>
    </row>
    <row r="829" spans="2:9">
      <c r="B829" s="395">
        <v>89025</v>
      </c>
      <c r="C829" s="406" t="s">
        <v>1045</v>
      </c>
      <c r="D829" s="395" t="s">
        <v>36</v>
      </c>
      <c r="E829" s="407">
        <f t="shared" si="24"/>
        <v>4.6399999999999997</v>
      </c>
      <c r="F829">
        <f t="shared" si="25"/>
        <v>89025</v>
      </c>
      <c r="H829" s="680">
        <v>4.6399999999999997</v>
      </c>
      <c r="I829" s="680">
        <v>4.6399999999999997</v>
      </c>
    </row>
    <row r="830" spans="2:9">
      <c r="B830" s="396">
        <v>89026</v>
      </c>
      <c r="C830" s="401" t="s">
        <v>1046</v>
      </c>
      <c r="D830" s="396" t="s">
        <v>36</v>
      </c>
      <c r="E830" s="405">
        <f t="shared" si="24"/>
        <v>183.13</v>
      </c>
      <c r="F830">
        <f t="shared" si="25"/>
        <v>89026</v>
      </c>
      <c r="H830" s="679">
        <v>183.13</v>
      </c>
      <c r="I830" s="679">
        <v>183.13</v>
      </c>
    </row>
    <row r="831" spans="2:9">
      <c r="B831" s="395">
        <v>89029</v>
      </c>
      <c r="C831" s="406" t="s">
        <v>1047</v>
      </c>
      <c r="D831" s="395" t="s">
        <v>36</v>
      </c>
      <c r="E831" s="407">
        <f t="shared" si="24"/>
        <v>30.94</v>
      </c>
      <c r="F831">
        <f t="shared" si="25"/>
        <v>89029</v>
      </c>
      <c r="H831" s="680">
        <v>30.94</v>
      </c>
      <c r="I831" s="680">
        <v>30.94</v>
      </c>
    </row>
    <row r="832" spans="2:9">
      <c r="B832" s="396">
        <v>89030</v>
      </c>
      <c r="C832" s="401" t="s">
        <v>1048</v>
      </c>
      <c r="D832" s="396" t="s">
        <v>36</v>
      </c>
      <c r="E832" s="405">
        <f t="shared" si="24"/>
        <v>6.96</v>
      </c>
      <c r="F832">
        <f t="shared" si="25"/>
        <v>89030</v>
      </c>
      <c r="H832" s="679">
        <v>6.96</v>
      </c>
      <c r="I832" s="679">
        <v>6.96</v>
      </c>
    </row>
    <row r="833" spans="2:9">
      <c r="B833" s="395">
        <v>89033</v>
      </c>
      <c r="C833" s="406" t="s">
        <v>279</v>
      </c>
      <c r="D833" s="395" t="s">
        <v>36</v>
      </c>
      <c r="E833" s="407">
        <f t="shared" si="24"/>
        <v>14.39</v>
      </c>
      <c r="F833">
        <f t="shared" si="25"/>
        <v>89033</v>
      </c>
      <c r="H833" s="680">
        <v>14.39</v>
      </c>
      <c r="I833" s="680">
        <v>14.39</v>
      </c>
    </row>
    <row r="834" spans="2:9">
      <c r="B834" s="396">
        <v>89034</v>
      </c>
      <c r="C834" s="401" t="s">
        <v>280</v>
      </c>
      <c r="D834" s="396" t="s">
        <v>36</v>
      </c>
      <c r="E834" s="405">
        <f t="shared" si="24"/>
        <v>1.99</v>
      </c>
      <c r="F834">
        <f t="shared" si="25"/>
        <v>89034</v>
      </c>
      <c r="H834" s="679">
        <v>1.99</v>
      </c>
      <c r="I834" s="679">
        <v>1.99</v>
      </c>
    </row>
    <row r="835" spans="2:9" ht="30">
      <c r="B835" s="395">
        <v>89128</v>
      </c>
      <c r="C835" s="406" t="s">
        <v>1049</v>
      </c>
      <c r="D835" s="395" t="s">
        <v>36</v>
      </c>
      <c r="E835" s="407">
        <f t="shared" ref="E835:E898" si="26">IF($K$2=$H$1,H835,I835)</f>
        <v>38.08</v>
      </c>
      <c r="F835">
        <f t="shared" ref="F835:F898" si="27">IF(LEN($B835)=7,CONCATENATE(MID($B835,1,6),"00",RIGHT($B835,1)),IF(LEN($B835)=8,CONCATENATE(MID($B835,1,6),"0",RIGHT($B835,2)),$B835))</f>
        <v>89128</v>
      </c>
      <c r="H835" s="680">
        <v>38.08</v>
      </c>
      <c r="I835" s="680">
        <v>38.08</v>
      </c>
    </row>
    <row r="836" spans="2:9" ht="30">
      <c r="B836" s="396">
        <v>89129</v>
      </c>
      <c r="C836" s="401" t="s">
        <v>1050</v>
      </c>
      <c r="D836" s="396" t="s">
        <v>36</v>
      </c>
      <c r="E836" s="405">
        <f t="shared" si="26"/>
        <v>5.16</v>
      </c>
      <c r="F836">
        <f t="shared" si="27"/>
        <v>89129</v>
      </c>
      <c r="H836" s="679">
        <v>5.16</v>
      </c>
      <c r="I836" s="679">
        <v>5.16</v>
      </c>
    </row>
    <row r="837" spans="2:9" ht="30">
      <c r="B837" s="395">
        <v>89130</v>
      </c>
      <c r="C837" s="406" t="s">
        <v>1051</v>
      </c>
      <c r="D837" s="395" t="s">
        <v>36</v>
      </c>
      <c r="E837" s="407">
        <f t="shared" si="26"/>
        <v>52.8</v>
      </c>
      <c r="F837">
        <f t="shared" si="27"/>
        <v>89130</v>
      </c>
      <c r="H837" s="680">
        <v>52.8</v>
      </c>
      <c r="I837" s="680">
        <v>52.8</v>
      </c>
    </row>
    <row r="838" spans="2:9" ht="30">
      <c r="B838" s="396">
        <v>89131</v>
      </c>
      <c r="C838" s="401" t="s">
        <v>1052</v>
      </c>
      <c r="D838" s="396" t="s">
        <v>36</v>
      </c>
      <c r="E838" s="405">
        <f t="shared" si="26"/>
        <v>7.16</v>
      </c>
      <c r="F838">
        <f t="shared" si="27"/>
        <v>89131</v>
      </c>
      <c r="H838" s="679">
        <v>7.16</v>
      </c>
      <c r="I838" s="679">
        <v>7.16</v>
      </c>
    </row>
    <row r="839" spans="2:9" ht="30">
      <c r="B839" s="395">
        <v>89210</v>
      </c>
      <c r="C839" s="406" t="s">
        <v>1053</v>
      </c>
      <c r="D839" s="395" t="s">
        <v>36</v>
      </c>
      <c r="E839" s="407">
        <f t="shared" si="26"/>
        <v>34.01</v>
      </c>
      <c r="F839">
        <f t="shared" si="27"/>
        <v>89210</v>
      </c>
      <c r="H839" s="680">
        <v>34.01</v>
      </c>
      <c r="I839" s="680">
        <v>34.01</v>
      </c>
    </row>
    <row r="840" spans="2:9" ht="30">
      <c r="B840" s="396">
        <v>89211</v>
      </c>
      <c r="C840" s="401" t="s">
        <v>1054</v>
      </c>
      <c r="D840" s="396" t="s">
        <v>36</v>
      </c>
      <c r="E840" s="405">
        <f t="shared" si="26"/>
        <v>4.72</v>
      </c>
      <c r="F840">
        <f t="shared" si="27"/>
        <v>89211</v>
      </c>
      <c r="H840" s="679">
        <v>4.72</v>
      </c>
      <c r="I840" s="679">
        <v>4.72</v>
      </c>
    </row>
    <row r="841" spans="2:9">
      <c r="B841" s="395">
        <v>89212</v>
      </c>
      <c r="C841" s="406" t="s">
        <v>51</v>
      </c>
      <c r="D841" s="395" t="s">
        <v>36</v>
      </c>
      <c r="E841" s="407">
        <f t="shared" si="26"/>
        <v>28.91</v>
      </c>
      <c r="F841">
        <f t="shared" si="27"/>
        <v>89212</v>
      </c>
      <c r="H841" s="680">
        <v>28.91</v>
      </c>
      <c r="I841" s="680">
        <v>28.91</v>
      </c>
    </row>
    <row r="842" spans="2:9">
      <c r="B842" s="396">
        <v>89213</v>
      </c>
      <c r="C842" s="401" t="s">
        <v>52</v>
      </c>
      <c r="D842" s="396" t="s">
        <v>36</v>
      </c>
      <c r="E842" s="405">
        <f t="shared" si="26"/>
        <v>4.55</v>
      </c>
      <c r="F842">
        <f t="shared" si="27"/>
        <v>89213</v>
      </c>
      <c r="H842" s="679">
        <v>4.55</v>
      </c>
      <c r="I842" s="679">
        <v>4.55</v>
      </c>
    </row>
    <row r="843" spans="2:9">
      <c r="B843" s="395">
        <v>89214</v>
      </c>
      <c r="C843" s="406" t="s">
        <v>53</v>
      </c>
      <c r="D843" s="395" t="s">
        <v>36</v>
      </c>
      <c r="E843" s="407">
        <f t="shared" si="26"/>
        <v>27.14</v>
      </c>
      <c r="F843">
        <f t="shared" si="27"/>
        <v>89214</v>
      </c>
      <c r="H843" s="680">
        <v>27.14</v>
      </c>
      <c r="I843" s="680">
        <v>27.14</v>
      </c>
    </row>
    <row r="844" spans="2:9" ht="30">
      <c r="B844" s="396">
        <v>89215</v>
      </c>
      <c r="C844" s="401" t="s">
        <v>54</v>
      </c>
      <c r="D844" s="396" t="s">
        <v>36</v>
      </c>
      <c r="E844" s="405">
        <f t="shared" si="26"/>
        <v>99.48</v>
      </c>
      <c r="F844">
        <f t="shared" si="27"/>
        <v>89215</v>
      </c>
      <c r="H844" s="679">
        <v>99.48</v>
      </c>
      <c r="I844" s="679">
        <v>99.48</v>
      </c>
    </row>
    <row r="845" spans="2:9" ht="30">
      <c r="B845" s="395">
        <v>89221</v>
      </c>
      <c r="C845" s="406" t="s">
        <v>1055</v>
      </c>
      <c r="D845" s="395" t="s">
        <v>36</v>
      </c>
      <c r="E845" s="407">
        <f t="shared" si="26"/>
        <v>1.48</v>
      </c>
      <c r="F845">
        <f t="shared" si="27"/>
        <v>89221</v>
      </c>
      <c r="H845" s="680">
        <v>1.48</v>
      </c>
      <c r="I845" s="680">
        <v>1.48</v>
      </c>
    </row>
    <row r="846" spans="2:9" ht="30">
      <c r="B846" s="396">
        <v>89222</v>
      </c>
      <c r="C846" s="401" t="s">
        <v>1056</v>
      </c>
      <c r="D846" s="396" t="s">
        <v>36</v>
      </c>
      <c r="E846" s="405">
        <f t="shared" si="26"/>
        <v>0.17</v>
      </c>
      <c r="F846">
        <f t="shared" si="27"/>
        <v>89222</v>
      </c>
      <c r="H846" s="679">
        <v>0.17</v>
      </c>
      <c r="I846" s="679">
        <v>0.17</v>
      </c>
    </row>
    <row r="847" spans="2:9" ht="30">
      <c r="B847" s="395">
        <v>89223</v>
      </c>
      <c r="C847" s="406" t="s">
        <v>1057</v>
      </c>
      <c r="D847" s="395" t="s">
        <v>36</v>
      </c>
      <c r="E847" s="407">
        <f t="shared" si="26"/>
        <v>1.62</v>
      </c>
      <c r="F847">
        <f t="shared" si="27"/>
        <v>89223</v>
      </c>
      <c r="H847" s="680">
        <v>1.62</v>
      </c>
      <c r="I847" s="680">
        <v>1.62</v>
      </c>
    </row>
    <row r="848" spans="2:9" ht="30">
      <c r="B848" s="396">
        <v>89224</v>
      </c>
      <c r="C848" s="401" t="s">
        <v>1058</v>
      </c>
      <c r="D848" s="396" t="s">
        <v>36</v>
      </c>
      <c r="E848" s="405">
        <f t="shared" si="26"/>
        <v>2.62</v>
      </c>
      <c r="F848">
        <f t="shared" si="27"/>
        <v>89224</v>
      </c>
      <c r="H848" s="679">
        <v>2.62</v>
      </c>
      <c r="I848" s="679">
        <v>2.62</v>
      </c>
    </row>
    <row r="849" spans="2:9" ht="30">
      <c r="B849" s="395">
        <v>89228</v>
      </c>
      <c r="C849" s="406" t="s">
        <v>55</v>
      </c>
      <c r="D849" s="395" t="s">
        <v>36</v>
      </c>
      <c r="E849" s="407">
        <f t="shared" si="26"/>
        <v>44.8</v>
      </c>
      <c r="F849">
        <f t="shared" si="27"/>
        <v>89228</v>
      </c>
      <c r="H849" s="680">
        <v>44.8</v>
      </c>
      <c r="I849" s="680">
        <v>44.8</v>
      </c>
    </row>
    <row r="850" spans="2:9" ht="30">
      <c r="B850" s="396">
        <v>89229</v>
      </c>
      <c r="C850" s="401" t="s">
        <v>56</v>
      </c>
      <c r="D850" s="396" t="s">
        <v>36</v>
      </c>
      <c r="E850" s="405">
        <f t="shared" si="26"/>
        <v>8.06</v>
      </c>
      <c r="F850">
        <f t="shared" si="27"/>
        <v>89229</v>
      </c>
      <c r="H850" s="679">
        <v>8.06</v>
      </c>
      <c r="I850" s="679">
        <v>8.06</v>
      </c>
    </row>
    <row r="851" spans="2:9">
      <c r="B851" s="395">
        <v>89230</v>
      </c>
      <c r="C851" s="406" t="s">
        <v>1059</v>
      </c>
      <c r="D851" s="395" t="s">
        <v>36</v>
      </c>
      <c r="E851" s="407">
        <f t="shared" si="26"/>
        <v>137.63999999999999</v>
      </c>
      <c r="F851">
        <f t="shared" si="27"/>
        <v>89230</v>
      </c>
      <c r="H851" s="680">
        <v>137.63999999999999</v>
      </c>
      <c r="I851" s="680">
        <v>137.63999999999999</v>
      </c>
    </row>
    <row r="852" spans="2:9">
      <c r="B852" s="396">
        <v>89231</v>
      </c>
      <c r="C852" s="401" t="s">
        <v>1060</v>
      </c>
      <c r="D852" s="396" t="s">
        <v>36</v>
      </c>
      <c r="E852" s="405">
        <f t="shared" si="26"/>
        <v>21.81</v>
      </c>
      <c r="F852">
        <f t="shared" si="27"/>
        <v>89231</v>
      </c>
      <c r="H852" s="679">
        <v>21.81</v>
      </c>
      <c r="I852" s="679">
        <v>21.81</v>
      </c>
    </row>
    <row r="853" spans="2:9">
      <c r="B853" s="395">
        <v>89232</v>
      </c>
      <c r="C853" s="406" t="s">
        <v>1061</v>
      </c>
      <c r="D853" s="395" t="s">
        <v>36</v>
      </c>
      <c r="E853" s="407">
        <f t="shared" si="26"/>
        <v>245.51</v>
      </c>
      <c r="F853">
        <f t="shared" si="27"/>
        <v>89232</v>
      </c>
      <c r="H853" s="680">
        <v>245.51</v>
      </c>
      <c r="I853" s="680">
        <v>245.51</v>
      </c>
    </row>
    <row r="854" spans="2:9" ht="30">
      <c r="B854" s="396">
        <v>89233</v>
      </c>
      <c r="C854" s="401" t="s">
        <v>1062</v>
      </c>
      <c r="D854" s="396" t="s">
        <v>36</v>
      </c>
      <c r="E854" s="405">
        <f t="shared" si="26"/>
        <v>179.03</v>
      </c>
      <c r="F854">
        <f t="shared" si="27"/>
        <v>89233</v>
      </c>
      <c r="H854" s="679">
        <v>179.03</v>
      </c>
      <c r="I854" s="679">
        <v>179.03</v>
      </c>
    </row>
    <row r="855" spans="2:9">
      <c r="B855" s="395">
        <v>89236</v>
      </c>
      <c r="C855" s="406" t="s">
        <v>1063</v>
      </c>
      <c r="D855" s="395" t="s">
        <v>36</v>
      </c>
      <c r="E855" s="407">
        <f t="shared" si="26"/>
        <v>321.52</v>
      </c>
      <c r="F855">
        <f t="shared" si="27"/>
        <v>89236</v>
      </c>
      <c r="H855" s="680">
        <v>321.52</v>
      </c>
      <c r="I855" s="680">
        <v>321.52</v>
      </c>
    </row>
    <row r="856" spans="2:9">
      <c r="B856" s="396">
        <v>89237</v>
      </c>
      <c r="C856" s="401" t="s">
        <v>1064</v>
      </c>
      <c r="D856" s="396" t="s">
        <v>36</v>
      </c>
      <c r="E856" s="405">
        <f t="shared" si="26"/>
        <v>50.94</v>
      </c>
      <c r="F856">
        <f t="shared" si="27"/>
        <v>89237</v>
      </c>
      <c r="H856" s="679">
        <v>50.94</v>
      </c>
      <c r="I856" s="679">
        <v>50.94</v>
      </c>
    </row>
    <row r="857" spans="2:9">
      <c r="B857" s="395">
        <v>89238</v>
      </c>
      <c r="C857" s="406" t="s">
        <v>1065</v>
      </c>
      <c r="D857" s="395" t="s">
        <v>36</v>
      </c>
      <c r="E857" s="407">
        <f t="shared" si="26"/>
        <v>573.51</v>
      </c>
      <c r="F857">
        <f t="shared" si="27"/>
        <v>89238</v>
      </c>
      <c r="H857" s="680">
        <v>573.51</v>
      </c>
      <c r="I857" s="680">
        <v>573.51</v>
      </c>
    </row>
    <row r="858" spans="2:9" ht="30">
      <c r="B858" s="396">
        <v>89239</v>
      </c>
      <c r="C858" s="401" t="s">
        <v>1066</v>
      </c>
      <c r="D858" s="396" t="s">
        <v>36</v>
      </c>
      <c r="E858" s="405">
        <f t="shared" si="26"/>
        <v>473.44</v>
      </c>
      <c r="F858">
        <f t="shared" si="27"/>
        <v>89239</v>
      </c>
      <c r="H858" s="679">
        <v>473.44</v>
      </c>
      <c r="I858" s="679">
        <v>473.44</v>
      </c>
    </row>
    <row r="859" spans="2:9" ht="30">
      <c r="B859" s="395">
        <v>89240</v>
      </c>
      <c r="C859" s="406" t="s">
        <v>1067</v>
      </c>
      <c r="D859" s="395" t="s">
        <v>36</v>
      </c>
      <c r="E859" s="407">
        <f t="shared" si="26"/>
        <v>98.67</v>
      </c>
      <c r="F859">
        <f t="shared" si="27"/>
        <v>89240</v>
      </c>
      <c r="H859" s="680">
        <v>98.67</v>
      </c>
      <c r="I859" s="680">
        <v>98.67</v>
      </c>
    </row>
    <row r="860" spans="2:9" ht="30">
      <c r="B860" s="396">
        <v>89241</v>
      </c>
      <c r="C860" s="401" t="s">
        <v>281</v>
      </c>
      <c r="D860" s="396" t="s">
        <v>36</v>
      </c>
      <c r="E860" s="405">
        <f t="shared" si="26"/>
        <v>17.760000000000002</v>
      </c>
      <c r="F860">
        <f t="shared" si="27"/>
        <v>89241</v>
      </c>
      <c r="H860" s="679">
        <v>17.760000000000002</v>
      </c>
      <c r="I860" s="679">
        <v>17.760000000000002</v>
      </c>
    </row>
    <row r="861" spans="2:9">
      <c r="B861" s="395">
        <v>89246</v>
      </c>
      <c r="C861" s="406" t="s">
        <v>282</v>
      </c>
      <c r="D861" s="395" t="s">
        <v>36</v>
      </c>
      <c r="E861" s="407">
        <f t="shared" si="26"/>
        <v>279.38</v>
      </c>
      <c r="F861">
        <f t="shared" si="27"/>
        <v>89246</v>
      </c>
      <c r="H861" s="680">
        <v>279.38</v>
      </c>
      <c r="I861" s="680">
        <v>279.38</v>
      </c>
    </row>
    <row r="862" spans="2:9">
      <c r="B862" s="396">
        <v>89247</v>
      </c>
      <c r="C862" s="401" t="s">
        <v>283</v>
      </c>
      <c r="D862" s="396" t="s">
        <v>36</v>
      </c>
      <c r="E862" s="405">
        <f t="shared" si="26"/>
        <v>44.27</v>
      </c>
      <c r="F862">
        <f t="shared" si="27"/>
        <v>89247</v>
      </c>
      <c r="H862" s="679">
        <v>44.27</v>
      </c>
      <c r="I862" s="679">
        <v>44.27</v>
      </c>
    </row>
    <row r="863" spans="2:9">
      <c r="B863" s="395">
        <v>89248</v>
      </c>
      <c r="C863" s="406" t="s">
        <v>284</v>
      </c>
      <c r="D863" s="395" t="s">
        <v>36</v>
      </c>
      <c r="E863" s="407">
        <f t="shared" si="26"/>
        <v>498.34</v>
      </c>
      <c r="F863">
        <f t="shared" si="27"/>
        <v>89248</v>
      </c>
      <c r="H863" s="680">
        <v>498.34</v>
      </c>
      <c r="I863" s="680">
        <v>498.34</v>
      </c>
    </row>
    <row r="864" spans="2:9" ht="30">
      <c r="B864" s="396">
        <v>89249</v>
      </c>
      <c r="C864" s="401" t="s">
        <v>285</v>
      </c>
      <c r="D864" s="396" t="s">
        <v>36</v>
      </c>
      <c r="E864" s="405">
        <f t="shared" si="26"/>
        <v>403.57</v>
      </c>
      <c r="F864">
        <f t="shared" si="27"/>
        <v>89249</v>
      </c>
      <c r="H864" s="679">
        <v>403.57</v>
      </c>
      <c r="I864" s="679">
        <v>403.57</v>
      </c>
    </row>
    <row r="865" spans="2:9" ht="30">
      <c r="B865" s="395">
        <v>89253</v>
      </c>
      <c r="C865" s="406" t="s">
        <v>1068</v>
      </c>
      <c r="D865" s="395" t="s">
        <v>36</v>
      </c>
      <c r="E865" s="407">
        <f t="shared" si="26"/>
        <v>80.86</v>
      </c>
      <c r="F865">
        <f t="shared" si="27"/>
        <v>89253</v>
      </c>
      <c r="H865" s="680">
        <v>80.86</v>
      </c>
      <c r="I865" s="680">
        <v>80.86</v>
      </c>
    </row>
    <row r="866" spans="2:9" ht="30">
      <c r="B866" s="396">
        <v>89254</v>
      </c>
      <c r="C866" s="401" t="s">
        <v>286</v>
      </c>
      <c r="D866" s="396" t="s">
        <v>36</v>
      </c>
      <c r="E866" s="405">
        <f t="shared" si="26"/>
        <v>14.55</v>
      </c>
      <c r="F866">
        <f t="shared" si="27"/>
        <v>89254</v>
      </c>
      <c r="H866" s="679">
        <v>14.55</v>
      </c>
      <c r="I866" s="679">
        <v>14.55</v>
      </c>
    </row>
    <row r="867" spans="2:9" ht="30">
      <c r="B867" s="395">
        <v>89255</v>
      </c>
      <c r="C867" s="406" t="s">
        <v>1069</v>
      </c>
      <c r="D867" s="395" t="s">
        <v>36</v>
      </c>
      <c r="E867" s="407">
        <f t="shared" si="26"/>
        <v>129.97999999999999</v>
      </c>
      <c r="F867">
        <f t="shared" si="27"/>
        <v>89255</v>
      </c>
      <c r="H867" s="680">
        <v>129.97999999999999</v>
      </c>
      <c r="I867" s="680">
        <v>129.97999999999999</v>
      </c>
    </row>
    <row r="868" spans="2:9" ht="30">
      <c r="B868" s="396">
        <v>89256</v>
      </c>
      <c r="C868" s="401" t="s">
        <v>1070</v>
      </c>
      <c r="D868" s="396" t="s">
        <v>36</v>
      </c>
      <c r="E868" s="405">
        <f t="shared" si="26"/>
        <v>90.82</v>
      </c>
      <c r="F868">
        <f t="shared" si="27"/>
        <v>89256</v>
      </c>
      <c r="H868" s="679">
        <v>90.82</v>
      </c>
      <c r="I868" s="679">
        <v>90.82</v>
      </c>
    </row>
    <row r="869" spans="2:9" ht="30">
      <c r="B869" s="395">
        <v>89259</v>
      </c>
      <c r="C869" s="406" t="s">
        <v>1071</v>
      </c>
      <c r="D869" s="395" t="s">
        <v>36</v>
      </c>
      <c r="E869" s="407">
        <f t="shared" si="26"/>
        <v>26.18</v>
      </c>
      <c r="F869">
        <f t="shared" si="27"/>
        <v>89259</v>
      </c>
      <c r="H869" s="680">
        <v>26.18</v>
      </c>
      <c r="I869" s="680">
        <v>26.18</v>
      </c>
    </row>
    <row r="870" spans="2:9" ht="30">
      <c r="B870" s="396">
        <v>89260</v>
      </c>
      <c r="C870" s="401" t="s">
        <v>1072</v>
      </c>
      <c r="D870" s="396" t="s">
        <v>36</v>
      </c>
      <c r="E870" s="405">
        <f t="shared" si="26"/>
        <v>4.8899999999999997</v>
      </c>
      <c r="F870">
        <f t="shared" si="27"/>
        <v>89260</v>
      </c>
      <c r="H870" s="679">
        <v>4.8899999999999997</v>
      </c>
      <c r="I870" s="679">
        <v>4.8899999999999997</v>
      </c>
    </row>
    <row r="871" spans="2:9" ht="30">
      <c r="B871" s="395">
        <v>89262</v>
      </c>
      <c r="C871" s="406" t="s">
        <v>1073</v>
      </c>
      <c r="D871" s="395" t="s">
        <v>36</v>
      </c>
      <c r="E871" s="407">
        <f t="shared" si="26"/>
        <v>44.28</v>
      </c>
      <c r="F871">
        <f t="shared" si="27"/>
        <v>89262</v>
      </c>
      <c r="H871" s="680">
        <v>44.28</v>
      </c>
      <c r="I871" s="680">
        <v>44.28</v>
      </c>
    </row>
    <row r="872" spans="2:9" ht="30">
      <c r="B872" s="396">
        <v>89264</v>
      </c>
      <c r="C872" s="401" t="s">
        <v>1074</v>
      </c>
      <c r="D872" s="396" t="s">
        <v>36</v>
      </c>
      <c r="E872" s="405">
        <f t="shared" si="26"/>
        <v>20.09</v>
      </c>
      <c r="F872">
        <f t="shared" si="27"/>
        <v>89264</v>
      </c>
      <c r="H872" s="679">
        <v>20.09</v>
      </c>
      <c r="I872" s="679">
        <v>20.09</v>
      </c>
    </row>
    <row r="873" spans="2:9" ht="30">
      <c r="B873" s="395">
        <v>89265</v>
      </c>
      <c r="C873" s="406" t="s">
        <v>1075</v>
      </c>
      <c r="D873" s="395" t="s">
        <v>36</v>
      </c>
      <c r="E873" s="407">
        <f t="shared" si="26"/>
        <v>4.09</v>
      </c>
      <c r="F873">
        <f t="shared" si="27"/>
        <v>89265</v>
      </c>
      <c r="H873" s="680">
        <v>4.09</v>
      </c>
      <c r="I873" s="680">
        <v>4.09</v>
      </c>
    </row>
    <row r="874" spans="2:9" ht="45">
      <c r="B874" s="396">
        <v>89266</v>
      </c>
      <c r="C874" s="401" t="s">
        <v>1076</v>
      </c>
      <c r="D874" s="396" t="s">
        <v>36</v>
      </c>
      <c r="E874" s="405">
        <f t="shared" si="26"/>
        <v>3.23</v>
      </c>
      <c r="F874">
        <f t="shared" si="27"/>
        <v>89266</v>
      </c>
      <c r="H874" s="679">
        <v>3.23</v>
      </c>
      <c r="I874" s="679">
        <v>3.23</v>
      </c>
    </row>
    <row r="875" spans="2:9" ht="30">
      <c r="B875" s="395">
        <v>89267</v>
      </c>
      <c r="C875" s="406" t="s">
        <v>1077</v>
      </c>
      <c r="D875" s="395" t="s">
        <v>36</v>
      </c>
      <c r="E875" s="407">
        <f t="shared" si="26"/>
        <v>50.32</v>
      </c>
      <c r="F875">
        <f t="shared" si="27"/>
        <v>89267</v>
      </c>
      <c r="H875" s="680">
        <v>50.32</v>
      </c>
      <c r="I875" s="680">
        <v>50.32</v>
      </c>
    </row>
    <row r="876" spans="2:9" ht="30">
      <c r="B876" s="396">
        <v>89268</v>
      </c>
      <c r="C876" s="401" t="s">
        <v>1078</v>
      </c>
      <c r="D876" s="396" t="s">
        <v>36</v>
      </c>
      <c r="E876" s="405">
        <f t="shared" si="26"/>
        <v>9.0500000000000007</v>
      </c>
      <c r="F876">
        <f t="shared" si="27"/>
        <v>89268</v>
      </c>
      <c r="H876" s="679">
        <v>9.0500000000000007</v>
      </c>
      <c r="I876" s="679">
        <v>9.0500000000000007</v>
      </c>
    </row>
    <row r="877" spans="2:9" ht="30">
      <c r="B877" s="395">
        <v>89269</v>
      </c>
      <c r="C877" s="406" t="s">
        <v>1079</v>
      </c>
      <c r="D877" s="395" t="s">
        <v>36</v>
      </c>
      <c r="E877" s="407">
        <f t="shared" si="26"/>
        <v>7.17</v>
      </c>
      <c r="F877">
        <f t="shared" si="27"/>
        <v>89269</v>
      </c>
      <c r="H877" s="680">
        <v>7.17</v>
      </c>
      <c r="I877" s="680">
        <v>7.17</v>
      </c>
    </row>
    <row r="878" spans="2:9" ht="30">
      <c r="B878" s="396">
        <v>89270</v>
      </c>
      <c r="C878" s="401" t="s">
        <v>1080</v>
      </c>
      <c r="D878" s="396" t="s">
        <v>36</v>
      </c>
      <c r="E878" s="405">
        <f t="shared" si="26"/>
        <v>80.900000000000006</v>
      </c>
      <c r="F878">
        <f t="shared" si="27"/>
        <v>89270</v>
      </c>
      <c r="H878" s="679">
        <v>80.900000000000006</v>
      </c>
      <c r="I878" s="679">
        <v>80.900000000000006</v>
      </c>
    </row>
    <row r="879" spans="2:9" ht="30">
      <c r="B879" s="395">
        <v>89271</v>
      </c>
      <c r="C879" s="406" t="s">
        <v>1081</v>
      </c>
      <c r="D879" s="395" t="s">
        <v>36</v>
      </c>
      <c r="E879" s="407">
        <f t="shared" si="26"/>
        <v>31.08</v>
      </c>
      <c r="F879">
        <f t="shared" si="27"/>
        <v>89271</v>
      </c>
      <c r="H879" s="680">
        <v>31.08</v>
      </c>
      <c r="I879" s="680">
        <v>31.08</v>
      </c>
    </row>
    <row r="880" spans="2:9" ht="30">
      <c r="B880" s="396">
        <v>89274</v>
      </c>
      <c r="C880" s="401" t="s">
        <v>6365</v>
      </c>
      <c r="D880" s="396" t="s">
        <v>36</v>
      </c>
      <c r="E880" s="405">
        <f t="shared" si="26"/>
        <v>1.8</v>
      </c>
      <c r="F880">
        <f t="shared" si="27"/>
        <v>89274</v>
      </c>
      <c r="H880" s="679">
        <v>1.8</v>
      </c>
      <c r="I880" s="679">
        <v>1.8</v>
      </c>
    </row>
    <row r="881" spans="2:9" ht="30">
      <c r="B881" s="395">
        <v>89275</v>
      </c>
      <c r="C881" s="406" t="s">
        <v>6366</v>
      </c>
      <c r="D881" s="395" t="s">
        <v>36</v>
      </c>
      <c r="E881" s="407">
        <f t="shared" si="26"/>
        <v>0.21</v>
      </c>
      <c r="F881">
        <f t="shared" si="27"/>
        <v>89275</v>
      </c>
      <c r="H881" s="680">
        <v>0.21</v>
      </c>
      <c r="I881" s="680">
        <v>0.21</v>
      </c>
    </row>
    <row r="882" spans="2:9" ht="30">
      <c r="B882" s="396">
        <v>89276</v>
      </c>
      <c r="C882" s="401" t="s">
        <v>6367</v>
      </c>
      <c r="D882" s="396" t="s">
        <v>36</v>
      </c>
      <c r="E882" s="405">
        <f t="shared" si="26"/>
        <v>2.25</v>
      </c>
      <c r="F882">
        <f t="shared" si="27"/>
        <v>89276</v>
      </c>
      <c r="H882" s="679">
        <v>2.25</v>
      </c>
      <c r="I882" s="679">
        <v>2.25</v>
      </c>
    </row>
    <row r="883" spans="2:9" ht="30">
      <c r="B883" s="395">
        <v>89277</v>
      </c>
      <c r="C883" s="406" t="s">
        <v>6368</v>
      </c>
      <c r="D883" s="395" t="s">
        <v>36</v>
      </c>
      <c r="E883" s="407">
        <f t="shared" si="26"/>
        <v>8.9700000000000006</v>
      </c>
      <c r="F883">
        <f t="shared" si="27"/>
        <v>89277</v>
      </c>
      <c r="H883" s="680">
        <v>8.9700000000000006</v>
      </c>
      <c r="I883" s="680">
        <v>8.9700000000000006</v>
      </c>
    </row>
    <row r="884" spans="2:9" ht="30">
      <c r="B884" s="396">
        <v>89280</v>
      </c>
      <c r="C884" s="401" t="s">
        <v>1082</v>
      </c>
      <c r="D884" s="396" t="s">
        <v>36</v>
      </c>
      <c r="E884" s="405">
        <f t="shared" si="26"/>
        <v>41.77</v>
      </c>
      <c r="F884">
        <f t="shared" si="27"/>
        <v>89280</v>
      </c>
      <c r="H884" s="679">
        <v>41.77</v>
      </c>
      <c r="I884" s="679">
        <v>41.77</v>
      </c>
    </row>
    <row r="885" spans="2:9" ht="30">
      <c r="B885" s="395">
        <v>89281</v>
      </c>
      <c r="C885" s="406" t="s">
        <v>1083</v>
      </c>
      <c r="D885" s="395" t="s">
        <v>36</v>
      </c>
      <c r="E885" s="407">
        <f t="shared" si="26"/>
        <v>5.79</v>
      </c>
      <c r="F885">
        <f t="shared" si="27"/>
        <v>89281</v>
      </c>
      <c r="H885" s="680">
        <v>5.79</v>
      </c>
      <c r="I885" s="680">
        <v>5.79</v>
      </c>
    </row>
    <row r="886" spans="2:9" ht="30">
      <c r="B886" s="396">
        <v>89870</v>
      </c>
      <c r="C886" s="401" t="s">
        <v>287</v>
      </c>
      <c r="D886" s="396" t="s">
        <v>36</v>
      </c>
      <c r="E886" s="405">
        <f t="shared" si="26"/>
        <v>31.12</v>
      </c>
      <c r="F886">
        <f t="shared" si="27"/>
        <v>89870</v>
      </c>
      <c r="H886" s="679">
        <v>31.12</v>
      </c>
      <c r="I886" s="679">
        <v>31.12</v>
      </c>
    </row>
    <row r="887" spans="2:9" ht="30">
      <c r="B887" s="395">
        <v>89871</v>
      </c>
      <c r="C887" s="406" t="s">
        <v>288</v>
      </c>
      <c r="D887" s="395" t="s">
        <v>36</v>
      </c>
      <c r="E887" s="407">
        <f t="shared" si="26"/>
        <v>5.4</v>
      </c>
      <c r="F887">
        <f t="shared" si="27"/>
        <v>89871</v>
      </c>
      <c r="H887" s="680">
        <v>5.4</v>
      </c>
      <c r="I887" s="680">
        <v>5.4</v>
      </c>
    </row>
    <row r="888" spans="2:9" ht="30">
      <c r="B888" s="396">
        <v>89872</v>
      </c>
      <c r="C888" s="401" t="s">
        <v>289</v>
      </c>
      <c r="D888" s="396" t="s">
        <v>36</v>
      </c>
      <c r="E888" s="405">
        <f t="shared" si="26"/>
        <v>4.29</v>
      </c>
      <c r="F888">
        <f t="shared" si="27"/>
        <v>89872</v>
      </c>
      <c r="H888" s="679">
        <v>4.29</v>
      </c>
      <c r="I888" s="679">
        <v>4.29</v>
      </c>
    </row>
    <row r="889" spans="2:9" ht="30">
      <c r="B889" s="395">
        <v>89873</v>
      </c>
      <c r="C889" s="406" t="s">
        <v>290</v>
      </c>
      <c r="D889" s="395" t="s">
        <v>36</v>
      </c>
      <c r="E889" s="407">
        <f t="shared" si="26"/>
        <v>52.32</v>
      </c>
      <c r="F889">
        <f t="shared" si="27"/>
        <v>89873</v>
      </c>
      <c r="H889" s="680">
        <v>52.32</v>
      </c>
      <c r="I889" s="680">
        <v>52.32</v>
      </c>
    </row>
    <row r="890" spans="2:9" ht="30">
      <c r="B890" s="396">
        <v>89874</v>
      </c>
      <c r="C890" s="401" t="s">
        <v>291</v>
      </c>
      <c r="D890" s="396" t="s">
        <v>36</v>
      </c>
      <c r="E890" s="405">
        <f t="shared" si="26"/>
        <v>188.9</v>
      </c>
      <c r="F890">
        <f t="shared" si="27"/>
        <v>89874</v>
      </c>
      <c r="H890" s="679">
        <v>188.9</v>
      </c>
      <c r="I890" s="679">
        <v>188.9</v>
      </c>
    </row>
    <row r="891" spans="2:9" ht="30">
      <c r="B891" s="395">
        <v>89878</v>
      </c>
      <c r="C891" s="406" t="s">
        <v>292</v>
      </c>
      <c r="D891" s="395" t="s">
        <v>36</v>
      </c>
      <c r="E891" s="407">
        <f t="shared" si="26"/>
        <v>33.619999999999997</v>
      </c>
      <c r="F891">
        <f t="shared" si="27"/>
        <v>89878</v>
      </c>
      <c r="H891" s="680">
        <v>33.619999999999997</v>
      </c>
      <c r="I891" s="680">
        <v>33.619999999999997</v>
      </c>
    </row>
    <row r="892" spans="2:9" ht="30">
      <c r="B892" s="396">
        <v>89879</v>
      </c>
      <c r="C892" s="401" t="s">
        <v>293</v>
      </c>
      <c r="D892" s="396" t="s">
        <v>36</v>
      </c>
      <c r="E892" s="405">
        <f t="shared" si="26"/>
        <v>5.73</v>
      </c>
      <c r="F892">
        <f t="shared" si="27"/>
        <v>89879</v>
      </c>
      <c r="H892" s="679">
        <v>5.73</v>
      </c>
      <c r="I892" s="679">
        <v>5.73</v>
      </c>
    </row>
    <row r="893" spans="2:9" ht="30">
      <c r="B893" s="395">
        <v>89880</v>
      </c>
      <c r="C893" s="406" t="s">
        <v>294</v>
      </c>
      <c r="D893" s="395" t="s">
        <v>36</v>
      </c>
      <c r="E893" s="407">
        <f t="shared" si="26"/>
        <v>4.54</v>
      </c>
      <c r="F893">
        <f t="shared" si="27"/>
        <v>89880</v>
      </c>
      <c r="H893" s="680">
        <v>4.54</v>
      </c>
      <c r="I893" s="680">
        <v>4.54</v>
      </c>
    </row>
    <row r="894" spans="2:9" ht="30">
      <c r="B894" s="396">
        <v>89881</v>
      </c>
      <c r="C894" s="401" t="s">
        <v>295</v>
      </c>
      <c r="D894" s="396" t="s">
        <v>36</v>
      </c>
      <c r="E894" s="405">
        <f t="shared" si="26"/>
        <v>55.94</v>
      </c>
      <c r="F894">
        <f t="shared" si="27"/>
        <v>89881</v>
      </c>
      <c r="H894" s="679">
        <v>55.94</v>
      </c>
      <c r="I894" s="679">
        <v>55.94</v>
      </c>
    </row>
    <row r="895" spans="2:9" ht="30">
      <c r="B895" s="395">
        <v>89882</v>
      </c>
      <c r="C895" s="406" t="s">
        <v>296</v>
      </c>
      <c r="D895" s="395" t="s">
        <v>36</v>
      </c>
      <c r="E895" s="407">
        <f t="shared" si="26"/>
        <v>217.94</v>
      </c>
      <c r="F895">
        <f t="shared" si="27"/>
        <v>89882</v>
      </c>
      <c r="H895" s="680">
        <v>217.94</v>
      </c>
      <c r="I895" s="680">
        <v>217.94</v>
      </c>
    </row>
    <row r="896" spans="2:9" ht="30">
      <c r="B896" s="396">
        <v>90582</v>
      </c>
      <c r="C896" s="401" t="s">
        <v>1084</v>
      </c>
      <c r="D896" s="396" t="s">
        <v>36</v>
      </c>
      <c r="E896" s="405">
        <f t="shared" si="26"/>
        <v>0.44</v>
      </c>
      <c r="F896">
        <f t="shared" si="27"/>
        <v>90582</v>
      </c>
      <c r="H896" s="679">
        <v>0.44</v>
      </c>
      <c r="I896" s="679">
        <v>0.44</v>
      </c>
    </row>
    <row r="897" spans="2:9">
      <c r="B897" s="395">
        <v>90583</v>
      </c>
      <c r="C897" s="406" t="s">
        <v>1085</v>
      </c>
      <c r="D897" s="395" t="s">
        <v>36</v>
      </c>
      <c r="E897" s="407">
        <f t="shared" si="26"/>
        <v>0.05</v>
      </c>
      <c r="F897">
        <f t="shared" si="27"/>
        <v>90583</v>
      </c>
      <c r="H897" s="680">
        <v>0.05</v>
      </c>
      <c r="I897" s="680">
        <v>0.05</v>
      </c>
    </row>
    <row r="898" spans="2:9" ht="30">
      <c r="B898" s="396">
        <v>90584</v>
      </c>
      <c r="C898" s="401" t="s">
        <v>1086</v>
      </c>
      <c r="D898" s="396" t="s">
        <v>36</v>
      </c>
      <c r="E898" s="405">
        <f t="shared" si="26"/>
        <v>0.34</v>
      </c>
      <c r="F898">
        <f t="shared" si="27"/>
        <v>90584</v>
      </c>
      <c r="H898" s="679">
        <v>0.34</v>
      </c>
      <c r="I898" s="679">
        <v>0.34</v>
      </c>
    </row>
    <row r="899" spans="2:9" ht="30">
      <c r="B899" s="395">
        <v>90585</v>
      </c>
      <c r="C899" s="406" t="s">
        <v>1087</v>
      </c>
      <c r="D899" s="395" t="s">
        <v>36</v>
      </c>
      <c r="E899" s="407">
        <f t="shared" ref="E899:E962" si="28">IF($K$2=$H$1,H899,I899)</f>
        <v>0.54</v>
      </c>
      <c r="F899">
        <f t="shared" ref="F899:F962" si="29">IF(LEN($B899)=7,CONCATENATE(MID($B899,1,6),"00",RIGHT($B899,1)),IF(LEN($B899)=8,CONCATENATE(MID($B899,1,6),"0",RIGHT($B899,2)),$B899))</f>
        <v>90585</v>
      </c>
      <c r="H899" s="680">
        <v>0.54</v>
      </c>
      <c r="I899" s="680">
        <v>0.54</v>
      </c>
    </row>
    <row r="900" spans="2:9">
      <c r="B900" s="396">
        <v>90621</v>
      </c>
      <c r="C900" s="401" t="s">
        <v>297</v>
      </c>
      <c r="D900" s="396" t="s">
        <v>36</v>
      </c>
      <c r="E900" s="405">
        <f t="shared" si="28"/>
        <v>2.38</v>
      </c>
      <c r="F900">
        <f t="shared" si="29"/>
        <v>90621</v>
      </c>
      <c r="H900" s="679">
        <v>2.38</v>
      </c>
      <c r="I900" s="679">
        <v>2.38</v>
      </c>
    </row>
    <row r="901" spans="2:9">
      <c r="B901" s="395">
        <v>90622</v>
      </c>
      <c r="C901" s="406" t="s">
        <v>298</v>
      </c>
      <c r="D901" s="395" t="s">
        <v>36</v>
      </c>
      <c r="E901" s="407">
        <f t="shared" si="28"/>
        <v>0.28000000000000003</v>
      </c>
      <c r="F901">
        <f t="shared" si="29"/>
        <v>90622</v>
      </c>
      <c r="H901" s="680">
        <v>0.28000000000000003</v>
      </c>
      <c r="I901" s="680">
        <v>0.28000000000000003</v>
      </c>
    </row>
    <row r="902" spans="2:9">
      <c r="B902" s="396">
        <v>90623</v>
      </c>
      <c r="C902" s="401" t="s">
        <v>299</v>
      </c>
      <c r="D902" s="396" t="s">
        <v>36</v>
      </c>
      <c r="E902" s="405">
        <f t="shared" si="28"/>
        <v>2.98</v>
      </c>
      <c r="F902">
        <f t="shared" si="29"/>
        <v>90623</v>
      </c>
      <c r="H902" s="679">
        <v>2.98</v>
      </c>
      <c r="I902" s="679">
        <v>2.98</v>
      </c>
    </row>
    <row r="903" spans="2:9" ht="30">
      <c r="B903" s="395">
        <v>90624</v>
      </c>
      <c r="C903" s="406" t="s">
        <v>300</v>
      </c>
      <c r="D903" s="395" t="s">
        <v>36</v>
      </c>
      <c r="E903" s="407">
        <f t="shared" si="28"/>
        <v>3.28</v>
      </c>
      <c r="F903">
        <f t="shared" si="29"/>
        <v>90624</v>
      </c>
      <c r="H903" s="680">
        <v>3.28</v>
      </c>
      <c r="I903" s="680">
        <v>3.28</v>
      </c>
    </row>
    <row r="904" spans="2:9" ht="30">
      <c r="B904" s="396">
        <v>90627</v>
      </c>
      <c r="C904" s="401" t="s">
        <v>301</v>
      </c>
      <c r="D904" s="396" t="s">
        <v>36</v>
      </c>
      <c r="E904" s="405">
        <f t="shared" si="28"/>
        <v>48.12</v>
      </c>
      <c r="F904">
        <f t="shared" si="29"/>
        <v>90627</v>
      </c>
      <c r="H904" s="679">
        <v>48.12</v>
      </c>
      <c r="I904" s="679">
        <v>48.12</v>
      </c>
    </row>
    <row r="905" spans="2:9" ht="30">
      <c r="B905" s="395">
        <v>90628</v>
      </c>
      <c r="C905" s="406" t="s">
        <v>302</v>
      </c>
      <c r="D905" s="395" t="s">
        <v>36</v>
      </c>
      <c r="E905" s="407">
        <f t="shared" si="28"/>
        <v>6.59</v>
      </c>
      <c r="F905">
        <f t="shared" si="29"/>
        <v>90628</v>
      </c>
      <c r="H905" s="680">
        <v>6.59</v>
      </c>
      <c r="I905" s="680">
        <v>6.59</v>
      </c>
    </row>
    <row r="906" spans="2:9" ht="30">
      <c r="B906" s="396">
        <v>90629</v>
      </c>
      <c r="C906" s="401" t="s">
        <v>303</v>
      </c>
      <c r="D906" s="396" t="s">
        <v>36</v>
      </c>
      <c r="E906" s="405">
        <f t="shared" si="28"/>
        <v>60.21</v>
      </c>
      <c r="F906">
        <f t="shared" si="29"/>
        <v>90629</v>
      </c>
      <c r="H906" s="679">
        <v>60.21</v>
      </c>
      <c r="I906" s="679">
        <v>60.21</v>
      </c>
    </row>
    <row r="907" spans="2:9" ht="30">
      <c r="B907" s="395">
        <v>90630</v>
      </c>
      <c r="C907" s="406" t="s">
        <v>1088</v>
      </c>
      <c r="D907" s="395" t="s">
        <v>36</v>
      </c>
      <c r="E907" s="407">
        <f t="shared" si="28"/>
        <v>1.56</v>
      </c>
      <c r="F907">
        <f t="shared" si="29"/>
        <v>90630</v>
      </c>
      <c r="H907" s="680">
        <v>1.56</v>
      </c>
      <c r="I907" s="680">
        <v>1.56</v>
      </c>
    </row>
    <row r="908" spans="2:9" ht="30">
      <c r="B908" s="396">
        <v>90633</v>
      </c>
      <c r="C908" s="401" t="s">
        <v>57</v>
      </c>
      <c r="D908" s="396" t="s">
        <v>36</v>
      </c>
      <c r="E908" s="405">
        <f t="shared" si="28"/>
        <v>4.58</v>
      </c>
      <c r="F908">
        <f t="shared" si="29"/>
        <v>90633</v>
      </c>
      <c r="H908" s="679">
        <v>4.58</v>
      </c>
      <c r="I908" s="679">
        <v>4.58</v>
      </c>
    </row>
    <row r="909" spans="2:9" ht="30">
      <c r="B909" s="395">
        <v>90634</v>
      </c>
      <c r="C909" s="406" t="s">
        <v>58</v>
      </c>
      <c r="D909" s="395" t="s">
        <v>36</v>
      </c>
      <c r="E909" s="407">
        <f t="shared" si="28"/>
        <v>0.54</v>
      </c>
      <c r="F909">
        <f t="shared" si="29"/>
        <v>90634</v>
      </c>
      <c r="H909" s="680">
        <v>0.54</v>
      </c>
      <c r="I909" s="680">
        <v>0.54</v>
      </c>
    </row>
    <row r="910" spans="2:9" ht="30">
      <c r="B910" s="396">
        <v>90635</v>
      </c>
      <c r="C910" s="401" t="s">
        <v>59</v>
      </c>
      <c r="D910" s="396" t="s">
        <v>36</v>
      </c>
      <c r="E910" s="405">
        <f t="shared" si="28"/>
        <v>5.01</v>
      </c>
      <c r="F910">
        <f t="shared" si="29"/>
        <v>90635</v>
      </c>
      <c r="H910" s="679">
        <v>5.01</v>
      </c>
      <c r="I910" s="679">
        <v>5.01</v>
      </c>
    </row>
    <row r="911" spans="2:9" ht="30">
      <c r="B911" s="395">
        <v>90636</v>
      </c>
      <c r="C911" s="406" t="s">
        <v>60</v>
      </c>
      <c r="D911" s="395" t="s">
        <v>36</v>
      </c>
      <c r="E911" s="407">
        <f t="shared" si="28"/>
        <v>6.57</v>
      </c>
      <c r="F911">
        <f t="shared" si="29"/>
        <v>90636</v>
      </c>
      <c r="H911" s="680">
        <v>6.57</v>
      </c>
      <c r="I911" s="680">
        <v>6.57</v>
      </c>
    </row>
    <row r="912" spans="2:9" ht="30">
      <c r="B912" s="396">
        <v>90639</v>
      </c>
      <c r="C912" s="401" t="s">
        <v>1089</v>
      </c>
      <c r="D912" s="396" t="s">
        <v>36</v>
      </c>
      <c r="E912" s="405">
        <f t="shared" si="28"/>
        <v>6.84</v>
      </c>
      <c r="F912">
        <f t="shared" si="29"/>
        <v>90639</v>
      </c>
      <c r="H912" s="679">
        <v>6.84</v>
      </c>
      <c r="I912" s="679">
        <v>6.84</v>
      </c>
    </row>
    <row r="913" spans="2:9" ht="30">
      <c r="B913" s="395">
        <v>90640</v>
      </c>
      <c r="C913" s="406" t="s">
        <v>1090</v>
      </c>
      <c r="D913" s="395" t="s">
        <v>36</v>
      </c>
      <c r="E913" s="407">
        <f t="shared" si="28"/>
        <v>0.81</v>
      </c>
      <c r="F913">
        <f t="shared" si="29"/>
        <v>90640</v>
      </c>
      <c r="H913" s="680">
        <v>0.81</v>
      </c>
      <c r="I913" s="680">
        <v>0.81</v>
      </c>
    </row>
    <row r="914" spans="2:9" ht="30">
      <c r="B914" s="396">
        <v>90641</v>
      </c>
      <c r="C914" s="401" t="s">
        <v>1091</v>
      </c>
      <c r="D914" s="396" t="s">
        <v>36</v>
      </c>
      <c r="E914" s="405">
        <f t="shared" si="28"/>
        <v>7.48</v>
      </c>
      <c r="F914">
        <f t="shared" si="29"/>
        <v>90641</v>
      </c>
      <c r="H914" s="679">
        <v>7.48</v>
      </c>
      <c r="I914" s="679">
        <v>7.48</v>
      </c>
    </row>
    <row r="915" spans="2:9" ht="30">
      <c r="B915" s="395">
        <v>90642</v>
      </c>
      <c r="C915" s="406" t="s">
        <v>1092</v>
      </c>
      <c r="D915" s="395" t="s">
        <v>36</v>
      </c>
      <c r="E915" s="407">
        <f t="shared" si="28"/>
        <v>13.46</v>
      </c>
      <c r="F915">
        <f t="shared" si="29"/>
        <v>90642</v>
      </c>
      <c r="H915" s="680">
        <v>13.46</v>
      </c>
      <c r="I915" s="680">
        <v>13.46</v>
      </c>
    </row>
    <row r="916" spans="2:9" ht="30">
      <c r="B916" s="396">
        <v>90646</v>
      </c>
      <c r="C916" s="401" t="s">
        <v>1093</v>
      </c>
      <c r="D916" s="396" t="s">
        <v>36</v>
      </c>
      <c r="E916" s="405">
        <f t="shared" si="28"/>
        <v>0.86</v>
      </c>
      <c r="F916">
        <f t="shared" si="29"/>
        <v>90646</v>
      </c>
      <c r="H916" s="679">
        <v>0.86</v>
      </c>
      <c r="I916" s="679">
        <v>0.86</v>
      </c>
    </row>
    <row r="917" spans="2:9" ht="30">
      <c r="B917" s="395">
        <v>90647</v>
      </c>
      <c r="C917" s="406" t="s">
        <v>1094</v>
      </c>
      <c r="D917" s="395" t="s">
        <v>36</v>
      </c>
      <c r="E917" s="407">
        <f t="shared" si="28"/>
        <v>0.1</v>
      </c>
      <c r="F917">
        <f t="shared" si="29"/>
        <v>90647</v>
      </c>
      <c r="H917" s="680">
        <v>0.1</v>
      </c>
      <c r="I917" s="680">
        <v>0.1</v>
      </c>
    </row>
    <row r="918" spans="2:9" ht="30">
      <c r="B918" s="396">
        <v>90648</v>
      </c>
      <c r="C918" s="401" t="s">
        <v>1095</v>
      </c>
      <c r="D918" s="396" t="s">
        <v>36</v>
      </c>
      <c r="E918" s="405">
        <f t="shared" si="28"/>
        <v>0.94</v>
      </c>
      <c r="F918">
        <f t="shared" si="29"/>
        <v>90648</v>
      </c>
      <c r="H918" s="679">
        <v>0.94</v>
      </c>
      <c r="I918" s="679">
        <v>0.94</v>
      </c>
    </row>
    <row r="919" spans="2:9" ht="30">
      <c r="B919" s="395">
        <v>90649</v>
      </c>
      <c r="C919" s="406" t="s">
        <v>1096</v>
      </c>
      <c r="D919" s="395" t="s">
        <v>36</v>
      </c>
      <c r="E919" s="407">
        <f t="shared" si="28"/>
        <v>10.17</v>
      </c>
      <c r="F919">
        <f t="shared" si="29"/>
        <v>90649</v>
      </c>
      <c r="H919" s="680">
        <v>10.17</v>
      </c>
      <c r="I919" s="680">
        <v>10.17</v>
      </c>
    </row>
    <row r="920" spans="2:9">
      <c r="B920" s="396">
        <v>90652</v>
      </c>
      <c r="C920" s="401" t="s">
        <v>1097</v>
      </c>
      <c r="D920" s="396" t="s">
        <v>36</v>
      </c>
      <c r="E920" s="405">
        <f t="shared" si="28"/>
        <v>4.45</v>
      </c>
      <c r="F920">
        <f t="shared" si="29"/>
        <v>90652</v>
      </c>
      <c r="H920" s="679">
        <v>4.45</v>
      </c>
      <c r="I920" s="679">
        <v>4.45</v>
      </c>
    </row>
    <row r="921" spans="2:9">
      <c r="B921" s="395">
        <v>90653</v>
      </c>
      <c r="C921" s="406" t="s">
        <v>1098</v>
      </c>
      <c r="D921" s="395" t="s">
        <v>36</v>
      </c>
      <c r="E921" s="407">
        <f t="shared" si="28"/>
        <v>0.52</v>
      </c>
      <c r="F921">
        <f t="shared" si="29"/>
        <v>90653</v>
      </c>
      <c r="H921" s="680">
        <v>0.52</v>
      </c>
      <c r="I921" s="680">
        <v>0.52</v>
      </c>
    </row>
    <row r="922" spans="2:9">
      <c r="B922" s="396">
        <v>90654</v>
      </c>
      <c r="C922" s="401" t="s">
        <v>1099</v>
      </c>
      <c r="D922" s="396" t="s">
        <v>36</v>
      </c>
      <c r="E922" s="405">
        <f t="shared" si="28"/>
        <v>4.87</v>
      </c>
      <c r="F922">
        <f t="shared" si="29"/>
        <v>90654</v>
      </c>
      <c r="H922" s="679">
        <v>4.87</v>
      </c>
      <c r="I922" s="679">
        <v>4.87</v>
      </c>
    </row>
    <row r="923" spans="2:9">
      <c r="B923" s="395">
        <v>90655</v>
      </c>
      <c r="C923" s="406" t="s">
        <v>1100</v>
      </c>
      <c r="D923" s="395" t="s">
        <v>36</v>
      </c>
      <c r="E923" s="407">
        <f t="shared" si="28"/>
        <v>6.69</v>
      </c>
      <c r="F923">
        <f t="shared" si="29"/>
        <v>90655</v>
      </c>
      <c r="H923" s="680">
        <v>6.69</v>
      </c>
      <c r="I923" s="680">
        <v>6.69</v>
      </c>
    </row>
    <row r="924" spans="2:9">
      <c r="B924" s="396">
        <v>90658</v>
      </c>
      <c r="C924" s="401" t="s">
        <v>1101</v>
      </c>
      <c r="D924" s="396" t="s">
        <v>36</v>
      </c>
      <c r="E924" s="405">
        <f t="shared" si="28"/>
        <v>4.7699999999999996</v>
      </c>
      <c r="F924">
        <f t="shared" si="29"/>
        <v>90658</v>
      </c>
      <c r="H924" s="679">
        <v>4.7699999999999996</v>
      </c>
      <c r="I924" s="679">
        <v>4.7699999999999996</v>
      </c>
    </row>
    <row r="925" spans="2:9">
      <c r="B925" s="395">
        <v>90659</v>
      </c>
      <c r="C925" s="406" t="s">
        <v>1102</v>
      </c>
      <c r="D925" s="395" t="s">
        <v>36</v>
      </c>
      <c r="E925" s="407">
        <f t="shared" si="28"/>
        <v>0.56000000000000005</v>
      </c>
      <c r="F925">
        <f t="shared" si="29"/>
        <v>90659</v>
      </c>
      <c r="H925" s="680">
        <v>0.56000000000000005</v>
      </c>
      <c r="I925" s="680">
        <v>0.56000000000000005</v>
      </c>
    </row>
    <row r="926" spans="2:9">
      <c r="B926" s="396">
        <v>90660</v>
      </c>
      <c r="C926" s="401" t="s">
        <v>1103</v>
      </c>
      <c r="D926" s="396" t="s">
        <v>36</v>
      </c>
      <c r="E926" s="405">
        <f t="shared" si="28"/>
        <v>5.22</v>
      </c>
      <c r="F926">
        <f t="shared" si="29"/>
        <v>90660</v>
      </c>
      <c r="H926" s="679">
        <v>5.22</v>
      </c>
      <c r="I926" s="679">
        <v>5.22</v>
      </c>
    </row>
    <row r="927" spans="2:9">
      <c r="B927" s="395">
        <v>90661</v>
      </c>
      <c r="C927" s="406" t="s">
        <v>1104</v>
      </c>
      <c r="D927" s="395" t="s">
        <v>36</v>
      </c>
      <c r="E927" s="407">
        <f t="shared" si="28"/>
        <v>6.69</v>
      </c>
      <c r="F927">
        <f t="shared" si="29"/>
        <v>90661</v>
      </c>
      <c r="H927" s="680">
        <v>6.69</v>
      </c>
      <c r="I927" s="680">
        <v>6.69</v>
      </c>
    </row>
    <row r="928" spans="2:9" ht="30">
      <c r="B928" s="396">
        <v>90664</v>
      </c>
      <c r="C928" s="401" t="s">
        <v>1105</v>
      </c>
      <c r="D928" s="396" t="s">
        <v>36</v>
      </c>
      <c r="E928" s="405">
        <f t="shared" si="28"/>
        <v>6.61</v>
      </c>
      <c r="F928">
        <f t="shared" si="29"/>
        <v>90664</v>
      </c>
      <c r="H928" s="679">
        <v>6.61</v>
      </c>
      <c r="I928" s="679">
        <v>6.61</v>
      </c>
    </row>
    <row r="929" spans="2:9" ht="30">
      <c r="B929" s="395">
        <v>90665</v>
      </c>
      <c r="C929" s="406" t="s">
        <v>1106</v>
      </c>
      <c r="D929" s="395" t="s">
        <v>36</v>
      </c>
      <c r="E929" s="407">
        <f t="shared" si="28"/>
        <v>0.91</v>
      </c>
      <c r="F929">
        <f t="shared" si="29"/>
        <v>90665</v>
      </c>
      <c r="H929" s="680">
        <v>0.91</v>
      </c>
      <c r="I929" s="680">
        <v>0.91</v>
      </c>
    </row>
    <row r="930" spans="2:9" ht="30">
      <c r="B930" s="396">
        <v>90666</v>
      </c>
      <c r="C930" s="401" t="s">
        <v>1107</v>
      </c>
      <c r="D930" s="396" t="s">
        <v>36</v>
      </c>
      <c r="E930" s="405">
        <f t="shared" si="28"/>
        <v>8.25</v>
      </c>
      <c r="F930">
        <f t="shared" si="29"/>
        <v>90666</v>
      </c>
      <c r="H930" s="679">
        <v>8.25</v>
      </c>
      <c r="I930" s="679">
        <v>8.25</v>
      </c>
    </row>
    <row r="931" spans="2:9" ht="30">
      <c r="B931" s="395">
        <v>90667</v>
      </c>
      <c r="C931" s="406" t="s">
        <v>1108</v>
      </c>
      <c r="D931" s="395" t="s">
        <v>36</v>
      </c>
      <c r="E931" s="407">
        <f t="shared" si="28"/>
        <v>16.02</v>
      </c>
      <c r="F931">
        <f t="shared" si="29"/>
        <v>90667</v>
      </c>
      <c r="H931" s="680">
        <v>16.02</v>
      </c>
      <c r="I931" s="680">
        <v>16.02</v>
      </c>
    </row>
    <row r="932" spans="2:9" ht="45">
      <c r="B932" s="396">
        <v>90670</v>
      </c>
      <c r="C932" s="401" t="s">
        <v>1109</v>
      </c>
      <c r="D932" s="396" t="s">
        <v>36</v>
      </c>
      <c r="E932" s="405">
        <f t="shared" si="28"/>
        <v>220.83</v>
      </c>
      <c r="F932">
        <f t="shared" si="29"/>
        <v>90670</v>
      </c>
      <c r="H932" s="679">
        <v>220.83</v>
      </c>
      <c r="I932" s="679">
        <v>220.83</v>
      </c>
    </row>
    <row r="933" spans="2:9" ht="30">
      <c r="B933" s="395">
        <v>90671</v>
      </c>
      <c r="C933" s="406" t="s">
        <v>1110</v>
      </c>
      <c r="D933" s="395" t="s">
        <v>36</v>
      </c>
      <c r="E933" s="407">
        <f t="shared" si="28"/>
        <v>30.65</v>
      </c>
      <c r="F933">
        <f t="shared" si="29"/>
        <v>90671</v>
      </c>
      <c r="H933" s="680">
        <v>30.65</v>
      </c>
      <c r="I933" s="680">
        <v>30.65</v>
      </c>
    </row>
    <row r="934" spans="2:9" ht="45">
      <c r="B934" s="396">
        <v>90672</v>
      </c>
      <c r="C934" s="401" t="s">
        <v>1111</v>
      </c>
      <c r="D934" s="396" t="s">
        <v>36</v>
      </c>
      <c r="E934" s="405">
        <f t="shared" si="28"/>
        <v>276.35000000000002</v>
      </c>
      <c r="F934">
        <f t="shared" si="29"/>
        <v>90672</v>
      </c>
      <c r="H934" s="679">
        <v>276.35000000000002</v>
      </c>
      <c r="I934" s="679">
        <v>276.35000000000002</v>
      </c>
    </row>
    <row r="935" spans="2:9" ht="45">
      <c r="B935" s="395">
        <v>90673</v>
      </c>
      <c r="C935" s="406" t="s">
        <v>1112</v>
      </c>
      <c r="D935" s="395" t="s">
        <v>36</v>
      </c>
      <c r="E935" s="407">
        <f t="shared" si="28"/>
        <v>128.13</v>
      </c>
      <c r="F935">
        <f t="shared" si="29"/>
        <v>90673</v>
      </c>
      <c r="H935" s="680">
        <v>128.13</v>
      </c>
      <c r="I935" s="680">
        <v>128.13</v>
      </c>
    </row>
    <row r="936" spans="2:9" ht="45">
      <c r="B936" s="396">
        <v>90676</v>
      </c>
      <c r="C936" s="401" t="s">
        <v>1113</v>
      </c>
      <c r="D936" s="396" t="s">
        <v>36</v>
      </c>
      <c r="E936" s="405">
        <f t="shared" si="28"/>
        <v>106.11</v>
      </c>
      <c r="F936">
        <f t="shared" si="29"/>
        <v>90676</v>
      </c>
      <c r="H936" s="679">
        <v>106.11</v>
      </c>
      <c r="I936" s="679">
        <v>106.11</v>
      </c>
    </row>
    <row r="937" spans="2:9" ht="30">
      <c r="B937" s="395">
        <v>90677</v>
      </c>
      <c r="C937" s="406" t="s">
        <v>1114</v>
      </c>
      <c r="D937" s="395" t="s">
        <v>36</v>
      </c>
      <c r="E937" s="407">
        <f t="shared" si="28"/>
        <v>16.309999999999999</v>
      </c>
      <c r="F937">
        <f t="shared" si="29"/>
        <v>90677</v>
      </c>
      <c r="H937" s="680">
        <v>16.309999999999999</v>
      </c>
      <c r="I937" s="680">
        <v>16.309999999999999</v>
      </c>
    </row>
    <row r="938" spans="2:9" ht="45">
      <c r="B938" s="396">
        <v>90678</v>
      </c>
      <c r="C938" s="401" t="s">
        <v>1115</v>
      </c>
      <c r="D938" s="396" t="s">
        <v>36</v>
      </c>
      <c r="E938" s="405">
        <f t="shared" si="28"/>
        <v>146.57</v>
      </c>
      <c r="F938">
        <f t="shared" si="29"/>
        <v>90678</v>
      </c>
      <c r="H938" s="679">
        <v>146.57</v>
      </c>
      <c r="I938" s="679">
        <v>146.57</v>
      </c>
    </row>
    <row r="939" spans="2:9" ht="45">
      <c r="B939" s="395">
        <v>90679</v>
      </c>
      <c r="C939" s="406" t="s">
        <v>1116</v>
      </c>
      <c r="D939" s="395" t="s">
        <v>36</v>
      </c>
      <c r="E939" s="407">
        <f t="shared" si="28"/>
        <v>98.26</v>
      </c>
      <c r="F939">
        <f t="shared" si="29"/>
        <v>90679</v>
      </c>
      <c r="H939" s="680">
        <v>98.26</v>
      </c>
      <c r="I939" s="680">
        <v>98.26</v>
      </c>
    </row>
    <row r="940" spans="2:9" ht="30">
      <c r="B940" s="396">
        <v>90682</v>
      </c>
      <c r="C940" s="401" t="s">
        <v>1117</v>
      </c>
      <c r="D940" s="396" t="s">
        <v>36</v>
      </c>
      <c r="E940" s="405">
        <f t="shared" si="28"/>
        <v>26.72</v>
      </c>
      <c r="F940">
        <f t="shared" si="29"/>
        <v>90682</v>
      </c>
      <c r="H940" s="679">
        <v>26.72</v>
      </c>
      <c r="I940" s="679">
        <v>26.72</v>
      </c>
    </row>
    <row r="941" spans="2:9" ht="30">
      <c r="B941" s="395">
        <v>90683</v>
      </c>
      <c r="C941" s="406" t="s">
        <v>1118</v>
      </c>
      <c r="D941" s="395" t="s">
        <v>36</v>
      </c>
      <c r="E941" s="407">
        <f t="shared" si="28"/>
        <v>3.17</v>
      </c>
      <c r="F941">
        <f t="shared" si="29"/>
        <v>90683</v>
      </c>
      <c r="H941" s="680">
        <v>3.17</v>
      </c>
      <c r="I941" s="680">
        <v>3.17</v>
      </c>
    </row>
    <row r="942" spans="2:9" ht="30">
      <c r="B942" s="396">
        <v>90684</v>
      </c>
      <c r="C942" s="401" t="s">
        <v>1119</v>
      </c>
      <c r="D942" s="396" t="s">
        <v>36</v>
      </c>
      <c r="E942" s="405">
        <f t="shared" si="28"/>
        <v>29.22</v>
      </c>
      <c r="F942">
        <f t="shared" si="29"/>
        <v>90684</v>
      </c>
      <c r="H942" s="679">
        <v>29.22</v>
      </c>
      <c r="I942" s="679">
        <v>29.22</v>
      </c>
    </row>
    <row r="943" spans="2:9" ht="30">
      <c r="B943" s="395">
        <v>90685</v>
      </c>
      <c r="C943" s="406" t="s">
        <v>1120</v>
      </c>
      <c r="D943" s="395" t="s">
        <v>36</v>
      </c>
      <c r="E943" s="407">
        <f t="shared" si="28"/>
        <v>60.95</v>
      </c>
      <c r="F943">
        <f t="shared" si="29"/>
        <v>90685</v>
      </c>
      <c r="H943" s="680">
        <v>60.95</v>
      </c>
      <c r="I943" s="680">
        <v>60.95</v>
      </c>
    </row>
    <row r="944" spans="2:9" ht="30">
      <c r="B944" s="396">
        <v>90688</v>
      </c>
      <c r="C944" s="401" t="s">
        <v>1121</v>
      </c>
      <c r="D944" s="396" t="s">
        <v>36</v>
      </c>
      <c r="E944" s="405">
        <f t="shared" si="28"/>
        <v>20.399999999999999</v>
      </c>
      <c r="F944">
        <f t="shared" si="29"/>
        <v>90688</v>
      </c>
      <c r="H944" s="679">
        <v>20.399999999999999</v>
      </c>
      <c r="I944" s="679">
        <v>20.399999999999999</v>
      </c>
    </row>
    <row r="945" spans="2:9" ht="30">
      <c r="B945" s="395">
        <v>90689</v>
      </c>
      <c r="C945" s="406" t="s">
        <v>1122</v>
      </c>
      <c r="D945" s="395" t="s">
        <v>36</v>
      </c>
      <c r="E945" s="407">
        <f t="shared" si="28"/>
        <v>2.06</v>
      </c>
      <c r="F945">
        <f t="shared" si="29"/>
        <v>90689</v>
      </c>
      <c r="H945" s="680">
        <v>2.06</v>
      </c>
      <c r="I945" s="680">
        <v>2.06</v>
      </c>
    </row>
    <row r="946" spans="2:9" ht="30">
      <c r="B946" s="396">
        <v>90690</v>
      </c>
      <c r="C946" s="401" t="s">
        <v>1123</v>
      </c>
      <c r="D946" s="396" t="s">
        <v>36</v>
      </c>
      <c r="E946" s="405">
        <f t="shared" si="28"/>
        <v>25.5</v>
      </c>
      <c r="F946">
        <f t="shared" si="29"/>
        <v>90690</v>
      </c>
      <c r="H946" s="679">
        <v>25.5</v>
      </c>
      <c r="I946" s="679">
        <v>25.5</v>
      </c>
    </row>
    <row r="947" spans="2:9" ht="30">
      <c r="B947" s="395">
        <v>90691</v>
      </c>
      <c r="C947" s="406" t="s">
        <v>1124</v>
      </c>
      <c r="D947" s="395" t="s">
        <v>36</v>
      </c>
      <c r="E947" s="407">
        <f t="shared" si="28"/>
        <v>42.69</v>
      </c>
      <c r="F947">
        <f t="shared" si="29"/>
        <v>90691</v>
      </c>
      <c r="H947" s="680">
        <v>42.69</v>
      </c>
      <c r="I947" s="680">
        <v>42.69</v>
      </c>
    </row>
    <row r="948" spans="2:9" ht="30">
      <c r="B948" s="396">
        <v>90957</v>
      </c>
      <c r="C948" s="401" t="s">
        <v>304</v>
      </c>
      <c r="D948" s="396" t="s">
        <v>36</v>
      </c>
      <c r="E948" s="405">
        <f t="shared" si="28"/>
        <v>4.91</v>
      </c>
      <c r="F948">
        <f t="shared" si="29"/>
        <v>90957</v>
      </c>
      <c r="H948" s="679">
        <v>4.91</v>
      </c>
      <c r="I948" s="679">
        <v>4.91</v>
      </c>
    </row>
    <row r="949" spans="2:9" ht="30">
      <c r="B949" s="395">
        <v>90958</v>
      </c>
      <c r="C949" s="406" t="s">
        <v>305</v>
      </c>
      <c r="D949" s="395" t="s">
        <v>36</v>
      </c>
      <c r="E949" s="407">
        <f t="shared" si="28"/>
        <v>0.68</v>
      </c>
      <c r="F949">
        <f t="shared" si="29"/>
        <v>90958</v>
      </c>
      <c r="H949" s="680">
        <v>0.68</v>
      </c>
      <c r="I949" s="680">
        <v>0.68</v>
      </c>
    </row>
    <row r="950" spans="2:9" ht="30">
      <c r="B950" s="396">
        <v>90960</v>
      </c>
      <c r="C950" s="401" t="s">
        <v>306</v>
      </c>
      <c r="D950" s="396" t="s">
        <v>36</v>
      </c>
      <c r="E950" s="405">
        <f t="shared" si="28"/>
        <v>6.56</v>
      </c>
      <c r="F950">
        <f t="shared" si="29"/>
        <v>90960</v>
      </c>
      <c r="H950" s="679">
        <v>6.56</v>
      </c>
      <c r="I950" s="679">
        <v>6.56</v>
      </c>
    </row>
    <row r="951" spans="2:9" ht="30">
      <c r="B951" s="395">
        <v>90961</v>
      </c>
      <c r="C951" s="406" t="s">
        <v>307</v>
      </c>
      <c r="D951" s="395" t="s">
        <v>36</v>
      </c>
      <c r="E951" s="407">
        <f t="shared" si="28"/>
        <v>0.91</v>
      </c>
      <c r="F951">
        <f t="shared" si="29"/>
        <v>90961</v>
      </c>
      <c r="H951" s="680">
        <v>0.91</v>
      </c>
      <c r="I951" s="680">
        <v>0.91</v>
      </c>
    </row>
    <row r="952" spans="2:9" ht="30">
      <c r="B952" s="396">
        <v>90962</v>
      </c>
      <c r="C952" s="401" t="s">
        <v>308</v>
      </c>
      <c r="D952" s="396" t="s">
        <v>36</v>
      </c>
      <c r="E952" s="405">
        <f t="shared" si="28"/>
        <v>8.2100000000000009</v>
      </c>
      <c r="F952">
        <f t="shared" si="29"/>
        <v>90962</v>
      </c>
      <c r="H952" s="679">
        <v>8.2100000000000009</v>
      </c>
      <c r="I952" s="679">
        <v>8.2100000000000009</v>
      </c>
    </row>
    <row r="953" spans="2:9" ht="30">
      <c r="B953" s="395">
        <v>90963</v>
      </c>
      <c r="C953" s="406" t="s">
        <v>1125</v>
      </c>
      <c r="D953" s="395" t="s">
        <v>36</v>
      </c>
      <c r="E953" s="407">
        <f t="shared" si="28"/>
        <v>16.02</v>
      </c>
      <c r="F953">
        <f t="shared" si="29"/>
        <v>90963</v>
      </c>
      <c r="H953" s="680">
        <v>16.02</v>
      </c>
      <c r="I953" s="680">
        <v>16.02</v>
      </c>
    </row>
    <row r="954" spans="2:9" ht="30">
      <c r="B954" s="396">
        <v>90968</v>
      </c>
      <c r="C954" s="401" t="s">
        <v>1126</v>
      </c>
      <c r="D954" s="396" t="s">
        <v>36</v>
      </c>
      <c r="E954" s="405">
        <f t="shared" si="28"/>
        <v>6.58</v>
      </c>
      <c r="F954">
        <f t="shared" si="29"/>
        <v>90968</v>
      </c>
      <c r="H954" s="679">
        <v>6.58</v>
      </c>
      <c r="I954" s="679">
        <v>6.58</v>
      </c>
    </row>
    <row r="955" spans="2:9" ht="30">
      <c r="B955" s="395">
        <v>90969</v>
      </c>
      <c r="C955" s="406" t="s">
        <v>1127</v>
      </c>
      <c r="D955" s="395" t="s">
        <v>36</v>
      </c>
      <c r="E955" s="407">
        <f t="shared" si="28"/>
        <v>0.91</v>
      </c>
      <c r="F955">
        <f t="shared" si="29"/>
        <v>90969</v>
      </c>
      <c r="H955" s="680">
        <v>0.91</v>
      </c>
      <c r="I955" s="680">
        <v>0.91</v>
      </c>
    </row>
    <row r="956" spans="2:9" ht="30">
      <c r="B956" s="396">
        <v>90970</v>
      </c>
      <c r="C956" s="401" t="s">
        <v>1128</v>
      </c>
      <c r="D956" s="396" t="s">
        <v>36</v>
      </c>
      <c r="E956" s="405">
        <f t="shared" si="28"/>
        <v>8.23</v>
      </c>
      <c r="F956">
        <f t="shared" si="29"/>
        <v>90970</v>
      </c>
      <c r="H956" s="679">
        <v>8.23</v>
      </c>
      <c r="I956" s="679">
        <v>8.23</v>
      </c>
    </row>
    <row r="957" spans="2:9" ht="30">
      <c r="B957" s="395">
        <v>90971</v>
      </c>
      <c r="C957" s="406" t="s">
        <v>1129</v>
      </c>
      <c r="D957" s="395" t="s">
        <v>36</v>
      </c>
      <c r="E957" s="407">
        <f t="shared" si="28"/>
        <v>64.930000000000007</v>
      </c>
      <c r="F957">
        <f t="shared" si="29"/>
        <v>90971</v>
      </c>
      <c r="H957" s="680">
        <v>64.930000000000007</v>
      </c>
      <c r="I957" s="680">
        <v>64.930000000000007</v>
      </c>
    </row>
    <row r="958" spans="2:9" ht="30">
      <c r="B958" s="396">
        <v>90975</v>
      </c>
      <c r="C958" s="401" t="s">
        <v>309</v>
      </c>
      <c r="D958" s="396" t="s">
        <v>36</v>
      </c>
      <c r="E958" s="405">
        <f t="shared" si="28"/>
        <v>16.71</v>
      </c>
      <c r="F958">
        <f t="shared" si="29"/>
        <v>90975</v>
      </c>
      <c r="H958" s="679">
        <v>16.71</v>
      </c>
      <c r="I958" s="679">
        <v>16.71</v>
      </c>
    </row>
    <row r="959" spans="2:9" ht="30">
      <c r="B959" s="395">
        <v>90976</v>
      </c>
      <c r="C959" s="406" t="s">
        <v>310</v>
      </c>
      <c r="D959" s="395" t="s">
        <v>36</v>
      </c>
      <c r="E959" s="407">
        <f t="shared" si="28"/>
        <v>2.3199999999999998</v>
      </c>
      <c r="F959">
        <f t="shared" si="29"/>
        <v>90976</v>
      </c>
      <c r="H959" s="680">
        <v>2.3199999999999998</v>
      </c>
      <c r="I959" s="680">
        <v>2.3199999999999998</v>
      </c>
    </row>
    <row r="960" spans="2:9" ht="30">
      <c r="B960" s="396">
        <v>90977</v>
      </c>
      <c r="C960" s="401" t="s">
        <v>311</v>
      </c>
      <c r="D960" s="396" t="s">
        <v>36</v>
      </c>
      <c r="E960" s="405">
        <f t="shared" si="28"/>
        <v>20.91</v>
      </c>
      <c r="F960">
        <f t="shared" si="29"/>
        <v>90977</v>
      </c>
      <c r="H960" s="679">
        <v>20.91</v>
      </c>
      <c r="I960" s="679">
        <v>20.91</v>
      </c>
    </row>
    <row r="961" spans="2:9" ht="30">
      <c r="B961" s="395">
        <v>90978</v>
      </c>
      <c r="C961" s="406" t="s">
        <v>1130</v>
      </c>
      <c r="D961" s="395" t="s">
        <v>36</v>
      </c>
      <c r="E961" s="407">
        <f t="shared" si="28"/>
        <v>168.45</v>
      </c>
      <c r="F961">
        <f t="shared" si="29"/>
        <v>90978</v>
      </c>
      <c r="H961" s="680">
        <v>168.45</v>
      </c>
      <c r="I961" s="680">
        <v>168.45</v>
      </c>
    </row>
    <row r="962" spans="2:9" ht="30">
      <c r="B962" s="396">
        <v>90992</v>
      </c>
      <c r="C962" s="401" t="s">
        <v>1131</v>
      </c>
      <c r="D962" s="396" t="s">
        <v>36</v>
      </c>
      <c r="E962" s="405">
        <f t="shared" si="28"/>
        <v>7.8</v>
      </c>
      <c r="F962">
        <f t="shared" si="29"/>
        <v>90992</v>
      </c>
      <c r="H962" s="679">
        <v>7.8</v>
      </c>
      <c r="I962" s="679">
        <v>7.8</v>
      </c>
    </row>
    <row r="963" spans="2:9" ht="30">
      <c r="B963" s="395">
        <v>90993</v>
      </c>
      <c r="C963" s="406" t="s">
        <v>1132</v>
      </c>
      <c r="D963" s="395" t="s">
        <v>36</v>
      </c>
      <c r="E963" s="407">
        <f t="shared" ref="E963:E1026" si="30">IF($K$2=$H$1,H963,I963)</f>
        <v>1.08</v>
      </c>
      <c r="F963">
        <f t="shared" ref="F963:F1026" si="31">IF(LEN($B963)=7,CONCATENATE(MID($B963,1,6),"00",RIGHT($B963,1)),IF(LEN($B963)=8,CONCATENATE(MID($B963,1,6),"0",RIGHT($B963,2)),$B963))</f>
        <v>90993</v>
      </c>
      <c r="H963" s="680">
        <v>1.08</v>
      </c>
      <c r="I963" s="680">
        <v>1.08</v>
      </c>
    </row>
    <row r="964" spans="2:9" ht="30">
      <c r="B964" s="396">
        <v>90994</v>
      </c>
      <c r="C964" s="401" t="s">
        <v>1133</v>
      </c>
      <c r="D964" s="396" t="s">
        <v>36</v>
      </c>
      <c r="E964" s="405">
        <f t="shared" si="30"/>
        <v>9.76</v>
      </c>
      <c r="F964">
        <f t="shared" si="31"/>
        <v>90994</v>
      </c>
      <c r="H964" s="679">
        <v>9.76</v>
      </c>
      <c r="I964" s="679">
        <v>9.76</v>
      </c>
    </row>
    <row r="965" spans="2:9" ht="30">
      <c r="B965" s="395">
        <v>90995</v>
      </c>
      <c r="C965" s="406" t="s">
        <v>1134</v>
      </c>
      <c r="D965" s="395" t="s">
        <v>36</v>
      </c>
      <c r="E965" s="407">
        <f t="shared" si="30"/>
        <v>88.2</v>
      </c>
      <c r="F965">
        <f t="shared" si="31"/>
        <v>90995</v>
      </c>
      <c r="H965" s="680">
        <v>88.2</v>
      </c>
      <c r="I965" s="680">
        <v>88.2</v>
      </c>
    </row>
    <row r="966" spans="2:9" ht="45">
      <c r="B966" s="396">
        <v>91021</v>
      </c>
      <c r="C966" s="401" t="s">
        <v>1135</v>
      </c>
      <c r="D966" s="396" t="s">
        <v>36</v>
      </c>
      <c r="E966" s="405">
        <f t="shared" si="30"/>
        <v>12.81</v>
      </c>
      <c r="F966">
        <f t="shared" si="31"/>
        <v>91021</v>
      </c>
      <c r="H966" s="679">
        <v>12.81</v>
      </c>
      <c r="I966" s="679">
        <v>12.81</v>
      </c>
    </row>
    <row r="967" spans="2:9" ht="30">
      <c r="B967" s="395">
        <v>91026</v>
      </c>
      <c r="C967" s="406" t="s">
        <v>312</v>
      </c>
      <c r="D967" s="395" t="s">
        <v>36</v>
      </c>
      <c r="E967" s="407">
        <f t="shared" si="30"/>
        <v>23.6</v>
      </c>
      <c r="F967">
        <f t="shared" si="31"/>
        <v>91026</v>
      </c>
      <c r="H967" s="680">
        <v>23.6</v>
      </c>
      <c r="I967" s="680">
        <v>23.6</v>
      </c>
    </row>
    <row r="968" spans="2:9" ht="30">
      <c r="B968" s="396">
        <v>91027</v>
      </c>
      <c r="C968" s="401" t="s">
        <v>313</v>
      </c>
      <c r="D968" s="396" t="s">
        <v>36</v>
      </c>
      <c r="E968" s="405">
        <f t="shared" si="30"/>
        <v>4.83</v>
      </c>
      <c r="F968">
        <f t="shared" si="31"/>
        <v>91027</v>
      </c>
      <c r="H968" s="679">
        <v>4.83</v>
      </c>
      <c r="I968" s="679">
        <v>4.83</v>
      </c>
    </row>
    <row r="969" spans="2:9" ht="30">
      <c r="B969" s="395">
        <v>91028</v>
      </c>
      <c r="C969" s="406" t="s">
        <v>314</v>
      </c>
      <c r="D969" s="395" t="s">
        <v>36</v>
      </c>
      <c r="E969" s="407">
        <f t="shared" si="30"/>
        <v>3.82</v>
      </c>
      <c r="F969">
        <f t="shared" si="31"/>
        <v>91028</v>
      </c>
      <c r="H969" s="680">
        <v>3.82</v>
      </c>
      <c r="I969" s="680">
        <v>3.82</v>
      </c>
    </row>
    <row r="970" spans="2:9" ht="30">
      <c r="B970" s="396">
        <v>91029</v>
      </c>
      <c r="C970" s="401" t="s">
        <v>315</v>
      </c>
      <c r="D970" s="396" t="s">
        <v>36</v>
      </c>
      <c r="E970" s="405">
        <f t="shared" si="30"/>
        <v>43.3</v>
      </c>
      <c r="F970">
        <f t="shared" si="31"/>
        <v>91029</v>
      </c>
      <c r="H970" s="679">
        <v>43.3</v>
      </c>
      <c r="I970" s="679">
        <v>43.3</v>
      </c>
    </row>
    <row r="971" spans="2:9" ht="30">
      <c r="B971" s="395">
        <v>91030</v>
      </c>
      <c r="C971" s="406" t="s">
        <v>316</v>
      </c>
      <c r="D971" s="395" t="s">
        <v>36</v>
      </c>
      <c r="E971" s="407">
        <f t="shared" si="30"/>
        <v>157.16999999999999</v>
      </c>
      <c r="F971">
        <f t="shared" si="31"/>
        <v>91030</v>
      </c>
      <c r="H971" s="680">
        <v>157.16999999999999</v>
      </c>
      <c r="I971" s="680">
        <v>157.16999999999999</v>
      </c>
    </row>
    <row r="972" spans="2:9" ht="30">
      <c r="B972" s="396">
        <v>91273</v>
      </c>
      <c r="C972" s="401" t="s">
        <v>1136</v>
      </c>
      <c r="D972" s="396" t="s">
        <v>36</v>
      </c>
      <c r="E972" s="405">
        <f t="shared" si="30"/>
        <v>0.51</v>
      </c>
      <c r="F972">
        <f t="shared" si="31"/>
        <v>91273</v>
      </c>
      <c r="H972" s="679">
        <v>0.51</v>
      </c>
      <c r="I972" s="679">
        <v>0.51</v>
      </c>
    </row>
    <row r="973" spans="2:9" ht="30">
      <c r="B973" s="395">
        <v>91274</v>
      </c>
      <c r="C973" s="406" t="s">
        <v>1137</v>
      </c>
      <c r="D973" s="395" t="s">
        <v>36</v>
      </c>
      <c r="E973" s="407">
        <f t="shared" si="30"/>
        <v>7.0000000000000007E-2</v>
      </c>
      <c r="F973">
        <f t="shared" si="31"/>
        <v>91274</v>
      </c>
      <c r="H973" s="680">
        <v>7.0000000000000007E-2</v>
      </c>
      <c r="I973" s="680">
        <v>7.0000000000000007E-2</v>
      </c>
    </row>
    <row r="974" spans="2:9" ht="30">
      <c r="B974" s="396">
        <v>91275</v>
      </c>
      <c r="C974" s="401" t="s">
        <v>1138</v>
      </c>
      <c r="D974" s="396" t="s">
        <v>36</v>
      </c>
      <c r="E974" s="405">
        <f t="shared" si="30"/>
        <v>0.63</v>
      </c>
      <c r="F974">
        <f t="shared" si="31"/>
        <v>91275</v>
      </c>
      <c r="H974" s="679">
        <v>0.63</v>
      </c>
      <c r="I974" s="679">
        <v>0.63</v>
      </c>
    </row>
    <row r="975" spans="2:9" ht="30">
      <c r="B975" s="395">
        <v>91276</v>
      </c>
      <c r="C975" s="406" t="s">
        <v>1139</v>
      </c>
      <c r="D975" s="395" t="s">
        <v>36</v>
      </c>
      <c r="E975" s="407">
        <f t="shared" si="30"/>
        <v>7.12</v>
      </c>
      <c r="F975">
        <f t="shared" si="31"/>
        <v>91276</v>
      </c>
      <c r="H975" s="680">
        <v>7.12</v>
      </c>
      <c r="I975" s="680">
        <v>7.12</v>
      </c>
    </row>
    <row r="976" spans="2:9" ht="30">
      <c r="B976" s="396">
        <v>91279</v>
      </c>
      <c r="C976" s="401" t="s">
        <v>1140</v>
      </c>
      <c r="D976" s="396" t="s">
        <v>36</v>
      </c>
      <c r="E976" s="405">
        <f t="shared" si="30"/>
        <v>0.99</v>
      </c>
      <c r="F976">
        <f t="shared" si="31"/>
        <v>91279</v>
      </c>
      <c r="H976" s="679">
        <v>0.99</v>
      </c>
      <c r="I976" s="679">
        <v>0.99</v>
      </c>
    </row>
    <row r="977" spans="2:9" ht="30">
      <c r="B977" s="395">
        <v>91280</v>
      </c>
      <c r="C977" s="406" t="s">
        <v>1141</v>
      </c>
      <c r="D977" s="395" t="s">
        <v>36</v>
      </c>
      <c r="E977" s="407">
        <f t="shared" si="30"/>
        <v>0.11</v>
      </c>
      <c r="F977">
        <f t="shared" si="31"/>
        <v>91280</v>
      </c>
      <c r="H977" s="680">
        <v>0.11</v>
      </c>
      <c r="I977" s="680">
        <v>0.11</v>
      </c>
    </row>
    <row r="978" spans="2:9" ht="30">
      <c r="B978" s="396">
        <v>91281</v>
      </c>
      <c r="C978" s="401" t="s">
        <v>1142</v>
      </c>
      <c r="D978" s="396" t="s">
        <v>36</v>
      </c>
      <c r="E978" s="405">
        <f t="shared" si="30"/>
        <v>1.23</v>
      </c>
      <c r="F978">
        <f t="shared" si="31"/>
        <v>91281</v>
      </c>
      <c r="H978" s="679">
        <v>1.23</v>
      </c>
      <c r="I978" s="679">
        <v>1.23</v>
      </c>
    </row>
    <row r="979" spans="2:9" ht="30">
      <c r="B979" s="395">
        <v>91282</v>
      </c>
      <c r="C979" s="406" t="s">
        <v>1143</v>
      </c>
      <c r="D979" s="395" t="s">
        <v>36</v>
      </c>
      <c r="E979" s="407">
        <f t="shared" si="30"/>
        <v>7.17</v>
      </c>
      <c r="F979">
        <f t="shared" si="31"/>
        <v>91282</v>
      </c>
      <c r="H979" s="680">
        <v>7.17</v>
      </c>
      <c r="I979" s="680">
        <v>7.17</v>
      </c>
    </row>
    <row r="980" spans="2:9" ht="30">
      <c r="B980" s="396">
        <v>91354</v>
      </c>
      <c r="C980" s="401" t="s">
        <v>317</v>
      </c>
      <c r="D980" s="396" t="s">
        <v>36</v>
      </c>
      <c r="E980" s="405">
        <f t="shared" si="30"/>
        <v>16.84</v>
      </c>
      <c r="F980">
        <f t="shared" si="31"/>
        <v>91354</v>
      </c>
      <c r="H980" s="679">
        <v>16.84</v>
      </c>
      <c r="I980" s="679">
        <v>16.84</v>
      </c>
    </row>
    <row r="981" spans="2:9" ht="30">
      <c r="B981" s="395">
        <v>91355</v>
      </c>
      <c r="C981" s="406" t="s">
        <v>318</v>
      </c>
      <c r="D981" s="395" t="s">
        <v>36</v>
      </c>
      <c r="E981" s="407">
        <f t="shared" si="30"/>
        <v>3.53</v>
      </c>
      <c r="F981">
        <f t="shared" si="31"/>
        <v>91355</v>
      </c>
      <c r="H981" s="680">
        <v>3.53</v>
      </c>
      <c r="I981" s="680">
        <v>3.53</v>
      </c>
    </row>
    <row r="982" spans="2:9" ht="30">
      <c r="B982" s="396">
        <v>91356</v>
      </c>
      <c r="C982" s="401" t="s">
        <v>319</v>
      </c>
      <c r="D982" s="396" t="s">
        <v>36</v>
      </c>
      <c r="E982" s="405">
        <f t="shared" si="30"/>
        <v>2.79</v>
      </c>
      <c r="F982">
        <f t="shared" si="31"/>
        <v>91356</v>
      </c>
      <c r="H982" s="679">
        <v>2.79</v>
      </c>
      <c r="I982" s="679">
        <v>2.79</v>
      </c>
    </row>
    <row r="983" spans="2:9" ht="30">
      <c r="B983" s="395">
        <v>91359</v>
      </c>
      <c r="C983" s="406" t="s">
        <v>1144</v>
      </c>
      <c r="D983" s="395" t="s">
        <v>36</v>
      </c>
      <c r="E983" s="407">
        <f t="shared" si="30"/>
        <v>20.12</v>
      </c>
      <c r="F983">
        <f t="shared" si="31"/>
        <v>91359</v>
      </c>
      <c r="H983" s="680">
        <v>20.12</v>
      </c>
      <c r="I983" s="680">
        <v>20.12</v>
      </c>
    </row>
    <row r="984" spans="2:9" ht="30">
      <c r="B984" s="396">
        <v>91360</v>
      </c>
      <c r="C984" s="401" t="s">
        <v>1145</v>
      </c>
      <c r="D984" s="396" t="s">
        <v>36</v>
      </c>
      <c r="E984" s="405">
        <f t="shared" si="30"/>
        <v>3.92</v>
      </c>
      <c r="F984">
        <f t="shared" si="31"/>
        <v>91360</v>
      </c>
      <c r="H984" s="679">
        <v>3.92</v>
      </c>
      <c r="I984" s="679">
        <v>3.92</v>
      </c>
    </row>
    <row r="985" spans="2:9" ht="30">
      <c r="B985" s="395">
        <v>91361</v>
      </c>
      <c r="C985" s="406" t="s">
        <v>1146</v>
      </c>
      <c r="D985" s="395" t="s">
        <v>36</v>
      </c>
      <c r="E985" s="407">
        <f t="shared" si="30"/>
        <v>3.1</v>
      </c>
      <c r="F985">
        <f t="shared" si="31"/>
        <v>91361</v>
      </c>
      <c r="H985" s="680">
        <v>3.1</v>
      </c>
      <c r="I985" s="680">
        <v>3.1</v>
      </c>
    </row>
    <row r="986" spans="2:9" ht="30">
      <c r="B986" s="396">
        <v>91367</v>
      </c>
      <c r="C986" s="401" t="s">
        <v>1147</v>
      </c>
      <c r="D986" s="396" t="s">
        <v>36</v>
      </c>
      <c r="E986" s="405">
        <f t="shared" si="30"/>
        <v>21.04</v>
      </c>
      <c r="F986">
        <f t="shared" si="31"/>
        <v>91367</v>
      </c>
      <c r="H986" s="679">
        <v>21.04</v>
      </c>
      <c r="I986" s="679">
        <v>21.04</v>
      </c>
    </row>
    <row r="987" spans="2:9" ht="30">
      <c r="B987" s="395">
        <v>91368</v>
      </c>
      <c r="C987" s="406" t="s">
        <v>1148</v>
      </c>
      <c r="D987" s="395" t="s">
        <v>36</v>
      </c>
      <c r="E987" s="407">
        <f t="shared" si="30"/>
        <v>4.13</v>
      </c>
      <c r="F987">
        <f t="shared" si="31"/>
        <v>91368</v>
      </c>
      <c r="H987" s="680">
        <v>4.13</v>
      </c>
      <c r="I987" s="680">
        <v>4.13</v>
      </c>
    </row>
    <row r="988" spans="2:9" ht="30">
      <c r="B988" s="396">
        <v>91369</v>
      </c>
      <c r="C988" s="401" t="s">
        <v>1149</v>
      </c>
      <c r="D988" s="396" t="s">
        <v>36</v>
      </c>
      <c r="E988" s="405">
        <f t="shared" si="30"/>
        <v>3.27</v>
      </c>
      <c r="F988">
        <f t="shared" si="31"/>
        <v>91369</v>
      </c>
      <c r="H988" s="679">
        <v>3.27</v>
      </c>
      <c r="I988" s="679">
        <v>3.27</v>
      </c>
    </row>
    <row r="989" spans="2:9" ht="30">
      <c r="B989" s="395">
        <v>91375</v>
      </c>
      <c r="C989" s="406" t="s">
        <v>1150</v>
      </c>
      <c r="D989" s="395" t="s">
        <v>36</v>
      </c>
      <c r="E989" s="407">
        <f t="shared" si="30"/>
        <v>18.489999999999998</v>
      </c>
      <c r="F989">
        <f t="shared" si="31"/>
        <v>91375</v>
      </c>
      <c r="H989" s="680">
        <v>18.489999999999998</v>
      </c>
      <c r="I989" s="680">
        <v>18.489999999999998</v>
      </c>
    </row>
    <row r="990" spans="2:9" ht="30">
      <c r="B990" s="396">
        <v>91376</v>
      </c>
      <c r="C990" s="401" t="s">
        <v>1151</v>
      </c>
      <c r="D990" s="396" t="s">
        <v>36</v>
      </c>
      <c r="E990" s="405">
        <f t="shared" si="30"/>
        <v>3.88</v>
      </c>
      <c r="F990">
        <f t="shared" si="31"/>
        <v>91376</v>
      </c>
      <c r="H990" s="679">
        <v>3.88</v>
      </c>
      <c r="I990" s="679">
        <v>3.88</v>
      </c>
    </row>
    <row r="991" spans="2:9" ht="30">
      <c r="B991" s="395">
        <v>91377</v>
      </c>
      <c r="C991" s="406" t="s">
        <v>1152</v>
      </c>
      <c r="D991" s="395" t="s">
        <v>36</v>
      </c>
      <c r="E991" s="407">
        <f t="shared" si="30"/>
        <v>3.07</v>
      </c>
      <c r="F991">
        <f t="shared" si="31"/>
        <v>91377</v>
      </c>
      <c r="H991" s="680">
        <v>3.07</v>
      </c>
      <c r="I991" s="680">
        <v>3.07</v>
      </c>
    </row>
    <row r="992" spans="2:9" ht="30">
      <c r="B992" s="396">
        <v>91380</v>
      </c>
      <c r="C992" s="401" t="s">
        <v>1153</v>
      </c>
      <c r="D992" s="396" t="s">
        <v>36</v>
      </c>
      <c r="E992" s="405">
        <f t="shared" si="30"/>
        <v>27.7</v>
      </c>
      <c r="F992">
        <f t="shared" si="31"/>
        <v>91380</v>
      </c>
      <c r="H992" s="679">
        <v>27.7</v>
      </c>
      <c r="I992" s="679">
        <v>27.7</v>
      </c>
    </row>
    <row r="993" spans="2:9" ht="30">
      <c r="B993" s="395">
        <v>91381</v>
      </c>
      <c r="C993" s="406" t="s">
        <v>1154</v>
      </c>
      <c r="D993" s="395" t="s">
        <v>36</v>
      </c>
      <c r="E993" s="407">
        <f t="shared" si="30"/>
        <v>5.43</v>
      </c>
      <c r="F993">
        <f t="shared" si="31"/>
        <v>91381</v>
      </c>
      <c r="H993" s="680">
        <v>5.43</v>
      </c>
      <c r="I993" s="680">
        <v>5.43</v>
      </c>
    </row>
    <row r="994" spans="2:9" ht="30">
      <c r="B994" s="396">
        <v>91382</v>
      </c>
      <c r="C994" s="401" t="s">
        <v>1155</v>
      </c>
      <c r="D994" s="396" t="s">
        <v>36</v>
      </c>
      <c r="E994" s="405">
        <f t="shared" si="30"/>
        <v>4.3</v>
      </c>
      <c r="F994">
        <f t="shared" si="31"/>
        <v>91382</v>
      </c>
      <c r="H994" s="679">
        <v>4.3</v>
      </c>
      <c r="I994" s="679">
        <v>4.3</v>
      </c>
    </row>
    <row r="995" spans="2:9" ht="30">
      <c r="B995" s="395">
        <v>91383</v>
      </c>
      <c r="C995" s="406" t="s">
        <v>1156</v>
      </c>
      <c r="D995" s="395" t="s">
        <v>36</v>
      </c>
      <c r="E995" s="407">
        <f t="shared" si="30"/>
        <v>49.9</v>
      </c>
      <c r="F995">
        <f t="shared" si="31"/>
        <v>91383</v>
      </c>
      <c r="H995" s="680">
        <v>49.9</v>
      </c>
      <c r="I995" s="680">
        <v>49.9</v>
      </c>
    </row>
    <row r="996" spans="2:9" ht="30">
      <c r="B996" s="396">
        <v>91384</v>
      </c>
      <c r="C996" s="401" t="s">
        <v>1157</v>
      </c>
      <c r="D996" s="396" t="s">
        <v>36</v>
      </c>
      <c r="E996" s="405">
        <f t="shared" si="30"/>
        <v>151.91</v>
      </c>
      <c r="F996">
        <f t="shared" si="31"/>
        <v>91384</v>
      </c>
      <c r="H996" s="679">
        <v>151.91</v>
      </c>
      <c r="I996" s="679">
        <v>151.91</v>
      </c>
    </row>
    <row r="997" spans="2:9" ht="30">
      <c r="B997" s="395">
        <v>91390</v>
      </c>
      <c r="C997" s="406" t="s">
        <v>1158</v>
      </c>
      <c r="D997" s="395" t="s">
        <v>36</v>
      </c>
      <c r="E997" s="407">
        <f t="shared" si="30"/>
        <v>18.34</v>
      </c>
      <c r="F997">
        <f t="shared" si="31"/>
        <v>91390</v>
      </c>
      <c r="H997" s="680">
        <v>18.34</v>
      </c>
      <c r="I997" s="680">
        <v>18.34</v>
      </c>
    </row>
    <row r="998" spans="2:9" ht="30">
      <c r="B998" s="396">
        <v>91391</v>
      </c>
      <c r="C998" s="401" t="s">
        <v>1159</v>
      </c>
      <c r="D998" s="396" t="s">
        <v>36</v>
      </c>
      <c r="E998" s="405">
        <f t="shared" si="30"/>
        <v>3.72</v>
      </c>
      <c r="F998">
        <f t="shared" si="31"/>
        <v>91391</v>
      </c>
      <c r="H998" s="679">
        <v>3.72</v>
      </c>
      <c r="I998" s="679">
        <v>3.72</v>
      </c>
    </row>
    <row r="999" spans="2:9" ht="45">
      <c r="B999" s="395">
        <v>91392</v>
      </c>
      <c r="C999" s="406" t="s">
        <v>1160</v>
      </c>
      <c r="D999" s="395" t="s">
        <v>36</v>
      </c>
      <c r="E999" s="407">
        <f t="shared" si="30"/>
        <v>2.94</v>
      </c>
      <c r="F999">
        <f t="shared" si="31"/>
        <v>91392</v>
      </c>
      <c r="H999" s="680">
        <v>2.94</v>
      </c>
      <c r="I999" s="680">
        <v>2.94</v>
      </c>
    </row>
    <row r="1000" spans="2:9" ht="30">
      <c r="B1000" s="396">
        <v>91396</v>
      </c>
      <c r="C1000" s="401" t="s">
        <v>1161</v>
      </c>
      <c r="D1000" s="396" t="s">
        <v>36</v>
      </c>
      <c r="E1000" s="405">
        <f t="shared" si="30"/>
        <v>27.89</v>
      </c>
      <c r="F1000">
        <f t="shared" si="31"/>
        <v>91396</v>
      </c>
      <c r="H1000" s="679">
        <v>27.89</v>
      </c>
      <c r="I1000" s="679">
        <v>27.89</v>
      </c>
    </row>
    <row r="1001" spans="2:9" ht="30">
      <c r="B1001" s="395">
        <v>91397</v>
      </c>
      <c r="C1001" s="406" t="s">
        <v>1162</v>
      </c>
      <c r="D1001" s="395" t="s">
        <v>36</v>
      </c>
      <c r="E1001" s="407">
        <f t="shared" si="30"/>
        <v>5.49</v>
      </c>
      <c r="F1001">
        <f t="shared" si="31"/>
        <v>91397</v>
      </c>
      <c r="H1001" s="680">
        <v>5.49</v>
      </c>
      <c r="I1001" s="680">
        <v>5.49</v>
      </c>
    </row>
    <row r="1002" spans="2:9" ht="30">
      <c r="B1002" s="396">
        <v>91398</v>
      </c>
      <c r="C1002" s="401" t="s">
        <v>1163</v>
      </c>
      <c r="D1002" s="396" t="s">
        <v>36</v>
      </c>
      <c r="E1002" s="405">
        <f t="shared" si="30"/>
        <v>4.3499999999999996</v>
      </c>
      <c r="F1002">
        <f t="shared" si="31"/>
        <v>91398</v>
      </c>
      <c r="H1002" s="679">
        <v>4.3499999999999996</v>
      </c>
      <c r="I1002" s="679">
        <v>4.3499999999999996</v>
      </c>
    </row>
    <row r="1003" spans="2:9" ht="30">
      <c r="B1003" s="395">
        <v>91402</v>
      </c>
      <c r="C1003" s="406" t="s">
        <v>1164</v>
      </c>
      <c r="D1003" s="395" t="s">
        <v>36</v>
      </c>
      <c r="E1003" s="407">
        <f t="shared" si="30"/>
        <v>3.39</v>
      </c>
      <c r="F1003">
        <f t="shared" si="31"/>
        <v>91402</v>
      </c>
      <c r="H1003" s="680">
        <v>3.39</v>
      </c>
      <c r="I1003" s="680">
        <v>3.39</v>
      </c>
    </row>
    <row r="1004" spans="2:9" ht="30">
      <c r="B1004" s="396">
        <v>91466</v>
      </c>
      <c r="C1004" s="401" t="s">
        <v>1165</v>
      </c>
      <c r="D1004" s="396" t="s">
        <v>36</v>
      </c>
      <c r="E1004" s="405">
        <f t="shared" si="30"/>
        <v>3.87</v>
      </c>
      <c r="F1004">
        <f t="shared" si="31"/>
        <v>91466</v>
      </c>
      <c r="H1004" s="679">
        <v>3.87</v>
      </c>
      <c r="I1004" s="679">
        <v>3.87</v>
      </c>
    </row>
    <row r="1005" spans="2:9" ht="30">
      <c r="B1005" s="395">
        <v>91467</v>
      </c>
      <c r="C1005" s="406" t="s">
        <v>1166</v>
      </c>
      <c r="D1005" s="395" t="s">
        <v>36</v>
      </c>
      <c r="E1005" s="407">
        <f t="shared" si="30"/>
        <v>169.41</v>
      </c>
      <c r="F1005">
        <f t="shared" si="31"/>
        <v>91467</v>
      </c>
      <c r="H1005" s="680">
        <v>169.41</v>
      </c>
      <c r="I1005" s="680">
        <v>169.41</v>
      </c>
    </row>
    <row r="1006" spans="2:9" ht="30">
      <c r="B1006" s="396">
        <v>91468</v>
      </c>
      <c r="C1006" s="401" t="s">
        <v>1167</v>
      </c>
      <c r="D1006" s="396" t="s">
        <v>36</v>
      </c>
      <c r="E1006" s="405">
        <f t="shared" si="30"/>
        <v>24</v>
      </c>
      <c r="F1006">
        <f t="shared" si="31"/>
        <v>91468</v>
      </c>
      <c r="H1006" s="679">
        <v>24</v>
      </c>
      <c r="I1006" s="679">
        <v>24</v>
      </c>
    </row>
    <row r="1007" spans="2:9" ht="30">
      <c r="B1007" s="395">
        <v>91469</v>
      </c>
      <c r="C1007" s="406" t="s">
        <v>320</v>
      </c>
      <c r="D1007" s="395" t="s">
        <v>36</v>
      </c>
      <c r="E1007" s="407">
        <f t="shared" si="30"/>
        <v>4.79</v>
      </c>
      <c r="F1007">
        <f t="shared" si="31"/>
        <v>91469</v>
      </c>
      <c r="H1007" s="680">
        <v>4.79</v>
      </c>
      <c r="I1007" s="680">
        <v>4.79</v>
      </c>
    </row>
    <row r="1008" spans="2:9" ht="30">
      <c r="B1008" s="396">
        <v>91484</v>
      </c>
      <c r="C1008" s="401" t="s">
        <v>1168</v>
      </c>
      <c r="D1008" s="396" t="s">
        <v>36</v>
      </c>
      <c r="E1008" s="405">
        <f t="shared" si="30"/>
        <v>3.8</v>
      </c>
      <c r="F1008">
        <f t="shared" si="31"/>
        <v>91484</v>
      </c>
      <c r="H1008" s="679">
        <v>3.8</v>
      </c>
      <c r="I1008" s="679">
        <v>3.8</v>
      </c>
    </row>
    <row r="1009" spans="2:9" ht="45">
      <c r="B1009" s="395">
        <v>91485</v>
      </c>
      <c r="C1009" s="406" t="s">
        <v>1169</v>
      </c>
      <c r="D1009" s="395" t="s">
        <v>36</v>
      </c>
      <c r="E1009" s="407">
        <f t="shared" si="30"/>
        <v>165.82</v>
      </c>
      <c r="F1009">
        <f t="shared" si="31"/>
        <v>91485</v>
      </c>
      <c r="H1009" s="680">
        <v>165.82</v>
      </c>
      <c r="I1009" s="680">
        <v>165.82</v>
      </c>
    </row>
    <row r="1010" spans="2:9" ht="30">
      <c r="B1010" s="396">
        <v>91529</v>
      </c>
      <c r="C1010" s="401" t="s">
        <v>1170</v>
      </c>
      <c r="D1010" s="396" t="s">
        <v>36</v>
      </c>
      <c r="E1010" s="405">
        <f t="shared" si="30"/>
        <v>0.75</v>
      </c>
      <c r="F1010">
        <f t="shared" si="31"/>
        <v>91529</v>
      </c>
      <c r="H1010" s="679">
        <v>0.75</v>
      </c>
      <c r="I1010" s="679">
        <v>0.75</v>
      </c>
    </row>
    <row r="1011" spans="2:9">
      <c r="B1011" s="395">
        <v>91530</v>
      </c>
      <c r="C1011" s="406" t="s">
        <v>1171</v>
      </c>
      <c r="D1011" s="395" t="s">
        <v>36</v>
      </c>
      <c r="E1011" s="407">
        <f t="shared" si="30"/>
        <v>0.1</v>
      </c>
      <c r="F1011">
        <f t="shared" si="31"/>
        <v>91530</v>
      </c>
      <c r="H1011" s="680">
        <v>0.1</v>
      </c>
      <c r="I1011" s="680">
        <v>0.1</v>
      </c>
    </row>
    <row r="1012" spans="2:9" ht="30">
      <c r="B1012" s="396">
        <v>91531</v>
      </c>
      <c r="C1012" s="401" t="s">
        <v>1172</v>
      </c>
      <c r="D1012" s="396" t="s">
        <v>36</v>
      </c>
      <c r="E1012" s="405">
        <f t="shared" si="30"/>
        <v>0.94</v>
      </c>
      <c r="F1012">
        <f t="shared" si="31"/>
        <v>91531</v>
      </c>
      <c r="H1012" s="679">
        <v>0.94</v>
      </c>
      <c r="I1012" s="679">
        <v>0.94</v>
      </c>
    </row>
    <row r="1013" spans="2:9" ht="30">
      <c r="B1013" s="395">
        <v>91532</v>
      </c>
      <c r="C1013" s="406" t="s">
        <v>1173</v>
      </c>
      <c r="D1013" s="395" t="s">
        <v>36</v>
      </c>
      <c r="E1013" s="407">
        <f t="shared" si="30"/>
        <v>5.09</v>
      </c>
      <c r="F1013">
        <f t="shared" si="31"/>
        <v>91532</v>
      </c>
      <c r="H1013" s="680">
        <v>5.09</v>
      </c>
      <c r="I1013" s="680">
        <v>5.09</v>
      </c>
    </row>
    <row r="1014" spans="2:9" ht="30">
      <c r="B1014" s="396">
        <v>91629</v>
      </c>
      <c r="C1014" s="401" t="s">
        <v>1174</v>
      </c>
      <c r="D1014" s="396" t="s">
        <v>36</v>
      </c>
      <c r="E1014" s="405">
        <f t="shared" si="30"/>
        <v>20.72</v>
      </c>
      <c r="F1014">
        <f t="shared" si="31"/>
        <v>91629</v>
      </c>
      <c r="H1014" s="679">
        <v>20.72</v>
      </c>
      <c r="I1014" s="679">
        <v>20.72</v>
      </c>
    </row>
    <row r="1015" spans="2:9" ht="30">
      <c r="B1015" s="395">
        <v>91630</v>
      </c>
      <c r="C1015" s="406" t="s">
        <v>1175</v>
      </c>
      <c r="D1015" s="395" t="s">
        <v>36</v>
      </c>
      <c r="E1015" s="407">
        <f t="shared" si="30"/>
        <v>3.92</v>
      </c>
      <c r="F1015">
        <f t="shared" si="31"/>
        <v>91630</v>
      </c>
      <c r="H1015" s="680">
        <v>3.92</v>
      </c>
      <c r="I1015" s="680">
        <v>3.92</v>
      </c>
    </row>
    <row r="1016" spans="2:9" ht="30">
      <c r="B1016" s="396">
        <v>91631</v>
      </c>
      <c r="C1016" s="401" t="s">
        <v>1176</v>
      </c>
      <c r="D1016" s="396" t="s">
        <v>36</v>
      </c>
      <c r="E1016" s="405">
        <f t="shared" si="30"/>
        <v>3.1</v>
      </c>
      <c r="F1016">
        <f t="shared" si="31"/>
        <v>91631</v>
      </c>
      <c r="H1016" s="679">
        <v>3.1</v>
      </c>
      <c r="I1016" s="679">
        <v>3.1</v>
      </c>
    </row>
    <row r="1017" spans="2:9" ht="30">
      <c r="B1017" s="395">
        <v>91632</v>
      </c>
      <c r="C1017" s="406" t="s">
        <v>1177</v>
      </c>
      <c r="D1017" s="395" t="s">
        <v>36</v>
      </c>
      <c r="E1017" s="407">
        <f t="shared" si="30"/>
        <v>35.44</v>
      </c>
      <c r="F1017">
        <f t="shared" si="31"/>
        <v>91632</v>
      </c>
      <c r="H1017" s="680">
        <v>35.44</v>
      </c>
      <c r="I1017" s="680">
        <v>35.44</v>
      </c>
    </row>
    <row r="1018" spans="2:9" ht="30">
      <c r="B1018" s="396">
        <v>91633</v>
      </c>
      <c r="C1018" s="401" t="s">
        <v>1178</v>
      </c>
      <c r="D1018" s="396" t="s">
        <v>36</v>
      </c>
      <c r="E1018" s="405">
        <f t="shared" si="30"/>
        <v>143.38999999999999</v>
      </c>
      <c r="F1018">
        <f t="shared" si="31"/>
        <v>91633</v>
      </c>
      <c r="H1018" s="679">
        <v>143.38999999999999</v>
      </c>
      <c r="I1018" s="679">
        <v>143.38999999999999</v>
      </c>
    </row>
    <row r="1019" spans="2:9" ht="30">
      <c r="B1019" s="395">
        <v>91640</v>
      </c>
      <c r="C1019" s="406" t="s">
        <v>1179</v>
      </c>
      <c r="D1019" s="395" t="s">
        <v>36</v>
      </c>
      <c r="E1019" s="407">
        <f t="shared" si="30"/>
        <v>30.21</v>
      </c>
      <c r="F1019">
        <f t="shared" si="31"/>
        <v>91640</v>
      </c>
      <c r="H1019" s="680">
        <v>30.21</v>
      </c>
      <c r="I1019" s="680">
        <v>30.21</v>
      </c>
    </row>
    <row r="1020" spans="2:9" ht="30">
      <c r="B1020" s="396">
        <v>91641</v>
      </c>
      <c r="C1020" s="401" t="s">
        <v>1180</v>
      </c>
      <c r="D1020" s="396" t="s">
        <v>36</v>
      </c>
      <c r="E1020" s="405">
        <f t="shared" si="30"/>
        <v>6.17</v>
      </c>
      <c r="F1020">
        <f t="shared" si="31"/>
        <v>91641</v>
      </c>
      <c r="H1020" s="679">
        <v>6.17</v>
      </c>
      <c r="I1020" s="679">
        <v>6.17</v>
      </c>
    </row>
    <row r="1021" spans="2:9" ht="45">
      <c r="B1021" s="395">
        <v>91642</v>
      </c>
      <c r="C1021" s="406" t="s">
        <v>1181</v>
      </c>
      <c r="D1021" s="395" t="s">
        <v>36</v>
      </c>
      <c r="E1021" s="407">
        <f t="shared" si="30"/>
        <v>4.9000000000000004</v>
      </c>
      <c r="F1021">
        <f t="shared" si="31"/>
        <v>91642</v>
      </c>
      <c r="H1021" s="680">
        <v>4.9000000000000004</v>
      </c>
      <c r="I1021" s="680">
        <v>4.9000000000000004</v>
      </c>
    </row>
    <row r="1022" spans="2:9" ht="30">
      <c r="B1022" s="396">
        <v>91643</v>
      </c>
      <c r="C1022" s="401" t="s">
        <v>1182</v>
      </c>
      <c r="D1022" s="396" t="s">
        <v>36</v>
      </c>
      <c r="E1022" s="405">
        <f t="shared" si="30"/>
        <v>53.8</v>
      </c>
      <c r="F1022">
        <f t="shared" si="31"/>
        <v>91643</v>
      </c>
      <c r="H1022" s="679">
        <v>53.8</v>
      </c>
      <c r="I1022" s="679">
        <v>53.8</v>
      </c>
    </row>
    <row r="1023" spans="2:9" ht="45">
      <c r="B1023" s="395">
        <v>91644</v>
      </c>
      <c r="C1023" s="406" t="s">
        <v>1183</v>
      </c>
      <c r="D1023" s="395" t="s">
        <v>36</v>
      </c>
      <c r="E1023" s="407">
        <f t="shared" si="30"/>
        <v>322.67</v>
      </c>
      <c r="F1023">
        <f t="shared" si="31"/>
        <v>91644</v>
      </c>
      <c r="H1023" s="680">
        <v>322.67</v>
      </c>
      <c r="I1023" s="680">
        <v>322.67</v>
      </c>
    </row>
    <row r="1024" spans="2:9">
      <c r="B1024" s="396">
        <v>91688</v>
      </c>
      <c r="C1024" s="401" t="s">
        <v>1184</v>
      </c>
      <c r="D1024" s="396" t="s">
        <v>36</v>
      </c>
      <c r="E1024" s="405">
        <f t="shared" si="30"/>
        <v>0.11</v>
      </c>
      <c r="F1024">
        <f t="shared" si="31"/>
        <v>91688</v>
      </c>
      <c r="H1024" s="679">
        <v>0.11</v>
      </c>
      <c r="I1024" s="679">
        <v>0.11</v>
      </c>
    </row>
    <row r="1025" spans="2:9">
      <c r="B1025" s="395">
        <v>91689</v>
      </c>
      <c r="C1025" s="406" t="s">
        <v>1185</v>
      </c>
      <c r="D1025" s="395" t="s">
        <v>36</v>
      </c>
      <c r="E1025" s="407">
        <f t="shared" si="30"/>
        <v>0.01</v>
      </c>
      <c r="F1025">
        <f t="shared" si="31"/>
        <v>91689</v>
      </c>
      <c r="H1025" s="680">
        <v>0.01</v>
      </c>
      <c r="I1025" s="680">
        <v>0.01</v>
      </c>
    </row>
    <row r="1026" spans="2:9">
      <c r="B1026" s="396">
        <v>91690</v>
      </c>
      <c r="C1026" s="401" t="s">
        <v>1186</v>
      </c>
      <c r="D1026" s="396" t="s">
        <v>36</v>
      </c>
      <c r="E1026" s="405">
        <f t="shared" si="30"/>
        <v>7.0000000000000007E-2</v>
      </c>
      <c r="F1026">
        <f t="shared" si="31"/>
        <v>91690</v>
      </c>
      <c r="H1026" s="679">
        <v>7.0000000000000007E-2</v>
      </c>
      <c r="I1026" s="679">
        <v>7.0000000000000007E-2</v>
      </c>
    </row>
    <row r="1027" spans="2:9" ht="30">
      <c r="B1027" s="395">
        <v>91691</v>
      </c>
      <c r="C1027" s="406" t="s">
        <v>1187</v>
      </c>
      <c r="D1027" s="395" t="s">
        <v>36</v>
      </c>
      <c r="E1027" s="407">
        <f t="shared" ref="E1027:E1090" si="32">IF($K$2=$H$1,H1027,I1027)</f>
        <v>1.42</v>
      </c>
      <c r="F1027">
        <f t="shared" ref="F1027:F1090" si="33">IF(LEN($B1027)=7,CONCATENATE(MID($B1027,1,6),"00",RIGHT($B1027,1)),IF(LEN($B1027)=8,CONCATENATE(MID($B1027,1,6),"0",RIGHT($B1027,2)),$B1027))</f>
        <v>91691</v>
      </c>
      <c r="H1027" s="680">
        <v>1.42</v>
      </c>
      <c r="I1027" s="680">
        <v>1.42</v>
      </c>
    </row>
    <row r="1028" spans="2:9">
      <c r="B1028" s="396">
        <v>92040</v>
      </c>
      <c r="C1028" s="401" t="s">
        <v>1188</v>
      </c>
      <c r="D1028" s="396" t="s">
        <v>36</v>
      </c>
      <c r="E1028" s="405">
        <f t="shared" si="32"/>
        <v>5.92</v>
      </c>
      <c r="F1028">
        <f t="shared" si="33"/>
        <v>92040</v>
      </c>
      <c r="H1028" s="679">
        <v>5.92</v>
      </c>
      <c r="I1028" s="679">
        <v>5.92</v>
      </c>
    </row>
    <row r="1029" spans="2:9">
      <c r="B1029" s="395">
        <v>92041</v>
      </c>
      <c r="C1029" s="406" t="s">
        <v>1189</v>
      </c>
      <c r="D1029" s="395" t="s">
        <v>36</v>
      </c>
      <c r="E1029" s="407">
        <f t="shared" si="32"/>
        <v>0.62</v>
      </c>
      <c r="F1029">
        <f t="shared" si="33"/>
        <v>92041</v>
      </c>
      <c r="H1029" s="680">
        <v>0.62</v>
      </c>
      <c r="I1029" s="680">
        <v>0.62</v>
      </c>
    </row>
    <row r="1030" spans="2:9">
      <c r="B1030" s="396">
        <v>92042</v>
      </c>
      <c r="C1030" s="401" t="s">
        <v>1190</v>
      </c>
      <c r="D1030" s="396" t="s">
        <v>36</v>
      </c>
      <c r="E1030" s="405">
        <f t="shared" si="32"/>
        <v>4.9400000000000004</v>
      </c>
      <c r="F1030">
        <f t="shared" si="33"/>
        <v>92042</v>
      </c>
      <c r="H1030" s="679">
        <v>4.9400000000000004</v>
      </c>
      <c r="I1030" s="679">
        <v>4.9400000000000004</v>
      </c>
    </row>
    <row r="1031" spans="2:9" ht="45">
      <c r="B1031" s="395">
        <v>92101</v>
      </c>
      <c r="C1031" s="406" t="s">
        <v>1191</v>
      </c>
      <c r="D1031" s="395" t="s">
        <v>36</v>
      </c>
      <c r="E1031" s="407">
        <f t="shared" si="32"/>
        <v>40.22</v>
      </c>
      <c r="F1031">
        <f t="shared" si="33"/>
        <v>92101</v>
      </c>
      <c r="H1031" s="680">
        <v>40.22</v>
      </c>
      <c r="I1031" s="680">
        <v>40.22</v>
      </c>
    </row>
    <row r="1032" spans="2:9" ht="45">
      <c r="B1032" s="396">
        <v>92102</v>
      </c>
      <c r="C1032" s="401" t="s">
        <v>1192</v>
      </c>
      <c r="D1032" s="396" t="s">
        <v>36</v>
      </c>
      <c r="E1032" s="405">
        <f t="shared" si="32"/>
        <v>6.6</v>
      </c>
      <c r="F1032">
        <f t="shared" si="33"/>
        <v>92102</v>
      </c>
      <c r="H1032" s="679">
        <v>6.6</v>
      </c>
      <c r="I1032" s="679">
        <v>6.6</v>
      </c>
    </row>
    <row r="1033" spans="2:9" ht="45">
      <c r="B1033" s="395">
        <v>92103</v>
      </c>
      <c r="C1033" s="406" t="s">
        <v>1193</v>
      </c>
      <c r="D1033" s="395" t="s">
        <v>36</v>
      </c>
      <c r="E1033" s="407">
        <f t="shared" si="32"/>
        <v>5.28</v>
      </c>
      <c r="F1033">
        <f t="shared" si="33"/>
        <v>92103</v>
      </c>
      <c r="H1033" s="680">
        <v>5.28</v>
      </c>
      <c r="I1033" s="680">
        <v>5.28</v>
      </c>
    </row>
    <row r="1034" spans="2:9" ht="45">
      <c r="B1034" s="396">
        <v>92104</v>
      </c>
      <c r="C1034" s="401" t="s">
        <v>1194</v>
      </c>
      <c r="D1034" s="396" t="s">
        <v>36</v>
      </c>
      <c r="E1034" s="405">
        <f t="shared" si="32"/>
        <v>64.84</v>
      </c>
      <c r="F1034">
        <f t="shared" si="33"/>
        <v>92104</v>
      </c>
      <c r="H1034" s="679">
        <v>64.84</v>
      </c>
      <c r="I1034" s="679">
        <v>64.84</v>
      </c>
    </row>
    <row r="1035" spans="2:9" ht="45">
      <c r="B1035" s="395">
        <v>92105</v>
      </c>
      <c r="C1035" s="406" t="s">
        <v>2862</v>
      </c>
      <c r="D1035" s="395" t="s">
        <v>36</v>
      </c>
      <c r="E1035" s="407">
        <f t="shared" si="32"/>
        <v>206.14</v>
      </c>
      <c r="F1035">
        <f t="shared" si="33"/>
        <v>92105</v>
      </c>
      <c r="H1035" s="680">
        <v>206.14</v>
      </c>
      <c r="I1035" s="680">
        <v>206.14</v>
      </c>
    </row>
    <row r="1036" spans="2:9" ht="30">
      <c r="B1036" s="396">
        <v>92108</v>
      </c>
      <c r="C1036" s="401" t="s">
        <v>321</v>
      </c>
      <c r="D1036" s="396" t="s">
        <v>36</v>
      </c>
      <c r="E1036" s="405">
        <f t="shared" si="32"/>
        <v>1.07</v>
      </c>
      <c r="F1036">
        <f t="shared" si="33"/>
        <v>92108</v>
      </c>
      <c r="H1036" s="679">
        <v>1.07</v>
      </c>
      <c r="I1036" s="679">
        <v>1.07</v>
      </c>
    </row>
    <row r="1037" spans="2:9" ht="30">
      <c r="B1037" s="395">
        <v>92109</v>
      </c>
      <c r="C1037" s="406" t="s">
        <v>322</v>
      </c>
      <c r="D1037" s="395" t="s">
        <v>36</v>
      </c>
      <c r="E1037" s="407">
        <f t="shared" si="32"/>
        <v>0.12</v>
      </c>
      <c r="F1037">
        <f t="shared" si="33"/>
        <v>92109</v>
      </c>
      <c r="H1037" s="680">
        <v>0.12</v>
      </c>
      <c r="I1037" s="680">
        <v>0.12</v>
      </c>
    </row>
    <row r="1038" spans="2:9" ht="30">
      <c r="B1038" s="396">
        <v>92110</v>
      </c>
      <c r="C1038" s="401" t="s">
        <v>323</v>
      </c>
      <c r="D1038" s="396" t="s">
        <v>36</v>
      </c>
      <c r="E1038" s="405">
        <f t="shared" si="32"/>
        <v>1.34</v>
      </c>
      <c r="F1038">
        <f t="shared" si="33"/>
        <v>92110</v>
      </c>
      <c r="H1038" s="679">
        <v>1.34</v>
      </c>
      <c r="I1038" s="679">
        <v>1.34</v>
      </c>
    </row>
    <row r="1039" spans="2:9" ht="30">
      <c r="B1039" s="395">
        <v>92111</v>
      </c>
      <c r="C1039" s="406" t="s">
        <v>324</v>
      </c>
      <c r="D1039" s="395" t="s">
        <v>36</v>
      </c>
      <c r="E1039" s="407">
        <f t="shared" si="32"/>
        <v>1.31</v>
      </c>
      <c r="F1039">
        <f t="shared" si="33"/>
        <v>92111</v>
      </c>
      <c r="H1039" s="680">
        <v>1.31</v>
      </c>
      <c r="I1039" s="680">
        <v>1.31</v>
      </c>
    </row>
    <row r="1040" spans="2:9">
      <c r="B1040" s="396">
        <v>92114</v>
      </c>
      <c r="C1040" s="401" t="s">
        <v>325</v>
      </c>
      <c r="D1040" s="396" t="s">
        <v>36</v>
      </c>
      <c r="E1040" s="405">
        <f t="shared" si="32"/>
        <v>0.27</v>
      </c>
      <c r="F1040">
        <f t="shared" si="33"/>
        <v>92114</v>
      </c>
      <c r="H1040" s="679">
        <v>0.27</v>
      </c>
      <c r="I1040" s="679">
        <v>0.27</v>
      </c>
    </row>
    <row r="1041" spans="2:9">
      <c r="B1041" s="395">
        <v>92115</v>
      </c>
      <c r="C1041" s="406" t="s">
        <v>326</v>
      </c>
      <c r="D1041" s="395" t="s">
        <v>36</v>
      </c>
      <c r="E1041" s="407">
        <f t="shared" si="32"/>
        <v>0.02</v>
      </c>
      <c r="F1041">
        <f t="shared" si="33"/>
        <v>92115</v>
      </c>
      <c r="H1041" s="680">
        <v>0.02</v>
      </c>
      <c r="I1041" s="680">
        <v>0.02</v>
      </c>
    </row>
    <row r="1042" spans="2:9">
      <c r="B1042" s="396">
        <v>92116</v>
      </c>
      <c r="C1042" s="401" t="s">
        <v>327</v>
      </c>
      <c r="D1042" s="396" t="s">
        <v>36</v>
      </c>
      <c r="E1042" s="405">
        <f t="shared" si="32"/>
        <v>0.18</v>
      </c>
      <c r="F1042">
        <f t="shared" si="33"/>
        <v>92116</v>
      </c>
      <c r="H1042" s="679">
        <v>0.18</v>
      </c>
      <c r="I1042" s="679">
        <v>0.18</v>
      </c>
    </row>
    <row r="1043" spans="2:9">
      <c r="B1043" s="395">
        <v>92133</v>
      </c>
      <c r="C1043" s="406" t="s">
        <v>1195</v>
      </c>
      <c r="D1043" s="395" t="s">
        <v>36</v>
      </c>
      <c r="E1043" s="407">
        <f t="shared" si="32"/>
        <v>12.53</v>
      </c>
      <c r="F1043">
        <f t="shared" si="33"/>
        <v>92133</v>
      </c>
      <c r="H1043" s="680">
        <v>12.53</v>
      </c>
      <c r="I1043" s="680">
        <v>12.53</v>
      </c>
    </row>
    <row r="1044" spans="2:9">
      <c r="B1044" s="396">
        <v>92134</v>
      </c>
      <c r="C1044" s="401" t="s">
        <v>1196</v>
      </c>
      <c r="D1044" s="396" t="s">
        <v>36</v>
      </c>
      <c r="E1044" s="405">
        <f t="shared" si="32"/>
        <v>1.98</v>
      </c>
      <c r="F1044">
        <f t="shared" si="33"/>
        <v>92134</v>
      </c>
      <c r="H1044" s="679">
        <v>1.98</v>
      </c>
      <c r="I1044" s="679">
        <v>1.98</v>
      </c>
    </row>
    <row r="1045" spans="2:9">
      <c r="B1045" s="395">
        <v>92135</v>
      </c>
      <c r="C1045" s="406" t="s">
        <v>1197</v>
      </c>
      <c r="D1045" s="395" t="s">
        <v>36</v>
      </c>
      <c r="E1045" s="407">
        <f t="shared" si="32"/>
        <v>1.56</v>
      </c>
      <c r="F1045">
        <f t="shared" si="33"/>
        <v>92135</v>
      </c>
      <c r="H1045" s="680">
        <v>1.56</v>
      </c>
      <c r="I1045" s="680">
        <v>1.56</v>
      </c>
    </row>
    <row r="1046" spans="2:9">
      <c r="B1046" s="396">
        <v>92136</v>
      </c>
      <c r="C1046" s="401" t="s">
        <v>1198</v>
      </c>
      <c r="D1046" s="396" t="s">
        <v>36</v>
      </c>
      <c r="E1046" s="405">
        <f t="shared" si="32"/>
        <v>15.67</v>
      </c>
      <c r="F1046">
        <f t="shared" si="33"/>
        <v>92136</v>
      </c>
      <c r="H1046" s="679">
        <v>15.67</v>
      </c>
      <c r="I1046" s="679">
        <v>15.67</v>
      </c>
    </row>
    <row r="1047" spans="2:9">
      <c r="B1047" s="395">
        <v>92137</v>
      </c>
      <c r="C1047" s="406" t="s">
        <v>1199</v>
      </c>
      <c r="D1047" s="395" t="s">
        <v>36</v>
      </c>
      <c r="E1047" s="407">
        <f t="shared" si="32"/>
        <v>37.75</v>
      </c>
      <c r="F1047">
        <f t="shared" si="33"/>
        <v>92137</v>
      </c>
      <c r="H1047" s="680">
        <v>37.75</v>
      </c>
      <c r="I1047" s="680">
        <v>37.75</v>
      </c>
    </row>
    <row r="1048" spans="2:9" ht="30">
      <c r="B1048" s="396">
        <v>92140</v>
      </c>
      <c r="C1048" s="401" t="s">
        <v>61</v>
      </c>
      <c r="D1048" s="396" t="s">
        <v>36</v>
      </c>
      <c r="E1048" s="405">
        <f t="shared" si="32"/>
        <v>4.59</v>
      </c>
      <c r="F1048">
        <f t="shared" si="33"/>
        <v>92140</v>
      </c>
      <c r="H1048" s="679">
        <v>4.59</v>
      </c>
      <c r="I1048" s="679">
        <v>4.59</v>
      </c>
    </row>
    <row r="1049" spans="2:9">
      <c r="B1049" s="395">
        <v>92141</v>
      </c>
      <c r="C1049" s="406" t="s">
        <v>62</v>
      </c>
      <c r="D1049" s="395" t="s">
        <v>36</v>
      </c>
      <c r="E1049" s="407">
        <f t="shared" si="32"/>
        <v>0.72</v>
      </c>
      <c r="F1049">
        <f t="shared" si="33"/>
        <v>92141</v>
      </c>
      <c r="H1049" s="680">
        <v>0.72</v>
      </c>
      <c r="I1049" s="680">
        <v>0.72</v>
      </c>
    </row>
    <row r="1050" spans="2:9" ht="30">
      <c r="B1050" s="396">
        <v>92142</v>
      </c>
      <c r="C1050" s="401" t="s">
        <v>328</v>
      </c>
      <c r="D1050" s="396" t="s">
        <v>36</v>
      </c>
      <c r="E1050" s="405">
        <f t="shared" si="32"/>
        <v>0.56999999999999995</v>
      </c>
      <c r="F1050">
        <f t="shared" si="33"/>
        <v>92142</v>
      </c>
      <c r="H1050" s="679">
        <v>0.56999999999999995</v>
      </c>
      <c r="I1050" s="679">
        <v>0.56999999999999995</v>
      </c>
    </row>
    <row r="1051" spans="2:9" ht="30">
      <c r="B1051" s="395">
        <v>92143</v>
      </c>
      <c r="C1051" s="406" t="s">
        <v>63</v>
      </c>
      <c r="D1051" s="395" t="s">
        <v>36</v>
      </c>
      <c r="E1051" s="407">
        <f t="shared" si="32"/>
        <v>5.74</v>
      </c>
      <c r="F1051">
        <f t="shared" si="33"/>
        <v>92143</v>
      </c>
      <c r="H1051" s="680">
        <v>5.74</v>
      </c>
      <c r="I1051" s="680">
        <v>5.74</v>
      </c>
    </row>
    <row r="1052" spans="2:9" ht="30">
      <c r="B1052" s="396">
        <v>92144</v>
      </c>
      <c r="C1052" s="401" t="s">
        <v>329</v>
      </c>
      <c r="D1052" s="396" t="s">
        <v>36</v>
      </c>
      <c r="E1052" s="405">
        <f t="shared" si="32"/>
        <v>33.11</v>
      </c>
      <c r="F1052">
        <f t="shared" si="33"/>
        <v>92144</v>
      </c>
      <c r="H1052" s="679">
        <v>33.11</v>
      </c>
      <c r="I1052" s="679">
        <v>33.11</v>
      </c>
    </row>
    <row r="1053" spans="2:9" ht="30">
      <c r="B1053" s="395">
        <v>92237</v>
      </c>
      <c r="C1053" s="406" t="s">
        <v>1200</v>
      </c>
      <c r="D1053" s="395" t="s">
        <v>36</v>
      </c>
      <c r="E1053" s="407">
        <f t="shared" si="32"/>
        <v>22.11</v>
      </c>
      <c r="F1053">
        <f t="shared" si="33"/>
        <v>92237</v>
      </c>
      <c r="H1053" s="680">
        <v>22.11</v>
      </c>
      <c r="I1053" s="680">
        <v>22.11</v>
      </c>
    </row>
    <row r="1054" spans="2:9" ht="30">
      <c r="B1054" s="396">
        <v>92238</v>
      </c>
      <c r="C1054" s="401" t="s">
        <v>1201</v>
      </c>
      <c r="D1054" s="396" t="s">
        <v>36</v>
      </c>
      <c r="E1054" s="405">
        <f t="shared" si="32"/>
        <v>4.5</v>
      </c>
      <c r="F1054">
        <f t="shared" si="33"/>
        <v>92238</v>
      </c>
      <c r="H1054" s="679">
        <v>4.5</v>
      </c>
      <c r="I1054" s="679">
        <v>4.5</v>
      </c>
    </row>
    <row r="1055" spans="2:9" ht="30">
      <c r="B1055" s="395">
        <v>92239</v>
      </c>
      <c r="C1055" s="406" t="s">
        <v>1202</v>
      </c>
      <c r="D1055" s="395" t="s">
        <v>36</v>
      </c>
      <c r="E1055" s="407">
        <f t="shared" si="32"/>
        <v>3.57</v>
      </c>
      <c r="F1055">
        <f t="shared" si="33"/>
        <v>92239</v>
      </c>
      <c r="H1055" s="680">
        <v>3.57</v>
      </c>
      <c r="I1055" s="680">
        <v>3.57</v>
      </c>
    </row>
    <row r="1056" spans="2:9" ht="30">
      <c r="B1056" s="396">
        <v>92240</v>
      </c>
      <c r="C1056" s="401" t="s">
        <v>1203</v>
      </c>
      <c r="D1056" s="396" t="s">
        <v>36</v>
      </c>
      <c r="E1056" s="405">
        <f t="shared" si="32"/>
        <v>39.14</v>
      </c>
      <c r="F1056">
        <f t="shared" si="33"/>
        <v>92240</v>
      </c>
      <c r="H1056" s="679">
        <v>39.14</v>
      </c>
      <c r="I1056" s="679">
        <v>39.14</v>
      </c>
    </row>
    <row r="1057" spans="2:9" ht="45">
      <c r="B1057" s="395">
        <v>92241</v>
      </c>
      <c r="C1057" s="406" t="s">
        <v>1204</v>
      </c>
      <c r="D1057" s="395" t="s">
        <v>36</v>
      </c>
      <c r="E1057" s="407">
        <f t="shared" si="32"/>
        <v>295.82</v>
      </c>
      <c r="F1057">
        <f t="shared" si="33"/>
        <v>92241</v>
      </c>
      <c r="H1057" s="680">
        <v>295.82</v>
      </c>
      <c r="I1057" s="680">
        <v>295.82</v>
      </c>
    </row>
    <row r="1058" spans="2:9">
      <c r="B1058" s="396">
        <v>92712</v>
      </c>
      <c r="C1058" s="401" t="s">
        <v>1205</v>
      </c>
      <c r="D1058" s="396" t="s">
        <v>36</v>
      </c>
      <c r="E1058" s="405">
        <f t="shared" si="32"/>
        <v>0.28000000000000003</v>
      </c>
      <c r="F1058">
        <f t="shared" si="33"/>
        <v>92712</v>
      </c>
      <c r="H1058" s="679">
        <v>0.28000000000000003</v>
      </c>
      <c r="I1058" s="679">
        <v>0.28000000000000003</v>
      </c>
    </row>
    <row r="1059" spans="2:9">
      <c r="B1059" s="395">
        <v>92713</v>
      </c>
      <c r="C1059" s="406" t="s">
        <v>1206</v>
      </c>
      <c r="D1059" s="395" t="s">
        <v>36</v>
      </c>
      <c r="E1059" s="407">
        <f t="shared" si="32"/>
        <v>0.03</v>
      </c>
      <c r="F1059">
        <f t="shared" si="33"/>
        <v>92713</v>
      </c>
      <c r="H1059" s="680">
        <v>0.03</v>
      </c>
      <c r="I1059" s="680">
        <v>0.03</v>
      </c>
    </row>
    <row r="1060" spans="2:9">
      <c r="B1060" s="396">
        <v>92714</v>
      </c>
      <c r="C1060" s="401" t="s">
        <v>1207</v>
      </c>
      <c r="D1060" s="396" t="s">
        <v>36</v>
      </c>
      <c r="E1060" s="405">
        <f t="shared" si="32"/>
        <v>0.35</v>
      </c>
      <c r="F1060">
        <f t="shared" si="33"/>
        <v>92714</v>
      </c>
      <c r="H1060" s="679">
        <v>0.35</v>
      </c>
      <c r="I1060" s="679">
        <v>0.35</v>
      </c>
    </row>
    <row r="1061" spans="2:9" ht="30">
      <c r="B1061" s="395">
        <v>92715</v>
      </c>
      <c r="C1061" s="406" t="s">
        <v>1208</v>
      </c>
      <c r="D1061" s="395" t="s">
        <v>36</v>
      </c>
      <c r="E1061" s="407">
        <f t="shared" si="32"/>
        <v>115.43</v>
      </c>
      <c r="F1061">
        <f t="shared" si="33"/>
        <v>92715</v>
      </c>
      <c r="H1061" s="680">
        <v>115.43</v>
      </c>
      <c r="I1061" s="680">
        <v>115.43</v>
      </c>
    </row>
    <row r="1062" spans="2:9">
      <c r="B1062" s="396">
        <v>92956</v>
      </c>
      <c r="C1062" s="401" t="s">
        <v>1209</v>
      </c>
      <c r="D1062" s="396" t="s">
        <v>36</v>
      </c>
      <c r="E1062" s="405">
        <f t="shared" si="32"/>
        <v>4.3499999999999996</v>
      </c>
      <c r="F1062">
        <f t="shared" si="33"/>
        <v>92956</v>
      </c>
      <c r="H1062" s="679">
        <v>4.3499999999999996</v>
      </c>
      <c r="I1062" s="679">
        <v>4.3499999999999996</v>
      </c>
    </row>
    <row r="1063" spans="2:9">
      <c r="B1063" s="395">
        <v>92957</v>
      </c>
      <c r="C1063" s="406" t="s">
        <v>1210</v>
      </c>
      <c r="D1063" s="395" t="s">
        <v>36</v>
      </c>
      <c r="E1063" s="407">
        <f t="shared" si="32"/>
        <v>0.51</v>
      </c>
      <c r="F1063">
        <f t="shared" si="33"/>
        <v>92957</v>
      </c>
      <c r="H1063" s="680">
        <v>0.51</v>
      </c>
      <c r="I1063" s="680">
        <v>0.51</v>
      </c>
    </row>
    <row r="1064" spans="2:9">
      <c r="B1064" s="396">
        <v>92958</v>
      </c>
      <c r="C1064" s="401" t="s">
        <v>1211</v>
      </c>
      <c r="D1064" s="396" t="s">
        <v>36</v>
      </c>
      <c r="E1064" s="405">
        <f t="shared" si="32"/>
        <v>4.76</v>
      </c>
      <c r="F1064">
        <f t="shared" si="33"/>
        <v>92958</v>
      </c>
      <c r="H1064" s="679">
        <v>4.76</v>
      </c>
      <c r="I1064" s="679">
        <v>4.76</v>
      </c>
    </row>
    <row r="1065" spans="2:9" ht="30">
      <c r="B1065" s="395">
        <v>92959</v>
      </c>
      <c r="C1065" s="406" t="s">
        <v>1212</v>
      </c>
      <c r="D1065" s="395" t="s">
        <v>36</v>
      </c>
      <c r="E1065" s="407">
        <f t="shared" si="32"/>
        <v>9.93</v>
      </c>
      <c r="F1065">
        <f t="shared" si="33"/>
        <v>92959</v>
      </c>
      <c r="H1065" s="680">
        <v>9.93</v>
      </c>
      <c r="I1065" s="680">
        <v>9.93</v>
      </c>
    </row>
    <row r="1066" spans="2:9">
      <c r="B1066" s="396">
        <v>92963</v>
      </c>
      <c r="C1066" s="401" t="s">
        <v>1213</v>
      </c>
      <c r="D1066" s="396" t="s">
        <v>36</v>
      </c>
      <c r="E1066" s="405">
        <f t="shared" si="32"/>
        <v>1.84</v>
      </c>
      <c r="F1066">
        <f t="shared" si="33"/>
        <v>92963</v>
      </c>
      <c r="H1066" s="679">
        <v>1.84</v>
      </c>
      <c r="I1066" s="679">
        <v>1.84</v>
      </c>
    </row>
    <row r="1067" spans="2:9">
      <c r="B1067" s="395">
        <v>92964</v>
      </c>
      <c r="C1067" s="406" t="s">
        <v>330</v>
      </c>
      <c r="D1067" s="395" t="s">
        <v>36</v>
      </c>
      <c r="E1067" s="407">
        <f t="shared" si="32"/>
        <v>0.21</v>
      </c>
      <c r="F1067">
        <f t="shared" si="33"/>
        <v>92964</v>
      </c>
      <c r="H1067" s="680">
        <v>0.21</v>
      </c>
      <c r="I1067" s="680">
        <v>0.21</v>
      </c>
    </row>
    <row r="1068" spans="2:9">
      <c r="B1068" s="396">
        <v>92965</v>
      </c>
      <c r="C1068" s="401" t="s">
        <v>1214</v>
      </c>
      <c r="D1068" s="396" t="s">
        <v>36</v>
      </c>
      <c r="E1068" s="405">
        <f t="shared" si="32"/>
        <v>2.2999999999999998</v>
      </c>
      <c r="F1068">
        <f t="shared" si="33"/>
        <v>92965</v>
      </c>
      <c r="H1068" s="679">
        <v>2.2999999999999998</v>
      </c>
      <c r="I1068" s="679">
        <v>2.2999999999999998</v>
      </c>
    </row>
    <row r="1069" spans="2:9" ht="45">
      <c r="B1069" s="395">
        <v>93220</v>
      </c>
      <c r="C1069" s="406" t="s">
        <v>1215</v>
      </c>
      <c r="D1069" s="395" t="s">
        <v>36</v>
      </c>
      <c r="E1069" s="407">
        <f t="shared" si="32"/>
        <v>343.38</v>
      </c>
      <c r="F1069">
        <f t="shared" si="33"/>
        <v>93220</v>
      </c>
      <c r="H1069" s="680">
        <v>343.38</v>
      </c>
      <c r="I1069" s="680">
        <v>343.38</v>
      </c>
    </row>
    <row r="1070" spans="2:9" ht="30">
      <c r="B1070" s="396">
        <v>93221</v>
      </c>
      <c r="C1070" s="401" t="s">
        <v>1216</v>
      </c>
      <c r="D1070" s="396" t="s">
        <v>36</v>
      </c>
      <c r="E1070" s="405">
        <f t="shared" si="32"/>
        <v>47.67</v>
      </c>
      <c r="F1070">
        <f t="shared" si="33"/>
        <v>93221</v>
      </c>
      <c r="H1070" s="679">
        <v>47.67</v>
      </c>
      <c r="I1070" s="679">
        <v>47.67</v>
      </c>
    </row>
    <row r="1071" spans="2:9" ht="45">
      <c r="B1071" s="395">
        <v>93222</v>
      </c>
      <c r="C1071" s="406" t="s">
        <v>1217</v>
      </c>
      <c r="D1071" s="395" t="s">
        <v>36</v>
      </c>
      <c r="E1071" s="407">
        <f t="shared" si="32"/>
        <v>429.71</v>
      </c>
      <c r="F1071">
        <f t="shared" si="33"/>
        <v>93222</v>
      </c>
      <c r="H1071" s="680">
        <v>429.71</v>
      </c>
      <c r="I1071" s="680">
        <v>429.71</v>
      </c>
    </row>
    <row r="1072" spans="2:9" ht="45">
      <c r="B1072" s="396">
        <v>93223</v>
      </c>
      <c r="C1072" s="401" t="s">
        <v>1218</v>
      </c>
      <c r="D1072" s="396" t="s">
        <v>36</v>
      </c>
      <c r="E1072" s="405">
        <f t="shared" si="32"/>
        <v>167.36</v>
      </c>
      <c r="F1072">
        <f t="shared" si="33"/>
        <v>93223</v>
      </c>
      <c r="H1072" s="679">
        <v>167.36</v>
      </c>
      <c r="I1072" s="679">
        <v>167.36</v>
      </c>
    </row>
    <row r="1073" spans="2:9" ht="30">
      <c r="B1073" s="395">
        <v>93229</v>
      </c>
      <c r="C1073" s="406" t="s">
        <v>6369</v>
      </c>
      <c r="D1073" s="395" t="s">
        <v>36</v>
      </c>
      <c r="E1073" s="407">
        <f t="shared" si="32"/>
        <v>0.45</v>
      </c>
      <c r="F1073">
        <f t="shared" si="33"/>
        <v>93229</v>
      </c>
      <c r="H1073" s="680">
        <v>0.45</v>
      </c>
      <c r="I1073" s="680">
        <v>0.45</v>
      </c>
    </row>
    <row r="1074" spans="2:9" ht="30">
      <c r="B1074" s="396">
        <v>93230</v>
      </c>
      <c r="C1074" s="401" t="s">
        <v>6370</v>
      </c>
      <c r="D1074" s="396" t="s">
        <v>36</v>
      </c>
      <c r="E1074" s="405">
        <f t="shared" si="32"/>
        <v>0.05</v>
      </c>
      <c r="F1074">
        <f t="shared" si="33"/>
        <v>93230</v>
      </c>
      <c r="H1074" s="679">
        <v>0.05</v>
      </c>
      <c r="I1074" s="679">
        <v>0.05</v>
      </c>
    </row>
    <row r="1075" spans="2:9" ht="30">
      <c r="B1075" s="395">
        <v>93231</v>
      </c>
      <c r="C1075" s="406" t="s">
        <v>6371</v>
      </c>
      <c r="D1075" s="395" t="s">
        <v>36</v>
      </c>
      <c r="E1075" s="407">
        <f t="shared" si="32"/>
        <v>0.56999999999999995</v>
      </c>
      <c r="F1075">
        <f t="shared" si="33"/>
        <v>93231</v>
      </c>
      <c r="H1075" s="680">
        <v>0.56999999999999995</v>
      </c>
      <c r="I1075" s="680">
        <v>0.56999999999999995</v>
      </c>
    </row>
    <row r="1076" spans="2:9" ht="30">
      <c r="B1076" s="396">
        <v>93232</v>
      </c>
      <c r="C1076" s="401" t="s">
        <v>6372</v>
      </c>
      <c r="D1076" s="396" t="s">
        <v>36</v>
      </c>
      <c r="E1076" s="405">
        <f t="shared" si="32"/>
        <v>3.81</v>
      </c>
      <c r="F1076">
        <f t="shared" si="33"/>
        <v>93232</v>
      </c>
      <c r="H1076" s="679">
        <v>3.81</v>
      </c>
      <c r="I1076" s="679">
        <v>3.81</v>
      </c>
    </row>
    <row r="1077" spans="2:9">
      <c r="B1077" s="395">
        <v>93235</v>
      </c>
      <c r="C1077" s="406" t="s">
        <v>1219</v>
      </c>
      <c r="D1077" s="395" t="s">
        <v>36</v>
      </c>
      <c r="E1077" s="407">
        <f t="shared" si="32"/>
        <v>1.25</v>
      </c>
      <c r="F1077">
        <f t="shared" si="33"/>
        <v>93235</v>
      </c>
      <c r="H1077" s="680">
        <v>1.25</v>
      </c>
      <c r="I1077" s="680">
        <v>1.25</v>
      </c>
    </row>
    <row r="1078" spans="2:9" ht="30">
      <c r="B1078" s="396">
        <v>93238</v>
      </c>
      <c r="C1078" s="401" t="s">
        <v>1220</v>
      </c>
      <c r="D1078" s="396" t="s">
        <v>36</v>
      </c>
      <c r="E1078" s="405">
        <f t="shared" si="32"/>
        <v>1.42</v>
      </c>
      <c r="F1078">
        <f t="shared" si="33"/>
        <v>93238</v>
      </c>
      <c r="H1078" s="679">
        <v>1.42</v>
      </c>
      <c r="I1078" s="679">
        <v>1.42</v>
      </c>
    </row>
    <row r="1079" spans="2:9" ht="30">
      <c r="B1079" s="395">
        <v>93239</v>
      </c>
      <c r="C1079" s="406" t="s">
        <v>1221</v>
      </c>
      <c r="D1079" s="395" t="s">
        <v>36</v>
      </c>
      <c r="E1079" s="407">
        <f t="shared" si="32"/>
        <v>6.45</v>
      </c>
      <c r="F1079">
        <f t="shared" si="33"/>
        <v>93239</v>
      </c>
      <c r="H1079" s="680">
        <v>6.45</v>
      </c>
      <c r="I1079" s="680">
        <v>6.45</v>
      </c>
    </row>
    <row r="1080" spans="2:9" ht="30">
      <c r="B1080" s="396">
        <v>93240</v>
      </c>
      <c r="C1080" s="401" t="s">
        <v>1222</v>
      </c>
      <c r="D1080" s="396" t="s">
        <v>36</v>
      </c>
      <c r="E1080" s="405">
        <f t="shared" si="32"/>
        <v>12.82</v>
      </c>
      <c r="F1080">
        <f t="shared" si="33"/>
        <v>93240</v>
      </c>
      <c r="H1080" s="679">
        <v>12.82</v>
      </c>
      <c r="I1080" s="679">
        <v>12.82</v>
      </c>
    </row>
    <row r="1081" spans="2:9">
      <c r="B1081" s="395">
        <v>93267</v>
      </c>
      <c r="C1081" s="406" t="s">
        <v>1223</v>
      </c>
      <c r="D1081" s="395" t="s">
        <v>36</v>
      </c>
      <c r="E1081" s="407">
        <f t="shared" si="32"/>
        <v>25.9</v>
      </c>
      <c r="F1081">
        <f t="shared" si="33"/>
        <v>93267</v>
      </c>
      <c r="H1081" s="680">
        <v>25.9</v>
      </c>
      <c r="I1081" s="680">
        <v>25.9</v>
      </c>
    </row>
    <row r="1082" spans="2:9">
      <c r="B1082" s="396">
        <v>93269</v>
      </c>
      <c r="C1082" s="401" t="s">
        <v>1224</v>
      </c>
      <c r="D1082" s="396" t="s">
        <v>36</v>
      </c>
      <c r="E1082" s="405">
        <f t="shared" si="32"/>
        <v>4.96</v>
      </c>
      <c r="F1082">
        <f t="shared" si="33"/>
        <v>93269</v>
      </c>
      <c r="H1082" s="679">
        <v>4.96</v>
      </c>
      <c r="I1082" s="679">
        <v>4.96</v>
      </c>
    </row>
    <row r="1083" spans="2:9">
      <c r="B1083" s="395">
        <v>93270</v>
      </c>
      <c r="C1083" s="406" t="s">
        <v>1225</v>
      </c>
      <c r="D1083" s="395" t="s">
        <v>36</v>
      </c>
      <c r="E1083" s="407">
        <f t="shared" si="32"/>
        <v>25.18</v>
      </c>
      <c r="F1083">
        <f t="shared" si="33"/>
        <v>93270</v>
      </c>
      <c r="H1083" s="680">
        <v>25.18</v>
      </c>
      <c r="I1083" s="680">
        <v>25.18</v>
      </c>
    </row>
    <row r="1084" spans="2:9">
      <c r="B1084" s="396">
        <v>93271</v>
      </c>
      <c r="C1084" s="401" t="s">
        <v>1226</v>
      </c>
      <c r="D1084" s="396" t="s">
        <v>36</v>
      </c>
      <c r="E1084" s="405">
        <f t="shared" si="32"/>
        <v>9.81</v>
      </c>
      <c r="F1084">
        <f t="shared" si="33"/>
        <v>93271</v>
      </c>
      <c r="H1084" s="679">
        <v>9.81</v>
      </c>
      <c r="I1084" s="679">
        <v>9.81</v>
      </c>
    </row>
    <row r="1085" spans="2:9">
      <c r="B1085" s="395">
        <v>93277</v>
      </c>
      <c r="C1085" s="406" t="s">
        <v>1227</v>
      </c>
      <c r="D1085" s="395" t="s">
        <v>36</v>
      </c>
      <c r="E1085" s="407">
        <f t="shared" si="32"/>
        <v>0.35</v>
      </c>
      <c r="F1085">
        <f t="shared" si="33"/>
        <v>93277</v>
      </c>
      <c r="H1085" s="680">
        <v>0.35</v>
      </c>
      <c r="I1085" s="680">
        <v>0.35</v>
      </c>
    </row>
    <row r="1086" spans="2:9">
      <c r="B1086" s="396">
        <v>93278</v>
      </c>
      <c r="C1086" s="401" t="s">
        <v>1228</v>
      </c>
      <c r="D1086" s="396" t="s">
        <v>36</v>
      </c>
      <c r="E1086" s="405">
        <f t="shared" si="32"/>
        <v>0.04</v>
      </c>
      <c r="F1086">
        <f t="shared" si="33"/>
        <v>93278</v>
      </c>
      <c r="H1086" s="679">
        <v>0.04</v>
      </c>
      <c r="I1086" s="679">
        <v>0.04</v>
      </c>
    </row>
    <row r="1087" spans="2:9">
      <c r="B1087" s="395">
        <v>93279</v>
      </c>
      <c r="C1087" s="406" t="s">
        <v>1229</v>
      </c>
      <c r="D1087" s="395" t="s">
        <v>36</v>
      </c>
      <c r="E1087" s="407">
        <f t="shared" si="32"/>
        <v>0.32</v>
      </c>
      <c r="F1087">
        <f t="shared" si="33"/>
        <v>93279</v>
      </c>
      <c r="H1087" s="680">
        <v>0.32</v>
      </c>
      <c r="I1087" s="680">
        <v>0.32</v>
      </c>
    </row>
    <row r="1088" spans="2:9" ht="30">
      <c r="B1088" s="396">
        <v>93280</v>
      </c>
      <c r="C1088" s="401" t="s">
        <v>1230</v>
      </c>
      <c r="D1088" s="396" t="s">
        <v>36</v>
      </c>
      <c r="E1088" s="405">
        <f t="shared" si="32"/>
        <v>0.81</v>
      </c>
      <c r="F1088">
        <f t="shared" si="33"/>
        <v>93280</v>
      </c>
      <c r="H1088" s="679">
        <v>0.81</v>
      </c>
      <c r="I1088" s="679">
        <v>0.81</v>
      </c>
    </row>
    <row r="1089" spans="2:9" ht="30">
      <c r="B1089" s="395">
        <v>93283</v>
      </c>
      <c r="C1089" s="406" t="s">
        <v>1231</v>
      </c>
      <c r="D1089" s="395" t="s">
        <v>36</v>
      </c>
      <c r="E1089" s="407">
        <f t="shared" si="32"/>
        <v>96.78</v>
      </c>
      <c r="F1089">
        <f t="shared" si="33"/>
        <v>93283</v>
      </c>
      <c r="H1089" s="680">
        <v>96.78</v>
      </c>
      <c r="I1089" s="680">
        <v>96.78</v>
      </c>
    </row>
    <row r="1090" spans="2:9" ht="30">
      <c r="B1090" s="396">
        <v>93284</v>
      </c>
      <c r="C1090" s="401" t="s">
        <v>1232</v>
      </c>
      <c r="D1090" s="396" t="s">
        <v>36</v>
      </c>
      <c r="E1090" s="405">
        <f t="shared" si="32"/>
        <v>17.420000000000002</v>
      </c>
      <c r="F1090">
        <f t="shared" si="33"/>
        <v>93284</v>
      </c>
      <c r="H1090" s="679">
        <v>17.420000000000002</v>
      </c>
      <c r="I1090" s="679">
        <v>17.420000000000002</v>
      </c>
    </row>
    <row r="1091" spans="2:9" ht="30">
      <c r="B1091" s="395">
        <v>93285</v>
      </c>
      <c r="C1091" s="406" t="s">
        <v>1233</v>
      </c>
      <c r="D1091" s="395" t="s">
        <v>36</v>
      </c>
      <c r="E1091" s="407">
        <f t="shared" ref="E1091:E1154" si="34">IF($K$2=$H$1,H1091,I1091)</f>
        <v>155.57</v>
      </c>
      <c r="F1091">
        <f t="shared" ref="F1091:F1154" si="35">IF(LEN($B1091)=7,CONCATENATE(MID($B1091,1,6),"00",RIGHT($B1091,1)),IF(LEN($B1091)=8,CONCATENATE(MID($B1091,1,6),"0",RIGHT($B1091,2)),$B1091))</f>
        <v>93285</v>
      </c>
      <c r="H1091" s="680">
        <v>155.57</v>
      </c>
      <c r="I1091" s="680">
        <v>155.57</v>
      </c>
    </row>
    <row r="1092" spans="2:9" ht="30">
      <c r="B1092" s="396">
        <v>93286</v>
      </c>
      <c r="C1092" s="401" t="s">
        <v>1234</v>
      </c>
      <c r="D1092" s="396" t="s">
        <v>36</v>
      </c>
      <c r="E1092" s="405">
        <f t="shared" si="34"/>
        <v>13.65</v>
      </c>
      <c r="F1092">
        <f t="shared" si="35"/>
        <v>93286</v>
      </c>
      <c r="H1092" s="679">
        <v>13.65</v>
      </c>
      <c r="I1092" s="679">
        <v>13.65</v>
      </c>
    </row>
    <row r="1093" spans="2:9" ht="30">
      <c r="B1093" s="395">
        <v>93296</v>
      </c>
      <c r="C1093" s="406" t="s">
        <v>1235</v>
      </c>
      <c r="D1093" s="395" t="s">
        <v>36</v>
      </c>
      <c r="E1093" s="407">
        <f t="shared" si="34"/>
        <v>13.79</v>
      </c>
      <c r="F1093">
        <f t="shared" si="35"/>
        <v>93296</v>
      </c>
      <c r="H1093" s="680">
        <v>13.79</v>
      </c>
      <c r="I1093" s="680">
        <v>13.79</v>
      </c>
    </row>
    <row r="1094" spans="2:9" ht="30">
      <c r="B1094" s="396">
        <v>93397</v>
      </c>
      <c r="C1094" s="401" t="s">
        <v>1236</v>
      </c>
      <c r="D1094" s="396" t="s">
        <v>36</v>
      </c>
      <c r="E1094" s="405">
        <f t="shared" si="34"/>
        <v>23.95</v>
      </c>
      <c r="F1094">
        <f t="shared" si="35"/>
        <v>93397</v>
      </c>
      <c r="H1094" s="679">
        <v>23.95</v>
      </c>
      <c r="I1094" s="679">
        <v>23.95</v>
      </c>
    </row>
    <row r="1095" spans="2:9" ht="30">
      <c r="B1095" s="395">
        <v>93398</v>
      </c>
      <c r="C1095" s="406" t="s">
        <v>1237</v>
      </c>
      <c r="D1095" s="395" t="s">
        <v>36</v>
      </c>
      <c r="E1095" s="407">
        <f t="shared" si="34"/>
        <v>4.5999999999999996</v>
      </c>
      <c r="F1095">
        <f t="shared" si="35"/>
        <v>93398</v>
      </c>
      <c r="H1095" s="680">
        <v>4.5999999999999996</v>
      </c>
      <c r="I1095" s="680">
        <v>4.5999999999999996</v>
      </c>
    </row>
    <row r="1096" spans="2:9" ht="30">
      <c r="B1096" s="396">
        <v>93399</v>
      </c>
      <c r="C1096" s="401" t="s">
        <v>1238</v>
      </c>
      <c r="D1096" s="396" t="s">
        <v>36</v>
      </c>
      <c r="E1096" s="405">
        <f t="shared" si="34"/>
        <v>3.64</v>
      </c>
      <c r="F1096">
        <f t="shared" si="35"/>
        <v>93399</v>
      </c>
      <c r="H1096" s="679">
        <v>3.64</v>
      </c>
      <c r="I1096" s="679">
        <v>3.64</v>
      </c>
    </row>
    <row r="1097" spans="2:9" ht="30">
      <c r="B1097" s="395">
        <v>93400</v>
      </c>
      <c r="C1097" s="406" t="s">
        <v>1239</v>
      </c>
      <c r="D1097" s="395" t="s">
        <v>36</v>
      </c>
      <c r="E1097" s="407">
        <f t="shared" si="34"/>
        <v>41.49</v>
      </c>
      <c r="F1097">
        <f t="shared" si="35"/>
        <v>93400</v>
      </c>
      <c r="H1097" s="680">
        <v>41.49</v>
      </c>
      <c r="I1097" s="680">
        <v>41.49</v>
      </c>
    </row>
    <row r="1098" spans="2:9" ht="30">
      <c r="B1098" s="396">
        <v>93401</v>
      </c>
      <c r="C1098" s="401" t="s">
        <v>1240</v>
      </c>
      <c r="D1098" s="396" t="s">
        <v>36</v>
      </c>
      <c r="E1098" s="405">
        <f t="shared" si="34"/>
        <v>169.41</v>
      </c>
      <c r="F1098">
        <f t="shared" si="35"/>
        <v>93401</v>
      </c>
      <c r="H1098" s="679">
        <v>169.41</v>
      </c>
      <c r="I1098" s="679">
        <v>169.41</v>
      </c>
    </row>
    <row r="1099" spans="2:9" ht="30">
      <c r="B1099" s="395">
        <v>93404</v>
      </c>
      <c r="C1099" s="406" t="s">
        <v>3815</v>
      </c>
      <c r="D1099" s="395" t="s">
        <v>36</v>
      </c>
      <c r="E1099" s="407">
        <f t="shared" si="34"/>
        <v>7.24</v>
      </c>
      <c r="F1099">
        <f t="shared" si="35"/>
        <v>93404</v>
      </c>
      <c r="H1099" s="680">
        <v>7.24</v>
      </c>
      <c r="I1099" s="680">
        <v>7.24</v>
      </c>
    </row>
    <row r="1100" spans="2:9" ht="30">
      <c r="B1100" s="396">
        <v>93405</v>
      </c>
      <c r="C1100" s="401" t="s">
        <v>3816</v>
      </c>
      <c r="D1100" s="396" t="s">
        <v>36</v>
      </c>
      <c r="E1100" s="405">
        <f t="shared" si="34"/>
        <v>0.94</v>
      </c>
      <c r="F1100">
        <f t="shared" si="35"/>
        <v>93405</v>
      </c>
      <c r="H1100" s="679">
        <v>0.94</v>
      </c>
      <c r="I1100" s="679">
        <v>0.94</v>
      </c>
    </row>
    <row r="1101" spans="2:9" ht="30">
      <c r="B1101" s="395">
        <v>93406</v>
      </c>
      <c r="C1101" s="406" t="s">
        <v>3817</v>
      </c>
      <c r="D1101" s="395" t="s">
        <v>36</v>
      </c>
      <c r="E1101" s="407">
        <f t="shared" si="34"/>
        <v>8.68</v>
      </c>
      <c r="F1101">
        <f t="shared" si="35"/>
        <v>93406</v>
      </c>
      <c r="H1101" s="680">
        <v>8.68</v>
      </c>
      <c r="I1101" s="680">
        <v>8.68</v>
      </c>
    </row>
    <row r="1102" spans="2:9" ht="45">
      <c r="B1102" s="396">
        <v>93407</v>
      </c>
      <c r="C1102" s="401" t="s">
        <v>3818</v>
      </c>
      <c r="D1102" s="396" t="s">
        <v>36</v>
      </c>
      <c r="E1102" s="405">
        <f t="shared" si="34"/>
        <v>50.51</v>
      </c>
      <c r="F1102">
        <f t="shared" si="35"/>
        <v>93407</v>
      </c>
      <c r="H1102" s="679">
        <v>50.51</v>
      </c>
      <c r="I1102" s="679">
        <v>50.51</v>
      </c>
    </row>
    <row r="1103" spans="2:9" ht="30">
      <c r="B1103" s="395">
        <v>93411</v>
      </c>
      <c r="C1103" s="406" t="s">
        <v>1241</v>
      </c>
      <c r="D1103" s="395" t="s">
        <v>36</v>
      </c>
      <c r="E1103" s="407">
        <f t="shared" si="34"/>
        <v>0.33</v>
      </c>
      <c r="F1103">
        <f t="shared" si="35"/>
        <v>93411</v>
      </c>
      <c r="H1103" s="680">
        <v>0.33</v>
      </c>
      <c r="I1103" s="680">
        <v>0.33</v>
      </c>
    </row>
    <row r="1104" spans="2:9">
      <c r="B1104" s="396">
        <v>93412</v>
      </c>
      <c r="C1104" s="401" t="s">
        <v>1242</v>
      </c>
      <c r="D1104" s="396" t="s">
        <v>36</v>
      </c>
      <c r="E1104" s="405">
        <f t="shared" si="34"/>
        <v>0.06</v>
      </c>
      <c r="F1104">
        <f t="shared" si="35"/>
        <v>93412</v>
      </c>
      <c r="H1104" s="679">
        <v>0.06</v>
      </c>
      <c r="I1104" s="679">
        <v>0.06</v>
      </c>
    </row>
    <row r="1105" spans="2:9" ht="30">
      <c r="B1105" s="395">
        <v>93413</v>
      </c>
      <c r="C1105" s="406" t="s">
        <v>1243</v>
      </c>
      <c r="D1105" s="395" t="s">
        <v>36</v>
      </c>
      <c r="E1105" s="407">
        <f t="shared" si="34"/>
        <v>0.28999999999999998</v>
      </c>
      <c r="F1105">
        <f t="shared" si="35"/>
        <v>93413</v>
      </c>
      <c r="H1105" s="680">
        <v>0.28999999999999998</v>
      </c>
      <c r="I1105" s="680">
        <v>0.28999999999999998</v>
      </c>
    </row>
    <row r="1106" spans="2:9" ht="30">
      <c r="B1106" s="396">
        <v>93414</v>
      </c>
      <c r="C1106" s="401" t="s">
        <v>1244</v>
      </c>
      <c r="D1106" s="396" t="s">
        <v>36</v>
      </c>
      <c r="E1106" s="405">
        <f t="shared" si="34"/>
        <v>12.32</v>
      </c>
      <c r="F1106">
        <f t="shared" si="35"/>
        <v>93414</v>
      </c>
      <c r="H1106" s="679">
        <v>12.32</v>
      </c>
      <c r="I1106" s="679">
        <v>12.32</v>
      </c>
    </row>
    <row r="1107" spans="2:9">
      <c r="B1107" s="395">
        <v>93417</v>
      </c>
      <c r="C1107" s="406" t="s">
        <v>1245</v>
      </c>
      <c r="D1107" s="395" t="s">
        <v>36</v>
      </c>
      <c r="E1107" s="407">
        <f t="shared" si="34"/>
        <v>4.38</v>
      </c>
      <c r="F1107">
        <f t="shared" si="35"/>
        <v>93417</v>
      </c>
      <c r="H1107" s="680">
        <v>4.38</v>
      </c>
      <c r="I1107" s="680">
        <v>4.38</v>
      </c>
    </row>
    <row r="1108" spans="2:9">
      <c r="B1108" s="396">
        <v>93418</v>
      </c>
      <c r="C1108" s="401" t="s">
        <v>1246</v>
      </c>
      <c r="D1108" s="396" t="s">
        <v>36</v>
      </c>
      <c r="E1108" s="405">
        <f t="shared" si="34"/>
        <v>0.78</v>
      </c>
      <c r="F1108">
        <f t="shared" si="35"/>
        <v>93418</v>
      </c>
      <c r="H1108" s="679">
        <v>0.78</v>
      </c>
      <c r="I1108" s="679">
        <v>0.78</v>
      </c>
    </row>
    <row r="1109" spans="2:9">
      <c r="B1109" s="395">
        <v>93419</v>
      </c>
      <c r="C1109" s="406" t="s">
        <v>436</v>
      </c>
      <c r="D1109" s="395" t="s">
        <v>36</v>
      </c>
      <c r="E1109" s="407">
        <f t="shared" si="34"/>
        <v>3.91</v>
      </c>
      <c r="F1109">
        <f t="shared" si="35"/>
        <v>93419</v>
      </c>
      <c r="H1109" s="680">
        <v>3.91</v>
      </c>
      <c r="I1109" s="680">
        <v>3.91</v>
      </c>
    </row>
    <row r="1110" spans="2:9">
      <c r="B1110" s="396">
        <v>93420</v>
      </c>
      <c r="C1110" s="401" t="s">
        <v>1247</v>
      </c>
      <c r="D1110" s="396" t="s">
        <v>36</v>
      </c>
      <c r="E1110" s="405">
        <f t="shared" si="34"/>
        <v>71.849999999999994</v>
      </c>
      <c r="F1110">
        <f t="shared" si="35"/>
        <v>93420</v>
      </c>
      <c r="H1110" s="679">
        <v>71.849999999999994</v>
      </c>
      <c r="I1110" s="679">
        <v>71.849999999999994</v>
      </c>
    </row>
    <row r="1111" spans="2:9">
      <c r="B1111" s="395">
        <v>93423</v>
      </c>
      <c r="C1111" s="406" t="s">
        <v>1248</v>
      </c>
      <c r="D1111" s="395" t="s">
        <v>36</v>
      </c>
      <c r="E1111" s="407">
        <f t="shared" si="34"/>
        <v>6.2</v>
      </c>
      <c r="F1111">
        <f t="shared" si="35"/>
        <v>93423</v>
      </c>
      <c r="H1111" s="680">
        <v>6.2</v>
      </c>
      <c r="I1111" s="680">
        <v>6.2</v>
      </c>
    </row>
    <row r="1112" spans="2:9">
      <c r="B1112" s="396">
        <v>93424</v>
      </c>
      <c r="C1112" s="401" t="s">
        <v>1249</v>
      </c>
      <c r="D1112" s="396" t="s">
        <v>36</v>
      </c>
      <c r="E1112" s="405">
        <f t="shared" si="34"/>
        <v>1.1100000000000001</v>
      </c>
      <c r="F1112">
        <f t="shared" si="35"/>
        <v>93424</v>
      </c>
      <c r="H1112" s="679">
        <v>1.1100000000000001</v>
      </c>
      <c r="I1112" s="679">
        <v>1.1100000000000001</v>
      </c>
    </row>
    <row r="1113" spans="2:9">
      <c r="B1113" s="395">
        <v>93425</v>
      </c>
      <c r="C1113" s="406" t="s">
        <v>1250</v>
      </c>
      <c r="D1113" s="395" t="s">
        <v>36</v>
      </c>
      <c r="E1113" s="407">
        <f t="shared" si="34"/>
        <v>5.53</v>
      </c>
      <c r="F1113">
        <f t="shared" si="35"/>
        <v>93425</v>
      </c>
      <c r="H1113" s="680">
        <v>5.53</v>
      </c>
      <c r="I1113" s="680">
        <v>5.53</v>
      </c>
    </row>
    <row r="1114" spans="2:9">
      <c r="B1114" s="396">
        <v>93426</v>
      </c>
      <c r="C1114" s="401" t="s">
        <v>1251</v>
      </c>
      <c r="D1114" s="396" t="s">
        <v>36</v>
      </c>
      <c r="E1114" s="405">
        <f t="shared" si="34"/>
        <v>171.72</v>
      </c>
      <c r="F1114">
        <f t="shared" si="35"/>
        <v>93426</v>
      </c>
      <c r="H1114" s="679">
        <v>171.72</v>
      </c>
      <c r="I1114" s="679">
        <v>171.72</v>
      </c>
    </row>
    <row r="1115" spans="2:9">
      <c r="B1115" s="395">
        <v>93429</v>
      </c>
      <c r="C1115" s="406" t="s">
        <v>1252</v>
      </c>
      <c r="D1115" s="395" t="s">
        <v>36</v>
      </c>
      <c r="E1115" s="407">
        <f t="shared" si="34"/>
        <v>125.93</v>
      </c>
      <c r="F1115">
        <f t="shared" si="35"/>
        <v>93429</v>
      </c>
      <c r="H1115" s="680">
        <v>125.93</v>
      </c>
      <c r="I1115" s="680">
        <v>125.93</v>
      </c>
    </row>
    <row r="1116" spans="2:9">
      <c r="B1116" s="396">
        <v>93430</v>
      </c>
      <c r="C1116" s="401" t="s">
        <v>1253</v>
      </c>
      <c r="D1116" s="396" t="s">
        <v>36</v>
      </c>
      <c r="E1116" s="405">
        <f t="shared" si="34"/>
        <v>19.84</v>
      </c>
      <c r="F1116">
        <f t="shared" si="35"/>
        <v>93430</v>
      </c>
      <c r="H1116" s="679">
        <v>19.84</v>
      </c>
      <c r="I1116" s="679">
        <v>19.84</v>
      </c>
    </row>
    <row r="1117" spans="2:9">
      <c r="B1117" s="395">
        <v>93431</v>
      </c>
      <c r="C1117" s="406" t="s">
        <v>1254</v>
      </c>
      <c r="D1117" s="395" t="s">
        <v>36</v>
      </c>
      <c r="E1117" s="407">
        <f t="shared" si="34"/>
        <v>157.53</v>
      </c>
      <c r="F1117">
        <f t="shared" si="35"/>
        <v>93431</v>
      </c>
      <c r="H1117" s="680">
        <v>157.53</v>
      </c>
      <c r="I1117" s="680">
        <v>157.53</v>
      </c>
    </row>
    <row r="1118" spans="2:9">
      <c r="B1118" s="396">
        <v>93432</v>
      </c>
      <c r="C1118" s="401" t="s">
        <v>1255</v>
      </c>
      <c r="D1118" s="396" t="s">
        <v>36</v>
      </c>
      <c r="E1118" s="405">
        <f t="shared" si="34"/>
        <v>2307.6</v>
      </c>
      <c r="F1118">
        <f t="shared" si="35"/>
        <v>93432</v>
      </c>
      <c r="H1118" s="679">
        <v>2307.6</v>
      </c>
      <c r="I1118" s="679">
        <v>2307.6</v>
      </c>
    </row>
    <row r="1119" spans="2:9">
      <c r="B1119" s="395">
        <v>93435</v>
      </c>
      <c r="C1119" s="406" t="s">
        <v>1256</v>
      </c>
      <c r="D1119" s="395" t="s">
        <v>36</v>
      </c>
      <c r="E1119" s="407">
        <f t="shared" si="34"/>
        <v>7.07</v>
      </c>
      <c r="F1119">
        <f t="shared" si="35"/>
        <v>93435</v>
      </c>
      <c r="H1119" s="680">
        <v>7.07</v>
      </c>
      <c r="I1119" s="680">
        <v>7.07</v>
      </c>
    </row>
    <row r="1120" spans="2:9">
      <c r="B1120" s="396">
        <v>93436</v>
      </c>
      <c r="C1120" s="401" t="s">
        <v>1257</v>
      </c>
      <c r="D1120" s="396" t="s">
        <v>36</v>
      </c>
      <c r="E1120" s="405">
        <f t="shared" si="34"/>
        <v>1.1100000000000001</v>
      </c>
      <c r="F1120">
        <f t="shared" si="35"/>
        <v>93436</v>
      </c>
      <c r="H1120" s="679">
        <v>1.1100000000000001</v>
      </c>
      <c r="I1120" s="679">
        <v>1.1100000000000001</v>
      </c>
    </row>
    <row r="1121" spans="2:9">
      <c r="B1121" s="395">
        <v>93437</v>
      </c>
      <c r="C1121" s="406" t="s">
        <v>1258</v>
      </c>
      <c r="D1121" s="395" t="s">
        <v>36</v>
      </c>
      <c r="E1121" s="407">
        <f t="shared" si="34"/>
        <v>7.73</v>
      </c>
      <c r="F1121">
        <f t="shared" si="35"/>
        <v>93437</v>
      </c>
      <c r="H1121" s="680">
        <v>7.73</v>
      </c>
      <c r="I1121" s="680">
        <v>7.73</v>
      </c>
    </row>
    <row r="1122" spans="2:9">
      <c r="B1122" s="396">
        <v>93438</v>
      </c>
      <c r="C1122" s="401" t="s">
        <v>1259</v>
      </c>
      <c r="D1122" s="396" t="s">
        <v>36</v>
      </c>
      <c r="E1122" s="405">
        <f t="shared" si="34"/>
        <v>120.31</v>
      </c>
      <c r="F1122">
        <f t="shared" si="35"/>
        <v>93438</v>
      </c>
      <c r="H1122" s="679">
        <v>120.31</v>
      </c>
      <c r="I1122" s="679">
        <v>120.31</v>
      </c>
    </row>
    <row r="1123" spans="2:9">
      <c r="B1123" s="395">
        <v>95114</v>
      </c>
      <c r="C1123" s="406" t="s">
        <v>1260</v>
      </c>
      <c r="D1123" s="395" t="s">
        <v>36</v>
      </c>
      <c r="E1123" s="407">
        <f t="shared" si="34"/>
        <v>1.79</v>
      </c>
      <c r="F1123">
        <f t="shared" si="35"/>
        <v>95114</v>
      </c>
      <c r="H1123" s="680">
        <v>1.79</v>
      </c>
      <c r="I1123" s="680">
        <v>1.79</v>
      </c>
    </row>
    <row r="1124" spans="2:9">
      <c r="B1124" s="396">
        <v>95115</v>
      </c>
      <c r="C1124" s="401" t="s">
        <v>1261</v>
      </c>
      <c r="D1124" s="396" t="s">
        <v>36</v>
      </c>
      <c r="E1124" s="405">
        <f t="shared" si="34"/>
        <v>0.21</v>
      </c>
      <c r="F1124">
        <f t="shared" si="35"/>
        <v>95115</v>
      </c>
      <c r="H1124" s="679">
        <v>0.21</v>
      </c>
      <c r="I1124" s="679">
        <v>0.21</v>
      </c>
    </row>
    <row r="1125" spans="2:9">
      <c r="B1125" s="395">
        <v>95116</v>
      </c>
      <c r="C1125" s="406" t="s">
        <v>476</v>
      </c>
      <c r="D1125" s="395" t="s">
        <v>36</v>
      </c>
      <c r="E1125" s="407">
        <f t="shared" si="34"/>
        <v>31.99</v>
      </c>
      <c r="F1125">
        <f t="shared" si="35"/>
        <v>95116</v>
      </c>
      <c r="H1125" s="680">
        <v>31.99</v>
      </c>
      <c r="I1125" s="680">
        <v>31.99</v>
      </c>
    </row>
    <row r="1126" spans="2:9">
      <c r="B1126" s="396">
        <v>95117</v>
      </c>
      <c r="C1126" s="401" t="s">
        <v>477</v>
      </c>
      <c r="D1126" s="396" t="s">
        <v>36</v>
      </c>
      <c r="E1126" s="405">
        <f t="shared" si="34"/>
        <v>5.04</v>
      </c>
      <c r="F1126">
        <f t="shared" si="35"/>
        <v>95117</v>
      </c>
      <c r="H1126" s="679">
        <v>5.04</v>
      </c>
      <c r="I1126" s="679">
        <v>5.04</v>
      </c>
    </row>
    <row r="1127" spans="2:9">
      <c r="B1127" s="395">
        <v>95118</v>
      </c>
      <c r="C1127" s="406" t="s">
        <v>1262</v>
      </c>
      <c r="D1127" s="395" t="s">
        <v>36</v>
      </c>
      <c r="E1127" s="407">
        <f t="shared" si="34"/>
        <v>57.75</v>
      </c>
      <c r="F1127">
        <f t="shared" si="35"/>
        <v>95118</v>
      </c>
      <c r="H1127" s="680">
        <v>57.75</v>
      </c>
      <c r="I1127" s="680">
        <v>57.75</v>
      </c>
    </row>
    <row r="1128" spans="2:9">
      <c r="B1128" s="396">
        <v>95119</v>
      </c>
      <c r="C1128" s="401" t="s">
        <v>1263</v>
      </c>
      <c r="D1128" s="396" t="s">
        <v>36</v>
      </c>
      <c r="E1128" s="405">
        <f t="shared" si="34"/>
        <v>9.09</v>
      </c>
      <c r="F1128">
        <f t="shared" si="35"/>
        <v>95119</v>
      </c>
      <c r="H1128" s="679">
        <v>9.09</v>
      </c>
      <c r="I1128" s="679">
        <v>9.09</v>
      </c>
    </row>
    <row r="1129" spans="2:9">
      <c r="B1129" s="395">
        <v>95120</v>
      </c>
      <c r="C1129" s="406" t="s">
        <v>1264</v>
      </c>
      <c r="D1129" s="395" t="s">
        <v>36</v>
      </c>
      <c r="E1129" s="407">
        <f t="shared" si="34"/>
        <v>66.930000000000007</v>
      </c>
      <c r="F1129">
        <f t="shared" si="35"/>
        <v>95120</v>
      </c>
      <c r="H1129" s="680">
        <v>66.930000000000007</v>
      </c>
      <c r="I1129" s="680">
        <v>66.930000000000007</v>
      </c>
    </row>
    <row r="1130" spans="2:9">
      <c r="B1130" s="396">
        <v>95123</v>
      </c>
      <c r="C1130" s="401" t="s">
        <v>478</v>
      </c>
      <c r="D1130" s="396" t="s">
        <v>36</v>
      </c>
      <c r="E1130" s="405">
        <f t="shared" si="34"/>
        <v>16.36</v>
      </c>
      <c r="F1130">
        <f t="shared" si="35"/>
        <v>95123</v>
      </c>
      <c r="H1130" s="679">
        <v>16.36</v>
      </c>
      <c r="I1130" s="679">
        <v>16.36</v>
      </c>
    </row>
    <row r="1131" spans="2:9">
      <c r="B1131" s="395">
        <v>95124</v>
      </c>
      <c r="C1131" s="406" t="s">
        <v>479</v>
      </c>
      <c r="D1131" s="395" t="s">
        <v>36</v>
      </c>
      <c r="E1131" s="407">
        <f t="shared" si="34"/>
        <v>2.57</v>
      </c>
      <c r="F1131">
        <f t="shared" si="35"/>
        <v>95124</v>
      </c>
      <c r="H1131" s="680">
        <v>2.57</v>
      </c>
      <c r="I1131" s="680">
        <v>2.57</v>
      </c>
    </row>
    <row r="1132" spans="2:9">
      <c r="B1132" s="396">
        <v>95125</v>
      </c>
      <c r="C1132" s="401" t="s">
        <v>480</v>
      </c>
      <c r="D1132" s="396" t="s">
        <v>36</v>
      </c>
      <c r="E1132" s="405">
        <f t="shared" si="34"/>
        <v>17.899999999999999</v>
      </c>
      <c r="F1132">
        <f t="shared" si="35"/>
        <v>95125</v>
      </c>
      <c r="H1132" s="679">
        <v>17.899999999999999</v>
      </c>
      <c r="I1132" s="679">
        <v>17.899999999999999</v>
      </c>
    </row>
    <row r="1133" spans="2:9">
      <c r="B1133" s="395">
        <v>95126</v>
      </c>
      <c r="C1133" s="406" t="s">
        <v>1265</v>
      </c>
      <c r="D1133" s="395" t="s">
        <v>36</v>
      </c>
      <c r="E1133" s="407">
        <f t="shared" si="34"/>
        <v>157.75</v>
      </c>
      <c r="F1133">
        <f t="shared" si="35"/>
        <v>95126</v>
      </c>
      <c r="H1133" s="680">
        <v>157.75</v>
      </c>
      <c r="I1133" s="680">
        <v>157.75</v>
      </c>
    </row>
    <row r="1134" spans="2:9">
      <c r="B1134" s="396">
        <v>95129</v>
      </c>
      <c r="C1134" s="401" t="s">
        <v>1266</v>
      </c>
      <c r="D1134" s="396" t="s">
        <v>36</v>
      </c>
      <c r="E1134" s="405">
        <f t="shared" si="34"/>
        <v>43.83</v>
      </c>
      <c r="F1134">
        <f t="shared" si="35"/>
        <v>95129</v>
      </c>
      <c r="H1134" s="679">
        <v>43.83</v>
      </c>
      <c r="I1134" s="679">
        <v>43.83</v>
      </c>
    </row>
    <row r="1135" spans="2:9">
      <c r="B1135" s="395">
        <v>95130</v>
      </c>
      <c r="C1135" s="406" t="s">
        <v>1267</v>
      </c>
      <c r="D1135" s="395" t="s">
        <v>36</v>
      </c>
      <c r="E1135" s="407">
        <f t="shared" si="34"/>
        <v>8.1199999999999992</v>
      </c>
      <c r="F1135">
        <f t="shared" si="35"/>
        <v>95130</v>
      </c>
      <c r="H1135" s="680">
        <v>8.1199999999999992</v>
      </c>
      <c r="I1135" s="680">
        <v>8.1199999999999992</v>
      </c>
    </row>
    <row r="1136" spans="2:9">
      <c r="B1136" s="396">
        <v>95131</v>
      </c>
      <c r="C1136" s="401" t="s">
        <v>1268</v>
      </c>
      <c r="D1136" s="396" t="s">
        <v>36</v>
      </c>
      <c r="E1136" s="405">
        <f t="shared" si="34"/>
        <v>51.59</v>
      </c>
      <c r="F1136">
        <f t="shared" si="35"/>
        <v>95131</v>
      </c>
      <c r="H1136" s="679">
        <v>51.59</v>
      </c>
      <c r="I1136" s="679">
        <v>51.59</v>
      </c>
    </row>
    <row r="1137" spans="2:9" ht="30">
      <c r="B1137" s="395">
        <v>95132</v>
      </c>
      <c r="C1137" s="406" t="s">
        <v>1269</v>
      </c>
      <c r="D1137" s="395" t="s">
        <v>36</v>
      </c>
      <c r="E1137" s="407">
        <f t="shared" si="34"/>
        <v>34.54</v>
      </c>
      <c r="F1137">
        <f t="shared" si="35"/>
        <v>95132</v>
      </c>
      <c r="H1137" s="680">
        <v>34.54</v>
      </c>
      <c r="I1137" s="680">
        <v>34.54</v>
      </c>
    </row>
    <row r="1138" spans="2:9">
      <c r="B1138" s="396">
        <v>95136</v>
      </c>
      <c r="C1138" s="401" t="s">
        <v>1270</v>
      </c>
      <c r="D1138" s="396" t="s">
        <v>36</v>
      </c>
      <c r="E1138" s="405">
        <f t="shared" si="34"/>
        <v>0.04</v>
      </c>
      <c r="F1138">
        <f t="shared" si="35"/>
        <v>95136</v>
      </c>
      <c r="H1138" s="679">
        <v>0.04</v>
      </c>
      <c r="I1138" s="679">
        <v>0.04</v>
      </c>
    </row>
    <row r="1139" spans="2:9">
      <c r="B1139" s="395">
        <v>95137</v>
      </c>
      <c r="C1139" s="406" t="s">
        <v>1271</v>
      </c>
      <c r="D1139" s="395" t="s">
        <v>36</v>
      </c>
      <c r="E1139" s="407">
        <f t="shared" si="34"/>
        <v>0</v>
      </c>
      <c r="F1139">
        <f t="shared" si="35"/>
        <v>95137</v>
      </c>
      <c r="H1139" s="680">
        <v>0</v>
      </c>
      <c r="I1139" s="680">
        <v>0</v>
      </c>
    </row>
    <row r="1140" spans="2:9">
      <c r="B1140" s="396">
        <v>95138</v>
      </c>
      <c r="C1140" s="401" t="s">
        <v>1272</v>
      </c>
      <c r="D1140" s="396" t="s">
        <v>36</v>
      </c>
      <c r="E1140" s="405">
        <f t="shared" si="34"/>
        <v>0.03</v>
      </c>
      <c r="F1140">
        <f t="shared" si="35"/>
        <v>95138</v>
      </c>
      <c r="H1140" s="679">
        <v>0.03</v>
      </c>
      <c r="I1140" s="679">
        <v>0.03</v>
      </c>
    </row>
    <row r="1141" spans="2:9">
      <c r="B1141" s="395">
        <v>95208</v>
      </c>
      <c r="C1141" s="406" t="s">
        <v>1273</v>
      </c>
      <c r="D1141" s="395" t="s">
        <v>36</v>
      </c>
      <c r="E1141" s="407">
        <f t="shared" si="34"/>
        <v>52.17</v>
      </c>
      <c r="F1141">
        <f t="shared" si="35"/>
        <v>95208</v>
      </c>
      <c r="H1141" s="680">
        <v>52.17</v>
      </c>
      <c r="I1141" s="680">
        <v>52.17</v>
      </c>
    </row>
    <row r="1142" spans="2:9">
      <c r="B1142" s="396">
        <v>95209</v>
      </c>
      <c r="C1142" s="401" t="s">
        <v>1274</v>
      </c>
      <c r="D1142" s="396" t="s">
        <v>36</v>
      </c>
      <c r="E1142" s="405">
        <f t="shared" si="34"/>
        <v>6.19</v>
      </c>
      <c r="F1142">
        <f t="shared" si="35"/>
        <v>95209</v>
      </c>
      <c r="H1142" s="679">
        <v>6.19</v>
      </c>
      <c r="I1142" s="679">
        <v>6.19</v>
      </c>
    </row>
    <row r="1143" spans="2:9">
      <c r="B1143" s="395">
        <v>95210</v>
      </c>
      <c r="C1143" s="406" t="s">
        <v>1275</v>
      </c>
      <c r="D1143" s="395" t="s">
        <v>36</v>
      </c>
      <c r="E1143" s="407">
        <f t="shared" si="34"/>
        <v>57.06</v>
      </c>
      <c r="F1143">
        <f t="shared" si="35"/>
        <v>95210</v>
      </c>
      <c r="H1143" s="680">
        <v>57.06</v>
      </c>
      <c r="I1143" s="680">
        <v>57.06</v>
      </c>
    </row>
    <row r="1144" spans="2:9">
      <c r="B1144" s="396">
        <v>95211</v>
      </c>
      <c r="C1144" s="401" t="s">
        <v>1276</v>
      </c>
      <c r="D1144" s="396" t="s">
        <v>36</v>
      </c>
      <c r="E1144" s="405">
        <f t="shared" si="34"/>
        <v>9.81</v>
      </c>
      <c r="F1144">
        <f t="shared" si="35"/>
        <v>95211</v>
      </c>
      <c r="H1144" s="679">
        <v>9.81</v>
      </c>
      <c r="I1144" s="679">
        <v>9.81</v>
      </c>
    </row>
    <row r="1145" spans="2:9">
      <c r="B1145" s="395">
        <v>95217</v>
      </c>
      <c r="C1145" s="406" t="s">
        <v>1277</v>
      </c>
      <c r="D1145" s="395" t="s">
        <v>36</v>
      </c>
      <c r="E1145" s="407">
        <f t="shared" si="34"/>
        <v>0.66</v>
      </c>
      <c r="F1145">
        <f t="shared" si="35"/>
        <v>95217</v>
      </c>
      <c r="H1145" s="680">
        <v>0.66</v>
      </c>
      <c r="I1145" s="680">
        <v>0.66</v>
      </c>
    </row>
    <row r="1146" spans="2:9">
      <c r="B1146" s="396">
        <v>95255</v>
      </c>
      <c r="C1146" s="401" t="s">
        <v>550</v>
      </c>
      <c r="D1146" s="396" t="s">
        <v>36</v>
      </c>
      <c r="E1146" s="405">
        <f t="shared" si="34"/>
        <v>1.59</v>
      </c>
      <c r="F1146">
        <f t="shared" si="35"/>
        <v>95255</v>
      </c>
      <c r="H1146" s="679">
        <v>1.59</v>
      </c>
      <c r="I1146" s="679">
        <v>1.59</v>
      </c>
    </row>
    <row r="1147" spans="2:9">
      <c r="B1147" s="395">
        <v>95256</v>
      </c>
      <c r="C1147" s="406" t="s">
        <v>551</v>
      </c>
      <c r="D1147" s="395" t="s">
        <v>36</v>
      </c>
      <c r="E1147" s="407">
        <f t="shared" si="34"/>
        <v>0.18</v>
      </c>
      <c r="F1147">
        <f t="shared" si="35"/>
        <v>95256</v>
      </c>
      <c r="H1147" s="680">
        <v>0.18</v>
      </c>
      <c r="I1147" s="680">
        <v>0.18</v>
      </c>
    </row>
    <row r="1148" spans="2:9">
      <c r="B1148" s="396">
        <v>95257</v>
      </c>
      <c r="C1148" s="401" t="s">
        <v>552</v>
      </c>
      <c r="D1148" s="396" t="s">
        <v>36</v>
      </c>
      <c r="E1148" s="405">
        <f t="shared" si="34"/>
        <v>1.98</v>
      </c>
      <c r="F1148">
        <f t="shared" si="35"/>
        <v>95257</v>
      </c>
      <c r="H1148" s="679">
        <v>1.98</v>
      </c>
      <c r="I1148" s="679">
        <v>1.98</v>
      </c>
    </row>
    <row r="1149" spans="2:9">
      <c r="B1149" s="395">
        <v>95260</v>
      </c>
      <c r="C1149" s="406" t="s">
        <v>1278</v>
      </c>
      <c r="D1149" s="395" t="s">
        <v>36</v>
      </c>
      <c r="E1149" s="407">
        <f t="shared" si="34"/>
        <v>0.6</v>
      </c>
      <c r="F1149">
        <f t="shared" si="35"/>
        <v>95260</v>
      </c>
      <c r="H1149" s="680">
        <v>0.6</v>
      </c>
      <c r="I1149" s="680">
        <v>0.6</v>
      </c>
    </row>
    <row r="1150" spans="2:9">
      <c r="B1150" s="396">
        <v>95261</v>
      </c>
      <c r="C1150" s="401" t="s">
        <v>1279</v>
      </c>
      <c r="D1150" s="396" t="s">
        <v>36</v>
      </c>
      <c r="E1150" s="405">
        <f t="shared" si="34"/>
        <v>0.18</v>
      </c>
      <c r="F1150">
        <f t="shared" si="35"/>
        <v>95261</v>
      </c>
      <c r="H1150" s="679">
        <v>0.18</v>
      </c>
      <c r="I1150" s="679">
        <v>0.18</v>
      </c>
    </row>
    <row r="1151" spans="2:9">
      <c r="B1151" s="395">
        <v>95262</v>
      </c>
      <c r="C1151" s="406" t="s">
        <v>1280</v>
      </c>
      <c r="D1151" s="395" t="s">
        <v>36</v>
      </c>
      <c r="E1151" s="407">
        <f t="shared" si="34"/>
        <v>1.65</v>
      </c>
      <c r="F1151">
        <f t="shared" si="35"/>
        <v>95262</v>
      </c>
      <c r="H1151" s="680">
        <v>1.65</v>
      </c>
      <c r="I1151" s="680">
        <v>1.65</v>
      </c>
    </row>
    <row r="1152" spans="2:9" ht="30">
      <c r="B1152" s="396">
        <v>95263</v>
      </c>
      <c r="C1152" s="401" t="s">
        <v>1281</v>
      </c>
      <c r="D1152" s="396" t="s">
        <v>36</v>
      </c>
      <c r="E1152" s="405">
        <f t="shared" si="34"/>
        <v>3.86</v>
      </c>
      <c r="F1152">
        <f t="shared" si="35"/>
        <v>95263</v>
      </c>
      <c r="H1152" s="679">
        <v>3.86</v>
      </c>
      <c r="I1152" s="679">
        <v>3.86</v>
      </c>
    </row>
    <row r="1153" spans="2:9" ht="30">
      <c r="B1153" s="395">
        <v>95266</v>
      </c>
      <c r="C1153" s="406" t="s">
        <v>1282</v>
      </c>
      <c r="D1153" s="395" t="s">
        <v>36</v>
      </c>
      <c r="E1153" s="407">
        <f t="shared" si="34"/>
        <v>0.5</v>
      </c>
      <c r="F1153">
        <f t="shared" si="35"/>
        <v>95266</v>
      </c>
      <c r="H1153" s="680">
        <v>0.5</v>
      </c>
      <c r="I1153" s="680">
        <v>0.5</v>
      </c>
    </row>
    <row r="1154" spans="2:9" ht="30">
      <c r="B1154" s="396">
        <v>95267</v>
      </c>
      <c r="C1154" s="401" t="s">
        <v>1283</v>
      </c>
      <c r="D1154" s="396" t="s">
        <v>36</v>
      </c>
      <c r="E1154" s="405">
        <f t="shared" si="34"/>
        <v>0.05</v>
      </c>
      <c r="F1154">
        <f t="shared" si="35"/>
        <v>95267</v>
      </c>
      <c r="H1154" s="679">
        <v>0.05</v>
      </c>
      <c r="I1154" s="679">
        <v>0.05</v>
      </c>
    </row>
    <row r="1155" spans="2:9" ht="30">
      <c r="B1155" s="395">
        <v>95268</v>
      </c>
      <c r="C1155" s="406" t="s">
        <v>1284</v>
      </c>
      <c r="D1155" s="395" t="s">
        <v>36</v>
      </c>
      <c r="E1155" s="407">
        <f t="shared" ref="E1155:E1218" si="36">IF($K$2=$H$1,H1155,I1155)</f>
        <v>0.49</v>
      </c>
      <c r="F1155">
        <f t="shared" ref="F1155:F1218" si="37">IF(LEN($B1155)=7,CONCATENATE(MID($B1155,1,6),"00",RIGHT($B1155,1)),IF(LEN($B1155)=8,CONCATENATE(MID($B1155,1,6),"0",RIGHT($B1155,2)),$B1155))</f>
        <v>95268</v>
      </c>
      <c r="H1155" s="680">
        <v>0.49</v>
      </c>
      <c r="I1155" s="680">
        <v>0.49</v>
      </c>
    </row>
    <row r="1156" spans="2:9" ht="30">
      <c r="B1156" s="396">
        <v>95269</v>
      </c>
      <c r="C1156" s="401" t="s">
        <v>1285</v>
      </c>
      <c r="D1156" s="396" t="s">
        <v>36</v>
      </c>
      <c r="E1156" s="405">
        <f t="shared" si="36"/>
        <v>7.12</v>
      </c>
      <c r="F1156">
        <f t="shared" si="37"/>
        <v>95269</v>
      </c>
      <c r="H1156" s="679">
        <v>7.12</v>
      </c>
      <c r="I1156" s="679">
        <v>7.12</v>
      </c>
    </row>
    <row r="1157" spans="2:9">
      <c r="B1157" s="395">
        <v>95272</v>
      </c>
      <c r="C1157" s="406" t="s">
        <v>1286</v>
      </c>
      <c r="D1157" s="395" t="s">
        <v>36</v>
      </c>
      <c r="E1157" s="407">
        <f t="shared" si="36"/>
        <v>0.49</v>
      </c>
      <c r="F1157">
        <f t="shared" si="37"/>
        <v>95272</v>
      </c>
      <c r="H1157" s="680">
        <v>0.49</v>
      </c>
      <c r="I1157" s="680">
        <v>0.49</v>
      </c>
    </row>
    <row r="1158" spans="2:9">
      <c r="B1158" s="396">
        <v>95273</v>
      </c>
      <c r="C1158" s="401" t="s">
        <v>1287</v>
      </c>
      <c r="D1158" s="396" t="s">
        <v>36</v>
      </c>
      <c r="E1158" s="405">
        <f t="shared" si="36"/>
        <v>0.05</v>
      </c>
      <c r="F1158">
        <f t="shared" si="37"/>
        <v>95273</v>
      </c>
      <c r="H1158" s="679">
        <v>0.05</v>
      </c>
      <c r="I1158" s="679">
        <v>0.05</v>
      </c>
    </row>
    <row r="1159" spans="2:9">
      <c r="B1159" s="395">
        <v>95274</v>
      </c>
      <c r="C1159" s="406" t="s">
        <v>1288</v>
      </c>
      <c r="D1159" s="395" t="s">
        <v>36</v>
      </c>
      <c r="E1159" s="407">
        <f t="shared" si="36"/>
        <v>0.38</v>
      </c>
      <c r="F1159">
        <f t="shared" si="37"/>
        <v>95274</v>
      </c>
      <c r="H1159" s="680">
        <v>0.38</v>
      </c>
      <c r="I1159" s="680">
        <v>0.38</v>
      </c>
    </row>
    <row r="1160" spans="2:9" ht="30">
      <c r="B1160" s="396">
        <v>95275</v>
      </c>
      <c r="C1160" s="401" t="s">
        <v>1289</v>
      </c>
      <c r="D1160" s="396" t="s">
        <v>36</v>
      </c>
      <c r="E1160" s="405">
        <f t="shared" si="36"/>
        <v>2.66</v>
      </c>
      <c r="F1160">
        <f t="shared" si="37"/>
        <v>95275</v>
      </c>
      <c r="H1160" s="679">
        <v>2.66</v>
      </c>
      <c r="I1160" s="679">
        <v>2.66</v>
      </c>
    </row>
    <row r="1161" spans="2:9">
      <c r="B1161" s="395">
        <v>95278</v>
      </c>
      <c r="C1161" s="406" t="s">
        <v>7307</v>
      </c>
      <c r="D1161" s="395" t="s">
        <v>36</v>
      </c>
      <c r="E1161" s="407">
        <f t="shared" si="36"/>
        <v>0.6</v>
      </c>
      <c r="F1161">
        <f t="shared" si="37"/>
        <v>95278</v>
      </c>
      <c r="H1161" s="680">
        <v>0.6</v>
      </c>
      <c r="I1161" s="680">
        <v>0.6</v>
      </c>
    </row>
    <row r="1162" spans="2:9">
      <c r="B1162" s="396">
        <v>95279</v>
      </c>
      <c r="C1162" s="401" t="s">
        <v>7308</v>
      </c>
      <c r="D1162" s="396" t="s">
        <v>36</v>
      </c>
      <c r="E1162" s="405">
        <f t="shared" si="36"/>
        <v>0.06</v>
      </c>
      <c r="F1162">
        <f t="shared" si="37"/>
        <v>95279</v>
      </c>
      <c r="H1162" s="679">
        <v>0.06</v>
      </c>
      <c r="I1162" s="679">
        <v>0.06</v>
      </c>
    </row>
    <row r="1163" spans="2:9">
      <c r="B1163" s="395">
        <v>95280</v>
      </c>
      <c r="C1163" s="406" t="s">
        <v>7309</v>
      </c>
      <c r="D1163" s="395" t="s">
        <v>36</v>
      </c>
      <c r="E1163" s="407">
        <f t="shared" si="36"/>
        <v>0.57999999999999996</v>
      </c>
      <c r="F1163">
        <f t="shared" si="37"/>
        <v>95280</v>
      </c>
      <c r="H1163" s="680">
        <v>0.57999999999999996</v>
      </c>
      <c r="I1163" s="680">
        <v>0.57999999999999996</v>
      </c>
    </row>
    <row r="1164" spans="2:9" ht="30">
      <c r="B1164" s="396">
        <v>95281</v>
      </c>
      <c r="C1164" s="401" t="s">
        <v>7310</v>
      </c>
      <c r="D1164" s="396" t="s">
        <v>36</v>
      </c>
      <c r="E1164" s="405">
        <f t="shared" si="36"/>
        <v>7.12</v>
      </c>
      <c r="F1164">
        <f t="shared" si="37"/>
        <v>95281</v>
      </c>
      <c r="H1164" s="679">
        <v>7.12</v>
      </c>
      <c r="I1164" s="679">
        <v>7.12</v>
      </c>
    </row>
    <row r="1165" spans="2:9" ht="30">
      <c r="B1165" s="395">
        <v>95617</v>
      </c>
      <c r="C1165" s="406" t="s">
        <v>1290</v>
      </c>
      <c r="D1165" s="395" t="s">
        <v>36</v>
      </c>
      <c r="E1165" s="407">
        <f t="shared" si="36"/>
        <v>1.3</v>
      </c>
      <c r="F1165">
        <f t="shared" si="37"/>
        <v>95617</v>
      </c>
      <c r="H1165" s="680">
        <v>1.3</v>
      </c>
      <c r="I1165" s="680">
        <v>1.3</v>
      </c>
    </row>
    <row r="1166" spans="2:9" ht="30">
      <c r="B1166" s="396">
        <v>95618</v>
      </c>
      <c r="C1166" s="401" t="s">
        <v>1291</v>
      </c>
      <c r="D1166" s="396" t="s">
        <v>36</v>
      </c>
      <c r="E1166" s="405">
        <f t="shared" si="36"/>
        <v>0.15</v>
      </c>
      <c r="F1166">
        <f t="shared" si="37"/>
        <v>95618</v>
      </c>
      <c r="H1166" s="679">
        <v>0.15</v>
      </c>
      <c r="I1166" s="679">
        <v>0.15</v>
      </c>
    </row>
    <row r="1167" spans="2:9" ht="30">
      <c r="B1167" s="395">
        <v>95619</v>
      </c>
      <c r="C1167" s="406" t="s">
        <v>1292</v>
      </c>
      <c r="D1167" s="395" t="s">
        <v>36</v>
      </c>
      <c r="E1167" s="407">
        <f t="shared" si="36"/>
        <v>1.63</v>
      </c>
      <c r="F1167">
        <f t="shared" si="37"/>
        <v>95619</v>
      </c>
      <c r="H1167" s="680">
        <v>1.63</v>
      </c>
      <c r="I1167" s="680">
        <v>1.63</v>
      </c>
    </row>
    <row r="1168" spans="2:9" ht="30">
      <c r="B1168" s="396">
        <v>95627</v>
      </c>
      <c r="C1168" s="401" t="s">
        <v>1293</v>
      </c>
      <c r="D1168" s="396" t="s">
        <v>36</v>
      </c>
      <c r="E1168" s="405">
        <f t="shared" si="36"/>
        <v>50.88</v>
      </c>
      <c r="F1168">
        <f t="shared" si="37"/>
        <v>95627</v>
      </c>
      <c r="H1168" s="679">
        <v>50.88</v>
      </c>
      <c r="I1168" s="679">
        <v>50.88</v>
      </c>
    </row>
    <row r="1169" spans="2:9" ht="30">
      <c r="B1169" s="395">
        <v>95628</v>
      </c>
      <c r="C1169" s="406" t="s">
        <v>1294</v>
      </c>
      <c r="D1169" s="395" t="s">
        <v>36</v>
      </c>
      <c r="E1169" s="407">
        <f t="shared" si="36"/>
        <v>7.06</v>
      </c>
      <c r="F1169">
        <f t="shared" si="37"/>
        <v>95628</v>
      </c>
      <c r="H1169" s="680">
        <v>7.06</v>
      </c>
      <c r="I1169" s="680">
        <v>7.06</v>
      </c>
    </row>
    <row r="1170" spans="2:9" ht="30">
      <c r="B1170" s="396">
        <v>95629</v>
      </c>
      <c r="C1170" s="401" t="s">
        <v>1295</v>
      </c>
      <c r="D1170" s="396" t="s">
        <v>36</v>
      </c>
      <c r="E1170" s="405">
        <f t="shared" si="36"/>
        <v>63.68</v>
      </c>
      <c r="F1170">
        <f t="shared" si="37"/>
        <v>95629</v>
      </c>
      <c r="H1170" s="679">
        <v>63.68</v>
      </c>
      <c r="I1170" s="679">
        <v>63.68</v>
      </c>
    </row>
    <row r="1171" spans="2:9" ht="30">
      <c r="B1171" s="395">
        <v>95630</v>
      </c>
      <c r="C1171" s="406" t="s">
        <v>1296</v>
      </c>
      <c r="D1171" s="395" t="s">
        <v>36</v>
      </c>
      <c r="E1171" s="407">
        <f t="shared" si="36"/>
        <v>95.63</v>
      </c>
      <c r="F1171">
        <f t="shared" si="37"/>
        <v>95630</v>
      </c>
      <c r="H1171" s="680">
        <v>95.63</v>
      </c>
      <c r="I1171" s="680">
        <v>95.63</v>
      </c>
    </row>
    <row r="1172" spans="2:9">
      <c r="B1172" s="396">
        <v>95698</v>
      </c>
      <c r="C1172" s="401" t="s">
        <v>1297</v>
      </c>
      <c r="D1172" s="396" t="s">
        <v>36</v>
      </c>
      <c r="E1172" s="405">
        <f t="shared" si="36"/>
        <v>5.28</v>
      </c>
      <c r="F1172">
        <f t="shared" si="37"/>
        <v>95698</v>
      </c>
      <c r="H1172" s="679">
        <v>5.28</v>
      </c>
      <c r="I1172" s="679">
        <v>5.28</v>
      </c>
    </row>
    <row r="1173" spans="2:9">
      <c r="B1173" s="395">
        <v>95699</v>
      </c>
      <c r="C1173" s="406" t="s">
        <v>1298</v>
      </c>
      <c r="D1173" s="395" t="s">
        <v>36</v>
      </c>
      <c r="E1173" s="407">
        <f t="shared" si="36"/>
        <v>0.62</v>
      </c>
      <c r="F1173">
        <f t="shared" si="37"/>
        <v>95699</v>
      </c>
      <c r="H1173" s="680">
        <v>0.62</v>
      </c>
      <c r="I1173" s="680">
        <v>0.62</v>
      </c>
    </row>
    <row r="1174" spans="2:9">
      <c r="B1174" s="396">
        <v>95700</v>
      </c>
      <c r="C1174" s="401" t="s">
        <v>1299</v>
      </c>
      <c r="D1174" s="396" t="s">
        <v>36</v>
      </c>
      <c r="E1174" s="405">
        <f t="shared" si="36"/>
        <v>6.61</v>
      </c>
      <c r="F1174">
        <f t="shared" si="37"/>
        <v>95700</v>
      </c>
      <c r="H1174" s="679">
        <v>6.61</v>
      </c>
      <c r="I1174" s="679">
        <v>6.61</v>
      </c>
    </row>
    <row r="1175" spans="2:9" ht="30">
      <c r="B1175" s="395">
        <v>95701</v>
      </c>
      <c r="C1175" s="406" t="s">
        <v>1300</v>
      </c>
      <c r="D1175" s="395" t="s">
        <v>36</v>
      </c>
      <c r="E1175" s="407">
        <f t="shared" si="36"/>
        <v>3.28</v>
      </c>
      <c r="F1175">
        <f t="shared" si="37"/>
        <v>95701</v>
      </c>
      <c r="H1175" s="680">
        <v>3.28</v>
      </c>
      <c r="I1175" s="680">
        <v>3.28</v>
      </c>
    </row>
    <row r="1176" spans="2:9" ht="30">
      <c r="B1176" s="396">
        <v>95704</v>
      </c>
      <c r="C1176" s="401" t="s">
        <v>1301</v>
      </c>
      <c r="D1176" s="396" t="s">
        <v>36</v>
      </c>
      <c r="E1176" s="405">
        <f t="shared" si="36"/>
        <v>46.12</v>
      </c>
      <c r="F1176">
        <f t="shared" si="37"/>
        <v>95704</v>
      </c>
      <c r="H1176" s="679">
        <v>46.12</v>
      </c>
      <c r="I1176" s="679">
        <v>46.12</v>
      </c>
    </row>
    <row r="1177" spans="2:9">
      <c r="B1177" s="395">
        <v>95705</v>
      </c>
      <c r="C1177" s="406" t="s">
        <v>1302</v>
      </c>
      <c r="D1177" s="395" t="s">
        <v>36</v>
      </c>
      <c r="E1177" s="407">
        <f t="shared" si="36"/>
        <v>6.31</v>
      </c>
      <c r="F1177">
        <f t="shared" si="37"/>
        <v>95705</v>
      </c>
      <c r="H1177" s="680">
        <v>6.31</v>
      </c>
      <c r="I1177" s="680">
        <v>6.31</v>
      </c>
    </row>
    <row r="1178" spans="2:9" ht="30">
      <c r="B1178" s="396">
        <v>95706</v>
      </c>
      <c r="C1178" s="401" t="s">
        <v>1303</v>
      </c>
      <c r="D1178" s="396" t="s">
        <v>36</v>
      </c>
      <c r="E1178" s="405">
        <f t="shared" si="36"/>
        <v>57.71</v>
      </c>
      <c r="F1178">
        <f t="shared" si="37"/>
        <v>95706</v>
      </c>
      <c r="H1178" s="679">
        <v>57.71</v>
      </c>
      <c r="I1178" s="679">
        <v>57.71</v>
      </c>
    </row>
    <row r="1179" spans="2:9" ht="30">
      <c r="B1179" s="395">
        <v>95707</v>
      </c>
      <c r="C1179" s="406" t="s">
        <v>1304</v>
      </c>
      <c r="D1179" s="395" t="s">
        <v>36</v>
      </c>
      <c r="E1179" s="407">
        <f t="shared" si="36"/>
        <v>4.3</v>
      </c>
      <c r="F1179">
        <f t="shared" si="37"/>
        <v>95707</v>
      </c>
      <c r="H1179" s="680">
        <v>4.3</v>
      </c>
      <c r="I1179" s="680">
        <v>4.3</v>
      </c>
    </row>
    <row r="1180" spans="2:9" ht="30">
      <c r="B1180" s="396">
        <v>95710</v>
      </c>
      <c r="C1180" s="401" t="s">
        <v>1305</v>
      </c>
      <c r="D1180" s="396" t="s">
        <v>36</v>
      </c>
      <c r="E1180" s="405">
        <f t="shared" si="36"/>
        <v>55.43</v>
      </c>
      <c r="F1180">
        <f t="shared" si="37"/>
        <v>95710</v>
      </c>
      <c r="H1180" s="679">
        <v>55.43</v>
      </c>
      <c r="I1180" s="679">
        <v>55.43</v>
      </c>
    </row>
    <row r="1181" spans="2:9" ht="30">
      <c r="B1181" s="395">
        <v>95711</v>
      </c>
      <c r="C1181" s="406" t="s">
        <v>1306</v>
      </c>
      <c r="D1181" s="395" t="s">
        <v>36</v>
      </c>
      <c r="E1181" s="407">
        <f t="shared" si="36"/>
        <v>7.52</v>
      </c>
      <c r="F1181">
        <f t="shared" si="37"/>
        <v>95711</v>
      </c>
      <c r="H1181" s="680">
        <v>7.52</v>
      </c>
      <c r="I1181" s="680">
        <v>7.52</v>
      </c>
    </row>
    <row r="1182" spans="2:9" ht="30">
      <c r="B1182" s="396">
        <v>95712</v>
      </c>
      <c r="C1182" s="401" t="s">
        <v>1307</v>
      </c>
      <c r="D1182" s="396" t="s">
        <v>36</v>
      </c>
      <c r="E1182" s="405">
        <f t="shared" si="36"/>
        <v>69.28</v>
      </c>
      <c r="F1182">
        <f t="shared" si="37"/>
        <v>95712</v>
      </c>
      <c r="H1182" s="679">
        <v>69.28</v>
      </c>
      <c r="I1182" s="679">
        <v>69.28</v>
      </c>
    </row>
    <row r="1183" spans="2:9" ht="30">
      <c r="B1183" s="395">
        <v>95713</v>
      </c>
      <c r="C1183" s="406" t="s">
        <v>1308</v>
      </c>
      <c r="D1183" s="395" t="s">
        <v>36</v>
      </c>
      <c r="E1183" s="407">
        <f t="shared" si="36"/>
        <v>96.34</v>
      </c>
      <c r="F1183">
        <f t="shared" si="37"/>
        <v>95713</v>
      </c>
      <c r="H1183" s="680">
        <v>96.34</v>
      </c>
      <c r="I1183" s="680">
        <v>96.34</v>
      </c>
    </row>
    <row r="1184" spans="2:9" ht="30">
      <c r="B1184" s="396">
        <v>95716</v>
      </c>
      <c r="C1184" s="401" t="s">
        <v>1309</v>
      </c>
      <c r="D1184" s="396" t="s">
        <v>36</v>
      </c>
      <c r="E1184" s="405">
        <f t="shared" si="36"/>
        <v>53.36</v>
      </c>
      <c r="F1184">
        <f t="shared" si="37"/>
        <v>95716</v>
      </c>
      <c r="H1184" s="679">
        <v>53.36</v>
      </c>
      <c r="I1184" s="679">
        <v>53.36</v>
      </c>
    </row>
    <row r="1185" spans="2:9" ht="30">
      <c r="B1185" s="395">
        <v>95717</v>
      </c>
      <c r="C1185" s="406" t="s">
        <v>1310</v>
      </c>
      <c r="D1185" s="395" t="s">
        <v>36</v>
      </c>
      <c r="E1185" s="407">
        <f t="shared" si="36"/>
        <v>7.24</v>
      </c>
      <c r="F1185">
        <f t="shared" si="37"/>
        <v>95717</v>
      </c>
      <c r="H1185" s="680">
        <v>7.24</v>
      </c>
      <c r="I1185" s="680">
        <v>7.24</v>
      </c>
    </row>
    <row r="1186" spans="2:9" ht="30">
      <c r="B1186" s="396">
        <v>95718</v>
      </c>
      <c r="C1186" s="401" t="s">
        <v>1311</v>
      </c>
      <c r="D1186" s="396" t="s">
        <v>36</v>
      </c>
      <c r="E1186" s="405">
        <f t="shared" si="36"/>
        <v>66.7</v>
      </c>
      <c r="F1186">
        <f t="shared" si="37"/>
        <v>95718</v>
      </c>
      <c r="H1186" s="679">
        <v>66.7</v>
      </c>
      <c r="I1186" s="679">
        <v>66.7</v>
      </c>
    </row>
    <row r="1187" spans="2:9" ht="30">
      <c r="B1187" s="395">
        <v>95719</v>
      </c>
      <c r="C1187" s="406" t="s">
        <v>1312</v>
      </c>
      <c r="D1187" s="395" t="s">
        <v>36</v>
      </c>
      <c r="E1187" s="407">
        <f t="shared" si="36"/>
        <v>96.34</v>
      </c>
      <c r="F1187">
        <f t="shared" si="37"/>
        <v>95719</v>
      </c>
      <c r="H1187" s="680">
        <v>96.34</v>
      </c>
      <c r="I1187" s="680">
        <v>96.34</v>
      </c>
    </row>
    <row r="1188" spans="2:9">
      <c r="B1188" s="396">
        <v>95869</v>
      </c>
      <c r="C1188" s="401" t="s">
        <v>573</v>
      </c>
      <c r="D1188" s="396" t="s">
        <v>36</v>
      </c>
      <c r="E1188" s="405">
        <f t="shared" si="36"/>
        <v>1.78</v>
      </c>
      <c r="F1188">
        <f t="shared" si="37"/>
        <v>95869</v>
      </c>
      <c r="H1188" s="679">
        <v>1.78</v>
      </c>
      <c r="I1188" s="679">
        <v>1.78</v>
      </c>
    </row>
    <row r="1189" spans="2:9">
      <c r="B1189" s="395">
        <v>95870</v>
      </c>
      <c r="C1189" s="406" t="s">
        <v>574</v>
      </c>
      <c r="D1189" s="395" t="s">
        <v>36</v>
      </c>
      <c r="E1189" s="407">
        <f t="shared" si="36"/>
        <v>8.84</v>
      </c>
      <c r="F1189">
        <f t="shared" si="37"/>
        <v>95870</v>
      </c>
      <c r="H1189" s="680">
        <v>8.84</v>
      </c>
      <c r="I1189" s="680">
        <v>8.84</v>
      </c>
    </row>
    <row r="1190" spans="2:9" ht="30">
      <c r="B1190" s="396">
        <v>95871</v>
      </c>
      <c r="C1190" s="401" t="s">
        <v>575</v>
      </c>
      <c r="D1190" s="396" t="s">
        <v>36</v>
      </c>
      <c r="E1190" s="405">
        <f t="shared" si="36"/>
        <v>292.55</v>
      </c>
      <c r="F1190">
        <f t="shared" si="37"/>
        <v>95871</v>
      </c>
      <c r="H1190" s="679">
        <v>292.55</v>
      </c>
      <c r="I1190" s="679">
        <v>292.55</v>
      </c>
    </row>
    <row r="1191" spans="2:9">
      <c r="B1191" s="395">
        <v>95874</v>
      </c>
      <c r="C1191" s="406" t="s">
        <v>578</v>
      </c>
      <c r="D1191" s="395" t="s">
        <v>36</v>
      </c>
      <c r="E1191" s="407">
        <f t="shared" si="36"/>
        <v>9.91</v>
      </c>
      <c r="F1191">
        <f t="shared" si="37"/>
        <v>95874</v>
      </c>
      <c r="H1191" s="680">
        <v>9.91</v>
      </c>
      <c r="I1191" s="680">
        <v>9.91</v>
      </c>
    </row>
    <row r="1192" spans="2:9">
      <c r="B1192" s="396">
        <v>96008</v>
      </c>
      <c r="C1192" s="401" t="s">
        <v>594</v>
      </c>
      <c r="D1192" s="396" t="s">
        <v>36</v>
      </c>
      <c r="E1192" s="405">
        <f t="shared" si="36"/>
        <v>24.14</v>
      </c>
      <c r="F1192">
        <f t="shared" si="37"/>
        <v>96008</v>
      </c>
      <c r="H1192" s="679">
        <v>24.14</v>
      </c>
      <c r="I1192" s="679">
        <v>24.14</v>
      </c>
    </row>
    <row r="1193" spans="2:9">
      <c r="B1193" s="395">
        <v>96009</v>
      </c>
      <c r="C1193" s="406" t="s">
        <v>595</v>
      </c>
      <c r="D1193" s="395" t="s">
        <v>36</v>
      </c>
      <c r="E1193" s="407">
        <f t="shared" si="36"/>
        <v>3.34</v>
      </c>
      <c r="F1193">
        <f t="shared" si="37"/>
        <v>96009</v>
      </c>
      <c r="H1193" s="680">
        <v>3.34</v>
      </c>
      <c r="I1193" s="680">
        <v>3.34</v>
      </c>
    </row>
    <row r="1194" spans="2:9">
      <c r="B1194" s="396">
        <v>96011</v>
      </c>
      <c r="C1194" s="401" t="s">
        <v>596</v>
      </c>
      <c r="D1194" s="396" t="s">
        <v>36</v>
      </c>
      <c r="E1194" s="405">
        <f t="shared" si="36"/>
        <v>26.41</v>
      </c>
      <c r="F1194">
        <f t="shared" si="37"/>
        <v>96011</v>
      </c>
      <c r="H1194" s="679">
        <v>26.41</v>
      </c>
      <c r="I1194" s="679">
        <v>26.41</v>
      </c>
    </row>
    <row r="1195" spans="2:9" ht="30">
      <c r="B1195" s="395">
        <v>96012</v>
      </c>
      <c r="C1195" s="406" t="s">
        <v>597</v>
      </c>
      <c r="D1195" s="395" t="s">
        <v>36</v>
      </c>
      <c r="E1195" s="407">
        <f t="shared" si="36"/>
        <v>103.58</v>
      </c>
      <c r="F1195">
        <f t="shared" si="37"/>
        <v>96012</v>
      </c>
      <c r="H1195" s="680">
        <v>103.58</v>
      </c>
      <c r="I1195" s="680">
        <v>103.58</v>
      </c>
    </row>
    <row r="1196" spans="2:9">
      <c r="B1196" s="396">
        <v>96015</v>
      </c>
      <c r="C1196" s="401" t="s">
        <v>599</v>
      </c>
      <c r="D1196" s="396" t="s">
        <v>36</v>
      </c>
      <c r="E1196" s="405">
        <f t="shared" si="36"/>
        <v>23.89</v>
      </c>
      <c r="F1196">
        <f t="shared" si="37"/>
        <v>96015</v>
      </c>
      <c r="H1196" s="679">
        <v>23.89</v>
      </c>
      <c r="I1196" s="679">
        <v>23.89</v>
      </c>
    </row>
    <row r="1197" spans="2:9">
      <c r="B1197" s="395">
        <v>96016</v>
      </c>
      <c r="C1197" s="406" t="s">
        <v>600</v>
      </c>
      <c r="D1197" s="395" t="s">
        <v>36</v>
      </c>
      <c r="E1197" s="407">
        <f t="shared" si="36"/>
        <v>3.31</v>
      </c>
      <c r="F1197">
        <f t="shared" si="37"/>
        <v>96016</v>
      </c>
      <c r="H1197" s="680">
        <v>3.31</v>
      </c>
      <c r="I1197" s="680">
        <v>3.31</v>
      </c>
    </row>
    <row r="1198" spans="2:9">
      <c r="B1198" s="396">
        <v>96018</v>
      </c>
      <c r="C1198" s="401" t="s">
        <v>601</v>
      </c>
      <c r="D1198" s="396" t="s">
        <v>36</v>
      </c>
      <c r="E1198" s="405">
        <f t="shared" si="36"/>
        <v>26.13</v>
      </c>
      <c r="F1198">
        <f t="shared" si="37"/>
        <v>96018</v>
      </c>
      <c r="H1198" s="679">
        <v>26.13</v>
      </c>
      <c r="I1198" s="679">
        <v>26.13</v>
      </c>
    </row>
    <row r="1199" spans="2:9" ht="30">
      <c r="B1199" s="395">
        <v>96019</v>
      </c>
      <c r="C1199" s="406" t="s">
        <v>602</v>
      </c>
      <c r="D1199" s="395" t="s">
        <v>36</v>
      </c>
      <c r="E1199" s="407">
        <f t="shared" si="36"/>
        <v>103.58</v>
      </c>
      <c r="F1199">
        <f t="shared" si="37"/>
        <v>96019</v>
      </c>
      <c r="H1199" s="680">
        <v>103.58</v>
      </c>
      <c r="I1199" s="680">
        <v>103.58</v>
      </c>
    </row>
    <row r="1200" spans="2:9">
      <c r="B1200" s="396">
        <v>96023</v>
      </c>
      <c r="C1200" s="401" t="s">
        <v>604</v>
      </c>
      <c r="D1200" s="396" t="s">
        <v>36</v>
      </c>
      <c r="E1200" s="405">
        <f t="shared" si="36"/>
        <v>18.649999999999999</v>
      </c>
      <c r="F1200">
        <f t="shared" si="37"/>
        <v>96023</v>
      </c>
      <c r="H1200" s="679">
        <v>18.649999999999999</v>
      </c>
      <c r="I1200" s="679">
        <v>18.649999999999999</v>
      </c>
    </row>
    <row r="1201" spans="2:9">
      <c r="B1201" s="395">
        <v>96024</v>
      </c>
      <c r="C1201" s="406" t="s">
        <v>605</v>
      </c>
      <c r="D1201" s="395" t="s">
        <v>36</v>
      </c>
      <c r="E1201" s="407">
        <f t="shared" si="36"/>
        <v>2.58</v>
      </c>
      <c r="F1201">
        <f t="shared" si="37"/>
        <v>96024</v>
      </c>
      <c r="H1201" s="680">
        <v>2.58</v>
      </c>
      <c r="I1201" s="680">
        <v>2.58</v>
      </c>
    </row>
    <row r="1202" spans="2:9">
      <c r="B1202" s="396">
        <v>96026</v>
      </c>
      <c r="C1202" s="401" t="s">
        <v>606</v>
      </c>
      <c r="D1202" s="396" t="s">
        <v>36</v>
      </c>
      <c r="E1202" s="405">
        <f t="shared" si="36"/>
        <v>20.399999999999999</v>
      </c>
      <c r="F1202">
        <f t="shared" si="37"/>
        <v>96026</v>
      </c>
      <c r="H1202" s="679">
        <v>20.399999999999999</v>
      </c>
      <c r="I1202" s="679">
        <v>20.399999999999999</v>
      </c>
    </row>
    <row r="1203" spans="2:9" ht="30">
      <c r="B1203" s="395">
        <v>96027</v>
      </c>
      <c r="C1203" s="406" t="s">
        <v>607</v>
      </c>
      <c r="D1203" s="395" t="s">
        <v>36</v>
      </c>
      <c r="E1203" s="407">
        <f t="shared" si="36"/>
        <v>72.17</v>
      </c>
      <c r="F1203">
        <f t="shared" si="37"/>
        <v>96027</v>
      </c>
      <c r="H1203" s="680">
        <v>72.17</v>
      </c>
      <c r="I1203" s="680">
        <v>72.17</v>
      </c>
    </row>
    <row r="1204" spans="2:9" ht="30">
      <c r="B1204" s="396">
        <v>96030</v>
      </c>
      <c r="C1204" s="401" t="s">
        <v>609</v>
      </c>
      <c r="D1204" s="396" t="s">
        <v>36</v>
      </c>
      <c r="E1204" s="405">
        <f t="shared" si="36"/>
        <v>31.46</v>
      </c>
      <c r="F1204">
        <f t="shared" si="37"/>
        <v>96030</v>
      </c>
      <c r="H1204" s="679">
        <v>31.46</v>
      </c>
      <c r="I1204" s="679">
        <v>31.46</v>
      </c>
    </row>
    <row r="1205" spans="2:9" ht="30">
      <c r="B1205" s="395">
        <v>96031</v>
      </c>
      <c r="C1205" s="406" t="s">
        <v>610</v>
      </c>
      <c r="D1205" s="395" t="s">
        <v>36</v>
      </c>
      <c r="E1205" s="407">
        <f t="shared" si="36"/>
        <v>6.02</v>
      </c>
      <c r="F1205">
        <f t="shared" si="37"/>
        <v>96031</v>
      </c>
      <c r="H1205" s="680">
        <v>6.02</v>
      </c>
      <c r="I1205" s="680">
        <v>6.02</v>
      </c>
    </row>
    <row r="1206" spans="2:9" ht="30">
      <c r="B1206" s="396">
        <v>96032</v>
      </c>
      <c r="C1206" s="401" t="s">
        <v>611</v>
      </c>
      <c r="D1206" s="396" t="s">
        <v>36</v>
      </c>
      <c r="E1206" s="405">
        <f t="shared" si="36"/>
        <v>4.76</v>
      </c>
      <c r="F1206">
        <f t="shared" si="37"/>
        <v>96032</v>
      </c>
      <c r="H1206" s="679">
        <v>4.76</v>
      </c>
      <c r="I1206" s="679">
        <v>4.76</v>
      </c>
    </row>
    <row r="1207" spans="2:9" ht="30">
      <c r="B1207" s="395">
        <v>96033</v>
      </c>
      <c r="C1207" s="406" t="s">
        <v>612</v>
      </c>
      <c r="D1207" s="395" t="s">
        <v>36</v>
      </c>
      <c r="E1207" s="407">
        <f t="shared" si="36"/>
        <v>54.01</v>
      </c>
      <c r="F1207">
        <f t="shared" si="37"/>
        <v>96033</v>
      </c>
      <c r="H1207" s="680">
        <v>54.01</v>
      </c>
      <c r="I1207" s="680">
        <v>54.01</v>
      </c>
    </row>
    <row r="1208" spans="2:9" ht="30">
      <c r="B1208" s="396">
        <v>96034</v>
      </c>
      <c r="C1208" s="401" t="s">
        <v>613</v>
      </c>
      <c r="D1208" s="396" t="s">
        <v>36</v>
      </c>
      <c r="E1208" s="405">
        <f t="shared" si="36"/>
        <v>151.91</v>
      </c>
      <c r="F1208">
        <f t="shared" si="37"/>
        <v>96034</v>
      </c>
      <c r="H1208" s="679">
        <v>151.91</v>
      </c>
      <c r="I1208" s="679">
        <v>151.91</v>
      </c>
    </row>
    <row r="1209" spans="2:9">
      <c r="B1209" s="395">
        <v>96053</v>
      </c>
      <c r="C1209" s="406" t="s">
        <v>615</v>
      </c>
      <c r="D1209" s="395" t="s">
        <v>36</v>
      </c>
      <c r="E1209" s="407">
        <f t="shared" si="36"/>
        <v>18.899999999999999</v>
      </c>
      <c r="F1209">
        <f t="shared" si="37"/>
        <v>96053</v>
      </c>
      <c r="H1209" s="680">
        <v>18.899999999999999</v>
      </c>
      <c r="I1209" s="680">
        <v>18.899999999999999</v>
      </c>
    </row>
    <row r="1210" spans="2:9" ht="30">
      <c r="B1210" s="396">
        <v>96054</v>
      </c>
      <c r="C1210" s="401" t="s">
        <v>620</v>
      </c>
      <c r="D1210" s="396" t="s">
        <v>36</v>
      </c>
      <c r="E1210" s="405">
        <f t="shared" si="36"/>
        <v>27.18</v>
      </c>
      <c r="F1210">
        <f t="shared" si="37"/>
        <v>96054</v>
      </c>
      <c r="H1210" s="679">
        <v>27.18</v>
      </c>
      <c r="I1210" s="679">
        <v>27.18</v>
      </c>
    </row>
    <row r="1211" spans="2:9">
      <c r="B1211" s="395">
        <v>96055</v>
      </c>
      <c r="C1211" s="406" t="s">
        <v>616</v>
      </c>
      <c r="D1211" s="395" t="s">
        <v>36</v>
      </c>
      <c r="E1211" s="407">
        <f t="shared" si="36"/>
        <v>2.61</v>
      </c>
      <c r="F1211">
        <f t="shared" si="37"/>
        <v>96055</v>
      </c>
      <c r="H1211" s="680">
        <v>2.61</v>
      </c>
      <c r="I1211" s="680">
        <v>2.61</v>
      </c>
    </row>
    <row r="1212" spans="2:9">
      <c r="B1212" s="396">
        <v>96056</v>
      </c>
      <c r="C1212" s="401" t="s">
        <v>617</v>
      </c>
      <c r="D1212" s="396" t="s">
        <v>36</v>
      </c>
      <c r="E1212" s="405">
        <f t="shared" si="36"/>
        <v>20.68</v>
      </c>
      <c r="F1212">
        <f t="shared" si="37"/>
        <v>96056</v>
      </c>
      <c r="H1212" s="679">
        <v>20.68</v>
      </c>
      <c r="I1212" s="679">
        <v>20.68</v>
      </c>
    </row>
    <row r="1213" spans="2:9" ht="30">
      <c r="B1213" s="395">
        <v>96057</v>
      </c>
      <c r="C1213" s="406" t="s">
        <v>618</v>
      </c>
      <c r="D1213" s="395" t="s">
        <v>36</v>
      </c>
      <c r="E1213" s="407">
        <f t="shared" si="36"/>
        <v>72.17</v>
      </c>
      <c r="F1213">
        <f t="shared" si="37"/>
        <v>96057</v>
      </c>
      <c r="H1213" s="680">
        <v>72.17</v>
      </c>
      <c r="I1213" s="680">
        <v>72.17</v>
      </c>
    </row>
    <row r="1214" spans="2:9" ht="30">
      <c r="B1214" s="396">
        <v>96060</v>
      </c>
      <c r="C1214" s="401" t="s">
        <v>621</v>
      </c>
      <c r="D1214" s="396" t="s">
        <v>36</v>
      </c>
      <c r="E1214" s="405">
        <f t="shared" si="36"/>
        <v>2.74</v>
      </c>
      <c r="F1214">
        <f t="shared" si="37"/>
        <v>96060</v>
      </c>
      <c r="H1214" s="679">
        <v>2.74</v>
      </c>
      <c r="I1214" s="679">
        <v>2.74</v>
      </c>
    </row>
    <row r="1215" spans="2:9" ht="30">
      <c r="B1215" s="395">
        <v>96061</v>
      </c>
      <c r="C1215" s="406" t="s">
        <v>622</v>
      </c>
      <c r="D1215" s="395" t="s">
        <v>36</v>
      </c>
      <c r="E1215" s="407">
        <f t="shared" si="36"/>
        <v>33.97</v>
      </c>
      <c r="F1215">
        <f t="shared" si="37"/>
        <v>96061</v>
      </c>
      <c r="H1215" s="680">
        <v>33.97</v>
      </c>
      <c r="I1215" s="680">
        <v>33.97</v>
      </c>
    </row>
    <row r="1216" spans="2:9" ht="30">
      <c r="B1216" s="396">
        <v>96062</v>
      </c>
      <c r="C1216" s="401" t="s">
        <v>623</v>
      </c>
      <c r="D1216" s="396" t="s">
        <v>36</v>
      </c>
      <c r="E1216" s="405">
        <f t="shared" si="36"/>
        <v>42.69</v>
      </c>
      <c r="F1216">
        <f t="shared" si="37"/>
        <v>96062</v>
      </c>
      <c r="H1216" s="679">
        <v>42.69</v>
      </c>
      <c r="I1216" s="679">
        <v>42.69</v>
      </c>
    </row>
    <row r="1217" spans="2:9">
      <c r="B1217" s="395">
        <v>96241</v>
      </c>
      <c r="C1217" s="406" t="s">
        <v>1313</v>
      </c>
      <c r="D1217" s="395" t="s">
        <v>36</v>
      </c>
      <c r="E1217" s="407">
        <f t="shared" si="36"/>
        <v>21.67</v>
      </c>
      <c r="F1217">
        <f t="shared" si="37"/>
        <v>96241</v>
      </c>
      <c r="H1217" s="680">
        <v>21.67</v>
      </c>
      <c r="I1217" s="680">
        <v>21.67</v>
      </c>
    </row>
    <row r="1218" spans="2:9">
      <c r="B1218" s="396">
        <v>96242</v>
      </c>
      <c r="C1218" s="401" t="s">
        <v>1314</v>
      </c>
      <c r="D1218" s="396" t="s">
        <v>36</v>
      </c>
      <c r="E1218" s="405">
        <f t="shared" si="36"/>
        <v>2.94</v>
      </c>
      <c r="F1218">
        <f t="shared" si="37"/>
        <v>96242</v>
      </c>
      <c r="H1218" s="679">
        <v>2.94</v>
      </c>
      <c r="I1218" s="679">
        <v>2.94</v>
      </c>
    </row>
    <row r="1219" spans="2:9">
      <c r="B1219" s="395">
        <v>96243</v>
      </c>
      <c r="C1219" s="406" t="s">
        <v>1315</v>
      </c>
      <c r="D1219" s="395" t="s">
        <v>36</v>
      </c>
      <c r="E1219" s="407">
        <f t="shared" ref="E1219:E1282" si="38">IF($K$2=$H$1,H1219,I1219)</f>
        <v>27.09</v>
      </c>
      <c r="F1219">
        <f t="shared" ref="F1219:F1282" si="39">IF(LEN($B1219)=7,CONCATENATE(MID($B1219,1,6),"00",RIGHT($B1219,1)),IF(LEN($B1219)=8,CONCATENATE(MID($B1219,1,6),"0",RIGHT($B1219,2)),$B1219))</f>
        <v>96243</v>
      </c>
      <c r="H1219" s="680">
        <v>27.09</v>
      </c>
      <c r="I1219" s="680">
        <v>27.09</v>
      </c>
    </row>
    <row r="1220" spans="2:9" ht="30">
      <c r="B1220" s="396">
        <v>96244</v>
      </c>
      <c r="C1220" s="401" t="s">
        <v>1316</v>
      </c>
      <c r="D1220" s="396" t="s">
        <v>36</v>
      </c>
      <c r="E1220" s="405">
        <f t="shared" si="38"/>
        <v>18.649999999999999</v>
      </c>
      <c r="F1220">
        <f t="shared" si="39"/>
        <v>96244</v>
      </c>
      <c r="H1220" s="679">
        <v>18.649999999999999</v>
      </c>
      <c r="I1220" s="679">
        <v>18.649999999999999</v>
      </c>
    </row>
    <row r="1221" spans="2:9" ht="30">
      <c r="B1221" s="395">
        <v>96301</v>
      </c>
      <c r="C1221" s="406" t="s">
        <v>1908</v>
      </c>
      <c r="D1221" s="395" t="s">
        <v>36</v>
      </c>
      <c r="E1221" s="407">
        <f t="shared" si="38"/>
        <v>52.62</v>
      </c>
      <c r="F1221">
        <f t="shared" si="39"/>
        <v>96301</v>
      </c>
      <c r="H1221" s="680">
        <v>52.62</v>
      </c>
      <c r="I1221" s="680">
        <v>52.62</v>
      </c>
    </row>
    <row r="1222" spans="2:9" ht="30">
      <c r="B1222" s="396">
        <v>96457</v>
      </c>
      <c r="C1222" s="401" t="s">
        <v>2045</v>
      </c>
      <c r="D1222" s="396" t="s">
        <v>36</v>
      </c>
      <c r="E1222" s="405">
        <f t="shared" si="38"/>
        <v>68.39</v>
      </c>
      <c r="F1222">
        <f t="shared" si="39"/>
        <v>96457</v>
      </c>
      <c r="H1222" s="679">
        <v>68.39</v>
      </c>
      <c r="I1222" s="679">
        <v>68.39</v>
      </c>
    </row>
    <row r="1223" spans="2:9" ht="30">
      <c r="B1223" s="395">
        <v>96458</v>
      </c>
      <c r="C1223" s="406" t="s">
        <v>2046</v>
      </c>
      <c r="D1223" s="395" t="s">
        <v>36</v>
      </c>
      <c r="E1223" s="407">
        <f t="shared" si="38"/>
        <v>70.62</v>
      </c>
      <c r="F1223">
        <f t="shared" si="39"/>
        <v>96458</v>
      </c>
      <c r="H1223" s="680">
        <v>70.62</v>
      </c>
      <c r="I1223" s="680">
        <v>70.62</v>
      </c>
    </row>
    <row r="1224" spans="2:9" ht="30">
      <c r="B1224" s="396">
        <v>96459</v>
      </c>
      <c r="C1224" s="401" t="s">
        <v>2047</v>
      </c>
      <c r="D1224" s="396" t="s">
        <v>36</v>
      </c>
      <c r="E1224" s="405">
        <f t="shared" si="38"/>
        <v>7.83</v>
      </c>
      <c r="F1224">
        <f t="shared" si="39"/>
        <v>96459</v>
      </c>
      <c r="H1224" s="679">
        <v>7.83</v>
      </c>
      <c r="I1224" s="679">
        <v>7.83</v>
      </c>
    </row>
    <row r="1225" spans="2:9" ht="30">
      <c r="B1225" s="395">
        <v>96460</v>
      </c>
      <c r="C1225" s="406" t="s">
        <v>2048</v>
      </c>
      <c r="D1225" s="395" t="s">
        <v>36</v>
      </c>
      <c r="E1225" s="407">
        <f t="shared" si="38"/>
        <v>56.43</v>
      </c>
      <c r="F1225">
        <f t="shared" si="39"/>
        <v>96460</v>
      </c>
      <c r="H1225" s="680">
        <v>56.43</v>
      </c>
      <c r="I1225" s="680">
        <v>56.43</v>
      </c>
    </row>
    <row r="1226" spans="2:9" ht="30">
      <c r="B1226" s="396">
        <v>98760</v>
      </c>
      <c r="C1226" s="401" t="s">
        <v>2772</v>
      </c>
      <c r="D1226" s="396" t="s">
        <v>36</v>
      </c>
      <c r="E1226" s="405">
        <f t="shared" si="38"/>
        <v>0.1</v>
      </c>
      <c r="F1226">
        <f t="shared" si="39"/>
        <v>98760</v>
      </c>
      <c r="H1226" s="679">
        <v>0.1</v>
      </c>
      <c r="I1226" s="679">
        <v>0.1</v>
      </c>
    </row>
    <row r="1227" spans="2:9" ht="30">
      <c r="B1227" s="395">
        <v>98761</v>
      </c>
      <c r="C1227" s="406" t="s">
        <v>2773</v>
      </c>
      <c r="D1227" s="395" t="s">
        <v>36</v>
      </c>
      <c r="E1227" s="407">
        <f t="shared" si="38"/>
        <v>0.01</v>
      </c>
      <c r="F1227">
        <f t="shared" si="39"/>
        <v>98761</v>
      </c>
      <c r="H1227" s="680">
        <v>0.01</v>
      </c>
      <c r="I1227" s="680">
        <v>0.01</v>
      </c>
    </row>
    <row r="1228" spans="2:9" ht="30">
      <c r="B1228" s="396">
        <v>98762</v>
      </c>
      <c r="C1228" s="401" t="s">
        <v>2774</v>
      </c>
      <c r="D1228" s="396" t="s">
        <v>36</v>
      </c>
      <c r="E1228" s="405">
        <f t="shared" si="38"/>
        <v>0.13</v>
      </c>
      <c r="F1228">
        <f t="shared" si="39"/>
        <v>98762</v>
      </c>
      <c r="H1228" s="679">
        <v>0.13</v>
      </c>
      <c r="I1228" s="679">
        <v>0.13</v>
      </c>
    </row>
    <row r="1229" spans="2:9" ht="30">
      <c r="B1229" s="395">
        <v>98763</v>
      </c>
      <c r="C1229" s="406" t="s">
        <v>2775</v>
      </c>
      <c r="D1229" s="395" t="s">
        <v>36</v>
      </c>
      <c r="E1229" s="407">
        <f t="shared" si="38"/>
        <v>4.8099999999999996</v>
      </c>
      <c r="F1229">
        <f t="shared" si="39"/>
        <v>98763</v>
      </c>
      <c r="H1229" s="680">
        <v>4.8099999999999996</v>
      </c>
      <c r="I1229" s="680">
        <v>4.8099999999999996</v>
      </c>
    </row>
    <row r="1230" spans="2:9" ht="30">
      <c r="B1230" s="396">
        <v>99829</v>
      </c>
      <c r="C1230" s="401" t="s">
        <v>3029</v>
      </c>
      <c r="D1230" s="396" t="s">
        <v>36</v>
      </c>
      <c r="E1230" s="405">
        <f t="shared" si="38"/>
        <v>0.22</v>
      </c>
      <c r="F1230">
        <f t="shared" si="39"/>
        <v>99829</v>
      </c>
      <c r="H1230" s="679">
        <v>0.22</v>
      </c>
      <c r="I1230" s="679">
        <v>0.22</v>
      </c>
    </row>
    <row r="1231" spans="2:9" ht="30">
      <c r="B1231" s="395">
        <v>99830</v>
      </c>
      <c r="C1231" s="406" t="s">
        <v>3030</v>
      </c>
      <c r="D1231" s="395" t="s">
        <v>36</v>
      </c>
      <c r="E1231" s="407">
        <f t="shared" si="38"/>
        <v>0.02</v>
      </c>
      <c r="F1231">
        <f t="shared" si="39"/>
        <v>99830</v>
      </c>
      <c r="H1231" s="680">
        <v>0.02</v>
      </c>
      <c r="I1231" s="680">
        <v>0.02</v>
      </c>
    </row>
    <row r="1232" spans="2:9" ht="30">
      <c r="B1232" s="396">
        <v>99831</v>
      </c>
      <c r="C1232" s="401" t="s">
        <v>3031</v>
      </c>
      <c r="D1232" s="396" t="s">
        <v>36</v>
      </c>
      <c r="E1232" s="405">
        <f t="shared" si="38"/>
        <v>0.15</v>
      </c>
      <c r="F1232">
        <f t="shared" si="39"/>
        <v>99831</v>
      </c>
      <c r="H1232" s="679">
        <v>0.15</v>
      </c>
      <c r="I1232" s="679">
        <v>0.15</v>
      </c>
    </row>
    <row r="1233" spans="2:9" ht="30">
      <c r="B1233" s="395">
        <v>99832</v>
      </c>
      <c r="C1233" s="406" t="s">
        <v>3032</v>
      </c>
      <c r="D1233" s="395" t="s">
        <v>36</v>
      </c>
      <c r="E1233" s="407">
        <f t="shared" si="38"/>
        <v>4.6399999999999997</v>
      </c>
      <c r="F1233">
        <f t="shared" si="39"/>
        <v>99832</v>
      </c>
      <c r="H1233" s="680">
        <v>4.6399999999999997</v>
      </c>
      <c r="I1233" s="680">
        <v>4.6399999999999997</v>
      </c>
    </row>
    <row r="1234" spans="2:9">
      <c r="B1234" s="396">
        <v>100637</v>
      </c>
      <c r="C1234" s="401" t="s">
        <v>3679</v>
      </c>
      <c r="D1234" s="396" t="s">
        <v>36</v>
      </c>
      <c r="E1234" s="405">
        <f t="shared" si="38"/>
        <v>154.68</v>
      </c>
      <c r="F1234">
        <f t="shared" si="39"/>
        <v>100637</v>
      </c>
      <c r="H1234" s="679">
        <v>154.68</v>
      </c>
      <c r="I1234" s="679">
        <v>154.68</v>
      </c>
    </row>
    <row r="1235" spans="2:9">
      <c r="B1235" s="395">
        <v>100638</v>
      </c>
      <c r="C1235" s="406" t="s">
        <v>3680</v>
      </c>
      <c r="D1235" s="395" t="s">
        <v>36</v>
      </c>
      <c r="E1235" s="407">
        <f t="shared" si="38"/>
        <v>24.37</v>
      </c>
      <c r="F1235">
        <f t="shared" si="39"/>
        <v>100638</v>
      </c>
      <c r="H1235" s="680">
        <v>24.37</v>
      </c>
      <c r="I1235" s="680">
        <v>24.37</v>
      </c>
    </row>
    <row r="1236" spans="2:9">
      <c r="B1236" s="396">
        <v>100639</v>
      </c>
      <c r="C1236" s="401" t="s">
        <v>3681</v>
      </c>
      <c r="D1236" s="396" t="s">
        <v>36</v>
      </c>
      <c r="E1236" s="405">
        <f t="shared" si="38"/>
        <v>193.5</v>
      </c>
      <c r="F1236">
        <f t="shared" si="39"/>
        <v>100639</v>
      </c>
      <c r="H1236" s="679">
        <v>193.5</v>
      </c>
      <c r="I1236" s="679">
        <v>193.5</v>
      </c>
    </row>
    <row r="1237" spans="2:9">
      <c r="B1237" s="395">
        <v>100640</v>
      </c>
      <c r="C1237" s="406" t="s">
        <v>3682</v>
      </c>
      <c r="D1237" s="395" t="s">
        <v>36</v>
      </c>
      <c r="E1237" s="407">
        <f t="shared" si="38"/>
        <v>4615.2</v>
      </c>
      <c r="F1237">
        <f t="shared" si="39"/>
        <v>100640</v>
      </c>
      <c r="H1237" s="680">
        <v>4615.2</v>
      </c>
      <c r="I1237" s="680">
        <v>4615.2</v>
      </c>
    </row>
    <row r="1238" spans="2:9">
      <c r="B1238" s="396">
        <v>100643</v>
      </c>
      <c r="C1238" s="401" t="s">
        <v>3683</v>
      </c>
      <c r="D1238" s="396" t="s">
        <v>36</v>
      </c>
      <c r="E1238" s="405">
        <f t="shared" si="38"/>
        <v>316.94</v>
      </c>
      <c r="F1238">
        <f t="shared" si="39"/>
        <v>100643</v>
      </c>
      <c r="H1238" s="679">
        <v>316.94</v>
      </c>
      <c r="I1238" s="679">
        <v>316.94</v>
      </c>
    </row>
    <row r="1239" spans="2:9">
      <c r="B1239" s="395">
        <v>100644</v>
      </c>
      <c r="C1239" s="406" t="s">
        <v>3684</v>
      </c>
      <c r="D1239" s="395" t="s">
        <v>36</v>
      </c>
      <c r="E1239" s="407">
        <f t="shared" si="38"/>
        <v>57.05</v>
      </c>
      <c r="F1239">
        <f t="shared" si="39"/>
        <v>100644</v>
      </c>
      <c r="H1239" s="680">
        <v>57.05</v>
      </c>
      <c r="I1239" s="680">
        <v>57.05</v>
      </c>
    </row>
    <row r="1240" spans="2:9">
      <c r="B1240" s="396">
        <v>100645</v>
      </c>
      <c r="C1240" s="401" t="s">
        <v>3685</v>
      </c>
      <c r="D1240" s="396" t="s">
        <v>36</v>
      </c>
      <c r="E1240" s="405">
        <f t="shared" si="38"/>
        <v>509.49</v>
      </c>
      <c r="F1240">
        <f t="shared" si="39"/>
        <v>100645</v>
      </c>
      <c r="H1240" s="679">
        <v>509.49</v>
      </c>
      <c r="I1240" s="679">
        <v>509.49</v>
      </c>
    </row>
    <row r="1241" spans="2:9">
      <c r="B1241" s="395">
        <v>100646</v>
      </c>
      <c r="C1241" s="406" t="s">
        <v>3686</v>
      </c>
      <c r="D1241" s="395" t="s">
        <v>36</v>
      </c>
      <c r="E1241" s="407">
        <f t="shared" si="38"/>
        <v>5769</v>
      </c>
      <c r="F1241">
        <f t="shared" si="39"/>
        <v>100646</v>
      </c>
      <c r="H1241" s="680">
        <v>5769</v>
      </c>
      <c r="I1241" s="680">
        <v>5769</v>
      </c>
    </row>
    <row r="1242" spans="2:9" ht="30">
      <c r="B1242" s="396">
        <v>102270</v>
      </c>
      <c r="C1242" s="401" t="s">
        <v>5445</v>
      </c>
      <c r="D1242" s="396" t="s">
        <v>36</v>
      </c>
      <c r="E1242" s="405">
        <f t="shared" si="38"/>
        <v>0.78</v>
      </c>
      <c r="F1242">
        <f t="shared" si="39"/>
        <v>102270</v>
      </c>
      <c r="H1242" s="679">
        <v>0.78</v>
      </c>
      <c r="I1242" s="679">
        <v>0.78</v>
      </c>
    </row>
    <row r="1243" spans="2:9">
      <c r="B1243" s="395">
        <v>102271</v>
      </c>
      <c r="C1243" s="406" t="s">
        <v>5446</v>
      </c>
      <c r="D1243" s="395" t="s">
        <v>36</v>
      </c>
      <c r="E1243" s="407">
        <f t="shared" si="38"/>
        <v>0.09</v>
      </c>
      <c r="F1243">
        <f t="shared" si="39"/>
        <v>102271</v>
      </c>
      <c r="H1243" s="680">
        <v>0.09</v>
      </c>
      <c r="I1243" s="680">
        <v>0.09</v>
      </c>
    </row>
    <row r="1244" spans="2:9" ht="30">
      <c r="B1244" s="396">
        <v>102272</v>
      </c>
      <c r="C1244" s="401" t="s">
        <v>5447</v>
      </c>
      <c r="D1244" s="396" t="s">
        <v>36</v>
      </c>
      <c r="E1244" s="405">
        <f t="shared" si="38"/>
        <v>0.98</v>
      </c>
      <c r="F1244">
        <f t="shared" si="39"/>
        <v>102272</v>
      </c>
      <c r="H1244" s="679">
        <v>0.98</v>
      </c>
      <c r="I1244" s="679">
        <v>0.98</v>
      </c>
    </row>
    <row r="1245" spans="2:9" ht="30">
      <c r="B1245" s="395">
        <v>102273</v>
      </c>
      <c r="C1245" s="406" t="s">
        <v>5448</v>
      </c>
      <c r="D1245" s="395" t="s">
        <v>36</v>
      </c>
      <c r="E1245" s="407">
        <f t="shared" si="38"/>
        <v>1.78</v>
      </c>
      <c r="F1245">
        <f t="shared" si="39"/>
        <v>102273</v>
      </c>
      <c r="H1245" s="680">
        <v>1.78</v>
      </c>
      <c r="I1245" s="680">
        <v>1.78</v>
      </c>
    </row>
    <row r="1246" spans="2:9">
      <c r="B1246" s="396">
        <v>102809</v>
      </c>
      <c r="C1246" s="401" t="s">
        <v>6247</v>
      </c>
      <c r="D1246" s="396" t="s">
        <v>36</v>
      </c>
      <c r="E1246" s="405">
        <f t="shared" si="38"/>
        <v>20.100000000000001</v>
      </c>
      <c r="F1246">
        <f t="shared" si="39"/>
        <v>102809</v>
      </c>
      <c r="H1246" s="679">
        <v>20.100000000000001</v>
      </c>
      <c r="I1246" s="679">
        <v>20.100000000000001</v>
      </c>
    </row>
    <row r="1247" spans="2:9" ht="30">
      <c r="B1247" s="395">
        <v>102815</v>
      </c>
      <c r="C1247" s="406" t="s">
        <v>6248</v>
      </c>
      <c r="D1247" s="395" t="s">
        <v>36</v>
      </c>
      <c r="E1247" s="407">
        <f t="shared" si="38"/>
        <v>3.57</v>
      </c>
      <c r="F1247">
        <f t="shared" si="39"/>
        <v>102815</v>
      </c>
      <c r="H1247" s="680">
        <v>3.57</v>
      </c>
      <c r="I1247" s="680">
        <v>3.57</v>
      </c>
    </row>
    <row r="1248" spans="2:9" ht="30">
      <c r="B1248" s="396">
        <v>102826</v>
      </c>
      <c r="C1248" s="401" t="s">
        <v>6249</v>
      </c>
      <c r="D1248" s="396" t="s">
        <v>36</v>
      </c>
      <c r="E1248" s="405">
        <f t="shared" si="38"/>
        <v>6.69</v>
      </c>
      <c r="F1248">
        <f t="shared" si="39"/>
        <v>102826</v>
      </c>
      <c r="H1248" s="679">
        <v>6.69</v>
      </c>
      <c r="I1248" s="679">
        <v>6.69</v>
      </c>
    </row>
    <row r="1249" spans="2:9" ht="30">
      <c r="B1249" s="395">
        <v>102832</v>
      </c>
      <c r="C1249" s="406" t="s">
        <v>6250</v>
      </c>
      <c r="D1249" s="395" t="s">
        <v>36</v>
      </c>
      <c r="E1249" s="407">
        <f t="shared" si="38"/>
        <v>8.92</v>
      </c>
      <c r="F1249">
        <f t="shared" si="39"/>
        <v>102832</v>
      </c>
      <c r="H1249" s="680">
        <v>8.92</v>
      </c>
      <c r="I1249" s="680">
        <v>8.92</v>
      </c>
    </row>
    <row r="1250" spans="2:9" ht="30">
      <c r="B1250" s="396">
        <v>102843</v>
      </c>
      <c r="C1250" s="401" t="s">
        <v>6251</v>
      </c>
      <c r="D1250" s="396" t="s">
        <v>36</v>
      </c>
      <c r="E1250" s="405">
        <f t="shared" si="38"/>
        <v>144.22</v>
      </c>
      <c r="F1250">
        <f t="shared" si="39"/>
        <v>102843</v>
      </c>
      <c r="H1250" s="679">
        <v>144.22</v>
      </c>
      <c r="I1250" s="679">
        <v>144.22</v>
      </c>
    </row>
    <row r="1251" spans="2:9">
      <c r="B1251" s="395">
        <v>102849</v>
      </c>
      <c r="C1251" s="406" t="s">
        <v>6252</v>
      </c>
      <c r="D1251" s="395" t="s">
        <v>36</v>
      </c>
      <c r="E1251" s="407">
        <f t="shared" si="38"/>
        <v>70.510000000000005</v>
      </c>
      <c r="F1251">
        <f t="shared" si="39"/>
        <v>102849</v>
      </c>
      <c r="H1251" s="680">
        <v>70.510000000000005</v>
      </c>
      <c r="I1251" s="680">
        <v>70.510000000000005</v>
      </c>
    </row>
    <row r="1252" spans="2:9" ht="30">
      <c r="B1252" s="396">
        <v>102855</v>
      </c>
      <c r="C1252" s="401" t="s">
        <v>6253</v>
      </c>
      <c r="D1252" s="396" t="s">
        <v>36</v>
      </c>
      <c r="E1252" s="405">
        <f t="shared" si="38"/>
        <v>70.510000000000005</v>
      </c>
      <c r="F1252">
        <f t="shared" si="39"/>
        <v>102855</v>
      </c>
      <c r="H1252" s="679">
        <v>70.510000000000005</v>
      </c>
      <c r="I1252" s="679">
        <v>70.510000000000005</v>
      </c>
    </row>
    <row r="1253" spans="2:9" ht="30">
      <c r="B1253" s="395">
        <v>102861</v>
      </c>
      <c r="C1253" s="406" t="s">
        <v>6254</v>
      </c>
      <c r="D1253" s="395" t="s">
        <v>36</v>
      </c>
      <c r="E1253" s="407">
        <f t="shared" si="38"/>
        <v>1.31</v>
      </c>
      <c r="F1253">
        <f t="shared" si="39"/>
        <v>102861</v>
      </c>
      <c r="H1253" s="680">
        <v>1.31</v>
      </c>
      <c r="I1253" s="680">
        <v>1.31</v>
      </c>
    </row>
    <row r="1254" spans="2:9">
      <c r="B1254" s="396">
        <v>102867</v>
      </c>
      <c r="C1254" s="401" t="s">
        <v>6255</v>
      </c>
      <c r="D1254" s="396" t="s">
        <v>36</v>
      </c>
      <c r="E1254" s="405">
        <f t="shared" si="38"/>
        <v>0.71</v>
      </c>
      <c r="F1254">
        <f t="shared" si="39"/>
        <v>102867</v>
      </c>
      <c r="H1254" s="679">
        <v>0.71</v>
      </c>
      <c r="I1254" s="679">
        <v>0.71</v>
      </c>
    </row>
    <row r="1255" spans="2:9" ht="30">
      <c r="B1255" s="395">
        <v>102873</v>
      </c>
      <c r="C1255" s="406" t="s">
        <v>6256</v>
      </c>
      <c r="D1255" s="395" t="s">
        <v>36</v>
      </c>
      <c r="E1255" s="407">
        <f t="shared" si="38"/>
        <v>128.13</v>
      </c>
      <c r="F1255">
        <f t="shared" si="39"/>
        <v>102873</v>
      </c>
      <c r="H1255" s="680">
        <v>128.13</v>
      </c>
      <c r="I1255" s="680">
        <v>128.13</v>
      </c>
    </row>
    <row r="1256" spans="2:9" ht="30">
      <c r="B1256" s="396">
        <v>102879</v>
      </c>
      <c r="C1256" s="401" t="s">
        <v>6257</v>
      </c>
      <c r="D1256" s="396" t="s">
        <v>36</v>
      </c>
      <c r="E1256" s="405">
        <f t="shared" si="38"/>
        <v>192.3</v>
      </c>
      <c r="F1256">
        <f t="shared" si="39"/>
        <v>102879</v>
      </c>
      <c r="H1256" s="679">
        <v>192.3</v>
      </c>
      <c r="I1256" s="679">
        <v>192.3</v>
      </c>
    </row>
    <row r="1257" spans="2:9">
      <c r="B1257" s="395">
        <v>102885</v>
      </c>
      <c r="C1257" s="406" t="s">
        <v>6258</v>
      </c>
      <c r="D1257" s="395" t="s">
        <v>36</v>
      </c>
      <c r="E1257" s="407">
        <f t="shared" si="38"/>
        <v>1.34</v>
      </c>
      <c r="F1257">
        <f t="shared" si="39"/>
        <v>102885</v>
      </c>
      <c r="H1257" s="680">
        <v>1.34</v>
      </c>
      <c r="I1257" s="680">
        <v>1.34</v>
      </c>
    </row>
    <row r="1258" spans="2:9">
      <c r="B1258" s="396">
        <v>102891</v>
      </c>
      <c r="C1258" s="401" t="s">
        <v>6259</v>
      </c>
      <c r="D1258" s="396" t="s">
        <v>36</v>
      </c>
      <c r="E1258" s="405">
        <f t="shared" si="38"/>
        <v>1.34</v>
      </c>
      <c r="F1258">
        <f t="shared" si="39"/>
        <v>102891</v>
      </c>
      <c r="H1258" s="679">
        <v>1.34</v>
      </c>
      <c r="I1258" s="679">
        <v>1.34</v>
      </c>
    </row>
    <row r="1259" spans="2:9" ht="30">
      <c r="B1259" s="395">
        <v>102897</v>
      </c>
      <c r="C1259" s="406" t="s">
        <v>6260</v>
      </c>
      <c r="D1259" s="395" t="s">
        <v>36</v>
      </c>
      <c r="E1259" s="407">
        <f t="shared" si="38"/>
        <v>96.34</v>
      </c>
      <c r="F1259">
        <f t="shared" si="39"/>
        <v>102897</v>
      </c>
      <c r="H1259" s="680">
        <v>96.34</v>
      </c>
      <c r="I1259" s="680">
        <v>96.34</v>
      </c>
    </row>
    <row r="1260" spans="2:9" ht="30">
      <c r="B1260" s="396">
        <v>102903</v>
      </c>
      <c r="C1260" s="401" t="s">
        <v>6261</v>
      </c>
      <c r="D1260" s="396" t="s">
        <v>36</v>
      </c>
      <c r="E1260" s="405">
        <f t="shared" si="38"/>
        <v>12.49</v>
      </c>
      <c r="F1260">
        <f t="shared" si="39"/>
        <v>102903</v>
      </c>
      <c r="H1260" s="679">
        <v>12.49</v>
      </c>
      <c r="I1260" s="679">
        <v>12.49</v>
      </c>
    </row>
    <row r="1261" spans="2:9">
      <c r="B1261" s="395">
        <v>102909</v>
      </c>
      <c r="C1261" s="406" t="s">
        <v>6262</v>
      </c>
      <c r="D1261" s="395" t="s">
        <v>36</v>
      </c>
      <c r="E1261" s="407">
        <f t="shared" si="38"/>
        <v>102.63</v>
      </c>
      <c r="F1261">
        <f t="shared" si="39"/>
        <v>102909</v>
      </c>
      <c r="H1261" s="680">
        <v>102.63</v>
      </c>
      <c r="I1261" s="680">
        <v>102.63</v>
      </c>
    </row>
    <row r="1262" spans="2:9">
      <c r="B1262" s="396">
        <v>102915</v>
      </c>
      <c r="C1262" s="401" t="s">
        <v>6263</v>
      </c>
      <c r="D1262" s="396" t="s">
        <v>36</v>
      </c>
      <c r="E1262" s="405">
        <f t="shared" si="38"/>
        <v>0.66</v>
      </c>
      <c r="F1262">
        <f t="shared" si="39"/>
        <v>102915</v>
      </c>
      <c r="H1262" s="679">
        <v>0.66</v>
      </c>
      <c r="I1262" s="679">
        <v>0.66</v>
      </c>
    </row>
    <row r="1263" spans="2:9" ht="30">
      <c r="B1263" s="395">
        <v>102927</v>
      </c>
      <c r="C1263" s="406" t="s">
        <v>6264</v>
      </c>
      <c r="D1263" s="395" t="s">
        <v>36</v>
      </c>
      <c r="E1263" s="407">
        <f t="shared" si="38"/>
        <v>0.98</v>
      </c>
      <c r="F1263">
        <f t="shared" si="39"/>
        <v>102927</v>
      </c>
      <c r="H1263" s="680">
        <v>0.98</v>
      </c>
      <c r="I1263" s="680">
        <v>0.98</v>
      </c>
    </row>
    <row r="1264" spans="2:9" ht="45">
      <c r="B1264" s="396">
        <v>102933</v>
      </c>
      <c r="C1264" s="401" t="s">
        <v>6265</v>
      </c>
      <c r="D1264" s="396" t="s">
        <v>36</v>
      </c>
      <c r="E1264" s="405">
        <f t="shared" si="38"/>
        <v>0.98</v>
      </c>
      <c r="F1264">
        <f t="shared" si="39"/>
        <v>102933</v>
      </c>
      <c r="H1264" s="679">
        <v>0.98</v>
      </c>
      <c r="I1264" s="679">
        <v>0.98</v>
      </c>
    </row>
    <row r="1265" spans="2:9">
      <c r="B1265" s="395">
        <v>102939</v>
      </c>
      <c r="C1265" s="406" t="s">
        <v>6266</v>
      </c>
      <c r="D1265" s="395" t="s">
        <v>36</v>
      </c>
      <c r="E1265" s="407">
        <f t="shared" si="38"/>
        <v>9.81</v>
      </c>
      <c r="F1265">
        <f t="shared" si="39"/>
        <v>102939</v>
      </c>
      <c r="H1265" s="680">
        <v>9.81</v>
      </c>
      <c r="I1265" s="680">
        <v>9.81</v>
      </c>
    </row>
    <row r="1266" spans="2:9" ht="30">
      <c r="B1266" s="396">
        <v>102945</v>
      </c>
      <c r="C1266" s="401" t="s">
        <v>6267</v>
      </c>
      <c r="D1266" s="396" t="s">
        <v>36</v>
      </c>
      <c r="E1266" s="405">
        <f t="shared" si="38"/>
        <v>0.02</v>
      </c>
      <c r="F1266">
        <f t="shared" si="39"/>
        <v>102945</v>
      </c>
      <c r="H1266" s="679">
        <v>0.02</v>
      </c>
      <c r="I1266" s="679">
        <v>0.02</v>
      </c>
    </row>
    <row r="1267" spans="2:9" ht="30">
      <c r="B1267" s="395">
        <v>102951</v>
      </c>
      <c r="C1267" s="406" t="s">
        <v>6268</v>
      </c>
      <c r="D1267" s="395" t="s">
        <v>36</v>
      </c>
      <c r="E1267" s="407">
        <f t="shared" si="38"/>
        <v>0.66</v>
      </c>
      <c r="F1267">
        <f t="shared" si="39"/>
        <v>102951</v>
      </c>
      <c r="H1267" s="680">
        <v>0.66</v>
      </c>
      <c r="I1267" s="680">
        <v>0.66</v>
      </c>
    </row>
    <row r="1268" spans="2:9" ht="30">
      <c r="B1268" s="396">
        <v>102957</v>
      </c>
      <c r="C1268" s="401" t="s">
        <v>6269</v>
      </c>
      <c r="D1268" s="396" t="s">
        <v>36</v>
      </c>
      <c r="E1268" s="405">
        <f t="shared" si="38"/>
        <v>54.67</v>
      </c>
      <c r="F1268">
        <f t="shared" si="39"/>
        <v>102957</v>
      </c>
      <c r="H1268" s="679">
        <v>54.67</v>
      </c>
      <c r="I1268" s="679">
        <v>54.67</v>
      </c>
    </row>
    <row r="1269" spans="2:9" ht="30">
      <c r="B1269" s="395">
        <v>102963</v>
      </c>
      <c r="C1269" s="406" t="s">
        <v>6270</v>
      </c>
      <c r="D1269" s="395" t="s">
        <v>36</v>
      </c>
      <c r="E1269" s="407">
        <f t="shared" si="38"/>
        <v>90.82</v>
      </c>
      <c r="F1269">
        <f t="shared" si="39"/>
        <v>102963</v>
      </c>
      <c r="H1269" s="680">
        <v>90.82</v>
      </c>
      <c r="I1269" s="680">
        <v>90.82</v>
      </c>
    </row>
    <row r="1270" spans="2:9" ht="30">
      <c r="B1270" s="396">
        <v>102969</v>
      </c>
      <c r="C1270" s="401" t="s">
        <v>6271</v>
      </c>
      <c r="D1270" s="396" t="s">
        <v>36</v>
      </c>
      <c r="E1270" s="405">
        <f t="shared" si="38"/>
        <v>1.33</v>
      </c>
      <c r="F1270">
        <f t="shared" si="39"/>
        <v>102969</v>
      </c>
      <c r="H1270" s="679">
        <v>1.33</v>
      </c>
      <c r="I1270" s="679">
        <v>1.33</v>
      </c>
    </row>
    <row r="1271" spans="2:9" ht="30">
      <c r="B1271" s="395">
        <v>102985</v>
      </c>
      <c r="C1271" s="406" t="s">
        <v>6272</v>
      </c>
      <c r="D1271" s="395" t="s">
        <v>36</v>
      </c>
      <c r="E1271" s="407">
        <f t="shared" si="38"/>
        <v>3.2</v>
      </c>
      <c r="F1271">
        <f t="shared" si="39"/>
        <v>102985</v>
      </c>
      <c r="H1271" s="680">
        <v>3.2</v>
      </c>
      <c r="I1271" s="680">
        <v>3.2</v>
      </c>
    </row>
    <row r="1272" spans="2:9" ht="30">
      <c r="B1272" s="396">
        <v>103156</v>
      </c>
      <c r="C1272" s="401" t="s">
        <v>6273</v>
      </c>
      <c r="D1272" s="396" t="s">
        <v>36</v>
      </c>
      <c r="E1272" s="405">
        <f t="shared" si="38"/>
        <v>2.4900000000000002</v>
      </c>
      <c r="F1272">
        <f t="shared" si="39"/>
        <v>103156</v>
      </c>
      <c r="H1272" s="679">
        <v>2.4900000000000002</v>
      </c>
      <c r="I1272" s="679">
        <v>2.4900000000000002</v>
      </c>
    </row>
    <row r="1273" spans="2:9" ht="30">
      <c r="B1273" s="395">
        <v>103162</v>
      </c>
      <c r="C1273" s="406" t="s">
        <v>6274</v>
      </c>
      <c r="D1273" s="395" t="s">
        <v>36</v>
      </c>
      <c r="E1273" s="407">
        <f t="shared" si="38"/>
        <v>3.12</v>
      </c>
      <c r="F1273">
        <f t="shared" si="39"/>
        <v>103162</v>
      </c>
      <c r="H1273" s="680">
        <v>3.12</v>
      </c>
      <c r="I1273" s="680">
        <v>3.12</v>
      </c>
    </row>
    <row r="1274" spans="2:9" ht="30">
      <c r="B1274" s="396">
        <v>103168</v>
      </c>
      <c r="C1274" s="401" t="s">
        <v>6275</v>
      </c>
      <c r="D1274" s="396" t="s">
        <v>36</v>
      </c>
      <c r="E1274" s="405">
        <f t="shared" si="38"/>
        <v>0.79</v>
      </c>
      <c r="F1274">
        <f t="shared" si="39"/>
        <v>103168</v>
      </c>
      <c r="H1274" s="679">
        <v>0.79</v>
      </c>
      <c r="I1274" s="679">
        <v>0.79</v>
      </c>
    </row>
    <row r="1275" spans="2:9" ht="30">
      <c r="B1275" s="395">
        <v>103174</v>
      </c>
      <c r="C1275" s="406" t="s">
        <v>6276</v>
      </c>
      <c r="D1275" s="395" t="s">
        <v>36</v>
      </c>
      <c r="E1275" s="407">
        <f t="shared" si="38"/>
        <v>1.99</v>
      </c>
      <c r="F1275">
        <f t="shared" si="39"/>
        <v>103174</v>
      </c>
      <c r="H1275" s="680">
        <v>1.99</v>
      </c>
      <c r="I1275" s="680">
        <v>1.99</v>
      </c>
    </row>
    <row r="1276" spans="2:9" ht="30">
      <c r="B1276" s="396">
        <v>103180</v>
      </c>
      <c r="C1276" s="401" t="s">
        <v>6277</v>
      </c>
      <c r="D1276" s="396" t="s">
        <v>36</v>
      </c>
      <c r="E1276" s="405">
        <f t="shared" si="38"/>
        <v>4.58</v>
      </c>
      <c r="F1276">
        <f t="shared" si="39"/>
        <v>103180</v>
      </c>
      <c r="H1276" s="679">
        <v>4.58</v>
      </c>
      <c r="I1276" s="679">
        <v>4.58</v>
      </c>
    </row>
    <row r="1277" spans="2:9" ht="30">
      <c r="B1277" s="395">
        <v>103223</v>
      </c>
      <c r="C1277" s="406" t="s">
        <v>6278</v>
      </c>
      <c r="D1277" s="395" t="s">
        <v>36</v>
      </c>
      <c r="E1277" s="407">
        <f t="shared" si="38"/>
        <v>37.56</v>
      </c>
      <c r="F1277">
        <f t="shared" si="39"/>
        <v>103223</v>
      </c>
      <c r="H1277" s="680">
        <v>37.56</v>
      </c>
      <c r="I1277" s="680">
        <v>37.56</v>
      </c>
    </row>
    <row r="1278" spans="2:9" ht="30">
      <c r="B1278" s="396">
        <v>103229</v>
      </c>
      <c r="C1278" s="401" t="s">
        <v>6279</v>
      </c>
      <c r="D1278" s="396" t="s">
        <v>36</v>
      </c>
      <c r="E1278" s="405">
        <f t="shared" si="38"/>
        <v>62.17</v>
      </c>
      <c r="F1278">
        <f t="shared" si="39"/>
        <v>103229</v>
      </c>
      <c r="H1278" s="679">
        <v>62.17</v>
      </c>
      <c r="I1278" s="679">
        <v>62.17</v>
      </c>
    </row>
    <row r="1279" spans="2:9" ht="30">
      <c r="B1279" s="395">
        <v>103235</v>
      </c>
      <c r="C1279" s="406" t="s">
        <v>6280</v>
      </c>
      <c r="D1279" s="395" t="s">
        <v>36</v>
      </c>
      <c r="E1279" s="407">
        <f t="shared" si="38"/>
        <v>164.99</v>
      </c>
      <c r="F1279">
        <f t="shared" si="39"/>
        <v>103235</v>
      </c>
      <c r="H1279" s="680">
        <v>164.99</v>
      </c>
      <c r="I1279" s="680">
        <v>164.99</v>
      </c>
    </row>
    <row r="1280" spans="2:9" ht="30">
      <c r="B1280" s="396">
        <v>103241</v>
      </c>
      <c r="C1280" s="401" t="s">
        <v>6281</v>
      </c>
      <c r="D1280" s="396" t="s">
        <v>36</v>
      </c>
      <c r="E1280" s="405">
        <f t="shared" si="38"/>
        <v>9.51</v>
      </c>
      <c r="F1280">
        <f t="shared" si="39"/>
        <v>103241</v>
      </c>
      <c r="H1280" s="679">
        <v>9.51</v>
      </c>
      <c r="I1280" s="679">
        <v>9.51</v>
      </c>
    </row>
    <row r="1281" spans="2:9">
      <c r="B1281" s="395">
        <v>103660</v>
      </c>
      <c r="C1281" s="406" t="s">
        <v>6448</v>
      </c>
      <c r="D1281" s="395" t="s">
        <v>36</v>
      </c>
      <c r="E1281" s="407">
        <f t="shared" si="38"/>
        <v>9.6</v>
      </c>
      <c r="F1281">
        <f t="shared" si="39"/>
        <v>103660</v>
      </c>
      <c r="H1281" s="680">
        <v>9.6</v>
      </c>
      <c r="I1281" s="680">
        <v>9.6</v>
      </c>
    </row>
    <row r="1282" spans="2:9" ht="30">
      <c r="B1282" s="396">
        <v>103666</v>
      </c>
      <c r="C1282" s="401" t="s">
        <v>7311</v>
      </c>
      <c r="D1282" s="396" t="s">
        <v>36</v>
      </c>
      <c r="E1282" s="405">
        <f t="shared" si="38"/>
        <v>99.48</v>
      </c>
      <c r="F1282">
        <f t="shared" si="39"/>
        <v>103666</v>
      </c>
      <c r="H1282" s="679">
        <v>99.48</v>
      </c>
      <c r="I1282" s="679">
        <v>99.48</v>
      </c>
    </row>
    <row r="1283" spans="2:9" ht="45">
      <c r="B1283" s="395">
        <v>103792</v>
      </c>
      <c r="C1283" s="406" t="s">
        <v>6482</v>
      </c>
      <c r="D1283" s="395" t="s">
        <v>36</v>
      </c>
      <c r="E1283" s="407">
        <f t="shared" ref="E1283:E1346" si="40">IF($K$2=$H$1,H1283,I1283)</f>
        <v>0.28999999999999998</v>
      </c>
      <c r="F1283">
        <f t="shared" ref="F1283:F1346" si="41">IF(LEN($B1283)=7,CONCATENATE(MID($B1283,1,6),"00",RIGHT($B1283,1)),IF(LEN($B1283)=8,CONCATENATE(MID($B1283,1,6),"0",RIGHT($B1283,2)),$B1283))</f>
        <v>103792</v>
      </c>
      <c r="H1283" s="680">
        <v>0.28999999999999998</v>
      </c>
      <c r="I1283" s="680">
        <v>0.28999999999999998</v>
      </c>
    </row>
    <row r="1284" spans="2:9" ht="30">
      <c r="B1284" s="396">
        <v>103937</v>
      </c>
      <c r="C1284" s="401" t="s">
        <v>6866</v>
      </c>
      <c r="D1284" s="396" t="s">
        <v>36</v>
      </c>
      <c r="E1284" s="405">
        <f t="shared" si="40"/>
        <v>1.6</v>
      </c>
      <c r="F1284">
        <f t="shared" si="41"/>
        <v>103937</v>
      </c>
      <c r="H1284" s="679">
        <v>1.6</v>
      </c>
      <c r="I1284" s="679">
        <v>1.6</v>
      </c>
    </row>
    <row r="1285" spans="2:9" ht="30">
      <c r="B1285" s="395">
        <v>103943</v>
      </c>
      <c r="C1285" s="406" t="s">
        <v>6867</v>
      </c>
      <c r="D1285" s="395" t="s">
        <v>36</v>
      </c>
      <c r="E1285" s="407">
        <f t="shared" si="40"/>
        <v>1.6</v>
      </c>
      <c r="F1285">
        <f t="shared" si="41"/>
        <v>103943</v>
      </c>
      <c r="H1285" s="680">
        <v>1.6</v>
      </c>
      <c r="I1285" s="680">
        <v>1.6</v>
      </c>
    </row>
    <row r="1286" spans="2:9" ht="30">
      <c r="B1286" s="396">
        <v>104087</v>
      </c>
      <c r="C1286" s="401" t="s">
        <v>6868</v>
      </c>
      <c r="D1286" s="396" t="s">
        <v>36</v>
      </c>
      <c r="E1286" s="405">
        <f t="shared" si="40"/>
        <v>7.0000000000000007E-2</v>
      </c>
      <c r="F1286">
        <f t="shared" si="41"/>
        <v>104087</v>
      </c>
      <c r="H1286" s="679">
        <v>7.0000000000000007E-2</v>
      </c>
      <c r="I1286" s="679">
        <v>7.0000000000000007E-2</v>
      </c>
    </row>
    <row r="1287" spans="2:9" ht="30">
      <c r="B1287" s="395">
        <v>104088</v>
      </c>
      <c r="C1287" s="406" t="s">
        <v>6869</v>
      </c>
      <c r="D1287" s="395" t="s">
        <v>36</v>
      </c>
      <c r="E1287" s="407">
        <f t="shared" si="40"/>
        <v>0.08</v>
      </c>
      <c r="F1287">
        <f t="shared" si="41"/>
        <v>104088</v>
      </c>
      <c r="H1287" s="680">
        <v>0.08</v>
      </c>
      <c r="I1287" s="680">
        <v>0.08</v>
      </c>
    </row>
    <row r="1288" spans="2:9" ht="30">
      <c r="B1288" s="396">
        <v>104089</v>
      </c>
      <c r="C1288" s="401" t="s">
        <v>6870</v>
      </c>
      <c r="D1288" s="396" t="s">
        <v>36</v>
      </c>
      <c r="E1288" s="405">
        <f t="shared" si="40"/>
        <v>0.09</v>
      </c>
      <c r="F1288">
        <f t="shared" si="41"/>
        <v>104089</v>
      </c>
      <c r="H1288" s="679">
        <v>0.09</v>
      </c>
      <c r="I1288" s="679">
        <v>0.09</v>
      </c>
    </row>
    <row r="1289" spans="2:9" ht="30">
      <c r="B1289" s="395">
        <v>104090</v>
      </c>
      <c r="C1289" s="406" t="s">
        <v>6871</v>
      </c>
      <c r="D1289" s="395" t="s">
        <v>36</v>
      </c>
      <c r="E1289" s="407">
        <f t="shared" si="40"/>
        <v>0.71</v>
      </c>
      <c r="F1289">
        <f t="shared" si="41"/>
        <v>104090</v>
      </c>
      <c r="H1289" s="680">
        <v>0.71</v>
      </c>
      <c r="I1289" s="680">
        <v>0.71</v>
      </c>
    </row>
    <row r="1290" spans="2:9" ht="30">
      <c r="B1290" s="396">
        <v>104093</v>
      </c>
      <c r="C1290" s="401" t="s">
        <v>6872</v>
      </c>
      <c r="D1290" s="396" t="s">
        <v>36</v>
      </c>
      <c r="E1290" s="405">
        <f t="shared" si="40"/>
        <v>0.1</v>
      </c>
      <c r="F1290">
        <f t="shared" si="41"/>
        <v>104093</v>
      </c>
      <c r="H1290" s="679">
        <v>0.1</v>
      </c>
      <c r="I1290" s="679">
        <v>0.1</v>
      </c>
    </row>
    <row r="1291" spans="2:9" ht="30">
      <c r="B1291" s="395">
        <v>104094</v>
      </c>
      <c r="C1291" s="406" t="s">
        <v>6873</v>
      </c>
      <c r="D1291" s="395" t="s">
        <v>36</v>
      </c>
      <c r="E1291" s="407">
        <f t="shared" si="40"/>
        <v>0.12</v>
      </c>
      <c r="F1291">
        <f t="shared" si="41"/>
        <v>104094</v>
      </c>
      <c r="H1291" s="680">
        <v>0.12</v>
      </c>
      <c r="I1291" s="680">
        <v>0.12</v>
      </c>
    </row>
    <row r="1292" spans="2:9" ht="30">
      <c r="B1292" s="396">
        <v>104095</v>
      </c>
      <c r="C1292" s="401" t="s">
        <v>6874</v>
      </c>
      <c r="D1292" s="396" t="s">
        <v>36</v>
      </c>
      <c r="E1292" s="405">
        <f t="shared" si="40"/>
        <v>0.13</v>
      </c>
      <c r="F1292">
        <f t="shared" si="41"/>
        <v>104095</v>
      </c>
      <c r="H1292" s="679">
        <v>0.13</v>
      </c>
      <c r="I1292" s="679">
        <v>0.13</v>
      </c>
    </row>
    <row r="1293" spans="2:9" ht="30">
      <c r="B1293" s="395">
        <v>104096</v>
      </c>
      <c r="C1293" s="406" t="s">
        <v>6875</v>
      </c>
      <c r="D1293" s="395" t="s">
        <v>36</v>
      </c>
      <c r="E1293" s="407">
        <f t="shared" si="40"/>
        <v>0.98</v>
      </c>
      <c r="F1293">
        <f t="shared" si="41"/>
        <v>104096</v>
      </c>
      <c r="H1293" s="680">
        <v>0.98</v>
      </c>
      <c r="I1293" s="680">
        <v>0.98</v>
      </c>
    </row>
    <row r="1294" spans="2:9" ht="30">
      <c r="B1294" s="396">
        <v>104519</v>
      </c>
      <c r="C1294" s="401" t="s">
        <v>7312</v>
      </c>
      <c r="D1294" s="396" t="s">
        <v>36</v>
      </c>
      <c r="E1294" s="405">
        <f t="shared" si="40"/>
        <v>0.67</v>
      </c>
      <c r="F1294">
        <f t="shared" si="41"/>
        <v>104519</v>
      </c>
      <c r="H1294" s="679">
        <v>0.67</v>
      </c>
      <c r="I1294" s="679">
        <v>0.67</v>
      </c>
    </row>
    <row r="1295" spans="2:9" ht="30">
      <c r="B1295" s="395">
        <v>92259</v>
      </c>
      <c r="C1295" s="406" t="s">
        <v>3111</v>
      </c>
      <c r="D1295" s="395" t="s">
        <v>23</v>
      </c>
      <c r="E1295" s="407">
        <f t="shared" si="40"/>
        <v>414.09</v>
      </c>
      <c r="F1295">
        <f t="shared" si="41"/>
        <v>92259</v>
      </c>
      <c r="H1295" s="680">
        <v>414.09</v>
      </c>
      <c r="I1295" s="680">
        <v>426.05</v>
      </c>
    </row>
    <row r="1296" spans="2:9" ht="30">
      <c r="B1296" s="396">
        <v>92260</v>
      </c>
      <c r="C1296" s="401" t="s">
        <v>3112</v>
      </c>
      <c r="D1296" s="396" t="s">
        <v>23</v>
      </c>
      <c r="E1296" s="405">
        <f t="shared" si="40"/>
        <v>465.47</v>
      </c>
      <c r="F1296">
        <f t="shared" si="41"/>
        <v>92260</v>
      </c>
      <c r="H1296" s="679">
        <v>465.47</v>
      </c>
      <c r="I1296" s="679">
        <v>483.31</v>
      </c>
    </row>
    <row r="1297" spans="2:9" ht="30">
      <c r="B1297" s="395">
        <v>92261</v>
      </c>
      <c r="C1297" s="406" t="s">
        <v>3113</v>
      </c>
      <c r="D1297" s="395" t="s">
        <v>23</v>
      </c>
      <c r="E1297" s="407">
        <f t="shared" si="40"/>
        <v>515.29</v>
      </c>
      <c r="F1297">
        <f t="shared" si="41"/>
        <v>92261</v>
      </c>
      <c r="H1297" s="680">
        <v>515.29</v>
      </c>
      <c r="I1297" s="680">
        <v>538.83000000000004</v>
      </c>
    </row>
    <row r="1298" spans="2:9" ht="30">
      <c r="B1298" s="396">
        <v>92262</v>
      </c>
      <c r="C1298" s="401" t="s">
        <v>3114</v>
      </c>
      <c r="D1298" s="396" t="s">
        <v>23</v>
      </c>
      <c r="E1298" s="405">
        <f t="shared" si="40"/>
        <v>595.49</v>
      </c>
      <c r="F1298">
        <f t="shared" si="41"/>
        <v>92262</v>
      </c>
      <c r="H1298" s="679">
        <v>595.49</v>
      </c>
      <c r="I1298" s="679">
        <v>628.21</v>
      </c>
    </row>
    <row r="1299" spans="2:9" ht="30">
      <c r="B1299" s="395">
        <v>92539</v>
      </c>
      <c r="C1299" s="406" t="s">
        <v>3115</v>
      </c>
      <c r="D1299" s="395" t="s">
        <v>0</v>
      </c>
      <c r="E1299" s="407">
        <f t="shared" si="40"/>
        <v>67.900000000000006</v>
      </c>
      <c r="F1299">
        <f t="shared" si="41"/>
        <v>92539</v>
      </c>
      <c r="H1299" s="680">
        <v>67.900000000000006</v>
      </c>
      <c r="I1299" s="680">
        <v>69.81</v>
      </c>
    </row>
    <row r="1300" spans="2:9" ht="30">
      <c r="B1300" s="396">
        <v>92540</v>
      </c>
      <c r="C1300" s="401" t="s">
        <v>3116</v>
      </c>
      <c r="D1300" s="396" t="s">
        <v>0</v>
      </c>
      <c r="E1300" s="405">
        <f t="shared" si="40"/>
        <v>75.599999999999994</v>
      </c>
      <c r="F1300">
        <f t="shared" si="41"/>
        <v>92540</v>
      </c>
      <c r="H1300" s="679">
        <v>75.599999999999994</v>
      </c>
      <c r="I1300" s="679">
        <v>78.34</v>
      </c>
    </row>
    <row r="1301" spans="2:9" ht="30">
      <c r="B1301" s="395">
        <v>92541</v>
      </c>
      <c r="C1301" s="406" t="s">
        <v>3117</v>
      </c>
      <c r="D1301" s="395" t="s">
        <v>0</v>
      </c>
      <c r="E1301" s="407">
        <f t="shared" si="40"/>
        <v>73.23</v>
      </c>
      <c r="F1301">
        <f t="shared" si="41"/>
        <v>92541</v>
      </c>
      <c r="H1301" s="680">
        <v>73.23</v>
      </c>
      <c r="I1301" s="680">
        <v>75.2</v>
      </c>
    </row>
    <row r="1302" spans="2:9" ht="30">
      <c r="B1302" s="396">
        <v>92542</v>
      </c>
      <c r="C1302" s="401" t="s">
        <v>3118</v>
      </c>
      <c r="D1302" s="396" t="s">
        <v>0</v>
      </c>
      <c r="E1302" s="405">
        <f t="shared" si="40"/>
        <v>88.28</v>
      </c>
      <c r="F1302">
        <f t="shared" si="41"/>
        <v>92542</v>
      </c>
      <c r="H1302" s="679">
        <v>88.28</v>
      </c>
      <c r="I1302" s="679">
        <v>91.13</v>
      </c>
    </row>
    <row r="1303" spans="2:9" ht="30">
      <c r="B1303" s="395">
        <v>92543</v>
      </c>
      <c r="C1303" s="406" t="s">
        <v>3119</v>
      </c>
      <c r="D1303" s="395" t="s">
        <v>0</v>
      </c>
      <c r="E1303" s="407">
        <f t="shared" si="40"/>
        <v>20.48</v>
      </c>
      <c r="F1303">
        <f t="shared" si="41"/>
        <v>92543</v>
      </c>
      <c r="H1303" s="680">
        <v>20.48</v>
      </c>
      <c r="I1303" s="680">
        <v>20.91</v>
      </c>
    </row>
    <row r="1304" spans="2:9" ht="30">
      <c r="B1304" s="396">
        <v>92544</v>
      </c>
      <c r="C1304" s="401" t="s">
        <v>3120</v>
      </c>
      <c r="D1304" s="396" t="s">
        <v>0</v>
      </c>
      <c r="E1304" s="405">
        <f t="shared" si="40"/>
        <v>16.260000000000002</v>
      </c>
      <c r="F1304">
        <f t="shared" si="41"/>
        <v>92544</v>
      </c>
      <c r="H1304" s="679">
        <v>16.260000000000002</v>
      </c>
      <c r="I1304" s="679">
        <v>16.62</v>
      </c>
    </row>
    <row r="1305" spans="2:9" ht="30">
      <c r="B1305" s="395">
        <v>92545</v>
      </c>
      <c r="C1305" s="406" t="s">
        <v>3121</v>
      </c>
      <c r="D1305" s="395" t="s">
        <v>23</v>
      </c>
      <c r="E1305" s="407">
        <f t="shared" si="40"/>
        <v>895.5</v>
      </c>
      <c r="F1305">
        <f t="shared" si="41"/>
        <v>92545</v>
      </c>
      <c r="H1305" s="680">
        <v>895.5</v>
      </c>
      <c r="I1305" s="680">
        <v>929.52</v>
      </c>
    </row>
    <row r="1306" spans="2:9" ht="30">
      <c r="B1306" s="396">
        <v>92546</v>
      </c>
      <c r="C1306" s="401" t="s">
        <v>3122</v>
      </c>
      <c r="D1306" s="396" t="s">
        <v>23</v>
      </c>
      <c r="E1306" s="405">
        <f t="shared" si="40"/>
        <v>1095.67</v>
      </c>
      <c r="F1306">
        <f t="shared" si="41"/>
        <v>92546</v>
      </c>
      <c r="H1306" s="679">
        <v>1095.67</v>
      </c>
      <c r="I1306" s="679">
        <v>1140.73</v>
      </c>
    </row>
    <row r="1307" spans="2:9" ht="30">
      <c r="B1307" s="395">
        <v>92547</v>
      </c>
      <c r="C1307" s="406" t="s">
        <v>3123</v>
      </c>
      <c r="D1307" s="395" t="s">
        <v>23</v>
      </c>
      <c r="E1307" s="407">
        <f t="shared" si="40"/>
        <v>1161.97</v>
      </c>
      <c r="F1307">
        <f t="shared" si="41"/>
        <v>92547</v>
      </c>
      <c r="H1307" s="680">
        <v>1161.97</v>
      </c>
      <c r="I1307" s="680">
        <v>1207.03</v>
      </c>
    </row>
    <row r="1308" spans="2:9" ht="30">
      <c r="B1308" s="396">
        <v>92548</v>
      </c>
      <c r="C1308" s="401" t="s">
        <v>3124</v>
      </c>
      <c r="D1308" s="396" t="s">
        <v>23</v>
      </c>
      <c r="E1308" s="405">
        <f t="shared" si="40"/>
        <v>1292.1199999999999</v>
      </c>
      <c r="F1308">
        <f t="shared" si="41"/>
        <v>92548</v>
      </c>
      <c r="H1308" s="679">
        <v>1292.1199999999999</v>
      </c>
      <c r="I1308" s="679">
        <v>1343.06</v>
      </c>
    </row>
    <row r="1309" spans="2:9" ht="30">
      <c r="B1309" s="395">
        <v>92549</v>
      </c>
      <c r="C1309" s="406" t="s">
        <v>3125</v>
      </c>
      <c r="D1309" s="395" t="s">
        <v>23</v>
      </c>
      <c r="E1309" s="407">
        <f t="shared" si="40"/>
        <v>1604.21</v>
      </c>
      <c r="F1309">
        <f t="shared" si="41"/>
        <v>92549</v>
      </c>
      <c r="H1309" s="680">
        <v>1604.21</v>
      </c>
      <c r="I1309" s="680">
        <v>1677.21</v>
      </c>
    </row>
    <row r="1310" spans="2:9" ht="30">
      <c r="B1310" s="396">
        <v>92550</v>
      </c>
      <c r="C1310" s="401" t="s">
        <v>3126</v>
      </c>
      <c r="D1310" s="396" t="s">
        <v>23</v>
      </c>
      <c r="E1310" s="405">
        <f t="shared" si="40"/>
        <v>1995.54</v>
      </c>
      <c r="F1310">
        <f t="shared" si="41"/>
        <v>92550</v>
      </c>
      <c r="H1310" s="679">
        <v>1995.54</v>
      </c>
      <c r="I1310" s="679">
        <v>2074.2399999999998</v>
      </c>
    </row>
    <row r="1311" spans="2:9" ht="30">
      <c r="B1311" s="395">
        <v>92551</v>
      </c>
      <c r="C1311" s="406" t="s">
        <v>3127</v>
      </c>
      <c r="D1311" s="395" t="s">
        <v>23</v>
      </c>
      <c r="E1311" s="407">
        <f t="shared" si="40"/>
        <v>2080.31</v>
      </c>
      <c r="F1311">
        <f t="shared" si="41"/>
        <v>92551</v>
      </c>
      <c r="H1311" s="680">
        <v>2080.31</v>
      </c>
      <c r="I1311" s="680">
        <v>2159.0100000000002</v>
      </c>
    </row>
    <row r="1312" spans="2:9" ht="30">
      <c r="B1312" s="396">
        <v>92552</v>
      </c>
      <c r="C1312" s="401" t="s">
        <v>3128</v>
      </c>
      <c r="D1312" s="396" t="s">
        <v>23</v>
      </c>
      <c r="E1312" s="405">
        <f t="shared" si="40"/>
        <v>2257.7600000000002</v>
      </c>
      <c r="F1312">
        <f t="shared" si="41"/>
        <v>92552</v>
      </c>
      <c r="H1312" s="679">
        <v>2257.7600000000002</v>
      </c>
      <c r="I1312" s="679">
        <v>2345.64</v>
      </c>
    </row>
    <row r="1313" spans="2:9" ht="30">
      <c r="B1313" s="395">
        <v>92553</v>
      </c>
      <c r="C1313" s="406" t="s">
        <v>3129</v>
      </c>
      <c r="D1313" s="395" t="s">
        <v>23</v>
      </c>
      <c r="E1313" s="407">
        <f t="shared" si="40"/>
        <v>2581</v>
      </c>
      <c r="F1313">
        <f t="shared" si="41"/>
        <v>92553</v>
      </c>
      <c r="H1313" s="680">
        <v>2581</v>
      </c>
      <c r="I1313" s="680">
        <v>2690.93</v>
      </c>
    </row>
    <row r="1314" spans="2:9" ht="30">
      <c r="B1314" s="396">
        <v>92554</v>
      </c>
      <c r="C1314" s="401" t="s">
        <v>3130</v>
      </c>
      <c r="D1314" s="396" t="s">
        <v>23</v>
      </c>
      <c r="E1314" s="405">
        <f t="shared" si="40"/>
        <v>2678.03</v>
      </c>
      <c r="F1314">
        <f t="shared" si="41"/>
        <v>92554</v>
      </c>
      <c r="H1314" s="679">
        <v>2678.03</v>
      </c>
      <c r="I1314" s="679">
        <v>2787.96</v>
      </c>
    </row>
    <row r="1315" spans="2:9" ht="30">
      <c r="B1315" s="395">
        <v>92555</v>
      </c>
      <c r="C1315" s="406" t="s">
        <v>3131</v>
      </c>
      <c r="D1315" s="395" t="s">
        <v>23</v>
      </c>
      <c r="E1315" s="407">
        <f t="shared" si="40"/>
        <v>883.02</v>
      </c>
      <c r="F1315">
        <f t="shared" si="41"/>
        <v>92555</v>
      </c>
      <c r="H1315" s="680">
        <v>883.02</v>
      </c>
      <c r="I1315" s="680">
        <v>917.04</v>
      </c>
    </row>
    <row r="1316" spans="2:9" ht="30">
      <c r="B1316" s="396">
        <v>92556</v>
      </c>
      <c r="C1316" s="401" t="s">
        <v>3132</v>
      </c>
      <c r="D1316" s="396" t="s">
        <v>23</v>
      </c>
      <c r="E1316" s="405">
        <f t="shared" si="40"/>
        <v>1073.8</v>
      </c>
      <c r="F1316">
        <f t="shared" si="41"/>
        <v>92556</v>
      </c>
      <c r="H1316" s="679">
        <v>1073.8</v>
      </c>
      <c r="I1316" s="679">
        <v>1118.8599999999999</v>
      </c>
    </row>
    <row r="1317" spans="2:9" ht="30">
      <c r="B1317" s="395">
        <v>92557</v>
      </c>
      <c r="C1317" s="406" t="s">
        <v>3133</v>
      </c>
      <c r="D1317" s="395" t="s">
        <v>23</v>
      </c>
      <c r="E1317" s="407">
        <f t="shared" si="40"/>
        <v>1140.0999999999999</v>
      </c>
      <c r="F1317">
        <f t="shared" si="41"/>
        <v>92557</v>
      </c>
      <c r="H1317" s="680">
        <v>1140.0999999999999</v>
      </c>
      <c r="I1317" s="680">
        <v>1185.1600000000001</v>
      </c>
    </row>
    <row r="1318" spans="2:9" ht="30">
      <c r="B1318" s="396">
        <v>92558</v>
      </c>
      <c r="C1318" s="401" t="s">
        <v>3134</v>
      </c>
      <c r="D1318" s="396" t="s">
        <v>23</v>
      </c>
      <c r="E1318" s="405">
        <f t="shared" si="40"/>
        <v>1279.6400000000001</v>
      </c>
      <c r="F1318">
        <f t="shared" si="41"/>
        <v>92558</v>
      </c>
      <c r="H1318" s="679">
        <v>1279.6400000000001</v>
      </c>
      <c r="I1318" s="679">
        <v>1330.58</v>
      </c>
    </row>
    <row r="1319" spans="2:9" ht="30">
      <c r="B1319" s="395">
        <v>92559</v>
      </c>
      <c r="C1319" s="406" t="s">
        <v>3135</v>
      </c>
      <c r="D1319" s="395" t="s">
        <v>23</v>
      </c>
      <c r="E1319" s="407">
        <f t="shared" si="40"/>
        <v>1580.97</v>
      </c>
      <c r="F1319">
        <f t="shared" si="41"/>
        <v>92559</v>
      </c>
      <c r="H1319" s="680">
        <v>1580.97</v>
      </c>
      <c r="I1319" s="680">
        <v>1653.97</v>
      </c>
    </row>
    <row r="1320" spans="2:9" ht="30">
      <c r="B1320" s="396">
        <v>92560</v>
      </c>
      <c r="C1320" s="401" t="s">
        <v>3136</v>
      </c>
      <c r="D1320" s="396" t="s">
        <v>23</v>
      </c>
      <c r="E1320" s="405">
        <f t="shared" si="40"/>
        <v>1963.89</v>
      </c>
      <c r="F1320">
        <f t="shared" si="41"/>
        <v>92560</v>
      </c>
      <c r="H1320" s="679">
        <v>1963.89</v>
      </c>
      <c r="I1320" s="679">
        <v>2042.59</v>
      </c>
    </row>
    <row r="1321" spans="2:9" ht="30">
      <c r="B1321" s="395">
        <v>92561</v>
      </c>
      <c r="C1321" s="406" t="s">
        <v>3137</v>
      </c>
      <c r="D1321" s="395" t="s">
        <v>23</v>
      </c>
      <c r="E1321" s="407">
        <f t="shared" si="40"/>
        <v>2049.52</v>
      </c>
      <c r="F1321">
        <f t="shared" si="41"/>
        <v>92561</v>
      </c>
      <c r="H1321" s="680">
        <v>2049.52</v>
      </c>
      <c r="I1321" s="680">
        <v>2128.2199999999998</v>
      </c>
    </row>
    <row r="1322" spans="2:9" ht="30">
      <c r="B1322" s="396">
        <v>92562</v>
      </c>
      <c r="C1322" s="401" t="s">
        <v>3138</v>
      </c>
      <c r="D1322" s="396" t="s">
        <v>23</v>
      </c>
      <c r="E1322" s="405">
        <f t="shared" si="40"/>
        <v>2205.1</v>
      </c>
      <c r="F1322">
        <f t="shared" si="41"/>
        <v>92562</v>
      </c>
      <c r="H1322" s="679">
        <v>2205.1</v>
      </c>
      <c r="I1322" s="679">
        <v>2292.98</v>
      </c>
    </row>
    <row r="1323" spans="2:9" ht="30">
      <c r="B1323" s="395">
        <v>92563</v>
      </c>
      <c r="C1323" s="406" t="s">
        <v>3139</v>
      </c>
      <c r="D1323" s="395" t="s">
        <v>23</v>
      </c>
      <c r="E1323" s="407">
        <f t="shared" si="40"/>
        <v>2519.42</v>
      </c>
      <c r="F1323">
        <f t="shared" si="41"/>
        <v>92563</v>
      </c>
      <c r="H1323" s="680">
        <v>2519.42</v>
      </c>
      <c r="I1323" s="680">
        <v>2629.35</v>
      </c>
    </row>
    <row r="1324" spans="2:9" ht="30">
      <c r="B1324" s="396">
        <v>92564</v>
      </c>
      <c r="C1324" s="401" t="s">
        <v>3140</v>
      </c>
      <c r="D1324" s="396" t="s">
        <v>23</v>
      </c>
      <c r="E1324" s="405">
        <f t="shared" si="40"/>
        <v>2602.6</v>
      </c>
      <c r="F1324">
        <f t="shared" si="41"/>
        <v>92564</v>
      </c>
      <c r="H1324" s="679">
        <v>2602.6</v>
      </c>
      <c r="I1324" s="679">
        <v>2712.53</v>
      </c>
    </row>
    <row r="1325" spans="2:9" ht="30">
      <c r="B1325" s="395">
        <v>92565</v>
      </c>
      <c r="C1325" s="406" t="s">
        <v>1319</v>
      </c>
      <c r="D1325" s="395" t="s">
        <v>0</v>
      </c>
      <c r="E1325" s="407">
        <f t="shared" si="40"/>
        <v>34.76</v>
      </c>
      <c r="F1325">
        <f t="shared" si="41"/>
        <v>92565</v>
      </c>
      <c r="H1325" s="680">
        <v>34.76</v>
      </c>
      <c r="I1325" s="680">
        <v>35.99</v>
      </c>
    </row>
    <row r="1326" spans="2:9" ht="45">
      <c r="B1326" s="396">
        <v>92566</v>
      </c>
      <c r="C1326" s="401" t="s">
        <v>1320</v>
      </c>
      <c r="D1326" s="396" t="s">
        <v>0</v>
      </c>
      <c r="E1326" s="405">
        <f t="shared" si="40"/>
        <v>21.5</v>
      </c>
      <c r="F1326">
        <f t="shared" si="41"/>
        <v>92566</v>
      </c>
      <c r="H1326" s="679">
        <v>21.5</v>
      </c>
      <c r="I1326" s="679">
        <v>21.96</v>
      </c>
    </row>
    <row r="1327" spans="2:9" ht="30">
      <c r="B1327" s="395">
        <v>92567</v>
      </c>
      <c r="C1327" s="406" t="s">
        <v>1321</v>
      </c>
      <c r="D1327" s="395" t="s">
        <v>0</v>
      </c>
      <c r="E1327" s="407">
        <f t="shared" si="40"/>
        <v>31.55</v>
      </c>
      <c r="F1327">
        <f t="shared" si="41"/>
        <v>92567</v>
      </c>
      <c r="H1327" s="680">
        <v>31.55</v>
      </c>
      <c r="I1327" s="680">
        <v>32.450000000000003</v>
      </c>
    </row>
    <row r="1328" spans="2:9" ht="30">
      <c r="B1328" s="396">
        <v>100379</v>
      </c>
      <c r="C1328" s="401" t="s">
        <v>3141</v>
      </c>
      <c r="D1328" s="396" t="s">
        <v>0</v>
      </c>
      <c r="E1328" s="405">
        <f t="shared" si="40"/>
        <v>34.76</v>
      </c>
      <c r="F1328">
        <f t="shared" si="41"/>
        <v>100379</v>
      </c>
      <c r="H1328" s="679">
        <v>34.76</v>
      </c>
      <c r="I1328" s="679">
        <v>35.99</v>
      </c>
    </row>
    <row r="1329" spans="2:9" ht="30">
      <c r="B1329" s="395">
        <v>100380</v>
      </c>
      <c r="C1329" s="406" t="s">
        <v>3142</v>
      </c>
      <c r="D1329" s="395" t="s">
        <v>0</v>
      </c>
      <c r="E1329" s="407">
        <f t="shared" si="40"/>
        <v>44.94</v>
      </c>
      <c r="F1329">
        <f t="shared" si="41"/>
        <v>100380</v>
      </c>
      <c r="H1329" s="680">
        <v>44.94</v>
      </c>
      <c r="I1329" s="680">
        <v>46.89</v>
      </c>
    </row>
    <row r="1330" spans="2:9" ht="30">
      <c r="B1330" s="396">
        <v>100381</v>
      </c>
      <c r="C1330" s="401" t="s">
        <v>3143</v>
      </c>
      <c r="D1330" s="396" t="s">
        <v>0</v>
      </c>
      <c r="E1330" s="405">
        <f t="shared" si="40"/>
        <v>49.98</v>
      </c>
      <c r="F1330">
        <f t="shared" si="41"/>
        <v>100381</v>
      </c>
      <c r="H1330" s="679">
        <v>49.98</v>
      </c>
      <c r="I1330" s="679">
        <v>52.44</v>
      </c>
    </row>
    <row r="1331" spans="2:9" ht="45">
      <c r="B1331" s="395">
        <v>100383</v>
      </c>
      <c r="C1331" s="406" t="s">
        <v>3144</v>
      </c>
      <c r="D1331" s="395" t="s">
        <v>0</v>
      </c>
      <c r="E1331" s="407">
        <f t="shared" si="40"/>
        <v>23.17</v>
      </c>
      <c r="F1331">
        <f t="shared" si="41"/>
        <v>100383</v>
      </c>
      <c r="H1331" s="680">
        <v>23.17</v>
      </c>
      <c r="I1331" s="680">
        <v>23.69</v>
      </c>
    </row>
    <row r="1332" spans="2:9" ht="45">
      <c r="B1332" s="396">
        <v>100384</v>
      </c>
      <c r="C1332" s="401" t="s">
        <v>3145</v>
      </c>
      <c r="D1332" s="396" t="s">
        <v>0</v>
      </c>
      <c r="E1332" s="405">
        <f t="shared" si="40"/>
        <v>24.23</v>
      </c>
      <c r="F1332">
        <f t="shared" si="41"/>
        <v>100384</v>
      </c>
      <c r="H1332" s="679">
        <v>24.23</v>
      </c>
      <c r="I1332" s="679">
        <v>24.91</v>
      </c>
    </row>
    <row r="1333" spans="2:9" ht="30">
      <c r="B1333" s="395">
        <v>100385</v>
      </c>
      <c r="C1333" s="406" t="s">
        <v>3146</v>
      </c>
      <c r="D1333" s="395" t="s">
        <v>0</v>
      </c>
      <c r="E1333" s="407">
        <f t="shared" si="40"/>
        <v>31.55</v>
      </c>
      <c r="F1333">
        <f t="shared" si="41"/>
        <v>100385</v>
      </c>
      <c r="H1333" s="680">
        <v>31.55</v>
      </c>
      <c r="I1333" s="680">
        <v>32.450000000000003</v>
      </c>
    </row>
    <row r="1334" spans="2:9" ht="30">
      <c r="B1334" s="396">
        <v>100386</v>
      </c>
      <c r="C1334" s="401" t="s">
        <v>3147</v>
      </c>
      <c r="D1334" s="396" t="s">
        <v>0</v>
      </c>
      <c r="E1334" s="405">
        <f t="shared" si="40"/>
        <v>39.659999999999997</v>
      </c>
      <c r="F1334">
        <f t="shared" si="41"/>
        <v>100386</v>
      </c>
      <c r="H1334" s="679">
        <v>39.659999999999997</v>
      </c>
      <c r="I1334" s="679">
        <v>41.05</v>
      </c>
    </row>
    <row r="1335" spans="2:9" ht="30">
      <c r="B1335" s="395">
        <v>100387</v>
      </c>
      <c r="C1335" s="406" t="s">
        <v>3148</v>
      </c>
      <c r="D1335" s="395" t="s">
        <v>0</v>
      </c>
      <c r="E1335" s="407">
        <f t="shared" si="40"/>
        <v>48.04</v>
      </c>
      <c r="F1335">
        <f t="shared" si="41"/>
        <v>100387</v>
      </c>
      <c r="H1335" s="680">
        <v>48.04</v>
      </c>
      <c r="I1335" s="680">
        <v>49.83</v>
      </c>
    </row>
    <row r="1336" spans="2:9" ht="30">
      <c r="B1336" s="396">
        <v>100388</v>
      </c>
      <c r="C1336" s="401" t="s">
        <v>3149</v>
      </c>
      <c r="D1336" s="396" t="s">
        <v>0</v>
      </c>
      <c r="E1336" s="405">
        <f t="shared" si="40"/>
        <v>16.54</v>
      </c>
      <c r="F1336">
        <f t="shared" si="41"/>
        <v>100388</v>
      </c>
      <c r="H1336" s="679">
        <v>16.54</v>
      </c>
      <c r="I1336" s="679">
        <v>17.47</v>
      </c>
    </row>
    <row r="1337" spans="2:9" ht="30">
      <c r="B1337" s="395">
        <v>100389</v>
      </c>
      <c r="C1337" s="406" t="s">
        <v>3150</v>
      </c>
      <c r="D1337" s="395" t="s">
        <v>0</v>
      </c>
      <c r="E1337" s="407">
        <f t="shared" si="40"/>
        <v>14.83</v>
      </c>
      <c r="F1337">
        <f t="shared" si="41"/>
        <v>100389</v>
      </c>
      <c r="H1337" s="680">
        <v>14.83</v>
      </c>
      <c r="I1337" s="680">
        <v>15.85</v>
      </c>
    </row>
    <row r="1338" spans="2:9" ht="30">
      <c r="B1338" s="396">
        <v>100390</v>
      </c>
      <c r="C1338" s="401" t="s">
        <v>3151</v>
      </c>
      <c r="D1338" s="396" t="s">
        <v>0</v>
      </c>
      <c r="E1338" s="405">
        <f t="shared" si="40"/>
        <v>19.579999999999998</v>
      </c>
      <c r="F1338">
        <f t="shared" si="41"/>
        <v>100390</v>
      </c>
      <c r="H1338" s="679">
        <v>19.579999999999998</v>
      </c>
      <c r="I1338" s="679">
        <v>20.85</v>
      </c>
    </row>
    <row r="1339" spans="2:9" ht="30">
      <c r="B1339" s="395">
        <v>100391</v>
      </c>
      <c r="C1339" s="406" t="s">
        <v>3152</v>
      </c>
      <c r="D1339" s="395" t="s">
        <v>0</v>
      </c>
      <c r="E1339" s="407">
        <f t="shared" si="40"/>
        <v>16.940000000000001</v>
      </c>
      <c r="F1339">
        <f t="shared" si="41"/>
        <v>100391</v>
      </c>
      <c r="H1339" s="680">
        <v>16.940000000000001</v>
      </c>
      <c r="I1339" s="680">
        <v>18.2</v>
      </c>
    </row>
    <row r="1340" spans="2:9" ht="30">
      <c r="B1340" s="396">
        <v>100392</v>
      </c>
      <c r="C1340" s="401" t="s">
        <v>3153</v>
      </c>
      <c r="D1340" s="396" t="s">
        <v>0</v>
      </c>
      <c r="E1340" s="405">
        <f t="shared" si="40"/>
        <v>13.1</v>
      </c>
      <c r="F1340">
        <f t="shared" si="41"/>
        <v>100392</v>
      </c>
      <c r="H1340" s="679">
        <v>13.1</v>
      </c>
      <c r="I1340" s="679">
        <v>13.83</v>
      </c>
    </row>
    <row r="1341" spans="2:9" ht="30">
      <c r="B1341" s="395">
        <v>100393</v>
      </c>
      <c r="C1341" s="406" t="s">
        <v>3154</v>
      </c>
      <c r="D1341" s="395" t="s">
        <v>0</v>
      </c>
      <c r="E1341" s="407">
        <f t="shared" si="40"/>
        <v>17.04</v>
      </c>
      <c r="F1341">
        <f t="shared" si="41"/>
        <v>100393</v>
      </c>
      <c r="H1341" s="680">
        <v>17.04</v>
      </c>
      <c r="I1341" s="680">
        <v>18.21</v>
      </c>
    </row>
    <row r="1342" spans="2:9" ht="30">
      <c r="B1342" s="396">
        <v>100394</v>
      </c>
      <c r="C1342" s="401" t="s">
        <v>3155</v>
      </c>
      <c r="D1342" s="396" t="s">
        <v>0</v>
      </c>
      <c r="E1342" s="405">
        <f t="shared" si="40"/>
        <v>15.47</v>
      </c>
      <c r="F1342">
        <f t="shared" si="41"/>
        <v>100394</v>
      </c>
      <c r="H1342" s="679">
        <v>15.47</v>
      </c>
      <c r="I1342" s="679">
        <v>16.48</v>
      </c>
    </row>
    <row r="1343" spans="2:9" ht="30">
      <c r="B1343" s="395">
        <v>100395</v>
      </c>
      <c r="C1343" s="406" t="s">
        <v>3156</v>
      </c>
      <c r="D1343" s="395" t="s">
        <v>0</v>
      </c>
      <c r="E1343" s="407">
        <f t="shared" si="40"/>
        <v>20.079999999999998</v>
      </c>
      <c r="F1343">
        <f t="shared" si="41"/>
        <v>100395</v>
      </c>
      <c r="H1343" s="680">
        <v>20.079999999999998</v>
      </c>
      <c r="I1343" s="680">
        <v>21.6</v>
      </c>
    </row>
    <row r="1344" spans="2:9">
      <c r="B1344" s="396">
        <v>94189</v>
      </c>
      <c r="C1344" s="401" t="s">
        <v>3157</v>
      </c>
      <c r="D1344" s="396" t="s">
        <v>0</v>
      </c>
      <c r="E1344" s="405">
        <f t="shared" si="40"/>
        <v>42.98</v>
      </c>
      <c r="F1344">
        <f t="shared" si="41"/>
        <v>94189</v>
      </c>
      <c r="H1344" s="679">
        <v>42.98</v>
      </c>
      <c r="I1344" s="679">
        <v>43.42</v>
      </c>
    </row>
    <row r="1345" spans="2:9">
      <c r="B1345" s="395">
        <v>94192</v>
      </c>
      <c r="C1345" s="406" t="s">
        <v>3158</v>
      </c>
      <c r="D1345" s="395" t="s">
        <v>0</v>
      </c>
      <c r="E1345" s="407">
        <f t="shared" si="40"/>
        <v>45.07</v>
      </c>
      <c r="F1345">
        <f t="shared" si="41"/>
        <v>94192</v>
      </c>
      <c r="H1345" s="680">
        <v>45.07</v>
      </c>
      <c r="I1345" s="680">
        <v>45.74</v>
      </c>
    </row>
    <row r="1346" spans="2:9" ht="30">
      <c r="B1346" s="396">
        <v>94195</v>
      </c>
      <c r="C1346" s="401" t="s">
        <v>3159</v>
      </c>
      <c r="D1346" s="396" t="s">
        <v>0</v>
      </c>
      <c r="E1346" s="405">
        <f t="shared" si="40"/>
        <v>49.15</v>
      </c>
      <c r="F1346">
        <f t="shared" si="41"/>
        <v>94195</v>
      </c>
      <c r="H1346" s="679">
        <v>49.15</v>
      </c>
      <c r="I1346" s="679">
        <v>49.94</v>
      </c>
    </row>
    <row r="1347" spans="2:9" ht="30">
      <c r="B1347" s="395">
        <v>94198</v>
      </c>
      <c r="C1347" s="406" t="s">
        <v>3160</v>
      </c>
      <c r="D1347" s="395" t="s">
        <v>0</v>
      </c>
      <c r="E1347" s="407">
        <f t="shared" ref="E1347:E1410" si="42">IF($K$2=$H$1,H1347,I1347)</f>
        <v>51.92</v>
      </c>
      <c r="F1347">
        <f t="shared" ref="F1347:F1410" si="43">IF(LEN($B1347)=7,CONCATENATE(MID($B1347,1,6),"00",RIGHT($B1347,1)),IF(LEN($B1347)=8,CONCATENATE(MID($B1347,1,6),"0",RIGHT($B1347,2)),$B1347))</f>
        <v>94198</v>
      </c>
      <c r="H1347" s="680">
        <v>51.92</v>
      </c>
      <c r="I1347" s="680">
        <v>53.01</v>
      </c>
    </row>
    <row r="1348" spans="2:9" ht="30">
      <c r="B1348" s="396">
        <v>94201</v>
      </c>
      <c r="C1348" s="401" t="s">
        <v>3161</v>
      </c>
      <c r="D1348" s="396" t="s">
        <v>0</v>
      </c>
      <c r="E1348" s="405">
        <f t="shared" si="42"/>
        <v>68.989999999999995</v>
      </c>
      <c r="F1348">
        <f t="shared" si="43"/>
        <v>94201</v>
      </c>
      <c r="H1348" s="679">
        <v>68.989999999999995</v>
      </c>
      <c r="I1348" s="679">
        <v>70.209999999999994</v>
      </c>
    </row>
    <row r="1349" spans="2:9" ht="30">
      <c r="B1349" s="395">
        <v>94204</v>
      </c>
      <c r="C1349" s="406" t="s">
        <v>3162</v>
      </c>
      <c r="D1349" s="395" t="s">
        <v>0</v>
      </c>
      <c r="E1349" s="407">
        <f t="shared" si="42"/>
        <v>73.680000000000007</v>
      </c>
      <c r="F1349">
        <f t="shared" si="43"/>
        <v>94204</v>
      </c>
      <c r="H1349" s="680">
        <v>73.680000000000007</v>
      </c>
      <c r="I1349" s="680">
        <v>75.44</v>
      </c>
    </row>
    <row r="1350" spans="2:9">
      <c r="B1350" s="396">
        <v>94224</v>
      </c>
      <c r="C1350" s="401" t="s">
        <v>3163</v>
      </c>
      <c r="D1350" s="396" t="s">
        <v>22</v>
      </c>
      <c r="E1350" s="405">
        <f t="shared" si="42"/>
        <v>21.86</v>
      </c>
      <c r="F1350">
        <f t="shared" si="43"/>
        <v>94224</v>
      </c>
      <c r="H1350" s="679">
        <v>21.86</v>
      </c>
      <c r="I1350" s="679">
        <v>23.82</v>
      </c>
    </row>
    <row r="1351" spans="2:9">
      <c r="B1351" s="395">
        <v>94226</v>
      </c>
      <c r="C1351" s="406" t="s">
        <v>3164</v>
      </c>
      <c r="D1351" s="395" t="s">
        <v>0</v>
      </c>
      <c r="E1351" s="407">
        <f t="shared" si="42"/>
        <v>22.36</v>
      </c>
      <c r="F1351">
        <f t="shared" si="43"/>
        <v>94226</v>
      </c>
      <c r="H1351" s="680">
        <v>22.36</v>
      </c>
      <c r="I1351" s="680">
        <v>23.15</v>
      </c>
    </row>
    <row r="1352" spans="2:9">
      <c r="B1352" s="396">
        <v>94232</v>
      </c>
      <c r="C1352" s="401" t="s">
        <v>3165</v>
      </c>
      <c r="D1352" s="396" t="s">
        <v>23</v>
      </c>
      <c r="E1352" s="405">
        <f t="shared" si="42"/>
        <v>2.33</v>
      </c>
      <c r="F1352">
        <f t="shared" si="43"/>
        <v>94232</v>
      </c>
      <c r="H1352" s="679">
        <v>2.33</v>
      </c>
      <c r="I1352" s="679">
        <v>2.58</v>
      </c>
    </row>
    <row r="1353" spans="2:9">
      <c r="B1353" s="395">
        <v>94440</v>
      </c>
      <c r="C1353" s="406" t="s">
        <v>3166</v>
      </c>
      <c r="D1353" s="395" t="s">
        <v>0</v>
      </c>
      <c r="E1353" s="407">
        <f t="shared" si="42"/>
        <v>49.15</v>
      </c>
      <c r="F1353">
        <f t="shared" si="43"/>
        <v>94440</v>
      </c>
      <c r="H1353" s="680">
        <v>49.15</v>
      </c>
      <c r="I1353" s="680">
        <v>49.94</v>
      </c>
    </row>
    <row r="1354" spans="2:9" ht="30">
      <c r="B1354" s="396">
        <v>94441</v>
      </c>
      <c r="C1354" s="401" t="s">
        <v>3167</v>
      </c>
      <c r="D1354" s="396" t="s">
        <v>0</v>
      </c>
      <c r="E1354" s="405">
        <f t="shared" si="42"/>
        <v>51.92</v>
      </c>
      <c r="F1354">
        <f t="shared" si="43"/>
        <v>94441</v>
      </c>
      <c r="H1354" s="679">
        <v>51.92</v>
      </c>
      <c r="I1354" s="679">
        <v>53.01</v>
      </c>
    </row>
    <row r="1355" spans="2:9">
      <c r="B1355" s="395">
        <v>94442</v>
      </c>
      <c r="C1355" s="406" t="s">
        <v>3168</v>
      </c>
      <c r="D1355" s="395" t="s">
        <v>0</v>
      </c>
      <c r="E1355" s="407">
        <f t="shared" si="42"/>
        <v>49.15</v>
      </c>
      <c r="F1355">
        <f t="shared" si="43"/>
        <v>94442</v>
      </c>
      <c r="H1355" s="680">
        <v>49.15</v>
      </c>
      <c r="I1355" s="680">
        <v>49.94</v>
      </c>
    </row>
    <row r="1356" spans="2:9" ht="30">
      <c r="B1356" s="396">
        <v>94443</v>
      </c>
      <c r="C1356" s="401" t="s">
        <v>3169</v>
      </c>
      <c r="D1356" s="396" t="s">
        <v>0</v>
      </c>
      <c r="E1356" s="405">
        <f t="shared" si="42"/>
        <v>51.92</v>
      </c>
      <c r="F1356">
        <f t="shared" si="43"/>
        <v>94443</v>
      </c>
      <c r="H1356" s="679">
        <v>51.92</v>
      </c>
      <c r="I1356" s="679">
        <v>53.01</v>
      </c>
    </row>
    <row r="1357" spans="2:9">
      <c r="B1357" s="395">
        <v>94445</v>
      </c>
      <c r="C1357" s="406" t="s">
        <v>3170</v>
      </c>
      <c r="D1357" s="395" t="s">
        <v>0</v>
      </c>
      <c r="E1357" s="407">
        <f t="shared" si="42"/>
        <v>68.989999999999995</v>
      </c>
      <c r="F1357">
        <f t="shared" si="43"/>
        <v>94445</v>
      </c>
      <c r="H1357" s="680">
        <v>68.989999999999995</v>
      </c>
      <c r="I1357" s="680">
        <v>70.209999999999994</v>
      </c>
    </row>
    <row r="1358" spans="2:9" ht="30">
      <c r="B1358" s="396">
        <v>94446</v>
      </c>
      <c r="C1358" s="401" t="s">
        <v>3171</v>
      </c>
      <c r="D1358" s="396" t="s">
        <v>0</v>
      </c>
      <c r="E1358" s="405">
        <f t="shared" si="42"/>
        <v>73.680000000000007</v>
      </c>
      <c r="F1358">
        <f t="shared" si="43"/>
        <v>94446</v>
      </c>
      <c r="H1358" s="679">
        <v>73.680000000000007</v>
      </c>
      <c r="I1358" s="679">
        <v>75.44</v>
      </c>
    </row>
    <row r="1359" spans="2:9">
      <c r="B1359" s="395">
        <v>94447</v>
      </c>
      <c r="C1359" s="406" t="s">
        <v>3172</v>
      </c>
      <c r="D1359" s="395" t="s">
        <v>0</v>
      </c>
      <c r="E1359" s="407">
        <f t="shared" si="42"/>
        <v>68.989999999999995</v>
      </c>
      <c r="F1359">
        <f t="shared" si="43"/>
        <v>94447</v>
      </c>
      <c r="H1359" s="680">
        <v>68.989999999999995</v>
      </c>
      <c r="I1359" s="680">
        <v>70.209999999999994</v>
      </c>
    </row>
    <row r="1360" spans="2:9" ht="30">
      <c r="B1360" s="396">
        <v>94448</v>
      </c>
      <c r="C1360" s="401" t="s">
        <v>3173</v>
      </c>
      <c r="D1360" s="396" t="s">
        <v>0</v>
      </c>
      <c r="E1360" s="405">
        <f t="shared" si="42"/>
        <v>73.680000000000007</v>
      </c>
      <c r="F1360">
        <f t="shared" si="43"/>
        <v>94448</v>
      </c>
      <c r="H1360" s="679">
        <v>73.680000000000007</v>
      </c>
      <c r="I1360" s="679">
        <v>75.44</v>
      </c>
    </row>
    <row r="1361" spans="2:9" ht="30">
      <c r="B1361" s="395">
        <v>94207</v>
      </c>
      <c r="C1361" s="406" t="s">
        <v>3174</v>
      </c>
      <c r="D1361" s="395" t="s">
        <v>0</v>
      </c>
      <c r="E1361" s="407">
        <f t="shared" si="42"/>
        <v>53.45</v>
      </c>
      <c r="F1361">
        <f t="shared" si="43"/>
        <v>94207</v>
      </c>
      <c r="H1361" s="680">
        <v>53.45</v>
      </c>
      <c r="I1361" s="680">
        <v>54.03</v>
      </c>
    </row>
    <row r="1362" spans="2:9" ht="30">
      <c r="B1362" s="396">
        <v>94210</v>
      </c>
      <c r="C1362" s="401" t="s">
        <v>3175</v>
      </c>
      <c r="D1362" s="396" t="s">
        <v>0</v>
      </c>
      <c r="E1362" s="405">
        <f t="shared" si="42"/>
        <v>56.76</v>
      </c>
      <c r="F1362">
        <f t="shared" si="43"/>
        <v>94210</v>
      </c>
      <c r="H1362" s="679">
        <v>56.76</v>
      </c>
      <c r="I1362" s="679">
        <v>57.41</v>
      </c>
    </row>
    <row r="1363" spans="2:9">
      <c r="B1363" s="395">
        <v>94218</v>
      </c>
      <c r="C1363" s="406" t="s">
        <v>7313</v>
      </c>
      <c r="D1363" s="395" t="s">
        <v>0</v>
      </c>
      <c r="E1363" s="407">
        <f t="shared" si="42"/>
        <v>145</v>
      </c>
      <c r="F1363">
        <f t="shared" si="43"/>
        <v>94218</v>
      </c>
      <c r="H1363" s="680">
        <v>145</v>
      </c>
      <c r="I1363" s="680">
        <v>145.63999999999999</v>
      </c>
    </row>
    <row r="1364" spans="2:9">
      <c r="B1364" s="396">
        <v>94213</v>
      </c>
      <c r="C1364" s="401" t="s">
        <v>3176</v>
      </c>
      <c r="D1364" s="396" t="s">
        <v>0</v>
      </c>
      <c r="E1364" s="405">
        <f t="shared" si="42"/>
        <v>67.150000000000006</v>
      </c>
      <c r="F1364">
        <f t="shared" si="43"/>
        <v>94213</v>
      </c>
      <c r="H1364" s="679">
        <v>67.150000000000006</v>
      </c>
      <c r="I1364" s="679">
        <v>67.56</v>
      </c>
    </row>
    <row r="1365" spans="2:9">
      <c r="B1365" s="395">
        <v>94216</v>
      </c>
      <c r="C1365" s="406" t="s">
        <v>3177</v>
      </c>
      <c r="D1365" s="395" t="s">
        <v>0</v>
      </c>
      <c r="E1365" s="407">
        <f t="shared" si="42"/>
        <v>193.7</v>
      </c>
      <c r="F1365">
        <f t="shared" si="43"/>
        <v>94216</v>
      </c>
      <c r="H1365" s="680">
        <v>193.7</v>
      </c>
      <c r="I1365" s="680">
        <v>193.95</v>
      </c>
    </row>
    <row r="1366" spans="2:9" ht="30">
      <c r="B1366" s="396">
        <v>94219</v>
      </c>
      <c r="C1366" s="401" t="s">
        <v>3178</v>
      </c>
      <c r="D1366" s="396" t="s">
        <v>22</v>
      </c>
      <c r="E1366" s="405">
        <f t="shared" si="42"/>
        <v>35.409999999999997</v>
      </c>
      <c r="F1366">
        <f t="shared" si="43"/>
        <v>94219</v>
      </c>
      <c r="H1366" s="679">
        <v>35.409999999999997</v>
      </c>
      <c r="I1366" s="679">
        <v>36.94</v>
      </c>
    </row>
    <row r="1367" spans="2:9" ht="30">
      <c r="B1367" s="395">
        <v>94220</v>
      </c>
      <c r="C1367" s="406" t="s">
        <v>3179</v>
      </c>
      <c r="D1367" s="395" t="s">
        <v>22</v>
      </c>
      <c r="E1367" s="407">
        <f t="shared" si="42"/>
        <v>55.69</v>
      </c>
      <c r="F1367">
        <f t="shared" si="43"/>
        <v>94220</v>
      </c>
      <c r="H1367" s="680">
        <v>55.69</v>
      </c>
      <c r="I1367" s="680">
        <v>57.22</v>
      </c>
    </row>
    <row r="1368" spans="2:9" ht="30">
      <c r="B1368" s="396">
        <v>94221</v>
      </c>
      <c r="C1368" s="401" t="s">
        <v>3180</v>
      </c>
      <c r="D1368" s="396" t="s">
        <v>22</v>
      </c>
      <c r="E1368" s="405">
        <f t="shared" si="42"/>
        <v>29.95</v>
      </c>
      <c r="F1368">
        <f t="shared" si="43"/>
        <v>94221</v>
      </c>
      <c r="H1368" s="679">
        <v>29.95</v>
      </c>
      <c r="I1368" s="679">
        <v>30.88</v>
      </c>
    </row>
    <row r="1369" spans="2:9" ht="30">
      <c r="B1369" s="395">
        <v>94222</v>
      </c>
      <c r="C1369" s="406" t="s">
        <v>3181</v>
      </c>
      <c r="D1369" s="395" t="s">
        <v>22</v>
      </c>
      <c r="E1369" s="407">
        <f t="shared" si="42"/>
        <v>50.23</v>
      </c>
      <c r="F1369">
        <f t="shared" si="43"/>
        <v>94222</v>
      </c>
      <c r="H1369" s="680">
        <v>50.23</v>
      </c>
      <c r="I1369" s="680">
        <v>51.16</v>
      </c>
    </row>
    <row r="1370" spans="2:9">
      <c r="B1370" s="396">
        <v>94223</v>
      </c>
      <c r="C1370" s="401" t="s">
        <v>3182</v>
      </c>
      <c r="D1370" s="396" t="s">
        <v>22</v>
      </c>
      <c r="E1370" s="405">
        <f t="shared" si="42"/>
        <v>92.94</v>
      </c>
      <c r="F1370">
        <f t="shared" si="43"/>
        <v>94223</v>
      </c>
      <c r="H1370" s="679">
        <v>92.94</v>
      </c>
      <c r="I1370" s="679">
        <v>93.22</v>
      </c>
    </row>
    <row r="1371" spans="2:9">
      <c r="B1371" s="395">
        <v>94451</v>
      </c>
      <c r="C1371" s="406" t="s">
        <v>3183</v>
      </c>
      <c r="D1371" s="395" t="s">
        <v>22</v>
      </c>
      <c r="E1371" s="407">
        <f t="shared" si="42"/>
        <v>104.38</v>
      </c>
      <c r="F1371">
        <f t="shared" si="43"/>
        <v>94451</v>
      </c>
      <c r="H1371" s="680">
        <v>104.38</v>
      </c>
      <c r="I1371" s="680">
        <v>104.67</v>
      </c>
    </row>
    <row r="1372" spans="2:9">
      <c r="B1372" s="396">
        <v>100325</v>
      </c>
      <c r="C1372" s="401" t="s">
        <v>3184</v>
      </c>
      <c r="D1372" s="396" t="s">
        <v>22</v>
      </c>
      <c r="E1372" s="405">
        <f t="shared" si="42"/>
        <v>101.62</v>
      </c>
      <c r="F1372">
        <f t="shared" si="43"/>
        <v>100325</v>
      </c>
      <c r="H1372" s="679">
        <v>101.62</v>
      </c>
      <c r="I1372" s="679">
        <v>101.83</v>
      </c>
    </row>
    <row r="1373" spans="2:9">
      <c r="B1373" s="395">
        <v>100327</v>
      </c>
      <c r="C1373" s="406" t="s">
        <v>3185</v>
      </c>
      <c r="D1373" s="395" t="s">
        <v>22</v>
      </c>
      <c r="E1373" s="407">
        <f t="shared" si="42"/>
        <v>56.39</v>
      </c>
      <c r="F1373">
        <f t="shared" si="43"/>
        <v>100327</v>
      </c>
      <c r="H1373" s="680">
        <v>56.39</v>
      </c>
      <c r="I1373" s="680">
        <v>57.27</v>
      </c>
    </row>
    <row r="1374" spans="2:9">
      <c r="B1374" s="396">
        <v>100328</v>
      </c>
      <c r="C1374" s="401" t="s">
        <v>3186</v>
      </c>
      <c r="D1374" s="396" t="s">
        <v>0</v>
      </c>
      <c r="E1374" s="405">
        <f t="shared" si="42"/>
        <v>15.21</v>
      </c>
      <c r="F1374">
        <f t="shared" si="43"/>
        <v>100328</v>
      </c>
      <c r="H1374" s="679">
        <v>15.21</v>
      </c>
      <c r="I1374" s="679">
        <v>15.97</v>
      </c>
    </row>
    <row r="1375" spans="2:9">
      <c r="B1375" s="395">
        <v>100329</v>
      </c>
      <c r="C1375" s="406" t="s">
        <v>3187</v>
      </c>
      <c r="D1375" s="395" t="s">
        <v>0</v>
      </c>
      <c r="E1375" s="407">
        <f t="shared" si="42"/>
        <v>17.98</v>
      </c>
      <c r="F1375">
        <f t="shared" si="43"/>
        <v>100329</v>
      </c>
      <c r="H1375" s="680">
        <v>17.98</v>
      </c>
      <c r="I1375" s="680">
        <v>19.05</v>
      </c>
    </row>
    <row r="1376" spans="2:9">
      <c r="B1376" s="396">
        <v>100330</v>
      </c>
      <c r="C1376" s="401" t="s">
        <v>3188</v>
      </c>
      <c r="D1376" s="396" t="s">
        <v>0</v>
      </c>
      <c r="E1376" s="405">
        <f t="shared" si="42"/>
        <v>20.67</v>
      </c>
      <c r="F1376">
        <f t="shared" si="43"/>
        <v>100330</v>
      </c>
      <c r="H1376" s="679">
        <v>20.67</v>
      </c>
      <c r="I1376" s="679">
        <v>21.69</v>
      </c>
    </row>
    <row r="1377" spans="2:9">
      <c r="B1377" s="395">
        <v>100331</v>
      </c>
      <c r="C1377" s="406" t="s">
        <v>3189</v>
      </c>
      <c r="D1377" s="395" t="s">
        <v>0</v>
      </c>
      <c r="E1377" s="407">
        <f t="shared" si="42"/>
        <v>25.39</v>
      </c>
      <c r="F1377">
        <f t="shared" si="43"/>
        <v>100331</v>
      </c>
      <c r="H1377" s="680">
        <v>25.39</v>
      </c>
      <c r="I1377" s="680">
        <v>26.94</v>
      </c>
    </row>
    <row r="1378" spans="2:9" ht="30">
      <c r="B1378" s="396">
        <v>100434</v>
      </c>
      <c r="C1378" s="401" t="s">
        <v>3380</v>
      </c>
      <c r="D1378" s="396" t="s">
        <v>22</v>
      </c>
      <c r="E1378" s="405">
        <f t="shared" si="42"/>
        <v>193.59</v>
      </c>
      <c r="F1378">
        <f t="shared" si="43"/>
        <v>100434</v>
      </c>
      <c r="H1378" s="679">
        <v>193.59</v>
      </c>
      <c r="I1378" s="679">
        <v>194.52</v>
      </c>
    </row>
    <row r="1379" spans="2:9" ht="30">
      <c r="B1379" s="395">
        <v>100435</v>
      </c>
      <c r="C1379" s="406" t="s">
        <v>3381</v>
      </c>
      <c r="D1379" s="395" t="s">
        <v>22</v>
      </c>
      <c r="E1379" s="407">
        <f t="shared" si="42"/>
        <v>72.930000000000007</v>
      </c>
      <c r="F1379">
        <f t="shared" si="43"/>
        <v>100435</v>
      </c>
      <c r="H1379" s="680">
        <v>72.930000000000007</v>
      </c>
      <c r="I1379" s="680">
        <v>73.55</v>
      </c>
    </row>
    <row r="1380" spans="2:9">
      <c r="B1380" s="396">
        <v>94227</v>
      </c>
      <c r="C1380" s="401" t="s">
        <v>3190</v>
      </c>
      <c r="D1380" s="396" t="s">
        <v>22</v>
      </c>
      <c r="E1380" s="405">
        <f t="shared" si="42"/>
        <v>60.85</v>
      </c>
      <c r="F1380">
        <f t="shared" si="43"/>
        <v>94227</v>
      </c>
      <c r="H1380" s="679">
        <v>60.85</v>
      </c>
      <c r="I1380" s="679">
        <v>61.9</v>
      </c>
    </row>
    <row r="1381" spans="2:9">
      <c r="B1381" s="395">
        <v>94228</v>
      </c>
      <c r="C1381" s="406" t="s">
        <v>3191</v>
      </c>
      <c r="D1381" s="395" t="s">
        <v>22</v>
      </c>
      <c r="E1381" s="407">
        <f t="shared" si="42"/>
        <v>82.26</v>
      </c>
      <c r="F1381">
        <f t="shared" si="43"/>
        <v>94228</v>
      </c>
      <c r="H1381" s="680">
        <v>82.26</v>
      </c>
      <c r="I1381" s="680">
        <v>83.7</v>
      </c>
    </row>
    <row r="1382" spans="2:9">
      <c r="B1382" s="396">
        <v>94229</v>
      </c>
      <c r="C1382" s="401" t="s">
        <v>3192</v>
      </c>
      <c r="D1382" s="396" t="s">
        <v>22</v>
      </c>
      <c r="E1382" s="405">
        <f t="shared" si="42"/>
        <v>159.44</v>
      </c>
      <c r="F1382">
        <f t="shared" si="43"/>
        <v>94229</v>
      </c>
      <c r="H1382" s="679">
        <v>159.44</v>
      </c>
      <c r="I1382" s="679">
        <v>162.03</v>
      </c>
    </row>
    <row r="1383" spans="2:9">
      <c r="B1383" s="395">
        <v>94231</v>
      </c>
      <c r="C1383" s="406" t="s">
        <v>3193</v>
      </c>
      <c r="D1383" s="395" t="s">
        <v>22</v>
      </c>
      <c r="E1383" s="407">
        <f t="shared" si="42"/>
        <v>50.42</v>
      </c>
      <c r="F1383">
        <f t="shared" si="43"/>
        <v>94231</v>
      </c>
      <c r="H1383" s="680">
        <v>50.42</v>
      </c>
      <c r="I1383" s="680">
        <v>51.15</v>
      </c>
    </row>
    <row r="1384" spans="2:9" ht="30">
      <c r="B1384" s="396">
        <v>94449</v>
      </c>
      <c r="C1384" s="401" t="s">
        <v>3194</v>
      </c>
      <c r="D1384" s="396" t="s">
        <v>0</v>
      </c>
      <c r="E1384" s="405">
        <f t="shared" si="42"/>
        <v>83.71</v>
      </c>
      <c r="F1384">
        <f t="shared" si="43"/>
        <v>94449</v>
      </c>
      <c r="H1384" s="679">
        <v>83.71</v>
      </c>
      <c r="I1384" s="679">
        <v>84.29</v>
      </c>
    </row>
    <row r="1385" spans="2:9" ht="30">
      <c r="B1385" s="395">
        <v>92255</v>
      </c>
      <c r="C1385" s="406" t="s">
        <v>3195</v>
      </c>
      <c r="D1385" s="395" t="s">
        <v>23</v>
      </c>
      <c r="E1385" s="407">
        <f t="shared" si="42"/>
        <v>153.47</v>
      </c>
      <c r="F1385">
        <f t="shared" si="43"/>
        <v>92255</v>
      </c>
      <c r="H1385" s="680">
        <v>153.47</v>
      </c>
      <c r="I1385" s="680">
        <v>161.16</v>
      </c>
    </row>
    <row r="1386" spans="2:9" ht="30">
      <c r="B1386" s="396">
        <v>92256</v>
      </c>
      <c r="C1386" s="401" t="s">
        <v>3196</v>
      </c>
      <c r="D1386" s="396" t="s">
        <v>23</v>
      </c>
      <c r="E1386" s="405">
        <f t="shared" si="42"/>
        <v>182.78</v>
      </c>
      <c r="F1386">
        <f t="shared" si="43"/>
        <v>92256</v>
      </c>
      <c r="H1386" s="679">
        <v>182.78</v>
      </c>
      <c r="I1386" s="679">
        <v>193.76</v>
      </c>
    </row>
    <row r="1387" spans="2:9" ht="30">
      <c r="B1387" s="395">
        <v>92257</v>
      </c>
      <c r="C1387" s="406" t="s">
        <v>3197</v>
      </c>
      <c r="D1387" s="395" t="s">
        <v>23</v>
      </c>
      <c r="E1387" s="407">
        <f t="shared" si="42"/>
        <v>211.9</v>
      </c>
      <c r="F1387">
        <f t="shared" si="43"/>
        <v>92257</v>
      </c>
      <c r="H1387" s="680">
        <v>211.9</v>
      </c>
      <c r="I1387" s="680">
        <v>226.14</v>
      </c>
    </row>
    <row r="1388" spans="2:9" ht="30">
      <c r="B1388" s="396">
        <v>92258</v>
      </c>
      <c r="C1388" s="401" t="s">
        <v>3198</v>
      </c>
      <c r="D1388" s="396" t="s">
        <v>23</v>
      </c>
      <c r="E1388" s="405">
        <f t="shared" si="42"/>
        <v>258.74</v>
      </c>
      <c r="F1388">
        <f t="shared" si="43"/>
        <v>92258</v>
      </c>
      <c r="H1388" s="679">
        <v>258.74</v>
      </c>
      <c r="I1388" s="679">
        <v>278.20999999999998</v>
      </c>
    </row>
    <row r="1389" spans="2:9" ht="30">
      <c r="B1389" s="395">
        <v>92568</v>
      </c>
      <c r="C1389" s="406" t="s">
        <v>3199</v>
      </c>
      <c r="D1389" s="395" t="s">
        <v>0</v>
      </c>
      <c r="E1389" s="407">
        <f t="shared" si="42"/>
        <v>153.51</v>
      </c>
      <c r="F1389">
        <f t="shared" si="43"/>
        <v>92568</v>
      </c>
      <c r="H1389" s="680">
        <v>153.51</v>
      </c>
      <c r="I1389" s="680">
        <v>154.54</v>
      </c>
    </row>
    <row r="1390" spans="2:9" ht="30">
      <c r="B1390" s="396">
        <v>92569</v>
      </c>
      <c r="C1390" s="401" t="s">
        <v>3200</v>
      </c>
      <c r="D1390" s="396" t="s">
        <v>0</v>
      </c>
      <c r="E1390" s="405">
        <f t="shared" si="42"/>
        <v>86.77</v>
      </c>
      <c r="F1390">
        <f t="shared" si="43"/>
        <v>92569</v>
      </c>
      <c r="H1390" s="679">
        <v>86.77</v>
      </c>
      <c r="I1390" s="679">
        <v>87.22</v>
      </c>
    </row>
    <row r="1391" spans="2:9" ht="30">
      <c r="B1391" s="395">
        <v>92570</v>
      </c>
      <c r="C1391" s="406" t="s">
        <v>3201</v>
      </c>
      <c r="D1391" s="395" t="s">
        <v>0</v>
      </c>
      <c r="E1391" s="407">
        <f t="shared" si="42"/>
        <v>55.76</v>
      </c>
      <c r="F1391">
        <f t="shared" si="43"/>
        <v>92570</v>
      </c>
      <c r="H1391" s="680">
        <v>55.76</v>
      </c>
      <c r="I1391" s="680">
        <v>55.98</v>
      </c>
    </row>
    <row r="1392" spans="2:9" ht="30">
      <c r="B1392" s="396">
        <v>92571</v>
      </c>
      <c r="C1392" s="401" t="s">
        <v>3202</v>
      </c>
      <c r="D1392" s="396" t="s">
        <v>0</v>
      </c>
      <c r="E1392" s="405">
        <f t="shared" si="42"/>
        <v>159.84</v>
      </c>
      <c r="F1392">
        <f t="shared" si="43"/>
        <v>92571</v>
      </c>
      <c r="H1392" s="679">
        <v>159.84</v>
      </c>
      <c r="I1392" s="679">
        <v>161.43</v>
      </c>
    </row>
    <row r="1393" spans="1:9" ht="30">
      <c r="B1393" s="395">
        <v>92572</v>
      </c>
      <c r="C1393" s="406" t="s">
        <v>3203</v>
      </c>
      <c r="D1393" s="395" t="s">
        <v>0</v>
      </c>
      <c r="E1393" s="407">
        <f t="shared" si="42"/>
        <v>97.37</v>
      </c>
      <c r="F1393">
        <f t="shared" si="43"/>
        <v>92572</v>
      </c>
      <c r="H1393" s="680">
        <v>97.37</v>
      </c>
      <c r="I1393" s="680">
        <v>98.19</v>
      </c>
    </row>
    <row r="1394" spans="1:9" ht="30">
      <c r="B1394" s="396">
        <v>92573</v>
      </c>
      <c r="C1394" s="401" t="s">
        <v>3204</v>
      </c>
      <c r="D1394" s="396" t="s">
        <v>0</v>
      </c>
      <c r="E1394" s="405">
        <f t="shared" si="42"/>
        <v>58.36</v>
      </c>
      <c r="F1394">
        <f t="shared" si="43"/>
        <v>92573</v>
      </c>
      <c r="H1394" s="679">
        <v>58.36</v>
      </c>
      <c r="I1394" s="679">
        <v>58.81</v>
      </c>
    </row>
    <row r="1395" spans="1:9" ht="30">
      <c r="B1395" s="395">
        <v>92574</v>
      </c>
      <c r="C1395" s="406" t="s">
        <v>3205</v>
      </c>
      <c r="D1395" s="395" t="s">
        <v>0</v>
      </c>
      <c r="E1395" s="407">
        <f t="shared" si="42"/>
        <v>155.61000000000001</v>
      </c>
      <c r="F1395">
        <f t="shared" si="43"/>
        <v>92574</v>
      </c>
      <c r="H1395" s="680">
        <v>155.61000000000001</v>
      </c>
      <c r="I1395" s="680">
        <v>156.71</v>
      </c>
    </row>
    <row r="1396" spans="1:9" ht="30">
      <c r="A1396" t="s">
        <v>194</v>
      </c>
      <c r="B1396" s="396">
        <v>92575</v>
      </c>
      <c r="C1396" s="401" t="s">
        <v>3206</v>
      </c>
      <c r="D1396" s="396" t="s">
        <v>0</v>
      </c>
      <c r="E1396" s="405">
        <f t="shared" si="42"/>
        <v>79.11</v>
      </c>
      <c r="F1396">
        <f t="shared" si="43"/>
        <v>92575</v>
      </c>
      <c r="H1396" s="679">
        <v>79.11</v>
      </c>
      <c r="I1396" s="679">
        <v>79.55</v>
      </c>
    </row>
    <row r="1397" spans="1:9" ht="30">
      <c r="B1397" s="395">
        <v>92576</v>
      </c>
      <c r="C1397" s="406" t="s">
        <v>3207</v>
      </c>
      <c r="D1397" s="395" t="s">
        <v>0</v>
      </c>
      <c r="E1397" s="407">
        <f t="shared" si="42"/>
        <v>43.98</v>
      </c>
      <c r="F1397">
        <f t="shared" si="43"/>
        <v>92576</v>
      </c>
      <c r="H1397" s="680">
        <v>43.98</v>
      </c>
      <c r="I1397" s="680">
        <v>44.15</v>
      </c>
    </row>
    <row r="1398" spans="1:9" ht="30">
      <c r="B1398" s="396">
        <v>92577</v>
      </c>
      <c r="C1398" s="401" t="s">
        <v>3208</v>
      </c>
      <c r="D1398" s="396" t="s">
        <v>0</v>
      </c>
      <c r="E1398" s="405">
        <f t="shared" si="42"/>
        <v>162.54</v>
      </c>
      <c r="F1398">
        <f t="shared" si="43"/>
        <v>92577</v>
      </c>
      <c r="H1398" s="679">
        <v>162.54</v>
      </c>
      <c r="I1398" s="679">
        <v>164.22</v>
      </c>
    </row>
    <row r="1399" spans="1:9" ht="30">
      <c r="B1399" s="395">
        <v>92578</v>
      </c>
      <c r="C1399" s="406" t="s">
        <v>3209</v>
      </c>
      <c r="D1399" s="395" t="s">
        <v>0</v>
      </c>
      <c r="E1399" s="407">
        <f t="shared" si="42"/>
        <v>82.91</v>
      </c>
      <c r="F1399">
        <f t="shared" si="43"/>
        <v>92578</v>
      </c>
      <c r="H1399" s="680">
        <v>82.91</v>
      </c>
      <c r="I1399" s="680">
        <v>83.68</v>
      </c>
    </row>
    <row r="1400" spans="1:9" ht="30">
      <c r="B1400" s="396">
        <v>92579</v>
      </c>
      <c r="C1400" s="401" t="s">
        <v>3210</v>
      </c>
      <c r="D1400" s="396" t="s">
        <v>0</v>
      </c>
      <c r="E1400" s="405">
        <f t="shared" si="42"/>
        <v>46.05</v>
      </c>
      <c r="F1400">
        <f t="shared" si="43"/>
        <v>92579</v>
      </c>
      <c r="H1400" s="679">
        <v>46.05</v>
      </c>
      <c r="I1400" s="679">
        <v>46.42</v>
      </c>
    </row>
    <row r="1401" spans="1:9" ht="30">
      <c r="B1401" s="395">
        <v>92580</v>
      </c>
      <c r="C1401" s="406" t="s">
        <v>3211</v>
      </c>
      <c r="D1401" s="395" t="s">
        <v>0</v>
      </c>
      <c r="E1401" s="407">
        <f t="shared" si="42"/>
        <v>56.8</v>
      </c>
      <c r="F1401">
        <f t="shared" si="43"/>
        <v>92580</v>
      </c>
      <c r="H1401" s="680">
        <v>56.8</v>
      </c>
      <c r="I1401" s="680">
        <v>57.42</v>
      </c>
    </row>
    <row r="1402" spans="1:9" ht="30">
      <c r="B1402" s="396">
        <v>92581</v>
      </c>
      <c r="C1402" s="401" t="s">
        <v>3212</v>
      </c>
      <c r="D1402" s="396" t="s">
        <v>0</v>
      </c>
      <c r="E1402" s="405">
        <f t="shared" si="42"/>
        <v>59.78</v>
      </c>
      <c r="F1402">
        <f t="shared" si="43"/>
        <v>92581</v>
      </c>
      <c r="H1402" s="679">
        <v>59.78</v>
      </c>
      <c r="I1402" s="679">
        <v>60.34</v>
      </c>
    </row>
    <row r="1403" spans="1:9" ht="30">
      <c r="B1403" s="395">
        <v>92582</v>
      </c>
      <c r="C1403" s="406" t="s">
        <v>1322</v>
      </c>
      <c r="D1403" s="395" t="s">
        <v>23</v>
      </c>
      <c r="E1403" s="407">
        <f t="shared" si="42"/>
        <v>788.61</v>
      </c>
      <c r="F1403">
        <f t="shared" si="43"/>
        <v>92582</v>
      </c>
      <c r="H1403" s="680">
        <v>788.61</v>
      </c>
      <c r="I1403" s="680">
        <v>799.43</v>
      </c>
    </row>
    <row r="1404" spans="1:9" ht="30">
      <c r="B1404" s="396">
        <v>92584</v>
      </c>
      <c r="C1404" s="401" t="s">
        <v>1323</v>
      </c>
      <c r="D1404" s="396" t="s">
        <v>23</v>
      </c>
      <c r="E1404" s="405">
        <f t="shared" si="42"/>
        <v>943.16</v>
      </c>
      <c r="F1404">
        <f t="shared" si="43"/>
        <v>92584</v>
      </c>
      <c r="H1404" s="679">
        <v>943.16</v>
      </c>
      <c r="I1404" s="679">
        <v>953.98</v>
      </c>
    </row>
    <row r="1405" spans="1:9" ht="30">
      <c r="B1405" s="395">
        <v>92586</v>
      </c>
      <c r="C1405" s="406" t="s">
        <v>1324</v>
      </c>
      <c r="D1405" s="395" t="s">
        <v>23</v>
      </c>
      <c r="E1405" s="407">
        <f t="shared" si="42"/>
        <v>1097.71</v>
      </c>
      <c r="F1405">
        <f t="shared" si="43"/>
        <v>92586</v>
      </c>
      <c r="H1405" s="680">
        <v>1097.71</v>
      </c>
      <c r="I1405" s="680">
        <v>1108.53</v>
      </c>
    </row>
    <row r="1406" spans="1:9" ht="30">
      <c r="B1406" s="396">
        <v>92588</v>
      </c>
      <c r="C1406" s="401" t="s">
        <v>1325</v>
      </c>
      <c r="D1406" s="396" t="s">
        <v>23</v>
      </c>
      <c r="E1406" s="405">
        <f t="shared" si="42"/>
        <v>1377.96</v>
      </c>
      <c r="F1406">
        <f t="shared" si="43"/>
        <v>92588</v>
      </c>
      <c r="H1406" s="679">
        <v>1377.96</v>
      </c>
      <c r="I1406" s="679">
        <v>1393.63</v>
      </c>
    </row>
    <row r="1407" spans="1:9" ht="30">
      <c r="B1407" s="395">
        <v>92590</v>
      </c>
      <c r="C1407" s="406" t="s">
        <v>1326</v>
      </c>
      <c r="D1407" s="395" t="s">
        <v>23</v>
      </c>
      <c r="E1407" s="407">
        <f t="shared" si="42"/>
        <v>1532.51</v>
      </c>
      <c r="F1407">
        <f t="shared" si="43"/>
        <v>92590</v>
      </c>
      <c r="H1407" s="680">
        <v>1532.51</v>
      </c>
      <c r="I1407" s="680">
        <v>1548.18</v>
      </c>
    </row>
    <row r="1408" spans="1:9" ht="30">
      <c r="B1408" s="396">
        <v>92592</v>
      </c>
      <c r="C1408" s="401" t="s">
        <v>1327</v>
      </c>
      <c r="D1408" s="396" t="s">
        <v>23</v>
      </c>
      <c r="E1408" s="405">
        <f t="shared" si="42"/>
        <v>1716.18</v>
      </c>
      <c r="F1408">
        <f t="shared" si="43"/>
        <v>92592</v>
      </c>
      <c r="H1408" s="679">
        <v>1716.18</v>
      </c>
      <c r="I1408" s="679">
        <v>1735.11</v>
      </c>
    </row>
    <row r="1409" spans="2:9" ht="30">
      <c r="B1409" s="395">
        <v>92593</v>
      </c>
      <c r="C1409" s="406" t="s">
        <v>437</v>
      </c>
      <c r="D1409" s="395" t="s">
        <v>21</v>
      </c>
      <c r="E1409" s="407">
        <f t="shared" si="42"/>
        <v>13.04</v>
      </c>
      <c r="F1409">
        <f t="shared" si="43"/>
        <v>92593</v>
      </c>
      <c r="H1409" s="680">
        <v>13.04</v>
      </c>
      <c r="I1409" s="680">
        <v>13.2</v>
      </c>
    </row>
    <row r="1410" spans="2:9" ht="30">
      <c r="B1410" s="396">
        <v>92594</v>
      </c>
      <c r="C1410" s="401" t="s">
        <v>1328</v>
      </c>
      <c r="D1410" s="396" t="s">
        <v>23</v>
      </c>
      <c r="E1410" s="405">
        <f t="shared" si="42"/>
        <v>2006.22</v>
      </c>
      <c r="F1410">
        <f t="shared" si="43"/>
        <v>92594</v>
      </c>
      <c r="H1410" s="679">
        <v>2006.22</v>
      </c>
      <c r="I1410" s="679">
        <v>2026.73</v>
      </c>
    </row>
    <row r="1411" spans="2:9" ht="30">
      <c r="B1411" s="395">
        <v>92596</v>
      </c>
      <c r="C1411" s="406" t="s">
        <v>1329</v>
      </c>
      <c r="D1411" s="395" t="s">
        <v>23</v>
      </c>
      <c r="E1411" s="407">
        <f t="shared" ref="E1411:E1474" si="44">IF($K$2=$H$1,H1411,I1411)</f>
        <v>2214.23</v>
      </c>
      <c r="F1411">
        <f t="shared" ref="F1411:F1474" si="45">IF(LEN($B1411)=7,CONCATENATE(MID($B1411,1,6),"00",RIGHT($B1411,1)),IF(LEN($B1411)=8,CONCATENATE(MID($B1411,1,6),"0",RIGHT($B1411,2)),$B1411))</f>
        <v>92596</v>
      </c>
      <c r="H1411" s="680">
        <v>2214.23</v>
      </c>
      <c r="I1411" s="680">
        <v>2239.9699999999998</v>
      </c>
    </row>
    <row r="1412" spans="2:9" ht="30">
      <c r="B1412" s="396">
        <v>92598</v>
      </c>
      <c r="C1412" s="401" t="s">
        <v>1330</v>
      </c>
      <c r="D1412" s="396" t="s">
        <v>23</v>
      </c>
      <c r="E1412" s="405">
        <f t="shared" si="44"/>
        <v>2368.79</v>
      </c>
      <c r="F1412">
        <f t="shared" si="45"/>
        <v>92598</v>
      </c>
      <c r="H1412" s="679">
        <v>2368.79</v>
      </c>
      <c r="I1412" s="679">
        <v>2394.5300000000002</v>
      </c>
    </row>
    <row r="1413" spans="2:9" ht="30">
      <c r="B1413" s="395">
        <v>92600</v>
      </c>
      <c r="C1413" s="406" t="s">
        <v>1331</v>
      </c>
      <c r="D1413" s="395" t="s">
        <v>23</v>
      </c>
      <c r="E1413" s="407">
        <f t="shared" si="44"/>
        <v>2562.46</v>
      </c>
      <c r="F1413">
        <f t="shared" si="45"/>
        <v>92600</v>
      </c>
      <c r="H1413" s="680">
        <v>2562.46</v>
      </c>
      <c r="I1413" s="680">
        <v>2588.1999999999998</v>
      </c>
    </row>
    <row r="1414" spans="2:9" ht="30">
      <c r="B1414" s="396">
        <v>92602</v>
      </c>
      <c r="C1414" s="401" t="s">
        <v>1332</v>
      </c>
      <c r="D1414" s="396" t="s">
        <v>23</v>
      </c>
      <c r="E1414" s="405">
        <f t="shared" si="44"/>
        <v>788.61</v>
      </c>
      <c r="F1414">
        <f t="shared" si="45"/>
        <v>92602</v>
      </c>
      <c r="H1414" s="679">
        <v>788.61</v>
      </c>
      <c r="I1414" s="679">
        <v>799.43</v>
      </c>
    </row>
    <row r="1415" spans="2:9" ht="30">
      <c r="B1415" s="395">
        <v>92604</v>
      </c>
      <c r="C1415" s="406" t="s">
        <v>1333</v>
      </c>
      <c r="D1415" s="395" t="s">
        <v>23</v>
      </c>
      <c r="E1415" s="407">
        <f t="shared" si="44"/>
        <v>904.03</v>
      </c>
      <c r="F1415">
        <f t="shared" si="45"/>
        <v>92604</v>
      </c>
      <c r="H1415" s="680">
        <v>904.03</v>
      </c>
      <c r="I1415" s="680">
        <v>914.85</v>
      </c>
    </row>
    <row r="1416" spans="2:9" ht="30">
      <c r="B1416" s="396">
        <v>92606</v>
      </c>
      <c r="C1416" s="401" t="s">
        <v>1334</v>
      </c>
      <c r="D1416" s="396" t="s">
        <v>23</v>
      </c>
      <c r="E1416" s="405">
        <f t="shared" si="44"/>
        <v>1058.5899999999999</v>
      </c>
      <c r="F1416">
        <f t="shared" si="45"/>
        <v>92606</v>
      </c>
      <c r="H1416" s="679">
        <v>1058.5899999999999</v>
      </c>
      <c r="I1416" s="679">
        <v>1069.4100000000001</v>
      </c>
    </row>
    <row r="1417" spans="2:9" ht="30">
      <c r="B1417" s="395">
        <v>92608</v>
      </c>
      <c r="C1417" s="406" t="s">
        <v>1335</v>
      </c>
      <c r="D1417" s="395" t="s">
        <v>23</v>
      </c>
      <c r="E1417" s="407">
        <f t="shared" si="44"/>
        <v>1299.71</v>
      </c>
      <c r="F1417">
        <f t="shared" si="45"/>
        <v>92608</v>
      </c>
      <c r="H1417" s="680">
        <v>1299.71</v>
      </c>
      <c r="I1417" s="680">
        <v>1315.38</v>
      </c>
    </row>
    <row r="1418" spans="2:9" ht="30">
      <c r="B1418" s="396">
        <v>92610</v>
      </c>
      <c r="C1418" s="401" t="s">
        <v>1336</v>
      </c>
      <c r="D1418" s="396" t="s">
        <v>23</v>
      </c>
      <c r="E1418" s="405">
        <f t="shared" si="44"/>
        <v>1454.26</v>
      </c>
      <c r="F1418">
        <f t="shared" si="45"/>
        <v>92610</v>
      </c>
      <c r="H1418" s="679">
        <v>1454.26</v>
      </c>
      <c r="I1418" s="679">
        <v>1469.93</v>
      </c>
    </row>
    <row r="1419" spans="2:9" ht="30">
      <c r="B1419" s="395">
        <v>92612</v>
      </c>
      <c r="C1419" s="406" t="s">
        <v>1337</v>
      </c>
      <c r="D1419" s="395" t="s">
        <v>23</v>
      </c>
      <c r="E1419" s="407">
        <f t="shared" si="44"/>
        <v>1637.93</v>
      </c>
      <c r="F1419">
        <f t="shared" si="45"/>
        <v>92612</v>
      </c>
      <c r="H1419" s="680">
        <v>1637.93</v>
      </c>
      <c r="I1419" s="680">
        <v>1656.86</v>
      </c>
    </row>
    <row r="1420" spans="2:9" ht="30">
      <c r="B1420" s="396">
        <v>92614</v>
      </c>
      <c r="C1420" s="401" t="s">
        <v>1338</v>
      </c>
      <c r="D1420" s="396" t="s">
        <v>23</v>
      </c>
      <c r="E1420" s="405">
        <f t="shared" si="44"/>
        <v>1849.72</v>
      </c>
      <c r="F1420">
        <f t="shared" si="45"/>
        <v>92614</v>
      </c>
      <c r="H1420" s="679">
        <v>1849.72</v>
      </c>
      <c r="I1420" s="679">
        <v>1870.23</v>
      </c>
    </row>
    <row r="1421" spans="2:9" ht="30">
      <c r="B1421" s="395">
        <v>92616</v>
      </c>
      <c r="C1421" s="406" t="s">
        <v>1339</v>
      </c>
      <c r="D1421" s="395" t="s">
        <v>23</v>
      </c>
      <c r="E1421" s="407">
        <f t="shared" si="44"/>
        <v>2096.86</v>
      </c>
      <c r="F1421">
        <f t="shared" si="45"/>
        <v>92616</v>
      </c>
      <c r="H1421" s="680">
        <v>2096.86</v>
      </c>
      <c r="I1421" s="680">
        <v>2122.6</v>
      </c>
    </row>
    <row r="1422" spans="2:9" ht="30">
      <c r="B1422" s="396">
        <v>92618</v>
      </c>
      <c r="C1422" s="401" t="s">
        <v>1340</v>
      </c>
      <c r="D1422" s="396" t="s">
        <v>23</v>
      </c>
      <c r="E1422" s="405">
        <f t="shared" si="44"/>
        <v>2251.41</v>
      </c>
      <c r="F1422">
        <f t="shared" si="45"/>
        <v>92618</v>
      </c>
      <c r="H1422" s="679">
        <v>2251.41</v>
      </c>
      <c r="I1422" s="679">
        <v>2277.15</v>
      </c>
    </row>
    <row r="1423" spans="2:9" ht="30">
      <c r="B1423" s="395">
        <v>92620</v>
      </c>
      <c r="C1423" s="406" t="s">
        <v>1341</v>
      </c>
      <c r="D1423" s="395" t="s">
        <v>23</v>
      </c>
      <c r="E1423" s="407">
        <f t="shared" si="44"/>
        <v>2405.96</v>
      </c>
      <c r="F1423">
        <f t="shared" si="45"/>
        <v>92620</v>
      </c>
      <c r="H1423" s="680">
        <v>2405.96</v>
      </c>
      <c r="I1423" s="680">
        <v>2431.6999999999998</v>
      </c>
    </row>
    <row r="1424" spans="2:9" ht="30">
      <c r="B1424" s="396">
        <v>100357</v>
      </c>
      <c r="C1424" s="401" t="s">
        <v>3213</v>
      </c>
      <c r="D1424" s="396" t="s">
        <v>23</v>
      </c>
      <c r="E1424" s="405">
        <f t="shared" si="44"/>
        <v>929.25</v>
      </c>
      <c r="F1424">
        <f t="shared" si="45"/>
        <v>100357</v>
      </c>
      <c r="H1424" s="679">
        <v>929.25</v>
      </c>
      <c r="I1424" s="679">
        <v>963.27</v>
      </c>
    </row>
    <row r="1425" spans="2:9" ht="30">
      <c r="B1425" s="395">
        <v>100358</v>
      </c>
      <c r="C1425" s="406" t="s">
        <v>3214</v>
      </c>
      <c r="D1425" s="395" t="s">
        <v>23</v>
      </c>
      <c r="E1425" s="407">
        <f t="shared" si="44"/>
        <v>1245.42</v>
      </c>
      <c r="F1425">
        <f t="shared" si="45"/>
        <v>100358</v>
      </c>
      <c r="H1425" s="680">
        <v>1245.42</v>
      </c>
      <c r="I1425" s="680">
        <v>1301.5</v>
      </c>
    </row>
    <row r="1426" spans="2:9" ht="30">
      <c r="B1426" s="396">
        <v>100359</v>
      </c>
      <c r="C1426" s="401" t="s">
        <v>3215</v>
      </c>
      <c r="D1426" s="396" t="s">
        <v>23</v>
      </c>
      <c r="E1426" s="405">
        <f t="shared" si="44"/>
        <v>1312.67</v>
      </c>
      <c r="F1426">
        <f t="shared" si="45"/>
        <v>100359</v>
      </c>
      <c r="H1426" s="679">
        <v>1312.67</v>
      </c>
      <c r="I1426" s="679">
        <v>1368.75</v>
      </c>
    </row>
    <row r="1427" spans="2:9" ht="30">
      <c r="B1427" s="395">
        <v>100360</v>
      </c>
      <c r="C1427" s="406" t="s">
        <v>3216</v>
      </c>
      <c r="D1427" s="395" t="s">
        <v>23</v>
      </c>
      <c r="E1427" s="407">
        <f t="shared" si="44"/>
        <v>1455.4</v>
      </c>
      <c r="F1427">
        <f t="shared" si="45"/>
        <v>100360</v>
      </c>
      <c r="H1427" s="680">
        <v>1455.4</v>
      </c>
      <c r="I1427" s="680">
        <v>1517.36</v>
      </c>
    </row>
    <row r="1428" spans="2:9" ht="30">
      <c r="B1428" s="396">
        <v>100361</v>
      </c>
      <c r="C1428" s="401" t="s">
        <v>3217</v>
      </c>
      <c r="D1428" s="396" t="s">
        <v>23</v>
      </c>
      <c r="E1428" s="405">
        <f t="shared" si="44"/>
        <v>1799.24</v>
      </c>
      <c r="F1428">
        <f t="shared" si="45"/>
        <v>100361</v>
      </c>
      <c r="H1428" s="679">
        <v>1799.24</v>
      </c>
      <c r="I1428" s="679">
        <v>1883.26</v>
      </c>
    </row>
    <row r="1429" spans="2:9" ht="30">
      <c r="B1429" s="395">
        <v>100362</v>
      </c>
      <c r="C1429" s="406" t="s">
        <v>3218</v>
      </c>
      <c r="D1429" s="395" t="s">
        <v>23</v>
      </c>
      <c r="E1429" s="407">
        <f t="shared" si="44"/>
        <v>2440.27</v>
      </c>
      <c r="F1429">
        <f t="shared" si="45"/>
        <v>100362</v>
      </c>
      <c r="H1429" s="680">
        <v>2440.27</v>
      </c>
      <c r="I1429" s="680">
        <v>2529.9899999999998</v>
      </c>
    </row>
    <row r="1430" spans="2:9" ht="30">
      <c r="B1430" s="396">
        <v>100363</v>
      </c>
      <c r="C1430" s="401" t="s">
        <v>3219</v>
      </c>
      <c r="D1430" s="396" t="s">
        <v>23</v>
      </c>
      <c r="E1430" s="405">
        <f t="shared" si="44"/>
        <v>2524.62</v>
      </c>
      <c r="F1430">
        <f t="shared" si="45"/>
        <v>100363</v>
      </c>
      <c r="H1430" s="679">
        <v>2524.62</v>
      </c>
      <c r="I1430" s="679">
        <v>2614.34</v>
      </c>
    </row>
    <row r="1431" spans="2:9" ht="30">
      <c r="B1431" s="395">
        <v>100364</v>
      </c>
      <c r="C1431" s="406" t="s">
        <v>3220</v>
      </c>
      <c r="D1431" s="395" t="s">
        <v>23</v>
      </c>
      <c r="E1431" s="407">
        <f t="shared" si="44"/>
        <v>2738</v>
      </c>
      <c r="F1431">
        <f t="shared" si="45"/>
        <v>100364</v>
      </c>
      <c r="H1431" s="680">
        <v>2738</v>
      </c>
      <c r="I1431" s="680">
        <v>2836.9</v>
      </c>
    </row>
    <row r="1432" spans="2:9" ht="30">
      <c r="B1432" s="396">
        <v>100365</v>
      </c>
      <c r="C1432" s="401" t="s">
        <v>3221</v>
      </c>
      <c r="D1432" s="396" t="s">
        <v>23</v>
      </c>
      <c r="E1432" s="405">
        <f t="shared" si="44"/>
        <v>3133.24</v>
      </c>
      <c r="F1432">
        <f t="shared" si="45"/>
        <v>100365</v>
      </c>
      <c r="H1432" s="679">
        <v>3133.24</v>
      </c>
      <c r="I1432" s="679">
        <v>3254.21</v>
      </c>
    </row>
    <row r="1433" spans="2:9" ht="30">
      <c r="B1433" s="395">
        <v>100366</v>
      </c>
      <c r="C1433" s="406" t="s">
        <v>3222</v>
      </c>
      <c r="D1433" s="395" t="s">
        <v>23</v>
      </c>
      <c r="E1433" s="407">
        <f t="shared" si="44"/>
        <v>3352.43</v>
      </c>
      <c r="F1433">
        <f t="shared" si="45"/>
        <v>100366</v>
      </c>
      <c r="H1433" s="680">
        <v>3352.43</v>
      </c>
      <c r="I1433" s="680">
        <v>3473.4</v>
      </c>
    </row>
    <row r="1434" spans="2:9" ht="30">
      <c r="B1434" s="396">
        <v>100367</v>
      </c>
      <c r="C1434" s="401" t="s">
        <v>3223</v>
      </c>
      <c r="D1434" s="396" t="s">
        <v>23</v>
      </c>
      <c r="E1434" s="405">
        <f t="shared" si="44"/>
        <v>904.29</v>
      </c>
      <c r="F1434">
        <f t="shared" si="45"/>
        <v>100367</v>
      </c>
      <c r="H1434" s="679">
        <v>904.29</v>
      </c>
      <c r="I1434" s="679">
        <v>938.31</v>
      </c>
    </row>
    <row r="1435" spans="2:9" ht="30">
      <c r="B1435" s="395">
        <v>100368</v>
      </c>
      <c r="C1435" s="406" t="s">
        <v>3224</v>
      </c>
      <c r="D1435" s="395" t="s">
        <v>23</v>
      </c>
      <c r="E1435" s="407">
        <f t="shared" si="44"/>
        <v>1214.6300000000001</v>
      </c>
      <c r="F1435">
        <f t="shared" si="45"/>
        <v>100368</v>
      </c>
      <c r="H1435" s="680">
        <v>1214.6300000000001</v>
      </c>
      <c r="I1435" s="680">
        <v>1270.71</v>
      </c>
    </row>
    <row r="1436" spans="2:9" ht="30">
      <c r="B1436" s="396">
        <v>100369</v>
      </c>
      <c r="C1436" s="401" t="s">
        <v>3225</v>
      </c>
      <c r="D1436" s="396" t="s">
        <v>23</v>
      </c>
      <c r="E1436" s="405">
        <f t="shared" si="44"/>
        <v>1281.8800000000001</v>
      </c>
      <c r="F1436">
        <f t="shared" si="45"/>
        <v>100369</v>
      </c>
      <c r="H1436" s="679">
        <v>1281.8800000000001</v>
      </c>
      <c r="I1436" s="679">
        <v>1337.96</v>
      </c>
    </row>
    <row r="1437" spans="2:9" ht="30">
      <c r="B1437" s="395">
        <v>100370</v>
      </c>
      <c r="C1437" s="406" t="s">
        <v>3226</v>
      </c>
      <c r="D1437" s="395" t="s">
        <v>23</v>
      </c>
      <c r="E1437" s="407">
        <f t="shared" si="44"/>
        <v>1519.99</v>
      </c>
      <c r="F1437">
        <f t="shared" si="45"/>
        <v>100370</v>
      </c>
      <c r="H1437" s="680">
        <v>1519.99</v>
      </c>
      <c r="I1437" s="680">
        <v>1581.95</v>
      </c>
    </row>
    <row r="1438" spans="2:9" ht="30">
      <c r="B1438" s="396">
        <v>100371</v>
      </c>
      <c r="C1438" s="401" t="s">
        <v>3227</v>
      </c>
      <c r="D1438" s="396" t="s">
        <v>23</v>
      </c>
      <c r="E1438" s="405">
        <f t="shared" si="44"/>
        <v>1717.12</v>
      </c>
      <c r="F1438">
        <f t="shared" si="45"/>
        <v>100371</v>
      </c>
      <c r="H1438" s="679">
        <v>1717.12</v>
      </c>
      <c r="I1438" s="679">
        <v>1801.14</v>
      </c>
    </row>
    <row r="1439" spans="2:9" ht="30">
      <c r="B1439" s="395">
        <v>100372</v>
      </c>
      <c r="C1439" s="406" t="s">
        <v>3228</v>
      </c>
      <c r="D1439" s="395" t="s">
        <v>23</v>
      </c>
      <c r="E1439" s="407">
        <f t="shared" si="44"/>
        <v>2299.58</v>
      </c>
      <c r="F1439">
        <f t="shared" si="45"/>
        <v>100372</v>
      </c>
      <c r="H1439" s="680">
        <v>2299.58</v>
      </c>
      <c r="I1439" s="680">
        <v>2389.3000000000002</v>
      </c>
    </row>
    <row r="1440" spans="2:9" ht="30">
      <c r="B1440" s="396">
        <v>100373</v>
      </c>
      <c r="C1440" s="401" t="s">
        <v>3229</v>
      </c>
      <c r="D1440" s="396" t="s">
        <v>23</v>
      </c>
      <c r="E1440" s="405">
        <f t="shared" si="44"/>
        <v>2380.84</v>
      </c>
      <c r="F1440">
        <f t="shared" si="45"/>
        <v>100373</v>
      </c>
      <c r="H1440" s="679">
        <v>2380.84</v>
      </c>
      <c r="I1440" s="679">
        <v>2470.56</v>
      </c>
    </row>
    <row r="1441" spans="2:9" ht="30">
      <c r="B1441" s="395">
        <v>100374</v>
      </c>
      <c r="C1441" s="406" t="s">
        <v>3230</v>
      </c>
      <c r="D1441" s="395" t="s">
        <v>23</v>
      </c>
      <c r="E1441" s="407">
        <f t="shared" si="44"/>
        <v>2546.77</v>
      </c>
      <c r="F1441">
        <f t="shared" si="45"/>
        <v>100374</v>
      </c>
      <c r="H1441" s="680">
        <v>2546.77</v>
      </c>
      <c r="I1441" s="680">
        <v>2645.67</v>
      </c>
    </row>
    <row r="1442" spans="2:9" ht="30">
      <c r="B1442" s="396">
        <v>100375</v>
      </c>
      <c r="C1442" s="401" t="s">
        <v>3231</v>
      </c>
      <c r="D1442" s="396" t="s">
        <v>23</v>
      </c>
      <c r="E1442" s="405">
        <f t="shared" si="44"/>
        <v>2850.43</v>
      </c>
      <c r="F1442">
        <f t="shared" si="45"/>
        <v>100375</v>
      </c>
      <c r="H1442" s="679">
        <v>2850.43</v>
      </c>
      <c r="I1442" s="679">
        <v>2971.4</v>
      </c>
    </row>
    <row r="1443" spans="2:9" ht="30">
      <c r="B1443" s="395">
        <v>100376</v>
      </c>
      <c r="C1443" s="406" t="s">
        <v>3232</v>
      </c>
      <c r="D1443" s="395" t="s">
        <v>23</v>
      </c>
      <c r="E1443" s="407">
        <f t="shared" si="44"/>
        <v>2792.48</v>
      </c>
      <c r="F1443">
        <f t="shared" si="45"/>
        <v>100376</v>
      </c>
      <c r="H1443" s="680">
        <v>2792.48</v>
      </c>
      <c r="I1443" s="680">
        <v>2913.45</v>
      </c>
    </row>
    <row r="1444" spans="2:9" ht="30">
      <c r="B1444" s="396">
        <v>100377</v>
      </c>
      <c r="C1444" s="401" t="s">
        <v>3545</v>
      </c>
      <c r="D1444" s="396" t="s">
        <v>21</v>
      </c>
      <c r="E1444" s="405">
        <f t="shared" si="44"/>
        <v>13.53</v>
      </c>
      <c r="F1444">
        <f t="shared" si="45"/>
        <v>100377</v>
      </c>
      <c r="H1444" s="679">
        <v>13.53</v>
      </c>
      <c r="I1444" s="679">
        <v>13.67</v>
      </c>
    </row>
    <row r="1445" spans="2:9" ht="30">
      <c r="B1445" s="395">
        <v>100378</v>
      </c>
      <c r="C1445" s="406" t="s">
        <v>3546</v>
      </c>
      <c r="D1445" s="395" t="s">
        <v>21</v>
      </c>
      <c r="E1445" s="407">
        <f t="shared" si="44"/>
        <v>12.74</v>
      </c>
      <c r="F1445">
        <f t="shared" si="45"/>
        <v>100378</v>
      </c>
      <c r="H1445" s="680">
        <v>12.74</v>
      </c>
      <c r="I1445" s="680">
        <v>12.87</v>
      </c>
    </row>
    <row r="1446" spans="2:9" ht="45">
      <c r="B1446" s="396">
        <v>100382</v>
      </c>
      <c r="C1446" s="401" t="s">
        <v>3233</v>
      </c>
      <c r="D1446" s="396" t="s">
        <v>0</v>
      </c>
      <c r="E1446" s="405">
        <f t="shared" si="44"/>
        <v>21.5</v>
      </c>
      <c r="F1446">
        <f t="shared" si="45"/>
        <v>100382</v>
      </c>
      <c r="H1446" s="679">
        <v>21.5</v>
      </c>
      <c r="I1446" s="679">
        <v>21.96</v>
      </c>
    </row>
    <row r="1447" spans="2:9" ht="30">
      <c r="B1447" s="395">
        <v>104314</v>
      </c>
      <c r="C1447" s="406" t="s">
        <v>7314</v>
      </c>
      <c r="D1447" s="395" t="s">
        <v>21</v>
      </c>
      <c r="E1447" s="407">
        <f t="shared" si="44"/>
        <v>13.08</v>
      </c>
      <c r="F1447">
        <f t="shared" si="45"/>
        <v>104314</v>
      </c>
      <c r="H1447" s="680">
        <v>13.08</v>
      </c>
      <c r="I1447" s="680">
        <v>13.23</v>
      </c>
    </row>
    <row r="1448" spans="2:9">
      <c r="B1448" s="396">
        <v>94444</v>
      </c>
      <c r="C1448" s="401" t="s">
        <v>3234</v>
      </c>
      <c r="D1448" s="396" t="s">
        <v>0</v>
      </c>
      <c r="E1448" s="405">
        <f t="shared" si="44"/>
        <v>842.53</v>
      </c>
      <c r="F1448">
        <f t="shared" si="45"/>
        <v>94444</v>
      </c>
      <c r="H1448" s="679">
        <v>842.53</v>
      </c>
      <c r="I1448" s="679">
        <v>843.32</v>
      </c>
    </row>
    <row r="1449" spans="2:9">
      <c r="B1449" s="395">
        <v>104482</v>
      </c>
      <c r="C1449" s="406" t="s">
        <v>7315</v>
      </c>
      <c r="D1449" s="395" t="s">
        <v>36</v>
      </c>
      <c r="E1449" s="407">
        <f t="shared" si="44"/>
        <v>23.62</v>
      </c>
      <c r="F1449">
        <f t="shared" si="45"/>
        <v>104482</v>
      </c>
      <c r="H1449" s="680">
        <v>23.62</v>
      </c>
      <c r="I1449" s="680">
        <v>26.25</v>
      </c>
    </row>
    <row r="1450" spans="2:9" ht="30">
      <c r="B1450" s="396">
        <v>104184</v>
      </c>
      <c r="C1450" s="401" t="s">
        <v>7316</v>
      </c>
      <c r="D1450" s="396" t="s">
        <v>23</v>
      </c>
      <c r="E1450" s="405">
        <f t="shared" si="44"/>
        <v>26.95</v>
      </c>
      <c r="F1450">
        <f t="shared" si="45"/>
        <v>104184</v>
      </c>
      <c r="H1450" s="679">
        <v>26.95</v>
      </c>
      <c r="I1450" s="679">
        <v>29.05</v>
      </c>
    </row>
    <row r="1451" spans="2:9" ht="30">
      <c r="B1451" s="395">
        <v>104185</v>
      </c>
      <c r="C1451" s="406" t="s">
        <v>7317</v>
      </c>
      <c r="D1451" s="395" t="s">
        <v>23</v>
      </c>
      <c r="E1451" s="407">
        <f t="shared" si="44"/>
        <v>19.809999999999999</v>
      </c>
      <c r="F1451">
        <f t="shared" si="45"/>
        <v>104185</v>
      </c>
      <c r="H1451" s="680">
        <v>19.809999999999999</v>
      </c>
      <c r="I1451" s="680">
        <v>22.1</v>
      </c>
    </row>
    <row r="1452" spans="2:9" ht="30">
      <c r="B1452" s="396">
        <v>104189</v>
      </c>
      <c r="C1452" s="401" t="s">
        <v>7318</v>
      </c>
      <c r="D1452" s="396" t="s">
        <v>20</v>
      </c>
      <c r="E1452" s="405">
        <f t="shared" si="44"/>
        <v>172.85</v>
      </c>
      <c r="F1452">
        <f t="shared" si="45"/>
        <v>104189</v>
      </c>
      <c r="H1452" s="679">
        <v>172.85</v>
      </c>
      <c r="I1452" s="679">
        <v>176.42</v>
      </c>
    </row>
    <row r="1453" spans="2:9" ht="30">
      <c r="B1453" s="395">
        <v>104190</v>
      </c>
      <c r="C1453" s="406" t="s">
        <v>7319</v>
      </c>
      <c r="D1453" s="395" t="s">
        <v>23</v>
      </c>
      <c r="E1453" s="407">
        <f t="shared" si="44"/>
        <v>533.58000000000004</v>
      </c>
      <c r="F1453">
        <f t="shared" si="45"/>
        <v>104190</v>
      </c>
      <c r="H1453" s="680">
        <v>533.58000000000004</v>
      </c>
      <c r="I1453" s="680">
        <v>593.66999999999996</v>
      </c>
    </row>
    <row r="1454" spans="2:9" ht="30">
      <c r="B1454" s="396">
        <v>102661</v>
      </c>
      <c r="C1454" s="401" t="s">
        <v>5700</v>
      </c>
      <c r="D1454" s="396" t="s">
        <v>22</v>
      </c>
      <c r="E1454" s="405">
        <f t="shared" si="44"/>
        <v>38.909999999999997</v>
      </c>
      <c r="F1454">
        <f t="shared" si="45"/>
        <v>102661</v>
      </c>
      <c r="H1454" s="679">
        <v>38.909999999999997</v>
      </c>
      <c r="I1454" s="679">
        <v>39.479999999999997</v>
      </c>
    </row>
    <row r="1455" spans="2:9" ht="30">
      <c r="B1455" s="395">
        <v>102662</v>
      </c>
      <c r="C1455" s="406" t="s">
        <v>7320</v>
      </c>
      <c r="D1455" s="395" t="s">
        <v>22</v>
      </c>
      <c r="E1455" s="407">
        <f t="shared" si="44"/>
        <v>106.29</v>
      </c>
      <c r="F1455">
        <f t="shared" si="45"/>
        <v>102662</v>
      </c>
      <c r="H1455" s="680">
        <v>106.29</v>
      </c>
      <c r="I1455" s="680">
        <v>107.08</v>
      </c>
    </row>
    <row r="1456" spans="2:9" ht="30">
      <c r="B1456" s="396">
        <v>102663</v>
      </c>
      <c r="C1456" s="401" t="s">
        <v>5701</v>
      </c>
      <c r="D1456" s="396" t="s">
        <v>22</v>
      </c>
      <c r="E1456" s="405">
        <f t="shared" si="44"/>
        <v>65.89</v>
      </c>
      <c r="F1456">
        <f t="shared" si="45"/>
        <v>102663</v>
      </c>
      <c r="H1456" s="679">
        <v>65.89</v>
      </c>
      <c r="I1456" s="679">
        <v>66.760000000000005</v>
      </c>
    </row>
    <row r="1457" spans="2:9">
      <c r="B1457" s="395">
        <v>102664</v>
      </c>
      <c r="C1457" s="406" t="s">
        <v>5702</v>
      </c>
      <c r="D1457" s="395" t="s">
        <v>22</v>
      </c>
      <c r="E1457" s="407">
        <f t="shared" si="44"/>
        <v>49.79</v>
      </c>
      <c r="F1457">
        <f t="shared" si="45"/>
        <v>102664</v>
      </c>
      <c r="H1457" s="680">
        <v>49.79</v>
      </c>
      <c r="I1457" s="680">
        <v>50.35</v>
      </c>
    </row>
    <row r="1458" spans="2:9">
      <c r="B1458" s="396">
        <v>102665</v>
      </c>
      <c r="C1458" s="401" t="s">
        <v>5703</v>
      </c>
      <c r="D1458" s="396" t="s">
        <v>22</v>
      </c>
      <c r="E1458" s="405">
        <f t="shared" si="44"/>
        <v>25.09</v>
      </c>
      <c r="F1458">
        <f t="shared" si="45"/>
        <v>102665</v>
      </c>
      <c r="H1458" s="679">
        <v>25.09</v>
      </c>
      <c r="I1458" s="679">
        <v>25.61</v>
      </c>
    </row>
    <row r="1459" spans="2:9" ht="30">
      <c r="B1459" s="395">
        <v>102666</v>
      </c>
      <c r="C1459" s="406" t="s">
        <v>5704</v>
      </c>
      <c r="D1459" s="395" t="s">
        <v>22</v>
      </c>
      <c r="E1459" s="407">
        <f t="shared" si="44"/>
        <v>60.61</v>
      </c>
      <c r="F1459">
        <f t="shared" si="45"/>
        <v>102666</v>
      </c>
      <c r="H1459" s="680">
        <v>60.61</v>
      </c>
      <c r="I1459" s="680">
        <v>61.22</v>
      </c>
    </row>
    <row r="1460" spans="2:9" ht="30">
      <c r="B1460" s="396">
        <v>102668</v>
      </c>
      <c r="C1460" s="401" t="s">
        <v>7321</v>
      </c>
      <c r="D1460" s="396" t="s">
        <v>22</v>
      </c>
      <c r="E1460" s="405">
        <f t="shared" si="44"/>
        <v>127.99</v>
      </c>
      <c r="F1460">
        <f t="shared" si="45"/>
        <v>102668</v>
      </c>
      <c r="H1460" s="679">
        <v>127.99</v>
      </c>
      <c r="I1460" s="679">
        <v>128.82</v>
      </c>
    </row>
    <row r="1461" spans="2:9" ht="30">
      <c r="B1461" s="395">
        <v>102669</v>
      </c>
      <c r="C1461" s="406" t="s">
        <v>5705</v>
      </c>
      <c r="D1461" s="395" t="s">
        <v>22</v>
      </c>
      <c r="E1461" s="407">
        <f t="shared" si="44"/>
        <v>88.06</v>
      </c>
      <c r="F1461">
        <f t="shared" si="45"/>
        <v>102669</v>
      </c>
      <c r="H1461" s="680">
        <v>88.06</v>
      </c>
      <c r="I1461" s="680">
        <v>88.97</v>
      </c>
    </row>
    <row r="1462" spans="2:9" ht="30">
      <c r="B1462" s="396">
        <v>102670</v>
      </c>
      <c r="C1462" s="401" t="s">
        <v>5706</v>
      </c>
      <c r="D1462" s="396" t="s">
        <v>22</v>
      </c>
      <c r="E1462" s="405">
        <f t="shared" si="44"/>
        <v>123.82</v>
      </c>
      <c r="F1462">
        <f t="shared" si="45"/>
        <v>102670</v>
      </c>
      <c r="H1462" s="679">
        <v>123.82</v>
      </c>
      <c r="I1462" s="679">
        <v>125.15</v>
      </c>
    </row>
    <row r="1463" spans="2:9" ht="30">
      <c r="B1463" s="395">
        <v>102672</v>
      </c>
      <c r="C1463" s="406" t="s">
        <v>7322</v>
      </c>
      <c r="D1463" s="395" t="s">
        <v>22</v>
      </c>
      <c r="E1463" s="407">
        <f t="shared" si="44"/>
        <v>203.07</v>
      </c>
      <c r="F1463">
        <f t="shared" si="45"/>
        <v>102672</v>
      </c>
      <c r="H1463" s="680">
        <v>203.07</v>
      </c>
      <c r="I1463" s="680">
        <v>205.35</v>
      </c>
    </row>
    <row r="1464" spans="2:9" ht="30">
      <c r="B1464" s="396">
        <v>102673</v>
      </c>
      <c r="C1464" s="401" t="s">
        <v>5707</v>
      </c>
      <c r="D1464" s="396" t="s">
        <v>22</v>
      </c>
      <c r="E1464" s="405">
        <f t="shared" si="44"/>
        <v>173.51</v>
      </c>
      <c r="F1464">
        <f t="shared" si="45"/>
        <v>102673</v>
      </c>
      <c r="H1464" s="679">
        <v>173.51</v>
      </c>
      <c r="I1464" s="679">
        <v>176.43</v>
      </c>
    </row>
    <row r="1465" spans="2:9" ht="30">
      <c r="B1465" s="395">
        <v>102674</v>
      </c>
      <c r="C1465" s="406" t="s">
        <v>5708</v>
      </c>
      <c r="D1465" s="395" t="s">
        <v>22</v>
      </c>
      <c r="E1465" s="407">
        <f t="shared" si="44"/>
        <v>135.5</v>
      </c>
      <c r="F1465">
        <f t="shared" si="45"/>
        <v>102674</v>
      </c>
      <c r="H1465" s="680">
        <v>135.5</v>
      </c>
      <c r="I1465" s="680">
        <v>136.47</v>
      </c>
    </row>
    <row r="1466" spans="2:9" ht="30">
      <c r="B1466" s="396">
        <v>102676</v>
      </c>
      <c r="C1466" s="401" t="s">
        <v>7323</v>
      </c>
      <c r="D1466" s="396" t="s">
        <v>22</v>
      </c>
      <c r="E1466" s="405">
        <f t="shared" si="44"/>
        <v>205.75</v>
      </c>
      <c r="F1466">
        <f t="shared" si="45"/>
        <v>102676</v>
      </c>
      <c r="H1466" s="679">
        <v>205.75</v>
      </c>
      <c r="I1466" s="679">
        <v>207.08</v>
      </c>
    </row>
    <row r="1467" spans="2:9" ht="30">
      <c r="B1467" s="395">
        <v>102677</v>
      </c>
      <c r="C1467" s="406" t="s">
        <v>5709</v>
      </c>
      <c r="D1467" s="395" t="s">
        <v>22</v>
      </c>
      <c r="E1467" s="407">
        <f t="shared" si="44"/>
        <v>167.38</v>
      </c>
      <c r="F1467">
        <f t="shared" si="45"/>
        <v>102677</v>
      </c>
      <c r="H1467" s="680">
        <v>167.38</v>
      </c>
      <c r="I1467" s="680">
        <v>168.92</v>
      </c>
    </row>
    <row r="1468" spans="2:9" ht="30">
      <c r="B1468" s="396">
        <v>102678</v>
      </c>
      <c r="C1468" s="401" t="s">
        <v>5710</v>
      </c>
      <c r="D1468" s="396" t="s">
        <v>22</v>
      </c>
      <c r="E1468" s="405">
        <f t="shared" si="44"/>
        <v>146.43</v>
      </c>
      <c r="F1468">
        <f t="shared" si="45"/>
        <v>102678</v>
      </c>
      <c r="H1468" s="679">
        <v>146.43</v>
      </c>
      <c r="I1468" s="679">
        <v>147.81</v>
      </c>
    </row>
    <row r="1469" spans="2:9">
      <c r="B1469" s="395">
        <v>102679</v>
      </c>
      <c r="C1469" s="406" t="s">
        <v>5711</v>
      </c>
      <c r="D1469" s="395" t="s">
        <v>22</v>
      </c>
      <c r="E1469" s="407">
        <f t="shared" si="44"/>
        <v>158.57</v>
      </c>
      <c r="F1469">
        <f t="shared" si="45"/>
        <v>102679</v>
      </c>
      <c r="H1469" s="680">
        <v>158.57</v>
      </c>
      <c r="I1469" s="680">
        <v>159.49</v>
      </c>
    </row>
    <row r="1470" spans="2:9" ht="30">
      <c r="B1470" s="396">
        <v>102680</v>
      </c>
      <c r="C1470" s="401" t="s">
        <v>5712</v>
      </c>
      <c r="D1470" s="396" t="s">
        <v>22</v>
      </c>
      <c r="E1470" s="405">
        <f t="shared" si="44"/>
        <v>158.25</v>
      </c>
      <c r="F1470">
        <f t="shared" si="45"/>
        <v>102680</v>
      </c>
      <c r="H1470" s="679">
        <v>158.25</v>
      </c>
      <c r="I1470" s="679">
        <v>159.72999999999999</v>
      </c>
    </row>
    <row r="1471" spans="2:9" ht="30">
      <c r="B1471" s="395">
        <v>102681</v>
      </c>
      <c r="C1471" s="406" t="s">
        <v>7324</v>
      </c>
      <c r="D1471" s="395" t="s">
        <v>22</v>
      </c>
      <c r="E1471" s="407">
        <f t="shared" si="44"/>
        <v>228.48</v>
      </c>
      <c r="F1471">
        <f t="shared" si="45"/>
        <v>102681</v>
      </c>
      <c r="H1471" s="680">
        <v>228.48</v>
      </c>
      <c r="I1471" s="680">
        <v>230.33</v>
      </c>
    </row>
    <row r="1472" spans="2:9" ht="30">
      <c r="B1472" s="396">
        <v>102683</v>
      </c>
      <c r="C1472" s="401" t="s">
        <v>5713</v>
      </c>
      <c r="D1472" s="396" t="s">
        <v>22</v>
      </c>
      <c r="E1472" s="405">
        <f t="shared" si="44"/>
        <v>195.86</v>
      </c>
      <c r="F1472">
        <f t="shared" si="45"/>
        <v>102683</v>
      </c>
      <c r="H1472" s="679">
        <v>195.86</v>
      </c>
      <c r="I1472" s="679">
        <v>198.05</v>
      </c>
    </row>
    <row r="1473" spans="2:9" ht="30">
      <c r="B1473" s="395">
        <v>102684</v>
      </c>
      <c r="C1473" s="406" t="s">
        <v>5714</v>
      </c>
      <c r="D1473" s="395" t="s">
        <v>22</v>
      </c>
      <c r="E1473" s="407">
        <f t="shared" si="44"/>
        <v>170.38</v>
      </c>
      <c r="F1473">
        <f t="shared" si="45"/>
        <v>102684</v>
      </c>
      <c r="H1473" s="680">
        <v>170.38</v>
      </c>
      <c r="I1473" s="680">
        <v>171.42</v>
      </c>
    </row>
    <row r="1474" spans="2:9" ht="30">
      <c r="B1474" s="396">
        <v>102685</v>
      </c>
      <c r="C1474" s="401" t="s">
        <v>7325</v>
      </c>
      <c r="D1474" s="396" t="s">
        <v>22</v>
      </c>
      <c r="E1474" s="405">
        <f t="shared" si="44"/>
        <v>240.63</v>
      </c>
      <c r="F1474">
        <f t="shared" si="45"/>
        <v>102685</v>
      </c>
      <c r="H1474" s="679">
        <v>240.63</v>
      </c>
      <c r="I1474" s="679">
        <v>242.03</v>
      </c>
    </row>
    <row r="1475" spans="2:9" ht="30">
      <c r="B1475" s="395">
        <v>102687</v>
      </c>
      <c r="C1475" s="406" t="s">
        <v>5715</v>
      </c>
      <c r="D1475" s="395" t="s">
        <v>22</v>
      </c>
      <c r="E1475" s="407">
        <f t="shared" ref="E1475:E1538" si="46">IF($K$2=$H$1,H1475,I1475)</f>
        <v>202.73</v>
      </c>
      <c r="F1475">
        <f t="shared" ref="F1475:F1538" si="47">IF(LEN($B1475)=7,CONCATENATE(MID($B1475,1,6),"00",RIGHT($B1475,1)),IF(LEN($B1475)=8,CONCATENATE(MID($B1475,1,6),"0",RIGHT($B1475,2)),$B1475))</f>
        <v>102687</v>
      </c>
      <c r="H1475" s="680">
        <v>202.73</v>
      </c>
      <c r="I1475" s="680">
        <v>204.34</v>
      </c>
    </row>
    <row r="1476" spans="2:9" ht="30">
      <c r="B1476" s="396">
        <v>102688</v>
      </c>
      <c r="C1476" s="401" t="s">
        <v>5716</v>
      </c>
      <c r="D1476" s="396" t="s">
        <v>22</v>
      </c>
      <c r="E1476" s="405">
        <f t="shared" si="46"/>
        <v>44.82</v>
      </c>
      <c r="F1476">
        <f t="shared" si="47"/>
        <v>102688</v>
      </c>
      <c r="H1476" s="679">
        <v>44.82</v>
      </c>
      <c r="I1476" s="679">
        <v>45.7</v>
      </c>
    </row>
    <row r="1477" spans="2:9" ht="30">
      <c r="B1477" s="395">
        <v>102689</v>
      </c>
      <c r="C1477" s="406" t="s">
        <v>7326</v>
      </c>
      <c r="D1477" s="395" t="s">
        <v>22</v>
      </c>
      <c r="E1477" s="407">
        <f t="shared" si="46"/>
        <v>106.84</v>
      </c>
      <c r="F1477">
        <f t="shared" si="47"/>
        <v>102689</v>
      </c>
      <c r="H1477" s="680">
        <v>106.84</v>
      </c>
      <c r="I1477" s="680">
        <v>107.79</v>
      </c>
    </row>
    <row r="1478" spans="2:9" ht="30">
      <c r="B1478" s="396">
        <v>102690</v>
      </c>
      <c r="C1478" s="401" t="s">
        <v>5717</v>
      </c>
      <c r="D1478" s="396" t="s">
        <v>22</v>
      </c>
      <c r="E1478" s="405">
        <f t="shared" si="46"/>
        <v>66.52</v>
      </c>
      <c r="F1478">
        <f t="shared" si="47"/>
        <v>102690</v>
      </c>
      <c r="H1478" s="679">
        <v>66.52</v>
      </c>
      <c r="I1478" s="679">
        <v>67.430000000000007</v>
      </c>
    </row>
    <row r="1479" spans="2:9" ht="30">
      <c r="B1479" s="395">
        <v>102693</v>
      </c>
      <c r="C1479" s="406" t="s">
        <v>7327</v>
      </c>
      <c r="D1479" s="395" t="s">
        <v>22</v>
      </c>
      <c r="E1479" s="407">
        <f t="shared" si="46"/>
        <v>131.54</v>
      </c>
      <c r="F1479">
        <f t="shared" si="47"/>
        <v>102693</v>
      </c>
      <c r="H1479" s="680">
        <v>131.54</v>
      </c>
      <c r="I1479" s="680">
        <v>132.52000000000001</v>
      </c>
    </row>
    <row r="1480" spans="2:9" ht="30">
      <c r="B1480" s="396">
        <v>102694</v>
      </c>
      <c r="C1480" s="401" t="s">
        <v>5718</v>
      </c>
      <c r="D1480" s="396" t="s">
        <v>22</v>
      </c>
      <c r="E1480" s="405">
        <f t="shared" si="46"/>
        <v>87.41</v>
      </c>
      <c r="F1480">
        <f t="shared" si="47"/>
        <v>102694</v>
      </c>
      <c r="H1480" s="679">
        <v>87.41</v>
      </c>
      <c r="I1480" s="679">
        <v>88.46</v>
      </c>
    </row>
    <row r="1481" spans="2:9" ht="30">
      <c r="B1481" s="395">
        <v>102696</v>
      </c>
      <c r="C1481" s="406" t="s">
        <v>7328</v>
      </c>
      <c r="D1481" s="395" t="s">
        <v>22</v>
      </c>
      <c r="E1481" s="407">
        <f t="shared" si="46"/>
        <v>151.93</v>
      </c>
      <c r="F1481">
        <f t="shared" si="47"/>
        <v>102696</v>
      </c>
      <c r="H1481" s="680">
        <v>151.93</v>
      </c>
      <c r="I1481" s="680">
        <v>153.09</v>
      </c>
    </row>
    <row r="1482" spans="2:9" ht="30">
      <c r="B1482" s="396">
        <v>102697</v>
      </c>
      <c r="C1482" s="401" t="s">
        <v>5719</v>
      </c>
      <c r="D1482" s="396" t="s">
        <v>22</v>
      </c>
      <c r="E1482" s="405">
        <f t="shared" si="46"/>
        <v>113.44</v>
      </c>
      <c r="F1482">
        <f t="shared" si="47"/>
        <v>102697</v>
      </c>
      <c r="H1482" s="679">
        <v>113.44</v>
      </c>
      <c r="I1482" s="679">
        <v>114.55</v>
      </c>
    </row>
    <row r="1483" spans="2:9" ht="30">
      <c r="B1483" s="395">
        <v>102703</v>
      </c>
      <c r="C1483" s="406" t="s">
        <v>7329</v>
      </c>
      <c r="D1483" s="395" t="s">
        <v>22</v>
      </c>
      <c r="E1483" s="407">
        <f t="shared" si="46"/>
        <v>177.95</v>
      </c>
      <c r="F1483">
        <f t="shared" si="47"/>
        <v>102703</v>
      </c>
      <c r="H1483" s="680">
        <v>177.95</v>
      </c>
      <c r="I1483" s="680">
        <v>179.18</v>
      </c>
    </row>
    <row r="1484" spans="2:9">
      <c r="B1484" s="396">
        <v>102704</v>
      </c>
      <c r="C1484" s="401" t="s">
        <v>5720</v>
      </c>
      <c r="D1484" s="396" t="s">
        <v>22</v>
      </c>
      <c r="E1484" s="405">
        <f t="shared" si="46"/>
        <v>11.7</v>
      </c>
      <c r="F1484">
        <f t="shared" si="47"/>
        <v>102704</v>
      </c>
      <c r="H1484" s="679">
        <v>11.7</v>
      </c>
      <c r="I1484" s="679">
        <v>11.74</v>
      </c>
    </row>
    <row r="1485" spans="2:9">
      <c r="B1485" s="395">
        <v>102705</v>
      </c>
      <c r="C1485" s="406" t="s">
        <v>7330</v>
      </c>
      <c r="D1485" s="395" t="s">
        <v>22</v>
      </c>
      <c r="E1485" s="407">
        <f t="shared" si="46"/>
        <v>75.66</v>
      </c>
      <c r="F1485">
        <f t="shared" si="47"/>
        <v>102705</v>
      </c>
      <c r="H1485" s="680">
        <v>75.66</v>
      </c>
      <c r="I1485" s="680">
        <v>75.7</v>
      </c>
    </row>
    <row r="1486" spans="2:9">
      <c r="B1486" s="396">
        <v>102707</v>
      </c>
      <c r="C1486" s="401" t="s">
        <v>5721</v>
      </c>
      <c r="D1486" s="396" t="s">
        <v>22</v>
      </c>
      <c r="E1486" s="405">
        <f t="shared" si="46"/>
        <v>42.99</v>
      </c>
      <c r="F1486">
        <f t="shared" si="47"/>
        <v>102707</v>
      </c>
      <c r="H1486" s="679">
        <v>42.99</v>
      </c>
      <c r="I1486" s="679">
        <v>43.43</v>
      </c>
    </row>
    <row r="1487" spans="2:9" ht="30">
      <c r="B1487" s="395">
        <v>102708</v>
      </c>
      <c r="C1487" s="406" t="s">
        <v>5722</v>
      </c>
      <c r="D1487" s="395" t="s">
        <v>23</v>
      </c>
      <c r="E1487" s="407">
        <f t="shared" si="46"/>
        <v>22.21</v>
      </c>
      <c r="F1487">
        <f t="shared" si="47"/>
        <v>102708</v>
      </c>
      <c r="H1487" s="680">
        <v>22.21</v>
      </c>
      <c r="I1487" s="680">
        <v>23.75</v>
      </c>
    </row>
    <row r="1488" spans="2:9" ht="30">
      <c r="B1488" s="396">
        <v>102710</v>
      </c>
      <c r="C1488" s="401" t="s">
        <v>5723</v>
      </c>
      <c r="D1488" s="396" t="s">
        <v>23</v>
      </c>
      <c r="E1488" s="405">
        <f t="shared" si="46"/>
        <v>57.84</v>
      </c>
      <c r="F1488">
        <f t="shared" si="47"/>
        <v>102710</v>
      </c>
      <c r="H1488" s="679">
        <v>57.84</v>
      </c>
      <c r="I1488" s="679">
        <v>60.93</v>
      </c>
    </row>
    <row r="1489" spans="2:9" ht="30">
      <c r="B1489" s="395">
        <v>102711</v>
      </c>
      <c r="C1489" s="406" t="s">
        <v>5724</v>
      </c>
      <c r="D1489" s="395" t="s">
        <v>23</v>
      </c>
      <c r="E1489" s="407">
        <f t="shared" si="46"/>
        <v>79.790000000000006</v>
      </c>
      <c r="F1489">
        <f t="shared" si="47"/>
        <v>102711</v>
      </c>
      <c r="H1489" s="680">
        <v>79.790000000000006</v>
      </c>
      <c r="I1489" s="680">
        <v>82.88</v>
      </c>
    </row>
    <row r="1490" spans="2:9" ht="30">
      <c r="B1490" s="396">
        <v>102712</v>
      </c>
      <c r="C1490" s="401" t="s">
        <v>5725</v>
      </c>
      <c r="D1490" s="396" t="s">
        <v>0</v>
      </c>
      <c r="E1490" s="405">
        <f t="shared" si="46"/>
        <v>9.5299999999999994</v>
      </c>
      <c r="F1490">
        <f t="shared" si="47"/>
        <v>102712</v>
      </c>
      <c r="H1490" s="679">
        <v>9.5299999999999994</v>
      </c>
      <c r="I1490" s="679">
        <v>9.57</v>
      </c>
    </row>
    <row r="1491" spans="2:9" ht="30">
      <c r="B1491" s="395">
        <v>102713</v>
      </c>
      <c r="C1491" s="406" t="s">
        <v>5726</v>
      </c>
      <c r="D1491" s="395" t="s">
        <v>0</v>
      </c>
      <c r="E1491" s="407">
        <f t="shared" si="46"/>
        <v>13.15</v>
      </c>
      <c r="F1491">
        <f t="shared" si="47"/>
        <v>102713</v>
      </c>
      <c r="H1491" s="680">
        <v>13.15</v>
      </c>
      <c r="I1491" s="680">
        <v>13.19</v>
      </c>
    </row>
    <row r="1492" spans="2:9" ht="30">
      <c r="B1492" s="396">
        <v>102715</v>
      </c>
      <c r="C1492" s="401" t="s">
        <v>5727</v>
      </c>
      <c r="D1492" s="396" t="s">
        <v>0</v>
      </c>
      <c r="E1492" s="405">
        <f t="shared" si="46"/>
        <v>26.13</v>
      </c>
      <c r="F1492">
        <f t="shared" si="47"/>
        <v>102715</v>
      </c>
      <c r="H1492" s="679">
        <v>26.13</v>
      </c>
      <c r="I1492" s="679">
        <v>26.17</v>
      </c>
    </row>
    <row r="1493" spans="2:9">
      <c r="B1493" s="395">
        <v>102716</v>
      </c>
      <c r="C1493" s="406" t="s">
        <v>5728</v>
      </c>
      <c r="D1493" s="395" t="s">
        <v>20</v>
      </c>
      <c r="E1493" s="407">
        <f t="shared" si="46"/>
        <v>163.47</v>
      </c>
      <c r="F1493">
        <f t="shared" si="47"/>
        <v>102716</v>
      </c>
      <c r="H1493" s="680">
        <v>163.47</v>
      </c>
      <c r="I1493" s="680">
        <v>164.61</v>
      </c>
    </row>
    <row r="1494" spans="2:9">
      <c r="B1494" s="396">
        <v>102717</v>
      </c>
      <c r="C1494" s="401" t="s">
        <v>5729</v>
      </c>
      <c r="D1494" s="396" t="s">
        <v>20</v>
      </c>
      <c r="E1494" s="405">
        <f t="shared" si="46"/>
        <v>143.72999999999999</v>
      </c>
      <c r="F1494">
        <f t="shared" si="47"/>
        <v>102717</v>
      </c>
      <c r="H1494" s="679">
        <v>143.72999999999999</v>
      </c>
      <c r="I1494" s="679">
        <v>144.87</v>
      </c>
    </row>
    <row r="1495" spans="2:9">
      <c r="B1495" s="395">
        <v>102718</v>
      </c>
      <c r="C1495" s="406" t="s">
        <v>5730</v>
      </c>
      <c r="D1495" s="395" t="s">
        <v>20</v>
      </c>
      <c r="E1495" s="407">
        <f t="shared" si="46"/>
        <v>170.07</v>
      </c>
      <c r="F1495">
        <f t="shared" si="47"/>
        <v>102718</v>
      </c>
      <c r="H1495" s="680">
        <v>170.07</v>
      </c>
      <c r="I1495" s="680">
        <v>173.07</v>
      </c>
    </row>
    <row r="1496" spans="2:9">
      <c r="B1496" s="396">
        <v>102719</v>
      </c>
      <c r="C1496" s="401" t="s">
        <v>5731</v>
      </c>
      <c r="D1496" s="396" t="s">
        <v>20</v>
      </c>
      <c r="E1496" s="405">
        <f t="shared" si="46"/>
        <v>150.33000000000001</v>
      </c>
      <c r="F1496">
        <f t="shared" si="47"/>
        <v>102719</v>
      </c>
      <c r="H1496" s="679">
        <v>150.33000000000001</v>
      </c>
      <c r="I1496" s="679">
        <v>153.33000000000001</v>
      </c>
    </row>
    <row r="1497" spans="2:9" ht="30">
      <c r="B1497" s="395">
        <v>102722</v>
      </c>
      <c r="C1497" s="406" t="s">
        <v>5732</v>
      </c>
      <c r="D1497" s="395" t="s">
        <v>22</v>
      </c>
      <c r="E1497" s="407">
        <f t="shared" si="46"/>
        <v>54.02</v>
      </c>
      <c r="F1497">
        <f t="shared" si="47"/>
        <v>102722</v>
      </c>
      <c r="H1497" s="680">
        <v>54.02</v>
      </c>
      <c r="I1497" s="680">
        <v>55.01</v>
      </c>
    </row>
    <row r="1498" spans="2:9" ht="30">
      <c r="B1498" s="396">
        <v>102723</v>
      </c>
      <c r="C1498" s="401" t="s">
        <v>5733</v>
      </c>
      <c r="D1498" s="396" t="s">
        <v>22</v>
      </c>
      <c r="E1498" s="405">
        <f t="shared" si="46"/>
        <v>54.55</v>
      </c>
      <c r="F1498">
        <f t="shared" si="47"/>
        <v>102723</v>
      </c>
      <c r="H1498" s="679">
        <v>54.55</v>
      </c>
      <c r="I1498" s="679">
        <v>55.54</v>
      </c>
    </row>
    <row r="1499" spans="2:9">
      <c r="B1499" s="395">
        <v>102724</v>
      </c>
      <c r="C1499" s="406" t="s">
        <v>5734</v>
      </c>
      <c r="D1499" s="395" t="s">
        <v>23</v>
      </c>
      <c r="E1499" s="407">
        <f t="shared" si="46"/>
        <v>29.96</v>
      </c>
      <c r="F1499">
        <f t="shared" si="47"/>
        <v>102724</v>
      </c>
      <c r="H1499" s="680">
        <v>29.96</v>
      </c>
      <c r="I1499" s="680">
        <v>30.91</v>
      </c>
    </row>
    <row r="1500" spans="2:9">
      <c r="B1500" s="396">
        <v>102725</v>
      </c>
      <c r="C1500" s="401" t="s">
        <v>5735</v>
      </c>
      <c r="D1500" s="396" t="s">
        <v>23</v>
      </c>
      <c r="E1500" s="405">
        <f t="shared" si="46"/>
        <v>29.23</v>
      </c>
      <c r="F1500">
        <f t="shared" si="47"/>
        <v>102725</v>
      </c>
      <c r="H1500" s="679">
        <v>29.23</v>
      </c>
      <c r="I1500" s="679">
        <v>30.18</v>
      </c>
    </row>
    <row r="1501" spans="2:9">
      <c r="B1501" s="395">
        <v>102726</v>
      </c>
      <c r="C1501" s="406" t="s">
        <v>5736</v>
      </c>
      <c r="D1501" s="395" t="s">
        <v>23</v>
      </c>
      <c r="E1501" s="407">
        <f t="shared" si="46"/>
        <v>26.91</v>
      </c>
      <c r="F1501">
        <f t="shared" si="47"/>
        <v>102726</v>
      </c>
      <c r="H1501" s="680">
        <v>26.91</v>
      </c>
      <c r="I1501" s="680">
        <v>27.86</v>
      </c>
    </row>
    <row r="1502" spans="2:9" ht="30">
      <c r="B1502" s="396">
        <v>103653</v>
      </c>
      <c r="C1502" s="401" t="s">
        <v>6445</v>
      </c>
      <c r="D1502" s="396" t="s">
        <v>0</v>
      </c>
      <c r="E1502" s="405">
        <f t="shared" si="46"/>
        <v>31.24</v>
      </c>
      <c r="F1502">
        <f t="shared" si="47"/>
        <v>103653</v>
      </c>
      <c r="H1502" s="679">
        <v>31.24</v>
      </c>
      <c r="I1502" s="679">
        <v>31.28</v>
      </c>
    </row>
    <row r="1503" spans="2:9" ht="30">
      <c r="B1503" s="395">
        <v>92743</v>
      </c>
      <c r="C1503" s="406" t="s">
        <v>2776</v>
      </c>
      <c r="D1503" s="395" t="s">
        <v>20</v>
      </c>
      <c r="E1503" s="407">
        <f t="shared" si="46"/>
        <v>641.12</v>
      </c>
      <c r="F1503">
        <f t="shared" si="47"/>
        <v>92743</v>
      </c>
      <c r="H1503" s="680">
        <v>641.12</v>
      </c>
      <c r="I1503" s="680">
        <v>654.36</v>
      </c>
    </row>
    <row r="1504" spans="2:9" ht="30">
      <c r="B1504" s="396">
        <v>92744</v>
      </c>
      <c r="C1504" s="401" t="s">
        <v>2777</v>
      </c>
      <c r="D1504" s="396" t="s">
        <v>20</v>
      </c>
      <c r="E1504" s="405">
        <f t="shared" si="46"/>
        <v>622.33000000000004</v>
      </c>
      <c r="F1504">
        <f t="shared" si="47"/>
        <v>92744</v>
      </c>
      <c r="H1504" s="679">
        <v>622.33000000000004</v>
      </c>
      <c r="I1504" s="679">
        <v>628.74</v>
      </c>
    </row>
    <row r="1505" spans="2:9" ht="30">
      <c r="B1505" s="395">
        <v>92745</v>
      </c>
      <c r="C1505" s="406" t="s">
        <v>2778</v>
      </c>
      <c r="D1505" s="395" t="s">
        <v>20</v>
      </c>
      <c r="E1505" s="407">
        <f t="shared" si="46"/>
        <v>791.05</v>
      </c>
      <c r="F1505">
        <f t="shared" si="47"/>
        <v>92745</v>
      </c>
      <c r="H1505" s="680">
        <v>791.05</v>
      </c>
      <c r="I1505" s="680">
        <v>807</v>
      </c>
    </row>
    <row r="1506" spans="2:9" ht="30">
      <c r="B1506" s="396">
        <v>92746</v>
      </c>
      <c r="C1506" s="401" t="s">
        <v>2863</v>
      </c>
      <c r="D1506" s="396" t="s">
        <v>20</v>
      </c>
      <c r="E1506" s="405">
        <f t="shared" si="46"/>
        <v>732.9</v>
      </c>
      <c r="F1506">
        <f t="shared" si="47"/>
        <v>92746</v>
      </c>
      <c r="H1506" s="679">
        <v>732.9</v>
      </c>
      <c r="I1506" s="679">
        <v>741.91</v>
      </c>
    </row>
    <row r="1507" spans="2:9" ht="30">
      <c r="B1507" s="395">
        <v>92747</v>
      </c>
      <c r="C1507" s="406" t="s">
        <v>2864</v>
      </c>
      <c r="D1507" s="395" t="s">
        <v>20</v>
      </c>
      <c r="E1507" s="407">
        <f t="shared" si="46"/>
        <v>876.51</v>
      </c>
      <c r="F1507">
        <f t="shared" si="47"/>
        <v>92747</v>
      </c>
      <c r="H1507" s="680">
        <v>876.51</v>
      </c>
      <c r="I1507" s="680">
        <v>894</v>
      </c>
    </row>
    <row r="1508" spans="2:9" ht="30">
      <c r="B1508" s="396">
        <v>92748</v>
      </c>
      <c r="C1508" s="401" t="s">
        <v>2779</v>
      </c>
      <c r="D1508" s="396" t="s">
        <v>20</v>
      </c>
      <c r="E1508" s="405">
        <f t="shared" si="46"/>
        <v>796.25</v>
      </c>
      <c r="F1508">
        <f t="shared" si="47"/>
        <v>92748</v>
      </c>
      <c r="H1508" s="679">
        <v>796.25</v>
      </c>
      <c r="I1508" s="679">
        <v>806.81</v>
      </c>
    </row>
    <row r="1509" spans="2:9" ht="30">
      <c r="B1509" s="395">
        <v>92749</v>
      </c>
      <c r="C1509" s="406" t="s">
        <v>2865</v>
      </c>
      <c r="D1509" s="395" t="s">
        <v>20</v>
      </c>
      <c r="E1509" s="407">
        <f t="shared" si="46"/>
        <v>915.73</v>
      </c>
      <c r="F1509">
        <f t="shared" si="47"/>
        <v>92749</v>
      </c>
      <c r="H1509" s="680">
        <v>915.73</v>
      </c>
      <c r="I1509" s="680">
        <v>928.83</v>
      </c>
    </row>
    <row r="1510" spans="2:9" ht="30">
      <c r="B1510" s="396">
        <v>92750</v>
      </c>
      <c r="C1510" s="401" t="s">
        <v>2866</v>
      </c>
      <c r="D1510" s="396" t="s">
        <v>20</v>
      </c>
      <c r="E1510" s="405">
        <f t="shared" si="46"/>
        <v>1565.64</v>
      </c>
      <c r="F1510">
        <f t="shared" si="47"/>
        <v>92750</v>
      </c>
      <c r="H1510" s="679">
        <v>1565.64</v>
      </c>
      <c r="I1510" s="679">
        <v>1583.64</v>
      </c>
    </row>
    <row r="1511" spans="2:9" ht="30">
      <c r="B1511" s="395">
        <v>92751</v>
      </c>
      <c r="C1511" s="406" t="s">
        <v>2867</v>
      </c>
      <c r="D1511" s="395" t="s">
        <v>20</v>
      </c>
      <c r="E1511" s="407">
        <f t="shared" si="46"/>
        <v>1943.43</v>
      </c>
      <c r="F1511">
        <f t="shared" si="47"/>
        <v>92751</v>
      </c>
      <c r="H1511" s="680">
        <v>1943.43</v>
      </c>
      <c r="I1511" s="680">
        <v>1964.21</v>
      </c>
    </row>
    <row r="1512" spans="2:9" ht="30">
      <c r="B1512" s="396">
        <v>92752</v>
      </c>
      <c r="C1512" s="401" t="s">
        <v>2868</v>
      </c>
      <c r="D1512" s="396" t="s">
        <v>20</v>
      </c>
      <c r="E1512" s="405">
        <f t="shared" si="46"/>
        <v>2319.86</v>
      </c>
      <c r="F1512">
        <f t="shared" si="47"/>
        <v>92752</v>
      </c>
      <c r="H1512" s="679">
        <v>2319.86</v>
      </c>
      <c r="I1512" s="679">
        <v>2343.29</v>
      </c>
    </row>
    <row r="1513" spans="2:9" ht="30">
      <c r="B1513" s="395">
        <v>92753</v>
      </c>
      <c r="C1513" s="406" t="s">
        <v>2869</v>
      </c>
      <c r="D1513" s="395" t="s">
        <v>20</v>
      </c>
      <c r="E1513" s="407">
        <f t="shared" si="46"/>
        <v>598.63</v>
      </c>
      <c r="F1513">
        <f t="shared" si="47"/>
        <v>92753</v>
      </c>
      <c r="H1513" s="680">
        <v>598.63</v>
      </c>
      <c r="I1513" s="680">
        <v>607.86</v>
      </c>
    </row>
    <row r="1514" spans="2:9" ht="45">
      <c r="B1514" s="396">
        <v>92754</v>
      </c>
      <c r="C1514" s="401" t="s">
        <v>2870</v>
      </c>
      <c r="D1514" s="396" t="s">
        <v>20</v>
      </c>
      <c r="E1514" s="405">
        <f t="shared" si="46"/>
        <v>546.87</v>
      </c>
      <c r="F1514">
        <f t="shared" si="47"/>
        <v>92754</v>
      </c>
      <c r="H1514" s="679">
        <v>546.87</v>
      </c>
      <c r="I1514" s="679">
        <v>555.38</v>
      </c>
    </row>
    <row r="1515" spans="2:9" ht="30">
      <c r="B1515" s="395">
        <v>92755</v>
      </c>
      <c r="C1515" s="406" t="s">
        <v>1342</v>
      </c>
      <c r="D1515" s="395" t="s">
        <v>0</v>
      </c>
      <c r="E1515" s="407">
        <f t="shared" si="46"/>
        <v>232.61</v>
      </c>
      <c r="F1515">
        <f t="shared" si="47"/>
        <v>92755</v>
      </c>
      <c r="H1515" s="680">
        <v>232.61</v>
      </c>
      <c r="I1515" s="680">
        <v>236.97</v>
      </c>
    </row>
    <row r="1516" spans="2:9" ht="30">
      <c r="B1516" s="396">
        <v>92756</v>
      </c>
      <c r="C1516" s="401" t="s">
        <v>1343</v>
      </c>
      <c r="D1516" s="396" t="s">
        <v>0</v>
      </c>
      <c r="E1516" s="405">
        <f t="shared" si="46"/>
        <v>264.45</v>
      </c>
      <c r="F1516">
        <f t="shared" si="47"/>
        <v>92756</v>
      </c>
      <c r="H1516" s="679">
        <v>264.45</v>
      </c>
      <c r="I1516" s="679">
        <v>269.62</v>
      </c>
    </row>
    <row r="1517" spans="2:9" ht="30">
      <c r="B1517" s="395">
        <v>92757</v>
      </c>
      <c r="C1517" s="406" t="s">
        <v>1344</v>
      </c>
      <c r="D1517" s="395" t="s">
        <v>0</v>
      </c>
      <c r="E1517" s="407">
        <f t="shared" si="46"/>
        <v>303.10000000000002</v>
      </c>
      <c r="F1517">
        <f t="shared" si="47"/>
        <v>92757</v>
      </c>
      <c r="H1517" s="680">
        <v>303.10000000000002</v>
      </c>
      <c r="I1517" s="680">
        <v>309.23</v>
      </c>
    </row>
    <row r="1518" spans="2:9" ht="30">
      <c r="B1518" s="396">
        <v>92758</v>
      </c>
      <c r="C1518" s="401" t="s">
        <v>1345</v>
      </c>
      <c r="D1518" s="396" t="s">
        <v>20</v>
      </c>
      <c r="E1518" s="405">
        <f t="shared" si="46"/>
        <v>725.23</v>
      </c>
      <c r="F1518">
        <f t="shared" si="47"/>
        <v>92758</v>
      </c>
      <c r="H1518" s="679">
        <v>725.23</v>
      </c>
      <c r="I1518" s="679">
        <v>735.2</v>
      </c>
    </row>
    <row r="1519" spans="2:9" ht="30">
      <c r="B1519" s="395">
        <v>91069</v>
      </c>
      <c r="C1519" s="406" t="s">
        <v>1346</v>
      </c>
      <c r="D1519" s="395" t="s">
        <v>0</v>
      </c>
      <c r="E1519" s="407">
        <f t="shared" si="46"/>
        <v>133.18</v>
      </c>
      <c r="F1519">
        <f t="shared" si="47"/>
        <v>91069</v>
      </c>
      <c r="H1519" s="680">
        <v>133.18</v>
      </c>
      <c r="I1519" s="680">
        <v>135.53</v>
      </c>
    </row>
    <row r="1520" spans="2:9" ht="30">
      <c r="B1520" s="396">
        <v>91070</v>
      </c>
      <c r="C1520" s="401" t="s">
        <v>1347</v>
      </c>
      <c r="D1520" s="396" t="s">
        <v>0</v>
      </c>
      <c r="E1520" s="405">
        <f t="shared" si="46"/>
        <v>148.29</v>
      </c>
      <c r="F1520">
        <f t="shared" si="47"/>
        <v>91070</v>
      </c>
      <c r="H1520" s="679">
        <v>148.29</v>
      </c>
      <c r="I1520" s="679">
        <v>150.79</v>
      </c>
    </row>
    <row r="1521" spans="2:9" ht="30">
      <c r="B1521" s="395">
        <v>91071</v>
      </c>
      <c r="C1521" s="406" t="s">
        <v>1348</v>
      </c>
      <c r="D1521" s="395" t="s">
        <v>0</v>
      </c>
      <c r="E1521" s="407">
        <f t="shared" si="46"/>
        <v>168.9</v>
      </c>
      <c r="F1521">
        <f t="shared" si="47"/>
        <v>91071</v>
      </c>
      <c r="H1521" s="680">
        <v>168.9</v>
      </c>
      <c r="I1521" s="680">
        <v>174.56</v>
      </c>
    </row>
    <row r="1522" spans="2:9" ht="30">
      <c r="B1522" s="396">
        <v>91072</v>
      </c>
      <c r="C1522" s="401" t="s">
        <v>1349</v>
      </c>
      <c r="D1522" s="396" t="s">
        <v>0</v>
      </c>
      <c r="E1522" s="405">
        <f t="shared" si="46"/>
        <v>183.94</v>
      </c>
      <c r="F1522">
        <f t="shared" si="47"/>
        <v>91072</v>
      </c>
      <c r="H1522" s="679">
        <v>183.94</v>
      </c>
      <c r="I1522" s="679">
        <v>189.77</v>
      </c>
    </row>
    <row r="1523" spans="2:9" ht="30">
      <c r="B1523" s="395">
        <v>91073</v>
      </c>
      <c r="C1523" s="406" t="s">
        <v>1350</v>
      </c>
      <c r="D1523" s="395" t="s">
        <v>0</v>
      </c>
      <c r="E1523" s="407">
        <f t="shared" si="46"/>
        <v>144.5</v>
      </c>
      <c r="F1523">
        <f t="shared" si="47"/>
        <v>91073</v>
      </c>
      <c r="H1523" s="680">
        <v>144.5</v>
      </c>
      <c r="I1523" s="680">
        <v>148.09</v>
      </c>
    </row>
    <row r="1524" spans="2:9" ht="30">
      <c r="B1524" s="396">
        <v>91074</v>
      </c>
      <c r="C1524" s="401" t="s">
        <v>1351</v>
      </c>
      <c r="D1524" s="396" t="s">
        <v>0</v>
      </c>
      <c r="E1524" s="405">
        <f t="shared" si="46"/>
        <v>160.84</v>
      </c>
      <c r="F1524">
        <f t="shared" si="47"/>
        <v>91074</v>
      </c>
      <c r="H1524" s="679">
        <v>160.84</v>
      </c>
      <c r="I1524" s="679">
        <v>164.68</v>
      </c>
    </row>
    <row r="1525" spans="2:9" ht="30">
      <c r="B1525" s="395">
        <v>91075</v>
      </c>
      <c r="C1525" s="406" t="s">
        <v>1352</v>
      </c>
      <c r="D1525" s="395" t="s">
        <v>0</v>
      </c>
      <c r="E1525" s="407">
        <f t="shared" si="46"/>
        <v>181.63</v>
      </c>
      <c r="F1525">
        <f t="shared" si="47"/>
        <v>91075</v>
      </c>
      <c r="H1525" s="680">
        <v>181.63</v>
      </c>
      <c r="I1525" s="680">
        <v>188.92</v>
      </c>
    </row>
    <row r="1526" spans="2:9" ht="30">
      <c r="B1526" s="396">
        <v>91076</v>
      </c>
      <c r="C1526" s="401" t="s">
        <v>1353</v>
      </c>
      <c r="D1526" s="396" t="s">
        <v>0</v>
      </c>
      <c r="E1526" s="405">
        <f t="shared" si="46"/>
        <v>197.95</v>
      </c>
      <c r="F1526">
        <f t="shared" si="47"/>
        <v>91076</v>
      </c>
      <c r="H1526" s="679">
        <v>197.95</v>
      </c>
      <c r="I1526" s="679">
        <v>205.51</v>
      </c>
    </row>
    <row r="1527" spans="2:9" ht="30">
      <c r="B1527" s="395">
        <v>91077</v>
      </c>
      <c r="C1527" s="406" t="s">
        <v>1354</v>
      </c>
      <c r="D1527" s="395" t="s">
        <v>0</v>
      </c>
      <c r="E1527" s="407">
        <f t="shared" si="46"/>
        <v>159.57</v>
      </c>
      <c r="F1527">
        <f t="shared" si="47"/>
        <v>91077</v>
      </c>
      <c r="H1527" s="680">
        <v>159.57</v>
      </c>
      <c r="I1527" s="680">
        <v>161.19</v>
      </c>
    </row>
    <row r="1528" spans="2:9" ht="30">
      <c r="B1528" s="396">
        <v>91078</v>
      </c>
      <c r="C1528" s="401" t="s">
        <v>1355</v>
      </c>
      <c r="D1528" s="396" t="s">
        <v>0</v>
      </c>
      <c r="E1528" s="405">
        <f t="shared" si="46"/>
        <v>188.72</v>
      </c>
      <c r="F1528">
        <f t="shared" si="47"/>
        <v>91078</v>
      </c>
      <c r="H1528" s="679">
        <v>188.72</v>
      </c>
      <c r="I1528" s="679">
        <v>190.47</v>
      </c>
    </row>
    <row r="1529" spans="2:9" ht="30">
      <c r="B1529" s="395">
        <v>91079</v>
      </c>
      <c r="C1529" s="406" t="s">
        <v>1356</v>
      </c>
      <c r="D1529" s="395" t="s">
        <v>0</v>
      </c>
      <c r="E1529" s="407">
        <f t="shared" si="46"/>
        <v>164.91</v>
      </c>
      <c r="F1529">
        <f t="shared" si="47"/>
        <v>91079</v>
      </c>
      <c r="H1529" s="680">
        <v>164.91</v>
      </c>
      <c r="I1529" s="680">
        <v>167.02</v>
      </c>
    </row>
    <row r="1530" spans="2:9" ht="30">
      <c r="B1530" s="396">
        <v>91080</v>
      </c>
      <c r="C1530" s="401" t="s">
        <v>1357</v>
      </c>
      <c r="D1530" s="396" t="s">
        <v>0</v>
      </c>
      <c r="E1530" s="405">
        <f t="shared" si="46"/>
        <v>193.81</v>
      </c>
      <c r="F1530">
        <f t="shared" si="47"/>
        <v>91080</v>
      </c>
      <c r="H1530" s="679">
        <v>193.81</v>
      </c>
      <c r="I1530" s="679">
        <v>196.05</v>
      </c>
    </row>
    <row r="1531" spans="2:9" ht="30">
      <c r="B1531" s="395">
        <v>91081</v>
      </c>
      <c r="C1531" s="406" t="s">
        <v>1358</v>
      </c>
      <c r="D1531" s="395" t="s">
        <v>0</v>
      </c>
      <c r="E1531" s="407">
        <f t="shared" si="46"/>
        <v>172.58</v>
      </c>
      <c r="F1531">
        <f t="shared" si="47"/>
        <v>91081</v>
      </c>
      <c r="H1531" s="680">
        <v>172.58</v>
      </c>
      <c r="I1531" s="680">
        <v>175.53</v>
      </c>
    </row>
    <row r="1532" spans="2:9" ht="30">
      <c r="B1532" s="396">
        <v>91082</v>
      </c>
      <c r="C1532" s="401" t="s">
        <v>1359</v>
      </c>
      <c r="D1532" s="396" t="s">
        <v>0</v>
      </c>
      <c r="E1532" s="405">
        <f t="shared" si="46"/>
        <v>202.8</v>
      </c>
      <c r="F1532">
        <f t="shared" si="47"/>
        <v>91082</v>
      </c>
      <c r="H1532" s="679">
        <v>202.8</v>
      </c>
      <c r="I1532" s="679">
        <v>205.98</v>
      </c>
    </row>
    <row r="1533" spans="2:9" ht="30">
      <c r="B1533" s="395">
        <v>91083</v>
      </c>
      <c r="C1533" s="406" t="s">
        <v>1360</v>
      </c>
      <c r="D1533" s="395" t="s">
        <v>0</v>
      </c>
      <c r="E1533" s="407">
        <f t="shared" si="46"/>
        <v>181.71</v>
      </c>
      <c r="F1533">
        <f t="shared" si="47"/>
        <v>91083</v>
      </c>
      <c r="H1533" s="680">
        <v>181.71</v>
      </c>
      <c r="I1533" s="680">
        <v>185.57</v>
      </c>
    </row>
    <row r="1534" spans="2:9" ht="30">
      <c r="B1534" s="396">
        <v>91084</v>
      </c>
      <c r="C1534" s="401" t="s">
        <v>1361</v>
      </c>
      <c r="D1534" s="396" t="s">
        <v>0</v>
      </c>
      <c r="E1534" s="405">
        <f t="shared" si="46"/>
        <v>211.65</v>
      </c>
      <c r="F1534">
        <f t="shared" si="47"/>
        <v>91084</v>
      </c>
      <c r="H1534" s="679">
        <v>211.65</v>
      </c>
      <c r="I1534" s="679">
        <v>215.73</v>
      </c>
    </row>
    <row r="1535" spans="2:9" ht="30">
      <c r="B1535" s="395">
        <v>91086</v>
      </c>
      <c r="C1535" s="406" t="s">
        <v>1362</v>
      </c>
      <c r="D1535" s="395" t="s">
        <v>0</v>
      </c>
      <c r="E1535" s="407">
        <f t="shared" si="46"/>
        <v>142.55000000000001</v>
      </c>
      <c r="F1535">
        <f t="shared" si="47"/>
        <v>91086</v>
      </c>
      <c r="H1535" s="680">
        <v>142.55000000000001</v>
      </c>
      <c r="I1535" s="680">
        <v>145.72</v>
      </c>
    </row>
    <row r="1536" spans="2:9" ht="30">
      <c r="B1536" s="396">
        <v>91087</v>
      </c>
      <c r="C1536" s="401" t="s">
        <v>1363</v>
      </c>
      <c r="D1536" s="396" t="s">
        <v>0</v>
      </c>
      <c r="E1536" s="405">
        <f t="shared" si="46"/>
        <v>157.97</v>
      </c>
      <c r="F1536">
        <f t="shared" si="47"/>
        <v>91087</v>
      </c>
      <c r="H1536" s="679">
        <v>157.97</v>
      </c>
      <c r="I1536" s="679">
        <v>161.30000000000001</v>
      </c>
    </row>
    <row r="1537" spans="2:9" ht="30">
      <c r="B1537" s="395">
        <v>91088</v>
      </c>
      <c r="C1537" s="406" t="s">
        <v>331</v>
      </c>
      <c r="D1537" s="395" t="s">
        <v>0</v>
      </c>
      <c r="E1537" s="407">
        <f t="shared" si="46"/>
        <v>179.47</v>
      </c>
      <c r="F1537">
        <f t="shared" si="47"/>
        <v>91088</v>
      </c>
      <c r="H1537" s="680">
        <v>179.47</v>
      </c>
      <c r="I1537" s="680">
        <v>186.12</v>
      </c>
    </row>
    <row r="1538" spans="2:9" ht="30">
      <c r="B1538" s="396">
        <v>91089</v>
      </c>
      <c r="C1538" s="401" t="s">
        <v>332</v>
      </c>
      <c r="D1538" s="396" t="s">
        <v>0</v>
      </c>
      <c r="E1538" s="405">
        <f t="shared" si="46"/>
        <v>195.03</v>
      </c>
      <c r="F1538">
        <f t="shared" si="47"/>
        <v>91089</v>
      </c>
      <c r="H1538" s="679">
        <v>195.03</v>
      </c>
      <c r="I1538" s="679">
        <v>201.85</v>
      </c>
    </row>
    <row r="1539" spans="2:9" ht="30">
      <c r="B1539" s="395">
        <v>91090</v>
      </c>
      <c r="C1539" s="406" t="s">
        <v>1364</v>
      </c>
      <c r="D1539" s="395" t="s">
        <v>0</v>
      </c>
      <c r="E1539" s="407">
        <f t="shared" ref="E1539:E1602" si="48">IF($K$2=$H$1,H1539,I1539)</f>
        <v>151.91</v>
      </c>
      <c r="F1539">
        <f t="shared" ref="F1539:F1602" si="49">IF(LEN($B1539)=7,CONCATENATE(MID($B1539,1,6),"00",RIGHT($B1539,1)),IF(LEN($B1539)=8,CONCATENATE(MID($B1539,1,6),"0",RIGHT($B1539,2)),$B1539))</f>
        <v>91090</v>
      </c>
      <c r="H1539" s="680">
        <v>151.91</v>
      </c>
      <c r="I1539" s="680">
        <v>156.19</v>
      </c>
    </row>
    <row r="1540" spans="2:9" ht="30">
      <c r="B1540" s="396">
        <v>91091</v>
      </c>
      <c r="C1540" s="401" t="s">
        <v>1365</v>
      </c>
      <c r="D1540" s="396" t="s">
        <v>0</v>
      </c>
      <c r="E1540" s="405">
        <f t="shared" si="48"/>
        <v>168.71</v>
      </c>
      <c r="F1540">
        <f t="shared" si="49"/>
        <v>91091</v>
      </c>
      <c r="H1540" s="679">
        <v>168.71</v>
      </c>
      <c r="I1540" s="679">
        <v>173.28</v>
      </c>
    </row>
    <row r="1541" spans="2:9" ht="30">
      <c r="B1541" s="395">
        <v>91092</v>
      </c>
      <c r="C1541" s="406" t="s">
        <v>333</v>
      </c>
      <c r="D1541" s="395" t="s">
        <v>0</v>
      </c>
      <c r="E1541" s="407">
        <f t="shared" si="48"/>
        <v>189.81</v>
      </c>
      <c r="F1541">
        <f t="shared" si="49"/>
        <v>91092</v>
      </c>
      <c r="H1541" s="680">
        <v>189.81</v>
      </c>
      <c r="I1541" s="680">
        <v>197.91</v>
      </c>
    </row>
    <row r="1542" spans="2:9" ht="30">
      <c r="B1542" s="396">
        <v>91093</v>
      </c>
      <c r="C1542" s="401" t="s">
        <v>334</v>
      </c>
      <c r="D1542" s="396" t="s">
        <v>0</v>
      </c>
      <c r="E1542" s="405">
        <f t="shared" si="48"/>
        <v>206.89</v>
      </c>
      <c r="F1542">
        <f t="shared" si="49"/>
        <v>91093</v>
      </c>
      <c r="H1542" s="679">
        <v>206.89</v>
      </c>
      <c r="I1542" s="679">
        <v>215.32</v>
      </c>
    </row>
    <row r="1543" spans="2:9" ht="30">
      <c r="B1543" s="395">
        <v>91094</v>
      </c>
      <c r="C1543" s="406" t="s">
        <v>1366</v>
      </c>
      <c r="D1543" s="395" t="s">
        <v>0</v>
      </c>
      <c r="E1543" s="407">
        <f t="shared" si="48"/>
        <v>164.81</v>
      </c>
      <c r="F1543">
        <f t="shared" si="49"/>
        <v>91094</v>
      </c>
      <c r="H1543" s="680">
        <v>164.81</v>
      </c>
      <c r="I1543" s="680">
        <v>166.99</v>
      </c>
    </row>
    <row r="1544" spans="2:9" ht="30">
      <c r="B1544" s="396">
        <v>91095</v>
      </c>
      <c r="C1544" s="401" t="s">
        <v>1367</v>
      </c>
      <c r="D1544" s="396" t="s">
        <v>0</v>
      </c>
      <c r="E1544" s="405">
        <f t="shared" si="48"/>
        <v>194.35</v>
      </c>
      <c r="F1544">
        <f t="shared" si="49"/>
        <v>91095</v>
      </c>
      <c r="H1544" s="679">
        <v>194.35</v>
      </c>
      <c r="I1544" s="679">
        <v>196.67</v>
      </c>
    </row>
    <row r="1545" spans="2:9" ht="30">
      <c r="B1545" s="395">
        <v>91096</v>
      </c>
      <c r="C1545" s="406" t="s">
        <v>1368</v>
      </c>
      <c r="D1545" s="395" t="s">
        <v>0</v>
      </c>
      <c r="E1545" s="407">
        <f t="shared" si="48"/>
        <v>167.58</v>
      </c>
      <c r="F1545">
        <f t="shared" si="49"/>
        <v>91096</v>
      </c>
      <c r="H1545" s="680">
        <v>167.58</v>
      </c>
      <c r="I1545" s="680">
        <v>170.04</v>
      </c>
    </row>
    <row r="1546" spans="2:9" ht="30">
      <c r="B1546" s="396">
        <v>91097</v>
      </c>
      <c r="C1546" s="401" t="s">
        <v>1369</v>
      </c>
      <c r="D1546" s="396" t="s">
        <v>0</v>
      </c>
      <c r="E1546" s="405">
        <f t="shared" si="48"/>
        <v>196.92</v>
      </c>
      <c r="F1546">
        <f t="shared" si="49"/>
        <v>91097</v>
      </c>
      <c r="H1546" s="679">
        <v>196.92</v>
      </c>
      <c r="I1546" s="679">
        <v>199.53</v>
      </c>
    </row>
    <row r="1547" spans="2:9" ht="30">
      <c r="B1547" s="395">
        <v>91098</v>
      </c>
      <c r="C1547" s="406" t="s">
        <v>1370</v>
      </c>
      <c r="D1547" s="395" t="s">
        <v>0</v>
      </c>
      <c r="E1547" s="407">
        <f t="shared" si="48"/>
        <v>177.47</v>
      </c>
      <c r="F1547">
        <f t="shared" si="49"/>
        <v>91098</v>
      </c>
      <c r="H1547" s="680">
        <v>177.47</v>
      </c>
      <c r="I1547" s="680">
        <v>180.98</v>
      </c>
    </row>
    <row r="1548" spans="2:9" ht="30">
      <c r="B1548" s="396">
        <v>91099</v>
      </c>
      <c r="C1548" s="401" t="s">
        <v>1371</v>
      </c>
      <c r="D1548" s="396" t="s">
        <v>0</v>
      </c>
      <c r="E1548" s="405">
        <f t="shared" si="48"/>
        <v>208.14</v>
      </c>
      <c r="F1548">
        <f t="shared" si="49"/>
        <v>91099</v>
      </c>
      <c r="H1548" s="679">
        <v>208.14</v>
      </c>
      <c r="I1548" s="679">
        <v>211.93</v>
      </c>
    </row>
    <row r="1549" spans="2:9" ht="30">
      <c r="B1549" s="395">
        <v>91100</v>
      </c>
      <c r="C1549" s="406" t="s">
        <v>1372</v>
      </c>
      <c r="D1549" s="395" t="s">
        <v>0</v>
      </c>
      <c r="E1549" s="407">
        <f t="shared" si="48"/>
        <v>184.78</v>
      </c>
      <c r="F1549">
        <f t="shared" si="49"/>
        <v>91100</v>
      </c>
      <c r="H1549" s="680">
        <v>184.78</v>
      </c>
      <c r="I1549" s="680">
        <v>189.06</v>
      </c>
    </row>
    <row r="1550" spans="2:9" ht="30">
      <c r="B1550" s="396">
        <v>91101</v>
      </c>
      <c r="C1550" s="401" t="s">
        <v>1373</v>
      </c>
      <c r="D1550" s="396" t="s">
        <v>0</v>
      </c>
      <c r="E1550" s="405">
        <f t="shared" si="48"/>
        <v>215.36</v>
      </c>
      <c r="F1550">
        <f t="shared" si="49"/>
        <v>91101</v>
      </c>
      <c r="H1550" s="679">
        <v>215.36</v>
      </c>
      <c r="I1550" s="679">
        <v>219.91</v>
      </c>
    </row>
    <row r="1551" spans="2:9" ht="30">
      <c r="B1551" s="395">
        <v>93952</v>
      </c>
      <c r="C1551" s="406" t="s">
        <v>453</v>
      </c>
      <c r="D1551" s="395" t="s">
        <v>22</v>
      </c>
      <c r="E1551" s="407">
        <f t="shared" si="48"/>
        <v>220.65</v>
      </c>
      <c r="F1551">
        <f t="shared" si="49"/>
        <v>93952</v>
      </c>
      <c r="H1551" s="680">
        <v>220.65</v>
      </c>
      <c r="I1551" s="680">
        <v>231.4</v>
      </c>
    </row>
    <row r="1552" spans="2:9" ht="30">
      <c r="B1552" s="396">
        <v>93953</v>
      </c>
      <c r="C1552" s="401" t="s">
        <v>1374</v>
      </c>
      <c r="D1552" s="396" t="s">
        <v>22</v>
      </c>
      <c r="E1552" s="405">
        <f t="shared" si="48"/>
        <v>206.88</v>
      </c>
      <c r="F1552">
        <f t="shared" si="49"/>
        <v>93953</v>
      </c>
      <c r="H1552" s="679">
        <v>206.88</v>
      </c>
      <c r="I1552" s="679">
        <v>216.45</v>
      </c>
    </row>
    <row r="1553" spans="2:9" ht="30">
      <c r="B1553" s="395">
        <v>93954</v>
      </c>
      <c r="C1553" s="406" t="s">
        <v>1375</v>
      </c>
      <c r="D1553" s="395" t="s">
        <v>22</v>
      </c>
      <c r="E1553" s="407">
        <f t="shared" si="48"/>
        <v>198.59</v>
      </c>
      <c r="F1553">
        <f t="shared" si="49"/>
        <v>93954</v>
      </c>
      <c r="H1553" s="680">
        <v>198.59</v>
      </c>
      <c r="I1553" s="680">
        <v>207.46</v>
      </c>
    </row>
    <row r="1554" spans="2:9" ht="30">
      <c r="B1554" s="396">
        <v>93955</v>
      </c>
      <c r="C1554" s="401" t="s">
        <v>454</v>
      </c>
      <c r="D1554" s="396" t="s">
        <v>22</v>
      </c>
      <c r="E1554" s="405">
        <f t="shared" si="48"/>
        <v>192.66</v>
      </c>
      <c r="F1554">
        <f t="shared" si="49"/>
        <v>93955</v>
      </c>
      <c r="H1554" s="679">
        <v>192.66</v>
      </c>
      <c r="I1554" s="679">
        <v>201.08</v>
      </c>
    </row>
    <row r="1555" spans="2:9" ht="30">
      <c r="B1555" s="395">
        <v>93956</v>
      </c>
      <c r="C1555" s="406" t="s">
        <v>1376</v>
      </c>
      <c r="D1555" s="395" t="s">
        <v>22</v>
      </c>
      <c r="E1555" s="407">
        <f t="shared" si="48"/>
        <v>187.99</v>
      </c>
      <c r="F1555">
        <f t="shared" si="49"/>
        <v>93956</v>
      </c>
      <c r="H1555" s="680">
        <v>187.99</v>
      </c>
      <c r="I1555" s="680">
        <v>196.03</v>
      </c>
    </row>
    <row r="1556" spans="2:9" ht="30">
      <c r="B1556" s="396">
        <v>93957</v>
      </c>
      <c r="C1556" s="401" t="s">
        <v>455</v>
      </c>
      <c r="D1556" s="396" t="s">
        <v>22</v>
      </c>
      <c r="E1556" s="405">
        <f t="shared" si="48"/>
        <v>237.17</v>
      </c>
      <c r="F1556">
        <f t="shared" si="49"/>
        <v>93957</v>
      </c>
      <c r="H1556" s="679">
        <v>237.17</v>
      </c>
      <c r="I1556" s="679">
        <v>248.1</v>
      </c>
    </row>
    <row r="1557" spans="2:9" ht="30">
      <c r="B1557" s="395">
        <v>93958</v>
      </c>
      <c r="C1557" s="406" t="s">
        <v>1377</v>
      </c>
      <c r="D1557" s="395" t="s">
        <v>22</v>
      </c>
      <c r="E1557" s="407">
        <f t="shared" si="48"/>
        <v>222.56</v>
      </c>
      <c r="F1557">
        <f t="shared" si="49"/>
        <v>93958</v>
      </c>
      <c r="H1557" s="680">
        <v>222.56</v>
      </c>
      <c r="I1557" s="680">
        <v>232.27</v>
      </c>
    </row>
    <row r="1558" spans="2:9" ht="30">
      <c r="B1558" s="396">
        <v>93959</v>
      </c>
      <c r="C1558" s="401" t="s">
        <v>1378</v>
      </c>
      <c r="D1558" s="396" t="s">
        <v>22</v>
      </c>
      <c r="E1558" s="405">
        <f t="shared" si="48"/>
        <v>213.83</v>
      </c>
      <c r="F1558">
        <f t="shared" si="49"/>
        <v>93959</v>
      </c>
      <c r="H1558" s="679">
        <v>213.83</v>
      </c>
      <c r="I1558" s="679">
        <v>222.81</v>
      </c>
    </row>
    <row r="1559" spans="2:9" ht="30">
      <c r="B1559" s="395">
        <v>93960</v>
      </c>
      <c r="C1559" s="406" t="s">
        <v>456</v>
      </c>
      <c r="D1559" s="395" t="s">
        <v>22</v>
      </c>
      <c r="E1559" s="407">
        <f t="shared" si="48"/>
        <v>207.66</v>
      </c>
      <c r="F1559">
        <f t="shared" si="49"/>
        <v>93960</v>
      </c>
      <c r="H1559" s="680">
        <v>207.66</v>
      </c>
      <c r="I1559" s="680">
        <v>216.16</v>
      </c>
    </row>
    <row r="1560" spans="2:9" ht="30">
      <c r="B1560" s="396">
        <v>93961</v>
      </c>
      <c r="C1560" s="401" t="s">
        <v>1379</v>
      </c>
      <c r="D1560" s="396" t="s">
        <v>22</v>
      </c>
      <c r="E1560" s="405">
        <f t="shared" si="48"/>
        <v>202.8</v>
      </c>
      <c r="F1560">
        <f t="shared" si="49"/>
        <v>93961</v>
      </c>
      <c r="H1560" s="679">
        <v>202.8</v>
      </c>
      <c r="I1560" s="679">
        <v>210.92</v>
      </c>
    </row>
    <row r="1561" spans="2:9" ht="30">
      <c r="B1561" s="395">
        <v>93962</v>
      </c>
      <c r="C1561" s="406" t="s">
        <v>457</v>
      </c>
      <c r="D1561" s="395" t="s">
        <v>22</v>
      </c>
      <c r="E1561" s="407">
        <f t="shared" si="48"/>
        <v>205.63</v>
      </c>
      <c r="F1561">
        <f t="shared" si="49"/>
        <v>93962</v>
      </c>
      <c r="H1561" s="680">
        <v>205.63</v>
      </c>
      <c r="I1561" s="680">
        <v>215.97</v>
      </c>
    </row>
    <row r="1562" spans="2:9" ht="30">
      <c r="B1562" s="396">
        <v>93963</v>
      </c>
      <c r="C1562" s="401" t="s">
        <v>1380</v>
      </c>
      <c r="D1562" s="396" t="s">
        <v>22</v>
      </c>
      <c r="E1562" s="405">
        <f t="shared" si="48"/>
        <v>191.89</v>
      </c>
      <c r="F1562">
        <f t="shared" si="49"/>
        <v>93963</v>
      </c>
      <c r="H1562" s="679">
        <v>191.89</v>
      </c>
      <c r="I1562" s="679">
        <v>201.1</v>
      </c>
    </row>
    <row r="1563" spans="2:9" ht="30">
      <c r="B1563" s="395">
        <v>93964</v>
      </c>
      <c r="C1563" s="406" t="s">
        <v>1381</v>
      </c>
      <c r="D1563" s="395" t="s">
        <v>22</v>
      </c>
      <c r="E1563" s="407">
        <f t="shared" si="48"/>
        <v>183.66</v>
      </c>
      <c r="F1563">
        <f t="shared" si="49"/>
        <v>93964</v>
      </c>
      <c r="H1563" s="680">
        <v>183.66</v>
      </c>
      <c r="I1563" s="680">
        <v>192.18</v>
      </c>
    </row>
    <row r="1564" spans="2:9" ht="30">
      <c r="B1564" s="396">
        <v>93965</v>
      </c>
      <c r="C1564" s="401" t="s">
        <v>1382</v>
      </c>
      <c r="D1564" s="396" t="s">
        <v>22</v>
      </c>
      <c r="E1564" s="405">
        <f t="shared" si="48"/>
        <v>176.13</v>
      </c>
      <c r="F1564">
        <f t="shared" si="49"/>
        <v>93965</v>
      </c>
      <c r="H1564" s="679">
        <v>176.13</v>
      </c>
      <c r="I1564" s="679">
        <v>183.97</v>
      </c>
    </row>
    <row r="1565" spans="2:9" ht="30">
      <c r="B1565" s="395">
        <v>93966</v>
      </c>
      <c r="C1565" s="406" t="s">
        <v>1383</v>
      </c>
      <c r="D1565" s="395" t="s">
        <v>22</v>
      </c>
      <c r="E1565" s="407">
        <f t="shared" si="48"/>
        <v>173.12</v>
      </c>
      <c r="F1565">
        <f t="shared" si="49"/>
        <v>93966</v>
      </c>
      <c r="H1565" s="680">
        <v>173.12</v>
      </c>
      <c r="I1565" s="680">
        <v>180.78</v>
      </c>
    </row>
    <row r="1566" spans="2:9" ht="30">
      <c r="B1566" s="396">
        <v>93967</v>
      </c>
      <c r="C1566" s="401" t="s">
        <v>458</v>
      </c>
      <c r="D1566" s="396" t="s">
        <v>22</v>
      </c>
      <c r="E1566" s="405">
        <f t="shared" si="48"/>
        <v>222.15</v>
      </c>
      <c r="F1566">
        <f t="shared" si="49"/>
        <v>93967</v>
      </c>
      <c r="H1566" s="679">
        <v>222.15</v>
      </c>
      <c r="I1566" s="679">
        <v>232.71</v>
      </c>
    </row>
    <row r="1567" spans="2:9" ht="30">
      <c r="B1567" s="395">
        <v>93968</v>
      </c>
      <c r="C1567" s="406" t="s">
        <v>1384</v>
      </c>
      <c r="D1567" s="395" t="s">
        <v>22</v>
      </c>
      <c r="E1567" s="407">
        <f t="shared" si="48"/>
        <v>207.59</v>
      </c>
      <c r="F1567">
        <f t="shared" si="49"/>
        <v>93968</v>
      </c>
      <c r="H1567" s="680">
        <v>207.59</v>
      </c>
      <c r="I1567" s="680">
        <v>216.92</v>
      </c>
    </row>
    <row r="1568" spans="2:9" ht="30">
      <c r="B1568" s="396">
        <v>93969</v>
      </c>
      <c r="C1568" s="401" t="s">
        <v>1385</v>
      </c>
      <c r="D1568" s="396" t="s">
        <v>22</v>
      </c>
      <c r="E1568" s="405">
        <f t="shared" si="48"/>
        <v>198.91</v>
      </c>
      <c r="F1568">
        <f t="shared" si="49"/>
        <v>93969</v>
      </c>
      <c r="H1568" s="679">
        <v>198.91</v>
      </c>
      <c r="I1568" s="679">
        <v>207.53</v>
      </c>
    </row>
    <row r="1569" spans="2:9" ht="30">
      <c r="B1569" s="395">
        <v>93970</v>
      </c>
      <c r="C1569" s="406" t="s">
        <v>1386</v>
      </c>
      <c r="D1569" s="395" t="s">
        <v>22</v>
      </c>
      <c r="E1569" s="407">
        <f t="shared" si="48"/>
        <v>192.76</v>
      </c>
      <c r="F1569">
        <f t="shared" si="49"/>
        <v>93970</v>
      </c>
      <c r="H1569" s="680">
        <v>192.76</v>
      </c>
      <c r="I1569" s="680">
        <v>200.89</v>
      </c>
    </row>
    <row r="1570" spans="2:9" ht="30">
      <c r="B1570" s="396">
        <v>93971</v>
      </c>
      <c r="C1570" s="401" t="s">
        <v>1387</v>
      </c>
      <c r="D1570" s="396" t="s">
        <v>22</v>
      </c>
      <c r="E1570" s="405">
        <f t="shared" si="48"/>
        <v>182.51</v>
      </c>
      <c r="F1570">
        <f t="shared" si="49"/>
        <v>93971</v>
      </c>
      <c r="H1570" s="679">
        <v>182.51</v>
      </c>
      <c r="I1570" s="679">
        <v>190.12</v>
      </c>
    </row>
    <row r="1571" spans="2:9" ht="30">
      <c r="B1571" s="395">
        <v>95108</v>
      </c>
      <c r="C1571" s="406" t="s">
        <v>1388</v>
      </c>
      <c r="D1571" s="395" t="s">
        <v>23</v>
      </c>
      <c r="E1571" s="407">
        <f t="shared" si="48"/>
        <v>28.44</v>
      </c>
      <c r="F1571">
        <f t="shared" si="49"/>
        <v>95108</v>
      </c>
      <c r="H1571" s="680">
        <v>28.44</v>
      </c>
      <c r="I1571" s="680">
        <v>30.73</v>
      </c>
    </row>
    <row r="1572" spans="2:9">
      <c r="B1572" s="396">
        <v>100332</v>
      </c>
      <c r="C1572" s="401" t="s">
        <v>3235</v>
      </c>
      <c r="D1572" s="396" t="s">
        <v>0</v>
      </c>
      <c r="E1572" s="405">
        <f t="shared" si="48"/>
        <v>1068.43</v>
      </c>
      <c r="F1572">
        <f t="shared" si="49"/>
        <v>100332</v>
      </c>
      <c r="H1572" s="679">
        <v>1068.43</v>
      </c>
      <c r="I1572" s="679">
        <v>1075.83</v>
      </c>
    </row>
    <row r="1573" spans="2:9" ht="30">
      <c r="B1573" s="395">
        <v>100333</v>
      </c>
      <c r="C1573" s="406" t="s">
        <v>3236</v>
      </c>
      <c r="D1573" s="395" t="s">
        <v>0</v>
      </c>
      <c r="E1573" s="407">
        <f t="shared" si="48"/>
        <v>664.8</v>
      </c>
      <c r="F1573">
        <f t="shared" si="49"/>
        <v>100333</v>
      </c>
      <c r="H1573" s="680">
        <v>664.8</v>
      </c>
      <c r="I1573" s="680">
        <v>670.42</v>
      </c>
    </row>
    <row r="1574" spans="2:9">
      <c r="B1574" s="396">
        <v>100334</v>
      </c>
      <c r="C1574" s="401" t="s">
        <v>3237</v>
      </c>
      <c r="D1574" s="396" t="s">
        <v>0</v>
      </c>
      <c r="E1574" s="405">
        <f t="shared" si="48"/>
        <v>850.31</v>
      </c>
      <c r="F1574">
        <f t="shared" si="49"/>
        <v>100334</v>
      </c>
      <c r="H1574" s="679">
        <v>850.31</v>
      </c>
      <c r="I1574" s="679">
        <v>856.58</v>
      </c>
    </row>
    <row r="1575" spans="2:9" ht="30">
      <c r="B1575" s="395">
        <v>100335</v>
      </c>
      <c r="C1575" s="406" t="s">
        <v>3238</v>
      </c>
      <c r="D1575" s="395" t="s">
        <v>0</v>
      </c>
      <c r="E1575" s="407">
        <f t="shared" si="48"/>
        <v>547.59</v>
      </c>
      <c r="F1575">
        <f t="shared" si="49"/>
        <v>100335</v>
      </c>
      <c r="H1575" s="680">
        <v>547.59</v>
      </c>
      <c r="I1575" s="680">
        <v>552.53</v>
      </c>
    </row>
    <row r="1576" spans="2:9" ht="30">
      <c r="B1576" s="396">
        <v>100341</v>
      </c>
      <c r="C1576" s="401" t="s">
        <v>3239</v>
      </c>
      <c r="D1576" s="396" t="s">
        <v>0</v>
      </c>
      <c r="E1576" s="405">
        <f t="shared" si="48"/>
        <v>42.44</v>
      </c>
      <c r="F1576">
        <f t="shared" si="49"/>
        <v>100341</v>
      </c>
      <c r="H1576" s="679">
        <v>42.44</v>
      </c>
      <c r="I1576" s="679">
        <v>44.14</v>
      </c>
    </row>
    <row r="1577" spans="2:9">
      <c r="B1577" s="395">
        <v>100342</v>
      </c>
      <c r="C1577" s="406" t="s">
        <v>3240</v>
      </c>
      <c r="D1577" s="395" t="s">
        <v>21</v>
      </c>
      <c r="E1577" s="407">
        <f t="shared" si="48"/>
        <v>16.87</v>
      </c>
      <c r="F1577">
        <f t="shared" si="49"/>
        <v>100342</v>
      </c>
      <c r="H1577" s="680">
        <v>16.87</v>
      </c>
      <c r="I1577" s="680">
        <v>17.260000000000002</v>
      </c>
    </row>
    <row r="1578" spans="2:9">
      <c r="B1578" s="396">
        <v>100343</v>
      </c>
      <c r="C1578" s="401" t="s">
        <v>3241</v>
      </c>
      <c r="D1578" s="396" t="s">
        <v>21</v>
      </c>
      <c r="E1578" s="405">
        <f t="shared" si="48"/>
        <v>16.36</v>
      </c>
      <c r="F1578">
        <f t="shared" si="49"/>
        <v>100343</v>
      </c>
      <c r="H1578" s="679">
        <v>16.36</v>
      </c>
      <c r="I1578" s="679">
        <v>16.63</v>
      </c>
    </row>
    <row r="1579" spans="2:9">
      <c r="B1579" s="395">
        <v>100344</v>
      </c>
      <c r="C1579" s="406" t="s">
        <v>3242</v>
      </c>
      <c r="D1579" s="395" t="s">
        <v>21</v>
      </c>
      <c r="E1579" s="407">
        <f t="shared" si="48"/>
        <v>14.86</v>
      </c>
      <c r="F1579">
        <f t="shared" si="49"/>
        <v>100344</v>
      </c>
      <c r="H1579" s="680">
        <v>14.86</v>
      </c>
      <c r="I1579" s="680">
        <v>15.05</v>
      </c>
    </row>
    <row r="1580" spans="2:9">
      <c r="B1580" s="396">
        <v>100345</v>
      </c>
      <c r="C1580" s="401" t="s">
        <v>3243</v>
      </c>
      <c r="D1580" s="396" t="s">
        <v>21</v>
      </c>
      <c r="E1580" s="405">
        <f t="shared" si="48"/>
        <v>12.69</v>
      </c>
      <c r="F1580">
        <f t="shared" si="49"/>
        <v>100345</v>
      </c>
      <c r="H1580" s="679">
        <v>12.69</v>
      </c>
      <c r="I1580" s="679">
        <v>12.82</v>
      </c>
    </row>
    <row r="1581" spans="2:9">
      <c r="B1581" s="395">
        <v>100346</v>
      </c>
      <c r="C1581" s="406" t="s">
        <v>3244</v>
      </c>
      <c r="D1581" s="395" t="s">
        <v>21</v>
      </c>
      <c r="E1581" s="407">
        <f t="shared" si="48"/>
        <v>12.23</v>
      </c>
      <c r="F1581">
        <f t="shared" si="49"/>
        <v>100346</v>
      </c>
      <c r="H1581" s="680">
        <v>12.23</v>
      </c>
      <c r="I1581" s="680">
        <v>12.32</v>
      </c>
    </row>
    <row r="1582" spans="2:9">
      <c r="B1582" s="396">
        <v>100347</v>
      </c>
      <c r="C1582" s="401" t="s">
        <v>3245</v>
      </c>
      <c r="D1582" s="396" t="s">
        <v>21</v>
      </c>
      <c r="E1582" s="405">
        <f t="shared" si="48"/>
        <v>13.92</v>
      </c>
      <c r="F1582">
        <f t="shared" si="49"/>
        <v>100347</v>
      </c>
      <c r="H1582" s="679">
        <v>13.92</v>
      </c>
      <c r="I1582" s="679">
        <v>13.99</v>
      </c>
    </row>
    <row r="1583" spans="2:9">
      <c r="B1583" s="395">
        <v>100348</v>
      </c>
      <c r="C1583" s="406" t="s">
        <v>3246</v>
      </c>
      <c r="D1583" s="395" t="s">
        <v>21</v>
      </c>
      <c r="E1583" s="407">
        <f t="shared" si="48"/>
        <v>13.72</v>
      </c>
      <c r="F1583">
        <f t="shared" si="49"/>
        <v>100348</v>
      </c>
      <c r="H1583" s="680">
        <v>13.72</v>
      </c>
      <c r="I1583" s="680">
        <v>13.75</v>
      </c>
    </row>
    <row r="1584" spans="2:9">
      <c r="B1584" s="396">
        <v>100349</v>
      </c>
      <c r="C1584" s="401" t="s">
        <v>3247</v>
      </c>
      <c r="D1584" s="396" t="s">
        <v>20</v>
      </c>
      <c r="E1584" s="405">
        <f t="shared" si="48"/>
        <v>896.45</v>
      </c>
      <c r="F1584">
        <f t="shared" si="49"/>
        <v>100349</v>
      </c>
      <c r="H1584" s="679">
        <v>896.45</v>
      </c>
      <c r="I1584" s="679">
        <v>899.16</v>
      </c>
    </row>
    <row r="1585" spans="2:9">
      <c r="B1585" s="395">
        <v>102989</v>
      </c>
      <c r="C1585" s="406" t="s">
        <v>5873</v>
      </c>
      <c r="D1585" s="395" t="s">
        <v>22</v>
      </c>
      <c r="E1585" s="407">
        <f t="shared" si="48"/>
        <v>35.36</v>
      </c>
      <c r="F1585">
        <f t="shared" si="49"/>
        <v>102989</v>
      </c>
      <c r="H1585" s="680">
        <v>35.36</v>
      </c>
      <c r="I1585" s="680">
        <v>36.44</v>
      </c>
    </row>
    <row r="1586" spans="2:9">
      <c r="B1586" s="396">
        <v>102990</v>
      </c>
      <c r="C1586" s="401" t="s">
        <v>5874</v>
      </c>
      <c r="D1586" s="396" t="s">
        <v>22</v>
      </c>
      <c r="E1586" s="405">
        <f t="shared" si="48"/>
        <v>43.09</v>
      </c>
      <c r="F1586">
        <f t="shared" si="49"/>
        <v>102990</v>
      </c>
      <c r="H1586" s="679">
        <v>43.09</v>
      </c>
      <c r="I1586" s="679">
        <v>44.36</v>
      </c>
    </row>
    <row r="1587" spans="2:9">
      <c r="B1587" s="395">
        <v>102991</v>
      </c>
      <c r="C1587" s="406" t="s">
        <v>5875</v>
      </c>
      <c r="D1587" s="395" t="s">
        <v>22</v>
      </c>
      <c r="E1587" s="407">
        <f t="shared" si="48"/>
        <v>55.9</v>
      </c>
      <c r="F1587">
        <f t="shared" si="49"/>
        <v>102991</v>
      </c>
      <c r="H1587" s="680">
        <v>55.9</v>
      </c>
      <c r="I1587" s="680">
        <v>57.49</v>
      </c>
    </row>
    <row r="1588" spans="2:9">
      <c r="B1588" s="396">
        <v>102992</v>
      </c>
      <c r="C1588" s="401" t="s">
        <v>5876</v>
      </c>
      <c r="D1588" s="396" t="s">
        <v>22</v>
      </c>
      <c r="E1588" s="405">
        <f t="shared" si="48"/>
        <v>83.16</v>
      </c>
      <c r="F1588">
        <f t="shared" si="49"/>
        <v>102992</v>
      </c>
      <c r="H1588" s="679">
        <v>83.16</v>
      </c>
      <c r="I1588" s="679">
        <v>84.95</v>
      </c>
    </row>
    <row r="1589" spans="2:9">
      <c r="B1589" s="395">
        <v>102993</v>
      </c>
      <c r="C1589" s="406" t="s">
        <v>5877</v>
      </c>
      <c r="D1589" s="395" t="s">
        <v>22</v>
      </c>
      <c r="E1589" s="407">
        <f t="shared" si="48"/>
        <v>108.15</v>
      </c>
      <c r="F1589">
        <f t="shared" si="49"/>
        <v>102993</v>
      </c>
      <c r="H1589" s="680">
        <v>108.15</v>
      </c>
      <c r="I1589" s="680">
        <v>110.55</v>
      </c>
    </row>
    <row r="1590" spans="2:9">
      <c r="B1590" s="396">
        <v>102994</v>
      </c>
      <c r="C1590" s="401" t="s">
        <v>5878</v>
      </c>
      <c r="D1590" s="396" t="s">
        <v>22</v>
      </c>
      <c r="E1590" s="405">
        <f t="shared" si="48"/>
        <v>186.62</v>
      </c>
      <c r="F1590">
        <f t="shared" si="49"/>
        <v>102994</v>
      </c>
      <c r="H1590" s="679">
        <v>186.62</v>
      </c>
      <c r="I1590" s="679">
        <v>189.44</v>
      </c>
    </row>
    <row r="1591" spans="2:9" ht="30">
      <c r="B1591" s="395">
        <v>102995</v>
      </c>
      <c r="C1591" s="406" t="s">
        <v>5879</v>
      </c>
      <c r="D1591" s="395" t="s">
        <v>22</v>
      </c>
      <c r="E1591" s="407">
        <f t="shared" si="48"/>
        <v>54.84</v>
      </c>
      <c r="F1591">
        <f t="shared" si="49"/>
        <v>102995</v>
      </c>
      <c r="H1591" s="680">
        <v>54.84</v>
      </c>
      <c r="I1591" s="680">
        <v>56.71</v>
      </c>
    </row>
    <row r="1592" spans="2:9" ht="30">
      <c r="B1592" s="396">
        <v>102996</v>
      </c>
      <c r="C1592" s="401" t="s">
        <v>5880</v>
      </c>
      <c r="D1592" s="396" t="s">
        <v>22</v>
      </c>
      <c r="E1592" s="405">
        <f t="shared" si="48"/>
        <v>77.680000000000007</v>
      </c>
      <c r="F1592">
        <f t="shared" si="49"/>
        <v>102996</v>
      </c>
      <c r="H1592" s="679">
        <v>77.680000000000007</v>
      </c>
      <c r="I1592" s="679">
        <v>80.290000000000006</v>
      </c>
    </row>
    <row r="1593" spans="2:9" ht="30">
      <c r="B1593" s="395">
        <v>102997</v>
      </c>
      <c r="C1593" s="406" t="s">
        <v>5881</v>
      </c>
      <c r="D1593" s="395" t="s">
        <v>22</v>
      </c>
      <c r="E1593" s="407">
        <f t="shared" si="48"/>
        <v>105.16</v>
      </c>
      <c r="F1593">
        <f t="shared" si="49"/>
        <v>102997</v>
      </c>
      <c r="H1593" s="680">
        <v>105.16</v>
      </c>
      <c r="I1593" s="680">
        <v>108.33</v>
      </c>
    </row>
    <row r="1594" spans="2:9" ht="30">
      <c r="B1594" s="396">
        <v>102998</v>
      </c>
      <c r="C1594" s="401" t="s">
        <v>5882</v>
      </c>
      <c r="D1594" s="396" t="s">
        <v>22</v>
      </c>
      <c r="E1594" s="405">
        <f t="shared" si="48"/>
        <v>100.19</v>
      </c>
      <c r="F1594">
        <f t="shared" si="49"/>
        <v>102998</v>
      </c>
      <c r="H1594" s="679">
        <v>100.19</v>
      </c>
      <c r="I1594" s="679">
        <v>103.32</v>
      </c>
    </row>
    <row r="1595" spans="2:9" ht="30">
      <c r="B1595" s="395">
        <v>102999</v>
      </c>
      <c r="C1595" s="406" t="s">
        <v>5883</v>
      </c>
      <c r="D1595" s="395" t="s">
        <v>22</v>
      </c>
      <c r="E1595" s="407">
        <f t="shared" si="48"/>
        <v>126.87</v>
      </c>
      <c r="F1595">
        <f t="shared" si="49"/>
        <v>102999</v>
      </c>
      <c r="H1595" s="680">
        <v>126.87</v>
      </c>
      <c r="I1595" s="680">
        <v>130.79</v>
      </c>
    </row>
    <row r="1596" spans="2:9" ht="30">
      <c r="B1596" s="396">
        <v>103000</v>
      </c>
      <c r="C1596" s="401" t="s">
        <v>5884</v>
      </c>
      <c r="D1596" s="396" t="s">
        <v>22</v>
      </c>
      <c r="E1596" s="405">
        <f t="shared" si="48"/>
        <v>127.39</v>
      </c>
      <c r="F1596">
        <f t="shared" si="49"/>
        <v>103000</v>
      </c>
      <c r="H1596" s="679">
        <v>127.39</v>
      </c>
      <c r="I1596" s="679">
        <v>131.34</v>
      </c>
    </row>
    <row r="1597" spans="2:9" ht="30">
      <c r="B1597" s="395">
        <v>103001</v>
      </c>
      <c r="C1597" s="406" t="s">
        <v>5885</v>
      </c>
      <c r="D1597" s="395" t="s">
        <v>23</v>
      </c>
      <c r="E1597" s="407">
        <f t="shared" si="48"/>
        <v>231.57</v>
      </c>
      <c r="F1597">
        <f t="shared" si="49"/>
        <v>103001</v>
      </c>
      <c r="H1597" s="680">
        <v>231.57</v>
      </c>
      <c r="I1597" s="680">
        <v>233.64</v>
      </c>
    </row>
    <row r="1598" spans="2:9" ht="30">
      <c r="B1598" s="396">
        <v>103002</v>
      </c>
      <c r="C1598" s="401" t="s">
        <v>5886</v>
      </c>
      <c r="D1598" s="396" t="s">
        <v>23</v>
      </c>
      <c r="E1598" s="405">
        <f t="shared" si="48"/>
        <v>289.31</v>
      </c>
      <c r="F1598">
        <f t="shared" si="49"/>
        <v>103002</v>
      </c>
      <c r="H1598" s="679">
        <v>289.31</v>
      </c>
      <c r="I1598" s="679">
        <v>291.47000000000003</v>
      </c>
    </row>
    <row r="1599" spans="2:9" ht="30">
      <c r="B1599" s="395">
        <v>103003</v>
      </c>
      <c r="C1599" s="406" t="s">
        <v>5887</v>
      </c>
      <c r="D1599" s="395" t="s">
        <v>23</v>
      </c>
      <c r="E1599" s="407">
        <f t="shared" si="48"/>
        <v>404.86</v>
      </c>
      <c r="F1599">
        <f t="shared" si="49"/>
        <v>103003</v>
      </c>
      <c r="H1599" s="680">
        <v>404.86</v>
      </c>
      <c r="I1599" s="680">
        <v>407.2</v>
      </c>
    </row>
    <row r="1600" spans="2:9" ht="30">
      <c r="B1600" s="396">
        <v>103005</v>
      </c>
      <c r="C1600" s="401" t="s">
        <v>5888</v>
      </c>
      <c r="D1600" s="396" t="s">
        <v>23</v>
      </c>
      <c r="E1600" s="405">
        <f t="shared" si="48"/>
        <v>613.28</v>
      </c>
      <c r="F1600">
        <f t="shared" si="49"/>
        <v>103005</v>
      </c>
      <c r="H1600" s="679">
        <v>613.28</v>
      </c>
      <c r="I1600" s="679">
        <v>630.07000000000005</v>
      </c>
    </row>
    <row r="1601" spans="2:9" ht="30">
      <c r="B1601" s="395">
        <v>103006</v>
      </c>
      <c r="C1601" s="406" t="s">
        <v>5889</v>
      </c>
      <c r="D1601" s="395" t="s">
        <v>23</v>
      </c>
      <c r="E1601" s="407">
        <f t="shared" si="48"/>
        <v>839.59</v>
      </c>
      <c r="F1601">
        <f t="shared" si="49"/>
        <v>103006</v>
      </c>
      <c r="H1601" s="680">
        <v>839.59</v>
      </c>
      <c r="I1601" s="680">
        <v>862.6</v>
      </c>
    </row>
    <row r="1602" spans="2:9" ht="30">
      <c r="B1602" s="396">
        <v>103007</v>
      </c>
      <c r="C1602" s="401" t="s">
        <v>5890</v>
      </c>
      <c r="D1602" s="396" t="s">
        <v>23</v>
      </c>
      <c r="E1602" s="405">
        <f t="shared" si="48"/>
        <v>1114.53</v>
      </c>
      <c r="F1602">
        <f t="shared" si="49"/>
        <v>103007</v>
      </c>
      <c r="H1602" s="679">
        <v>1114.53</v>
      </c>
      <c r="I1602" s="679">
        <v>1143.79</v>
      </c>
    </row>
    <row r="1603" spans="2:9">
      <c r="B1603" s="395">
        <v>97933</v>
      </c>
      <c r="C1603" s="406" t="s">
        <v>5222</v>
      </c>
      <c r="D1603" s="395" t="s">
        <v>23</v>
      </c>
      <c r="E1603" s="407">
        <f t="shared" ref="E1603:E1666" si="50">IF($K$2=$H$1,H1603,I1603)</f>
        <v>1076.72</v>
      </c>
      <c r="F1603">
        <f t="shared" ref="F1603:F1666" si="51">IF(LEN($B1603)=7,CONCATENATE(MID($B1603,1,6),"00",RIGHT($B1603,1)),IF(LEN($B1603)=8,CONCATENATE(MID($B1603,1,6),"0",RIGHT($B1603,2)),$B1603))</f>
        <v>97933</v>
      </c>
      <c r="H1603" s="680">
        <v>1076.72</v>
      </c>
      <c r="I1603" s="680">
        <v>1079.9000000000001</v>
      </c>
    </row>
    <row r="1604" spans="2:9">
      <c r="B1604" s="396">
        <v>97934</v>
      </c>
      <c r="C1604" s="401" t="s">
        <v>6876</v>
      </c>
      <c r="D1604" s="396" t="s">
        <v>23</v>
      </c>
      <c r="E1604" s="405">
        <f t="shared" si="50"/>
        <v>2413.0700000000002</v>
      </c>
      <c r="F1604">
        <f t="shared" si="51"/>
        <v>97934</v>
      </c>
      <c r="H1604" s="679">
        <v>2413.0700000000002</v>
      </c>
      <c r="I1604" s="679">
        <v>2463.89</v>
      </c>
    </row>
    <row r="1605" spans="2:9" ht="30">
      <c r="B1605" s="395">
        <v>97935</v>
      </c>
      <c r="C1605" s="406" t="s">
        <v>5223</v>
      </c>
      <c r="D1605" s="395" t="s">
        <v>23</v>
      </c>
      <c r="E1605" s="407">
        <f t="shared" si="50"/>
        <v>878.88</v>
      </c>
      <c r="F1605">
        <f t="shared" si="51"/>
        <v>97935</v>
      </c>
      <c r="H1605" s="680">
        <v>878.88</v>
      </c>
      <c r="I1605" s="680">
        <v>893.84</v>
      </c>
    </row>
    <row r="1606" spans="2:9">
      <c r="B1606" s="396">
        <v>97936</v>
      </c>
      <c r="C1606" s="401" t="s">
        <v>5224</v>
      </c>
      <c r="D1606" s="396" t="s">
        <v>23</v>
      </c>
      <c r="E1606" s="405">
        <f t="shared" si="50"/>
        <v>2042.62</v>
      </c>
      <c r="F1606">
        <f t="shared" si="51"/>
        <v>97936</v>
      </c>
      <c r="H1606" s="679">
        <v>2042.62</v>
      </c>
      <c r="I1606" s="679">
        <v>2118.46</v>
      </c>
    </row>
    <row r="1607" spans="2:9" ht="30">
      <c r="B1607" s="395">
        <v>97947</v>
      </c>
      <c r="C1607" s="406" t="s">
        <v>5225</v>
      </c>
      <c r="D1607" s="395" t="s">
        <v>23</v>
      </c>
      <c r="E1607" s="407">
        <f t="shared" si="50"/>
        <v>1888.52</v>
      </c>
      <c r="F1607">
        <f t="shared" si="51"/>
        <v>97947</v>
      </c>
      <c r="H1607" s="680">
        <v>1888.52</v>
      </c>
      <c r="I1607" s="680">
        <v>1942.22</v>
      </c>
    </row>
    <row r="1608" spans="2:9" ht="30">
      <c r="B1608" s="396">
        <v>97948</v>
      </c>
      <c r="C1608" s="401" t="s">
        <v>5226</v>
      </c>
      <c r="D1608" s="396" t="s">
        <v>23</v>
      </c>
      <c r="E1608" s="405">
        <f t="shared" si="50"/>
        <v>3455.65</v>
      </c>
      <c r="F1608">
        <f t="shared" si="51"/>
        <v>97948</v>
      </c>
      <c r="H1608" s="679">
        <v>3455.65</v>
      </c>
      <c r="I1608" s="679">
        <v>3553.3</v>
      </c>
    </row>
    <row r="1609" spans="2:9" ht="30">
      <c r="B1609" s="395">
        <v>97949</v>
      </c>
      <c r="C1609" s="406" t="s">
        <v>5227</v>
      </c>
      <c r="D1609" s="395" t="s">
        <v>23</v>
      </c>
      <c r="E1609" s="407">
        <f t="shared" si="50"/>
        <v>1905.68</v>
      </c>
      <c r="F1609">
        <f t="shared" si="51"/>
        <v>97949</v>
      </c>
      <c r="H1609" s="680">
        <v>1905.68</v>
      </c>
      <c r="I1609" s="680">
        <v>1978.74</v>
      </c>
    </row>
    <row r="1610" spans="2:9" ht="30">
      <c r="B1610" s="396">
        <v>97950</v>
      </c>
      <c r="C1610" s="401" t="s">
        <v>5228</v>
      </c>
      <c r="D1610" s="396" t="s">
        <v>23</v>
      </c>
      <c r="E1610" s="405">
        <f t="shared" si="50"/>
        <v>3327.33</v>
      </c>
      <c r="F1610">
        <f t="shared" si="51"/>
        <v>97950</v>
      </c>
      <c r="H1610" s="679">
        <v>3327.33</v>
      </c>
      <c r="I1610" s="679">
        <v>3457.48</v>
      </c>
    </row>
    <row r="1611" spans="2:9" ht="30">
      <c r="B1611" s="395">
        <v>97951</v>
      </c>
      <c r="C1611" s="406" t="s">
        <v>5229</v>
      </c>
      <c r="D1611" s="395" t="s">
        <v>23</v>
      </c>
      <c r="E1611" s="407">
        <f t="shared" si="50"/>
        <v>3026.98</v>
      </c>
      <c r="F1611">
        <f t="shared" si="51"/>
        <v>97951</v>
      </c>
      <c r="H1611" s="680">
        <v>3026.98</v>
      </c>
      <c r="I1611" s="680">
        <v>3126.23</v>
      </c>
    </row>
    <row r="1612" spans="2:9" ht="30">
      <c r="B1612" s="396">
        <v>97952</v>
      </c>
      <c r="C1612" s="401" t="s">
        <v>5230</v>
      </c>
      <c r="D1612" s="396" t="s">
        <v>23</v>
      </c>
      <c r="E1612" s="405">
        <f t="shared" si="50"/>
        <v>5186.34</v>
      </c>
      <c r="F1612">
        <f t="shared" si="51"/>
        <v>97952</v>
      </c>
      <c r="H1612" s="679">
        <v>5186.34</v>
      </c>
      <c r="I1612" s="679">
        <v>5355.76</v>
      </c>
    </row>
    <row r="1613" spans="2:9" ht="30">
      <c r="B1613" s="395">
        <v>97953</v>
      </c>
      <c r="C1613" s="406" t="s">
        <v>5231</v>
      </c>
      <c r="D1613" s="395" t="s">
        <v>23</v>
      </c>
      <c r="E1613" s="407">
        <f t="shared" si="50"/>
        <v>1360.89</v>
      </c>
      <c r="F1613">
        <f t="shared" si="51"/>
        <v>97953</v>
      </c>
      <c r="H1613" s="680">
        <v>1360.89</v>
      </c>
      <c r="I1613" s="680">
        <v>1397.44</v>
      </c>
    </row>
    <row r="1614" spans="2:9" ht="30">
      <c r="B1614" s="396">
        <v>97955</v>
      </c>
      <c r="C1614" s="401" t="s">
        <v>5232</v>
      </c>
      <c r="D1614" s="396" t="s">
        <v>23</v>
      </c>
      <c r="E1614" s="405">
        <f t="shared" si="50"/>
        <v>2994.01</v>
      </c>
      <c r="F1614">
        <f t="shared" si="51"/>
        <v>97955</v>
      </c>
      <c r="H1614" s="679">
        <v>2994.01</v>
      </c>
      <c r="I1614" s="679">
        <v>3069.21</v>
      </c>
    </row>
    <row r="1615" spans="2:9" ht="30">
      <c r="B1615" s="395">
        <v>97956</v>
      </c>
      <c r="C1615" s="406" t="s">
        <v>5233</v>
      </c>
      <c r="D1615" s="395" t="s">
        <v>23</v>
      </c>
      <c r="E1615" s="407">
        <f t="shared" si="50"/>
        <v>1466.41</v>
      </c>
      <c r="F1615">
        <f t="shared" si="51"/>
        <v>97956</v>
      </c>
      <c r="H1615" s="680">
        <v>1466.41</v>
      </c>
      <c r="I1615" s="680">
        <v>1521.87</v>
      </c>
    </row>
    <row r="1616" spans="2:9" ht="30">
      <c r="B1616" s="396">
        <v>97957</v>
      </c>
      <c r="C1616" s="401" t="s">
        <v>5234</v>
      </c>
      <c r="D1616" s="396" t="s">
        <v>23</v>
      </c>
      <c r="E1616" s="405">
        <f t="shared" si="50"/>
        <v>2614.4899999999998</v>
      </c>
      <c r="F1616">
        <f t="shared" si="51"/>
        <v>97957</v>
      </c>
      <c r="H1616" s="679">
        <v>2614.4899999999998</v>
      </c>
      <c r="I1616" s="679">
        <v>2716.9</v>
      </c>
    </row>
    <row r="1617" spans="2:9" ht="30">
      <c r="B1617" s="395">
        <v>97961</v>
      </c>
      <c r="C1617" s="406" t="s">
        <v>5235</v>
      </c>
      <c r="D1617" s="395" t="s">
        <v>23</v>
      </c>
      <c r="E1617" s="407">
        <f t="shared" si="50"/>
        <v>2386.09</v>
      </c>
      <c r="F1617">
        <f t="shared" si="51"/>
        <v>97961</v>
      </c>
      <c r="H1617" s="680">
        <v>2386.09</v>
      </c>
      <c r="I1617" s="680">
        <v>2461.21</v>
      </c>
    </row>
    <row r="1618" spans="2:9" ht="30">
      <c r="B1618" s="396">
        <v>97973</v>
      </c>
      <c r="C1618" s="401" t="s">
        <v>5236</v>
      </c>
      <c r="D1618" s="396" t="s">
        <v>23</v>
      </c>
      <c r="E1618" s="405">
        <f t="shared" si="50"/>
        <v>4488.87</v>
      </c>
      <c r="F1618">
        <f t="shared" si="51"/>
        <v>97973</v>
      </c>
      <c r="H1618" s="679">
        <v>4488.87</v>
      </c>
      <c r="I1618" s="679">
        <v>4625.78</v>
      </c>
    </row>
    <row r="1619" spans="2:9" ht="30">
      <c r="B1619" s="395">
        <v>97974</v>
      </c>
      <c r="C1619" s="406" t="s">
        <v>7331</v>
      </c>
      <c r="D1619" s="395" t="s">
        <v>23</v>
      </c>
      <c r="E1619" s="407">
        <f t="shared" si="50"/>
        <v>509.06</v>
      </c>
      <c r="F1619">
        <f t="shared" si="51"/>
        <v>97974</v>
      </c>
      <c r="H1619" s="680">
        <v>509.06</v>
      </c>
      <c r="I1619" s="680">
        <v>518.41</v>
      </c>
    </row>
    <row r="1620" spans="2:9" ht="30">
      <c r="B1620" s="396">
        <v>97975</v>
      </c>
      <c r="C1620" s="401" t="s">
        <v>7332</v>
      </c>
      <c r="D1620" s="396" t="s">
        <v>23</v>
      </c>
      <c r="E1620" s="405">
        <f t="shared" si="50"/>
        <v>654.71</v>
      </c>
      <c r="F1620">
        <f t="shared" si="51"/>
        <v>97975</v>
      </c>
      <c r="H1620" s="679">
        <v>654.71</v>
      </c>
      <c r="I1620" s="679">
        <v>665.05</v>
      </c>
    </row>
    <row r="1621" spans="2:9" ht="30">
      <c r="B1621" s="395">
        <v>97976</v>
      </c>
      <c r="C1621" s="406" t="s">
        <v>7333</v>
      </c>
      <c r="D1621" s="395" t="s">
        <v>23</v>
      </c>
      <c r="E1621" s="407">
        <f t="shared" si="50"/>
        <v>1188.95</v>
      </c>
      <c r="F1621">
        <f t="shared" si="51"/>
        <v>97976</v>
      </c>
      <c r="H1621" s="680">
        <v>1188.95</v>
      </c>
      <c r="I1621" s="680">
        <v>1234.21</v>
      </c>
    </row>
    <row r="1622" spans="2:9" ht="30">
      <c r="B1622" s="396">
        <v>97977</v>
      </c>
      <c r="C1622" s="401" t="s">
        <v>7334</v>
      </c>
      <c r="D1622" s="396" t="s">
        <v>23</v>
      </c>
      <c r="E1622" s="405">
        <f t="shared" si="50"/>
        <v>1696.52</v>
      </c>
      <c r="F1622">
        <f t="shared" si="51"/>
        <v>97977</v>
      </c>
      <c r="H1622" s="679">
        <v>1696.52</v>
      </c>
      <c r="I1622" s="679">
        <v>1763.07</v>
      </c>
    </row>
    <row r="1623" spans="2:9" ht="30">
      <c r="B1623" s="395">
        <v>97978</v>
      </c>
      <c r="C1623" s="406" t="s">
        <v>7335</v>
      </c>
      <c r="D1623" s="395" t="s">
        <v>23</v>
      </c>
      <c r="E1623" s="407">
        <f t="shared" si="50"/>
        <v>985.2</v>
      </c>
      <c r="F1623">
        <f t="shared" si="51"/>
        <v>97978</v>
      </c>
      <c r="H1623" s="680">
        <v>985.2</v>
      </c>
      <c r="I1623" s="680">
        <v>1008.98</v>
      </c>
    </row>
    <row r="1624" spans="2:9" ht="30">
      <c r="B1624" s="396">
        <v>97980</v>
      </c>
      <c r="C1624" s="401" t="s">
        <v>7336</v>
      </c>
      <c r="D1624" s="396" t="s">
        <v>23</v>
      </c>
      <c r="E1624" s="405">
        <f t="shared" si="50"/>
        <v>2189.77</v>
      </c>
      <c r="F1624">
        <f t="shared" si="51"/>
        <v>97980</v>
      </c>
      <c r="H1624" s="679">
        <v>2189.77</v>
      </c>
      <c r="I1624" s="679">
        <v>2272.92</v>
      </c>
    </row>
    <row r="1625" spans="2:9" ht="30">
      <c r="B1625" s="395">
        <v>97981</v>
      </c>
      <c r="C1625" s="406" t="s">
        <v>5237</v>
      </c>
      <c r="D1625" s="395" t="s">
        <v>22</v>
      </c>
      <c r="E1625" s="407">
        <f t="shared" si="50"/>
        <v>1245.42</v>
      </c>
      <c r="F1625">
        <f t="shared" si="51"/>
        <v>97981</v>
      </c>
      <c r="H1625" s="680">
        <v>1245.42</v>
      </c>
      <c r="I1625" s="680">
        <v>1299.5</v>
      </c>
    </row>
    <row r="1626" spans="2:9">
      <c r="B1626" s="396">
        <v>97983</v>
      </c>
      <c r="C1626" s="401" t="s">
        <v>5238</v>
      </c>
      <c r="D1626" s="396" t="s">
        <v>22</v>
      </c>
      <c r="E1626" s="405">
        <f t="shared" si="50"/>
        <v>513.41999999999996</v>
      </c>
      <c r="F1626">
        <f t="shared" si="51"/>
        <v>97983</v>
      </c>
      <c r="H1626" s="679">
        <v>513.41999999999996</v>
      </c>
      <c r="I1626" s="679">
        <v>516.88</v>
      </c>
    </row>
    <row r="1627" spans="2:9" ht="30">
      <c r="B1627" s="395">
        <v>97985</v>
      </c>
      <c r="C1627" s="406" t="s">
        <v>5239</v>
      </c>
      <c r="D1627" s="395" t="s">
        <v>22</v>
      </c>
      <c r="E1627" s="407">
        <f t="shared" si="50"/>
        <v>1499.51</v>
      </c>
      <c r="F1627">
        <f t="shared" si="51"/>
        <v>97985</v>
      </c>
      <c r="H1627" s="680">
        <v>1499.51</v>
      </c>
      <c r="I1627" s="680">
        <v>1565.64</v>
      </c>
    </row>
    <row r="1628" spans="2:9" ht="30">
      <c r="B1628" s="396">
        <v>97987</v>
      </c>
      <c r="C1628" s="401" t="s">
        <v>5240</v>
      </c>
      <c r="D1628" s="396" t="s">
        <v>22</v>
      </c>
      <c r="E1628" s="405">
        <f t="shared" si="50"/>
        <v>684.62</v>
      </c>
      <c r="F1628">
        <f t="shared" si="51"/>
        <v>97987</v>
      </c>
      <c r="H1628" s="679">
        <v>684.62</v>
      </c>
      <c r="I1628" s="679">
        <v>688.71</v>
      </c>
    </row>
    <row r="1629" spans="2:9" ht="30">
      <c r="B1629" s="395">
        <v>97988</v>
      </c>
      <c r="C1629" s="406" t="s">
        <v>7337</v>
      </c>
      <c r="D1629" s="395" t="s">
        <v>23</v>
      </c>
      <c r="E1629" s="407">
        <f t="shared" si="50"/>
        <v>3233.75</v>
      </c>
      <c r="F1629">
        <f t="shared" si="51"/>
        <v>97988</v>
      </c>
      <c r="H1629" s="680">
        <v>3233.75</v>
      </c>
      <c r="I1629" s="680">
        <v>3350.88</v>
      </c>
    </row>
    <row r="1630" spans="2:9" ht="30">
      <c r="B1630" s="396">
        <v>97989</v>
      </c>
      <c r="C1630" s="401" t="s">
        <v>5241</v>
      </c>
      <c r="D1630" s="396" t="s">
        <v>22</v>
      </c>
      <c r="E1630" s="405">
        <f t="shared" si="50"/>
        <v>1753.53</v>
      </c>
      <c r="F1630">
        <f t="shared" si="51"/>
        <v>97989</v>
      </c>
      <c r="H1630" s="679">
        <v>1753.53</v>
      </c>
      <c r="I1630" s="679">
        <v>1831.72</v>
      </c>
    </row>
    <row r="1631" spans="2:9" ht="30">
      <c r="B1631" s="395">
        <v>97991</v>
      </c>
      <c r="C1631" s="406" t="s">
        <v>5242</v>
      </c>
      <c r="D1631" s="395" t="s">
        <v>22</v>
      </c>
      <c r="E1631" s="407">
        <f t="shared" si="50"/>
        <v>939.51</v>
      </c>
      <c r="F1631">
        <f t="shared" si="51"/>
        <v>97991</v>
      </c>
      <c r="H1631" s="680">
        <v>939.51</v>
      </c>
      <c r="I1631" s="680">
        <v>944.71</v>
      </c>
    </row>
    <row r="1632" spans="2:9" ht="30">
      <c r="B1632" s="396">
        <v>97992</v>
      </c>
      <c r="C1632" s="401" t="s">
        <v>7338</v>
      </c>
      <c r="D1632" s="396" t="s">
        <v>23</v>
      </c>
      <c r="E1632" s="405">
        <f t="shared" si="50"/>
        <v>4171.75</v>
      </c>
      <c r="F1632">
        <f t="shared" si="51"/>
        <v>97992</v>
      </c>
      <c r="H1632" s="679">
        <v>4171.75</v>
      </c>
      <c r="I1632" s="679">
        <v>4316.79</v>
      </c>
    </row>
    <row r="1633" spans="2:9" ht="30">
      <c r="B1633" s="395">
        <v>97993</v>
      </c>
      <c r="C1633" s="406" t="s">
        <v>5243</v>
      </c>
      <c r="D1633" s="395" t="s">
        <v>22</v>
      </c>
      <c r="E1633" s="407">
        <f t="shared" si="50"/>
        <v>2134.6999999999998</v>
      </c>
      <c r="F1633">
        <f t="shared" si="51"/>
        <v>97993</v>
      </c>
      <c r="H1633" s="680">
        <v>2134.6999999999998</v>
      </c>
      <c r="I1633" s="680">
        <v>2230.9499999999998</v>
      </c>
    </row>
    <row r="1634" spans="2:9" ht="30">
      <c r="B1634" s="396">
        <v>97994</v>
      </c>
      <c r="C1634" s="401" t="s">
        <v>7339</v>
      </c>
      <c r="D1634" s="396" t="s">
        <v>23</v>
      </c>
      <c r="E1634" s="405">
        <f t="shared" si="50"/>
        <v>2653.3</v>
      </c>
      <c r="F1634">
        <f t="shared" si="51"/>
        <v>97994</v>
      </c>
      <c r="H1634" s="679">
        <v>2653.3</v>
      </c>
      <c r="I1634" s="679">
        <v>2752.84</v>
      </c>
    </row>
    <row r="1635" spans="2:9" ht="30">
      <c r="B1635" s="395">
        <v>97995</v>
      </c>
      <c r="C1635" s="406" t="s">
        <v>5244</v>
      </c>
      <c r="D1635" s="395" t="s">
        <v>22</v>
      </c>
      <c r="E1635" s="407">
        <f t="shared" si="50"/>
        <v>1281.73</v>
      </c>
      <c r="F1635">
        <f t="shared" si="51"/>
        <v>97995</v>
      </c>
      <c r="H1635" s="680">
        <v>1281.73</v>
      </c>
      <c r="I1635" s="680">
        <v>1341.07</v>
      </c>
    </row>
    <row r="1636" spans="2:9" ht="30">
      <c r="B1636" s="396">
        <v>97996</v>
      </c>
      <c r="C1636" s="401" t="s">
        <v>7340</v>
      </c>
      <c r="D1636" s="396" t="s">
        <v>23</v>
      </c>
      <c r="E1636" s="405">
        <f t="shared" si="50"/>
        <v>3358.02</v>
      </c>
      <c r="F1636">
        <f t="shared" si="51"/>
        <v>97996</v>
      </c>
      <c r="H1636" s="679">
        <v>3358.02</v>
      </c>
      <c r="I1636" s="679">
        <v>3482.84</v>
      </c>
    </row>
    <row r="1637" spans="2:9" ht="30">
      <c r="B1637" s="395">
        <v>97997</v>
      </c>
      <c r="C1637" s="406" t="s">
        <v>5245</v>
      </c>
      <c r="D1637" s="395" t="s">
        <v>22</v>
      </c>
      <c r="E1637" s="407">
        <f t="shared" si="50"/>
        <v>1530.37</v>
      </c>
      <c r="F1637">
        <f t="shared" si="51"/>
        <v>97997</v>
      </c>
      <c r="H1637" s="680">
        <v>1530.37</v>
      </c>
      <c r="I1637" s="680">
        <v>1601.49</v>
      </c>
    </row>
    <row r="1638" spans="2:9" ht="30">
      <c r="B1638" s="396">
        <v>97999</v>
      </c>
      <c r="C1638" s="401" t="s">
        <v>5246</v>
      </c>
      <c r="D1638" s="396" t="s">
        <v>22</v>
      </c>
      <c r="E1638" s="405">
        <f t="shared" si="50"/>
        <v>1779.09</v>
      </c>
      <c r="F1638">
        <f t="shared" si="51"/>
        <v>97999</v>
      </c>
      <c r="H1638" s="679">
        <v>1779.09</v>
      </c>
      <c r="I1638" s="679">
        <v>1862</v>
      </c>
    </row>
    <row r="1639" spans="2:9" ht="30">
      <c r="B1639" s="395">
        <v>98001</v>
      </c>
      <c r="C1639" s="406" t="s">
        <v>5247</v>
      </c>
      <c r="D1639" s="395" t="s">
        <v>22</v>
      </c>
      <c r="E1639" s="407">
        <f t="shared" si="50"/>
        <v>2027.73</v>
      </c>
      <c r="F1639">
        <f t="shared" si="51"/>
        <v>98001</v>
      </c>
      <c r="H1639" s="680">
        <v>2027.73</v>
      </c>
      <c r="I1639" s="680">
        <v>2122.4299999999998</v>
      </c>
    </row>
    <row r="1640" spans="2:9" ht="30">
      <c r="B1640" s="396">
        <v>98002</v>
      </c>
      <c r="C1640" s="401" t="s">
        <v>7341</v>
      </c>
      <c r="D1640" s="396" t="s">
        <v>23</v>
      </c>
      <c r="E1640" s="405">
        <f t="shared" si="50"/>
        <v>5504.85</v>
      </c>
      <c r="F1640">
        <f t="shared" si="51"/>
        <v>98002</v>
      </c>
      <c r="H1640" s="679">
        <v>5504.85</v>
      </c>
      <c r="I1640" s="679">
        <v>5705.5</v>
      </c>
    </row>
    <row r="1641" spans="2:9" ht="30">
      <c r="B1641" s="395">
        <v>98003</v>
      </c>
      <c r="C1641" s="406" t="s">
        <v>5248</v>
      </c>
      <c r="D1641" s="395" t="s">
        <v>22</v>
      </c>
      <c r="E1641" s="407">
        <f t="shared" si="50"/>
        <v>2276.46</v>
      </c>
      <c r="F1641">
        <f t="shared" si="51"/>
        <v>98003</v>
      </c>
      <c r="H1641" s="680">
        <v>2276.46</v>
      </c>
      <c r="I1641" s="680">
        <v>2382.91</v>
      </c>
    </row>
    <row r="1642" spans="2:9" ht="30">
      <c r="B1642" s="396">
        <v>98005</v>
      </c>
      <c r="C1642" s="401" t="s">
        <v>5249</v>
      </c>
      <c r="D1642" s="396" t="s">
        <v>22</v>
      </c>
      <c r="E1642" s="405">
        <f t="shared" si="50"/>
        <v>2525.1799999999998</v>
      </c>
      <c r="F1642">
        <f t="shared" si="51"/>
        <v>98005</v>
      </c>
      <c r="H1642" s="679">
        <v>2525.1799999999998</v>
      </c>
      <c r="I1642" s="679">
        <v>2643.41</v>
      </c>
    </row>
    <row r="1643" spans="2:9" ht="30">
      <c r="B1643" s="395">
        <v>98006</v>
      </c>
      <c r="C1643" s="406" t="s">
        <v>7342</v>
      </c>
      <c r="D1643" s="395" t="s">
        <v>23</v>
      </c>
      <c r="E1643" s="407">
        <f t="shared" si="50"/>
        <v>6922.52</v>
      </c>
      <c r="F1643">
        <f t="shared" si="51"/>
        <v>98006</v>
      </c>
      <c r="H1643" s="680">
        <v>6922.52</v>
      </c>
      <c r="I1643" s="680">
        <v>7173.73</v>
      </c>
    </row>
    <row r="1644" spans="2:9" ht="30">
      <c r="B1644" s="396">
        <v>98007</v>
      </c>
      <c r="C1644" s="401" t="s">
        <v>5250</v>
      </c>
      <c r="D1644" s="396" t="s">
        <v>22</v>
      </c>
      <c r="E1644" s="405">
        <f t="shared" si="50"/>
        <v>2773.84</v>
      </c>
      <c r="F1644">
        <f t="shared" si="51"/>
        <v>98007</v>
      </c>
      <c r="H1644" s="679">
        <v>2773.84</v>
      </c>
      <c r="I1644" s="679">
        <v>2903.82</v>
      </c>
    </row>
    <row r="1645" spans="2:9" ht="30">
      <c r="B1645" s="395">
        <v>98008</v>
      </c>
      <c r="C1645" s="406" t="s">
        <v>7343</v>
      </c>
      <c r="D1645" s="395" t="s">
        <v>23</v>
      </c>
      <c r="E1645" s="407">
        <f t="shared" si="50"/>
        <v>4177.6400000000003</v>
      </c>
      <c r="F1645">
        <f t="shared" si="51"/>
        <v>98008</v>
      </c>
      <c r="H1645" s="680">
        <v>4177.6400000000003</v>
      </c>
      <c r="I1645" s="680">
        <v>4326.99</v>
      </c>
    </row>
    <row r="1646" spans="2:9" ht="30">
      <c r="B1646" s="396">
        <v>98009</v>
      </c>
      <c r="C1646" s="401" t="s">
        <v>5251</v>
      </c>
      <c r="D1646" s="396" t="s">
        <v>22</v>
      </c>
      <c r="E1646" s="405">
        <f t="shared" si="50"/>
        <v>1779.09</v>
      </c>
      <c r="F1646">
        <f t="shared" si="51"/>
        <v>98009</v>
      </c>
      <c r="H1646" s="679">
        <v>1779.09</v>
      </c>
      <c r="I1646" s="679">
        <v>1862</v>
      </c>
    </row>
    <row r="1647" spans="2:9" ht="30">
      <c r="B1647" s="395">
        <v>98010</v>
      </c>
      <c r="C1647" s="406" t="s">
        <v>7344</v>
      </c>
      <c r="D1647" s="395" t="s">
        <v>23</v>
      </c>
      <c r="E1647" s="407">
        <f t="shared" si="50"/>
        <v>5101.95</v>
      </c>
      <c r="F1647">
        <f t="shared" si="51"/>
        <v>98010</v>
      </c>
      <c r="H1647" s="680">
        <v>5101.95</v>
      </c>
      <c r="I1647" s="680">
        <v>5281.19</v>
      </c>
    </row>
    <row r="1648" spans="2:9" ht="30">
      <c r="B1648" s="396">
        <v>98011</v>
      </c>
      <c r="C1648" s="401" t="s">
        <v>5252</v>
      </c>
      <c r="D1648" s="396" t="s">
        <v>22</v>
      </c>
      <c r="E1648" s="405">
        <f t="shared" si="50"/>
        <v>2027.73</v>
      </c>
      <c r="F1648">
        <f t="shared" si="51"/>
        <v>98011</v>
      </c>
      <c r="H1648" s="679">
        <v>2027.73</v>
      </c>
      <c r="I1648" s="679">
        <v>2122.4299999999998</v>
      </c>
    </row>
    <row r="1649" spans="2:9" ht="30">
      <c r="B1649" s="395">
        <v>98012</v>
      </c>
      <c r="C1649" s="406" t="s">
        <v>7345</v>
      </c>
      <c r="D1649" s="395" t="s">
        <v>23</v>
      </c>
      <c r="E1649" s="407">
        <f t="shared" si="50"/>
        <v>6000.3</v>
      </c>
      <c r="F1649">
        <f t="shared" si="51"/>
        <v>98012</v>
      </c>
      <c r="H1649" s="680">
        <v>6000.3</v>
      </c>
      <c r="I1649" s="680">
        <v>6209.38</v>
      </c>
    </row>
    <row r="1650" spans="2:9" ht="30">
      <c r="B1650" s="396">
        <v>98013</v>
      </c>
      <c r="C1650" s="401" t="s">
        <v>5253</v>
      </c>
      <c r="D1650" s="396" t="s">
        <v>22</v>
      </c>
      <c r="E1650" s="405">
        <f t="shared" si="50"/>
        <v>2276.46</v>
      </c>
      <c r="F1650">
        <f t="shared" si="51"/>
        <v>98013</v>
      </c>
      <c r="H1650" s="679">
        <v>2276.46</v>
      </c>
      <c r="I1650" s="679">
        <v>2382.91</v>
      </c>
    </row>
    <row r="1651" spans="2:9" ht="30">
      <c r="B1651" s="395">
        <v>98014</v>
      </c>
      <c r="C1651" s="406" t="s">
        <v>7346</v>
      </c>
      <c r="D1651" s="395" t="s">
        <v>23</v>
      </c>
      <c r="E1651" s="407">
        <f t="shared" si="50"/>
        <v>6898.59</v>
      </c>
      <c r="F1651">
        <f t="shared" si="51"/>
        <v>98014</v>
      </c>
      <c r="H1651" s="680">
        <v>6898.59</v>
      </c>
      <c r="I1651" s="680">
        <v>7137.54</v>
      </c>
    </row>
    <row r="1652" spans="2:9" ht="30">
      <c r="B1652" s="396">
        <v>98015</v>
      </c>
      <c r="C1652" s="401" t="s">
        <v>5254</v>
      </c>
      <c r="D1652" s="396" t="s">
        <v>22</v>
      </c>
      <c r="E1652" s="405">
        <f t="shared" si="50"/>
        <v>2525.1799999999998</v>
      </c>
      <c r="F1652">
        <f t="shared" si="51"/>
        <v>98015</v>
      </c>
      <c r="H1652" s="679">
        <v>2525.1799999999998</v>
      </c>
      <c r="I1652" s="679">
        <v>2643.41</v>
      </c>
    </row>
    <row r="1653" spans="2:9" ht="30">
      <c r="B1653" s="395">
        <v>98016</v>
      </c>
      <c r="C1653" s="406" t="s">
        <v>7347</v>
      </c>
      <c r="D1653" s="395" t="s">
        <v>23</v>
      </c>
      <c r="E1653" s="407">
        <f t="shared" si="50"/>
        <v>7797.04</v>
      </c>
      <c r="F1653">
        <f t="shared" si="51"/>
        <v>98016</v>
      </c>
      <c r="H1653" s="680">
        <v>7797.04</v>
      </c>
      <c r="I1653" s="680">
        <v>8065.83</v>
      </c>
    </row>
    <row r="1654" spans="2:9" ht="30">
      <c r="B1654" s="396">
        <v>98017</v>
      </c>
      <c r="C1654" s="401" t="s">
        <v>5255</v>
      </c>
      <c r="D1654" s="396" t="s">
        <v>22</v>
      </c>
      <c r="E1654" s="405">
        <f t="shared" si="50"/>
        <v>2773.84</v>
      </c>
      <c r="F1654">
        <f t="shared" si="51"/>
        <v>98017</v>
      </c>
      <c r="H1654" s="679">
        <v>2773.84</v>
      </c>
      <c r="I1654" s="679">
        <v>2903.82</v>
      </c>
    </row>
    <row r="1655" spans="2:9" ht="30">
      <c r="B1655" s="395">
        <v>98018</v>
      </c>
      <c r="C1655" s="406" t="s">
        <v>7348</v>
      </c>
      <c r="D1655" s="395" t="s">
        <v>23</v>
      </c>
      <c r="E1655" s="407">
        <f t="shared" si="50"/>
        <v>8695.32</v>
      </c>
      <c r="F1655">
        <f t="shared" si="51"/>
        <v>98018</v>
      </c>
      <c r="H1655" s="680">
        <v>8695.32</v>
      </c>
      <c r="I1655" s="680">
        <v>8993.99</v>
      </c>
    </row>
    <row r="1656" spans="2:9" ht="30">
      <c r="B1656" s="396">
        <v>98019</v>
      </c>
      <c r="C1656" s="401" t="s">
        <v>5256</v>
      </c>
      <c r="D1656" s="396" t="s">
        <v>22</v>
      </c>
      <c r="E1656" s="405">
        <f t="shared" si="50"/>
        <v>3046.52</v>
      </c>
      <c r="F1656">
        <f t="shared" si="51"/>
        <v>98019</v>
      </c>
      <c r="H1656" s="679">
        <v>3046.52</v>
      </c>
      <c r="I1656" s="679">
        <v>3189.19</v>
      </c>
    </row>
    <row r="1657" spans="2:9" ht="30">
      <c r="B1657" s="395">
        <v>98020</v>
      </c>
      <c r="C1657" s="406" t="s">
        <v>7349</v>
      </c>
      <c r="D1657" s="395" t="s">
        <v>23</v>
      </c>
      <c r="E1657" s="407">
        <f t="shared" si="50"/>
        <v>6180.06</v>
      </c>
      <c r="F1657">
        <f t="shared" si="51"/>
        <v>98020</v>
      </c>
      <c r="H1657" s="680">
        <v>6180.06</v>
      </c>
      <c r="I1657" s="680">
        <v>6394.11</v>
      </c>
    </row>
    <row r="1658" spans="2:9" ht="30">
      <c r="B1658" s="396">
        <v>98021</v>
      </c>
      <c r="C1658" s="401" t="s">
        <v>5257</v>
      </c>
      <c r="D1658" s="396" t="s">
        <v>22</v>
      </c>
      <c r="E1658" s="405">
        <f t="shared" si="50"/>
        <v>2300.5100000000002</v>
      </c>
      <c r="F1658">
        <f t="shared" si="51"/>
        <v>98021</v>
      </c>
      <c r="H1658" s="679">
        <v>2300.5100000000002</v>
      </c>
      <c r="I1658" s="679">
        <v>2407.88</v>
      </c>
    </row>
    <row r="1659" spans="2:9" ht="30">
      <c r="B1659" s="395">
        <v>98022</v>
      </c>
      <c r="C1659" s="406" t="s">
        <v>7350</v>
      </c>
      <c r="D1659" s="395" t="s">
        <v>23</v>
      </c>
      <c r="E1659" s="407">
        <f t="shared" si="50"/>
        <v>7254.58</v>
      </c>
      <c r="F1659">
        <f t="shared" si="51"/>
        <v>98022</v>
      </c>
      <c r="H1659" s="680">
        <v>7254.58</v>
      </c>
      <c r="I1659" s="680">
        <v>7503.07</v>
      </c>
    </row>
    <row r="1660" spans="2:9" ht="30">
      <c r="B1660" s="396">
        <v>98023</v>
      </c>
      <c r="C1660" s="401" t="s">
        <v>5258</v>
      </c>
      <c r="D1660" s="396" t="s">
        <v>22</v>
      </c>
      <c r="E1660" s="405">
        <f t="shared" si="50"/>
        <v>2549.14</v>
      </c>
      <c r="F1660">
        <f t="shared" si="51"/>
        <v>98023</v>
      </c>
      <c r="H1660" s="679">
        <v>2549.14</v>
      </c>
      <c r="I1660" s="679">
        <v>2668.3</v>
      </c>
    </row>
    <row r="1661" spans="2:9" ht="30">
      <c r="B1661" s="395">
        <v>98024</v>
      </c>
      <c r="C1661" s="406" t="s">
        <v>7351</v>
      </c>
      <c r="D1661" s="395" t="s">
        <v>23</v>
      </c>
      <c r="E1661" s="407">
        <f t="shared" si="50"/>
        <v>8386.58</v>
      </c>
      <c r="F1661">
        <f t="shared" si="51"/>
        <v>98024</v>
      </c>
      <c r="H1661" s="680">
        <v>8386.58</v>
      </c>
      <c r="I1661" s="680">
        <v>8669.4699999999993</v>
      </c>
    </row>
    <row r="1662" spans="2:9" ht="30">
      <c r="B1662" s="396">
        <v>98025</v>
      </c>
      <c r="C1662" s="401" t="s">
        <v>5259</v>
      </c>
      <c r="D1662" s="396" t="s">
        <v>22</v>
      </c>
      <c r="E1662" s="405">
        <f t="shared" si="50"/>
        <v>2797.89</v>
      </c>
      <c r="F1662">
        <f t="shared" si="51"/>
        <v>98025</v>
      </c>
      <c r="H1662" s="679">
        <v>2797.89</v>
      </c>
      <c r="I1662" s="679">
        <v>2928.8</v>
      </c>
    </row>
    <row r="1663" spans="2:9" ht="30">
      <c r="B1663" s="395">
        <v>98026</v>
      </c>
      <c r="C1663" s="406" t="s">
        <v>7352</v>
      </c>
      <c r="D1663" s="395" t="s">
        <v>23</v>
      </c>
      <c r="E1663" s="407">
        <f t="shared" si="50"/>
        <v>9468.3799999999992</v>
      </c>
      <c r="F1663">
        <f t="shared" si="51"/>
        <v>98026</v>
      </c>
      <c r="H1663" s="680">
        <v>9468.3799999999992</v>
      </c>
      <c r="I1663" s="680">
        <v>9785.7000000000007</v>
      </c>
    </row>
    <row r="1664" spans="2:9" ht="30">
      <c r="B1664" s="396">
        <v>98027</v>
      </c>
      <c r="C1664" s="401" t="s">
        <v>5260</v>
      </c>
      <c r="D1664" s="396" t="s">
        <v>22</v>
      </c>
      <c r="E1664" s="405">
        <f t="shared" si="50"/>
        <v>3046.52</v>
      </c>
      <c r="F1664">
        <f t="shared" si="51"/>
        <v>98027</v>
      </c>
      <c r="H1664" s="679">
        <v>3046.52</v>
      </c>
      <c r="I1664" s="679">
        <v>3189.19</v>
      </c>
    </row>
    <row r="1665" spans="2:9" ht="30">
      <c r="B1665" s="395">
        <v>98028</v>
      </c>
      <c r="C1665" s="406" t="s">
        <v>7353</v>
      </c>
      <c r="D1665" s="395" t="s">
        <v>23</v>
      </c>
      <c r="E1665" s="407">
        <f t="shared" si="50"/>
        <v>10550.25</v>
      </c>
      <c r="F1665">
        <f t="shared" si="51"/>
        <v>98028</v>
      </c>
      <c r="H1665" s="680">
        <v>10550.25</v>
      </c>
      <c r="I1665" s="680">
        <v>10901.96</v>
      </c>
    </row>
    <row r="1666" spans="2:9" ht="30">
      <c r="B1666" s="396">
        <v>98029</v>
      </c>
      <c r="C1666" s="401" t="s">
        <v>5261</v>
      </c>
      <c r="D1666" s="396" t="s">
        <v>22</v>
      </c>
      <c r="E1666" s="405">
        <f t="shared" si="50"/>
        <v>3300.16</v>
      </c>
      <c r="F1666">
        <f t="shared" si="51"/>
        <v>98029</v>
      </c>
      <c r="H1666" s="679">
        <v>3300.16</v>
      </c>
      <c r="I1666" s="679">
        <v>3454.82</v>
      </c>
    </row>
    <row r="1667" spans="2:9" ht="30">
      <c r="B1667" s="395">
        <v>98030</v>
      </c>
      <c r="C1667" s="406" t="s">
        <v>7354</v>
      </c>
      <c r="D1667" s="395" t="s">
        <v>23</v>
      </c>
      <c r="E1667" s="407">
        <f t="shared" ref="E1667:E1730" si="52">IF($K$2=$H$1,H1667,I1667)</f>
        <v>8621.6299999999992</v>
      </c>
      <c r="F1667">
        <f t="shared" ref="F1667:F1730" si="53">IF(LEN($B1667)=7,CONCATENATE(MID($B1667,1,6),"00",RIGHT($B1667,1)),IF(LEN($B1667)=8,CONCATENATE(MID($B1667,1,6),"0",RIGHT($B1667,2)),$B1667))</f>
        <v>98030</v>
      </c>
      <c r="H1667" s="680">
        <v>8621.6299999999992</v>
      </c>
      <c r="I1667" s="680">
        <v>8901.9500000000007</v>
      </c>
    </row>
    <row r="1668" spans="2:9" ht="30">
      <c r="B1668" s="396">
        <v>98031</v>
      </c>
      <c r="C1668" s="401" t="s">
        <v>5262</v>
      </c>
      <c r="D1668" s="396" t="s">
        <v>22</v>
      </c>
      <c r="E1668" s="405">
        <f t="shared" si="52"/>
        <v>2802.89</v>
      </c>
      <c r="F1668">
        <f t="shared" si="53"/>
        <v>98031</v>
      </c>
      <c r="H1668" s="679">
        <v>2802.89</v>
      </c>
      <c r="I1668" s="679">
        <v>2933.99</v>
      </c>
    </row>
    <row r="1669" spans="2:9" ht="30">
      <c r="B1669" s="395">
        <v>98032</v>
      </c>
      <c r="C1669" s="406" t="s">
        <v>7355</v>
      </c>
      <c r="D1669" s="395" t="s">
        <v>23</v>
      </c>
      <c r="E1669" s="407">
        <f t="shared" si="52"/>
        <v>9935.32</v>
      </c>
      <c r="F1669">
        <f t="shared" si="53"/>
        <v>98032</v>
      </c>
      <c r="H1669" s="680">
        <v>9935.32</v>
      </c>
      <c r="I1669" s="680">
        <v>10254.709999999999</v>
      </c>
    </row>
    <row r="1670" spans="2:9" ht="30">
      <c r="B1670" s="396">
        <v>98033</v>
      </c>
      <c r="C1670" s="401" t="s">
        <v>5263</v>
      </c>
      <c r="D1670" s="396" t="s">
        <v>22</v>
      </c>
      <c r="E1670" s="405">
        <f t="shared" si="52"/>
        <v>3051.52</v>
      </c>
      <c r="F1670">
        <f t="shared" si="53"/>
        <v>98033</v>
      </c>
      <c r="H1670" s="679">
        <v>3051.52</v>
      </c>
      <c r="I1670" s="679">
        <v>3194.41</v>
      </c>
    </row>
    <row r="1671" spans="2:9" ht="30">
      <c r="B1671" s="395">
        <v>98034</v>
      </c>
      <c r="C1671" s="406" t="s">
        <v>7356</v>
      </c>
      <c r="D1671" s="395" t="s">
        <v>23</v>
      </c>
      <c r="E1671" s="407">
        <f t="shared" si="52"/>
        <v>11249.05</v>
      </c>
      <c r="F1671">
        <f t="shared" si="53"/>
        <v>98034</v>
      </c>
      <c r="H1671" s="680">
        <v>11249.05</v>
      </c>
      <c r="I1671" s="680">
        <v>11607.49</v>
      </c>
    </row>
    <row r="1672" spans="2:9" ht="30">
      <c r="B1672" s="396">
        <v>98035</v>
      </c>
      <c r="C1672" s="401" t="s">
        <v>5264</v>
      </c>
      <c r="D1672" s="396" t="s">
        <v>22</v>
      </c>
      <c r="E1672" s="405">
        <f t="shared" si="52"/>
        <v>3300.16</v>
      </c>
      <c r="F1672">
        <f t="shared" si="53"/>
        <v>98035</v>
      </c>
      <c r="H1672" s="679">
        <v>3300.16</v>
      </c>
      <c r="I1672" s="679">
        <v>3454.82</v>
      </c>
    </row>
    <row r="1673" spans="2:9" ht="30">
      <c r="B1673" s="395">
        <v>98036</v>
      </c>
      <c r="C1673" s="406" t="s">
        <v>7357</v>
      </c>
      <c r="D1673" s="395" t="s">
        <v>23</v>
      </c>
      <c r="E1673" s="407">
        <f t="shared" si="52"/>
        <v>12562.74</v>
      </c>
      <c r="F1673">
        <f t="shared" si="53"/>
        <v>98036</v>
      </c>
      <c r="H1673" s="680">
        <v>12562.74</v>
      </c>
      <c r="I1673" s="680">
        <v>12960.3</v>
      </c>
    </row>
    <row r="1674" spans="2:9" ht="30">
      <c r="B1674" s="396">
        <v>98037</v>
      </c>
      <c r="C1674" s="401" t="s">
        <v>5265</v>
      </c>
      <c r="D1674" s="396" t="s">
        <v>22</v>
      </c>
      <c r="E1674" s="405">
        <f t="shared" si="52"/>
        <v>3553.82</v>
      </c>
      <c r="F1674">
        <f t="shared" si="53"/>
        <v>98037</v>
      </c>
      <c r="H1674" s="679">
        <v>3553.82</v>
      </c>
      <c r="I1674" s="679">
        <v>3720.45</v>
      </c>
    </row>
    <row r="1675" spans="2:9" ht="30">
      <c r="B1675" s="395">
        <v>98038</v>
      </c>
      <c r="C1675" s="406" t="s">
        <v>7358</v>
      </c>
      <c r="D1675" s="395" t="s">
        <v>23</v>
      </c>
      <c r="E1675" s="407">
        <f t="shared" si="52"/>
        <v>11499.28</v>
      </c>
      <c r="F1675">
        <f t="shared" si="53"/>
        <v>98038</v>
      </c>
      <c r="H1675" s="680">
        <v>11499.28</v>
      </c>
      <c r="I1675" s="680">
        <v>11862.38</v>
      </c>
    </row>
    <row r="1676" spans="2:9" ht="30">
      <c r="B1676" s="396">
        <v>98039</v>
      </c>
      <c r="C1676" s="401" t="s">
        <v>5266</v>
      </c>
      <c r="D1676" s="396" t="s">
        <v>22</v>
      </c>
      <c r="E1676" s="405">
        <f t="shared" si="52"/>
        <v>3305.17</v>
      </c>
      <c r="F1676">
        <f t="shared" si="53"/>
        <v>98039</v>
      </c>
      <c r="H1676" s="679">
        <v>3305.17</v>
      </c>
      <c r="I1676" s="679">
        <v>3460.02</v>
      </c>
    </row>
    <row r="1677" spans="2:9" ht="30">
      <c r="B1677" s="395">
        <v>98040</v>
      </c>
      <c r="C1677" s="406" t="s">
        <v>7359</v>
      </c>
      <c r="D1677" s="395" t="s">
        <v>23</v>
      </c>
      <c r="E1677" s="407">
        <f t="shared" si="52"/>
        <v>13014.74</v>
      </c>
      <c r="F1677">
        <f t="shared" si="53"/>
        <v>98040</v>
      </c>
      <c r="H1677" s="680">
        <v>13014.74</v>
      </c>
      <c r="I1677" s="680">
        <v>13421.49</v>
      </c>
    </row>
    <row r="1678" spans="2:9" ht="30">
      <c r="B1678" s="396">
        <v>98041</v>
      </c>
      <c r="C1678" s="401" t="s">
        <v>5267</v>
      </c>
      <c r="D1678" s="396" t="s">
        <v>22</v>
      </c>
      <c r="E1678" s="405">
        <f t="shared" si="52"/>
        <v>3553.82</v>
      </c>
      <c r="F1678">
        <f t="shared" si="53"/>
        <v>98041</v>
      </c>
      <c r="H1678" s="679">
        <v>3553.82</v>
      </c>
      <c r="I1678" s="679">
        <v>3720.45</v>
      </c>
    </row>
    <row r="1679" spans="2:9" ht="30">
      <c r="B1679" s="395">
        <v>98042</v>
      </c>
      <c r="C1679" s="406" t="s">
        <v>7360</v>
      </c>
      <c r="D1679" s="395" t="s">
        <v>23</v>
      </c>
      <c r="E1679" s="407">
        <f t="shared" si="52"/>
        <v>14530.22</v>
      </c>
      <c r="F1679">
        <f t="shared" si="53"/>
        <v>98042</v>
      </c>
      <c r="H1679" s="680">
        <v>14530.22</v>
      </c>
      <c r="I1679" s="680">
        <v>14980.64</v>
      </c>
    </row>
    <row r="1680" spans="2:9" ht="30">
      <c r="B1680" s="396">
        <v>98043</v>
      </c>
      <c r="C1680" s="401" t="s">
        <v>5268</v>
      </c>
      <c r="D1680" s="396" t="s">
        <v>22</v>
      </c>
      <c r="E1680" s="405">
        <f t="shared" si="52"/>
        <v>3807.55</v>
      </c>
      <c r="F1680">
        <f t="shared" si="53"/>
        <v>98043</v>
      </c>
      <c r="H1680" s="679">
        <v>3807.55</v>
      </c>
      <c r="I1680" s="679">
        <v>3986.15</v>
      </c>
    </row>
    <row r="1681" spans="2:9" ht="30">
      <c r="B1681" s="395">
        <v>98044</v>
      </c>
      <c r="C1681" s="406" t="s">
        <v>7361</v>
      </c>
      <c r="D1681" s="395" t="s">
        <v>23</v>
      </c>
      <c r="E1681" s="407">
        <f t="shared" si="52"/>
        <v>14780.53</v>
      </c>
      <c r="F1681">
        <f t="shared" si="53"/>
        <v>98044</v>
      </c>
      <c r="H1681" s="680">
        <v>14780.53</v>
      </c>
      <c r="I1681" s="680">
        <v>15235.61</v>
      </c>
    </row>
    <row r="1682" spans="2:9" ht="30">
      <c r="B1682" s="396">
        <v>98045</v>
      </c>
      <c r="C1682" s="401" t="s">
        <v>5269</v>
      </c>
      <c r="D1682" s="396" t="s">
        <v>22</v>
      </c>
      <c r="E1682" s="405">
        <f t="shared" si="52"/>
        <v>3807.55</v>
      </c>
      <c r="F1682">
        <f t="shared" si="53"/>
        <v>98045</v>
      </c>
      <c r="H1682" s="679">
        <v>3807.55</v>
      </c>
      <c r="I1682" s="679">
        <v>3986.15</v>
      </c>
    </row>
    <row r="1683" spans="2:9" ht="30">
      <c r="B1683" s="395">
        <v>98046</v>
      </c>
      <c r="C1683" s="406" t="s">
        <v>7362</v>
      </c>
      <c r="D1683" s="395" t="s">
        <v>23</v>
      </c>
      <c r="E1683" s="407">
        <f t="shared" si="52"/>
        <v>16497.599999999999</v>
      </c>
      <c r="F1683">
        <f t="shared" si="53"/>
        <v>98046</v>
      </c>
      <c r="H1683" s="680">
        <v>16497.599999999999</v>
      </c>
      <c r="I1683" s="680">
        <v>17000.88</v>
      </c>
    </row>
    <row r="1684" spans="2:9" ht="30">
      <c r="B1684" s="396">
        <v>98047</v>
      </c>
      <c r="C1684" s="401" t="s">
        <v>5270</v>
      </c>
      <c r="D1684" s="396" t="s">
        <v>22</v>
      </c>
      <c r="E1684" s="405">
        <f t="shared" si="52"/>
        <v>4061.21</v>
      </c>
      <c r="F1684">
        <f t="shared" si="53"/>
        <v>98047</v>
      </c>
      <c r="H1684" s="679">
        <v>4061.21</v>
      </c>
      <c r="I1684" s="679">
        <v>4251.76</v>
      </c>
    </row>
    <row r="1685" spans="2:9" ht="30">
      <c r="B1685" s="395">
        <v>98048</v>
      </c>
      <c r="C1685" s="406" t="s">
        <v>7363</v>
      </c>
      <c r="D1685" s="395" t="s">
        <v>23</v>
      </c>
      <c r="E1685" s="407">
        <f t="shared" si="52"/>
        <v>18465.05</v>
      </c>
      <c r="F1685">
        <f t="shared" si="53"/>
        <v>98048</v>
      </c>
      <c r="H1685" s="680">
        <v>18465.05</v>
      </c>
      <c r="I1685" s="680">
        <v>19021.23</v>
      </c>
    </row>
    <row r="1686" spans="2:9" ht="30">
      <c r="B1686" s="396">
        <v>98049</v>
      </c>
      <c r="C1686" s="401" t="s">
        <v>5271</v>
      </c>
      <c r="D1686" s="396" t="s">
        <v>22</v>
      </c>
      <c r="E1686" s="405">
        <f t="shared" si="52"/>
        <v>4265.8999999999996</v>
      </c>
      <c r="F1686">
        <f t="shared" si="53"/>
        <v>98049</v>
      </c>
      <c r="H1686" s="679">
        <v>4265.8999999999996</v>
      </c>
      <c r="I1686" s="679">
        <v>4466.55</v>
      </c>
    </row>
    <row r="1687" spans="2:9">
      <c r="B1687" s="395">
        <v>98050</v>
      </c>
      <c r="C1687" s="406" t="s">
        <v>5272</v>
      </c>
      <c r="D1687" s="395" t="s">
        <v>22</v>
      </c>
      <c r="E1687" s="407">
        <f t="shared" si="52"/>
        <v>284.12</v>
      </c>
      <c r="F1687">
        <f t="shared" si="53"/>
        <v>98050</v>
      </c>
      <c r="H1687" s="680">
        <v>284.12</v>
      </c>
      <c r="I1687" s="680">
        <v>285.89999999999998</v>
      </c>
    </row>
    <row r="1688" spans="2:9" ht="30">
      <c r="B1688" s="396">
        <v>98051</v>
      </c>
      <c r="C1688" s="401" t="s">
        <v>5273</v>
      </c>
      <c r="D1688" s="396" t="s">
        <v>22</v>
      </c>
      <c r="E1688" s="405">
        <f t="shared" si="52"/>
        <v>994.88</v>
      </c>
      <c r="F1688">
        <f t="shared" si="53"/>
        <v>98051</v>
      </c>
      <c r="H1688" s="679">
        <v>994.88</v>
      </c>
      <c r="I1688" s="679">
        <v>1037.27</v>
      </c>
    </row>
    <row r="1689" spans="2:9" ht="30">
      <c r="B1689" s="395">
        <v>98405</v>
      </c>
      <c r="C1689" s="406" t="s">
        <v>7364</v>
      </c>
      <c r="D1689" s="395" t="s">
        <v>23</v>
      </c>
      <c r="E1689" s="407">
        <f t="shared" si="52"/>
        <v>2709.35</v>
      </c>
      <c r="F1689">
        <f t="shared" si="53"/>
        <v>98405</v>
      </c>
      <c r="H1689" s="680">
        <v>2709.35</v>
      </c>
      <c r="I1689" s="680">
        <v>2810.03</v>
      </c>
    </row>
    <row r="1690" spans="2:9" ht="30">
      <c r="B1690" s="396">
        <v>98406</v>
      </c>
      <c r="C1690" s="401" t="s">
        <v>7365</v>
      </c>
      <c r="D1690" s="396" t="s">
        <v>23</v>
      </c>
      <c r="E1690" s="405">
        <f t="shared" si="52"/>
        <v>6213.64</v>
      </c>
      <c r="F1690">
        <f t="shared" si="53"/>
        <v>98406</v>
      </c>
      <c r="H1690" s="679">
        <v>6213.64</v>
      </c>
      <c r="I1690" s="679">
        <v>6439.58</v>
      </c>
    </row>
    <row r="1691" spans="2:9" ht="30">
      <c r="B1691" s="395">
        <v>98407</v>
      </c>
      <c r="C1691" s="406" t="s">
        <v>7366</v>
      </c>
      <c r="D1691" s="395" t="s">
        <v>23</v>
      </c>
      <c r="E1691" s="407">
        <f t="shared" si="52"/>
        <v>4062.69</v>
      </c>
      <c r="F1691">
        <f t="shared" si="53"/>
        <v>98407</v>
      </c>
      <c r="H1691" s="680">
        <v>4062.69</v>
      </c>
      <c r="I1691" s="680">
        <v>4212.79</v>
      </c>
    </row>
    <row r="1692" spans="2:9" ht="30">
      <c r="B1692" s="396">
        <v>98408</v>
      </c>
      <c r="C1692" s="401" t="s">
        <v>7367</v>
      </c>
      <c r="D1692" s="396" t="s">
        <v>23</v>
      </c>
      <c r="E1692" s="405">
        <f t="shared" si="52"/>
        <v>4767.41</v>
      </c>
      <c r="F1692">
        <f t="shared" si="53"/>
        <v>98408</v>
      </c>
      <c r="H1692" s="679">
        <v>4767.41</v>
      </c>
      <c r="I1692" s="679">
        <v>4942.7700000000004</v>
      </c>
    </row>
    <row r="1693" spans="2:9" ht="30">
      <c r="B1693" s="395">
        <v>98409</v>
      </c>
      <c r="C1693" s="406" t="s">
        <v>5274</v>
      </c>
      <c r="D1693" s="395" t="s">
        <v>22</v>
      </c>
      <c r="E1693" s="407">
        <f t="shared" si="52"/>
        <v>388.07</v>
      </c>
      <c r="F1693">
        <f t="shared" si="53"/>
        <v>98409</v>
      </c>
      <c r="H1693" s="680">
        <v>388.07</v>
      </c>
      <c r="I1693" s="680">
        <v>390.98</v>
      </c>
    </row>
    <row r="1694" spans="2:9" ht="30">
      <c r="B1694" s="396">
        <v>98410</v>
      </c>
      <c r="C1694" s="401" t="s">
        <v>7368</v>
      </c>
      <c r="D1694" s="396" t="s">
        <v>23</v>
      </c>
      <c r="E1694" s="405">
        <f t="shared" si="52"/>
        <v>1298.8900000000001</v>
      </c>
      <c r="F1694">
        <f t="shared" si="53"/>
        <v>98410</v>
      </c>
      <c r="H1694" s="679">
        <v>1298.8900000000001</v>
      </c>
      <c r="I1694" s="679">
        <v>1323.45</v>
      </c>
    </row>
    <row r="1695" spans="2:9" ht="30">
      <c r="B1695" s="395">
        <v>99240</v>
      </c>
      <c r="C1695" s="406" t="s">
        <v>5275</v>
      </c>
      <c r="D1695" s="395" t="s">
        <v>22</v>
      </c>
      <c r="E1695" s="407">
        <f t="shared" si="52"/>
        <v>680.72</v>
      </c>
      <c r="F1695">
        <f t="shared" si="53"/>
        <v>99240</v>
      </c>
      <c r="H1695" s="680">
        <v>680.72</v>
      </c>
      <c r="I1695" s="680">
        <v>684.8</v>
      </c>
    </row>
    <row r="1696" spans="2:9" ht="30">
      <c r="B1696" s="396">
        <v>99241</v>
      </c>
      <c r="C1696" s="401" t="s">
        <v>5276</v>
      </c>
      <c r="D1696" s="396" t="s">
        <v>22</v>
      </c>
      <c r="E1696" s="405">
        <f t="shared" si="52"/>
        <v>1697.18</v>
      </c>
      <c r="F1696">
        <f t="shared" si="53"/>
        <v>99241</v>
      </c>
      <c r="H1696" s="679">
        <v>1697.18</v>
      </c>
      <c r="I1696" s="679">
        <v>1779.8</v>
      </c>
    </row>
    <row r="1697" spans="2:9" ht="30">
      <c r="B1697" s="395">
        <v>99242</v>
      </c>
      <c r="C1697" s="406" t="s">
        <v>7369</v>
      </c>
      <c r="D1697" s="395" t="s">
        <v>23</v>
      </c>
      <c r="E1697" s="407">
        <f t="shared" si="52"/>
        <v>3122.36</v>
      </c>
      <c r="F1697">
        <f t="shared" si="53"/>
        <v>99242</v>
      </c>
      <c r="H1697" s="680">
        <v>3122.36</v>
      </c>
      <c r="I1697" s="680">
        <v>3239.11</v>
      </c>
    </row>
    <row r="1698" spans="2:9" ht="30">
      <c r="B1698" s="396">
        <v>99243</v>
      </c>
      <c r="C1698" s="401" t="s">
        <v>5277</v>
      </c>
      <c r="D1698" s="396" t="s">
        <v>22</v>
      </c>
      <c r="E1698" s="405">
        <f t="shared" si="52"/>
        <v>1648.04</v>
      </c>
      <c r="F1698">
        <f t="shared" si="53"/>
        <v>99243</v>
      </c>
      <c r="H1698" s="679">
        <v>1648.04</v>
      </c>
      <c r="I1698" s="679">
        <v>1725.88</v>
      </c>
    </row>
    <row r="1699" spans="2:9" ht="30">
      <c r="B1699" s="395">
        <v>99244</v>
      </c>
      <c r="C1699" s="406" t="s">
        <v>7370</v>
      </c>
      <c r="D1699" s="395" t="s">
        <v>23</v>
      </c>
      <c r="E1699" s="407">
        <f t="shared" si="52"/>
        <v>4968.12</v>
      </c>
      <c r="F1699">
        <f t="shared" si="53"/>
        <v>99244</v>
      </c>
      <c r="H1699" s="680">
        <v>4968.12</v>
      </c>
      <c r="I1699" s="680">
        <v>5146.91</v>
      </c>
    </row>
    <row r="1700" spans="2:9" ht="30">
      <c r="B1700" s="396">
        <v>99246</v>
      </c>
      <c r="C1700" s="401" t="s">
        <v>5278</v>
      </c>
      <c r="D1700" s="396" t="s">
        <v>22</v>
      </c>
      <c r="E1700" s="405">
        <f t="shared" si="52"/>
        <v>934.18</v>
      </c>
      <c r="F1700">
        <f t="shared" si="53"/>
        <v>99246</v>
      </c>
      <c r="H1700" s="679">
        <v>934.18</v>
      </c>
      <c r="I1700" s="679">
        <v>939.36</v>
      </c>
    </row>
    <row r="1701" spans="2:9" ht="30">
      <c r="B1701" s="395">
        <v>99247</v>
      </c>
      <c r="C1701" s="406" t="s">
        <v>5279</v>
      </c>
      <c r="D1701" s="395" t="s">
        <v>22</v>
      </c>
      <c r="E1701" s="407">
        <f t="shared" si="52"/>
        <v>1933.78</v>
      </c>
      <c r="F1701">
        <f t="shared" si="53"/>
        <v>99247</v>
      </c>
      <c r="H1701" s="680">
        <v>1933.78</v>
      </c>
      <c r="I1701" s="680">
        <v>2028.16</v>
      </c>
    </row>
    <row r="1702" spans="2:9" ht="30">
      <c r="B1702" s="396">
        <v>99248</v>
      </c>
      <c r="C1702" s="401" t="s">
        <v>7371</v>
      </c>
      <c r="D1702" s="396" t="s">
        <v>23</v>
      </c>
      <c r="E1702" s="405">
        <f t="shared" si="52"/>
        <v>4037.32</v>
      </c>
      <c r="F1702">
        <f t="shared" si="53"/>
        <v>99248</v>
      </c>
      <c r="H1702" s="679">
        <v>4037.32</v>
      </c>
      <c r="I1702" s="679">
        <v>4181.91</v>
      </c>
    </row>
    <row r="1703" spans="2:9" ht="30">
      <c r="B1703" s="395">
        <v>99249</v>
      </c>
      <c r="C1703" s="406" t="s">
        <v>5280</v>
      </c>
      <c r="D1703" s="395" t="s">
        <v>22</v>
      </c>
      <c r="E1703" s="407">
        <f t="shared" si="52"/>
        <v>2012.79</v>
      </c>
      <c r="F1703">
        <f t="shared" si="53"/>
        <v>99249</v>
      </c>
      <c r="H1703" s="680">
        <v>2012.79</v>
      </c>
      <c r="I1703" s="680">
        <v>2108.63</v>
      </c>
    </row>
    <row r="1704" spans="2:9" ht="30">
      <c r="B1704" s="396">
        <v>99252</v>
      </c>
      <c r="C1704" s="401" t="s">
        <v>7372</v>
      </c>
      <c r="D1704" s="396" t="s">
        <v>23</v>
      </c>
      <c r="E1704" s="405">
        <f t="shared" si="52"/>
        <v>2583.54</v>
      </c>
      <c r="F1704">
        <f t="shared" si="53"/>
        <v>99252</v>
      </c>
      <c r="H1704" s="679">
        <v>2583.54</v>
      </c>
      <c r="I1704" s="679">
        <v>2682.85</v>
      </c>
    </row>
    <row r="1705" spans="2:9" ht="30">
      <c r="B1705" s="395">
        <v>99254</v>
      </c>
      <c r="C1705" s="406" t="s">
        <v>5281</v>
      </c>
      <c r="D1705" s="395" t="s">
        <v>22</v>
      </c>
      <c r="E1705" s="407">
        <f t="shared" si="52"/>
        <v>1223.9100000000001</v>
      </c>
      <c r="F1705">
        <f t="shared" si="53"/>
        <v>99254</v>
      </c>
      <c r="H1705" s="680">
        <v>1223.9100000000001</v>
      </c>
      <c r="I1705" s="680">
        <v>1283.05</v>
      </c>
    </row>
    <row r="1706" spans="2:9" ht="30">
      <c r="B1706" s="396">
        <v>99256</v>
      </c>
      <c r="C1706" s="401" t="s">
        <v>7373</v>
      </c>
      <c r="D1706" s="396" t="s">
        <v>23</v>
      </c>
      <c r="E1706" s="405">
        <f t="shared" si="52"/>
        <v>5842.34</v>
      </c>
      <c r="F1706">
        <f t="shared" si="53"/>
        <v>99256</v>
      </c>
      <c r="H1706" s="679">
        <v>5842.34</v>
      </c>
      <c r="I1706" s="679">
        <v>6050.89</v>
      </c>
    </row>
    <row r="1707" spans="2:9" ht="30">
      <c r="B1707" s="395">
        <v>99259</v>
      </c>
      <c r="C1707" s="406" t="s">
        <v>7374</v>
      </c>
      <c r="D1707" s="395" t="s">
        <v>23</v>
      </c>
      <c r="E1707" s="407">
        <f t="shared" si="52"/>
        <v>3269.01</v>
      </c>
      <c r="F1707">
        <f t="shared" si="53"/>
        <v>99259</v>
      </c>
      <c r="H1707" s="680">
        <v>3269.01</v>
      </c>
      <c r="I1707" s="680">
        <v>3393.52</v>
      </c>
    </row>
    <row r="1708" spans="2:9" ht="30">
      <c r="B1708" s="396">
        <v>99261</v>
      </c>
      <c r="C1708" s="401" t="s">
        <v>5282</v>
      </c>
      <c r="D1708" s="396" t="s">
        <v>22</v>
      </c>
      <c r="E1708" s="405">
        <f t="shared" si="52"/>
        <v>1460.51</v>
      </c>
      <c r="F1708">
        <f t="shared" si="53"/>
        <v>99261</v>
      </c>
      <c r="H1708" s="679">
        <v>1460.51</v>
      </c>
      <c r="I1708" s="679">
        <v>1531.4</v>
      </c>
    </row>
    <row r="1709" spans="2:9" ht="30">
      <c r="B1709" s="395">
        <v>99263</v>
      </c>
      <c r="C1709" s="406" t="s">
        <v>5283</v>
      </c>
      <c r="D1709" s="395" t="s">
        <v>22</v>
      </c>
      <c r="E1709" s="407">
        <f t="shared" si="52"/>
        <v>2170.4499999999998</v>
      </c>
      <c r="F1709">
        <f t="shared" si="53"/>
        <v>99263</v>
      </c>
      <c r="H1709" s="680">
        <v>2170.4499999999998</v>
      </c>
      <c r="I1709" s="680">
        <v>2276.5500000000002</v>
      </c>
    </row>
    <row r="1710" spans="2:9" ht="30">
      <c r="B1710" s="396">
        <v>99265</v>
      </c>
      <c r="C1710" s="401" t="s">
        <v>7375</v>
      </c>
      <c r="D1710" s="396" t="s">
        <v>23</v>
      </c>
      <c r="E1710" s="405">
        <f t="shared" si="52"/>
        <v>3954.43</v>
      </c>
      <c r="F1710">
        <f t="shared" si="53"/>
        <v>99265</v>
      </c>
      <c r="H1710" s="679">
        <v>3954.43</v>
      </c>
      <c r="I1710" s="679">
        <v>4104.16</v>
      </c>
    </row>
    <row r="1711" spans="2:9" ht="30">
      <c r="B1711" s="395">
        <v>99266</v>
      </c>
      <c r="C1711" s="406" t="s">
        <v>5284</v>
      </c>
      <c r="D1711" s="395" t="s">
        <v>22</v>
      </c>
      <c r="E1711" s="407">
        <f t="shared" si="52"/>
        <v>1697.18</v>
      </c>
      <c r="F1711">
        <f t="shared" si="53"/>
        <v>99266</v>
      </c>
      <c r="H1711" s="680">
        <v>1697.18</v>
      </c>
      <c r="I1711" s="680">
        <v>1779.8</v>
      </c>
    </row>
    <row r="1712" spans="2:9" ht="30">
      <c r="B1712" s="396">
        <v>99267</v>
      </c>
      <c r="C1712" s="401" t="s">
        <v>7376</v>
      </c>
      <c r="D1712" s="396" t="s">
        <v>23</v>
      </c>
      <c r="E1712" s="405">
        <f t="shared" si="52"/>
        <v>4639.8900000000003</v>
      </c>
      <c r="F1712">
        <f t="shared" si="53"/>
        <v>99267</v>
      </c>
      <c r="H1712" s="679">
        <v>4639.8900000000003</v>
      </c>
      <c r="I1712" s="679">
        <v>4814.83</v>
      </c>
    </row>
    <row r="1713" spans="2:9" ht="30">
      <c r="B1713" s="395">
        <v>99268</v>
      </c>
      <c r="C1713" s="406" t="s">
        <v>7377</v>
      </c>
      <c r="D1713" s="395" t="s">
        <v>23</v>
      </c>
      <c r="E1713" s="407">
        <f t="shared" si="52"/>
        <v>504.07</v>
      </c>
      <c r="F1713">
        <f t="shared" si="53"/>
        <v>99268</v>
      </c>
      <c r="H1713" s="680">
        <v>504.07</v>
      </c>
      <c r="I1713" s="680">
        <v>513.41</v>
      </c>
    </row>
    <row r="1714" spans="2:9" ht="30">
      <c r="B1714" s="396">
        <v>99269</v>
      </c>
      <c r="C1714" s="401" t="s">
        <v>5285</v>
      </c>
      <c r="D1714" s="396" t="s">
        <v>22</v>
      </c>
      <c r="E1714" s="405">
        <f t="shared" si="52"/>
        <v>1933.78</v>
      </c>
      <c r="F1714">
        <f t="shared" si="53"/>
        <v>99269</v>
      </c>
      <c r="H1714" s="679">
        <v>1933.78</v>
      </c>
      <c r="I1714" s="679">
        <v>2028.16</v>
      </c>
    </row>
    <row r="1715" spans="2:9" ht="30">
      <c r="B1715" s="395">
        <v>99270</v>
      </c>
      <c r="C1715" s="406" t="s">
        <v>7378</v>
      </c>
      <c r="D1715" s="395" t="s">
        <v>23</v>
      </c>
      <c r="E1715" s="407">
        <f t="shared" si="52"/>
        <v>648.88</v>
      </c>
      <c r="F1715">
        <f t="shared" si="53"/>
        <v>99270</v>
      </c>
      <c r="H1715" s="680">
        <v>648.88</v>
      </c>
      <c r="I1715" s="680">
        <v>659.2</v>
      </c>
    </row>
    <row r="1716" spans="2:9" ht="30">
      <c r="B1716" s="396">
        <v>99271</v>
      </c>
      <c r="C1716" s="401" t="s">
        <v>7379</v>
      </c>
      <c r="D1716" s="396" t="s">
        <v>23</v>
      </c>
      <c r="E1716" s="405">
        <f t="shared" si="52"/>
        <v>6716.5</v>
      </c>
      <c r="F1716">
        <f t="shared" si="53"/>
        <v>99271</v>
      </c>
      <c r="H1716" s="679">
        <v>6716.5</v>
      </c>
      <c r="I1716" s="679">
        <v>6954.83</v>
      </c>
    </row>
    <row r="1717" spans="2:9" ht="30">
      <c r="B1717" s="395">
        <v>99272</v>
      </c>
      <c r="C1717" s="406" t="s">
        <v>7380</v>
      </c>
      <c r="D1717" s="395" t="s">
        <v>23</v>
      </c>
      <c r="E1717" s="407">
        <f t="shared" si="52"/>
        <v>1138.81</v>
      </c>
      <c r="F1717">
        <f t="shared" si="53"/>
        <v>99272</v>
      </c>
      <c r="H1717" s="680">
        <v>1138.81</v>
      </c>
      <c r="I1717" s="680">
        <v>1183.9000000000001</v>
      </c>
    </row>
    <row r="1718" spans="2:9" ht="30">
      <c r="B1718" s="396">
        <v>99273</v>
      </c>
      <c r="C1718" s="401" t="s">
        <v>7381</v>
      </c>
      <c r="D1718" s="396" t="s">
        <v>23</v>
      </c>
      <c r="E1718" s="405">
        <f t="shared" si="52"/>
        <v>1607.64</v>
      </c>
      <c r="F1718">
        <f t="shared" si="53"/>
        <v>99273</v>
      </c>
      <c r="H1718" s="679">
        <v>1607.64</v>
      </c>
      <c r="I1718" s="679">
        <v>1673.89</v>
      </c>
    </row>
    <row r="1719" spans="2:9" ht="30">
      <c r="B1719" s="395">
        <v>99274</v>
      </c>
      <c r="C1719" s="406" t="s">
        <v>7382</v>
      </c>
      <c r="D1719" s="395" t="s">
        <v>23</v>
      </c>
      <c r="E1719" s="407">
        <f t="shared" si="52"/>
        <v>5358.09</v>
      </c>
      <c r="F1719">
        <f t="shared" si="53"/>
        <v>99274</v>
      </c>
      <c r="H1719" s="680">
        <v>5358.09</v>
      </c>
      <c r="I1719" s="680">
        <v>5558.25</v>
      </c>
    </row>
    <row r="1720" spans="2:9" ht="30">
      <c r="B1720" s="396">
        <v>99275</v>
      </c>
      <c r="C1720" s="401" t="s">
        <v>7383</v>
      </c>
      <c r="D1720" s="396" t="s">
        <v>23</v>
      </c>
      <c r="E1720" s="405">
        <f t="shared" si="52"/>
        <v>975.41</v>
      </c>
      <c r="F1720">
        <f t="shared" si="53"/>
        <v>99275</v>
      </c>
      <c r="H1720" s="679">
        <v>975.41</v>
      </c>
      <c r="I1720" s="679">
        <v>999.17</v>
      </c>
    </row>
    <row r="1721" spans="2:9" ht="30">
      <c r="B1721" s="395">
        <v>99276</v>
      </c>
      <c r="C1721" s="406" t="s">
        <v>5286</v>
      </c>
      <c r="D1721" s="395" t="s">
        <v>22</v>
      </c>
      <c r="E1721" s="407">
        <f t="shared" si="52"/>
        <v>2407.12</v>
      </c>
      <c r="F1721">
        <f t="shared" si="53"/>
        <v>99276</v>
      </c>
      <c r="H1721" s="680">
        <v>2407.12</v>
      </c>
      <c r="I1721" s="680">
        <v>2524.9499999999998</v>
      </c>
    </row>
    <row r="1722" spans="2:9" ht="30">
      <c r="B1722" s="396">
        <v>99277</v>
      </c>
      <c r="C1722" s="401" t="s">
        <v>5287</v>
      </c>
      <c r="D1722" s="396" t="s">
        <v>22</v>
      </c>
      <c r="E1722" s="405">
        <f t="shared" si="52"/>
        <v>2170.4499999999998</v>
      </c>
      <c r="F1722">
        <f t="shared" si="53"/>
        <v>99277</v>
      </c>
      <c r="H1722" s="679">
        <v>2170.4499999999998</v>
      </c>
      <c r="I1722" s="679">
        <v>2276.5500000000002</v>
      </c>
    </row>
    <row r="1723" spans="2:9" ht="30">
      <c r="B1723" s="395">
        <v>99278</v>
      </c>
      <c r="C1723" s="406" t="s">
        <v>5288</v>
      </c>
      <c r="D1723" s="395" t="s">
        <v>22</v>
      </c>
      <c r="E1723" s="407">
        <f t="shared" si="52"/>
        <v>385.7</v>
      </c>
      <c r="F1723">
        <f t="shared" si="53"/>
        <v>99278</v>
      </c>
      <c r="H1723" s="680">
        <v>385.7</v>
      </c>
      <c r="I1723" s="680">
        <v>388.6</v>
      </c>
    </row>
    <row r="1724" spans="2:9" ht="30">
      <c r="B1724" s="396">
        <v>99279</v>
      </c>
      <c r="C1724" s="401" t="s">
        <v>7384</v>
      </c>
      <c r="D1724" s="396" t="s">
        <v>23</v>
      </c>
      <c r="E1724" s="405">
        <f t="shared" si="52"/>
        <v>6047.62</v>
      </c>
      <c r="F1724">
        <f t="shared" si="53"/>
        <v>99279</v>
      </c>
      <c r="H1724" s="679">
        <v>6047.62</v>
      </c>
      <c r="I1724" s="679">
        <v>6273</v>
      </c>
    </row>
    <row r="1725" spans="2:9" ht="30">
      <c r="B1725" s="395">
        <v>99280</v>
      </c>
      <c r="C1725" s="406" t="s">
        <v>7385</v>
      </c>
      <c r="D1725" s="395" t="s">
        <v>23</v>
      </c>
      <c r="E1725" s="407">
        <f t="shared" si="52"/>
        <v>2101.92</v>
      </c>
      <c r="F1725">
        <f t="shared" si="53"/>
        <v>99280</v>
      </c>
      <c r="H1725" s="680">
        <v>2101.92</v>
      </c>
      <c r="I1725" s="680">
        <v>2184.77</v>
      </c>
    </row>
    <row r="1726" spans="2:9" ht="30">
      <c r="B1726" s="396">
        <v>99281</v>
      </c>
      <c r="C1726" s="401" t="s">
        <v>5289</v>
      </c>
      <c r="D1726" s="396" t="s">
        <v>22</v>
      </c>
      <c r="E1726" s="405">
        <f t="shared" si="52"/>
        <v>2407.12</v>
      </c>
      <c r="F1726">
        <f t="shared" si="53"/>
        <v>99281</v>
      </c>
      <c r="H1726" s="679">
        <v>2407.12</v>
      </c>
      <c r="I1726" s="679">
        <v>2524.9499999999998</v>
      </c>
    </row>
    <row r="1727" spans="2:9" ht="30">
      <c r="B1727" s="395">
        <v>99282</v>
      </c>
      <c r="C1727" s="406" t="s">
        <v>5290</v>
      </c>
      <c r="D1727" s="395" t="s">
        <v>22</v>
      </c>
      <c r="E1727" s="407">
        <f t="shared" si="52"/>
        <v>2668.41</v>
      </c>
      <c r="F1727">
        <f t="shared" si="53"/>
        <v>99282</v>
      </c>
      <c r="H1727" s="680">
        <v>2668.41</v>
      </c>
      <c r="I1727" s="680">
        <v>2799.06</v>
      </c>
    </row>
    <row r="1728" spans="2:9" ht="30">
      <c r="B1728" s="396">
        <v>99283</v>
      </c>
      <c r="C1728" s="401" t="s">
        <v>5291</v>
      </c>
      <c r="D1728" s="396" t="s">
        <v>22</v>
      </c>
      <c r="E1728" s="405">
        <f t="shared" si="52"/>
        <v>1161.8</v>
      </c>
      <c r="F1728">
        <f t="shared" si="53"/>
        <v>99283</v>
      </c>
      <c r="H1728" s="679">
        <v>1161.8</v>
      </c>
      <c r="I1728" s="679">
        <v>1215.5999999999999</v>
      </c>
    </row>
    <row r="1729" spans="2:9" ht="30">
      <c r="B1729" s="395">
        <v>99284</v>
      </c>
      <c r="C1729" s="406" t="s">
        <v>7386</v>
      </c>
      <c r="D1729" s="395" t="s">
        <v>23</v>
      </c>
      <c r="E1729" s="407">
        <f t="shared" si="52"/>
        <v>7590.81</v>
      </c>
      <c r="F1729">
        <f t="shared" si="53"/>
        <v>99284</v>
      </c>
      <c r="H1729" s="680">
        <v>7590.81</v>
      </c>
      <c r="I1729" s="680">
        <v>7858.9</v>
      </c>
    </row>
    <row r="1730" spans="2:9" ht="30">
      <c r="B1730" s="396">
        <v>99285</v>
      </c>
      <c r="C1730" s="401" t="s">
        <v>7387</v>
      </c>
      <c r="D1730" s="396" t="s">
        <v>23</v>
      </c>
      <c r="E1730" s="405">
        <f t="shared" si="52"/>
        <v>1358.3</v>
      </c>
      <c r="F1730">
        <f t="shared" si="53"/>
        <v>99285</v>
      </c>
      <c r="H1730" s="679">
        <v>1358.3</v>
      </c>
      <c r="I1730" s="679">
        <v>1386.67</v>
      </c>
    </row>
    <row r="1731" spans="2:9" ht="30">
      <c r="B1731" s="395">
        <v>99286</v>
      </c>
      <c r="C1731" s="406" t="s">
        <v>7388</v>
      </c>
      <c r="D1731" s="395" t="s">
        <v>23</v>
      </c>
      <c r="E1731" s="407">
        <f t="shared" ref="E1731:E1794" si="54">IF($K$2=$H$1,H1731,I1731)</f>
        <v>6737.26</v>
      </c>
      <c r="F1731">
        <f t="shared" ref="F1731:F1794" si="55">IF(LEN($B1731)=7,CONCATENATE(MID($B1731,1,6),"00",RIGHT($B1731,1)),IF(LEN($B1731)=8,CONCATENATE(MID($B1731,1,6),"0",RIGHT($B1731,2)),$B1731))</f>
        <v>99286</v>
      </c>
      <c r="H1731" s="680">
        <v>6737.26</v>
      </c>
      <c r="I1731" s="680">
        <v>6987.85</v>
      </c>
    </row>
    <row r="1732" spans="2:9" ht="30">
      <c r="B1732" s="396">
        <v>99287</v>
      </c>
      <c r="C1732" s="401" t="s">
        <v>7389</v>
      </c>
      <c r="D1732" s="396" t="s">
        <v>23</v>
      </c>
      <c r="E1732" s="405">
        <f t="shared" si="54"/>
        <v>9672.83</v>
      </c>
      <c r="F1732">
        <f t="shared" si="55"/>
        <v>99287</v>
      </c>
      <c r="H1732" s="679">
        <v>9672.83</v>
      </c>
      <c r="I1732" s="679">
        <v>9991.34</v>
      </c>
    </row>
    <row r="1733" spans="2:9" ht="30">
      <c r="B1733" s="395">
        <v>99288</v>
      </c>
      <c r="C1733" s="406" t="s">
        <v>5292</v>
      </c>
      <c r="D1733" s="395" t="s">
        <v>22</v>
      </c>
      <c r="E1733" s="407">
        <f t="shared" si="54"/>
        <v>510.31</v>
      </c>
      <c r="F1733">
        <f t="shared" si="55"/>
        <v>99288</v>
      </c>
      <c r="H1733" s="680">
        <v>510.31</v>
      </c>
      <c r="I1733" s="680">
        <v>513.76</v>
      </c>
    </row>
    <row r="1734" spans="2:9" ht="30">
      <c r="B1734" s="396">
        <v>99289</v>
      </c>
      <c r="C1734" s="401" t="s">
        <v>5293</v>
      </c>
      <c r="D1734" s="396" t="s">
        <v>22</v>
      </c>
      <c r="E1734" s="405">
        <f t="shared" si="54"/>
        <v>2643.74</v>
      </c>
      <c r="F1734">
        <f t="shared" si="55"/>
        <v>99289</v>
      </c>
      <c r="H1734" s="679">
        <v>2643.74</v>
      </c>
      <c r="I1734" s="679">
        <v>2773.28</v>
      </c>
    </row>
    <row r="1735" spans="2:9" ht="30">
      <c r="B1735" s="395">
        <v>99290</v>
      </c>
      <c r="C1735" s="406" t="s">
        <v>7390</v>
      </c>
      <c r="D1735" s="395" t="s">
        <v>23</v>
      </c>
      <c r="E1735" s="407">
        <f t="shared" si="54"/>
        <v>4067.95</v>
      </c>
      <c r="F1735">
        <f t="shared" si="55"/>
        <v>99290</v>
      </c>
      <c r="H1735" s="680">
        <v>4067.95</v>
      </c>
      <c r="I1735" s="680">
        <v>4216.93</v>
      </c>
    </row>
    <row r="1736" spans="2:9" ht="30">
      <c r="B1736" s="396">
        <v>99291</v>
      </c>
      <c r="C1736" s="401" t="s">
        <v>5294</v>
      </c>
      <c r="D1736" s="396" t="s">
        <v>22</v>
      </c>
      <c r="E1736" s="405">
        <f t="shared" si="54"/>
        <v>2643.74</v>
      </c>
      <c r="F1736">
        <f t="shared" si="55"/>
        <v>99291</v>
      </c>
      <c r="H1736" s="679">
        <v>2643.74</v>
      </c>
      <c r="I1736" s="679">
        <v>2773.28</v>
      </c>
    </row>
    <row r="1737" spans="2:9" ht="30">
      <c r="B1737" s="395">
        <v>99292</v>
      </c>
      <c r="C1737" s="406" t="s">
        <v>7391</v>
      </c>
      <c r="D1737" s="395" t="s">
        <v>23</v>
      </c>
      <c r="E1737" s="407">
        <f t="shared" si="54"/>
        <v>2609.19</v>
      </c>
      <c r="F1737">
        <f t="shared" si="55"/>
        <v>99292</v>
      </c>
      <c r="H1737" s="680">
        <v>2609.19</v>
      </c>
      <c r="I1737" s="680">
        <v>2709.54</v>
      </c>
    </row>
    <row r="1738" spans="2:9" ht="30">
      <c r="B1738" s="396">
        <v>99293</v>
      </c>
      <c r="C1738" s="401" t="s">
        <v>5295</v>
      </c>
      <c r="D1738" s="396" t="s">
        <v>22</v>
      </c>
      <c r="E1738" s="405">
        <f t="shared" si="54"/>
        <v>1404.96</v>
      </c>
      <c r="F1738">
        <f t="shared" si="55"/>
        <v>99293</v>
      </c>
      <c r="H1738" s="679">
        <v>1404.96</v>
      </c>
      <c r="I1738" s="679">
        <v>1470.77</v>
      </c>
    </row>
    <row r="1739" spans="2:9" ht="30">
      <c r="B1739" s="395">
        <v>99294</v>
      </c>
      <c r="C1739" s="406" t="s">
        <v>7392</v>
      </c>
      <c r="D1739" s="395" t="s">
        <v>23</v>
      </c>
      <c r="E1739" s="407">
        <f t="shared" si="54"/>
        <v>8464.9599999999991</v>
      </c>
      <c r="F1739">
        <f t="shared" si="55"/>
        <v>99294</v>
      </c>
      <c r="H1739" s="680">
        <v>8464.9599999999991</v>
      </c>
      <c r="I1739" s="680">
        <v>8762.85</v>
      </c>
    </row>
    <row r="1740" spans="2:9" ht="30">
      <c r="B1740" s="396">
        <v>99296</v>
      </c>
      <c r="C1740" s="401" t="s">
        <v>5296</v>
      </c>
      <c r="D1740" s="396" t="s">
        <v>22</v>
      </c>
      <c r="E1740" s="405">
        <f t="shared" si="54"/>
        <v>2905</v>
      </c>
      <c r="F1740">
        <f t="shared" si="55"/>
        <v>99296</v>
      </c>
      <c r="H1740" s="679">
        <v>2905</v>
      </c>
      <c r="I1740" s="679">
        <v>3047.39</v>
      </c>
    </row>
    <row r="1741" spans="2:9" ht="30">
      <c r="B1741" s="395">
        <v>99297</v>
      </c>
      <c r="C1741" s="406" t="s">
        <v>5297</v>
      </c>
      <c r="D1741" s="395" t="s">
        <v>22</v>
      </c>
      <c r="E1741" s="407">
        <f t="shared" si="54"/>
        <v>2900.75</v>
      </c>
      <c r="F1741">
        <f t="shared" si="55"/>
        <v>99297</v>
      </c>
      <c r="H1741" s="680">
        <v>2900.75</v>
      </c>
      <c r="I1741" s="680">
        <v>3042.94</v>
      </c>
    </row>
    <row r="1742" spans="2:9" ht="30">
      <c r="B1742" s="396">
        <v>99298</v>
      </c>
      <c r="C1742" s="401" t="s">
        <v>7393</v>
      </c>
      <c r="D1742" s="396" t="s">
        <v>23</v>
      </c>
      <c r="E1742" s="405">
        <f t="shared" si="54"/>
        <v>10951.3</v>
      </c>
      <c r="F1742">
        <f t="shared" si="55"/>
        <v>99298</v>
      </c>
      <c r="H1742" s="679">
        <v>10951.3</v>
      </c>
      <c r="I1742" s="679">
        <v>11308.74</v>
      </c>
    </row>
    <row r="1743" spans="2:9" ht="30">
      <c r="B1743" s="395">
        <v>99299</v>
      </c>
      <c r="C1743" s="406" t="s">
        <v>5298</v>
      </c>
      <c r="D1743" s="395" t="s">
        <v>22</v>
      </c>
      <c r="E1743" s="407">
        <f t="shared" si="54"/>
        <v>3141.59</v>
      </c>
      <c r="F1743">
        <f t="shared" si="55"/>
        <v>99299</v>
      </c>
      <c r="H1743" s="680">
        <v>3141.59</v>
      </c>
      <c r="I1743" s="680">
        <v>3295.71</v>
      </c>
    </row>
    <row r="1744" spans="2:9" ht="30">
      <c r="B1744" s="396">
        <v>99300</v>
      </c>
      <c r="C1744" s="401" t="s">
        <v>7394</v>
      </c>
      <c r="D1744" s="396" t="s">
        <v>23</v>
      </c>
      <c r="E1744" s="405">
        <f t="shared" si="54"/>
        <v>12229.73</v>
      </c>
      <c r="F1744">
        <f t="shared" si="55"/>
        <v>99300</v>
      </c>
      <c r="H1744" s="679">
        <v>12229.73</v>
      </c>
      <c r="I1744" s="679">
        <v>12626.16</v>
      </c>
    </row>
    <row r="1745" spans="2:9" ht="30">
      <c r="B1745" s="395">
        <v>99301</v>
      </c>
      <c r="C1745" s="406" t="s">
        <v>7395</v>
      </c>
      <c r="D1745" s="395" t="s">
        <v>23</v>
      </c>
      <c r="E1745" s="407">
        <f t="shared" si="54"/>
        <v>6017.04</v>
      </c>
      <c r="F1745">
        <f t="shared" si="55"/>
        <v>99301</v>
      </c>
      <c r="H1745" s="680">
        <v>6017.04</v>
      </c>
      <c r="I1745" s="680">
        <v>6230.54</v>
      </c>
    </row>
    <row r="1746" spans="2:9" ht="30">
      <c r="B1746" s="396">
        <v>99302</v>
      </c>
      <c r="C1746" s="401" t="s">
        <v>5299</v>
      </c>
      <c r="D1746" s="396" t="s">
        <v>22</v>
      </c>
      <c r="E1746" s="405">
        <f t="shared" si="54"/>
        <v>3382.45</v>
      </c>
      <c r="F1746">
        <f t="shared" si="55"/>
        <v>99302</v>
      </c>
      <c r="H1746" s="679">
        <v>3382.45</v>
      </c>
      <c r="I1746" s="679">
        <v>3548.5</v>
      </c>
    </row>
    <row r="1747" spans="2:9" ht="30">
      <c r="B1747" s="395">
        <v>99303</v>
      </c>
      <c r="C1747" s="406" t="s">
        <v>7396</v>
      </c>
      <c r="D1747" s="395" t="s">
        <v>23</v>
      </c>
      <c r="E1747" s="407">
        <f t="shared" si="54"/>
        <v>11194.8</v>
      </c>
      <c r="F1747">
        <f t="shared" si="55"/>
        <v>99303</v>
      </c>
      <c r="H1747" s="680">
        <v>11194.8</v>
      </c>
      <c r="I1747" s="680">
        <v>11556.87</v>
      </c>
    </row>
    <row r="1748" spans="2:9" ht="30">
      <c r="B1748" s="396">
        <v>99304</v>
      </c>
      <c r="C1748" s="401" t="s">
        <v>5300</v>
      </c>
      <c r="D1748" s="396" t="s">
        <v>22</v>
      </c>
      <c r="E1748" s="405">
        <f t="shared" si="54"/>
        <v>3145.84</v>
      </c>
      <c r="F1748">
        <f t="shared" si="55"/>
        <v>99304</v>
      </c>
      <c r="H1748" s="679">
        <v>3145.84</v>
      </c>
      <c r="I1748" s="679">
        <v>3300.16</v>
      </c>
    </row>
    <row r="1749" spans="2:9" ht="30">
      <c r="B1749" s="395">
        <v>99305</v>
      </c>
      <c r="C1749" s="406" t="s">
        <v>7397</v>
      </c>
      <c r="D1749" s="395" t="s">
        <v>23</v>
      </c>
      <c r="E1749" s="407">
        <f t="shared" si="54"/>
        <v>12669.84</v>
      </c>
      <c r="F1749">
        <f t="shared" si="55"/>
        <v>99305</v>
      </c>
      <c r="H1749" s="680">
        <v>12669.84</v>
      </c>
      <c r="I1749" s="680">
        <v>13075.43</v>
      </c>
    </row>
    <row r="1750" spans="2:9" ht="30">
      <c r="B1750" s="396">
        <v>99306</v>
      </c>
      <c r="C1750" s="401" t="s">
        <v>5301</v>
      </c>
      <c r="D1750" s="396" t="s">
        <v>22</v>
      </c>
      <c r="E1750" s="405">
        <f t="shared" si="54"/>
        <v>3382.45</v>
      </c>
      <c r="F1750">
        <f t="shared" si="55"/>
        <v>99306</v>
      </c>
      <c r="H1750" s="679">
        <v>3382.45</v>
      </c>
      <c r="I1750" s="679">
        <v>3548.5</v>
      </c>
    </row>
    <row r="1751" spans="2:9" ht="30">
      <c r="B1751" s="395">
        <v>99307</v>
      </c>
      <c r="C1751" s="406" t="s">
        <v>5302</v>
      </c>
      <c r="D1751" s="395" t="s">
        <v>22</v>
      </c>
      <c r="E1751" s="407">
        <f t="shared" si="54"/>
        <v>2190.87</v>
      </c>
      <c r="F1751">
        <f t="shared" si="55"/>
        <v>99307</v>
      </c>
      <c r="H1751" s="680">
        <v>2190.87</v>
      </c>
      <c r="I1751" s="680">
        <v>2297.88</v>
      </c>
    </row>
    <row r="1752" spans="2:9" ht="30">
      <c r="B1752" s="396">
        <v>99308</v>
      </c>
      <c r="C1752" s="401" t="s">
        <v>7398</v>
      </c>
      <c r="D1752" s="396" t="s">
        <v>23</v>
      </c>
      <c r="E1752" s="405">
        <f t="shared" si="54"/>
        <v>14144.91</v>
      </c>
      <c r="F1752">
        <f t="shared" si="55"/>
        <v>99308</v>
      </c>
      <c r="H1752" s="679">
        <v>14144.91</v>
      </c>
      <c r="I1752" s="679">
        <v>14594.03</v>
      </c>
    </row>
    <row r="1753" spans="2:9" ht="30">
      <c r="B1753" s="395">
        <v>99309</v>
      </c>
      <c r="C1753" s="406" t="s">
        <v>5303</v>
      </c>
      <c r="D1753" s="395" t="s">
        <v>22</v>
      </c>
      <c r="E1753" s="407">
        <f t="shared" si="54"/>
        <v>3623.37</v>
      </c>
      <c r="F1753">
        <f t="shared" si="55"/>
        <v>99309</v>
      </c>
      <c r="H1753" s="680">
        <v>3623.37</v>
      </c>
      <c r="I1753" s="680">
        <v>3801.35</v>
      </c>
    </row>
    <row r="1754" spans="2:9" ht="30">
      <c r="B1754" s="396">
        <v>99310</v>
      </c>
      <c r="C1754" s="401" t="s">
        <v>7399</v>
      </c>
      <c r="D1754" s="396" t="s">
        <v>23</v>
      </c>
      <c r="E1754" s="405">
        <f t="shared" si="54"/>
        <v>14388.46</v>
      </c>
      <c r="F1754">
        <f t="shared" si="55"/>
        <v>99310</v>
      </c>
      <c r="H1754" s="679">
        <v>14388.46</v>
      </c>
      <c r="I1754" s="679">
        <v>14842.22</v>
      </c>
    </row>
    <row r="1755" spans="2:9" ht="30">
      <c r="B1755" s="395">
        <v>99311</v>
      </c>
      <c r="C1755" s="406" t="s">
        <v>5304</v>
      </c>
      <c r="D1755" s="395" t="s">
        <v>22</v>
      </c>
      <c r="E1755" s="407">
        <f t="shared" si="54"/>
        <v>3623.37</v>
      </c>
      <c r="F1755">
        <f t="shared" si="55"/>
        <v>99311</v>
      </c>
      <c r="H1755" s="680">
        <v>3623.37</v>
      </c>
      <c r="I1755" s="680">
        <v>3801.35</v>
      </c>
    </row>
    <row r="1756" spans="2:9" ht="30">
      <c r="B1756" s="396">
        <v>99312</v>
      </c>
      <c r="C1756" s="401" t="s">
        <v>7400</v>
      </c>
      <c r="D1756" s="396" t="s">
        <v>23</v>
      </c>
      <c r="E1756" s="405">
        <f t="shared" si="54"/>
        <v>7063.13</v>
      </c>
      <c r="F1756">
        <f t="shared" si="55"/>
        <v>99312</v>
      </c>
      <c r="H1756" s="679">
        <v>7063.13</v>
      </c>
      <c r="I1756" s="679">
        <v>7310.97</v>
      </c>
    </row>
    <row r="1757" spans="2:9" ht="30">
      <c r="B1757" s="395">
        <v>99313</v>
      </c>
      <c r="C1757" s="406" t="s">
        <v>7401</v>
      </c>
      <c r="D1757" s="395" t="s">
        <v>23</v>
      </c>
      <c r="E1757" s="407">
        <f t="shared" si="54"/>
        <v>16060</v>
      </c>
      <c r="F1757">
        <f t="shared" si="55"/>
        <v>99313</v>
      </c>
      <c r="H1757" s="680">
        <v>16060</v>
      </c>
      <c r="I1757" s="680">
        <v>16561.810000000001</v>
      </c>
    </row>
    <row r="1758" spans="2:9" ht="30">
      <c r="B1758" s="396">
        <v>99314</v>
      </c>
      <c r="C1758" s="401" t="s">
        <v>5305</v>
      </c>
      <c r="D1758" s="396" t="s">
        <v>22</v>
      </c>
      <c r="E1758" s="405">
        <f t="shared" si="54"/>
        <v>3864.24</v>
      </c>
      <c r="F1758">
        <f t="shared" si="55"/>
        <v>99314</v>
      </c>
      <c r="H1758" s="679">
        <v>3864.24</v>
      </c>
      <c r="I1758" s="679">
        <v>4054.13</v>
      </c>
    </row>
    <row r="1759" spans="2:9" ht="30">
      <c r="B1759" s="395">
        <v>99315</v>
      </c>
      <c r="C1759" s="406" t="s">
        <v>7402</v>
      </c>
      <c r="D1759" s="395" t="s">
        <v>23</v>
      </c>
      <c r="E1759" s="407">
        <f t="shared" si="54"/>
        <v>17975.16</v>
      </c>
      <c r="F1759">
        <f t="shared" si="55"/>
        <v>99315</v>
      </c>
      <c r="H1759" s="680">
        <v>17975.16</v>
      </c>
      <c r="I1759" s="680">
        <v>18529.7</v>
      </c>
    </row>
    <row r="1760" spans="2:9" ht="30">
      <c r="B1760" s="396">
        <v>99317</v>
      </c>
      <c r="C1760" s="401" t="s">
        <v>5306</v>
      </c>
      <c r="D1760" s="396" t="s">
        <v>22</v>
      </c>
      <c r="E1760" s="405">
        <f t="shared" si="54"/>
        <v>2427.46</v>
      </c>
      <c r="F1760">
        <f t="shared" si="55"/>
        <v>99317</v>
      </c>
      <c r="H1760" s="679">
        <v>2427.46</v>
      </c>
      <c r="I1760" s="679">
        <v>2546.21</v>
      </c>
    </row>
    <row r="1761" spans="2:9" ht="30">
      <c r="B1761" s="395">
        <v>99318</v>
      </c>
      <c r="C1761" s="406" t="s">
        <v>5307</v>
      </c>
      <c r="D1761" s="395" t="s">
        <v>22</v>
      </c>
      <c r="E1761" s="407">
        <f t="shared" si="54"/>
        <v>283.05</v>
      </c>
      <c r="F1761">
        <f t="shared" si="55"/>
        <v>99318</v>
      </c>
      <c r="H1761" s="680">
        <v>283.05</v>
      </c>
      <c r="I1761" s="680">
        <v>284.83</v>
      </c>
    </row>
    <row r="1762" spans="2:9" ht="30">
      <c r="B1762" s="396">
        <v>99319</v>
      </c>
      <c r="C1762" s="401" t="s">
        <v>5308</v>
      </c>
      <c r="D1762" s="396" t="s">
        <v>22</v>
      </c>
      <c r="E1762" s="405">
        <f t="shared" si="54"/>
        <v>924.93</v>
      </c>
      <c r="F1762">
        <f t="shared" si="55"/>
        <v>99319</v>
      </c>
      <c r="H1762" s="679">
        <v>924.93</v>
      </c>
      <c r="I1762" s="679">
        <v>967.09</v>
      </c>
    </row>
    <row r="1763" spans="2:9" ht="30">
      <c r="B1763" s="395">
        <v>99320</v>
      </c>
      <c r="C1763" s="406" t="s">
        <v>7403</v>
      </c>
      <c r="D1763" s="395" t="s">
        <v>23</v>
      </c>
      <c r="E1763" s="407">
        <f t="shared" si="54"/>
        <v>8166.69</v>
      </c>
      <c r="F1763">
        <f t="shared" si="55"/>
        <v>99320</v>
      </c>
      <c r="H1763" s="680">
        <v>8166.69</v>
      </c>
      <c r="I1763" s="680">
        <v>8448.84</v>
      </c>
    </row>
    <row r="1764" spans="2:9" ht="30">
      <c r="B1764" s="396">
        <v>99321</v>
      </c>
      <c r="C1764" s="401" t="s">
        <v>5309</v>
      </c>
      <c r="D1764" s="396" t="s">
        <v>22</v>
      </c>
      <c r="E1764" s="405">
        <f t="shared" si="54"/>
        <v>2664.16</v>
      </c>
      <c r="F1764">
        <f t="shared" si="55"/>
        <v>99321</v>
      </c>
      <c r="H1764" s="679">
        <v>2664.16</v>
      </c>
      <c r="I1764" s="679">
        <v>2794.62</v>
      </c>
    </row>
    <row r="1765" spans="2:9" ht="30">
      <c r="B1765" s="395">
        <v>99322</v>
      </c>
      <c r="C1765" s="406" t="s">
        <v>7404</v>
      </c>
      <c r="D1765" s="395" t="s">
        <v>23</v>
      </c>
      <c r="E1765" s="407">
        <f t="shared" si="54"/>
        <v>9220.06</v>
      </c>
      <c r="F1765">
        <f t="shared" si="55"/>
        <v>99322</v>
      </c>
      <c r="H1765" s="680">
        <v>9220.06</v>
      </c>
      <c r="I1765" s="680">
        <v>9536.5499999999993</v>
      </c>
    </row>
    <row r="1766" spans="2:9" ht="30">
      <c r="B1766" s="396">
        <v>99323</v>
      </c>
      <c r="C1766" s="401" t="s">
        <v>5310</v>
      </c>
      <c r="D1766" s="396" t="s">
        <v>22</v>
      </c>
      <c r="E1766" s="405">
        <f t="shared" si="54"/>
        <v>2900.75</v>
      </c>
      <c r="F1766">
        <f t="shared" si="55"/>
        <v>99323</v>
      </c>
      <c r="H1766" s="679">
        <v>2900.75</v>
      </c>
      <c r="I1766" s="679">
        <v>3042.94</v>
      </c>
    </row>
    <row r="1767" spans="2:9" ht="30">
      <c r="B1767" s="395">
        <v>99324</v>
      </c>
      <c r="C1767" s="406" t="s">
        <v>7405</v>
      </c>
      <c r="D1767" s="395" t="s">
        <v>23</v>
      </c>
      <c r="E1767" s="407">
        <f t="shared" si="54"/>
        <v>10273.5</v>
      </c>
      <c r="F1767">
        <f t="shared" si="55"/>
        <v>99324</v>
      </c>
      <c r="H1767" s="680">
        <v>10273.5</v>
      </c>
      <c r="I1767" s="680">
        <v>10624.28</v>
      </c>
    </row>
    <row r="1768" spans="2:9" ht="30">
      <c r="B1768" s="396">
        <v>99325</v>
      </c>
      <c r="C1768" s="401" t="s">
        <v>5311</v>
      </c>
      <c r="D1768" s="396" t="s">
        <v>22</v>
      </c>
      <c r="E1768" s="405">
        <f t="shared" si="54"/>
        <v>3141.59</v>
      </c>
      <c r="F1768">
        <f t="shared" si="55"/>
        <v>99325</v>
      </c>
      <c r="H1768" s="679">
        <v>3141.59</v>
      </c>
      <c r="I1768" s="679">
        <v>3295.71</v>
      </c>
    </row>
    <row r="1769" spans="2:9" ht="30">
      <c r="B1769" s="395">
        <v>99326</v>
      </c>
      <c r="C1769" s="406" t="s">
        <v>7406</v>
      </c>
      <c r="D1769" s="395" t="s">
        <v>23</v>
      </c>
      <c r="E1769" s="407">
        <f t="shared" si="54"/>
        <v>8394.41</v>
      </c>
      <c r="F1769">
        <f t="shared" si="55"/>
        <v>99326</v>
      </c>
      <c r="H1769" s="680">
        <v>8394.41</v>
      </c>
      <c r="I1769" s="680">
        <v>8673.9699999999993</v>
      </c>
    </row>
    <row r="1770" spans="2:9" ht="30">
      <c r="B1770" s="396">
        <v>99327</v>
      </c>
      <c r="C1770" s="401" t="s">
        <v>5312</v>
      </c>
      <c r="D1770" s="396" t="s">
        <v>22</v>
      </c>
      <c r="E1770" s="405">
        <f t="shared" si="54"/>
        <v>4063.52</v>
      </c>
      <c r="F1770">
        <f t="shared" si="55"/>
        <v>99327</v>
      </c>
      <c r="H1770" s="679">
        <v>4063.52</v>
      </c>
      <c r="I1770" s="679">
        <v>4263.4799999999996</v>
      </c>
    </row>
    <row r="1771" spans="2:9" ht="30">
      <c r="B1771" s="395">
        <v>101800</v>
      </c>
      <c r="C1771" s="406" t="s">
        <v>5313</v>
      </c>
      <c r="D1771" s="395" t="s">
        <v>23</v>
      </c>
      <c r="E1771" s="407">
        <f t="shared" si="54"/>
        <v>1584.29</v>
      </c>
      <c r="F1771">
        <f t="shared" si="55"/>
        <v>101800</v>
      </c>
      <c r="H1771" s="680">
        <v>1584.29</v>
      </c>
      <c r="I1771" s="680">
        <v>1629.49</v>
      </c>
    </row>
    <row r="1772" spans="2:9" ht="30">
      <c r="B1772" s="396">
        <v>101801</v>
      </c>
      <c r="C1772" s="401" t="s">
        <v>5314</v>
      </c>
      <c r="D1772" s="396" t="s">
        <v>23</v>
      </c>
      <c r="E1772" s="405">
        <f t="shared" si="54"/>
        <v>1060.8800000000001</v>
      </c>
      <c r="F1772">
        <f t="shared" si="55"/>
        <v>101801</v>
      </c>
      <c r="H1772" s="679">
        <v>1060.8800000000001</v>
      </c>
      <c r="I1772" s="679">
        <v>1089.04</v>
      </c>
    </row>
    <row r="1773" spans="2:9" ht="30">
      <c r="B1773" s="395">
        <v>101806</v>
      </c>
      <c r="C1773" s="406" t="s">
        <v>7407</v>
      </c>
      <c r="D1773" s="395" t="s">
        <v>23</v>
      </c>
      <c r="E1773" s="407">
        <f t="shared" si="54"/>
        <v>535.85</v>
      </c>
      <c r="F1773">
        <f t="shared" si="55"/>
        <v>101806</v>
      </c>
      <c r="H1773" s="680">
        <v>535.85</v>
      </c>
      <c r="I1773" s="680">
        <v>564.4</v>
      </c>
    </row>
    <row r="1774" spans="2:9" ht="30">
      <c r="B1774" s="396">
        <v>101807</v>
      </c>
      <c r="C1774" s="401" t="s">
        <v>7408</v>
      </c>
      <c r="D1774" s="396" t="s">
        <v>23</v>
      </c>
      <c r="E1774" s="405">
        <f t="shared" si="54"/>
        <v>466.91</v>
      </c>
      <c r="F1774">
        <f t="shared" si="55"/>
        <v>101807</v>
      </c>
      <c r="H1774" s="679">
        <v>466.91</v>
      </c>
      <c r="I1774" s="679">
        <v>492.83</v>
      </c>
    </row>
    <row r="1775" spans="2:9" ht="30">
      <c r="B1775" s="395">
        <v>101808</v>
      </c>
      <c r="C1775" s="406" t="s">
        <v>7409</v>
      </c>
      <c r="D1775" s="395" t="s">
        <v>23</v>
      </c>
      <c r="E1775" s="407">
        <f t="shared" si="54"/>
        <v>532.5</v>
      </c>
      <c r="F1775">
        <f t="shared" si="55"/>
        <v>101808</v>
      </c>
      <c r="H1775" s="680">
        <v>532.5</v>
      </c>
      <c r="I1775" s="680">
        <v>538.87</v>
      </c>
    </row>
    <row r="1776" spans="2:9" ht="30">
      <c r="B1776" s="396">
        <v>101809</v>
      </c>
      <c r="C1776" s="401" t="s">
        <v>7410</v>
      </c>
      <c r="D1776" s="396" t="s">
        <v>23</v>
      </c>
      <c r="E1776" s="405">
        <f t="shared" si="54"/>
        <v>2999.41</v>
      </c>
      <c r="F1776">
        <f t="shared" si="55"/>
        <v>101809</v>
      </c>
      <c r="H1776" s="679">
        <v>2999.41</v>
      </c>
      <c r="I1776" s="679">
        <v>3101.65</v>
      </c>
    </row>
    <row r="1777" spans="2:9" ht="30">
      <c r="B1777" s="395">
        <v>102139</v>
      </c>
      <c r="C1777" s="406" t="s">
        <v>7411</v>
      </c>
      <c r="D1777" s="395" t="s">
        <v>23</v>
      </c>
      <c r="E1777" s="407">
        <f t="shared" si="54"/>
        <v>1796.62</v>
      </c>
      <c r="F1777">
        <f t="shared" si="55"/>
        <v>102139</v>
      </c>
      <c r="H1777" s="680">
        <v>1796.62</v>
      </c>
      <c r="I1777" s="680">
        <v>1828.76</v>
      </c>
    </row>
    <row r="1778" spans="2:9" ht="30">
      <c r="B1778" s="396">
        <v>102141</v>
      </c>
      <c r="C1778" s="401" t="s">
        <v>7412</v>
      </c>
      <c r="D1778" s="396" t="s">
        <v>23</v>
      </c>
      <c r="E1778" s="405">
        <f t="shared" si="54"/>
        <v>2792.39</v>
      </c>
      <c r="F1778">
        <f t="shared" si="55"/>
        <v>102141</v>
      </c>
      <c r="H1778" s="679">
        <v>2792.39</v>
      </c>
      <c r="I1778" s="679">
        <v>2838.64</v>
      </c>
    </row>
    <row r="1779" spans="2:9" ht="30">
      <c r="B1779" s="395">
        <v>102142</v>
      </c>
      <c r="C1779" s="406" t="s">
        <v>7413</v>
      </c>
      <c r="D1779" s="395" t="s">
        <v>23</v>
      </c>
      <c r="E1779" s="407">
        <f t="shared" si="54"/>
        <v>2748.19</v>
      </c>
      <c r="F1779">
        <f t="shared" si="55"/>
        <v>102142</v>
      </c>
      <c r="H1779" s="680">
        <v>2748.19</v>
      </c>
      <c r="I1779" s="680">
        <v>2794.3</v>
      </c>
    </row>
    <row r="1780" spans="2:9" ht="30">
      <c r="B1780" s="396">
        <v>102457</v>
      </c>
      <c r="C1780" s="401" t="s">
        <v>7414</v>
      </c>
      <c r="D1780" s="396" t="s">
        <v>23</v>
      </c>
      <c r="E1780" s="405">
        <f t="shared" si="54"/>
        <v>1745</v>
      </c>
      <c r="F1780">
        <f t="shared" si="55"/>
        <v>102457</v>
      </c>
      <c r="H1780" s="679">
        <v>1745</v>
      </c>
      <c r="I1780" s="679">
        <v>1775.23</v>
      </c>
    </row>
    <row r="1781" spans="2:9">
      <c r="B1781" s="395">
        <v>94263</v>
      </c>
      <c r="C1781" s="406" t="s">
        <v>2921</v>
      </c>
      <c r="D1781" s="395" t="s">
        <v>22</v>
      </c>
      <c r="E1781" s="407">
        <f t="shared" si="54"/>
        <v>37.56</v>
      </c>
      <c r="F1781">
        <f t="shared" si="55"/>
        <v>94263</v>
      </c>
      <c r="H1781" s="680">
        <v>37.56</v>
      </c>
      <c r="I1781" s="680">
        <v>39.15</v>
      </c>
    </row>
    <row r="1782" spans="2:9">
      <c r="B1782" s="396">
        <v>94264</v>
      </c>
      <c r="C1782" s="401" t="s">
        <v>2922</v>
      </c>
      <c r="D1782" s="396" t="s">
        <v>22</v>
      </c>
      <c r="E1782" s="405">
        <f t="shared" si="54"/>
        <v>40.630000000000003</v>
      </c>
      <c r="F1782">
        <f t="shared" si="55"/>
        <v>94264</v>
      </c>
      <c r="H1782" s="679">
        <v>40.630000000000003</v>
      </c>
      <c r="I1782" s="679">
        <v>42.53</v>
      </c>
    </row>
    <row r="1783" spans="2:9">
      <c r="B1783" s="395">
        <v>94265</v>
      </c>
      <c r="C1783" s="406" t="s">
        <v>2923</v>
      </c>
      <c r="D1783" s="395" t="s">
        <v>22</v>
      </c>
      <c r="E1783" s="407">
        <f t="shared" si="54"/>
        <v>52.4</v>
      </c>
      <c r="F1783">
        <f t="shared" si="55"/>
        <v>94265</v>
      </c>
      <c r="H1783" s="680">
        <v>52.4</v>
      </c>
      <c r="I1783" s="680">
        <v>54.09</v>
      </c>
    </row>
    <row r="1784" spans="2:9">
      <c r="B1784" s="396">
        <v>94266</v>
      </c>
      <c r="C1784" s="401" t="s">
        <v>2924</v>
      </c>
      <c r="D1784" s="396" t="s">
        <v>22</v>
      </c>
      <c r="E1784" s="405">
        <f t="shared" si="54"/>
        <v>55.88</v>
      </c>
      <c r="F1784">
        <f t="shared" si="55"/>
        <v>94266</v>
      </c>
      <c r="H1784" s="679">
        <v>55.88</v>
      </c>
      <c r="I1784" s="679">
        <v>57.93</v>
      </c>
    </row>
    <row r="1785" spans="2:9" ht="30">
      <c r="B1785" s="395">
        <v>94267</v>
      </c>
      <c r="C1785" s="406" t="s">
        <v>2925</v>
      </c>
      <c r="D1785" s="395" t="s">
        <v>22</v>
      </c>
      <c r="E1785" s="407">
        <f t="shared" si="54"/>
        <v>63.83</v>
      </c>
      <c r="F1785">
        <f t="shared" si="55"/>
        <v>94267</v>
      </c>
      <c r="H1785" s="680">
        <v>63.83</v>
      </c>
      <c r="I1785" s="680">
        <v>65.62</v>
      </c>
    </row>
    <row r="1786" spans="2:9" ht="30">
      <c r="B1786" s="396">
        <v>94268</v>
      </c>
      <c r="C1786" s="401" t="s">
        <v>2926</v>
      </c>
      <c r="D1786" s="396" t="s">
        <v>22</v>
      </c>
      <c r="E1786" s="405">
        <f t="shared" si="54"/>
        <v>67.680000000000007</v>
      </c>
      <c r="F1786">
        <f t="shared" si="55"/>
        <v>94268</v>
      </c>
      <c r="H1786" s="679">
        <v>67.680000000000007</v>
      </c>
      <c r="I1786" s="679">
        <v>69.84</v>
      </c>
    </row>
    <row r="1787" spans="2:9" ht="30">
      <c r="B1787" s="395">
        <v>94269</v>
      </c>
      <c r="C1787" s="406" t="s">
        <v>2927</v>
      </c>
      <c r="D1787" s="395" t="s">
        <v>22</v>
      </c>
      <c r="E1787" s="407">
        <f t="shared" si="54"/>
        <v>94.13</v>
      </c>
      <c r="F1787">
        <f t="shared" si="55"/>
        <v>94269</v>
      </c>
      <c r="H1787" s="680">
        <v>94.13</v>
      </c>
      <c r="I1787" s="680">
        <v>96.28</v>
      </c>
    </row>
    <row r="1788" spans="2:9" ht="30">
      <c r="B1788" s="396">
        <v>94270</v>
      </c>
      <c r="C1788" s="401" t="s">
        <v>2928</v>
      </c>
      <c r="D1788" s="396" t="s">
        <v>22</v>
      </c>
      <c r="E1788" s="405">
        <f t="shared" si="54"/>
        <v>99.49</v>
      </c>
      <c r="F1788">
        <f t="shared" si="55"/>
        <v>94270</v>
      </c>
      <c r="H1788" s="679">
        <v>99.49</v>
      </c>
      <c r="I1788" s="679">
        <v>102.2</v>
      </c>
    </row>
    <row r="1789" spans="2:9" ht="30">
      <c r="B1789" s="395">
        <v>94271</v>
      </c>
      <c r="C1789" s="406" t="s">
        <v>7415</v>
      </c>
      <c r="D1789" s="395" t="s">
        <v>22</v>
      </c>
      <c r="E1789" s="407">
        <f t="shared" si="54"/>
        <v>114.95</v>
      </c>
      <c r="F1789">
        <f t="shared" si="55"/>
        <v>94271</v>
      </c>
      <c r="H1789" s="680">
        <v>114.95</v>
      </c>
      <c r="I1789" s="680">
        <v>117.55</v>
      </c>
    </row>
    <row r="1790" spans="2:9" ht="30">
      <c r="B1790" s="396">
        <v>94272</v>
      </c>
      <c r="C1790" s="401" t="s">
        <v>2929</v>
      </c>
      <c r="D1790" s="396" t="s">
        <v>22</v>
      </c>
      <c r="E1790" s="405">
        <f t="shared" si="54"/>
        <v>122.09</v>
      </c>
      <c r="F1790">
        <f t="shared" si="55"/>
        <v>94272</v>
      </c>
      <c r="H1790" s="679">
        <v>122.09</v>
      </c>
      <c r="I1790" s="679">
        <v>125.4</v>
      </c>
    </row>
    <row r="1791" spans="2:9" ht="30">
      <c r="B1791" s="395">
        <v>94273</v>
      </c>
      <c r="C1791" s="406" t="s">
        <v>1389</v>
      </c>
      <c r="D1791" s="395" t="s">
        <v>22</v>
      </c>
      <c r="E1791" s="407">
        <f t="shared" si="54"/>
        <v>58.24</v>
      </c>
      <c r="F1791">
        <f t="shared" si="55"/>
        <v>94273</v>
      </c>
      <c r="H1791" s="680">
        <v>58.24</v>
      </c>
      <c r="I1791" s="680">
        <v>59.99</v>
      </c>
    </row>
    <row r="1792" spans="2:9" ht="30">
      <c r="B1792" s="396">
        <v>94274</v>
      </c>
      <c r="C1792" s="401" t="s">
        <v>1390</v>
      </c>
      <c r="D1792" s="396" t="s">
        <v>22</v>
      </c>
      <c r="E1792" s="405">
        <f t="shared" si="54"/>
        <v>61.73</v>
      </c>
      <c r="F1792">
        <f t="shared" si="55"/>
        <v>94274</v>
      </c>
      <c r="H1792" s="679">
        <v>61.73</v>
      </c>
      <c r="I1792" s="679">
        <v>63.87</v>
      </c>
    </row>
    <row r="1793" spans="2:9" ht="45">
      <c r="B1793" s="395">
        <v>94275</v>
      </c>
      <c r="C1793" s="406" t="s">
        <v>7416</v>
      </c>
      <c r="D1793" s="395" t="s">
        <v>22</v>
      </c>
      <c r="E1793" s="407">
        <f t="shared" si="54"/>
        <v>52.35</v>
      </c>
      <c r="F1793">
        <f t="shared" si="55"/>
        <v>94275</v>
      </c>
      <c r="H1793" s="680">
        <v>52.35</v>
      </c>
      <c r="I1793" s="680">
        <v>53.93</v>
      </c>
    </row>
    <row r="1794" spans="2:9" ht="45">
      <c r="B1794" s="396">
        <v>94276</v>
      </c>
      <c r="C1794" s="401" t="s">
        <v>7417</v>
      </c>
      <c r="D1794" s="396" t="s">
        <v>22</v>
      </c>
      <c r="E1794" s="405">
        <f t="shared" si="54"/>
        <v>55.85</v>
      </c>
      <c r="F1794">
        <f t="shared" si="55"/>
        <v>94276</v>
      </c>
      <c r="H1794" s="679">
        <v>55.85</v>
      </c>
      <c r="I1794" s="679">
        <v>57.82</v>
      </c>
    </row>
    <row r="1795" spans="2:9" ht="45">
      <c r="B1795" s="395">
        <v>94277</v>
      </c>
      <c r="C1795" s="406" t="s">
        <v>5664</v>
      </c>
      <c r="D1795" s="395" t="s">
        <v>22</v>
      </c>
      <c r="E1795" s="407">
        <f t="shared" ref="E1795:E1858" si="56">IF($K$2=$H$1,H1795,I1795)</f>
        <v>45.95</v>
      </c>
      <c r="F1795">
        <f t="shared" ref="F1795:F1858" si="57">IF(LEN($B1795)=7,CONCATENATE(MID($B1795,1,6),"00",RIGHT($B1795,1)),IF(LEN($B1795)=8,CONCATENATE(MID($B1795,1,6),"0",RIGHT($B1795,2)),$B1795))</f>
        <v>94277</v>
      </c>
      <c r="H1795" s="680">
        <v>45.95</v>
      </c>
      <c r="I1795" s="680">
        <v>47.41</v>
      </c>
    </row>
    <row r="1796" spans="2:9" ht="45">
      <c r="B1796" s="396">
        <v>94278</v>
      </c>
      <c r="C1796" s="401" t="s">
        <v>5665</v>
      </c>
      <c r="D1796" s="396" t="s">
        <v>22</v>
      </c>
      <c r="E1796" s="405">
        <f t="shared" si="56"/>
        <v>49.45</v>
      </c>
      <c r="F1796">
        <f t="shared" si="57"/>
        <v>94278</v>
      </c>
      <c r="H1796" s="679">
        <v>49.45</v>
      </c>
      <c r="I1796" s="679">
        <v>51.3</v>
      </c>
    </row>
    <row r="1797" spans="2:9" ht="45">
      <c r="B1797" s="395">
        <v>94279</v>
      </c>
      <c r="C1797" s="406" t="s">
        <v>5666</v>
      </c>
      <c r="D1797" s="395" t="s">
        <v>22</v>
      </c>
      <c r="E1797" s="407">
        <f t="shared" si="56"/>
        <v>54.63</v>
      </c>
      <c r="F1797">
        <f t="shared" si="57"/>
        <v>94279</v>
      </c>
      <c r="H1797" s="680">
        <v>54.63</v>
      </c>
      <c r="I1797" s="680">
        <v>55.98</v>
      </c>
    </row>
    <row r="1798" spans="2:9" ht="45">
      <c r="B1798" s="396">
        <v>94280</v>
      </c>
      <c r="C1798" s="401" t="s">
        <v>5667</v>
      </c>
      <c r="D1798" s="396" t="s">
        <v>22</v>
      </c>
      <c r="E1798" s="405">
        <f t="shared" si="56"/>
        <v>58.13</v>
      </c>
      <c r="F1798">
        <f t="shared" si="57"/>
        <v>94280</v>
      </c>
      <c r="H1798" s="679">
        <v>58.13</v>
      </c>
      <c r="I1798" s="679">
        <v>59.86</v>
      </c>
    </row>
    <row r="1799" spans="2:9">
      <c r="B1799" s="395">
        <v>94281</v>
      </c>
      <c r="C1799" s="406" t="s">
        <v>1391</v>
      </c>
      <c r="D1799" s="395" t="s">
        <v>22</v>
      </c>
      <c r="E1799" s="407">
        <f t="shared" si="56"/>
        <v>63.33</v>
      </c>
      <c r="F1799">
        <f t="shared" si="57"/>
        <v>94281</v>
      </c>
      <c r="H1799" s="680">
        <v>63.33</v>
      </c>
      <c r="I1799" s="680">
        <v>65.5</v>
      </c>
    </row>
    <row r="1800" spans="2:9">
      <c r="B1800" s="396">
        <v>94282</v>
      </c>
      <c r="C1800" s="401" t="s">
        <v>1392</v>
      </c>
      <c r="D1800" s="396" t="s">
        <v>22</v>
      </c>
      <c r="E1800" s="405">
        <f t="shared" si="56"/>
        <v>73.959999999999994</v>
      </c>
      <c r="F1800">
        <f t="shared" si="57"/>
        <v>94282</v>
      </c>
      <c r="H1800" s="679">
        <v>73.959999999999994</v>
      </c>
      <c r="I1800" s="679">
        <v>77.319999999999993</v>
      </c>
    </row>
    <row r="1801" spans="2:9">
      <c r="B1801" s="395">
        <v>94283</v>
      </c>
      <c r="C1801" s="406" t="s">
        <v>1393</v>
      </c>
      <c r="D1801" s="395" t="s">
        <v>22</v>
      </c>
      <c r="E1801" s="407">
        <f t="shared" si="56"/>
        <v>85.02</v>
      </c>
      <c r="F1801">
        <f t="shared" si="57"/>
        <v>94283</v>
      </c>
      <c r="H1801" s="680">
        <v>85.02</v>
      </c>
      <c r="I1801" s="680">
        <v>87.4</v>
      </c>
    </row>
    <row r="1802" spans="2:9">
      <c r="B1802" s="396">
        <v>94284</v>
      </c>
      <c r="C1802" s="401" t="s">
        <v>1394</v>
      </c>
      <c r="D1802" s="396" t="s">
        <v>22</v>
      </c>
      <c r="E1802" s="405">
        <f t="shared" si="56"/>
        <v>95.65</v>
      </c>
      <c r="F1802">
        <f t="shared" si="57"/>
        <v>94284</v>
      </c>
      <c r="H1802" s="679">
        <v>95.65</v>
      </c>
      <c r="I1802" s="679">
        <v>99.22</v>
      </c>
    </row>
    <row r="1803" spans="2:9">
      <c r="B1803" s="395">
        <v>94285</v>
      </c>
      <c r="C1803" s="406" t="s">
        <v>1395</v>
      </c>
      <c r="D1803" s="395" t="s">
        <v>22</v>
      </c>
      <c r="E1803" s="407">
        <f t="shared" si="56"/>
        <v>106.21</v>
      </c>
      <c r="F1803">
        <f t="shared" si="57"/>
        <v>94285</v>
      </c>
      <c r="H1803" s="680">
        <v>106.21</v>
      </c>
      <c r="I1803" s="680">
        <v>108.72</v>
      </c>
    </row>
    <row r="1804" spans="2:9">
      <c r="B1804" s="396">
        <v>94286</v>
      </c>
      <c r="C1804" s="401" t="s">
        <v>1396</v>
      </c>
      <c r="D1804" s="396" t="s">
        <v>22</v>
      </c>
      <c r="E1804" s="405">
        <f t="shared" si="56"/>
        <v>116.84</v>
      </c>
      <c r="F1804">
        <f t="shared" si="57"/>
        <v>94286</v>
      </c>
      <c r="H1804" s="679">
        <v>116.84</v>
      </c>
      <c r="I1804" s="679">
        <v>120.54</v>
      </c>
    </row>
    <row r="1805" spans="2:9">
      <c r="B1805" s="395">
        <v>94287</v>
      </c>
      <c r="C1805" s="406" t="s">
        <v>1397</v>
      </c>
      <c r="D1805" s="395" t="s">
        <v>22</v>
      </c>
      <c r="E1805" s="407">
        <f t="shared" si="56"/>
        <v>47.48</v>
      </c>
      <c r="F1805">
        <f t="shared" si="57"/>
        <v>94287</v>
      </c>
      <c r="H1805" s="680">
        <v>47.48</v>
      </c>
      <c r="I1805" s="680">
        <v>49.46</v>
      </c>
    </row>
    <row r="1806" spans="2:9">
      <c r="B1806" s="396">
        <v>94288</v>
      </c>
      <c r="C1806" s="401" t="s">
        <v>1398</v>
      </c>
      <c r="D1806" s="396" t="s">
        <v>22</v>
      </c>
      <c r="E1806" s="405">
        <f t="shared" si="56"/>
        <v>56.78</v>
      </c>
      <c r="F1806">
        <f t="shared" si="57"/>
        <v>94288</v>
      </c>
      <c r="H1806" s="679">
        <v>56.78</v>
      </c>
      <c r="I1806" s="679">
        <v>59.8</v>
      </c>
    </row>
    <row r="1807" spans="2:9">
      <c r="B1807" s="395">
        <v>94289</v>
      </c>
      <c r="C1807" s="406" t="s">
        <v>1399</v>
      </c>
      <c r="D1807" s="395" t="s">
        <v>22</v>
      </c>
      <c r="E1807" s="407">
        <f t="shared" si="56"/>
        <v>62.78</v>
      </c>
      <c r="F1807">
        <f t="shared" si="57"/>
        <v>94289</v>
      </c>
      <c r="H1807" s="680">
        <v>62.78</v>
      </c>
      <c r="I1807" s="680">
        <v>64.930000000000007</v>
      </c>
    </row>
    <row r="1808" spans="2:9">
      <c r="B1808" s="396">
        <v>94290</v>
      </c>
      <c r="C1808" s="401" t="s">
        <v>1400</v>
      </c>
      <c r="D1808" s="396" t="s">
        <v>22</v>
      </c>
      <c r="E1808" s="405">
        <f t="shared" si="56"/>
        <v>72.08</v>
      </c>
      <c r="F1808">
        <f t="shared" si="57"/>
        <v>94290</v>
      </c>
      <c r="H1808" s="679">
        <v>72.08</v>
      </c>
      <c r="I1808" s="679">
        <v>75.28</v>
      </c>
    </row>
    <row r="1809" spans="2:9">
      <c r="B1809" s="395">
        <v>94291</v>
      </c>
      <c r="C1809" s="406" t="s">
        <v>1401</v>
      </c>
      <c r="D1809" s="395" t="s">
        <v>22</v>
      </c>
      <c r="E1809" s="407">
        <f t="shared" si="56"/>
        <v>77.61</v>
      </c>
      <c r="F1809">
        <f t="shared" si="57"/>
        <v>94291</v>
      </c>
      <c r="H1809" s="680">
        <v>77.61</v>
      </c>
      <c r="I1809" s="680">
        <v>79.89</v>
      </c>
    </row>
    <row r="1810" spans="2:9">
      <c r="B1810" s="396">
        <v>94292</v>
      </c>
      <c r="C1810" s="401" t="s">
        <v>1402</v>
      </c>
      <c r="D1810" s="396" t="s">
        <v>22</v>
      </c>
      <c r="E1810" s="405">
        <f t="shared" si="56"/>
        <v>86.91</v>
      </c>
      <c r="F1810">
        <f t="shared" si="57"/>
        <v>94292</v>
      </c>
      <c r="H1810" s="679">
        <v>86.91</v>
      </c>
      <c r="I1810" s="679">
        <v>90.23</v>
      </c>
    </row>
    <row r="1811" spans="2:9">
      <c r="B1811" s="395">
        <v>94293</v>
      </c>
      <c r="C1811" s="406" t="s">
        <v>466</v>
      </c>
      <c r="D1811" s="395" t="s">
        <v>22</v>
      </c>
      <c r="E1811" s="407">
        <f t="shared" si="56"/>
        <v>218.67</v>
      </c>
      <c r="F1811">
        <f t="shared" si="57"/>
        <v>94293</v>
      </c>
      <c r="H1811" s="680">
        <v>218.67</v>
      </c>
      <c r="I1811" s="680">
        <v>222.3</v>
      </c>
    </row>
    <row r="1812" spans="2:9">
      <c r="B1812" s="396">
        <v>94294</v>
      </c>
      <c r="C1812" s="401" t="s">
        <v>1403</v>
      </c>
      <c r="D1812" s="396" t="s">
        <v>22</v>
      </c>
      <c r="E1812" s="405">
        <f t="shared" si="56"/>
        <v>9.5500000000000007</v>
      </c>
      <c r="F1812">
        <f t="shared" si="57"/>
        <v>94294</v>
      </c>
      <c r="H1812" s="679">
        <v>9.5500000000000007</v>
      </c>
      <c r="I1812" s="679">
        <v>9.86</v>
      </c>
    </row>
    <row r="1813" spans="2:9" ht="45">
      <c r="B1813" s="395">
        <v>104491</v>
      </c>
      <c r="C1813" s="406" t="s">
        <v>7418</v>
      </c>
      <c r="D1813" s="395" t="s">
        <v>22</v>
      </c>
      <c r="E1813" s="407">
        <f t="shared" si="56"/>
        <v>3935.05</v>
      </c>
      <c r="F1813">
        <f t="shared" si="57"/>
        <v>104491</v>
      </c>
      <c r="H1813" s="680">
        <v>3935.05</v>
      </c>
      <c r="I1813" s="680">
        <v>3941.13</v>
      </c>
    </row>
    <row r="1814" spans="2:9" ht="45">
      <c r="B1814" s="396">
        <v>104492</v>
      </c>
      <c r="C1814" s="401" t="s">
        <v>7419</v>
      </c>
      <c r="D1814" s="396" t="s">
        <v>22</v>
      </c>
      <c r="E1814" s="405">
        <f t="shared" si="56"/>
        <v>4920.9799999999996</v>
      </c>
      <c r="F1814">
        <f t="shared" si="57"/>
        <v>104492</v>
      </c>
      <c r="H1814" s="679">
        <v>4920.9799999999996</v>
      </c>
      <c r="I1814" s="679">
        <v>4928.46</v>
      </c>
    </row>
    <row r="1815" spans="2:9" ht="45">
      <c r="B1815" s="395">
        <v>104494</v>
      </c>
      <c r="C1815" s="406" t="s">
        <v>7420</v>
      </c>
      <c r="D1815" s="395" t="s">
        <v>22</v>
      </c>
      <c r="E1815" s="407">
        <f t="shared" si="56"/>
        <v>6649.37</v>
      </c>
      <c r="F1815">
        <f t="shared" si="57"/>
        <v>104494</v>
      </c>
      <c r="H1815" s="680">
        <v>6649.37</v>
      </c>
      <c r="I1815" s="680">
        <v>6658.21</v>
      </c>
    </row>
    <row r="1816" spans="2:9" ht="45">
      <c r="B1816" s="396">
        <v>104497</v>
      </c>
      <c r="C1816" s="401" t="s">
        <v>7421</v>
      </c>
      <c r="D1816" s="396" t="s">
        <v>22</v>
      </c>
      <c r="E1816" s="405">
        <f t="shared" si="56"/>
        <v>7954.76</v>
      </c>
      <c r="F1816">
        <f t="shared" si="57"/>
        <v>104497</v>
      </c>
      <c r="H1816" s="679">
        <v>7954.76</v>
      </c>
      <c r="I1816" s="679">
        <v>7965.66</v>
      </c>
    </row>
    <row r="1817" spans="2:9">
      <c r="B1817" s="395">
        <v>104515</v>
      </c>
      <c r="C1817" s="406" t="s">
        <v>7422</v>
      </c>
      <c r="D1817" s="395" t="s">
        <v>0</v>
      </c>
      <c r="E1817" s="407">
        <f t="shared" si="56"/>
        <v>26.98</v>
      </c>
      <c r="F1817">
        <f t="shared" si="57"/>
        <v>104515</v>
      </c>
      <c r="H1817" s="680">
        <v>26.98</v>
      </c>
      <c r="I1817" s="680">
        <v>27.02</v>
      </c>
    </row>
    <row r="1818" spans="2:9" ht="30">
      <c r="B1818" s="396">
        <v>102727</v>
      </c>
      <c r="C1818" s="401" t="s">
        <v>5737</v>
      </c>
      <c r="D1818" s="396" t="s">
        <v>0</v>
      </c>
      <c r="E1818" s="405">
        <f t="shared" si="56"/>
        <v>109.75</v>
      </c>
      <c r="F1818">
        <f t="shared" si="57"/>
        <v>102727</v>
      </c>
      <c r="H1818" s="679">
        <v>109.75</v>
      </c>
      <c r="I1818" s="679">
        <v>113.79</v>
      </c>
    </row>
    <row r="1819" spans="2:9">
      <c r="B1819" s="395">
        <v>102728</v>
      </c>
      <c r="C1819" s="406" t="s">
        <v>5738</v>
      </c>
      <c r="D1819" s="395" t="s">
        <v>21</v>
      </c>
      <c r="E1819" s="407">
        <f t="shared" si="56"/>
        <v>17.2</v>
      </c>
      <c r="F1819">
        <f t="shared" si="57"/>
        <v>102728</v>
      </c>
      <c r="H1819" s="680">
        <v>17.2</v>
      </c>
      <c r="I1819" s="680">
        <v>17.61</v>
      </c>
    </row>
    <row r="1820" spans="2:9">
      <c r="B1820" s="396">
        <v>102729</v>
      </c>
      <c r="C1820" s="401" t="s">
        <v>5739</v>
      </c>
      <c r="D1820" s="396" t="s">
        <v>21</v>
      </c>
      <c r="E1820" s="405">
        <f t="shared" si="56"/>
        <v>16.59</v>
      </c>
      <c r="F1820">
        <f t="shared" si="57"/>
        <v>102729</v>
      </c>
      <c r="H1820" s="679">
        <v>16.59</v>
      </c>
      <c r="I1820" s="679">
        <v>16.899999999999999</v>
      </c>
    </row>
    <row r="1821" spans="2:9">
      <c r="B1821" s="395">
        <v>102730</v>
      </c>
      <c r="C1821" s="406" t="s">
        <v>5740</v>
      </c>
      <c r="D1821" s="395" t="s">
        <v>21</v>
      </c>
      <c r="E1821" s="407">
        <f t="shared" si="56"/>
        <v>15.04</v>
      </c>
      <c r="F1821">
        <f t="shared" si="57"/>
        <v>102730</v>
      </c>
      <c r="H1821" s="680">
        <v>15.04</v>
      </c>
      <c r="I1821" s="680">
        <v>15.25</v>
      </c>
    </row>
    <row r="1822" spans="2:9">
      <c r="B1822" s="396">
        <v>102731</v>
      </c>
      <c r="C1822" s="401" t="s">
        <v>5741</v>
      </c>
      <c r="D1822" s="396" t="s">
        <v>21</v>
      </c>
      <c r="E1822" s="405">
        <f t="shared" si="56"/>
        <v>12.8</v>
      </c>
      <c r="F1822">
        <f t="shared" si="57"/>
        <v>102731</v>
      </c>
      <c r="H1822" s="679">
        <v>12.8</v>
      </c>
      <c r="I1822" s="679">
        <v>12.95</v>
      </c>
    </row>
    <row r="1823" spans="2:9">
      <c r="B1823" s="395">
        <v>102732</v>
      </c>
      <c r="C1823" s="406" t="s">
        <v>5742</v>
      </c>
      <c r="D1823" s="395" t="s">
        <v>21</v>
      </c>
      <c r="E1823" s="407">
        <f t="shared" si="56"/>
        <v>12.32</v>
      </c>
      <c r="F1823">
        <f t="shared" si="57"/>
        <v>102732</v>
      </c>
      <c r="H1823" s="680">
        <v>12.32</v>
      </c>
      <c r="I1823" s="680">
        <v>12.42</v>
      </c>
    </row>
    <row r="1824" spans="2:9">
      <c r="B1824" s="396">
        <v>102733</v>
      </c>
      <c r="C1824" s="401" t="s">
        <v>5743</v>
      </c>
      <c r="D1824" s="396" t="s">
        <v>21</v>
      </c>
      <c r="E1824" s="405">
        <f t="shared" si="56"/>
        <v>13.98</v>
      </c>
      <c r="F1824">
        <f t="shared" si="57"/>
        <v>102733</v>
      </c>
      <c r="H1824" s="679">
        <v>13.98</v>
      </c>
      <c r="I1824" s="679">
        <v>14.04</v>
      </c>
    </row>
    <row r="1825" spans="2:9">
      <c r="B1825" s="395">
        <v>102734</v>
      </c>
      <c r="C1825" s="406" t="s">
        <v>5744</v>
      </c>
      <c r="D1825" s="395" t="s">
        <v>21</v>
      </c>
      <c r="E1825" s="407">
        <f t="shared" si="56"/>
        <v>16.52</v>
      </c>
      <c r="F1825">
        <f t="shared" si="57"/>
        <v>102734</v>
      </c>
      <c r="H1825" s="680">
        <v>16.52</v>
      </c>
      <c r="I1825" s="680">
        <v>16.82</v>
      </c>
    </row>
    <row r="1826" spans="2:9">
      <c r="B1826" s="396">
        <v>102735</v>
      </c>
      <c r="C1826" s="401" t="s">
        <v>5745</v>
      </c>
      <c r="D1826" s="396" t="s">
        <v>21</v>
      </c>
      <c r="E1826" s="405">
        <f t="shared" si="56"/>
        <v>15.98</v>
      </c>
      <c r="F1826">
        <f t="shared" si="57"/>
        <v>102735</v>
      </c>
      <c r="H1826" s="679">
        <v>15.98</v>
      </c>
      <c r="I1826" s="679">
        <v>16.2</v>
      </c>
    </row>
    <row r="1827" spans="2:9" ht="30">
      <c r="B1827" s="395">
        <v>102736</v>
      </c>
      <c r="C1827" s="406" t="s">
        <v>5746</v>
      </c>
      <c r="D1827" s="395" t="s">
        <v>20</v>
      </c>
      <c r="E1827" s="407">
        <f t="shared" si="56"/>
        <v>857.29</v>
      </c>
      <c r="F1827">
        <f t="shared" si="57"/>
        <v>102736</v>
      </c>
      <c r="H1827" s="680">
        <v>857.29</v>
      </c>
      <c r="I1827" s="680">
        <v>861.38</v>
      </c>
    </row>
    <row r="1828" spans="2:9" ht="30">
      <c r="B1828" s="396">
        <v>102737</v>
      </c>
      <c r="C1828" s="401" t="s">
        <v>5747</v>
      </c>
      <c r="D1828" s="396" t="s">
        <v>23</v>
      </c>
      <c r="E1828" s="405">
        <f t="shared" si="56"/>
        <v>1287.1099999999999</v>
      </c>
      <c r="F1828">
        <f t="shared" si="57"/>
        <v>102737</v>
      </c>
      <c r="H1828" s="679">
        <v>1287.1099999999999</v>
      </c>
      <c r="I1828" s="679">
        <v>1314.73</v>
      </c>
    </row>
    <row r="1829" spans="2:9" ht="30">
      <c r="B1829" s="395">
        <v>102738</v>
      </c>
      <c r="C1829" s="406" t="s">
        <v>5748</v>
      </c>
      <c r="D1829" s="395" t="s">
        <v>23</v>
      </c>
      <c r="E1829" s="407">
        <f t="shared" si="56"/>
        <v>2650.45</v>
      </c>
      <c r="F1829">
        <f t="shared" si="57"/>
        <v>102738</v>
      </c>
      <c r="H1829" s="680">
        <v>2650.45</v>
      </c>
      <c r="I1829" s="680">
        <v>2704.46</v>
      </c>
    </row>
    <row r="1830" spans="2:9" ht="30">
      <c r="B1830" s="396">
        <v>102739</v>
      </c>
      <c r="C1830" s="401" t="s">
        <v>5749</v>
      </c>
      <c r="D1830" s="396" t="s">
        <v>23</v>
      </c>
      <c r="E1830" s="405">
        <f t="shared" si="56"/>
        <v>4456.49</v>
      </c>
      <c r="F1830">
        <f t="shared" si="57"/>
        <v>102739</v>
      </c>
      <c r="H1830" s="679">
        <v>4456.49</v>
      </c>
      <c r="I1830" s="679">
        <v>4544.78</v>
      </c>
    </row>
    <row r="1831" spans="2:9" ht="30">
      <c r="B1831" s="395">
        <v>102740</v>
      </c>
      <c r="C1831" s="406" t="s">
        <v>5750</v>
      </c>
      <c r="D1831" s="395" t="s">
        <v>23</v>
      </c>
      <c r="E1831" s="407">
        <f t="shared" si="56"/>
        <v>6701.66</v>
      </c>
      <c r="F1831">
        <f t="shared" si="57"/>
        <v>102740</v>
      </c>
      <c r="H1831" s="680">
        <v>6701.66</v>
      </c>
      <c r="I1831" s="680">
        <v>6830.87</v>
      </c>
    </row>
    <row r="1832" spans="2:9" ht="30">
      <c r="B1832" s="396">
        <v>102741</v>
      </c>
      <c r="C1832" s="401" t="s">
        <v>5751</v>
      </c>
      <c r="D1832" s="396" t="s">
        <v>23</v>
      </c>
      <c r="E1832" s="405">
        <f t="shared" si="56"/>
        <v>9433.17</v>
      </c>
      <c r="F1832">
        <f t="shared" si="57"/>
        <v>102741</v>
      </c>
      <c r="H1832" s="679">
        <v>9433.17</v>
      </c>
      <c r="I1832" s="679">
        <v>9610.3700000000008</v>
      </c>
    </row>
    <row r="1833" spans="2:9" ht="30">
      <c r="B1833" s="395">
        <v>102742</v>
      </c>
      <c r="C1833" s="406" t="s">
        <v>5752</v>
      </c>
      <c r="D1833" s="395" t="s">
        <v>23</v>
      </c>
      <c r="E1833" s="407">
        <f t="shared" si="56"/>
        <v>16378.37</v>
      </c>
      <c r="F1833">
        <f t="shared" si="57"/>
        <v>102742</v>
      </c>
      <c r="H1833" s="680">
        <v>16378.37</v>
      </c>
      <c r="I1833" s="680">
        <v>16677.72</v>
      </c>
    </row>
    <row r="1834" spans="2:9" ht="30">
      <c r="B1834" s="396">
        <v>102743</v>
      </c>
      <c r="C1834" s="401" t="s">
        <v>5753</v>
      </c>
      <c r="D1834" s="396" t="s">
        <v>23</v>
      </c>
      <c r="E1834" s="405">
        <f t="shared" si="56"/>
        <v>5390.29</v>
      </c>
      <c r="F1834">
        <f t="shared" si="57"/>
        <v>102743</v>
      </c>
      <c r="H1834" s="679">
        <v>5390.29</v>
      </c>
      <c r="I1834" s="679">
        <v>5496.71</v>
      </c>
    </row>
    <row r="1835" spans="2:9" ht="30">
      <c r="B1835" s="395">
        <v>102744</v>
      </c>
      <c r="C1835" s="406" t="s">
        <v>5754</v>
      </c>
      <c r="D1835" s="395" t="s">
        <v>23</v>
      </c>
      <c r="E1835" s="407">
        <f t="shared" si="56"/>
        <v>8104.16</v>
      </c>
      <c r="F1835">
        <f t="shared" si="57"/>
        <v>102744</v>
      </c>
      <c r="H1835" s="680">
        <v>8104.16</v>
      </c>
      <c r="I1835" s="680">
        <v>8259.6200000000008</v>
      </c>
    </row>
    <row r="1836" spans="2:9" ht="30">
      <c r="B1836" s="396">
        <v>102745</v>
      </c>
      <c r="C1836" s="401" t="s">
        <v>5755</v>
      </c>
      <c r="D1836" s="396" t="s">
        <v>23</v>
      </c>
      <c r="E1836" s="405">
        <f t="shared" si="56"/>
        <v>11426.19</v>
      </c>
      <c r="F1836">
        <f t="shared" si="57"/>
        <v>102745</v>
      </c>
      <c r="H1836" s="679">
        <v>11426.19</v>
      </c>
      <c r="I1836" s="679">
        <v>11639.48</v>
      </c>
    </row>
    <row r="1837" spans="2:9" ht="30">
      <c r="B1837" s="395">
        <v>102746</v>
      </c>
      <c r="C1837" s="406" t="s">
        <v>5756</v>
      </c>
      <c r="D1837" s="395" t="s">
        <v>23</v>
      </c>
      <c r="E1837" s="407">
        <f t="shared" si="56"/>
        <v>19866.27</v>
      </c>
      <c r="F1837">
        <f t="shared" si="57"/>
        <v>102746</v>
      </c>
      <c r="H1837" s="680">
        <v>19866.27</v>
      </c>
      <c r="I1837" s="680">
        <v>20226.39</v>
      </c>
    </row>
    <row r="1838" spans="2:9" ht="30">
      <c r="B1838" s="396">
        <v>102747</v>
      </c>
      <c r="C1838" s="401" t="s">
        <v>5757</v>
      </c>
      <c r="D1838" s="396" t="s">
        <v>23</v>
      </c>
      <c r="E1838" s="405">
        <f t="shared" si="56"/>
        <v>10064.69</v>
      </c>
      <c r="F1838">
        <f t="shared" si="57"/>
        <v>102747</v>
      </c>
      <c r="H1838" s="679">
        <v>10064.69</v>
      </c>
      <c r="I1838" s="679">
        <v>10255.17</v>
      </c>
    </row>
    <row r="1839" spans="2:9" ht="30">
      <c r="B1839" s="395">
        <v>102748</v>
      </c>
      <c r="C1839" s="406" t="s">
        <v>5758</v>
      </c>
      <c r="D1839" s="395" t="s">
        <v>23</v>
      </c>
      <c r="E1839" s="407">
        <f t="shared" si="56"/>
        <v>14127.65</v>
      </c>
      <c r="F1839">
        <f t="shared" si="57"/>
        <v>102748</v>
      </c>
      <c r="H1839" s="680">
        <v>14127.65</v>
      </c>
      <c r="I1839" s="680">
        <v>14388.05</v>
      </c>
    </row>
    <row r="1840" spans="2:9" ht="30">
      <c r="B1840" s="396">
        <v>102749</v>
      </c>
      <c r="C1840" s="401" t="s">
        <v>5759</v>
      </c>
      <c r="D1840" s="396" t="s">
        <v>23</v>
      </c>
      <c r="E1840" s="405">
        <f t="shared" si="56"/>
        <v>24324.05</v>
      </c>
      <c r="F1840">
        <f t="shared" si="57"/>
        <v>102749</v>
      </c>
      <c r="H1840" s="679">
        <v>24324.05</v>
      </c>
      <c r="I1840" s="679">
        <v>24759.42</v>
      </c>
    </row>
    <row r="1841" spans="2:9" ht="30">
      <c r="B1841" s="395">
        <v>102750</v>
      </c>
      <c r="C1841" s="406" t="s">
        <v>5760</v>
      </c>
      <c r="D1841" s="395" t="s">
        <v>23</v>
      </c>
      <c r="E1841" s="407">
        <f t="shared" si="56"/>
        <v>3238.91</v>
      </c>
      <c r="F1841">
        <f t="shared" si="57"/>
        <v>102750</v>
      </c>
      <c r="H1841" s="680">
        <v>3238.91</v>
      </c>
      <c r="I1841" s="680">
        <v>3303.65</v>
      </c>
    </row>
    <row r="1842" spans="2:9" ht="30">
      <c r="B1842" s="396">
        <v>102751</v>
      </c>
      <c r="C1842" s="401" t="s">
        <v>5761</v>
      </c>
      <c r="D1842" s="396" t="s">
        <v>23</v>
      </c>
      <c r="E1842" s="405">
        <f t="shared" si="56"/>
        <v>5664.8</v>
      </c>
      <c r="F1842">
        <f t="shared" si="57"/>
        <v>102751</v>
      </c>
      <c r="H1842" s="679">
        <v>5664.8</v>
      </c>
      <c r="I1842" s="679">
        <v>5772.39</v>
      </c>
    </row>
    <row r="1843" spans="2:9" ht="30">
      <c r="B1843" s="395">
        <v>102752</v>
      </c>
      <c r="C1843" s="406" t="s">
        <v>5762</v>
      </c>
      <c r="D1843" s="395" t="s">
        <v>23</v>
      </c>
      <c r="E1843" s="407">
        <f t="shared" si="56"/>
        <v>9067.93</v>
      </c>
      <c r="F1843">
        <f t="shared" si="57"/>
        <v>102752</v>
      </c>
      <c r="H1843" s="680">
        <v>9067.93</v>
      </c>
      <c r="I1843" s="680">
        <v>9233.66</v>
      </c>
    </row>
    <row r="1844" spans="2:9" ht="30">
      <c r="B1844" s="396">
        <v>102753</v>
      </c>
      <c r="C1844" s="401" t="s">
        <v>5763</v>
      </c>
      <c r="D1844" s="396" t="s">
        <v>23</v>
      </c>
      <c r="E1844" s="405">
        <f t="shared" si="56"/>
        <v>13479.08</v>
      </c>
      <c r="F1844">
        <f t="shared" si="57"/>
        <v>102753</v>
      </c>
      <c r="H1844" s="679">
        <v>13479.08</v>
      </c>
      <c r="I1844" s="679">
        <v>13717.13</v>
      </c>
    </row>
    <row r="1845" spans="2:9" ht="30">
      <c r="B1845" s="395">
        <v>102754</v>
      </c>
      <c r="C1845" s="406" t="s">
        <v>5764</v>
      </c>
      <c r="D1845" s="395" t="s">
        <v>23</v>
      </c>
      <c r="E1845" s="407">
        <f t="shared" si="56"/>
        <v>25697.53</v>
      </c>
      <c r="F1845">
        <f t="shared" si="57"/>
        <v>102754</v>
      </c>
      <c r="H1845" s="680">
        <v>25697.53</v>
      </c>
      <c r="I1845" s="680">
        <v>26136.14</v>
      </c>
    </row>
    <row r="1846" spans="2:9" ht="30">
      <c r="B1846" s="396">
        <v>102755</v>
      </c>
      <c r="C1846" s="401" t="s">
        <v>5765</v>
      </c>
      <c r="D1846" s="396" t="s">
        <v>23</v>
      </c>
      <c r="E1846" s="405">
        <f t="shared" si="56"/>
        <v>12694.38</v>
      </c>
      <c r="F1846">
        <f t="shared" si="57"/>
        <v>102755</v>
      </c>
      <c r="H1846" s="679">
        <v>12694.38</v>
      </c>
      <c r="I1846" s="679">
        <v>12920.18</v>
      </c>
    </row>
    <row r="1847" spans="2:9" ht="30">
      <c r="B1847" s="395">
        <v>102756</v>
      </c>
      <c r="C1847" s="406" t="s">
        <v>5766</v>
      </c>
      <c r="D1847" s="395" t="s">
        <v>23</v>
      </c>
      <c r="E1847" s="407">
        <f t="shared" si="56"/>
        <v>18932.27</v>
      </c>
      <c r="F1847">
        <f t="shared" si="57"/>
        <v>102756</v>
      </c>
      <c r="H1847" s="680">
        <v>18932.27</v>
      </c>
      <c r="I1847" s="680">
        <v>19257.32</v>
      </c>
    </row>
    <row r="1848" spans="2:9" ht="30">
      <c r="B1848" s="396">
        <v>102757</v>
      </c>
      <c r="C1848" s="401" t="s">
        <v>5767</v>
      </c>
      <c r="D1848" s="396" t="s">
        <v>23</v>
      </c>
      <c r="E1848" s="405">
        <f t="shared" si="56"/>
        <v>35319.620000000003</v>
      </c>
      <c r="F1848">
        <f t="shared" si="57"/>
        <v>102757</v>
      </c>
      <c r="H1848" s="679">
        <v>35319.620000000003</v>
      </c>
      <c r="I1848" s="679">
        <v>35905.42</v>
      </c>
    </row>
    <row r="1849" spans="2:9" ht="30">
      <c r="B1849" s="395">
        <v>102758</v>
      </c>
      <c r="C1849" s="406" t="s">
        <v>5768</v>
      </c>
      <c r="D1849" s="395" t="s">
        <v>23</v>
      </c>
      <c r="E1849" s="407">
        <f t="shared" si="56"/>
        <v>16336.41</v>
      </c>
      <c r="F1849">
        <f t="shared" si="57"/>
        <v>102758</v>
      </c>
      <c r="H1849" s="680">
        <v>16336.41</v>
      </c>
      <c r="I1849" s="680">
        <v>16622.669999999998</v>
      </c>
    </row>
    <row r="1850" spans="2:9" ht="30">
      <c r="B1850" s="396">
        <v>102759</v>
      </c>
      <c r="C1850" s="401" t="s">
        <v>5769</v>
      </c>
      <c r="D1850" s="396" t="s">
        <v>23</v>
      </c>
      <c r="E1850" s="405">
        <f t="shared" si="56"/>
        <v>24409.07</v>
      </c>
      <c r="F1850">
        <f t="shared" si="57"/>
        <v>102759</v>
      </c>
      <c r="H1850" s="679">
        <v>24409.07</v>
      </c>
      <c r="I1850" s="679">
        <v>24821.73</v>
      </c>
    </row>
    <row r="1851" spans="2:9" ht="30">
      <c r="B1851" s="395">
        <v>102760</v>
      </c>
      <c r="C1851" s="406" t="s">
        <v>5770</v>
      </c>
      <c r="D1851" s="395" t="s">
        <v>23</v>
      </c>
      <c r="E1851" s="407">
        <f t="shared" si="56"/>
        <v>45116.63</v>
      </c>
      <c r="F1851">
        <f t="shared" si="57"/>
        <v>102760</v>
      </c>
      <c r="H1851" s="680">
        <v>45116.63</v>
      </c>
      <c r="I1851" s="680">
        <v>45853.45</v>
      </c>
    </row>
    <row r="1852" spans="2:9" ht="30">
      <c r="B1852" s="396">
        <v>102761</v>
      </c>
      <c r="C1852" s="401" t="s">
        <v>5771</v>
      </c>
      <c r="D1852" s="396" t="s">
        <v>23</v>
      </c>
      <c r="E1852" s="405">
        <f t="shared" si="56"/>
        <v>15366.11</v>
      </c>
      <c r="F1852">
        <f t="shared" si="57"/>
        <v>102761</v>
      </c>
      <c r="H1852" s="679">
        <v>15366.11</v>
      </c>
      <c r="I1852" s="679">
        <v>15691.36</v>
      </c>
    </row>
    <row r="1853" spans="2:9" ht="30">
      <c r="B1853" s="395">
        <v>102762</v>
      </c>
      <c r="C1853" s="406" t="s">
        <v>5772</v>
      </c>
      <c r="D1853" s="395" t="s">
        <v>23</v>
      </c>
      <c r="E1853" s="407">
        <f t="shared" si="56"/>
        <v>23960.99</v>
      </c>
      <c r="F1853">
        <f t="shared" si="57"/>
        <v>102762</v>
      </c>
      <c r="H1853" s="680">
        <v>23960.99</v>
      </c>
      <c r="I1853" s="680">
        <v>24430.94</v>
      </c>
    </row>
    <row r="1854" spans="2:9" ht="30">
      <c r="B1854" s="396">
        <v>102763</v>
      </c>
      <c r="C1854" s="401" t="s">
        <v>5773</v>
      </c>
      <c r="D1854" s="396" t="s">
        <v>23</v>
      </c>
      <c r="E1854" s="405">
        <f t="shared" si="56"/>
        <v>33381.440000000002</v>
      </c>
      <c r="F1854">
        <f t="shared" si="57"/>
        <v>102763</v>
      </c>
      <c r="H1854" s="679">
        <v>33381.440000000002</v>
      </c>
      <c r="I1854" s="679">
        <v>34014.480000000003</v>
      </c>
    </row>
    <row r="1855" spans="2:9" ht="30">
      <c r="B1855" s="395">
        <v>102764</v>
      </c>
      <c r="C1855" s="406" t="s">
        <v>5774</v>
      </c>
      <c r="D1855" s="395" t="s">
        <v>23</v>
      </c>
      <c r="E1855" s="407">
        <f t="shared" si="56"/>
        <v>47517.77</v>
      </c>
      <c r="F1855">
        <f t="shared" si="57"/>
        <v>102764</v>
      </c>
      <c r="H1855" s="680">
        <v>47517.77</v>
      </c>
      <c r="I1855" s="680">
        <v>48352.639999999999</v>
      </c>
    </row>
    <row r="1856" spans="2:9" ht="30">
      <c r="B1856" s="396">
        <v>102765</v>
      </c>
      <c r="C1856" s="401" t="s">
        <v>5775</v>
      </c>
      <c r="D1856" s="396" t="s">
        <v>23</v>
      </c>
      <c r="E1856" s="405">
        <f t="shared" si="56"/>
        <v>19132.41</v>
      </c>
      <c r="F1856">
        <f t="shared" si="57"/>
        <v>102765</v>
      </c>
      <c r="H1856" s="679">
        <v>19132.41</v>
      </c>
      <c r="I1856" s="679">
        <v>19535.28</v>
      </c>
    </row>
    <row r="1857" spans="2:9" ht="30">
      <c r="B1857" s="395">
        <v>102766</v>
      </c>
      <c r="C1857" s="406" t="s">
        <v>5776</v>
      </c>
      <c r="D1857" s="395" t="s">
        <v>23</v>
      </c>
      <c r="E1857" s="407">
        <f t="shared" si="56"/>
        <v>29066.27</v>
      </c>
      <c r="F1857">
        <f t="shared" si="57"/>
        <v>102766</v>
      </c>
      <c r="H1857" s="680">
        <v>29066.27</v>
      </c>
      <c r="I1857" s="680">
        <v>29632.93</v>
      </c>
    </row>
    <row r="1858" spans="2:9" ht="30">
      <c r="B1858" s="396">
        <v>102767</v>
      </c>
      <c r="C1858" s="401" t="s">
        <v>5777</v>
      </c>
      <c r="D1858" s="396" t="s">
        <v>23</v>
      </c>
      <c r="E1858" s="405">
        <f t="shared" si="56"/>
        <v>40746.410000000003</v>
      </c>
      <c r="F1858">
        <f t="shared" si="57"/>
        <v>102767</v>
      </c>
      <c r="H1858" s="679">
        <v>40746.410000000003</v>
      </c>
      <c r="I1858" s="679">
        <v>41512.550000000003</v>
      </c>
    </row>
    <row r="1859" spans="2:9" ht="30">
      <c r="B1859" s="395">
        <v>102768</v>
      </c>
      <c r="C1859" s="406" t="s">
        <v>5778</v>
      </c>
      <c r="D1859" s="395" t="s">
        <v>23</v>
      </c>
      <c r="E1859" s="407">
        <f t="shared" ref="E1859:E1922" si="58">IF($K$2=$H$1,H1859,I1859)</f>
        <v>57482.73</v>
      </c>
      <c r="F1859">
        <f t="shared" ref="F1859:F1922" si="59">IF(LEN($B1859)=7,CONCATENATE(MID($B1859,1,6),"00",RIGHT($B1859,1)),IF(LEN($B1859)=8,CONCATENATE(MID($B1859,1,6),"0",RIGHT($B1859,2)),$B1859))</f>
        <v>102768</v>
      </c>
      <c r="H1859" s="680">
        <v>57482.73</v>
      </c>
      <c r="I1859" s="680">
        <v>58481.88</v>
      </c>
    </row>
    <row r="1860" spans="2:9" ht="30">
      <c r="B1860" s="396">
        <v>102769</v>
      </c>
      <c r="C1860" s="401" t="s">
        <v>5779</v>
      </c>
      <c r="D1860" s="396" t="s">
        <v>23</v>
      </c>
      <c r="E1860" s="405">
        <f t="shared" si="58"/>
        <v>22175.96</v>
      </c>
      <c r="F1860">
        <f t="shared" si="59"/>
        <v>102769</v>
      </c>
      <c r="H1860" s="679">
        <v>22175.96</v>
      </c>
      <c r="I1860" s="679">
        <v>22631.58</v>
      </c>
    </row>
    <row r="1861" spans="2:9" ht="30">
      <c r="B1861" s="395">
        <v>102770</v>
      </c>
      <c r="C1861" s="406" t="s">
        <v>5780</v>
      </c>
      <c r="D1861" s="395" t="s">
        <v>23</v>
      </c>
      <c r="E1861" s="407">
        <f t="shared" si="58"/>
        <v>34240.019999999997</v>
      </c>
      <c r="F1861">
        <f t="shared" si="59"/>
        <v>102770</v>
      </c>
      <c r="H1861" s="680">
        <v>34240.019999999997</v>
      </c>
      <c r="I1861" s="680">
        <v>34903.72</v>
      </c>
    </row>
    <row r="1862" spans="2:9" ht="30">
      <c r="B1862" s="396">
        <v>102771</v>
      </c>
      <c r="C1862" s="401" t="s">
        <v>5781</v>
      </c>
      <c r="D1862" s="396" t="s">
        <v>23</v>
      </c>
      <c r="E1862" s="405">
        <f t="shared" si="58"/>
        <v>47973.65</v>
      </c>
      <c r="F1862">
        <f t="shared" si="59"/>
        <v>102771</v>
      </c>
      <c r="H1862" s="679">
        <v>47973.65</v>
      </c>
      <c r="I1862" s="679">
        <v>48870.89</v>
      </c>
    </row>
    <row r="1863" spans="2:9" ht="30">
      <c r="B1863" s="395">
        <v>102772</v>
      </c>
      <c r="C1863" s="406" t="s">
        <v>5782</v>
      </c>
      <c r="D1863" s="395" t="s">
        <v>23</v>
      </c>
      <c r="E1863" s="407">
        <f t="shared" si="58"/>
        <v>68159.12</v>
      </c>
      <c r="F1863">
        <f t="shared" si="59"/>
        <v>102772</v>
      </c>
      <c r="H1863" s="680">
        <v>68159.12</v>
      </c>
      <c r="I1863" s="680">
        <v>69330.399999999994</v>
      </c>
    </row>
    <row r="1864" spans="2:9" ht="30">
      <c r="B1864" s="396">
        <v>102773</v>
      </c>
      <c r="C1864" s="401" t="s">
        <v>5783</v>
      </c>
      <c r="D1864" s="396" t="s">
        <v>23</v>
      </c>
      <c r="E1864" s="405">
        <f t="shared" si="58"/>
        <v>7773.46</v>
      </c>
      <c r="F1864">
        <f t="shared" si="59"/>
        <v>102773</v>
      </c>
      <c r="H1864" s="679">
        <v>7773.46</v>
      </c>
      <c r="I1864" s="679">
        <v>7931.08</v>
      </c>
    </row>
    <row r="1865" spans="2:9" ht="30">
      <c r="B1865" s="395">
        <v>102774</v>
      </c>
      <c r="C1865" s="406" t="s">
        <v>5784</v>
      </c>
      <c r="D1865" s="395" t="s">
        <v>23</v>
      </c>
      <c r="E1865" s="407">
        <f t="shared" si="58"/>
        <v>7773.46</v>
      </c>
      <c r="F1865">
        <f t="shared" si="59"/>
        <v>102774</v>
      </c>
      <c r="H1865" s="680">
        <v>7773.46</v>
      </c>
      <c r="I1865" s="680">
        <v>7931.08</v>
      </c>
    </row>
    <row r="1866" spans="2:9" ht="30">
      <c r="B1866" s="396">
        <v>102775</v>
      </c>
      <c r="C1866" s="401" t="s">
        <v>5785</v>
      </c>
      <c r="D1866" s="396" t="s">
        <v>23</v>
      </c>
      <c r="E1866" s="405">
        <f t="shared" si="58"/>
        <v>11620.18</v>
      </c>
      <c r="F1866">
        <f t="shared" si="59"/>
        <v>102775</v>
      </c>
      <c r="H1866" s="679">
        <v>11620.18</v>
      </c>
      <c r="I1866" s="679">
        <v>11857.24</v>
      </c>
    </row>
    <row r="1867" spans="2:9" ht="30">
      <c r="B1867" s="395">
        <v>102776</v>
      </c>
      <c r="C1867" s="406" t="s">
        <v>5786</v>
      </c>
      <c r="D1867" s="395" t="s">
        <v>23</v>
      </c>
      <c r="E1867" s="407">
        <f t="shared" si="58"/>
        <v>11620.18</v>
      </c>
      <c r="F1867">
        <f t="shared" si="59"/>
        <v>102776</v>
      </c>
      <c r="H1867" s="680">
        <v>11620.18</v>
      </c>
      <c r="I1867" s="680">
        <v>11857.24</v>
      </c>
    </row>
    <row r="1868" spans="2:9" ht="30">
      <c r="B1868" s="396">
        <v>102777</v>
      </c>
      <c r="C1868" s="401" t="s">
        <v>5787</v>
      </c>
      <c r="D1868" s="396" t="s">
        <v>23</v>
      </c>
      <c r="E1868" s="405">
        <f t="shared" si="58"/>
        <v>17598.599999999999</v>
      </c>
      <c r="F1868">
        <f t="shared" si="59"/>
        <v>102777</v>
      </c>
      <c r="H1868" s="679">
        <v>17598.599999999999</v>
      </c>
      <c r="I1868" s="679">
        <v>17958.54</v>
      </c>
    </row>
    <row r="1869" spans="2:9" ht="30">
      <c r="B1869" s="395">
        <v>102778</v>
      </c>
      <c r="C1869" s="406" t="s">
        <v>5788</v>
      </c>
      <c r="D1869" s="395" t="s">
        <v>23</v>
      </c>
      <c r="E1869" s="407">
        <f t="shared" si="58"/>
        <v>26713.45</v>
      </c>
      <c r="F1869">
        <f t="shared" si="59"/>
        <v>102778</v>
      </c>
      <c r="H1869" s="680">
        <v>26713.45</v>
      </c>
      <c r="I1869" s="680">
        <v>27097.08</v>
      </c>
    </row>
    <row r="1870" spans="2:9" ht="30">
      <c r="B1870" s="396">
        <v>102779</v>
      </c>
      <c r="C1870" s="401" t="s">
        <v>5789</v>
      </c>
      <c r="D1870" s="396" t="s">
        <v>23</v>
      </c>
      <c r="E1870" s="405">
        <f t="shared" si="58"/>
        <v>7773.46</v>
      </c>
      <c r="F1870">
        <f t="shared" si="59"/>
        <v>102779</v>
      </c>
      <c r="H1870" s="679">
        <v>7773.46</v>
      </c>
      <c r="I1870" s="679">
        <v>7931.08</v>
      </c>
    </row>
    <row r="1871" spans="2:9" ht="30">
      <c r="B1871" s="395">
        <v>102780</v>
      </c>
      <c r="C1871" s="406" t="s">
        <v>5790</v>
      </c>
      <c r="D1871" s="395" t="s">
        <v>23</v>
      </c>
      <c r="E1871" s="407">
        <f t="shared" si="58"/>
        <v>8943.48</v>
      </c>
      <c r="F1871">
        <f t="shared" si="59"/>
        <v>102780</v>
      </c>
      <c r="H1871" s="680">
        <v>8943.48</v>
      </c>
      <c r="I1871" s="680">
        <v>9124.68</v>
      </c>
    </row>
    <row r="1872" spans="2:9" ht="30">
      <c r="B1872" s="396">
        <v>102781</v>
      </c>
      <c r="C1872" s="401" t="s">
        <v>5791</v>
      </c>
      <c r="D1872" s="396" t="s">
        <v>23</v>
      </c>
      <c r="E1872" s="405">
        <f t="shared" si="58"/>
        <v>13271.04</v>
      </c>
      <c r="F1872">
        <f t="shared" si="59"/>
        <v>102781</v>
      </c>
      <c r="H1872" s="679">
        <v>13271.04</v>
      </c>
      <c r="I1872" s="679">
        <v>13541.61</v>
      </c>
    </row>
    <row r="1873" spans="2:9" ht="30">
      <c r="B1873" s="395">
        <v>102782</v>
      </c>
      <c r="C1873" s="406" t="s">
        <v>5792</v>
      </c>
      <c r="D1873" s="395" t="s">
        <v>23</v>
      </c>
      <c r="E1873" s="407">
        <f t="shared" si="58"/>
        <v>14846.74</v>
      </c>
      <c r="F1873">
        <f t="shared" si="59"/>
        <v>102782</v>
      </c>
      <c r="H1873" s="680">
        <v>14846.74</v>
      </c>
      <c r="I1873" s="680">
        <v>15123.5</v>
      </c>
    </row>
    <row r="1874" spans="2:9" ht="30">
      <c r="B1874" s="396">
        <v>102783</v>
      </c>
      <c r="C1874" s="401" t="s">
        <v>5793</v>
      </c>
      <c r="D1874" s="396" t="s">
        <v>23</v>
      </c>
      <c r="E1874" s="405">
        <f t="shared" si="58"/>
        <v>19655.14</v>
      </c>
      <c r="F1874">
        <f t="shared" si="59"/>
        <v>102783</v>
      </c>
      <c r="H1874" s="679">
        <v>19655.14</v>
      </c>
      <c r="I1874" s="679">
        <v>20031.2</v>
      </c>
    </row>
    <row r="1875" spans="2:9" ht="30">
      <c r="B1875" s="395">
        <v>102784</v>
      </c>
      <c r="C1875" s="406" t="s">
        <v>5794</v>
      </c>
      <c r="D1875" s="395" t="s">
        <v>23</v>
      </c>
      <c r="E1875" s="407">
        <f t="shared" si="58"/>
        <v>31270.87</v>
      </c>
      <c r="F1875">
        <f t="shared" si="59"/>
        <v>102784</v>
      </c>
      <c r="H1875" s="680">
        <v>31270.87</v>
      </c>
      <c r="I1875" s="680">
        <v>31666.35</v>
      </c>
    </row>
    <row r="1876" spans="2:9" ht="30">
      <c r="B1876" s="396">
        <v>102785</v>
      </c>
      <c r="C1876" s="401" t="s">
        <v>5795</v>
      </c>
      <c r="D1876" s="396" t="s">
        <v>23</v>
      </c>
      <c r="E1876" s="405">
        <f t="shared" si="58"/>
        <v>8943.48</v>
      </c>
      <c r="F1876">
        <f t="shared" si="59"/>
        <v>102785</v>
      </c>
      <c r="H1876" s="679">
        <v>8943.48</v>
      </c>
      <c r="I1876" s="679">
        <v>9124.68</v>
      </c>
    </row>
    <row r="1877" spans="2:9" ht="30">
      <c r="B1877" s="395">
        <v>102786</v>
      </c>
      <c r="C1877" s="406" t="s">
        <v>5796</v>
      </c>
      <c r="D1877" s="395" t="s">
        <v>23</v>
      </c>
      <c r="E1877" s="407">
        <f t="shared" si="58"/>
        <v>10038.34</v>
      </c>
      <c r="F1877">
        <f t="shared" si="59"/>
        <v>102786</v>
      </c>
      <c r="H1877" s="680">
        <v>10038.34</v>
      </c>
      <c r="I1877" s="680">
        <v>10215.799999999999</v>
      </c>
    </row>
    <row r="1878" spans="2:9" ht="30">
      <c r="B1878" s="396">
        <v>102787</v>
      </c>
      <c r="C1878" s="401" t="s">
        <v>5797</v>
      </c>
      <c r="D1878" s="396" t="s">
        <v>23</v>
      </c>
      <c r="E1878" s="405">
        <f t="shared" si="58"/>
        <v>14846.74</v>
      </c>
      <c r="F1878">
        <f t="shared" si="59"/>
        <v>102787</v>
      </c>
      <c r="H1878" s="679">
        <v>14846.74</v>
      </c>
      <c r="I1878" s="679">
        <v>15123.5</v>
      </c>
    </row>
    <row r="1879" spans="2:9" ht="30">
      <c r="B1879" s="395">
        <v>102788</v>
      </c>
      <c r="C1879" s="406" t="s">
        <v>5798</v>
      </c>
      <c r="D1879" s="395" t="s">
        <v>23</v>
      </c>
      <c r="E1879" s="407">
        <f t="shared" si="58"/>
        <v>16408.34</v>
      </c>
      <c r="F1879">
        <f t="shared" si="59"/>
        <v>102788</v>
      </c>
      <c r="H1879" s="680">
        <v>16408.34</v>
      </c>
      <c r="I1879" s="680">
        <v>16686.169999999998</v>
      </c>
    </row>
    <row r="1880" spans="2:9" ht="30">
      <c r="B1880" s="396">
        <v>102789</v>
      </c>
      <c r="C1880" s="401" t="s">
        <v>5799</v>
      </c>
      <c r="D1880" s="396" t="s">
        <v>23</v>
      </c>
      <c r="E1880" s="405">
        <f t="shared" si="58"/>
        <v>21627.119999999999</v>
      </c>
      <c r="F1880">
        <f t="shared" si="59"/>
        <v>102789</v>
      </c>
      <c r="H1880" s="679">
        <v>21627.119999999999</v>
      </c>
      <c r="I1880" s="679">
        <v>21988.57</v>
      </c>
    </row>
    <row r="1881" spans="2:9" ht="30">
      <c r="B1881" s="395">
        <v>102790</v>
      </c>
      <c r="C1881" s="406" t="s">
        <v>5800</v>
      </c>
      <c r="D1881" s="395" t="s">
        <v>23</v>
      </c>
      <c r="E1881" s="407">
        <f t="shared" si="58"/>
        <v>36063.17</v>
      </c>
      <c r="F1881">
        <f t="shared" si="59"/>
        <v>102790</v>
      </c>
      <c r="H1881" s="680">
        <v>36063.17</v>
      </c>
      <c r="I1881" s="680">
        <v>36555.870000000003</v>
      </c>
    </row>
    <row r="1882" spans="2:9" ht="30">
      <c r="B1882" s="396">
        <v>102791</v>
      </c>
      <c r="C1882" s="401" t="s">
        <v>5801</v>
      </c>
      <c r="D1882" s="396" t="s">
        <v>23</v>
      </c>
      <c r="E1882" s="405">
        <f t="shared" si="58"/>
        <v>28598.1</v>
      </c>
      <c r="F1882">
        <f t="shared" si="59"/>
        <v>102791</v>
      </c>
      <c r="H1882" s="679">
        <v>28598.1</v>
      </c>
      <c r="I1882" s="679">
        <v>29117.279999999999</v>
      </c>
    </row>
    <row r="1883" spans="2:9" ht="30">
      <c r="B1883" s="395">
        <v>102792</v>
      </c>
      <c r="C1883" s="406" t="s">
        <v>5802</v>
      </c>
      <c r="D1883" s="395" t="s">
        <v>23</v>
      </c>
      <c r="E1883" s="407">
        <f t="shared" si="58"/>
        <v>46716.25</v>
      </c>
      <c r="F1883">
        <f t="shared" si="59"/>
        <v>102792</v>
      </c>
      <c r="H1883" s="680">
        <v>46716.25</v>
      </c>
      <c r="I1883" s="680">
        <v>47509.47</v>
      </c>
    </row>
    <row r="1884" spans="2:9" ht="30">
      <c r="B1884" s="396">
        <v>102793</v>
      </c>
      <c r="C1884" s="401" t="s">
        <v>5803</v>
      </c>
      <c r="D1884" s="396" t="s">
        <v>23</v>
      </c>
      <c r="E1884" s="405">
        <f t="shared" si="58"/>
        <v>63186.79</v>
      </c>
      <c r="F1884">
        <f t="shared" si="59"/>
        <v>102793</v>
      </c>
      <c r="H1884" s="679">
        <v>63186.79</v>
      </c>
      <c r="I1884" s="679">
        <v>64170.55</v>
      </c>
    </row>
    <row r="1885" spans="2:9" ht="30">
      <c r="B1885" s="395">
        <v>102794</v>
      </c>
      <c r="C1885" s="406" t="s">
        <v>5804</v>
      </c>
      <c r="D1885" s="395" t="s">
        <v>23</v>
      </c>
      <c r="E1885" s="407">
        <f t="shared" si="58"/>
        <v>90712.36</v>
      </c>
      <c r="F1885">
        <f t="shared" si="59"/>
        <v>102794</v>
      </c>
      <c r="H1885" s="680">
        <v>90712.36</v>
      </c>
      <c r="I1885" s="680">
        <v>92088.88</v>
      </c>
    </row>
    <row r="1886" spans="2:9" ht="30">
      <c r="B1886" s="396">
        <v>102795</v>
      </c>
      <c r="C1886" s="401" t="s">
        <v>5805</v>
      </c>
      <c r="D1886" s="396" t="s">
        <v>23</v>
      </c>
      <c r="E1886" s="405">
        <f t="shared" si="58"/>
        <v>30495.96</v>
      </c>
      <c r="F1886">
        <f t="shared" si="59"/>
        <v>102795</v>
      </c>
      <c r="H1886" s="679">
        <v>30495.96</v>
      </c>
      <c r="I1886" s="679">
        <v>31049.37</v>
      </c>
    </row>
    <row r="1887" spans="2:9" ht="30">
      <c r="B1887" s="395">
        <v>102796</v>
      </c>
      <c r="C1887" s="406" t="s">
        <v>5806</v>
      </c>
      <c r="D1887" s="395" t="s">
        <v>23</v>
      </c>
      <c r="E1887" s="407">
        <f t="shared" si="58"/>
        <v>49425.99</v>
      </c>
      <c r="F1887">
        <f t="shared" si="59"/>
        <v>102796</v>
      </c>
      <c r="H1887" s="680">
        <v>49425.99</v>
      </c>
      <c r="I1887" s="680">
        <v>50256.74</v>
      </c>
    </row>
    <row r="1888" spans="2:9" ht="30">
      <c r="B1888" s="396">
        <v>102797</v>
      </c>
      <c r="C1888" s="401" t="s">
        <v>5807</v>
      </c>
      <c r="D1888" s="396" t="s">
        <v>23</v>
      </c>
      <c r="E1888" s="405">
        <f t="shared" si="58"/>
        <v>70189.73</v>
      </c>
      <c r="F1888">
        <f t="shared" si="59"/>
        <v>102797</v>
      </c>
      <c r="H1888" s="679">
        <v>70189.73</v>
      </c>
      <c r="I1888" s="679">
        <v>71329.55</v>
      </c>
    </row>
    <row r="1889" spans="2:9" ht="30">
      <c r="B1889" s="395">
        <v>102798</v>
      </c>
      <c r="C1889" s="406" t="s">
        <v>5808</v>
      </c>
      <c r="D1889" s="395" t="s">
        <v>23</v>
      </c>
      <c r="E1889" s="407">
        <f t="shared" si="58"/>
        <v>86041.39</v>
      </c>
      <c r="F1889">
        <f t="shared" si="59"/>
        <v>102798</v>
      </c>
      <c r="H1889" s="680">
        <v>86041.39</v>
      </c>
      <c r="I1889" s="680">
        <v>87414</v>
      </c>
    </row>
    <row r="1890" spans="2:9" ht="30">
      <c r="B1890" s="396">
        <v>102799</v>
      </c>
      <c r="C1890" s="401" t="s">
        <v>5809</v>
      </c>
      <c r="D1890" s="396" t="s">
        <v>23</v>
      </c>
      <c r="E1890" s="405">
        <f t="shared" si="58"/>
        <v>31137.08</v>
      </c>
      <c r="F1890">
        <f t="shared" si="59"/>
        <v>102799</v>
      </c>
      <c r="H1890" s="679">
        <v>31137.08</v>
      </c>
      <c r="I1890" s="679">
        <v>31703.73</v>
      </c>
    </row>
    <row r="1891" spans="2:9" ht="30">
      <c r="B1891" s="395">
        <v>102800</v>
      </c>
      <c r="C1891" s="406" t="s">
        <v>5810</v>
      </c>
      <c r="D1891" s="395" t="s">
        <v>23</v>
      </c>
      <c r="E1891" s="407">
        <f t="shared" si="58"/>
        <v>54228.77</v>
      </c>
      <c r="F1891">
        <f t="shared" si="59"/>
        <v>102800</v>
      </c>
      <c r="H1891" s="680">
        <v>54228.77</v>
      </c>
      <c r="I1891" s="680">
        <v>55143.49</v>
      </c>
    </row>
    <row r="1892" spans="2:9" ht="30">
      <c r="B1892" s="396">
        <v>102801</v>
      </c>
      <c r="C1892" s="401" t="s">
        <v>5811</v>
      </c>
      <c r="D1892" s="396" t="s">
        <v>23</v>
      </c>
      <c r="E1892" s="405">
        <f t="shared" si="58"/>
        <v>76106.16</v>
      </c>
      <c r="F1892">
        <f t="shared" si="59"/>
        <v>102801</v>
      </c>
      <c r="H1892" s="679">
        <v>76106.16</v>
      </c>
      <c r="I1892" s="679">
        <v>77333.039999999994</v>
      </c>
    </row>
    <row r="1893" spans="2:9" ht="30">
      <c r="B1893" s="395">
        <v>102802</v>
      </c>
      <c r="C1893" s="406" t="s">
        <v>5812</v>
      </c>
      <c r="D1893" s="395" t="s">
        <v>23</v>
      </c>
      <c r="E1893" s="407">
        <f t="shared" si="58"/>
        <v>91338.18</v>
      </c>
      <c r="F1893">
        <f t="shared" si="59"/>
        <v>102802</v>
      </c>
      <c r="H1893" s="680">
        <v>91338.18</v>
      </c>
      <c r="I1893" s="680">
        <v>92796.19</v>
      </c>
    </row>
    <row r="1894" spans="2:9">
      <c r="B1894" s="396">
        <v>101570</v>
      </c>
      <c r="C1894" s="401" t="s">
        <v>4507</v>
      </c>
      <c r="D1894" s="396" t="s">
        <v>0</v>
      </c>
      <c r="E1894" s="405">
        <f t="shared" si="58"/>
        <v>19.38</v>
      </c>
      <c r="F1894">
        <f t="shared" si="59"/>
        <v>101570</v>
      </c>
      <c r="H1894" s="679">
        <v>19.38</v>
      </c>
      <c r="I1894" s="679">
        <v>20.89</v>
      </c>
    </row>
    <row r="1895" spans="2:9" ht="30">
      <c r="B1895" s="395">
        <v>101571</v>
      </c>
      <c r="C1895" s="406" t="s">
        <v>4508</v>
      </c>
      <c r="D1895" s="395" t="s">
        <v>0</v>
      </c>
      <c r="E1895" s="407">
        <f t="shared" si="58"/>
        <v>26.36</v>
      </c>
      <c r="F1895">
        <f t="shared" si="59"/>
        <v>101571</v>
      </c>
      <c r="H1895" s="680">
        <v>26.36</v>
      </c>
      <c r="I1895" s="680">
        <v>28.58</v>
      </c>
    </row>
    <row r="1896" spans="2:9">
      <c r="B1896" s="396">
        <v>101572</v>
      </c>
      <c r="C1896" s="401" t="s">
        <v>4509</v>
      </c>
      <c r="D1896" s="396" t="s">
        <v>0</v>
      </c>
      <c r="E1896" s="405">
        <f t="shared" si="58"/>
        <v>15.3</v>
      </c>
      <c r="F1896">
        <f t="shared" si="59"/>
        <v>101572</v>
      </c>
      <c r="H1896" s="679">
        <v>15.3</v>
      </c>
      <c r="I1896" s="679">
        <v>16.420000000000002</v>
      </c>
    </row>
    <row r="1897" spans="2:9" ht="30">
      <c r="B1897" s="395">
        <v>101573</v>
      </c>
      <c r="C1897" s="406" t="s">
        <v>4510</v>
      </c>
      <c r="D1897" s="395" t="s">
        <v>0</v>
      </c>
      <c r="E1897" s="407">
        <f t="shared" si="58"/>
        <v>22.28</v>
      </c>
      <c r="F1897">
        <f t="shared" si="59"/>
        <v>101573</v>
      </c>
      <c r="H1897" s="680">
        <v>22.28</v>
      </c>
      <c r="I1897" s="680">
        <v>24.12</v>
      </c>
    </row>
    <row r="1898" spans="2:9">
      <c r="B1898" s="396">
        <v>101574</v>
      </c>
      <c r="C1898" s="401" t="s">
        <v>4511</v>
      </c>
      <c r="D1898" s="396" t="s">
        <v>0</v>
      </c>
      <c r="E1898" s="405">
        <f t="shared" si="58"/>
        <v>11.94</v>
      </c>
      <c r="F1898">
        <f t="shared" si="59"/>
        <v>101574</v>
      </c>
      <c r="H1898" s="679">
        <v>11.94</v>
      </c>
      <c r="I1898" s="679">
        <v>12.67</v>
      </c>
    </row>
    <row r="1899" spans="2:9" ht="30">
      <c r="B1899" s="395">
        <v>101575</v>
      </c>
      <c r="C1899" s="406" t="s">
        <v>4512</v>
      </c>
      <c r="D1899" s="395" t="s">
        <v>0</v>
      </c>
      <c r="E1899" s="407">
        <f t="shared" si="58"/>
        <v>19.100000000000001</v>
      </c>
      <c r="F1899">
        <f t="shared" si="59"/>
        <v>101575</v>
      </c>
      <c r="H1899" s="680">
        <v>19.100000000000001</v>
      </c>
      <c r="I1899" s="680">
        <v>20.56</v>
      </c>
    </row>
    <row r="1900" spans="2:9">
      <c r="B1900" s="396">
        <v>101576</v>
      </c>
      <c r="C1900" s="401" t="s">
        <v>4513</v>
      </c>
      <c r="D1900" s="396" t="s">
        <v>0</v>
      </c>
      <c r="E1900" s="405">
        <f t="shared" si="58"/>
        <v>34.92</v>
      </c>
      <c r="F1900">
        <f t="shared" si="59"/>
        <v>101576</v>
      </c>
      <c r="H1900" s="679">
        <v>34.92</v>
      </c>
      <c r="I1900" s="679">
        <v>36.869999999999997</v>
      </c>
    </row>
    <row r="1901" spans="2:9" ht="30">
      <c r="B1901" s="395">
        <v>101577</v>
      </c>
      <c r="C1901" s="406" t="s">
        <v>4514</v>
      </c>
      <c r="D1901" s="395" t="s">
        <v>0</v>
      </c>
      <c r="E1901" s="407">
        <f t="shared" si="58"/>
        <v>43.79</v>
      </c>
      <c r="F1901">
        <f t="shared" si="59"/>
        <v>101577</v>
      </c>
      <c r="H1901" s="680">
        <v>43.79</v>
      </c>
      <c r="I1901" s="680">
        <v>46.68</v>
      </c>
    </row>
    <row r="1902" spans="2:9">
      <c r="B1902" s="396">
        <v>101578</v>
      </c>
      <c r="C1902" s="401" t="s">
        <v>4515</v>
      </c>
      <c r="D1902" s="396" t="s">
        <v>0</v>
      </c>
      <c r="E1902" s="405">
        <f t="shared" si="58"/>
        <v>29</v>
      </c>
      <c r="F1902">
        <f t="shared" si="59"/>
        <v>101578</v>
      </c>
      <c r="H1902" s="679">
        <v>29</v>
      </c>
      <c r="I1902" s="679">
        <v>30.44</v>
      </c>
    </row>
    <row r="1903" spans="2:9" ht="30">
      <c r="B1903" s="395">
        <v>101579</v>
      </c>
      <c r="C1903" s="406" t="s">
        <v>4516</v>
      </c>
      <c r="D1903" s="395" t="s">
        <v>0</v>
      </c>
      <c r="E1903" s="407">
        <f t="shared" si="58"/>
        <v>37.86</v>
      </c>
      <c r="F1903">
        <f t="shared" si="59"/>
        <v>101579</v>
      </c>
      <c r="H1903" s="680">
        <v>37.86</v>
      </c>
      <c r="I1903" s="680">
        <v>40.26</v>
      </c>
    </row>
    <row r="1904" spans="2:9">
      <c r="B1904" s="396">
        <v>101580</v>
      </c>
      <c r="C1904" s="401" t="s">
        <v>4517</v>
      </c>
      <c r="D1904" s="396" t="s">
        <v>0</v>
      </c>
      <c r="E1904" s="405">
        <f t="shared" si="58"/>
        <v>25.99</v>
      </c>
      <c r="F1904">
        <f t="shared" si="59"/>
        <v>101580</v>
      </c>
      <c r="H1904" s="679">
        <v>25.99</v>
      </c>
      <c r="I1904" s="679">
        <v>26.95</v>
      </c>
    </row>
    <row r="1905" spans="2:9" ht="30">
      <c r="B1905" s="395">
        <v>101581</v>
      </c>
      <c r="C1905" s="406" t="s">
        <v>4518</v>
      </c>
      <c r="D1905" s="395" t="s">
        <v>0</v>
      </c>
      <c r="E1905" s="407">
        <f t="shared" si="58"/>
        <v>35.06</v>
      </c>
      <c r="F1905">
        <f t="shared" si="59"/>
        <v>101581</v>
      </c>
      <c r="H1905" s="680">
        <v>35.06</v>
      </c>
      <c r="I1905" s="680">
        <v>36.950000000000003</v>
      </c>
    </row>
    <row r="1906" spans="2:9">
      <c r="B1906" s="396">
        <v>101582</v>
      </c>
      <c r="C1906" s="401" t="s">
        <v>4519</v>
      </c>
      <c r="D1906" s="396" t="s">
        <v>0</v>
      </c>
      <c r="E1906" s="405">
        <f t="shared" si="58"/>
        <v>57.26</v>
      </c>
      <c r="F1906">
        <f t="shared" si="59"/>
        <v>101582</v>
      </c>
      <c r="H1906" s="679">
        <v>57.26</v>
      </c>
      <c r="I1906" s="679">
        <v>60.35</v>
      </c>
    </row>
    <row r="1907" spans="2:9" ht="30">
      <c r="B1907" s="395">
        <v>101583</v>
      </c>
      <c r="C1907" s="406" t="s">
        <v>4520</v>
      </c>
      <c r="D1907" s="395" t="s">
        <v>0</v>
      </c>
      <c r="E1907" s="407">
        <f t="shared" si="58"/>
        <v>70.959999999999994</v>
      </c>
      <c r="F1907">
        <f t="shared" si="59"/>
        <v>101583</v>
      </c>
      <c r="H1907" s="680">
        <v>70.959999999999994</v>
      </c>
      <c r="I1907" s="680">
        <v>75.540000000000006</v>
      </c>
    </row>
    <row r="1908" spans="2:9">
      <c r="B1908" s="396">
        <v>101584</v>
      </c>
      <c r="C1908" s="401" t="s">
        <v>4521</v>
      </c>
      <c r="D1908" s="396" t="s">
        <v>0</v>
      </c>
      <c r="E1908" s="405">
        <f t="shared" si="58"/>
        <v>47.27</v>
      </c>
      <c r="F1908">
        <f t="shared" si="59"/>
        <v>101584</v>
      </c>
      <c r="H1908" s="679">
        <v>47.27</v>
      </c>
      <c r="I1908" s="679">
        <v>49.56</v>
      </c>
    </row>
    <row r="1909" spans="2:9" ht="30">
      <c r="B1909" s="395">
        <v>101585</v>
      </c>
      <c r="C1909" s="406" t="s">
        <v>4522</v>
      </c>
      <c r="D1909" s="395" t="s">
        <v>0</v>
      </c>
      <c r="E1909" s="407">
        <f t="shared" si="58"/>
        <v>60.96</v>
      </c>
      <c r="F1909">
        <f t="shared" si="59"/>
        <v>101585</v>
      </c>
      <c r="H1909" s="680">
        <v>60.96</v>
      </c>
      <c r="I1909" s="680">
        <v>64.739999999999995</v>
      </c>
    </row>
    <row r="1910" spans="2:9">
      <c r="B1910" s="396">
        <v>101586</v>
      </c>
      <c r="C1910" s="401" t="s">
        <v>4523</v>
      </c>
      <c r="D1910" s="396" t="s">
        <v>0</v>
      </c>
      <c r="E1910" s="405">
        <f t="shared" si="58"/>
        <v>41.33</v>
      </c>
      <c r="F1910">
        <f t="shared" si="59"/>
        <v>101586</v>
      </c>
      <c r="H1910" s="679">
        <v>41.33</v>
      </c>
      <c r="I1910" s="679">
        <v>42.83</v>
      </c>
    </row>
    <row r="1911" spans="2:9" ht="30">
      <c r="B1911" s="395">
        <v>101587</v>
      </c>
      <c r="C1911" s="406" t="s">
        <v>4524</v>
      </c>
      <c r="D1911" s="395" t="s">
        <v>0</v>
      </c>
      <c r="E1911" s="407">
        <f t="shared" si="58"/>
        <v>55.22</v>
      </c>
      <c r="F1911">
        <f t="shared" si="59"/>
        <v>101587</v>
      </c>
      <c r="H1911" s="680">
        <v>55.22</v>
      </c>
      <c r="I1911" s="680">
        <v>58.2</v>
      </c>
    </row>
    <row r="1912" spans="2:9" ht="30">
      <c r="B1912" s="396">
        <v>101588</v>
      </c>
      <c r="C1912" s="401" t="s">
        <v>4525</v>
      </c>
      <c r="D1912" s="396" t="s">
        <v>0</v>
      </c>
      <c r="E1912" s="405">
        <f t="shared" si="58"/>
        <v>82.19</v>
      </c>
      <c r="F1912">
        <f t="shared" si="59"/>
        <v>101588</v>
      </c>
      <c r="H1912" s="679">
        <v>82.19</v>
      </c>
      <c r="I1912" s="679">
        <v>85.85</v>
      </c>
    </row>
    <row r="1913" spans="2:9" ht="30">
      <c r="B1913" s="395">
        <v>101589</v>
      </c>
      <c r="C1913" s="406" t="s">
        <v>4526</v>
      </c>
      <c r="D1913" s="395" t="s">
        <v>0</v>
      </c>
      <c r="E1913" s="407">
        <f t="shared" si="58"/>
        <v>119.77</v>
      </c>
      <c r="F1913">
        <f t="shared" si="59"/>
        <v>101589</v>
      </c>
      <c r="H1913" s="680">
        <v>119.77</v>
      </c>
      <c r="I1913" s="680">
        <v>125.2</v>
      </c>
    </row>
    <row r="1914" spans="2:9" ht="30">
      <c r="B1914" s="396">
        <v>101590</v>
      </c>
      <c r="C1914" s="401" t="s">
        <v>4527</v>
      </c>
      <c r="D1914" s="396" t="s">
        <v>0</v>
      </c>
      <c r="E1914" s="405">
        <f t="shared" si="58"/>
        <v>62.29</v>
      </c>
      <c r="F1914">
        <f t="shared" si="59"/>
        <v>101590</v>
      </c>
      <c r="H1914" s="679">
        <v>62.29</v>
      </c>
      <c r="I1914" s="679">
        <v>65.010000000000005</v>
      </c>
    </row>
    <row r="1915" spans="2:9" ht="30">
      <c r="B1915" s="395">
        <v>101591</v>
      </c>
      <c r="C1915" s="406" t="s">
        <v>4528</v>
      </c>
      <c r="D1915" s="395" t="s">
        <v>0</v>
      </c>
      <c r="E1915" s="407">
        <f t="shared" si="58"/>
        <v>99.86</v>
      </c>
      <c r="F1915">
        <f t="shared" si="59"/>
        <v>101591</v>
      </c>
      <c r="H1915" s="680">
        <v>99.86</v>
      </c>
      <c r="I1915" s="680">
        <v>104.36</v>
      </c>
    </row>
    <row r="1916" spans="2:9" ht="30">
      <c r="B1916" s="396">
        <v>101592</v>
      </c>
      <c r="C1916" s="401" t="s">
        <v>4529</v>
      </c>
      <c r="D1916" s="396" t="s">
        <v>0</v>
      </c>
      <c r="E1916" s="405">
        <f t="shared" si="58"/>
        <v>43.92</v>
      </c>
      <c r="F1916">
        <f t="shared" si="59"/>
        <v>101592</v>
      </c>
      <c r="H1916" s="679">
        <v>43.92</v>
      </c>
      <c r="I1916" s="679">
        <v>45.7</v>
      </c>
    </row>
    <row r="1917" spans="2:9" ht="30">
      <c r="B1917" s="395">
        <v>101593</v>
      </c>
      <c r="C1917" s="406" t="s">
        <v>4530</v>
      </c>
      <c r="D1917" s="395" t="s">
        <v>0</v>
      </c>
      <c r="E1917" s="407">
        <f t="shared" si="58"/>
        <v>81.66</v>
      </c>
      <c r="F1917">
        <f t="shared" si="59"/>
        <v>101593</v>
      </c>
      <c r="H1917" s="680">
        <v>81.66</v>
      </c>
      <c r="I1917" s="680">
        <v>85.2</v>
      </c>
    </row>
    <row r="1918" spans="2:9" ht="30">
      <c r="B1918" s="396">
        <v>101600</v>
      </c>
      <c r="C1918" s="401" t="s">
        <v>4531</v>
      </c>
      <c r="D1918" s="396" t="s">
        <v>0</v>
      </c>
      <c r="E1918" s="405">
        <f t="shared" si="58"/>
        <v>15.33</v>
      </c>
      <c r="F1918">
        <f t="shared" si="59"/>
        <v>101600</v>
      </c>
      <c r="H1918" s="679">
        <v>15.33</v>
      </c>
      <c r="I1918" s="679">
        <v>16.059999999999999</v>
      </c>
    </row>
    <row r="1919" spans="2:9" ht="30">
      <c r="B1919" s="395">
        <v>101601</v>
      </c>
      <c r="C1919" s="406" t="s">
        <v>4532</v>
      </c>
      <c r="D1919" s="395" t="s">
        <v>0</v>
      </c>
      <c r="E1919" s="407">
        <f t="shared" si="58"/>
        <v>22.7</v>
      </c>
      <c r="F1919">
        <f t="shared" si="59"/>
        <v>101601</v>
      </c>
      <c r="H1919" s="680">
        <v>22.7</v>
      </c>
      <c r="I1919" s="680">
        <v>23.77</v>
      </c>
    </row>
    <row r="1920" spans="2:9" ht="30">
      <c r="B1920" s="396">
        <v>101602</v>
      </c>
      <c r="C1920" s="401" t="s">
        <v>4533</v>
      </c>
      <c r="D1920" s="396" t="s">
        <v>0</v>
      </c>
      <c r="E1920" s="405">
        <f t="shared" si="58"/>
        <v>11.36</v>
      </c>
      <c r="F1920">
        <f t="shared" si="59"/>
        <v>101602</v>
      </c>
      <c r="H1920" s="679">
        <v>11.36</v>
      </c>
      <c r="I1920" s="679">
        <v>11.91</v>
      </c>
    </row>
    <row r="1921" spans="2:9" ht="30">
      <c r="B1921" s="395">
        <v>101603</v>
      </c>
      <c r="C1921" s="406" t="s">
        <v>4534</v>
      </c>
      <c r="D1921" s="395" t="s">
        <v>0</v>
      </c>
      <c r="E1921" s="407">
        <f t="shared" si="58"/>
        <v>18.73</v>
      </c>
      <c r="F1921">
        <f t="shared" si="59"/>
        <v>101603</v>
      </c>
      <c r="H1921" s="680">
        <v>18.73</v>
      </c>
      <c r="I1921" s="680">
        <v>19.62</v>
      </c>
    </row>
    <row r="1922" spans="2:9" ht="30">
      <c r="B1922" s="396">
        <v>101604</v>
      </c>
      <c r="C1922" s="401" t="s">
        <v>4535</v>
      </c>
      <c r="D1922" s="396" t="s">
        <v>0</v>
      </c>
      <c r="E1922" s="405">
        <f t="shared" si="58"/>
        <v>7.44</v>
      </c>
      <c r="F1922">
        <f t="shared" si="59"/>
        <v>101604</v>
      </c>
      <c r="H1922" s="679">
        <v>7.44</v>
      </c>
      <c r="I1922" s="679">
        <v>7.78</v>
      </c>
    </row>
    <row r="1923" spans="2:9" ht="30">
      <c r="B1923" s="395">
        <v>101605</v>
      </c>
      <c r="C1923" s="406" t="s">
        <v>4536</v>
      </c>
      <c r="D1923" s="395" t="s">
        <v>0</v>
      </c>
      <c r="E1923" s="407">
        <f t="shared" ref="E1923:E1986" si="60">IF($K$2=$H$1,H1923,I1923)</f>
        <v>14.8</v>
      </c>
      <c r="F1923">
        <f t="shared" ref="F1923:F1986" si="61">IF(LEN($B1923)=7,CONCATENATE(MID($B1923,1,6),"00",RIGHT($B1923,1)),IF(LEN($B1923)=8,CONCATENATE(MID($B1923,1,6),"0",RIGHT($B1923,2)),$B1923))</f>
        <v>101605</v>
      </c>
      <c r="H1923" s="680">
        <v>14.8</v>
      </c>
      <c r="I1923" s="680">
        <v>15.51</v>
      </c>
    </row>
    <row r="1924" spans="2:9" ht="30">
      <c r="B1924" s="396">
        <v>90788</v>
      </c>
      <c r="C1924" s="401" t="s">
        <v>3687</v>
      </c>
      <c r="D1924" s="396" t="s">
        <v>23</v>
      </c>
      <c r="E1924" s="405">
        <f t="shared" si="60"/>
        <v>1055.1500000000001</v>
      </c>
      <c r="F1924">
        <f t="shared" si="61"/>
        <v>90788</v>
      </c>
      <c r="H1924" s="679">
        <v>1055.1500000000001</v>
      </c>
      <c r="I1924" s="679">
        <v>1056.6600000000001</v>
      </c>
    </row>
    <row r="1925" spans="2:9" ht="30">
      <c r="B1925" s="395">
        <v>90789</v>
      </c>
      <c r="C1925" s="406" t="s">
        <v>3688</v>
      </c>
      <c r="D1925" s="395" t="s">
        <v>23</v>
      </c>
      <c r="E1925" s="407">
        <f t="shared" si="60"/>
        <v>1056.56</v>
      </c>
      <c r="F1925">
        <f t="shared" si="61"/>
        <v>90789</v>
      </c>
      <c r="H1925" s="680">
        <v>1056.56</v>
      </c>
      <c r="I1925" s="680">
        <v>1058.22</v>
      </c>
    </row>
    <row r="1926" spans="2:9" ht="30">
      <c r="B1926" s="396">
        <v>90790</v>
      </c>
      <c r="C1926" s="401" t="s">
        <v>3689</v>
      </c>
      <c r="D1926" s="396" t="s">
        <v>23</v>
      </c>
      <c r="E1926" s="405">
        <f t="shared" si="60"/>
        <v>1089.18</v>
      </c>
      <c r="F1926">
        <f t="shared" si="61"/>
        <v>90790</v>
      </c>
      <c r="H1926" s="679">
        <v>1089.18</v>
      </c>
      <c r="I1926" s="679">
        <v>1091</v>
      </c>
    </row>
    <row r="1927" spans="2:9" ht="30">
      <c r="B1927" s="395">
        <v>90791</v>
      </c>
      <c r="C1927" s="406" t="s">
        <v>4537</v>
      </c>
      <c r="D1927" s="395" t="s">
        <v>23</v>
      </c>
      <c r="E1927" s="407">
        <f t="shared" si="60"/>
        <v>1274.5899999999999</v>
      </c>
      <c r="F1927">
        <f t="shared" si="61"/>
        <v>90791</v>
      </c>
      <c r="H1927" s="680">
        <v>1274.5899999999999</v>
      </c>
      <c r="I1927" s="680">
        <v>1277.05</v>
      </c>
    </row>
    <row r="1928" spans="2:9" ht="30">
      <c r="B1928" s="396">
        <v>90793</v>
      </c>
      <c r="C1928" s="401" t="s">
        <v>4538</v>
      </c>
      <c r="D1928" s="396" t="s">
        <v>23</v>
      </c>
      <c r="E1928" s="405">
        <f t="shared" si="60"/>
        <v>1348.95</v>
      </c>
      <c r="F1928">
        <f t="shared" si="61"/>
        <v>90793</v>
      </c>
      <c r="H1928" s="679">
        <v>1348.95</v>
      </c>
      <c r="I1928" s="679">
        <v>1351.99</v>
      </c>
    </row>
    <row r="1929" spans="2:9" ht="30">
      <c r="B1929" s="395">
        <v>90794</v>
      </c>
      <c r="C1929" s="406" t="s">
        <v>4539</v>
      </c>
      <c r="D1929" s="395" t="s">
        <v>23</v>
      </c>
      <c r="E1929" s="407">
        <f t="shared" si="60"/>
        <v>884.51</v>
      </c>
      <c r="F1929">
        <f t="shared" si="61"/>
        <v>90794</v>
      </c>
      <c r="H1929" s="680">
        <v>884.51</v>
      </c>
      <c r="I1929" s="680">
        <v>890.93</v>
      </c>
    </row>
    <row r="1930" spans="2:9" ht="30">
      <c r="B1930" s="396">
        <v>90795</v>
      </c>
      <c r="C1930" s="401" t="s">
        <v>4540</v>
      </c>
      <c r="D1930" s="396" t="s">
        <v>23</v>
      </c>
      <c r="E1930" s="405">
        <f t="shared" si="60"/>
        <v>890.58</v>
      </c>
      <c r="F1930">
        <f t="shared" si="61"/>
        <v>90795</v>
      </c>
      <c r="H1930" s="679">
        <v>890.58</v>
      </c>
      <c r="I1930" s="679">
        <v>897.64</v>
      </c>
    </row>
    <row r="1931" spans="2:9" ht="30">
      <c r="B1931" s="395">
        <v>90796</v>
      </c>
      <c r="C1931" s="406" t="s">
        <v>4541</v>
      </c>
      <c r="D1931" s="395" t="s">
        <v>23</v>
      </c>
      <c r="E1931" s="407">
        <f t="shared" si="60"/>
        <v>896.63</v>
      </c>
      <c r="F1931">
        <f t="shared" si="61"/>
        <v>90796</v>
      </c>
      <c r="H1931" s="680">
        <v>896.63</v>
      </c>
      <c r="I1931" s="680">
        <v>904.37</v>
      </c>
    </row>
    <row r="1932" spans="2:9" ht="30">
      <c r="B1932" s="396">
        <v>90797</v>
      </c>
      <c r="C1932" s="401" t="s">
        <v>4542</v>
      </c>
      <c r="D1932" s="396" t="s">
        <v>23</v>
      </c>
      <c r="E1932" s="405">
        <f t="shared" si="60"/>
        <v>902.69</v>
      </c>
      <c r="F1932">
        <f t="shared" si="61"/>
        <v>90797</v>
      </c>
      <c r="H1932" s="679">
        <v>902.69</v>
      </c>
      <c r="I1932" s="679">
        <v>911.09</v>
      </c>
    </row>
    <row r="1933" spans="2:9" ht="30">
      <c r="B1933" s="395">
        <v>90798</v>
      </c>
      <c r="C1933" s="406" t="s">
        <v>4543</v>
      </c>
      <c r="D1933" s="395" t="s">
        <v>23</v>
      </c>
      <c r="E1933" s="407">
        <f t="shared" si="60"/>
        <v>1325.53</v>
      </c>
      <c r="F1933">
        <f t="shared" si="61"/>
        <v>90798</v>
      </c>
      <c r="H1933" s="680">
        <v>1325.53</v>
      </c>
      <c r="I1933" s="680">
        <v>1334.24</v>
      </c>
    </row>
    <row r="1934" spans="2:9" ht="30">
      <c r="B1934" s="396">
        <v>90799</v>
      </c>
      <c r="C1934" s="401" t="s">
        <v>4544</v>
      </c>
      <c r="D1934" s="396" t="s">
        <v>23</v>
      </c>
      <c r="E1934" s="405">
        <f t="shared" si="60"/>
        <v>1365.77</v>
      </c>
      <c r="F1934">
        <f t="shared" si="61"/>
        <v>90799</v>
      </c>
      <c r="H1934" s="679">
        <v>1365.77</v>
      </c>
      <c r="I1934" s="679">
        <v>1375.22</v>
      </c>
    </row>
    <row r="1935" spans="2:9">
      <c r="B1935" s="395">
        <v>90801</v>
      </c>
      <c r="C1935" s="406" t="s">
        <v>3690</v>
      </c>
      <c r="D1935" s="395" t="s">
        <v>23</v>
      </c>
      <c r="E1935" s="407">
        <f t="shared" si="60"/>
        <v>302.94</v>
      </c>
      <c r="F1935">
        <f t="shared" si="61"/>
        <v>90801</v>
      </c>
      <c r="H1935" s="680">
        <v>302.94</v>
      </c>
      <c r="I1935" s="680">
        <v>311.92</v>
      </c>
    </row>
    <row r="1936" spans="2:9">
      <c r="B1936" s="396">
        <v>90806</v>
      </c>
      <c r="C1936" s="401" t="s">
        <v>6877</v>
      </c>
      <c r="D1936" s="396" t="s">
        <v>23</v>
      </c>
      <c r="E1936" s="405">
        <f t="shared" si="60"/>
        <v>386.61</v>
      </c>
      <c r="F1936">
        <f t="shared" si="61"/>
        <v>90806</v>
      </c>
      <c r="H1936" s="679">
        <v>386.61</v>
      </c>
      <c r="I1936" s="679">
        <v>402.43</v>
      </c>
    </row>
    <row r="1937" spans="2:9" ht="30">
      <c r="B1937" s="395">
        <v>90820</v>
      </c>
      <c r="C1937" s="406" t="s">
        <v>3691</v>
      </c>
      <c r="D1937" s="395" t="s">
        <v>23</v>
      </c>
      <c r="E1937" s="407">
        <f t="shared" si="60"/>
        <v>380.11</v>
      </c>
      <c r="F1937">
        <f t="shared" si="61"/>
        <v>90820</v>
      </c>
      <c r="H1937" s="680">
        <v>380.11</v>
      </c>
      <c r="I1937" s="680">
        <v>384.33</v>
      </c>
    </row>
    <row r="1938" spans="2:9" ht="30">
      <c r="B1938" s="396">
        <v>90821</v>
      </c>
      <c r="C1938" s="401" t="s">
        <v>3692</v>
      </c>
      <c r="D1938" s="396" t="s">
        <v>23</v>
      </c>
      <c r="E1938" s="405">
        <f t="shared" si="60"/>
        <v>386.34</v>
      </c>
      <c r="F1938">
        <f t="shared" si="61"/>
        <v>90821</v>
      </c>
      <c r="H1938" s="679">
        <v>386.34</v>
      </c>
      <c r="I1938" s="679">
        <v>390.98</v>
      </c>
    </row>
    <row r="1939" spans="2:9" ht="30">
      <c r="B1939" s="395">
        <v>90822</v>
      </c>
      <c r="C1939" s="406" t="s">
        <v>3693</v>
      </c>
      <c r="D1939" s="395" t="s">
        <v>23</v>
      </c>
      <c r="E1939" s="407">
        <f t="shared" si="60"/>
        <v>414.5</v>
      </c>
      <c r="F1939">
        <f t="shared" si="61"/>
        <v>90822</v>
      </c>
      <c r="H1939" s="680">
        <v>414.5</v>
      </c>
      <c r="I1939" s="680">
        <v>419.58</v>
      </c>
    </row>
    <row r="1940" spans="2:9" ht="30">
      <c r="B1940" s="396">
        <v>90823</v>
      </c>
      <c r="C1940" s="401" t="s">
        <v>3694</v>
      </c>
      <c r="D1940" s="396" t="s">
        <v>23</v>
      </c>
      <c r="E1940" s="405">
        <f t="shared" si="60"/>
        <v>514.82000000000005</v>
      </c>
      <c r="F1940">
        <f t="shared" si="61"/>
        <v>90823</v>
      </c>
      <c r="H1940" s="679">
        <v>514.82000000000005</v>
      </c>
      <c r="I1940" s="679">
        <v>520.34</v>
      </c>
    </row>
    <row r="1941" spans="2:9" ht="30">
      <c r="B1941" s="395">
        <v>90824</v>
      </c>
      <c r="C1941" s="406" t="s">
        <v>3695</v>
      </c>
      <c r="D1941" s="395" t="s">
        <v>23</v>
      </c>
      <c r="E1941" s="407">
        <f t="shared" si="60"/>
        <v>743.63</v>
      </c>
      <c r="F1941">
        <f t="shared" si="61"/>
        <v>90824</v>
      </c>
      <c r="H1941" s="680">
        <v>743.63</v>
      </c>
      <c r="I1941" s="680">
        <v>750.67</v>
      </c>
    </row>
    <row r="1942" spans="2:9" ht="30">
      <c r="B1942" s="396">
        <v>90825</v>
      </c>
      <c r="C1942" s="401" t="s">
        <v>3696</v>
      </c>
      <c r="D1942" s="396" t="s">
        <v>23</v>
      </c>
      <c r="E1942" s="405">
        <f t="shared" si="60"/>
        <v>830.05</v>
      </c>
      <c r="F1942">
        <f t="shared" si="61"/>
        <v>90825</v>
      </c>
      <c r="H1942" s="679">
        <v>830.05</v>
      </c>
      <c r="I1942" s="679">
        <v>837.7</v>
      </c>
    </row>
    <row r="1943" spans="2:9" ht="30">
      <c r="B1943" s="395">
        <v>90830</v>
      </c>
      <c r="C1943" s="406" t="s">
        <v>3697</v>
      </c>
      <c r="D1943" s="395" t="s">
        <v>23</v>
      </c>
      <c r="E1943" s="407">
        <f t="shared" si="60"/>
        <v>185.91</v>
      </c>
      <c r="F1943">
        <f t="shared" si="61"/>
        <v>90830</v>
      </c>
      <c r="H1943" s="680">
        <v>185.91</v>
      </c>
      <c r="I1943" s="680">
        <v>189.2</v>
      </c>
    </row>
    <row r="1944" spans="2:9" ht="30">
      <c r="B1944" s="396">
        <v>90831</v>
      </c>
      <c r="C1944" s="401" t="s">
        <v>3698</v>
      </c>
      <c r="D1944" s="396" t="s">
        <v>23</v>
      </c>
      <c r="E1944" s="405">
        <f t="shared" si="60"/>
        <v>164.34</v>
      </c>
      <c r="F1944">
        <f t="shared" si="61"/>
        <v>90831</v>
      </c>
      <c r="H1944" s="679">
        <v>164.34</v>
      </c>
      <c r="I1944" s="679">
        <v>166.87</v>
      </c>
    </row>
    <row r="1945" spans="2:9" ht="45">
      <c r="B1945" s="395">
        <v>90841</v>
      </c>
      <c r="C1945" s="406" t="s">
        <v>3699</v>
      </c>
      <c r="D1945" s="395" t="s">
        <v>23</v>
      </c>
      <c r="E1945" s="407">
        <f t="shared" si="60"/>
        <v>1041.74</v>
      </c>
      <c r="F1945">
        <f t="shared" si="61"/>
        <v>90841</v>
      </c>
      <c r="H1945" s="680">
        <v>1041.74</v>
      </c>
      <c r="I1945" s="680">
        <v>1066.43</v>
      </c>
    </row>
    <row r="1946" spans="2:9" ht="45">
      <c r="B1946" s="396">
        <v>90842</v>
      </c>
      <c r="C1946" s="401" t="s">
        <v>3700</v>
      </c>
      <c r="D1946" s="396" t="s">
        <v>23</v>
      </c>
      <c r="E1946" s="405">
        <f t="shared" si="60"/>
        <v>1050.28</v>
      </c>
      <c r="F1946">
        <f t="shared" si="61"/>
        <v>90842</v>
      </c>
      <c r="H1946" s="679">
        <v>1050.28</v>
      </c>
      <c r="I1946" s="679">
        <v>1075.43</v>
      </c>
    </row>
    <row r="1947" spans="2:9" ht="45">
      <c r="B1947" s="395">
        <v>90843</v>
      </c>
      <c r="C1947" s="406" t="s">
        <v>3701</v>
      </c>
      <c r="D1947" s="395" t="s">
        <v>23</v>
      </c>
      <c r="E1947" s="407">
        <f t="shared" si="60"/>
        <v>1102.32</v>
      </c>
      <c r="F1947">
        <f t="shared" si="61"/>
        <v>90843</v>
      </c>
      <c r="H1947" s="680">
        <v>1102.32</v>
      </c>
      <c r="I1947" s="680">
        <v>1128.71</v>
      </c>
    </row>
    <row r="1948" spans="2:9" ht="45">
      <c r="B1948" s="396">
        <v>90844</v>
      </c>
      <c r="C1948" s="401" t="s">
        <v>3702</v>
      </c>
      <c r="D1948" s="396" t="s">
        <v>23</v>
      </c>
      <c r="E1948" s="405">
        <f t="shared" si="60"/>
        <v>1204.94</v>
      </c>
      <c r="F1948">
        <f t="shared" si="61"/>
        <v>90844</v>
      </c>
      <c r="H1948" s="679">
        <v>1204.94</v>
      </c>
      <c r="I1948" s="679">
        <v>1231.82</v>
      </c>
    </row>
    <row r="1949" spans="2:9" ht="45">
      <c r="B1949" s="395">
        <v>90845</v>
      </c>
      <c r="C1949" s="406" t="s">
        <v>4294</v>
      </c>
      <c r="D1949" s="395" t="s">
        <v>23</v>
      </c>
      <c r="E1949" s="407">
        <f t="shared" si="60"/>
        <v>1431.45</v>
      </c>
      <c r="F1949">
        <f t="shared" si="61"/>
        <v>90845</v>
      </c>
      <c r="H1949" s="680">
        <v>1431.45</v>
      </c>
      <c r="I1949" s="680">
        <v>1459.8</v>
      </c>
    </row>
    <row r="1950" spans="2:9" ht="45">
      <c r="B1950" s="396">
        <v>90846</v>
      </c>
      <c r="C1950" s="401" t="s">
        <v>4295</v>
      </c>
      <c r="D1950" s="396" t="s">
        <v>23</v>
      </c>
      <c r="E1950" s="405">
        <f t="shared" si="60"/>
        <v>1520.17</v>
      </c>
      <c r="F1950">
        <f t="shared" si="61"/>
        <v>90846</v>
      </c>
      <c r="H1950" s="679">
        <v>1520.17</v>
      </c>
      <c r="I1950" s="679">
        <v>1549.18</v>
      </c>
    </row>
    <row r="1951" spans="2:9" ht="30">
      <c r="B1951" s="395">
        <v>90847</v>
      </c>
      <c r="C1951" s="406" t="s">
        <v>3703</v>
      </c>
      <c r="D1951" s="395" t="s">
        <v>23</v>
      </c>
      <c r="E1951" s="407">
        <f t="shared" si="60"/>
        <v>877.4</v>
      </c>
      <c r="F1951">
        <f t="shared" si="61"/>
        <v>90847</v>
      </c>
      <c r="H1951" s="680">
        <v>877.4</v>
      </c>
      <c r="I1951" s="680">
        <v>899.56</v>
      </c>
    </row>
    <row r="1952" spans="2:9" ht="30">
      <c r="B1952" s="396">
        <v>90848</v>
      </c>
      <c r="C1952" s="401" t="s">
        <v>3704</v>
      </c>
      <c r="D1952" s="396" t="s">
        <v>23</v>
      </c>
      <c r="E1952" s="405">
        <f t="shared" si="60"/>
        <v>885.94</v>
      </c>
      <c r="F1952">
        <f t="shared" si="61"/>
        <v>90848</v>
      </c>
      <c r="H1952" s="679">
        <v>885.94</v>
      </c>
      <c r="I1952" s="679">
        <v>908.56</v>
      </c>
    </row>
    <row r="1953" spans="2:9" ht="30">
      <c r="B1953" s="395">
        <v>90849</v>
      </c>
      <c r="C1953" s="406" t="s">
        <v>3705</v>
      </c>
      <c r="D1953" s="395" t="s">
        <v>23</v>
      </c>
      <c r="E1953" s="407">
        <f t="shared" si="60"/>
        <v>916.41</v>
      </c>
      <c r="F1953">
        <f t="shared" si="61"/>
        <v>90849</v>
      </c>
      <c r="H1953" s="680">
        <v>916.41</v>
      </c>
      <c r="I1953" s="680">
        <v>939.51</v>
      </c>
    </row>
    <row r="1954" spans="2:9" ht="30">
      <c r="B1954" s="396">
        <v>90850</v>
      </c>
      <c r="C1954" s="401" t="s">
        <v>3706</v>
      </c>
      <c r="D1954" s="396" t="s">
        <v>23</v>
      </c>
      <c r="E1954" s="405">
        <f t="shared" si="60"/>
        <v>1019.03</v>
      </c>
      <c r="F1954">
        <f t="shared" si="61"/>
        <v>90850</v>
      </c>
      <c r="H1954" s="679">
        <v>1019.03</v>
      </c>
      <c r="I1954" s="679">
        <v>1042.6199999999999</v>
      </c>
    </row>
    <row r="1955" spans="2:9" ht="45">
      <c r="B1955" s="395">
        <v>90851</v>
      </c>
      <c r="C1955" s="406" t="s">
        <v>4296</v>
      </c>
      <c r="D1955" s="395" t="s">
        <v>23</v>
      </c>
      <c r="E1955" s="407">
        <f t="shared" si="60"/>
        <v>1245.54</v>
      </c>
      <c r="F1955">
        <f t="shared" si="61"/>
        <v>90851</v>
      </c>
      <c r="H1955" s="680">
        <v>1245.54</v>
      </c>
      <c r="I1955" s="680">
        <v>1270.5999999999999</v>
      </c>
    </row>
    <row r="1956" spans="2:9" ht="45">
      <c r="B1956" s="396">
        <v>90852</v>
      </c>
      <c r="C1956" s="401" t="s">
        <v>4297</v>
      </c>
      <c r="D1956" s="396" t="s">
        <v>23</v>
      </c>
      <c r="E1956" s="405">
        <f t="shared" si="60"/>
        <v>1334.26</v>
      </c>
      <c r="F1956">
        <f t="shared" si="61"/>
        <v>90852</v>
      </c>
      <c r="H1956" s="679">
        <v>1334.26</v>
      </c>
      <c r="I1956" s="679">
        <v>1359.98</v>
      </c>
    </row>
    <row r="1957" spans="2:9" ht="30">
      <c r="B1957" s="395">
        <v>91009</v>
      </c>
      <c r="C1957" s="406" t="s">
        <v>3707</v>
      </c>
      <c r="D1957" s="395" t="s">
        <v>23</v>
      </c>
      <c r="E1957" s="407">
        <f t="shared" si="60"/>
        <v>394.56</v>
      </c>
      <c r="F1957">
        <f t="shared" si="61"/>
        <v>91009</v>
      </c>
      <c r="H1957" s="680">
        <v>394.56</v>
      </c>
      <c r="I1957" s="680">
        <v>398.78</v>
      </c>
    </row>
    <row r="1958" spans="2:9" ht="30">
      <c r="B1958" s="396">
        <v>91010</v>
      </c>
      <c r="C1958" s="401" t="s">
        <v>3708</v>
      </c>
      <c r="D1958" s="396" t="s">
        <v>23</v>
      </c>
      <c r="E1958" s="405">
        <f t="shared" si="60"/>
        <v>401.47</v>
      </c>
      <c r="F1958">
        <f t="shared" si="61"/>
        <v>91010</v>
      </c>
      <c r="H1958" s="679">
        <v>401.47</v>
      </c>
      <c r="I1958" s="679">
        <v>406.11</v>
      </c>
    </row>
    <row r="1959" spans="2:9" ht="30">
      <c r="B1959" s="395">
        <v>91011</v>
      </c>
      <c r="C1959" s="406" t="s">
        <v>3709</v>
      </c>
      <c r="D1959" s="395" t="s">
        <v>23</v>
      </c>
      <c r="E1959" s="407">
        <f t="shared" si="60"/>
        <v>473.15</v>
      </c>
      <c r="F1959">
        <f t="shared" si="61"/>
        <v>91011</v>
      </c>
      <c r="H1959" s="680">
        <v>473.15</v>
      </c>
      <c r="I1959" s="680">
        <v>478.23</v>
      </c>
    </row>
    <row r="1960" spans="2:9" ht="30">
      <c r="B1960" s="396">
        <v>91012</v>
      </c>
      <c r="C1960" s="401" t="s">
        <v>3710</v>
      </c>
      <c r="D1960" s="396" t="s">
        <v>23</v>
      </c>
      <c r="E1960" s="405">
        <f t="shared" si="60"/>
        <v>527.62</v>
      </c>
      <c r="F1960">
        <f t="shared" si="61"/>
        <v>91012</v>
      </c>
      <c r="H1960" s="679">
        <v>527.62</v>
      </c>
      <c r="I1960" s="679">
        <v>533.14</v>
      </c>
    </row>
    <row r="1961" spans="2:9" ht="30">
      <c r="B1961" s="395">
        <v>91013</v>
      </c>
      <c r="C1961" s="406" t="s">
        <v>3711</v>
      </c>
      <c r="D1961" s="395" t="s">
        <v>23</v>
      </c>
      <c r="E1961" s="407">
        <f t="shared" si="60"/>
        <v>891.85</v>
      </c>
      <c r="F1961">
        <f t="shared" si="61"/>
        <v>91013</v>
      </c>
      <c r="H1961" s="680">
        <v>891.85</v>
      </c>
      <c r="I1961" s="680">
        <v>914.01</v>
      </c>
    </row>
    <row r="1962" spans="2:9" ht="30">
      <c r="B1962" s="396">
        <v>91014</v>
      </c>
      <c r="C1962" s="401" t="s">
        <v>3712</v>
      </c>
      <c r="D1962" s="396" t="s">
        <v>23</v>
      </c>
      <c r="E1962" s="405">
        <f t="shared" si="60"/>
        <v>901.07</v>
      </c>
      <c r="F1962">
        <f t="shared" si="61"/>
        <v>91014</v>
      </c>
      <c r="H1962" s="679">
        <v>901.07</v>
      </c>
      <c r="I1962" s="679">
        <v>923.69</v>
      </c>
    </row>
    <row r="1963" spans="2:9" ht="30">
      <c r="B1963" s="395">
        <v>91015</v>
      </c>
      <c r="C1963" s="406" t="s">
        <v>3713</v>
      </c>
      <c r="D1963" s="395" t="s">
        <v>23</v>
      </c>
      <c r="E1963" s="407">
        <f t="shared" si="60"/>
        <v>975.06</v>
      </c>
      <c r="F1963">
        <f t="shared" si="61"/>
        <v>91015</v>
      </c>
      <c r="H1963" s="680">
        <v>975.06</v>
      </c>
      <c r="I1963" s="680">
        <v>998.16</v>
      </c>
    </row>
    <row r="1964" spans="2:9" ht="30">
      <c r="B1964" s="396">
        <v>91016</v>
      </c>
      <c r="C1964" s="401" t="s">
        <v>3714</v>
      </c>
      <c r="D1964" s="396" t="s">
        <v>23</v>
      </c>
      <c r="E1964" s="405">
        <f t="shared" si="60"/>
        <v>1031.83</v>
      </c>
      <c r="F1964">
        <f t="shared" si="61"/>
        <v>91016</v>
      </c>
      <c r="H1964" s="679">
        <v>1031.83</v>
      </c>
      <c r="I1964" s="679">
        <v>1055.42</v>
      </c>
    </row>
    <row r="1965" spans="2:9">
      <c r="B1965" s="395">
        <v>91287</v>
      </c>
      <c r="C1965" s="406" t="s">
        <v>3715</v>
      </c>
      <c r="D1965" s="395" t="s">
        <v>23</v>
      </c>
      <c r="E1965" s="407">
        <f t="shared" si="60"/>
        <v>218.75</v>
      </c>
      <c r="F1965">
        <f t="shared" si="61"/>
        <v>91287</v>
      </c>
      <c r="H1965" s="680">
        <v>218.75</v>
      </c>
      <c r="I1965" s="680">
        <v>227.76</v>
      </c>
    </row>
    <row r="1966" spans="2:9">
      <c r="B1966" s="396">
        <v>91292</v>
      </c>
      <c r="C1966" s="401" t="s">
        <v>6878</v>
      </c>
      <c r="D1966" s="396" t="s">
        <v>23</v>
      </c>
      <c r="E1966" s="405">
        <f t="shared" si="60"/>
        <v>302.42</v>
      </c>
      <c r="F1966">
        <f t="shared" si="61"/>
        <v>91292</v>
      </c>
      <c r="H1966" s="679">
        <v>302.42</v>
      </c>
      <c r="I1966" s="679">
        <v>318.27</v>
      </c>
    </row>
    <row r="1967" spans="2:9" ht="30">
      <c r="B1967" s="395">
        <v>91295</v>
      </c>
      <c r="C1967" s="406" t="s">
        <v>3716</v>
      </c>
      <c r="D1967" s="395" t="s">
        <v>23</v>
      </c>
      <c r="E1967" s="407">
        <f t="shared" si="60"/>
        <v>407.06</v>
      </c>
      <c r="F1967">
        <f t="shared" si="61"/>
        <v>91295</v>
      </c>
      <c r="H1967" s="680">
        <v>407.06</v>
      </c>
      <c r="I1967" s="680">
        <v>411.28</v>
      </c>
    </row>
    <row r="1968" spans="2:9" ht="30">
      <c r="B1968" s="396">
        <v>91296</v>
      </c>
      <c r="C1968" s="401" t="s">
        <v>3717</v>
      </c>
      <c r="D1968" s="396" t="s">
        <v>23</v>
      </c>
      <c r="E1968" s="405">
        <f t="shared" si="60"/>
        <v>436.42</v>
      </c>
      <c r="F1968">
        <f t="shared" si="61"/>
        <v>91296</v>
      </c>
      <c r="H1968" s="679">
        <v>436.42</v>
      </c>
      <c r="I1968" s="679">
        <v>441.06</v>
      </c>
    </row>
    <row r="1969" spans="2:9" ht="30">
      <c r="B1969" s="395">
        <v>91297</v>
      </c>
      <c r="C1969" s="406" t="s">
        <v>3718</v>
      </c>
      <c r="D1969" s="395" t="s">
        <v>23</v>
      </c>
      <c r="E1969" s="407">
        <f t="shared" si="60"/>
        <v>481.48</v>
      </c>
      <c r="F1969">
        <f t="shared" si="61"/>
        <v>91297</v>
      </c>
      <c r="H1969" s="680">
        <v>481.48</v>
      </c>
      <c r="I1969" s="680">
        <v>486.56</v>
      </c>
    </row>
    <row r="1970" spans="2:9" ht="30">
      <c r="B1970" s="396">
        <v>91298</v>
      </c>
      <c r="C1970" s="401" t="s">
        <v>3719</v>
      </c>
      <c r="D1970" s="396" t="s">
        <v>23</v>
      </c>
      <c r="E1970" s="405">
        <f t="shared" si="60"/>
        <v>778.99</v>
      </c>
      <c r="F1970">
        <f t="shared" si="61"/>
        <v>91298</v>
      </c>
      <c r="H1970" s="679">
        <v>778.99</v>
      </c>
      <c r="I1970" s="679">
        <v>784.07</v>
      </c>
    </row>
    <row r="1971" spans="2:9" ht="30">
      <c r="B1971" s="395">
        <v>91299</v>
      </c>
      <c r="C1971" s="406" t="s">
        <v>3720</v>
      </c>
      <c r="D1971" s="395" t="s">
        <v>23</v>
      </c>
      <c r="E1971" s="407">
        <f t="shared" si="60"/>
        <v>1083.6199999999999</v>
      </c>
      <c r="F1971">
        <f t="shared" si="61"/>
        <v>91299</v>
      </c>
      <c r="H1971" s="680">
        <v>1083.6199999999999</v>
      </c>
      <c r="I1971" s="680">
        <v>1090.6600000000001</v>
      </c>
    </row>
    <row r="1972" spans="2:9" ht="30">
      <c r="B1972" s="396">
        <v>91304</v>
      </c>
      <c r="C1972" s="401" t="s">
        <v>3721</v>
      </c>
      <c r="D1972" s="396" t="s">
        <v>23</v>
      </c>
      <c r="E1972" s="405">
        <f t="shared" si="60"/>
        <v>108.47</v>
      </c>
      <c r="F1972">
        <f t="shared" si="61"/>
        <v>91304</v>
      </c>
      <c r="H1972" s="679">
        <v>108.47</v>
      </c>
      <c r="I1972" s="679">
        <v>111.76</v>
      </c>
    </row>
    <row r="1973" spans="2:9" ht="30">
      <c r="B1973" s="395">
        <v>91305</v>
      </c>
      <c r="C1973" s="406" t="s">
        <v>3722</v>
      </c>
      <c r="D1973" s="395" t="s">
        <v>23</v>
      </c>
      <c r="E1973" s="407">
        <f t="shared" si="60"/>
        <v>111.06</v>
      </c>
      <c r="F1973">
        <f t="shared" si="61"/>
        <v>91305</v>
      </c>
      <c r="H1973" s="680">
        <v>111.06</v>
      </c>
      <c r="I1973" s="680">
        <v>113.59</v>
      </c>
    </row>
    <row r="1974" spans="2:9" ht="30">
      <c r="B1974" s="396">
        <v>91306</v>
      </c>
      <c r="C1974" s="401" t="s">
        <v>3723</v>
      </c>
      <c r="D1974" s="396" t="s">
        <v>23</v>
      </c>
      <c r="E1974" s="405">
        <f t="shared" si="60"/>
        <v>164.34</v>
      </c>
      <c r="F1974">
        <f t="shared" si="61"/>
        <v>91306</v>
      </c>
      <c r="H1974" s="679">
        <v>164.34</v>
      </c>
      <c r="I1974" s="679">
        <v>166.87</v>
      </c>
    </row>
    <row r="1975" spans="2:9" ht="30">
      <c r="B1975" s="395">
        <v>91307</v>
      </c>
      <c r="C1975" s="406" t="s">
        <v>3724</v>
      </c>
      <c r="D1975" s="395" t="s">
        <v>23</v>
      </c>
      <c r="E1975" s="407">
        <f t="shared" si="60"/>
        <v>93.08</v>
      </c>
      <c r="F1975">
        <f t="shared" si="61"/>
        <v>91307</v>
      </c>
      <c r="H1975" s="680">
        <v>93.08</v>
      </c>
      <c r="I1975" s="680">
        <v>95.61</v>
      </c>
    </row>
    <row r="1976" spans="2:9" ht="45">
      <c r="B1976" s="396">
        <v>91312</v>
      </c>
      <c r="C1976" s="401" t="s">
        <v>3725</v>
      </c>
      <c r="D1976" s="396" t="s">
        <v>23</v>
      </c>
      <c r="E1976" s="405">
        <f t="shared" si="60"/>
        <v>867.99</v>
      </c>
      <c r="F1976">
        <f t="shared" si="61"/>
        <v>91312</v>
      </c>
      <c r="H1976" s="679">
        <v>867.99</v>
      </c>
      <c r="I1976" s="679">
        <v>892.7</v>
      </c>
    </row>
    <row r="1977" spans="2:9" ht="45">
      <c r="B1977" s="395">
        <v>91313</v>
      </c>
      <c r="C1977" s="406" t="s">
        <v>3726</v>
      </c>
      <c r="D1977" s="395" t="s">
        <v>23</v>
      </c>
      <c r="E1977" s="407">
        <f t="shared" si="60"/>
        <v>857.79</v>
      </c>
      <c r="F1977">
        <f t="shared" si="61"/>
        <v>91313</v>
      </c>
      <c r="H1977" s="680">
        <v>857.79</v>
      </c>
      <c r="I1977" s="680">
        <v>882.96</v>
      </c>
    </row>
    <row r="1978" spans="2:9" ht="45">
      <c r="B1978" s="396">
        <v>91314</v>
      </c>
      <c r="C1978" s="401" t="s">
        <v>3727</v>
      </c>
      <c r="D1978" s="396" t="s">
        <v>23</v>
      </c>
      <c r="E1978" s="405">
        <f t="shared" si="60"/>
        <v>902.89</v>
      </c>
      <c r="F1978">
        <f t="shared" si="61"/>
        <v>91314</v>
      </c>
      <c r="H1978" s="679">
        <v>902.89</v>
      </c>
      <c r="I1978" s="679">
        <v>929.31</v>
      </c>
    </row>
    <row r="1979" spans="2:9" ht="45">
      <c r="B1979" s="395">
        <v>91315</v>
      </c>
      <c r="C1979" s="406" t="s">
        <v>3728</v>
      </c>
      <c r="D1979" s="395" t="s">
        <v>23</v>
      </c>
      <c r="E1979" s="407">
        <f t="shared" si="60"/>
        <v>1004.76</v>
      </c>
      <c r="F1979">
        <f t="shared" si="61"/>
        <v>91315</v>
      </c>
      <c r="H1979" s="680">
        <v>1004.76</v>
      </c>
      <c r="I1979" s="680">
        <v>1031.6600000000001</v>
      </c>
    </row>
    <row r="1980" spans="2:9" ht="45">
      <c r="B1980" s="396">
        <v>91316</v>
      </c>
      <c r="C1980" s="401" t="s">
        <v>4298</v>
      </c>
      <c r="D1980" s="396" t="s">
        <v>23</v>
      </c>
      <c r="E1980" s="405">
        <f t="shared" si="60"/>
        <v>1232.02</v>
      </c>
      <c r="F1980">
        <f t="shared" si="61"/>
        <v>91316</v>
      </c>
      <c r="H1980" s="679">
        <v>1232.02</v>
      </c>
      <c r="I1980" s="679">
        <v>1260.4000000000001</v>
      </c>
    </row>
    <row r="1981" spans="2:9" ht="45">
      <c r="B1981" s="395">
        <v>91317</v>
      </c>
      <c r="C1981" s="406" t="s">
        <v>4299</v>
      </c>
      <c r="D1981" s="395" t="s">
        <v>23</v>
      </c>
      <c r="E1981" s="407">
        <f t="shared" si="60"/>
        <v>1319.99</v>
      </c>
      <c r="F1981">
        <f t="shared" si="61"/>
        <v>91317</v>
      </c>
      <c r="H1981" s="680">
        <v>1319.99</v>
      </c>
      <c r="I1981" s="680">
        <v>1349.02</v>
      </c>
    </row>
    <row r="1982" spans="2:9" ht="30">
      <c r="B1982" s="396">
        <v>91318</v>
      </c>
      <c r="C1982" s="401" t="s">
        <v>3729</v>
      </c>
      <c r="D1982" s="396" t="s">
        <v>23</v>
      </c>
      <c r="E1982" s="405">
        <f t="shared" si="60"/>
        <v>756.93</v>
      </c>
      <c r="F1982">
        <f t="shared" si="61"/>
        <v>91318</v>
      </c>
      <c r="H1982" s="679">
        <v>756.93</v>
      </c>
      <c r="I1982" s="679">
        <v>779.11</v>
      </c>
    </row>
    <row r="1983" spans="2:9" ht="30">
      <c r="B1983" s="395">
        <v>91319</v>
      </c>
      <c r="C1983" s="406" t="s">
        <v>3730</v>
      </c>
      <c r="D1983" s="395" t="s">
        <v>23</v>
      </c>
      <c r="E1983" s="407">
        <f t="shared" si="60"/>
        <v>764.71</v>
      </c>
      <c r="F1983">
        <f t="shared" si="61"/>
        <v>91319</v>
      </c>
      <c r="H1983" s="680">
        <v>764.71</v>
      </c>
      <c r="I1983" s="680">
        <v>787.35</v>
      </c>
    </row>
    <row r="1984" spans="2:9" ht="30">
      <c r="B1984" s="396">
        <v>91320</v>
      </c>
      <c r="C1984" s="401" t="s">
        <v>3731</v>
      </c>
      <c r="D1984" s="396" t="s">
        <v>23</v>
      </c>
      <c r="E1984" s="405">
        <f t="shared" si="60"/>
        <v>794.42</v>
      </c>
      <c r="F1984">
        <f t="shared" si="61"/>
        <v>91320</v>
      </c>
      <c r="H1984" s="679">
        <v>794.42</v>
      </c>
      <c r="I1984" s="679">
        <v>817.55</v>
      </c>
    </row>
    <row r="1985" spans="2:9" ht="30">
      <c r="B1985" s="395">
        <v>91321</v>
      </c>
      <c r="C1985" s="406" t="s">
        <v>3732</v>
      </c>
      <c r="D1985" s="395" t="s">
        <v>23</v>
      </c>
      <c r="E1985" s="407">
        <f t="shared" si="60"/>
        <v>896.29</v>
      </c>
      <c r="F1985">
        <f t="shared" si="61"/>
        <v>91321</v>
      </c>
      <c r="H1985" s="680">
        <v>896.29</v>
      </c>
      <c r="I1985" s="680">
        <v>919.9</v>
      </c>
    </row>
    <row r="1986" spans="2:9" ht="45">
      <c r="B1986" s="396">
        <v>91322</v>
      </c>
      <c r="C1986" s="401" t="s">
        <v>4300</v>
      </c>
      <c r="D1986" s="396" t="s">
        <v>23</v>
      </c>
      <c r="E1986" s="405">
        <f t="shared" si="60"/>
        <v>1123.55</v>
      </c>
      <c r="F1986">
        <f t="shared" si="61"/>
        <v>91322</v>
      </c>
      <c r="H1986" s="679">
        <v>1123.55</v>
      </c>
      <c r="I1986" s="679">
        <v>1148.6400000000001</v>
      </c>
    </row>
    <row r="1987" spans="2:9" ht="45">
      <c r="B1987" s="395">
        <v>91323</v>
      </c>
      <c r="C1987" s="406" t="s">
        <v>4301</v>
      </c>
      <c r="D1987" s="395" t="s">
        <v>23</v>
      </c>
      <c r="E1987" s="407">
        <f t="shared" ref="E1987:E2050" si="62">IF($K$2=$H$1,H1987,I1987)</f>
        <v>1211.52</v>
      </c>
      <c r="F1987">
        <f t="shared" ref="F1987:F2050" si="63">IF(LEN($B1987)=7,CONCATENATE(MID($B1987,1,6),"00",RIGHT($B1987,1)),IF(LEN($B1987)=8,CONCATENATE(MID($B1987,1,6),"0",RIGHT($B1987,2)),$B1987))</f>
        <v>91323</v>
      </c>
      <c r="H1987" s="680">
        <v>1211.52</v>
      </c>
      <c r="I1987" s="680">
        <v>1237.26</v>
      </c>
    </row>
    <row r="1988" spans="2:9" ht="30">
      <c r="B1988" s="396">
        <v>91324</v>
      </c>
      <c r="C1988" s="401" t="s">
        <v>3733</v>
      </c>
      <c r="D1988" s="396" t="s">
        <v>23</v>
      </c>
      <c r="E1988" s="405">
        <f t="shared" si="62"/>
        <v>771.38</v>
      </c>
      <c r="F1988">
        <f t="shared" si="63"/>
        <v>91324</v>
      </c>
      <c r="H1988" s="679">
        <v>771.38</v>
      </c>
      <c r="I1988" s="679">
        <v>793.56</v>
      </c>
    </row>
    <row r="1989" spans="2:9" ht="30">
      <c r="B1989" s="395">
        <v>91325</v>
      </c>
      <c r="C1989" s="406" t="s">
        <v>3734</v>
      </c>
      <c r="D1989" s="395" t="s">
        <v>23</v>
      </c>
      <c r="E1989" s="407">
        <f t="shared" si="62"/>
        <v>779.84</v>
      </c>
      <c r="F1989">
        <f t="shared" si="63"/>
        <v>91325</v>
      </c>
      <c r="H1989" s="680">
        <v>779.84</v>
      </c>
      <c r="I1989" s="680">
        <v>802.48</v>
      </c>
    </row>
    <row r="1990" spans="2:9" ht="30">
      <c r="B1990" s="396">
        <v>91326</v>
      </c>
      <c r="C1990" s="401" t="s">
        <v>3735</v>
      </c>
      <c r="D1990" s="396" t="s">
        <v>23</v>
      </c>
      <c r="E1990" s="405">
        <f t="shared" si="62"/>
        <v>853.07</v>
      </c>
      <c r="F1990">
        <f t="shared" si="63"/>
        <v>91326</v>
      </c>
      <c r="H1990" s="679">
        <v>853.07</v>
      </c>
      <c r="I1990" s="679">
        <v>876.2</v>
      </c>
    </row>
    <row r="1991" spans="2:9" ht="30">
      <c r="B1991" s="395">
        <v>91327</v>
      </c>
      <c r="C1991" s="406" t="s">
        <v>3736</v>
      </c>
      <c r="D1991" s="395" t="s">
        <v>23</v>
      </c>
      <c r="E1991" s="407">
        <f t="shared" si="62"/>
        <v>909.09</v>
      </c>
      <c r="F1991">
        <f t="shared" si="63"/>
        <v>91327</v>
      </c>
      <c r="H1991" s="680">
        <v>909.09</v>
      </c>
      <c r="I1991" s="680">
        <v>932.7</v>
      </c>
    </row>
    <row r="1992" spans="2:9" ht="30">
      <c r="B1992" s="396">
        <v>91328</v>
      </c>
      <c r="C1992" s="401" t="s">
        <v>3737</v>
      </c>
      <c r="D1992" s="396" t="s">
        <v>23</v>
      </c>
      <c r="E1992" s="405">
        <f t="shared" si="62"/>
        <v>904.35</v>
      </c>
      <c r="F1992">
        <f t="shared" si="63"/>
        <v>91328</v>
      </c>
      <c r="H1992" s="679">
        <v>904.35</v>
      </c>
      <c r="I1992" s="679">
        <v>926.51</v>
      </c>
    </row>
    <row r="1993" spans="2:9" ht="30">
      <c r="B1993" s="395">
        <v>91329</v>
      </c>
      <c r="C1993" s="406" t="s">
        <v>3738</v>
      </c>
      <c r="D1993" s="395" t="s">
        <v>23</v>
      </c>
      <c r="E1993" s="407">
        <f t="shared" si="62"/>
        <v>783.88</v>
      </c>
      <c r="F1993">
        <f t="shared" si="63"/>
        <v>91329</v>
      </c>
      <c r="H1993" s="680">
        <v>783.88</v>
      </c>
      <c r="I1993" s="680">
        <v>806.06</v>
      </c>
    </row>
    <row r="1994" spans="2:9" ht="30">
      <c r="B1994" s="396">
        <v>91330</v>
      </c>
      <c r="C1994" s="401" t="s">
        <v>3739</v>
      </c>
      <c r="D1994" s="396" t="s">
        <v>23</v>
      </c>
      <c r="E1994" s="405">
        <f t="shared" si="62"/>
        <v>936.02</v>
      </c>
      <c r="F1994">
        <f t="shared" si="63"/>
        <v>91330</v>
      </c>
      <c r="H1994" s="679">
        <v>936.02</v>
      </c>
      <c r="I1994" s="679">
        <v>958.64</v>
      </c>
    </row>
    <row r="1995" spans="2:9" ht="30">
      <c r="B1995" s="395">
        <v>91331</v>
      </c>
      <c r="C1995" s="406" t="s">
        <v>3740</v>
      </c>
      <c r="D1995" s="395" t="s">
        <v>23</v>
      </c>
      <c r="E1995" s="407">
        <f t="shared" si="62"/>
        <v>814.79</v>
      </c>
      <c r="F1995">
        <f t="shared" si="63"/>
        <v>91331</v>
      </c>
      <c r="H1995" s="680">
        <v>814.79</v>
      </c>
      <c r="I1995" s="680">
        <v>837.43</v>
      </c>
    </row>
    <row r="1996" spans="2:9" ht="30">
      <c r="B1996" s="396">
        <v>91332</v>
      </c>
      <c r="C1996" s="401" t="s">
        <v>3741</v>
      </c>
      <c r="D1996" s="396" t="s">
        <v>23</v>
      </c>
      <c r="E1996" s="405">
        <f t="shared" si="62"/>
        <v>983.39</v>
      </c>
      <c r="F1996">
        <f t="shared" si="63"/>
        <v>91332</v>
      </c>
      <c r="H1996" s="679">
        <v>983.39</v>
      </c>
      <c r="I1996" s="679">
        <v>1006.49</v>
      </c>
    </row>
    <row r="1997" spans="2:9" ht="30">
      <c r="B1997" s="395">
        <v>91333</v>
      </c>
      <c r="C1997" s="406" t="s">
        <v>3742</v>
      </c>
      <c r="D1997" s="395" t="s">
        <v>23</v>
      </c>
      <c r="E1997" s="407">
        <f t="shared" si="62"/>
        <v>861.4</v>
      </c>
      <c r="F1997">
        <f t="shared" si="63"/>
        <v>91333</v>
      </c>
      <c r="H1997" s="680">
        <v>861.4</v>
      </c>
      <c r="I1997" s="680">
        <v>884.53</v>
      </c>
    </row>
    <row r="1998" spans="2:9" ht="30">
      <c r="B1998" s="396">
        <v>91334</v>
      </c>
      <c r="C1998" s="401" t="s">
        <v>3743</v>
      </c>
      <c r="D1998" s="396" t="s">
        <v>23</v>
      </c>
      <c r="E1998" s="405">
        <f t="shared" si="62"/>
        <v>1280.9000000000001</v>
      </c>
      <c r="F1998">
        <f t="shared" si="63"/>
        <v>91334</v>
      </c>
      <c r="H1998" s="679">
        <v>1280.9000000000001</v>
      </c>
      <c r="I1998" s="679">
        <v>1304</v>
      </c>
    </row>
    <row r="1999" spans="2:9" ht="30">
      <c r="B1999" s="395">
        <v>91335</v>
      </c>
      <c r="C1999" s="406" t="s">
        <v>3744</v>
      </c>
      <c r="D1999" s="395" t="s">
        <v>23</v>
      </c>
      <c r="E1999" s="407">
        <f t="shared" si="62"/>
        <v>1158.9100000000001</v>
      </c>
      <c r="F1999">
        <f t="shared" si="63"/>
        <v>91335</v>
      </c>
      <c r="H1999" s="680">
        <v>1158.9100000000001</v>
      </c>
      <c r="I1999" s="680">
        <v>1182.04</v>
      </c>
    </row>
    <row r="2000" spans="2:9" ht="45">
      <c r="B2000" s="396">
        <v>91336</v>
      </c>
      <c r="C2000" s="401" t="s">
        <v>3745</v>
      </c>
      <c r="D2000" s="396" t="s">
        <v>23</v>
      </c>
      <c r="E2000" s="405">
        <f t="shared" si="62"/>
        <v>1585.53</v>
      </c>
      <c r="F2000">
        <f t="shared" si="63"/>
        <v>91336</v>
      </c>
      <c r="H2000" s="679">
        <v>1585.53</v>
      </c>
      <c r="I2000" s="679">
        <v>1610.59</v>
      </c>
    </row>
    <row r="2001" spans="2:9" ht="45">
      <c r="B2001" s="395">
        <v>91337</v>
      </c>
      <c r="C2001" s="406" t="s">
        <v>3746</v>
      </c>
      <c r="D2001" s="395" t="s">
        <v>23</v>
      </c>
      <c r="E2001" s="407">
        <f t="shared" si="62"/>
        <v>1463.54</v>
      </c>
      <c r="F2001">
        <f t="shared" si="63"/>
        <v>91337</v>
      </c>
      <c r="H2001" s="680">
        <v>1463.54</v>
      </c>
      <c r="I2001" s="680">
        <v>1488.63</v>
      </c>
    </row>
    <row r="2002" spans="2:9">
      <c r="B2002" s="396">
        <v>100659</v>
      </c>
      <c r="C2002" s="401" t="s">
        <v>3747</v>
      </c>
      <c r="D2002" s="396" t="s">
        <v>22</v>
      </c>
      <c r="E2002" s="405">
        <f t="shared" si="62"/>
        <v>11.53</v>
      </c>
      <c r="F2002">
        <f t="shared" si="63"/>
        <v>100659</v>
      </c>
      <c r="H2002" s="679">
        <v>11.53</v>
      </c>
      <c r="I2002" s="679">
        <v>11.75</v>
      </c>
    </row>
    <row r="2003" spans="2:9">
      <c r="B2003" s="395">
        <v>100660</v>
      </c>
      <c r="C2003" s="406" t="s">
        <v>3748</v>
      </c>
      <c r="D2003" s="395" t="s">
        <v>22</v>
      </c>
      <c r="E2003" s="407">
        <f t="shared" si="62"/>
        <v>7.75</v>
      </c>
      <c r="F2003">
        <f t="shared" si="63"/>
        <v>100660</v>
      </c>
      <c r="H2003" s="680">
        <v>7.75</v>
      </c>
      <c r="I2003" s="680">
        <v>7.97</v>
      </c>
    </row>
    <row r="2004" spans="2:9" ht="30">
      <c r="B2004" s="396">
        <v>100675</v>
      </c>
      <c r="C2004" s="401" t="s">
        <v>3749</v>
      </c>
      <c r="D2004" s="396" t="s">
        <v>23</v>
      </c>
      <c r="E2004" s="405">
        <f t="shared" si="62"/>
        <v>1205.1500000000001</v>
      </c>
      <c r="F2004">
        <f t="shared" si="63"/>
        <v>100675</v>
      </c>
      <c r="H2004" s="679">
        <v>1205.1500000000001</v>
      </c>
      <c r="I2004" s="679">
        <v>1207.3900000000001</v>
      </c>
    </row>
    <row r="2005" spans="2:9">
      <c r="B2005" s="395">
        <v>100676</v>
      </c>
      <c r="C2005" s="406" t="s">
        <v>3750</v>
      </c>
      <c r="D2005" s="395" t="s">
        <v>23</v>
      </c>
      <c r="E2005" s="407">
        <f t="shared" si="62"/>
        <v>182.9</v>
      </c>
      <c r="F2005">
        <f t="shared" si="63"/>
        <v>100676</v>
      </c>
      <c r="H2005" s="680">
        <v>182.9</v>
      </c>
      <c r="I2005" s="680">
        <v>190.05</v>
      </c>
    </row>
    <row r="2006" spans="2:9" ht="45">
      <c r="B2006" s="396">
        <v>100678</v>
      </c>
      <c r="C2006" s="401" t="s">
        <v>3751</v>
      </c>
      <c r="D2006" s="396" t="s">
        <v>23</v>
      </c>
      <c r="E2006" s="405">
        <f t="shared" si="62"/>
        <v>1056.19</v>
      </c>
      <c r="F2006">
        <f t="shared" si="63"/>
        <v>100678</v>
      </c>
      <c r="H2006" s="679">
        <v>1056.19</v>
      </c>
      <c r="I2006" s="679">
        <v>1080.8800000000001</v>
      </c>
    </row>
    <row r="2007" spans="2:9" ht="45">
      <c r="B2007" s="395">
        <v>100679</v>
      </c>
      <c r="C2007" s="406" t="s">
        <v>3752</v>
      </c>
      <c r="D2007" s="395" t="s">
        <v>23</v>
      </c>
      <c r="E2007" s="407">
        <f t="shared" si="62"/>
        <v>882.44</v>
      </c>
      <c r="F2007">
        <f t="shared" si="63"/>
        <v>100679</v>
      </c>
      <c r="H2007" s="680">
        <v>882.44</v>
      </c>
      <c r="I2007" s="680">
        <v>907.15</v>
      </c>
    </row>
    <row r="2008" spans="2:9" ht="45">
      <c r="B2008" s="396">
        <v>100680</v>
      </c>
      <c r="C2008" s="401" t="s">
        <v>3753</v>
      </c>
      <c r="D2008" s="396" t="s">
        <v>23</v>
      </c>
      <c r="E2008" s="405">
        <f t="shared" si="62"/>
        <v>1065.4100000000001</v>
      </c>
      <c r="F2008">
        <f t="shared" si="63"/>
        <v>100680</v>
      </c>
      <c r="H2008" s="679">
        <v>1065.4100000000001</v>
      </c>
      <c r="I2008" s="679">
        <v>1090.56</v>
      </c>
    </row>
    <row r="2009" spans="2:9" ht="45">
      <c r="B2009" s="395">
        <v>100681</v>
      </c>
      <c r="C2009" s="406" t="s">
        <v>3754</v>
      </c>
      <c r="D2009" s="395" t="s">
        <v>23</v>
      </c>
      <c r="E2009" s="407">
        <f t="shared" si="62"/>
        <v>1100.3599999999999</v>
      </c>
      <c r="F2009">
        <f t="shared" si="63"/>
        <v>100681</v>
      </c>
      <c r="H2009" s="680">
        <v>1100.3599999999999</v>
      </c>
      <c r="I2009" s="680">
        <v>1125.51</v>
      </c>
    </row>
    <row r="2010" spans="2:9" ht="45">
      <c r="B2010" s="396">
        <v>100682</v>
      </c>
      <c r="C2010" s="401" t="s">
        <v>3755</v>
      </c>
      <c r="D2010" s="396" t="s">
        <v>23</v>
      </c>
      <c r="E2010" s="405">
        <f t="shared" si="62"/>
        <v>907.87</v>
      </c>
      <c r="F2010">
        <f t="shared" si="63"/>
        <v>100682</v>
      </c>
      <c r="H2010" s="679">
        <v>907.87</v>
      </c>
      <c r="I2010" s="679">
        <v>933.04</v>
      </c>
    </row>
    <row r="2011" spans="2:9" ht="45">
      <c r="B2011" s="395">
        <v>100683</v>
      </c>
      <c r="C2011" s="406" t="s">
        <v>3756</v>
      </c>
      <c r="D2011" s="395" t="s">
        <v>23</v>
      </c>
      <c r="E2011" s="407">
        <f t="shared" si="62"/>
        <v>1160.97</v>
      </c>
      <c r="F2011">
        <f t="shared" si="63"/>
        <v>100683</v>
      </c>
      <c r="H2011" s="680">
        <v>1160.97</v>
      </c>
      <c r="I2011" s="680">
        <v>1187.3599999999999</v>
      </c>
    </row>
    <row r="2012" spans="2:9" ht="45">
      <c r="B2012" s="396">
        <v>100684</v>
      </c>
      <c r="C2012" s="401" t="s">
        <v>3757</v>
      </c>
      <c r="D2012" s="396" t="s">
        <v>23</v>
      </c>
      <c r="E2012" s="405">
        <f t="shared" si="62"/>
        <v>961.54</v>
      </c>
      <c r="F2012">
        <f t="shared" si="63"/>
        <v>100684</v>
      </c>
      <c r="H2012" s="679">
        <v>961.54</v>
      </c>
      <c r="I2012" s="679">
        <v>987.96</v>
      </c>
    </row>
    <row r="2013" spans="2:9" ht="45">
      <c r="B2013" s="395">
        <v>100685</v>
      </c>
      <c r="C2013" s="406" t="s">
        <v>3758</v>
      </c>
      <c r="D2013" s="395" t="s">
        <v>23</v>
      </c>
      <c r="E2013" s="407">
        <f t="shared" si="62"/>
        <v>1217.74</v>
      </c>
      <c r="F2013">
        <f t="shared" si="63"/>
        <v>100685</v>
      </c>
      <c r="H2013" s="680">
        <v>1217.74</v>
      </c>
      <c r="I2013" s="680">
        <v>1244.6199999999999</v>
      </c>
    </row>
    <row r="2014" spans="2:9" ht="45">
      <c r="B2014" s="396">
        <v>100686</v>
      </c>
      <c r="C2014" s="401" t="s">
        <v>3759</v>
      </c>
      <c r="D2014" s="396" t="s">
        <v>23</v>
      </c>
      <c r="E2014" s="405">
        <f t="shared" si="62"/>
        <v>1017.56</v>
      </c>
      <c r="F2014">
        <f t="shared" si="63"/>
        <v>100686</v>
      </c>
      <c r="H2014" s="679">
        <v>1017.56</v>
      </c>
      <c r="I2014" s="679">
        <v>1044.46</v>
      </c>
    </row>
    <row r="2015" spans="2:9" ht="45">
      <c r="B2015" s="395">
        <v>100687</v>
      </c>
      <c r="C2015" s="406" t="s">
        <v>3760</v>
      </c>
      <c r="D2015" s="395" t="s">
        <v>23</v>
      </c>
      <c r="E2015" s="407">
        <f t="shared" si="62"/>
        <v>1068.69</v>
      </c>
      <c r="F2015">
        <f t="shared" si="63"/>
        <v>100687</v>
      </c>
      <c r="H2015" s="680">
        <v>1068.69</v>
      </c>
      <c r="I2015" s="680">
        <v>1093.3800000000001</v>
      </c>
    </row>
    <row r="2016" spans="2:9" ht="45">
      <c r="B2016" s="396">
        <v>100688</v>
      </c>
      <c r="C2016" s="401" t="s">
        <v>3761</v>
      </c>
      <c r="D2016" s="396" t="s">
        <v>23</v>
      </c>
      <c r="E2016" s="405">
        <f t="shared" si="62"/>
        <v>894.94</v>
      </c>
      <c r="F2016">
        <f t="shared" si="63"/>
        <v>100688</v>
      </c>
      <c r="H2016" s="679">
        <v>894.94</v>
      </c>
      <c r="I2016" s="679">
        <v>919.65</v>
      </c>
    </row>
    <row r="2017" spans="2:9" ht="45">
      <c r="B2017" s="395">
        <v>100689</v>
      </c>
      <c r="C2017" s="406" t="s">
        <v>3762</v>
      </c>
      <c r="D2017" s="395" t="s">
        <v>23</v>
      </c>
      <c r="E2017" s="407">
        <f t="shared" si="62"/>
        <v>1169.3</v>
      </c>
      <c r="F2017">
        <f t="shared" si="63"/>
        <v>100689</v>
      </c>
      <c r="H2017" s="680">
        <v>1169.3</v>
      </c>
      <c r="I2017" s="680">
        <v>1195.69</v>
      </c>
    </row>
    <row r="2018" spans="2:9" ht="45">
      <c r="B2018" s="396">
        <v>100690</v>
      </c>
      <c r="C2018" s="401" t="s">
        <v>3763</v>
      </c>
      <c r="D2018" s="396" t="s">
        <v>23</v>
      </c>
      <c r="E2018" s="405">
        <f t="shared" si="62"/>
        <v>969.87</v>
      </c>
      <c r="F2018">
        <f t="shared" si="63"/>
        <v>100690</v>
      </c>
      <c r="H2018" s="679">
        <v>969.87</v>
      </c>
      <c r="I2018" s="679">
        <v>996.29</v>
      </c>
    </row>
    <row r="2019" spans="2:9" ht="30">
      <c r="B2019" s="395">
        <v>100691</v>
      </c>
      <c r="C2019" s="406" t="s">
        <v>3764</v>
      </c>
      <c r="D2019" s="395" t="s">
        <v>23</v>
      </c>
      <c r="E2019" s="407">
        <f t="shared" si="62"/>
        <v>1466.81</v>
      </c>
      <c r="F2019">
        <f t="shared" si="63"/>
        <v>100691</v>
      </c>
      <c r="H2019" s="680">
        <v>1466.81</v>
      </c>
      <c r="I2019" s="680">
        <v>1493.2</v>
      </c>
    </row>
    <row r="2020" spans="2:9" ht="30">
      <c r="B2020" s="396">
        <v>100692</v>
      </c>
      <c r="C2020" s="401" t="s">
        <v>3765</v>
      </c>
      <c r="D2020" s="396" t="s">
        <v>23</v>
      </c>
      <c r="E2020" s="405">
        <f t="shared" si="62"/>
        <v>1267.3800000000001</v>
      </c>
      <c r="F2020">
        <f t="shared" si="63"/>
        <v>100692</v>
      </c>
      <c r="H2020" s="679">
        <v>1267.3800000000001</v>
      </c>
      <c r="I2020" s="679">
        <v>1293.8</v>
      </c>
    </row>
    <row r="2021" spans="2:9" ht="45">
      <c r="B2021" s="395">
        <v>100693</v>
      </c>
      <c r="C2021" s="406" t="s">
        <v>3766</v>
      </c>
      <c r="D2021" s="395" t="s">
        <v>23</v>
      </c>
      <c r="E2021" s="407">
        <f t="shared" si="62"/>
        <v>1771.44</v>
      </c>
      <c r="F2021">
        <f t="shared" si="63"/>
        <v>100693</v>
      </c>
      <c r="H2021" s="680">
        <v>1771.44</v>
      </c>
      <c r="I2021" s="680">
        <v>1799.79</v>
      </c>
    </row>
    <row r="2022" spans="2:9" ht="45">
      <c r="B2022" s="396">
        <v>100694</v>
      </c>
      <c r="C2022" s="401" t="s">
        <v>3767</v>
      </c>
      <c r="D2022" s="396" t="s">
        <v>23</v>
      </c>
      <c r="E2022" s="405">
        <f t="shared" si="62"/>
        <v>1572.01</v>
      </c>
      <c r="F2022">
        <f t="shared" si="63"/>
        <v>100694</v>
      </c>
      <c r="H2022" s="679">
        <v>1572.01</v>
      </c>
      <c r="I2022" s="679">
        <v>1600.39</v>
      </c>
    </row>
    <row r="2023" spans="2:9" ht="30">
      <c r="B2023" s="395">
        <v>100695</v>
      </c>
      <c r="C2023" s="406" t="s">
        <v>3768</v>
      </c>
      <c r="D2023" s="395" t="s">
        <v>23</v>
      </c>
      <c r="E2023" s="407">
        <f t="shared" si="62"/>
        <v>48.17</v>
      </c>
      <c r="F2023">
        <f t="shared" si="63"/>
        <v>100695</v>
      </c>
      <c r="H2023" s="680">
        <v>48.17</v>
      </c>
      <c r="I2023" s="680">
        <v>53.41</v>
      </c>
    </row>
    <row r="2024" spans="2:9" ht="30">
      <c r="B2024" s="396">
        <v>100696</v>
      </c>
      <c r="C2024" s="401" t="s">
        <v>3769</v>
      </c>
      <c r="D2024" s="396" t="s">
        <v>23</v>
      </c>
      <c r="E2024" s="405">
        <f t="shared" si="62"/>
        <v>53.57</v>
      </c>
      <c r="F2024">
        <f t="shared" si="63"/>
        <v>100696</v>
      </c>
      <c r="H2024" s="679">
        <v>53.57</v>
      </c>
      <c r="I2024" s="679">
        <v>59.4</v>
      </c>
    </row>
    <row r="2025" spans="2:9" ht="30">
      <c r="B2025" s="395">
        <v>100697</v>
      </c>
      <c r="C2025" s="406" t="s">
        <v>3770</v>
      </c>
      <c r="D2025" s="395" t="s">
        <v>23</v>
      </c>
      <c r="E2025" s="407">
        <f t="shared" si="62"/>
        <v>59</v>
      </c>
      <c r="F2025">
        <f t="shared" si="63"/>
        <v>100697</v>
      </c>
      <c r="H2025" s="680">
        <v>59</v>
      </c>
      <c r="I2025" s="680">
        <v>65.44</v>
      </c>
    </row>
    <row r="2026" spans="2:9" ht="30">
      <c r="B2026" s="396">
        <v>100698</v>
      </c>
      <c r="C2026" s="401" t="s">
        <v>3771</v>
      </c>
      <c r="D2026" s="396" t="s">
        <v>23</v>
      </c>
      <c r="E2026" s="405">
        <f t="shared" si="62"/>
        <v>64.41</v>
      </c>
      <c r="F2026">
        <f t="shared" si="63"/>
        <v>100698</v>
      </c>
      <c r="H2026" s="679">
        <v>64.41</v>
      </c>
      <c r="I2026" s="679">
        <v>71.459999999999994</v>
      </c>
    </row>
    <row r="2027" spans="2:9" ht="30">
      <c r="B2027" s="395">
        <v>100699</v>
      </c>
      <c r="C2027" s="406" t="s">
        <v>3772</v>
      </c>
      <c r="D2027" s="395" t="s">
        <v>23</v>
      </c>
      <c r="E2027" s="407">
        <f t="shared" si="62"/>
        <v>76.53</v>
      </c>
      <c r="F2027">
        <f t="shared" si="63"/>
        <v>100699</v>
      </c>
      <c r="H2027" s="680">
        <v>76.53</v>
      </c>
      <c r="I2027" s="680">
        <v>84.94</v>
      </c>
    </row>
    <row r="2028" spans="2:9" ht="30">
      <c r="B2028" s="396">
        <v>100700</v>
      </c>
      <c r="C2028" s="401" t="s">
        <v>3773</v>
      </c>
      <c r="D2028" s="396" t="s">
        <v>23</v>
      </c>
      <c r="E2028" s="405">
        <f t="shared" si="62"/>
        <v>941.28</v>
      </c>
      <c r="F2028">
        <f t="shared" si="63"/>
        <v>100700</v>
      </c>
      <c r="H2028" s="679">
        <v>941.28</v>
      </c>
      <c r="I2028" s="679">
        <v>957.82</v>
      </c>
    </row>
    <row r="2029" spans="2:9" ht="45">
      <c r="B2029" s="395">
        <v>100712</v>
      </c>
      <c r="C2029" s="406" t="s">
        <v>3774</v>
      </c>
      <c r="D2029" s="395" t="s">
        <v>23</v>
      </c>
      <c r="E2029" s="407">
        <f t="shared" si="62"/>
        <v>872.92</v>
      </c>
      <c r="F2029">
        <f t="shared" si="63"/>
        <v>100712</v>
      </c>
      <c r="H2029" s="680">
        <v>872.92</v>
      </c>
      <c r="I2029" s="680">
        <v>898.09</v>
      </c>
    </row>
    <row r="2030" spans="2:9" ht="45">
      <c r="B2030" s="396">
        <v>100665</v>
      </c>
      <c r="C2030" s="401" t="s">
        <v>3775</v>
      </c>
      <c r="D2030" s="396" t="s">
        <v>0</v>
      </c>
      <c r="E2030" s="405">
        <f t="shared" si="62"/>
        <v>984.8</v>
      </c>
      <c r="F2030">
        <f t="shared" si="63"/>
        <v>100665</v>
      </c>
      <c r="H2030" s="679">
        <v>984.8</v>
      </c>
      <c r="I2030" s="679">
        <v>990.49</v>
      </c>
    </row>
    <row r="2031" spans="2:9" ht="30">
      <c r="B2031" s="395">
        <v>100666</v>
      </c>
      <c r="C2031" s="406" t="s">
        <v>3776</v>
      </c>
      <c r="D2031" s="395" t="s">
        <v>0</v>
      </c>
      <c r="E2031" s="407">
        <f t="shared" si="62"/>
        <v>776.38</v>
      </c>
      <c r="F2031">
        <f t="shared" si="63"/>
        <v>100666</v>
      </c>
      <c r="H2031" s="680">
        <v>776.38</v>
      </c>
      <c r="I2031" s="680">
        <v>782.07</v>
      </c>
    </row>
    <row r="2032" spans="2:9" ht="30">
      <c r="B2032" s="396">
        <v>100667</v>
      </c>
      <c r="C2032" s="401" t="s">
        <v>3777</v>
      </c>
      <c r="D2032" s="396" t="s">
        <v>0</v>
      </c>
      <c r="E2032" s="405">
        <f t="shared" si="62"/>
        <v>1279.45</v>
      </c>
      <c r="F2032">
        <f t="shared" si="63"/>
        <v>100667</v>
      </c>
      <c r="H2032" s="679">
        <v>1279.45</v>
      </c>
      <c r="I2032" s="679">
        <v>1285.1400000000001</v>
      </c>
    </row>
    <row r="2033" spans="2:9" ht="30">
      <c r="B2033" s="395">
        <v>100668</v>
      </c>
      <c r="C2033" s="406" t="s">
        <v>3778</v>
      </c>
      <c r="D2033" s="395" t="s">
        <v>0</v>
      </c>
      <c r="E2033" s="407">
        <f t="shared" si="62"/>
        <v>1538.74</v>
      </c>
      <c r="F2033">
        <f t="shared" si="63"/>
        <v>100668</v>
      </c>
      <c r="H2033" s="680">
        <v>1538.74</v>
      </c>
      <c r="I2033" s="680">
        <v>1551.55</v>
      </c>
    </row>
    <row r="2034" spans="2:9" ht="30">
      <c r="B2034" s="396">
        <v>100669</v>
      </c>
      <c r="C2034" s="401" t="s">
        <v>3779</v>
      </c>
      <c r="D2034" s="396" t="s">
        <v>0</v>
      </c>
      <c r="E2034" s="405">
        <f t="shared" si="62"/>
        <v>912.15</v>
      </c>
      <c r="F2034">
        <f t="shared" si="63"/>
        <v>100669</v>
      </c>
      <c r="H2034" s="679">
        <v>912.15</v>
      </c>
      <c r="I2034" s="679">
        <v>920.36</v>
      </c>
    </row>
    <row r="2035" spans="2:9" ht="45">
      <c r="B2035" s="395">
        <v>100670</v>
      </c>
      <c r="C2035" s="406" t="s">
        <v>3780</v>
      </c>
      <c r="D2035" s="395" t="s">
        <v>0</v>
      </c>
      <c r="E2035" s="407">
        <f t="shared" si="62"/>
        <v>1232.8800000000001</v>
      </c>
      <c r="F2035">
        <f t="shared" si="63"/>
        <v>100670</v>
      </c>
      <c r="H2035" s="680">
        <v>1232.8800000000001</v>
      </c>
      <c r="I2035" s="680">
        <v>1239.21</v>
      </c>
    </row>
    <row r="2036" spans="2:9" ht="45">
      <c r="B2036" s="396">
        <v>100671</v>
      </c>
      <c r="C2036" s="401" t="s">
        <v>3781</v>
      </c>
      <c r="D2036" s="396" t="s">
        <v>0</v>
      </c>
      <c r="E2036" s="405">
        <f t="shared" si="62"/>
        <v>1532.49</v>
      </c>
      <c r="F2036">
        <f t="shared" si="63"/>
        <v>100671</v>
      </c>
      <c r="H2036" s="679">
        <v>1532.49</v>
      </c>
      <c r="I2036" s="679">
        <v>1538.82</v>
      </c>
    </row>
    <row r="2037" spans="2:9" ht="45">
      <c r="B2037" s="395">
        <v>100672</v>
      </c>
      <c r="C2037" s="406" t="s">
        <v>3782</v>
      </c>
      <c r="D2037" s="395" t="s">
        <v>0</v>
      </c>
      <c r="E2037" s="407">
        <f t="shared" si="62"/>
        <v>986.03</v>
      </c>
      <c r="F2037">
        <f t="shared" si="63"/>
        <v>100672</v>
      </c>
      <c r="H2037" s="680">
        <v>986.03</v>
      </c>
      <c r="I2037" s="680">
        <v>992.36</v>
      </c>
    </row>
    <row r="2038" spans="2:9">
      <c r="B2038" s="396">
        <v>100701</v>
      </c>
      <c r="C2038" s="401" t="s">
        <v>3783</v>
      </c>
      <c r="D2038" s="396" t="s">
        <v>0</v>
      </c>
      <c r="E2038" s="405">
        <f t="shared" si="62"/>
        <v>640.99</v>
      </c>
      <c r="F2038">
        <f t="shared" si="63"/>
        <v>100701</v>
      </c>
      <c r="H2038" s="679">
        <v>640.99</v>
      </c>
      <c r="I2038" s="679">
        <v>642.75</v>
      </c>
    </row>
    <row r="2039" spans="2:9" ht="30">
      <c r="B2039" s="395">
        <v>94559</v>
      </c>
      <c r="C2039" s="406" t="s">
        <v>3784</v>
      </c>
      <c r="D2039" s="395" t="s">
        <v>0</v>
      </c>
      <c r="E2039" s="407">
        <f t="shared" si="62"/>
        <v>791.4</v>
      </c>
      <c r="F2039">
        <f t="shared" si="63"/>
        <v>94559</v>
      </c>
      <c r="H2039" s="680">
        <v>791.4</v>
      </c>
      <c r="I2039" s="680">
        <v>807.47</v>
      </c>
    </row>
    <row r="2040" spans="2:9" ht="30">
      <c r="B2040" s="396">
        <v>94562</v>
      </c>
      <c r="C2040" s="401" t="s">
        <v>3785</v>
      </c>
      <c r="D2040" s="396" t="s">
        <v>0</v>
      </c>
      <c r="E2040" s="405">
        <f t="shared" si="62"/>
        <v>772.86</v>
      </c>
      <c r="F2040">
        <f t="shared" si="63"/>
        <v>94562</v>
      </c>
      <c r="H2040" s="679">
        <v>772.86</v>
      </c>
      <c r="I2040" s="679">
        <v>780.19</v>
      </c>
    </row>
    <row r="2041" spans="2:9">
      <c r="B2041" s="395">
        <v>94587</v>
      </c>
      <c r="C2041" s="406" t="s">
        <v>3786</v>
      </c>
      <c r="D2041" s="395" t="s">
        <v>22</v>
      </c>
      <c r="E2041" s="407">
        <f t="shared" si="62"/>
        <v>70.430000000000007</v>
      </c>
      <c r="F2041">
        <f t="shared" si="63"/>
        <v>94587</v>
      </c>
      <c r="H2041" s="680">
        <v>70.430000000000007</v>
      </c>
      <c r="I2041" s="680">
        <v>72.73</v>
      </c>
    </row>
    <row r="2042" spans="2:9">
      <c r="B2042" s="396">
        <v>94588</v>
      </c>
      <c r="C2042" s="401" t="s">
        <v>3787</v>
      </c>
      <c r="D2042" s="396" t="s">
        <v>22</v>
      </c>
      <c r="E2042" s="405">
        <f t="shared" si="62"/>
        <v>65.349999999999994</v>
      </c>
      <c r="F2042">
        <f t="shared" si="63"/>
        <v>94588</v>
      </c>
      <c r="H2042" s="679">
        <v>65.349999999999994</v>
      </c>
      <c r="I2042" s="679">
        <v>66.540000000000006</v>
      </c>
    </row>
    <row r="2043" spans="2:9" ht="30">
      <c r="B2043" s="395">
        <v>99837</v>
      </c>
      <c r="C2043" s="406" t="s">
        <v>7423</v>
      </c>
      <c r="D2043" s="395" t="s">
        <v>22</v>
      </c>
      <c r="E2043" s="407">
        <f t="shared" si="62"/>
        <v>568.35</v>
      </c>
      <c r="F2043">
        <f t="shared" si="63"/>
        <v>99837</v>
      </c>
      <c r="H2043" s="680">
        <v>568.35</v>
      </c>
      <c r="I2043" s="680">
        <v>591.12</v>
      </c>
    </row>
    <row r="2044" spans="2:9" ht="45">
      <c r="B2044" s="396">
        <v>99839</v>
      </c>
      <c r="C2044" s="401" t="s">
        <v>7424</v>
      </c>
      <c r="D2044" s="396" t="s">
        <v>22</v>
      </c>
      <c r="E2044" s="405">
        <f t="shared" si="62"/>
        <v>458.75</v>
      </c>
      <c r="F2044">
        <f t="shared" si="63"/>
        <v>99839</v>
      </c>
      <c r="H2044" s="679">
        <v>458.75</v>
      </c>
      <c r="I2044" s="679">
        <v>482.62</v>
      </c>
    </row>
    <row r="2045" spans="2:9" ht="30">
      <c r="B2045" s="395">
        <v>99841</v>
      </c>
      <c r="C2045" s="406" t="s">
        <v>7425</v>
      </c>
      <c r="D2045" s="395" t="s">
        <v>22</v>
      </c>
      <c r="E2045" s="407">
        <f t="shared" si="62"/>
        <v>1192.8399999999999</v>
      </c>
      <c r="F2045">
        <f t="shared" si="63"/>
        <v>99841</v>
      </c>
      <c r="H2045" s="680">
        <v>1192.8399999999999</v>
      </c>
      <c r="I2045" s="680">
        <v>1206.69</v>
      </c>
    </row>
    <row r="2046" spans="2:9">
      <c r="B2046" s="396">
        <v>99855</v>
      </c>
      <c r="C2046" s="401" t="s">
        <v>7426</v>
      </c>
      <c r="D2046" s="396" t="s">
        <v>22</v>
      </c>
      <c r="E2046" s="405">
        <f t="shared" si="62"/>
        <v>103.86</v>
      </c>
      <c r="F2046">
        <f t="shared" si="63"/>
        <v>99855</v>
      </c>
      <c r="H2046" s="679">
        <v>103.86</v>
      </c>
      <c r="I2046" s="679">
        <v>107.78</v>
      </c>
    </row>
    <row r="2047" spans="2:9">
      <c r="B2047" s="395">
        <v>99857</v>
      </c>
      <c r="C2047" s="406" t="s">
        <v>7427</v>
      </c>
      <c r="D2047" s="395" t="s">
        <v>22</v>
      </c>
      <c r="E2047" s="407">
        <f t="shared" si="62"/>
        <v>78.12</v>
      </c>
      <c r="F2047">
        <f t="shared" si="63"/>
        <v>99857</v>
      </c>
      <c r="H2047" s="680">
        <v>78.12</v>
      </c>
      <c r="I2047" s="680">
        <v>83.62</v>
      </c>
    </row>
    <row r="2048" spans="2:9">
      <c r="B2048" s="396">
        <v>99861</v>
      </c>
      <c r="C2048" s="401" t="s">
        <v>3033</v>
      </c>
      <c r="D2048" s="396" t="s">
        <v>0</v>
      </c>
      <c r="E2048" s="405">
        <f t="shared" si="62"/>
        <v>569.35</v>
      </c>
      <c r="F2048">
        <f t="shared" si="63"/>
        <v>99861</v>
      </c>
      <c r="H2048" s="679">
        <v>569.35</v>
      </c>
      <c r="I2048" s="679">
        <v>604.51</v>
      </c>
    </row>
    <row r="2049" spans="2:9">
      <c r="B2049" s="395">
        <v>99862</v>
      </c>
      <c r="C2049" s="406" t="s">
        <v>3034</v>
      </c>
      <c r="D2049" s="395" t="s">
        <v>0</v>
      </c>
      <c r="E2049" s="407">
        <f t="shared" si="62"/>
        <v>514.97</v>
      </c>
      <c r="F2049">
        <f t="shared" si="63"/>
        <v>99862</v>
      </c>
      <c r="H2049" s="680">
        <v>514.97</v>
      </c>
      <c r="I2049" s="680">
        <v>551.48</v>
      </c>
    </row>
    <row r="2050" spans="2:9">
      <c r="B2050" s="396">
        <v>90838</v>
      </c>
      <c r="C2050" s="401" t="s">
        <v>3788</v>
      </c>
      <c r="D2050" s="396" t="s">
        <v>23</v>
      </c>
      <c r="E2050" s="405">
        <f t="shared" si="62"/>
        <v>1597.72</v>
      </c>
      <c r="F2050">
        <f t="shared" si="63"/>
        <v>90838</v>
      </c>
      <c r="H2050" s="679">
        <v>1597.72</v>
      </c>
      <c r="I2050" s="679">
        <v>1610.3</v>
      </c>
    </row>
    <row r="2051" spans="2:9" ht="30">
      <c r="B2051" s="395">
        <v>91338</v>
      </c>
      <c r="C2051" s="406" t="s">
        <v>3789</v>
      </c>
      <c r="D2051" s="395" t="s">
        <v>0</v>
      </c>
      <c r="E2051" s="407">
        <f t="shared" ref="E2051:E2114" si="64">IF($K$2=$H$1,H2051,I2051)</f>
        <v>804.62</v>
      </c>
      <c r="F2051">
        <f t="shared" ref="F2051:F2114" si="65">IF(LEN($B2051)=7,CONCATENATE(MID($B2051,1,6),"00",RIGHT($B2051,1)),IF(LEN($B2051)=8,CONCATENATE(MID($B2051,1,6),"0",RIGHT($B2051,2)),$B2051))</f>
        <v>91338</v>
      </c>
      <c r="H2051" s="680">
        <v>804.62</v>
      </c>
      <c r="I2051" s="680">
        <v>805.85</v>
      </c>
    </row>
    <row r="2052" spans="2:9" ht="30">
      <c r="B2052" s="396">
        <v>91341</v>
      </c>
      <c r="C2052" s="401" t="s">
        <v>3790</v>
      </c>
      <c r="D2052" s="396" t="s">
        <v>0</v>
      </c>
      <c r="E2052" s="405">
        <f t="shared" si="64"/>
        <v>634.01</v>
      </c>
      <c r="F2052">
        <f t="shared" si="65"/>
        <v>91341</v>
      </c>
      <c r="H2052" s="679">
        <v>634.01</v>
      </c>
      <c r="I2052" s="679">
        <v>635.32000000000005</v>
      </c>
    </row>
    <row r="2053" spans="2:9" ht="30">
      <c r="B2053" s="395">
        <v>94805</v>
      </c>
      <c r="C2053" s="406" t="s">
        <v>3791</v>
      </c>
      <c r="D2053" s="395" t="s">
        <v>23</v>
      </c>
      <c r="E2053" s="407">
        <f t="shared" si="64"/>
        <v>777.33</v>
      </c>
      <c r="F2053">
        <f t="shared" si="65"/>
        <v>94805</v>
      </c>
      <c r="H2053" s="680">
        <v>777.33</v>
      </c>
      <c r="I2053" s="680">
        <v>779.55</v>
      </c>
    </row>
    <row r="2054" spans="2:9" ht="30">
      <c r="B2054" s="396">
        <v>94806</v>
      </c>
      <c r="C2054" s="401" t="s">
        <v>3792</v>
      </c>
      <c r="D2054" s="396" t="s">
        <v>23</v>
      </c>
      <c r="E2054" s="405">
        <f t="shared" si="64"/>
        <v>756.88</v>
      </c>
      <c r="F2054">
        <f t="shared" si="65"/>
        <v>94806</v>
      </c>
      <c r="H2054" s="679">
        <v>756.88</v>
      </c>
      <c r="I2054" s="679">
        <v>760.03</v>
      </c>
    </row>
    <row r="2055" spans="2:9" ht="30">
      <c r="B2055" s="395">
        <v>94807</v>
      </c>
      <c r="C2055" s="406" t="s">
        <v>3793</v>
      </c>
      <c r="D2055" s="395" t="s">
        <v>23</v>
      </c>
      <c r="E2055" s="407">
        <f t="shared" si="64"/>
        <v>689.76</v>
      </c>
      <c r="F2055">
        <f t="shared" si="65"/>
        <v>94807</v>
      </c>
      <c r="H2055" s="680">
        <v>689.76</v>
      </c>
      <c r="I2055" s="680">
        <v>693.08</v>
      </c>
    </row>
    <row r="2056" spans="2:9" ht="30">
      <c r="B2056" s="396">
        <v>100702</v>
      </c>
      <c r="C2056" s="401" t="s">
        <v>3794</v>
      </c>
      <c r="D2056" s="396" t="s">
        <v>0</v>
      </c>
      <c r="E2056" s="405">
        <f t="shared" si="64"/>
        <v>434.71</v>
      </c>
      <c r="F2056">
        <f t="shared" si="65"/>
        <v>100702</v>
      </c>
      <c r="H2056" s="679">
        <v>434.71</v>
      </c>
      <c r="I2056" s="679">
        <v>435.68</v>
      </c>
    </row>
    <row r="2057" spans="2:9">
      <c r="B2057" s="395">
        <v>102188</v>
      </c>
      <c r="C2057" s="406" t="s">
        <v>5449</v>
      </c>
      <c r="D2057" s="395" t="s">
        <v>23</v>
      </c>
      <c r="E2057" s="407">
        <f t="shared" si="64"/>
        <v>1049.21</v>
      </c>
      <c r="F2057">
        <f t="shared" si="65"/>
        <v>102188</v>
      </c>
      <c r="H2057" s="680">
        <v>1049.21</v>
      </c>
      <c r="I2057" s="680">
        <v>1056.42</v>
      </c>
    </row>
    <row r="2058" spans="2:9" ht="30">
      <c r="B2058" s="396">
        <v>102189</v>
      </c>
      <c r="C2058" s="401" t="s">
        <v>5450</v>
      </c>
      <c r="D2058" s="396" t="s">
        <v>23</v>
      </c>
      <c r="E2058" s="405">
        <f t="shared" si="64"/>
        <v>255.9</v>
      </c>
      <c r="F2058">
        <f t="shared" si="65"/>
        <v>102189</v>
      </c>
      <c r="H2058" s="679">
        <v>255.9</v>
      </c>
      <c r="I2058" s="679">
        <v>263.92</v>
      </c>
    </row>
    <row r="2059" spans="2:9">
      <c r="B2059" s="395">
        <v>100703</v>
      </c>
      <c r="C2059" s="406" t="s">
        <v>3795</v>
      </c>
      <c r="D2059" s="395" t="s">
        <v>23</v>
      </c>
      <c r="E2059" s="407">
        <f t="shared" si="64"/>
        <v>32.76</v>
      </c>
      <c r="F2059">
        <f t="shared" si="65"/>
        <v>100703</v>
      </c>
      <c r="H2059" s="680">
        <v>32.76</v>
      </c>
      <c r="I2059" s="680">
        <v>33.85</v>
      </c>
    </row>
    <row r="2060" spans="2:9">
      <c r="B2060" s="396">
        <v>100704</v>
      </c>
      <c r="C2060" s="401" t="s">
        <v>3796</v>
      </c>
      <c r="D2060" s="396" t="s">
        <v>23</v>
      </c>
      <c r="E2060" s="405">
        <f t="shared" si="64"/>
        <v>71.47</v>
      </c>
      <c r="F2060">
        <f t="shared" si="65"/>
        <v>100704</v>
      </c>
      <c r="H2060" s="679">
        <v>71.47</v>
      </c>
      <c r="I2060" s="679">
        <v>73.22</v>
      </c>
    </row>
    <row r="2061" spans="2:9">
      <c r="B2061" s="395">
        <v>100705</v>
      </c>
      <c r="C2061" s="406" t="s">
        <v>3797</v>
      </c>
      <c r="D2061" s="395" t="s">
        <v>23</v>
      </c>
      <c r="E2061" s="407">
        <f t="shared" si="64"/>
        <v>78.790000000000006</v>
      </c>
      <c r="F2061">
        <f t="shared" si="65"/>
        <v>100705</v>
      </c>
      <c r="H2061" s="680">
        <v>78.790000000000006</v>
      </c>
      <c r="I2061" s="680">
        <v>81.78</v>
      </c>
    </row>
    <row r="2062" spans="2:9">
      <c r="B2062" s="396">
        <v>100706</v>
      </c>
      <c r="C2062" s="401" t="s">
        <v>3798</v>
      </c>
      <c r="D2062" s="396" t="s">
        <v>23</v>
      </c>
      <c r="E2062" s="405">
        <f t="shared" si="64"/>
        <v>65.97</v>
      </c>
      <c r="F2062">
        <f t="shared" si="65"/>
        <v>100706</v>
      </c>
      <c r="H2062" s="679">
        <v>65.97</v>
      </c>
      <c r="I2062" s="679">
        <v>69.849999999999994</v>
      </c>
    </row>
    <row r="2063" spans="2:9">
      <c r="B2063" s="395">
        <v>100707</v>
      </c>
      <c r="C2063" s="406" t="s">
        <v>3799</v>
      </c>
      <c r="D2063" s="395" t="s">
        <v>23</v>
      </c>
      <c r="E2063" s="407">
        <f t="shared" si="64"/>
        <v>151.16</v>
      </c>
      <c r="F2063">
        <f t="shared" si="65"/>
        <v>100707</v>
      </c>
      <c r="H2063" s="680">
        <v>151.16</v>
      </c>
      <c r="I2063" s="680">
        <v>154.86000000000001</v>
      </c>
    </row>
    <row r="2064" spans="2:9">
      <c r="B2064" s="396">
        <v>100708</v>
      </c>
      <c r="C2064" s="401" t="s">
        <v>3800</v>
      </c>
      <c r="D2064" s="396" t="s">
        <v>23</v>
      </c>
      <c r="E2064" s="405">
        <f t="shared" si="64"/>
        <v>191.15</v>
      </c>
      <c r="F2064">
        <f t="shared" si="65"/>
        <v>100708</v>
      </c>
      <c r="H2064" s="679">
        <v>191.15</v>
      </c>
      <c r="I2064" s="679">
        <v>195.25</v>
      </c>
    </row>
    <row r="2065" spans="2:9" ht="30">
      <c r="B2065" s="395">
        <v>100709</v>
      </c>
      <c r="C2065" s="406" t="s">
        <v>3801</v>
      </c>
      <c r="D2065" s="395" t="s">
        <v>23</v>
      </c>
      <c r="E2065" s="407">
        <f t="shared" si="64"/>
        <v>41.38</v>
      </c>
      <c r="F2065">
        <f t="shared" si="65"/>
        <v>100709</v>
      </c>
      <c r="H2065" s="680">
        <v>41.38</v>
      </c>
      <c r="I2065" s="680">
        <v>44.39</v>
      </c>
    </row>
    <row r="2066" spans="2:9">
      <c r="B2066" s="396">
        <v>100710</v>
      </c>
      <c r="C2066" s="401" t="s">
        <v>3802</v>
      </c>
      <c r="D2066" s="396" t="s">
        <v>23</v>
      </c>
      <c r="E2066" s="405">
        <f t="shared" si="64"/>
        <v>113.04</v>
      </c>
      <c r="F2066">
        <f t="shared" si="65"/>
        <v>100710</v>
      </c>
      <c r="H2066" s="679">
        <v>113.04</v>
      </c>
      <c r="I2066" s="679">
        <v>117.05</v>
      </c>
    </row>
    <row r="2067" spans="2:9">
      <c r="B2067" s="395">
        <v>102151</v>
      </c>
      <c r="C2067" s="406" t="s">
        <v>5451</v>
      </c>
      <c r="D2067" s="395" t="s">
        <v>0</v>
      </c>
      <c r="E2067" s="407">
        <f t="shared" si="64"/>
        <v>192.55</v>
      </c>
      <c r="F2067">
        <f t="shared" si="65"/>
        <v>102151</v>
      </c>
      <c r="H2067" s="680">
        <v>192.55</v>
      </c>
      <c r="I2067" s="680">
        <v>195.12</v>
      </c>
    </row>
    <row r="2068" spans="2:9">
      <c r="B2068" s="396">
        <v>102152</v>
      </c>
      <c r="C2068" s="401" t="s">
        <v>5452</v>
      </c>
      <c r="D2068" s="396" t="s">
        <v>0</v>
      </c>
      <c r="E2068" s="405">
        <f t="shared" si="64"/>
        <v>214.43</v>
      </c>
      <c r="F2068">
        <f t="shared" si="65"/>
        <v>102152</v>
      </c>
      <c r="H2068" s="679">
        <v>214.43</v>
      </c>
      <c r="I2068" s="679">
        <v>217</v>
      </c>
    </row>
    <row r="2069" spans="2:9">
      <c r="B2069" s="395">
        <v>102153</v>
      </c>
      <c r="C2069" s="406" t="s">
        <v>5453</v>
      </c>
      <c r="D2069" s="395" t="s">
        <v>0</v>
      </c>
      <c r="E2069" s="407">
        <f t="shared" si="64"/>
        <v>272.76</v>
      </c>
      <c r="F2069">
        <f t="shared" si="65"/>
        <v>102153</v>
      </c>
      <c r="H2069" s="680">
        <v>272.76</v>
      </c>
      <c r="I2069" s="680">
        <v>275.33</v>
      </c>
    </row>
    <row r="2070" spans="2:9">
      <c r="B2070" s="396">
        <v>102154</v>
      </c>
      <c r="C2070" s="401" t="s">
        <v>5454</v>
      </c>
      <c r="D2070" s="396" t="s">
        <v>0</v>
      </c>
      <c r="E2070" s="405">
        <f t="shared" si="64"/>
        <v>235.94</v>
      </c>
      <c r="F2070">
        <f t="shared" si="65"/>
        <v>102154</v>
      </c>
      <c r="H2070" s="679">
        <v>235.94</v>
      </c>
      <c r="I2070" s="679">
        <v>237.99</v>
      </c>
    </row>
    <row r="2071" spans="2:9">
      <c r="B2071" s="395">
        <v>102155</v>
      </c>
      <c r="C2071" s="406" t="s">
        <v>5455</v>
      </c>
      <c r="D2071" s="395" t="s">
        <v>0</v>
      </c>
      <c r="E2071" s="407">
        <f t="shared" si="64"/>
        <v>283.66000000000003</v>
      </c>
      <c r="F2071">
        <f t="shared" si="65"/>
        <v>102155</v>
      </c>
      <c r="H2071" s="680">
        <v>283.66000000000003</v>
      </c>
      <c r="I2071" s="680">
        <v>285.70999999999998</v>
      </c>
    </row>
    <row r="2072" spans="2:9">
      <c r="B2072" s="396">
        <v>102156</v>
      </c>
      <c r="C2072" s="401" t="s">
        <v>5456</v>
      </c>
      <c r="D2072" s="396" t="s">
        <v>0</v>
      </c>
      <c r="E2072" s="405">
        <f t="shared" si="64"/>
        <v>272.31</v>
      </c>
      <c r="F2072">
        <f t="shared" si="65"/>
        <v>102156</v>
      </c>
      <c r="H2072" s="679">
        <v>272.31</v>
      </c>
      <c r="I2072" s="679">
        <v>273.86</v>
      </c>
    </row>
    <row r="2073" spans="2:9">
      <c r="B2073" s="395">
        <v>102157</v>
      </c>
      <c r="C2073" s="406" t="s">
        <v>5457</v>
      </c>
      <c r="D2073" s="395" t="s">
        <v>0</v>
      </c>
      <c r="E2073" s="407">
        <f t="shared" si="64"/>
        <v>374.4</v>
      </c>
      <c r="F2073">
        <f t="shared" si="65"/>
        <v>102157</v>
      </c>
      <c r="H2073" s="680">
        <v>374.4</v>
      </c>
      <c r="I2073" s="680">
        <v>375.95</v>
      </c>
    </row>
    <row r="2074" spans="2:9">
      <c r="B2074" s="396">
        <v>102158</v>
      </c>
      <c r="C2074" s="401" t="s">
        <v>5458</v>
      </c>
      <c r="D2074" s="396" t="s">
        <v>0</v>
      </c>
      <c r="E2074" s="405">
        <f t="shared" si="64"/>
        <v>379.77</v>
      </c>
      <c r="F2074">
        <f t="shared" si="65"/>
        <v>102158</v>
      </c>
      <c r="H2074" s="679">
        <v>379.77</v>
      </c>
      <c r="I2074" s="679">
        <v>380.93</v>
      </c>
    </row>
    <row r="2075" spans="2:9">
      <c r="B2075" s="395">
        <v>102159</v>
      </c>
      <c r="C2075" s="406" t="s">
        <v>5459</v>
      </c>
      <c r="D2075" s="395" t="s">
        <v>0</v>
      </c>
      <c r="E2075" s="407">
        <f t="shared" si="64"/>
        <v>453.35</v>
      </c>
      <c r="F2075">
        <f t="shared" si="65"/>
        <v>102159</v>
      </c>
      <c r="H2075" s="680">
        <v>453.35</v>
      </c>
      <c r="I2075" s="680">
        <v>454.37</v>
      </c>
    </row>
    <row r="2076" spans="2:9">
      <c r="B2076" s="396">
        <v>102160</v>
      </c>
      <c r="C2076" s="401" t="s">
        <v>5460</v>
      </c>
      <c r="D2076" s="396" t="s">
        <v>0</v>
      </c>
      <c r="E2076" s="405">
        <f t="shared" si="64"/>
        <v>185.26</v>
      </c>
      <c r="F2076">
        <f t="shared" si="65"/>
        <v>102160</v>
      </c>
      <c r="H2076" s="679">
        <v>185.26</v>
      </c>
      <c r="I2076" s="679">
        <v>187.83</v>
      </c>
    </row>
    <row r="2077" spans="2:9">
      <c r="B2077" s="395">
        <v>102161</v>
      </c>
      <c r="C2077" s="406" t="s">
        <v>7428</v>
      </c>
      <c r="D2077" s="395" t="s">
        <v>0</v>
      </c>
      <c r="E2077" s="407">
        <f t="shared" si="64"/>
        <v>299.38</v>
      </c>
      <c r="F2077">
        <f t="shared" si="65"/>
        <v>102161</v>
      </c>
      <c r="H2077" s="680">
        <v>299.38</v>
      </c>
      <c r="I2077" s="680">
        <v>302.48</v>
      </c>
    </row>
    <row r="2078" spans="2:9">
      <c r="B2078" s="396">
        <v>102162</v>
      </c>
      <c r="C2078" s="401" t="s">
        <v>7429</v>
      </c>
      <c r="D2078" s="396" t="s">
        <v>0</v>
      </c>
      <c r="E2078" s="405">
        <f t="shared" si="64"/>
        <v>321.26</v>
      </c>
      <c r="F2078">
        <f t="shared" si="65"/>
        <v>102162</v>
      </c>
      <c r="H2078" s="679">
        <v>321.26</v>
      </c>
      <c r="I2078" s="679">
        <v>324.36</v>
      </c>
    </row>
    <row r="2079" spans="2:9">
      <c r="B2079" s="395">
        <v>102163</v>
      </c>
      <c r="C2079" s="406" t="s">
        <v>7430</v>
      </c>
      <c r="D2079" s="395" t="s">
        <v>0</v>
      </c>
      <c r="E2079" s="407">
        <f t="shared" si="64"/>
        <v>379.59</v>
      </c>
      <c r="F2079">
        <f t="shared" si="65"/>
        <v>102163</v>
      </c>
      <c r="H2079" s="680">
        <v>379.59</v>
      </c>
      <c r="I2079" s="680">
        <v>382.69</v>
      </c>
    </row>
    <row r="2080" spans="2:9">
      <c r="B2080" s="396">
        <v>102164</v>
      </c>
      <c r="C2080" s="401" t="s">
        <v>7431</v>
      </c>
      <c r="D2080" s="396" t="s">
        <v>0</v>
      </c>
      <c r="E2080" s="405">
        <f t="shared" si="64"/>
        <v>323.13</v>
      </c>
      <c r="F2080">
        <f t="shared" si="65"/>
        <v>102164</v>
      </c>
      <c r="H2080" s="679">
        <v>323.13</v>
      </c>
      <c r="I2080" s="679">
        <v>325.62</v>
      </c>
    </row>
    <row r="2081" spans="2:9">
      <c r="B2081" s="395">
        <v>102165</v>
      </c>
      <c r="C2081" s="406" t="s">
        <v>7432</v>
      </c>
      <c r="D2081" s="395" t="s">
        <v>0</v>
      </c>
      <c r="E2081" s="407">
        <f t="shared" si="64"/>
        <v>370.85</v>
      </c>
      <c r="F2081">
        <f t="shared" si="65"/>
        <v>102165</v>
      </c>
      <c r="H2081" s="680">
        <v>370.85</v>
      </c>
      <c r="I2081" s="680">
        <v>373.34</v>
      </c>
    </row>
    <row r="2082" spans="2:9">
      <c r="B2082" s="396">
        <v>102166</v>
      </c>
      <c r="C2082" s="401" t="s">
        <v>7433</v>
      </c>
      <c r="D2082" s="396" t="s">
        <v>0</v>
      </c>
      <c r="E2082" s="405">
        <f t="shared" si="64"/>
        <v>339.83</v>
      </c>
      <c r="F2082">
        <f t="shared" si="65"/>
        <v>102166</v>
      </c>
      <c r="H2082" s="679">
        <v>339.83</v>
      </c>
      <c r="I2082" s="679">
        <v>341.73</v>
      </c>
    </row>
    <row r="2083" spans="2:9">
      <c r="B2083" s="395">
        <v>102167</v>
      </c>
      <c r="C2083" s="406" t="s">
        <v>7434</v>
      </c>
      <c r="D2083" s="395" t="s">
        <v>0</v>
      </c>
      <c r="E2083" s="407">
        <f t="shared" si="64"/>
        <v>441.92</v>
      </c>
      <c r="F2083">
        <f t="shared" si="65"/>
        <v>102167</v>
      </c>
      <c r="H2083" s="680">
        <v>441.92</v>
      </c>
      <c r="I2083" s="680">
        <v>443.82</v>
      </c>
    </row>
    <row r="2084" spans="2:9">
      <c r="B2084" s="396">
        <v>102168</v>
      </c>
      <c r="C2084" s="401" t="s">
        <v>7435</v>
      </c>
      <c r="D2084" s="396" t="s">
        <v>0</v>
      </c>
      <c r="E2084" s="405">
        <f t="shared" si="64"/>
        <v>429.82</v>
      </c>
      <c r="F2084">
        <f t="shared" si="65"/>
        <v>102168</v>
      </c>
      <c r="H2084" s="679">
        <v>429.82</v>
      </c>
      <c r="I2084" s="679">
        <v>431.23</v>
      </c>
    </row>
    <row r="2085" spans="2:9">
      <c r="B2085" s="395">
        <v>102169</v>
      </c>
      <c r="C2085" s="406" t="s">
        <v>7436</v>
      </c>
      <c r="D2085" s="395" t="s">
        <v>0</v>
      </c>
      <c r="E2085" s="407">
        <f t="shared" si="64"/>
        <v>496.92</v>
      </c>
      <c r="F2085">
        <f t="shared" si="65"/>
        <v>102169</v>
      </c>
      <c r="H2085" s="680">
        <v>496.92</v>
      </c>
      <c r="I2085" s="680">
        <v>498.16</v>
      </c>
    </row>
    <row r="2086" spans="2:9">
      <c r="B2086" s="396">
        <v>102170</v>
      </c>
      <c r="C2086" s="401" t="s">
        <v>7437</v>
      </c>
      <c r="D2086" s="396" t="s">
        <v>0</v>
      </c>
      <c r="E2086" s="405">
        <f t="shared" si="64"/>
        <v>292.08999999999997</v>
      </c>
      <c r="F2086">
        <f t="shared" si="65"/>
        <v>102170</v>
      </c>
      <c r="H2086" s="679">
        <v>292.08999999999997</v>
      </c>
      <c r="I2086" s="679">
        <v>295.19</v>
      </c>
    </row>
    <row r="2087" spans="2:9">
      <c r="B2087" s="395">
        <v>102171</v>
      </c>
      <c r="C2087" s="406" t="s">
        <v>7438</v>
      </c>
      <c r="D2087" s="395" t="s">
        <v>0</v>
      </c>
      <c r="E2087" s="407">
        <f t="shared" si="64"/>
        <v>556.47</v>
      </c>
      <c r="F2087">
        <f t="shared" si="65"/>
        <v>102171</v>
      </c>
      <c r="H2087" s="680">
        <v>556.47</v>
      </c>
      <c r="I2087" s="680">
        <v>558.96</v>
      </c>
    </row>
    <row r="2088" spans="2:9">
      <c r="B2088" s="396">
        <v>102172</v>
      </c>
      <c r="C2088" s="401" t="s">
        <v>7439</v>
      </c>
      <c r="D2088" s="396" t="s">
        <v>0</v>
      </c>
      <c r="E2088" s="405">
        <f t="shared" si="64"/>
        <v>544</v>
      </c>
      <c r="F2088">
        <f t="shared" si="65"/>
        <v>102172</v>
      </c>
      <c r="H2088" s="679">
        <v>544</v>
      </c>
      <c r="I2088" s="679">
        <v>545.9</v>
      </c>
    </row>
    <row r="2089" spans="2:9">
      <c r="B2089" s="395">
        <v>102176</v>
      </c>
      <c r="C2089" s="406" t="s">
        <v>7440</v>
      </c>
      <c r="D2089" s="395" t="s">
        <v>0</v>
      </c>
      <c r="E2089" s="407">
        <f t="shared" si="64"/>
        <v>994.83</v>
      </c>
      <c r="F2089">
        <f t="shared" si="65"/>
        <v>102176</v>
      </c>
      <c r="H2089" s="680">
        <v>994.83</v>
      </c>
      <c r="I2089" s="680">
        <v>1001.44</v>
      </c>
    </row>
    <row r="2090" spans="2:9">
      <c r="B2090" s="396">
        <v>102177</v>
      </c>
      <c r="C2090" s="401" t="s">
        <v>7441</v>
      </c>
      <c r="D2090" s="396" t="s">
        <v>0</v>
      </c>
      <c r="E2090" s="405">
        <f t="shared" si="64"/>
        <v>2034.9</v>
      </c>
      <c r="F2090">
        <f t="shared" si="65"/>
        <v>102177</v>
      </c>
      <c r="H2090" s="679">
        <v>2034.9</v>
      </c>
      <c r="I2090" s="679">
        <v>2040.91</v>
      </c>
    </row>
    <row r="2091" spans="2:9">
      <c r="B2091" s="395">
        <v>102178</v>
      </c>
      <c r="C2091" s="406" t="s">
        <v>7442</v>
      </c>
      <c r="D2091" s="395" t="s">
        <v>0</v>
      </c>
      <c r="E2091" s="407">
        <f t="shared" si="64"/>
        <v>2341.9699999999998</v>
      </c>
      <c r="F2091">
        <f t="shared" si="65"/>
        <v>102178</v>
      </c>
      <c r="H2091" s="680">
        <v>2341.9699999999998</v>
      </c>
      <c r="I2091" s="680">
        <v>2347.48</v>
      </c>
    </row>
    <row r="2092" spans="2:9">
      <c r="B2092" s="396">
        <v>102179</v>
      </c>
      <c r="C2092" s="401" t="s">
        <v>7443</v>
      </c>
      <c r="D2092" s="396" t="s">
        <v>0</v>
      </c>
      <c r="E2092" s="405">
        <f t="shared" si="64"/>
        <v>358.22</v>
      </c>
      <c r="F2092">
        <f t="shared" si="65"/>
        <v>102179</v>
      </c>
      <c r="H2092" s="679">
        <v>358.22</v>
      </c>
      <c r="I2092" s="679">
        <v>364.51</v>
      </c>
    </row>
    <row r="2093" spans="2:9">
      <c r="B2093" s="395">
        <v>102180</v>
      </c>
      <c r="C2093" s="406" t="s">
        <v>7444</v>
      </c>
      <c r="D2093" s="395" t="s">
        <v>0</v>
      </c>
      <c r="E2093" s="407">
        <f t="shared" si="64"/>
        <v>420.37</v>
      </c>
      <c r="F2093">
        <f t="shared" si="65"/>
        <v>102180</v>
      </c>
      <c r="H2093" s="680">
        <v>420.37</v>
      </c>
      <c r="I2093" s="680">
        <v>426.37</v>
      </c>
    </row>
    <row r="2094" spans="2:9">
      <c r="B2094" s="396">
        <v>102181</v>
      </c>
      <c r="C2094" s="401" t="s">
        <v>7445</v>
      </c>
      <c r="D2094" s="396" t="s">
        <v>0</v>
      </c>
      <c r="E2094" s="405">
        <f t="shared" si="64"/>
        <v>504.02</v>
      </c>
      <c r="F2094">
        <f t="shared" si="65"/>
        <v>102181</v>
      </c>
      <c r="H2094" s="679">
        <v>504.02</v>
      </c>
      <c r="I2094" s="679">
        <v>509.65</v>
      </c>
    </row>
    <row r="2095" spans="2:9">
      <c r="B2095" s="395">
        <v>102182</v>
      </c>
      <c r="C2095" s="406" t="s">
        <v>5461</v>
      </c>
      <c r="D2095" s="395" t="s">
        <v>23</v>
      </c>
      <c r="E2095" s="407">
        <f t="shared" si="64"/>
        <v>1078.95</v>
      </c>
      <c r="F2095">
        <f t="shared" si="65"/>
        <v>102182</v>
      </c>
      <c r="H2095" s="680">
        <v>1078.95</v>
      </c>
      <c r="I2095" s="680">
        <v>1086.57</v>
      </c>
    </row>
    <row r="2096" spans="2:9">
      <c r="B2096" s="396">
        <v>102183</v>
      </c>
      <c r="C2096" s="401" t="s">
        <v>5462</v>
      </c>
      <c r="D2096" s="396" t="s">
        <v>23</v>
      </c>
      <c r="E2096" s="405">
        <f t="shared" si="64"/>
        <v>2167.39</v>
      </c>
      <c r="F2096">
        <f t="shared" si="65"/>
        <v>102183</v>
      </c>
      <c r="H2096" s="679">
        <v>2167.39</v>
      </c>
      <c r="I2096" s="679">
        <v>2183.65</v>
      </c>
    </row>
    <row r="2097" spans="2:9" ht="30">
      <c r="B2097" s="395">
        <v>102184</v>
      </c>
      <c r="C2097" s="406" t="s">
        <v>5463</v>
      </c>
      <c r="D2097" s="395" t="s">
        <v>23</v>
      </c>
      <c r="E2097" s="407">
        <f t="shared" si="64"/>
        <v>2110.5300000000002</v>
      </c>
      <c r="F2097">
        <f t="shared" si="65"/>
        <v>102184</v>
      </c>
      <c r="H2097" s="680">
        <v>2110.5300000000002</v>
      </c>
      <c r="I2097" s="680">
        <v>2123.4299999999998</v>
      </c>
    </row>
    <row r="2098" spans="2:9" ht="30">
      <c r="B2098" s="396">
        <v>102185</v>
      </c>
      <c r="C2098" s="401" t="s">
        <v>5464</v>
      </c>
      <c r="D2098" s="396" t="s">
        <v>23</v>
      </c>
      <c r="E2098" s="405">
        <f t="shared" si="64"/>
        <v>4230.2700000000004</v>
      </c>
      <c r="F2098">
        <f t="shared" si="65"/>
        <v>102185</v>
      </c>
      <c r="H2098" s="679">
        <v>4230.2700000000004</v>
      </c>
      <c r="I2098" s="679">
        <v>4257.1000000000004</v>
      </c>
    </row>
    <row r="2099" spans="2:9">
      <c r="B2099" s="395">
        <v>102190</v>
      </c>
      <c r="C2099" s="406" t="s">
        <v>5465</v>
      </c>
      <c r="D2099" s="395" t="s">
        <v>0</v>
      </c>
      <c r="E2099" s="407">
        <f t="shared" si="64"/>
        <v>14.57</v>
      </c>
      <c r="F2099">
        <f t="shared" si="65"/>
        <v>102190</v>
      </c>
      <c r="H2099" s="680">
        <v>14.57</v>
      </c>
      <c r="I2099" s="680">
        <v>16.16</v>
      </c>
    </row>
    <row r="2100" spans="2:9">
      <c r="B2100" s="396">
        <v>102191</v>
      </c>
      <c r="C2100" s="401" t="s">
        <v>5466</v>
      </c>
      <c r="D2100" s="396" t="s">
        <v>0</v>
      </c>
      <c r="E2100" s="405">
        <f t="shared" si="64"/>
        <v>17.7</v>
      </c>
      <c r="F2100">
        <f t="shared" si="65"/>
        <v>102191</v>
      </c>
      <c r="H2100" s="679">
        <v>17.7</v>
      </c>
      <c r="I2100" s="679">
        <v>19.64</v>
      </c>
    </row>
    <row r="2101" spans="2:9">
      <c r="B2101" s="395">
        <v>102192</v>
      </c>
      <c r="C2101" s="406" t="s">
        <v>5467</v>
      </c>
      <c r="D2101" s="395" t="s">
        <v>0</v>
      </c>
      <c r="E2101" s="407">
        <f t="shared" si="64"/>
        <v>12.63</v>
      </c>
      <c r="F2101">
        <f t="shared" si="65"/>
        <v>102192</v>
      </c>
      <c r="H2101" s="680">
        <v>12.63</v>
      </c>
      <c r="I2101" s="680">
        <v>14.02</v>
      </c>
    </row>
    <row r="2102" spans="2:9" ht="30">
      <c r="B2102" s="396">
        <v>94569</v>
      </c>
      <c r="C2102" s="401" t="s">
        <v>3803</v>
      </c>
      <c r="D2102" s="396" t="s">
        <v>0</v>
      </c>
      <c r="E2102" s="405">
        <f t="shared" si="64"/>
        <v>695.45</v>
      </c>
      <c r="F2102">
        <f t="shared" si="65"/>
        <v>94569</v>
      </c>
      <c r="H2102" s="679">
        <v>695.45</v>
      </c>
      <c r="I2102" s="679">
        <v>701.32</v>
      </c>
    </row>
    <row r="2103" spans="2:9" ht="30">
      <c r="B2103" s="395">
        <v>94570</v>
      </c>
      <c r="C2103" s="406" t="s">
        <v>3804</v>
      </c>
      <c r="D2103" s="395" t="s">
        <v>0</v>
      </c>
      <c r="E2103" s="407">
        <f t="shared" si="64"/>
        <v>363.06</v>
      </c>
      <c r="F2103">
        <f t="shared" si="65"/>
        <v>94570</v>
      </c>
      <c r="H2103" s="680">
        <v>363.06</v>
      </c>
      <c r="I2103" s="680">
        <v>364.84</v>
      </c>
    </row>
    <row r="2104" spans="2:9" ht="30">
      <c r="B2104" s="396">
        <v>94572</v>
      </c>
      <c r="C2104" s="401" t="s">
        <v>3805</v>
      </c>
      <c r="D2104" s="396" t="s">
        <v>0</v>
      </c>
      <c r="E2104" s="405">
        <f t="shared" si="64"/>
        <v>516.94000000000005</v>
      </c>
      <c r="F2104">
        <f t="shared" si="65"/>
        <v>94572</v>
      </c>
      <c r="H2104" s="679">
        <v>516.94000000000005</v>
      </c>
      <c r="I2104" s="679">
        <v>519.33000000000004</v>
      </c>
    </row>
    <row r="2105" spans="2:9" ht="30">
      <c r="B2105" s="395">
        <v>94573</v>
      </c>
      <c r="C2105" s="406" t="s">
        <v>3806</v>
      </c>
      <c r="D2105" s="395" t="s">
        <v>0</v>
      </c>
      <c r="E2105" s="407">
        <f t="shared" si="64"/>
        <v>417.39</v>
      </c>
      <c r="F2105">
        <f t="shared" si="65"/>
        <v>94573</v>
      </c>
      <c r="H2105" s="680">
        <v>417.39</v>
      </c>
      <c r="I2105" s="680">
        <v>420.68</v>
      </c>
    </row>
    <row r="2106" spans="2:9" ht="45">
      <c r="B2106" s="396">
        <v>94580</v>
      </c>
      <c r="C2106" s="401" t="s">
        <v>3807</v>
      </c>
      <c r="D2106" s="396" t="s">
        <v>0</v>
      </c>
      <c r="E2106" s="405">
        <f t="shared" si="64"/>
        <v>573.22</v>
      </c>
      <c r="F2106">
        <f t="shared" si="65"/>
        <v>94580</v>
      </c>
      <c r="H2106" s="679">
        <v>573.22</v>
      </c>
      <c r="I2106" s="679">
        <v>577.07000000000005</v>
      </c>
    </row>
    <row r="2107" spans="2:9">
      <c r="B2107" s="395">
        <v>94589</v>
      </c>
      <c r="C2107" s="406" t="s">
        <v>6115</v>
      </c>
      <c r="D2107" s="395" t="s">
        <v>22</v>
      </c>
      <c r="E2107" s="407">
        <f t="shared" si="64"/>
        <v>19.649999999999999</v>
      </c>
      <c r="F2107">
        <f t="shared" si="65"/>
        <v>94589</v>
      </c>
      <c r="H2107" s="680">
        <v>19.649999999999999</v>
      </c>
      <c r="I2107" s="680">
        <v>20.87</v>
      </c>
    </row>
    <row r="2108" spans="2:9">
      <c r="B2108" s="396">
        <v>94590</v>
      </c>
      <c r="C2108" s="401" t="s">
        <v>6116</v>
      </c>
      <c r="D2108" s="396" t="s">
        <v>22</v>
      </c>
      <c r="E2108" s="405">
        <f t="shared" si="64"/>
        <v>18.12</v>
      </c>
      <c r="F2108">
        <f t="shared" si="65"/>
        <v>94590</v>
      </c>
      <c r="H2108" s="679">
        <v>18.12</v>
      </c>
      <c r="I2108" s="679">
        <v>18.64</v>
      </c>
    </row>
    <row r="2109" spans="2:9" ht="30">
      <c r="B2109" s="395">
        <v>100674</v>
      </c>
      <c r="C2109" s="406" t="s">
        <v>3808</v>
      </c>
      <c r="D2109" s="395" t="s">
        <v>0</v>
      </c>
      <c r="E2109" s="407">
        <f t="shared" si="64"/>
        <v>756.45</v>
      </c>
      <c r="F2109">
        <f t="shared" si="65"/>
        <v>100674</v>
      </c>
      <c r="H2109" s="680">
        <v>756.45</v>
      </c>
      <c r="I2109" s="680">
        <v>758.92</v>
      </c>
    </row>
    <row r="2110" spans="2:9" ht="30">
      <c r="B2110" s="396">
        <v>101096</v>
      </c>
      <c r="C2110" s="401" t="s">
        <v>4012</v>
      </c>
      <c r="D2110" s="396" t="s">
        <v>20</v>
      </c>
      <c r="E2110" s="405">
        <f t="shared" si="64"/>
        <v>1256.4000000000001</v>
      </c>
      <c r="F2110">
        <f t="shared" si="65"/>
        <v>101096</v>
      </c>
      <c r="H2110" s="679">
        <v>1256.4000000000001</v>
      </c>
      <c r="I2110" s="679">
        <v>1312.69</v>
      </c>
    </row>
    <row r="2111" spans="2:9" ht="30">
      <c r="B2111" s="395">
        <v>101097</v>
      </c>
      <c r="C2111" s="406" t="s">
        <v>4013</v>
      </c>
      <c r="D2111" s="395" t="s">
        <v>20</v>
      </c>
      <c r="E2111" s="407">
        <f t="shared" si="64"/>
        <v>1205.05</v>
      </c>
      <c r="F2111">
        <f t="shared" si="65"/>
        <v>101097</v>
      </c>
      <c r="H2111" s="680">
        <v>1205.05</v>
      </c>
      <c r="I2111" s="680">
        <v>1255.51</v>
      </c>
    </row>
    <row r="2112" spans="2:9" ht="30">
      <c r="B2112" s="396">
        <v>101098</v>
      </c>
      <c r="C2112" s="401" t="s">
        <v>4014</v>
      </c>
      <c r="D2112" s="396" t="s">
        <v>20</v>
      </c>
      <c r="E2112" s="405">
        <f t="shared" si="64"/>
        <v>1144.58</v>
      </c>
      <c r="F2112">
        <f t="shared" si="65"/>
        <v>101098</v>
      </c>
      <c r="H2112" s="679">
        <v>1144.58</v>
      </c>
      <c r="I2112" s="679">
        <v>1186.82</v>
      </c>
    </row>
    <row r="2113" spans="2:9" ht="30">
      <c r="B2113" s="395">
        <v>101099</v>
      </c>
      <c r="C2113" s="406" t="s">
        <v>4015</v>
      </c>
      <c r="D2113" s="395" t="s">
        <v>20</v>
      </c>
      <c r="E2113" s="407">
        <f t="shared" si="64"/>
        <v>1058.19</v>
      </c>
      <c r="F2113">
        <f t="shared" si="65"/>
        <v>101099</v>
      </c>
      <c r="H2113" s="680">
        <v>1058.19</v>
      </c>
      <c r="I2113" s="680">
        <v>1095.03</v>
      </c>
    </row>
    <row r="2114" spans="2:9" ht="30">
      <c r="B2114" s="396">
        <v>101100</v>
      </c>
      <c r="C2114" s="401" t="s">
        <v>4016</v>
      </c>
      <c r="D2114" s="396" t="s">
        <v>20</v>
      </c>
      <c r="E2114" s="405">
        <f t="shared" si="64"/>
        <v>1034.8800000000001</v>
      </c>
      <c r="F2114">
        <f t="shared" si="65"/>
        <v>101100</v>
      </c>
      <c r="H2114" s="679">
        <v>1034.8800000000001</v>
      </c>
      <c r="I2114" s="679">
        <v>1052.72</v>
      </c>
    </row>
    <row r="2115" spans="2:9" ht="30">
      <c r="B2115" s="395">
        <v>101101</v>
      </c>
      <c r="C2115" s="406" t="s">
        <v>4017</v>
      </c>
      <c r="D2115" s="395" t="s">
        <v>20</v>
      </c>
      <c r="E2115" s="407">
        <f t="shared" ref="E2115:E2178" si="66">IF($K$2=$H$1,H2115,I2115)</f>
        <v>1014.83</v>
      </c>
      <c r="F2115">
        <f t="shared" ref="F2115:F2178" si="67">IF(LEN($B2115)=7,CONCATENATE(MID($B2115,1,6),"00",RIGHT($B2115,1)),IF(LEN($B2115)=8,CONCATENATE(MID($B2115,1,6),"0",RIGHT($B2115,2)),$B2115))</f>
        <v>101101</v>
      </c>
      <c r="H2115" s="680">
        <v>1014.83</v>
      </c>
      <c r="I2115" s="680">
        <v>1031.75</v>
      </c>
    </row>
    <row r="2116" spans="2:9" ht="30">
      <c r="B2116" s="396">
        <v>101102</v>
      </c>
      <c r="C2116" s="401" t="s">
        <v>4018</v>
      </c>
      <c r="D2116" s="396" t="s">
        <v>20</v>
      </c>
      <c r="E2116" s="405">
        <f t="shared" si="66"/>
        <v>997.67</v>
      </c>
      <c r="F2116">
        <f t="shared" si="67"/>
        <v>101102</v>
      </c>
      <c r="H2116" s="679">
        <v>997.67</v>
      </c>
      <c r="I2116" s="679">
        <v>1013.14</v>
      </c>
    </row>
    <row r="2117" spans="2:9" ht="30">
      <c r="B2117" s="395">
        <v>101103</v>
      </c>
      <c r="C2117" s="406" t="s">
        <v>4019</v>
      </c>
      <c r="D2117" s="395" t="s">
        <v>20</v>
      </c>
      <c r="E2117" s="407">
        <f t="shared" si="66"/>
        <v>939.4</v>
      </c>
      <c r="F2117">
        <f t="shared" si="67"/>
        <v>101103</v>
      </c>
      <c r="H2117" s="680">
        <v>939.4</v>
      </c>
      <c r="I2117" s="680">
        <v>953.81</v>
      </c>
    </row>
    <row r="2118" spans="2:9" ht="30">
      <c r="B2118" s="396">
        <v>101104</v>
      </c>
      <c r="C2118" s="401" t="s">
        <v>4020</v>
      </c>
      <c r="D2118" s="396" t="s">
        <v>20</v>
      </c>
      <c r="E2118" s="405">
        <f t="shared" si="66"/>
        <v>1452.43</v>
      </c>
      <c r="F2118">
        <f t="shared" si="67"/>
        <v>101104</v>
      </c>
      <c r="H2118" s="679">
        <v>1452.43</v>
      </c>
      <c r="I2118" s="679">
        <v>1498.73</v>
      </c>
    </row>
    <row r="2119" spans="2:9" ht="30">
      <c r="B2119" s="395">
        <v>101105</v>
      </c>
      <c r="C2119" s="406" t="s">
        <v>4021</v>
      </c>
      <c r="D2119" s="395" t="s">
        <v>20</v>
      </c>
      <c r="E2119" s="407">
        <f t="shared" si="66"/>
        <v>1398.03</v>
      </c>
      <c r="F2119">
        <f t="shared" si="67"/>
        <v>101105</v>
      </c>
      <c r="H2119" s="680">
        <v>1398.03</v>
      </c>
      <c r="I2119" s="680">
        <v>1438.68</v>
      </c>
    </row>
    <row r="2120" spans="2:9" ht="30">
      <c r="B2120" s="396">
        <v>101106</v>
      </c>
      <c r="C2120" s="401" t="s">
        <v>4022</v>
      </c>
      <c r="D2120" s="396" t="s">
        <v>20</v>
      </c>
      <c r="E2120" s="405">
        <f t="shared" si="66"/>
        <v>1333.35</v>
      </c>
      <c r="F2120">
        <f t="shared" si="67"/>
        <v>101106</v>
      </c>
      <c r="H2120" s="679">
        <v>1333.35</v>
      </c>
      <c r="I2120" s="679">
        <v>1366.1</v>
      </c>
    </row>
    <row r="2121" spans="2:9" ht="30">
      <c r="B2121" s="395">
        <v>101107</v>
      </c>
      <c r="C2121" s="406" t="s">
        <v>4023</v>
      </c>
      <c r="D2121" s="395" t="s">
        <v>20</v>
      </c>
      <c r="E2121" s="407">
        <f t="shared" si="66"/>
        <v>1240.8699999999999</v>
      </c>
      <c r="F2121">
        <f t="shared" si="67"/>
        <v>101107</v>
      </c>
      <c r="H2121" s="680">
        <v>1240.8699999999999</v>
      </c>
      <c r="I2121" s="680">
        <v>1268.57</v>
      </c>
    </row>
    <row r="2122" spans="2:9" ht="30">
      <c r="B2122" s="396">
        <v>101108</v>
      </c>
      <c r="C2122" s="401" t="s">
        <v>4024</v>
      </c>
      <c r="D2122" s="396" t="s">
        <v>20</v>
      </c>
      <c r="E2122" s="405">
        <f t="shared" si="66"/>
        <v>1226.3800000000001</v>
      </c>
      <c r="F2122">
        <f t="shared" si="67"/>
        <v>101108</v>
      </c>
      <c r="H2122" s="679">
        <v>1226.3800000000001</v>
      </c>
      <c r="I2122" s="679">
        <v>1233.5899999999999</v>
      </c>
    </row>
    <row r="2123" spans="2:9" ht="30">
      <c r="B2123" s="395">
        <v>101109</v>
      </c>
      <c r="C2123" s="406" t="s">
        <v>4025</v>
      </c>
      <c r="D2123" s="395" t="s">
        <v>20</v>
      </c>
      <c r="E2123" s="407">
        <f t="shared" si="66"/>
        <v>1203.51</v>
      </c>
      <c r="F2123">
        <f t="shared" si="67"/>
        <v>101109</v>
      </c>
      <c r="H2123" s="680">
        <v>1203.51</v>
      </c>
      <c r="I2123" s="680">
        <v>1210.01</v>
      </c>
    </row>
    <row r="2124" spans="2:9" ht="30">
      <c r="B2124" s="396">
        <v>101110</v>
      </c>
      <c r="C2124" s="401" t="s">
        <v>4026</v>
      </c>
      <c r="D2124" s="396" t="s">
        <v>20</v>
      </c>
      <c r="E2124" s="405">
        <f t="shared" si="66"/>
        <v>1182.6600000000001</v>
      </c>
      <c r="F2124">
        <f t="shared" si="67"/>
        <v>101110</v>
      </c>
      <c r="H2124" s="679">
        <v>1182.6600000000001</v>
      </c>
      <c r="I2124" s="679">
        <v>1188.0899999999999</v>
      </c>
    </row>
    <row r="2125" spans="2:9" ht="30">
      <c r="B2125" s="395">
        <v>101111</v>
      </c>
      <c r="C2125" s="406" t="s">
        <v>4027</v>
      </c>
      <c r="D2125" s="395" t="s">
        <v>20</v>
      </c>
      <c r="E2125" s="407">
        <f t="shared" si="66"/>
        <v>1118.81</v>
      </c>
      <c r="F2125">
        <f t="shared" si="67"/>
        <v>101111</v>
      </c>
      <c r="H2125" s="680">
        <v>1118.81</v>
      </c>
      <c r="I2125" s="680">
        <v>1123.6300000000001</v>
      </c>
    </row>
    <row r="2126" spans="2:9" ht="30">
      <c r="B2126" s="396">
        <v>101112</v>
      </c>
      <c r="C2126" s="401" t="s">
        <v>4028</v>
      </c>
      <c r="D2126" s="396" t="s">
        <v>20</v>
      </c>
      <c r="E2126" s="405">
        <f t="shared" si="66"/>
        <v>918.19</v>
      </c>
      <c r="F2126">
        <f t="shared" si="67"/>
        <v>101112</v>
      </c>
      <c r="H2126" s="679">
        <v>918.19</v>
      </c>
      <c r="I2126" s="679">
        <v>952.39</v>
      </c>
    </row>
    <row r="2127" spans="2:9" ht="30">
      <c r="B2127" s="395">
        <v>101113</v>
      </c>
      <c r="C2127" s="406" t="s">
        <v>4029</v>
      </c>
      <c r="D2127" s="395" t="s">
        <v>20</v>
      </c>
      <c r="E2127" s="407">
        <f t="shared" si="66"/>
        <v>1121.0999999999999</v>
      </c>
      <c r="F2127">
        <f t="shared" si="67"/>
        <v>101113</v>
      </c>
      <c r="H2127" s="680">
        <v>1121.0999999999999</v>
      </c>
      <c r="I2127" s="680">
        <v>1145.56</v>
      </c>
    </row>
    <row r="2128" spans="2:9">
      <c r="B2128" s="396">
        <v>95601</v>
      </c>
      <c r="C2128" s="401" t="s">
        <v>5547</v>
      </c>
      <c r="D2128" s="396" t="s">
        <v>23</v>
      </c>
      <c r="E2128" s="405">
        <f t="shared" si="66"/>
        <v>12.1</v>
      </c>
      <c r="F2128">
        <f t="shared" si="67"/>
        <v>95601</v>
      </c>
      <c r="H2128" s="679">
        <v>12.1</v>
      </c>
      <c r="I2128" s="679">
        <v>13.32</v>
      </c>
    </row>
    <row r="2129" spans="2:9">
      <c r="B2129" s="395">
        <v>95602</v>
      </c>
      <c r="C2129" s="406" t="s">
        <v>5548</v>
      </c>
      <c r="D2129" s="395" t="s">
        <v>23</v>
      </c>
      <c r="E2129" s="407">
        <f t="shared" si="66"/>
        <v>19.37</v>
      </c>
      <c r="F2129">
        <f t="shared" si="67"/>
        <v>95602</v>
      </c>
      <c r="H2129" s="680">
        <v>19.37</v>
      </c>
      <c r="I2129" s="680">
        <v>21.32</v>
      </c>
    </row>
    <row r="2130" spans="2:9">
      <c r="B2130" s="396">
        <v>95603</v>
      </c>
      <c r="C2130" s="401" t="s">
        <v>5549</v>
      </c>
      <c r="D2130" s="396" t="s">
        <v>23</v>
      </c>
      <c r="E2130" s="405">
        <f t="shared" si="66"/>
        <v>33.049999999999997</v>
      </c>
      <c r="F2130">
        <f t="shared" si="67"/>
        <v>95603</v>
      </c>
      <c r="H2130" s="679">
        <v>33.049999999999997</v>
      </c>
      <c r="I2130" s="679">
        <v>36.39</v>
      </c>
    </row>
    <row r="2131" spans="2:9">
      <c r="B2131" s="395">
        <v>95604</v>
      </c>
      <c r="C2131" s="406" t="s">
        <v>5550</v>
      </c>
      <c r="D2131" s="395" t="s">
        <v>23</v>
      </c>
      <c r="E2131" s="407">
        <f t="shared" si="66"/>
        <v>51.3</v>
      </c>
      <c r="F2131">
        <f t="shared" si="67"/>
        <v>95604</v>
      </c>
      <c r="H2131" s="680">
        <v>51.3</v>
      </c>
      <c r="I2131" s="680">
        <v>56.47</v>
      </c>
    </row>
    <row r="2132" spans="2:9">
      <c r="B2132" s="396">
        <v>95605</v>
      </c>
      <c r="C2132" s="401" t="s">
        <v>5551</v>
      </c>
      <c r="D2132" s="396" t="s">
        <v>23</v>
      </c>
      <c r="E2132" s="405">
        <f t="shared" si="66"/>
        <v>94.21</v>
      </c>
      <c r="F2132">
        <f t="shared" si="67"/>
        <v>95605</v>
      </c>
      <c r="H2132" s="679">
        <v>94.21</v>
      </c>
      <c r="I2132" s="679">
        <v>103.69</v>
      </c>
    </row>
    <row r="2133" spans="2:9">
      <c r="B2133" s="395">
        <v>95607</v>
      </c>
      <c r="C2133" s="406" t="s">
        <v>5552</v>
      </c>
      <c r="D2133" s="395" t="s">
        <v>23</v>
      </c>
      <c r="E2133" s="407">
        <f t="shared" si="66"/>
        <v>22.35</v>
      </c>
      <c r="F2133">
        <f t="shared" si="67"/>
        <v>95607</v>
      </c>
      <c r="H2133" s="680">
        <v>22.35</v>
      </c>
      <c r="I2133" s="680">
        <v>23.41</v>
      </c>
    </row>
    <row r="2134" spans="2:9">
      <c r="B2134" s="396">
        <v>95608</v>
      </c>
      <c r="C2134" s="401" t="s">
        <v>5553</v>
      </c>
      <c r="D2134" s="396" t="s">
        <v>23</v>
      </c>
      <c r="E2134" s="405">
        <f t="shared" si="66"/>
        <v>32.42</v>
      </c>
      <c r="F2134">
        <f t="shared" si="67"/>
        <v>95608</v>
      </c>
      <c r="H2134" s="679">
        <v>32.42</v>
      </c>
      <c r="I2134" s="679">
        <v>33.950000000000003</v>
      </c>
    </row>
    <row r="2135" spans="2:9">
      <c r="B2135" s="395">
        <v>95609</v>
      </c>
      <c r="C2135" s="406" t="s">
        <v>5554</v>
      </c>
      <c r="D2135" s="395" t="s">
        <v>23</v>
      </c>
      <c r="E2135" s="407">
        <f t="shared" si="66"/>
        <v>41.1</v>
      </c>
      <c r="F2135">
        <f t="shared" si="67"/>
        <v>95609</v>
      </c>
      <c r="H2135" s="680">
        <v>41.1</v>
      </c>
      <c r="I2135" s="680">
        <v>43.05</v>
      </c>
    </row>
    <row r="2136" spans="2:9" ht="30">
      <c r="B2136" s="396">
        <v>100651</v>
      </c>
      <c r="C2136" s="401" t="s">
        <v>4726</v>
      </c>
      <c r="D2136" s="396" t="s">
        <v>22</v>
      </c>
      <c r="E2136" s="405">
        <f t="shared" si="66"/>
        <v>167.71</v>
      </c>
      <c r="F2136">
        <f t="shared" si="67"/>
        <v>100651</v>
      </c>
      <c r="H2136" s="679">
        <v>167.71</v>
      </c>
      <c r="I2136" s="679">
        <v>169.06</v>
      </c>
    </row>
    <row r="2137" spans="2:9" ht="30">
      <c r="B2137" s="395">
        <v>100652</v>
      </c>
      <c r="C2137" s="406" t="s">
        <v>4727</v>
      </c>
      <c r="D2137" s="395" t="s">
        <v>22</v>
      </c>
      <c r="E2137" s="407">
        <f t="shared" si="66"/>
        <v>336.21</v>
      </c>
      <c r="F2137">
        <f t="shared" si="67"/>
        <v>100652</v>
      </c>
      <c r="H2137" s="680">
        <v>336.21</v>
      </c>
      <c r="I2137" s="680">
        <v>338.02</v>
      </c>
    </row>
    <row r="2138" spans="2:9" ht="30">
      <c r="B2138" s="396">
        <v>100653</v>
      </c>
      <c r="C2138" s="401" t="s">
        <v>4728</v>
      </c>
      <c r="D2138" s="396" t="s">
        <v>22</v>
      </c>
      <c r="E2138" s="405">
        <f t="shared" si="66"/>
        <v>572.79</v>
      </c>
      <c r="F2138">
        <f t="shared" si="67"/>
        <v>100653</v>
      </c>
      <c r="H2138" s="679">
        <v>572.79</v>
      </c>
      <c r="I2138" s="679">
        <v>575.05999999999995</v>
      </c>
    </row>
    <row r="2139" spans="2:9" ht="30">
      <c r="B2139" s="395">
        <v>100654</v>
      </c>
      <c r="C2139" s="406" t="s">
        <v>4729</v>
      </c>
      <c r="D2139" s="395" t="s">
        <v>22</v>
      </c>
      <c r="E2139" s="407">
        <f t="shared" si="66"/>
        <v>773.28</v>
      </c>
      <c r="F2139">
        <f t="shared" si="67"/>
        <v>100654</v>
      </c>
      <c r="H2139" s="680">
        <v>773.28</v>
      </c>
      <c r="I2139" s="680">
        <v>775.95</v>
      </c>
    </row>
    <row r="2140" spans="2:9" ht="30">
      <c r="B2140" s="396">
        <v>100655</v>
      </c>
      <c r="C2140" s="401" t="s">
        <v>4730</v>
      </c>
      <c r="D2140" s="396" t="s">
        <v>22</v>
      </c>
      <c r="E2140" s="405">
        <f t="shared" si="66"/>
        <v>904.01</v>
      </c>
      <c r="F2140">
        <f t="shared" si="67"/>
        <v>100655</v>
      </c>
      <c r="H2140" s="679">
        <v>904.01</v>
      </c>
      <c r="I2140" s="679">
        <v>906.33</v>
      </c>
    </row>
    <row r="2141" spans="2:9" ht="30">
      <c r="B2141" s="395">
        <v>100656</v>
      </c>
      <c r="C2141" s="406" t="s">
        <v>3809</v>
      </c>
      <c r="D2141" s="395" t="s">
        <v>22</v>
      </c>
      <c r="E2141" s="407">
        <f t="shared" si="66"/>
        <v>105.99</v>
      </c>
      <c r="F2141">
        <f t="shared" si="67"/>
        <v>100656</v>
      </c>
      <c r="H2141" s="680">
        <v>105.99</v>
      </c>
      <c r="I2141" s="680">
        <v>107.33</v>
      </c>
    </row>
    <row r="2142" spans="2:9" ht="30">
      <c r="B2142" s="396">
        <v>100657</v>
      </c>
      <c r="C2142" s="401" t="s">
        <v>3810</v>
      </c>
      <c r="D2142" s="396" t="s">
        <v>22</v>
      </c>
      <c r="E2142" s="405">
        <f t="shared" si="66"/>
        <v>137.65</v>
      </c>
      <c r="F2142">
        <f t="shared" si="67"/>
        <v>100657</v>
      </c>
      <c r="H2142" s="679">
        <v>137.65</v>
      </c>
      <c r="I2142" s="679">
        <v>139.06</v>
      </c>
    </row>
    <row r="2143" spans="2:9" ht="30">
      <c r="B2143" s="395">
        <v>100658</v>
      </c>
      <c r="C2143" s="406" t="s">
        <v>3811</v>
      </c>
      <c r="D2143" s="395" t="s">
        <v>22</v>
      </c>
      <c r="E2143" s="407">
        <f t="shared" si="66"/>
        <v>321.89999999999998</v>
      </c>
      <c r="F2143">
        <f t="shared" si="67"/>
        <v>100658</v>
      </c>
      <c r="H2143" s="680">
        <v>321.89999999999998</v>
      </c>
      <c r="I2143" s="680">
        <v>323.85000000000002</v>
      </c>
    </row>
    <row r="2144" spans="2:9" ht="30">
      <c r="B2144" s="396">
        <v>100889</v>
      </c>
      <c r="C2144" s="401" t="s">
        <v>3819</v>
      </c>
      <c r="D2144" s="396" t="s">
        <v>21</v>
      </c>
      <c r="E2144" s="405">
        <f t="shared" si="66"/>
        <v>16.86</v>
      </c>
      <c r="F2144">
        <f t="shared" si="67"/>
        <v>100889</v>
      </c>
      <c r="H2144" s="679">
        <v>16.86</v>
      </c>
      <c r="I2144" s="679">
        <v>16.899999999999999</v>
      </c>
    </row>
    <row r="2145" spans="2:9" ht="30">
      <c r="B2145" s="395">
        <v>100890</v>
      </c>
      <c r="C2145" s="406" t="s">
        <v>3820</v>
      </c>
      <c r="D2145" s="395" t="s">
        <v>21</v>
      </c>
      <c r="E2145" s="407">
        <f t="shared" si="66"/>
        <v>16.71</v>
      </c>
      <c r="F2145">
        <f t="shared" si="67"/>
        <v>100890</v>
      </c>
      <c r="H2145" s="680">
        <v>16.71</v>
      </c>
      <c r="I2145" s="680">
        <v>16.75</v>
      </c>
    </row>
    <row r="2146" spans="2:9" ht="30">
      <c r="B2146" s="396">
        <v>100892</v>
      </c>
      <c r="C2146" s="401" t="s">
        <v>3821</v>
      </c>
      <c r="D2146" s="396" t="s">
        <v>21</v>
      </c>
      <c r="E2146" s="405">
        <f t="shared" si="66"/>
        <v>15.87</v>
      </c>
      <c r="F2146">
        <f t="shared" si="67"/>
        <v>100892</v>
      </c>
      <c r="H2146" s="679">
        <v>15.87</v>
      </c>
      <c r="I2146" s="679">
        <v>15.94</v>
      </c>
    </row>
    <row r="2147" spans="2:9" ht="30">
      <c r="B2147" s="395">
        <v>100893</v>
      </c>
      <c r="C2147" s="406" t="s">
        <v>3822</v>
      </c>
      <c r="D2147" s="395" t="s">
        <v>21</v>
      </c>
      <c r="E2147" s="407">
        <f t="shared" si="66"/>
        <v>15.72</v>
      </c>
      <c r="F2147">
        <f t="shared" si="67"/>
        <v>100893</v>
      </c>
      <c r="H2147" s="680">
        <v>15.72</v>
      </c>
      <c r="I2147" s="680">
        <v>15.78</v>
      </c>
    </row>
    <row r="2148" spans="2:9" ht="30">
      <c r="B2148" s="396">
        <v>100894</v>
      </c>
      <c r="C2148" s="401" t="s">
        <v>3823</v>
      </c>
      <c r="D2148" s="396" t="s">
        <v>21</v>
      </c>
      <c r="E2148" s="405">
        <f t="shared" si="66"/>
        <v>15.62</v>
      </c>
      <c r="F2148">
        <f t="shared" si="67"/>
        <v>100894</v>
      </c>
      <c r="H2148" s="679">
        <v>15.62</v>
      </c>
      <c r="I2148" s="679">
        <v>15.67</v>
      </c>
    </row>
    <row r="2149" spans="2:9" ht="30">
      <c r="B2149" s="395">
        <v>100896</v>
      </c>
      <c r="C2149" s="406" t="s">
        <v>3824</v>
      </c>
      <c r="D2149" s="395" t="s">
        <v>22</v>
      </c>
      <c r="E2149" s="407">
        <f t="shared" si="66"/>
        <v>73.290000000000006</v>
      </c>
      <c r="F2149">
        <f t="shared" si="67"/>
        <v>100896</v>
      </c>
      <c r="H2149" s="680">
        <v>73.290000000000006</v>
      </c>
      <c r="I2149" s="680">
        <v>74.010000000000005</v>
      </c>
    </row>
    <row r="2150" spans="2:9" ht="30">
      <c r="B2150" s="396">
        <v>100897</v>
      </c>
      <c r="C2150" s="401" t="s">
        <v>3825</v>
      </c>
      <c r="D2150" s="396" t="s">
        <v>22</v>
      </c>
      <c r="E2150" s="405">
        <f t="shared" si="66"/>
        <v>150.85</v>
      </c>
      <c r="F2150">
        <f t="shared" si="67"/>
        <v>100897</v>
      </c>
      <c r="H2150" s="679">
        <v>150.85</v>
      </c>
      <c r="I2150" s="679">
        <v>151.75</v>
      </c>
    </row>
    <row r="2151" spans="2:9" ht="30">
      <c r="B2151" s="395">
        <v>100898</v>
      </c>
      <c r="C2151" s="406" t="s">
        <v>3826</v>
      </c>
      <c r="D2151" s="395" t="s">
        <v>22</v>
      </c>
      <c r="E2151" s="407">
        <f t="shared" si="66"/>
        <v>302.23</v>
      </c>
      <c r="F2151">
        <f t="shared" si="67"/>
        <v>100898</v>
      </c>
      <c r="H2151" s="680">
        <v>302.23</v>
      </c>
      <c r="I2151" s="680">
        <v>303.33999999999997</v>
      </c>
    </row>
    <row r="2152" spans="2:9" ht="30">
      <c r="B2152" s="396">
        <v>100899</v>
      </c>
      <c r="C2152" s="401" t="s">
        <v>3827</v>
      </c>
      <c r="D2152" s="396" t="s">
        <v>22</v>
      </c>
      <c r="E2152" s="405">
        <f t="shared" si="66"/>
        <v>92.31</v>
      </c>
      <c r="F2152">
        <f t="shared" si="67"/>
        <v>100899</v>
      </c>
      <c r="H2152" s="679">
        <v>92.31</v>
      </c>
      <c r="I2152" s="679">
        <v>95.2</v>
      </c>
    </row>
    <row r="2153" spans="2:9" ht="30">
      <c r="B2153" s="395">
        <v>100900</v>
      </c>
      <c r="C2153" s="406" t="s">
        <v>3828</v>
      </c>
      <c r="D2153" s="395" t="s">
        <v>22</v>
      </c>
      <c r="E2153" s="407">
        <f t="shared" si="66"/>
        <v>347.86</v>
      </c>
      <c r="F2153">
        <f t="shared" si="67"/>
        <v>100900</v>
      </c>
      <c r="H2153" s="680">
        <v>347.86</v>
      </c>
      <c r="I2153" s="680">
        <v>349.36</v>
      </c>
    </row>
    <row r="2154" spans="2:9" ht="30">
      <c r="B2154" s="396">
        <v>101173</v>
      </c>
      <c r="C2154" s="401" t="s">
        <v>4030</v>
      </c>
      <c r="D2154" s="396" t="s">
        <v>22</v>
      </c>
      <c r="E2154" s="405">
        <f t="shared" si="66"/>
        <v>61.87</v>
      </c>
      <c r="F2154">
        <f t="shared" si="67"/>
        <v>101173</v>
      </c>
      <c r="H2154" s="679">
        <v>61.87</v>
      </c>
      <c r="I2154" s="679">
        <v>64.61</v>
      </c>
    </row>
    <row r="2155" spans="2:9" ht="30">
      <c r="B2155" s="395">
        <v>101174</v>
      </c>
      <c r="C2155" s="406" t="s">
        <v>4031</v>
      </c>
      <c r="D2155" s="395" t="s">
        <v>22</v>
      </c>
      <c r="E2155" s="407">
        <f t="shared" si="66"/>
        <v>84.35</v>
      </c>
      <c r="F2155">
        <f t="shared" si="67"/>
        <v>101174</v>
      </c>
      <c r="H2155" s="680">
        <v>84.35</v>
      </c>
      <c r="I2155" s="680">
        <v>88.6</v>
      </c>
    </row>
    <row r="2156" spans="2:9" ht="30">
      <c r="B2156" s="396">
        <v>101175</v>
      </c>
      <c r="C2156" s="401" t="s">
        <v>4032</v>
      </c>
      <c r="D2156" s="396" t="s">
        <v>22</v>
      </c>
      <c r="E2156" s="405">
        <f t="shared" si="66"/>
        <v>115.32</v>
      </c>
      <c r="F2156">
        <f t="shared" si="67"/>
        <v>101175</v>
      </c>
      <c r="H2156" s="679">
        <v>115.32</v>
      </c>
      <c r="I2156" s="679">
        <v>121.11</v>
      </c>
    </row>
    <row r="2157" spans="2:9" ht="30">
      <c r="B2157" s="395">
        <v>101176</v>
      </c>
      <c r="C2157" s="406" t="s">
        <v>4033</v>
      </c>
      <c r="D2157" s="395" t="s">
        <v>22</v>
      </c>
      <c r="E2157" s="407">
        <f t="shared" si="66"/>
        <v>149.13999999999999</v>
      </c>
      <c r="F2157">
        <f t="shared" si="67"/>
        <v>101176</v>
      </c>
      <c r="H2157" s="680">
        <v>149.13999999999999</v>
      </c>
      <c r="I2157" s="680">
        <v>155.55000000000001</v>
      </c>
    </row>
    <row r="2158" spans="2:9">
      <c r="B2158" s="396">
        <v>102521</v>
      </c>
      <c r="C2158" s="401" t="s">
        <v>5555</v>
      </c>
      <c r="D2158" s="396" t="s">
        <v>23</v>
      </c>
      <c r="E2158" s="405">
        <f t="shared" si="66"/>
        <v>77.709999999999994</v>
      </c>
      <c r="F2158">
        <f t="shared" si="67"/>
        <v>102521</v>
      </c>
      <c r="H2158" s="679">
        <v>77.709999999999994</v>
      </c>
      <c r="I2158" s="679">
        <v>85.54</v>
      </c>
    </row>
    <row r="2159" spans="2:9">
      <c r="B2159" s="395">
        <v>102522</v>
      </c>
      <c r="C2159" s="406" t="s">
        <v>5556</v>
      </c>
      <c r="D2159" s="395" t="s">
        <v>23</v>
      </c>
      <c r="E2159" s="407">
        <f t="shared" si="66"/>
        <v>114.02</v>
      </c>
      <c r="F2159">
        <f t="shared" si="67"/>
        <v>102522</v>
      </c>
      <c r="H2159" s="680">
        <v>114.02</v>
      </c>
      <c r="I2159" s="680">
        <v>125.49</v>
      </c>
    </row>
    <row r="2160" spans="2:9">
      <c r="B2160" s="396">
        <v>102523</v>
      </c>
      <c r="C2160" s="401" t="s">
        <v>5557</v>
      </c>
      <c r="D2160" s="396" t="s">
        <v>23</v>
      </c>
      <c r="E2160" s="405">
        <f t="shared" si="66"/>
        <v>150.30000000000001</v>
      </c>
      <c r="F2160">
        <f t="shared" si="67"/>
        <v>102523</v>
      </c>
      <c r="H2160" s="679">
        <v>150.30000000000001</v>
      </c>
      <c r="I2160" s="679">
        <v>165.43</v>
      </c>
    </row>
    <row r="2161" spans="2:9">
      <c r="B2161" s="395">
        <v>95240</v>
      </c>
      <c r="C2161" s="406" t="s">
        <v>5503</v>
      </c>
      <c r="D2161" s="395" t="s">
        <v>0</v>
      </c>
      <c r="E2161" s="407">
        <f t="shared" si="66"/>
        <v>18.91</v>
      </c>
      <c r="F2161">
        <f t="shared" si="67"/>
        <v>95240</v>
      </c>
      <c r="H2161" s="680">
        <v>18.91</v>
      </c>
      <c r="I2161" s="680">
        <v>19.600000000000001</v>
      </c>
    </row>
    <row r="2162" spans="2:9">
      <c r="B2162" s="396">
        <v>95241</v>
      </c>
      <c r="C2162" s="401" t="s">
        <v>5504</v>
      </c>
      <c r="D2162" s="396" t="s">
        <v>0</v>
      </c>
      <c r="E2162" s="405">
        <f t="shared" si="66"/>
        <v>31.53</v>
      </c>
      <c r="F2162">
        <f t="shared" si="67"/>
        <v>95241</v>
      </c>
      <c r="H2162" s="679">
        <v>31.53</v>
      </c>
      <c r="I2162" s="679">
        <v>32.69</v>
      </c>
    </row>
    <row r="2163" spans="2:9">
      <c r="B2163" s="395">
        <v>96616</v>
      </c>
      <c r="C2163" s="406" t="s">
        <v>2178</v>
      </c>
      <c r="D2163" s="395" t="s">
        <v>20</v>
      </c>
      <c r="E2163" s="407">
        <f t="shared" si="66"/>
        <v>651.30999999999995</v>
      </c>
      <c r="F2163">
        <f t="shared" si="67"/>
        <v>96616</v>
      </c>
      <c r="H2163" s="680">
        <v>651.30999999999995</v>
      </c>
      <c r="I2163" s="680">
        <v>677.11</v>
      </c>
    </row>
    <row r="2164" spans="2:9">
      <c r="B2164" s="396">
        <v>96617</v>
      </c>
      <c r="C2164" s="401" t="s">
        <v>2179</v>
      </c>
      <c r="D2164" s="396" t="s">
        <v>0</v>
      </c>
      <c r="E2164" s="405">
        <f t="shared" si="66"/>
        <v>19.52</v>
      </c>
      <c r="F2164">
        <f t="shared" si="67"/>
        <v>96617</v>
      </c>
      <c r="H2164" s="679">
        <v>19.52</v>
      </c>
      <c r="I2164" s="679">
        <v>20.29</v>
      </c>
    </row>
    <row r="2165" spans="2:9">
      <c r="B2165" s="395">
        <v>96619</v>
      </c>
      <c r="C2165" s="406" t="s">
        <v>2180</v>
      </c>
      <c r="D2165" s="395" t="s">
        <v>0</v>
      </c>
      <c r="E2165" s="407">
        <f t="shared" si="66"/>
        <v>32.56</v>
      </c>
      <c r="F2165">
        <f t="shared" si="67"/>
        <v>96619</v>
      </c>
      <c r="H2165" s="680">
        <v>32.56</v>
      </c>
      <c r="I2165" s="680">
        <v>33.840000000000003</v>
      </c>
    </row>
    <row r="2166" spans="2:9">
      <c r="B2166" s="396">
        <v>96620</v>
      </c>
      <c r="C2166" s="401" t="s">
        <v>5505</v>
      </c>
      <c r="D2166" s="396" t="s">
        <v>20</v>
      </c>
      <c r="E2166" s="405">
        <f t="shared" si="66"/>
        <v>630.72</v>
      </c>
      <c r="F2166">
        <f t="shared" si="67"/>
        <v>96620</v>
      </c>
      <c r="H2166" s="679">
        <v>630.72</v>
      </c>
      <c r="I2166" s="679">
        <v>654.19000000000005</v>
      </c>
    </row>
    <row r="2167" spans="2:9">
      <c r="B2167" s="395">
        <v>96621</v>
      </c>
      <c r="C2167" s="406" t="s">
        <v>2181</v>
      </c>
      <c r="D2167" s="395" t="s">
        <v>20</v>
      </c>
      <c r="E2167" s="407">
        <f t="shared" si="66"/>
        <v>220.49</v>
      </c>
      <c r="F2167">
        <f t="shared" si="67"/>
        <v>96621</v>
      </c>
      <c r="H2167" s="680">
        <v>220.49</v>
      </c>
      <c r="I2167" s="680">
        <v>231.08</v>
      </c>
    </row>
    <row r="2168" spans="2:9">
      <c r="B2168" s="396">
        <v>96622</v>
      </c>
      <c r="C2168" s="401" t="s">
        <v>5506</v>
      </c>
      <c r="D2168" s="396" t="s">
        <v>20</v>
      </c>
      <c r="E2168" s="405">
        <f t="shared" si="66"/>
        <v>159.88</v>
      </c>
      <c r="F2168">
        <f t="shared" si="67"/>
        <v>96622</v>
      </c>
      <c r="H2168" s="679">
        <v>159.88</v>
      </c>
      <c r="I2168" s="679">
        <v>163.66</v>
      </c>
    </row>
    <row r="2169" spans="2:9">
      <c r="B2169" s="395">
        <v>96623</v>
      </c>
      <c r="C2169" s="406" t="s">
        <v>2182</v>
      </c>
      <c r="D2169" s="395" t="s">
        <v>20</v>
      </c>
      <c r="E2169" s="407">
        <f t="shared" si="66"/>
        <v>206.4</v>
      </c>
      <c r="F2169">
        <f t="shared" si="67"/>
        <v>96623</v>
      </c>
      <c r="H2169" s="680">
        <v>206.4</v>
      </c>
      <c r="I2169" s="680">
        <v>215.4</v>
      </c>
    </row>
    <row r="2170" spans="2:9" ht="30">
      <c r="B2170" s="396">
        <v>96624</v>
      </c>
      <c r="C2170" s="401" t="s">
        <v>5507</v>
      </c>
      <c r="D2170" s="396" t="s">
        <v>20</v>
      </c>
      <c r="E2170" s="405">
        <f t="shared" si="66"/>
        <v>154.91</v>
      </c>
      <c r="F2170">
        <f t="shared" si="67"/>
        <v>96624</v>
      </c>
      <c r="H2170" s="679">
        <v>154.91</v>
      </c>
      <c r="I2170" s="679">
        <v>158.12</v>
      </c>
    </row>
    <row r="2171" spans="2:9">
      <c r="B2171" s="395">
        <v>97082</v>
      </c>
      <c r="C2171" s="406" t="s">
        <v>6052</v>
      </c>
      <c r="D2171" s="395" t="s">
        <v>20</v>
      </c>
      <c r="E2171" s="407">
        <f t="shared" si="66"/>
        <v>50.58</v>
      </c>
      <c r="F2171">
        <f t="shared" si="67"/>
        <v>97082</v>
      </c>
      <c r="H2171" s="680">
        <v>50.58</v>
      </c>
      <c r="I2171" s="680">
        <v>56.01</v>
      </c>
    </row>
    <row r="2172" spans="2:9" ht="30">
      <c r="B2172" s="396">
        <v>97083</v>
      </c>
      <c r="C2172" s="401" t="s">
        <v>6053</v>
      </c>
      <c r="D2172" s="396" t="s">
        <v>0</v>
      </c>
      <c r="E2172" s="405">
        <f t="shared" si="66"/>
        <v>2.71</v>
      </c>
      <c r="F2172">
        <f t="shared" si="67"/>
        <v>97083</v>
      </c>
      <c r="H2172" s="679">
        <v>2.71</v>
      </c>
      <c r="I2172" s="679">
        <v>2.98</v>
      </c>
    </row>
    <row r="2173" spans="2:9" ht="30">
      <c r="B2173" s="395">
        <v>97084</v>
      </c>
      <c r="C2173" s="406" t="s">
        <v>6054</v>
      </c>
      <c r="D2173" s="395" t="s">
        <v>0</v>
      </c>
      <c r="E2173" s="407">
        <f t="shared" si="66"/>
        <v>0.56000000000000005</v>
      </c>
      <c r="F2173">
        <f t="shared" si="67"/>
        <v>97084</v>
      </c>
      <c r="H2173" s="680">
        <v>0.56000000000000005</v>
      </c>
      <c r="I2173" s="680">
        <v>0.61</v>
      </c>
    </row>
    <row r="2174" spans="2:9" ht="30">
      <c r="B2174" s="396">
        <v>97086</v>
      </c>
      <c r="C2174" s="401" t="s">
        <v>6055</v>
      </c>
      <c r="D2174" s="396" t="s">
        <v>0</v>
      </c>
      <c r="E2174" s="405">
        <f t="shared" si="66"/>
        <v>109.37</v>
      </c>
      <c r="F2174">
        <f t="shared" si="67"/>
        <v>97086</v>
      </c>
      <c r="H2174" s="679">
        <v>109.37</v>
      </c>
      <c r="I2174" s="679">
        <v>118.13</v>
      </c>
    </row>
    <row r="2175" spans="2:9">
      <c r="B2175" s="395">
        <v>97087</v>
      </c>
      <c r="C2175" s="406" t="s">
        <v>6056</v>
      </c>
      <c r="D2175" s="395" t="s">
        <v>0</v>
      </c>
      <c r="E2175" s="407">
        <f t="shared" si="66"/>
        <v>2.0699999999999998</v>
      </c>
      <c r="F2175">
        <f t="shared" si="67"/>
        <v>97087</v>
      </c>
      <c r="H2175" s="680">
        <v>2.0699999999999998</v>
      </c>
      <c r="I2175" s="680">
        <v>2.12</v>
      </c>
    </row>
    <row r="2176" spans="2:9">
      <c r="B2176" s="396">
        <v>97088</v>
      </c>
      <c r="C2176" s="401" t="s">
        <v>6057</v>
      </c>
      <c r="D2176" s="396" t="s">
        <v>21</v>
      </c>
      <c r="E2176" s="405">
        <f t="shared" si="66"/>
        <v>24.28</v>
      </c>
      <c r="F2176">
        <f t="shared" si="67"/>
        <v>97088</v>
      </c>
      <c r="H2176" s="679">
        <v>24.28</v>
      </c>
      <c r="I2176" s="679">
        <v>24.41</v>
      </c>
    </row>
    <row r="2177" spans="2:9">
      <c r="B2177" s="395">
        <v>97089</v>
      </c>
      <c r="C2177" s="406" t="s">
        <v>6058</v>
      </c>
      <c r="D2177" s="395" t="s">
        <v>21</v>
      </c>
      <c r="E2177" s="407">
        <f t="shared" si="66"/>
        <v>22.22</v>
      </c>
      <c r="F2177">
        <f t="shared" si="67"/>
        <v>97089</v>
      </c>
      <c r="H2177" s="680">
        <v>22.22</v>
      </c>
      <c r="I2177" s="680">
        <v>22.34</v>
      </c>
    </row>
    <row r="2178" spans="2:9">
      <c r="B2178" s="396">
        <v>97090</v>
      </c>
      <c r="C2178" s="401" t="s">
        <v>6059</v>
      </c>
      <c r="D2178" s="396" t="s">
        <v>21</v>
      </c>
      <c r="E2178" s="405">
        <f t="shared" si="66"/>
        <v>21.9</v>
      </c>
      <c r="F2178">
        <f t="shared" si="67"/>
        <v>97090</v>
      </c>
      <c r="H2178" s="679">
        <v>21.9</v>
      </c>
      <c r="I2178" s="679">
        <v>21.99</v>
      </c>
    </row>
    <row r="2179" spans="2:9">
      <c r="B2179" s="395">
        <v>97091</v>
      </c>
      <c r="C2179" s="406" t="s">
        <v>6060</v>
      </c>
      <c r="D2179" s="395" t="s">
        <v>21</v>
      </c>
      <c r="E2179" s="407">
        <f t="shared" ref="E2179:E2242" si="68">IF($K$2=$H$1,H2179,I2179)</f>
        <v>21.25</v>
      </c>
      <c r="F2179">
        <f t="shared" ref="F2179:F2242" si="69">IF(LEN($B2179)=7,CONCATENATE(MID($B2179,1,6),"00",RIGHT($B2179,1)),IF(LEN($B2179)=8,CONCATENATE(MID($B2179,1,6),"0",RIGHT($B2179,2)),$B2179))</f>
        <v>97091</v>
      </c>
      <c r="H2179" s="680">
        <v>21.25</v>
      </c>
      <c r="I2179" s="680">
        <v>21.34</v>
      </c>
    </row>
    <row r="2180" spans="2:9">
      <c r="B2180" s="396">
        <v>97092</v>
      </c>
      <c r="C2180" s="401" t="s">
        <v>6061</v>
      </c>
      <c r="D2180" s="396" t="s">
        <v>21</v>
      </c>
      <c r="E2180" s="405">
        <f t="shared" si="68"/>
        <v>20.62</v>
      </c>
      <c r="F2180">
        <f t="shared" si="69"/>
        <v>97092</v>
      </c>
      <c r="H2180" s="679">
        <v>20.62</v>
      </c>
      <c r="I2180" s="679">
        <v>20.7</v>
      </c>
    </row>
    <row r="2181" spans="2:9">
      <c r="B2181" s="395">
        <v>97093</v>
      </c>
      <c r="C2181" s="406" t="s">
        <v>6062</v>
      </c>
      <c r="D2181" s="395" t="s">
        <v>21</v>
      </c>
      <c r="E2181" s="407">
        <f t="shared" si="68"/>
        <v>19.399999999999999</v>
      </c>
      <c r="F2181">
        <f t="shared" si="69"/>
        <v>97093</v>
      </c>
      <c r="H2181" s="680">
        <v>19.399999999999999</v>
      </c>
      <c r="I2181" s="680">
        <v>19.46</v>
      </c>
    </row>
    <row r="2182" spans="2:9" ht="30">
      <c r="B2182" s="396">
        <v>97096</v>
      </c>
      <c r="C2182" s="401" t="s">
        <v>6063</v>
      </c>
      <c r="D2182" s="396" t="s">
        <v>20</v>
      </c>
      <c r="E2182" s="405">
        <f t="shared" si="68"/>
        <v>854.74</v>
      </c>
      <c r="F2182">
        <f t="shared" si="69"/>
        <v>97096</v>
      </c>
      <c r="H2182" s="679">
        <v>854.74</v>
      </c>
      <c r="I2182" s="679">
        <v>856.53</v>
      </c>
    </row>
    <row r="2183" spans="2:9">
      <c r="B2183" s="395">
        <v>97097</v>
      </c>
      <c r="C2183" s="406" t="s">
        <v>6064</v>
      </c>
      <c r="D2183" s="395" t="s">
        <v>0</v>
      </c>
      <c r="E2183" s="407">
        <f t="shared" si="68"/>
        <v>43.25</v>
      </c>
      <c r="F2183">
        <f t="shared" si="69"/>
        <v>97097</v>
      </c>
      <c r="H2183" s="680">
        <v>43.25</v>
      </c>
      <c r="I2183" s="680">
        <v>43.47</v>
      </c>
    </row>
    <row r="2184" spans="2:9">
      <c r="B2184" s="396">
        <v>97101</v>
      </c>
      <c r="C2184" s="401" t="s">
        <v>6065</v>
      </c>
      <c r="D2184" s="396" t="s">
        <v>0</v>
      </c>
      <c r="E2184" s="405">
        <f t="shared" si="68"/>
        <v>226.64</v>
      </c>
      <c r="F2184">
        <f t="shared" si="69"/>
        <v>97101</v>
      </c>
      <c r="H2184" s="679">
        <v>226.64</v>
      </c>
      <c r="I2184" s="679">
        <v>228.87</v>
      </c>
    </row>
    <row r="2185" spans="2:9">
      <c r="B2185" s="395">
        <v>97102</v>
      </c>
      <c r="C2185" s="406" t="s">
        <v>6066</v>
      </c>
      <c r="D2185" s="395" t="s">
        <v>0</v>
      </c>
      <c r="E2185" s="407">
        <f t="shared" si="68"/>
        <v>287.94</v>
      </c>
      <c r="F2185">
        <f t="shared" si="69"/>
        <v>97102</v>
      </c>
      <c r="H2185" s="680">
        <v>287.94</v>
      </c>
      <c r="I2185" s="680">
        <v>290.38</v>
      </c>
    </row>
    <row r="2186" spans="2:9">
      <c r="B2186" s="396">
        <v>97103</v>
      </c>
      <c r="C2186" s="401" t="s">
        <v>6067</v>
      </c>
      <c r="D2186" s="396" t="s">
        <v>0</v>
      </c>
      <c r="E2186" s="405">
        <f t="shared" si="68"/>
        <v>343.61</v>
      </c>
      <c r="F2186">
        <f t="shared" si="69"/>
        <v>97103</v>
      </c>
      <c r="H2186" s="679">
        <v>343.61</v>
      </c>
      <c r="I2186" s="679">
        <v>346.37</v>
      </c>
    </row>
    <row r="2187" spans="2:9" ht="30">
      <c r="B2187" s="395">
        <v>100322</v>
      </c>
      <c r="C2187" s="406" t="s">
        <v>5508</v>
      </c>
      <c r="D2187" s="395" t="s">
        <v>20</v>
      </c>
      <c r="E2187" s="407">
        <f t="shared" si="68"/>
        <v>147.30000000000001</v>
      </c>
      <c r="F2187">
        <f t="shared" si="69"/>
        <v>100322</v>
      </c>
      <c r="H2187" s="680">
        <v>147.30000000000001</v>
      </c>
      <c r="I2187" s="680">
        <v>150.51</v>
      </c>
    </row>
    <row r="2188" spans="2:9">
      <c r="B2188" s="396">
        <v>100323</v>
      </c>
      <c r="C2188" s="401" t="s">
        <v>5509</v>
      </c>
      <c r="D2188" s="396" t="s">
        <v>20</v>
      </c>
      <c r="E2188" s="405">
        <f t="shared" si="68"/>
        <v>173.3</v>
      </c>
      <c r="F2188">
        <f t="shared" si="69"/>
        <v>100323</v>
      </c>
      <c r="H2188" s="679">
        <v>173.3</v>
      </c>
      <c r="I2188" s="679">
        <v>176.51</v>
      </c>
    </row>
    <row r="2189" spans="2:9" ht="30">
      <c r="B2189" s="395">
        <v>100324</v>
      </c>
      <c r="C2189" s="406" t="s">
        <v>5510</v>
      </c>
      <c r="D2189" s="395" t="s">
        <v>20</v>
      </c>
      <c r="E2189" s="407">
        <f t="shared" si="68"/>
        <v>154.57</v>
      </c>
      <c r="F2189">
        <f t="shared" si="69"/>
        <v>100324</v>
      </c>
      <c r="H2189" s="680">
        <v>154.57</v>
      </c>
      <c r="I2189" s="680">
        <v>157.78</v>
      </c>
    </row>
    <row r="2190" spans="2:9">
      <c r="B2190" s="396">
        <v>103072</v>
      </c>
      <c r="C2190" s="401" t="s">
        <v>6068</v>
      </c>
      <c r="D2190" s="396" t="s">
        <v>0</v>
      </c>
      <c r="E2190" s="405">
        <f t="shared" si="68"/>
        <v>409.69</v>
      </c>
      <c r="F2190">
        <f t="shared" si="69"/>
        <v>103072</v>
      </c>
      <c r="H2190" s="679">
        <v>409.69</v>
      </c>
      <c r="I2190" s="679">
        <v>412.76</v>
      </c>
    </row>
    <row r="2191" spans="2:9">
      <c r="B2191" s="395">
        <v>103073</v>
      </c>
      <c r="C2191" s="406" t="s">
        <v>6069</v>
      </c>
      <c r="D2191" s="395" t="s">
        <v>0</v>
      </c>
      <c r="E2191" s="407">
        <f t="shared" si="68"/>
        <v>500.17</v>
      </c>
      <c r="F2191">
        <f t="shared" si="69"/>
        <v>103073</v>
      </c>
      <c r="H2191" s="680">
        <v>500.17</v>
      </c>
      <c r="I2191" s="680">
        <v>503.56</v>
      </c>
    </row>
    <row r="2192" spans="2:9" ht="30">
      <c r="B2192" s="396">
        <v>103074</v>
      </c>
      <c r="C2192" s="401" t="s">
        <v>6070</v>
      </c>
      <c r="D2192" s="396" t="s">
        <v>0</v>
      </c>
      <c r="E2192" s="405">
        <f t="shared" si="68"/>
        <v>223.53</v>
      </c>
      <c r="F2192">
        <f t="shared" si="69"/>
        <v>103074</v>
      </c>
      <c r="H2192" s="679">
        <v>223.53</v>
      </c>
      <c r="I2192" s="679">
        <v>225.56</v>
      </c>
    </row>
    <row r="2193" spans="2:9" ht="30">
      <c r="B2193" s="395">
        <v>103075</v>
      </c>
      <c r="C2193" s="406" t="s">
        <v>6071</v>
      </c>
      <c r="D2193" s="395" t="s">
        <v>0</v>
      </c>
      <c r="E2193" s="407">
        <f t="shared" si="68"/>
        <v>266.77999999999997</v>
      </c>
      <c r="F2193">
        <f t="shared" si="69"/>
        <v>103075</v>
      </c>
      <c r="H2193" s="680">
        <v>266.77999999999997</v>
      </c>
      <c r="I2193" s="680">
        <v>269.02999999999997</v>
      </c>
    </row>
    <row r="2194" spans="2:9">
      <c r="B2194" s="396">
        <v>103076</v>
      </c>
      <c r="C2194" s="401" t="s">
        <v>6072</v>
      </c>
      <c r="D2194" s="396" t="s">
        <v>0</v>
      </c>
      <c r="E2194" s="405">
        <f t="shared" si="68"/>
        <v>194.47</v>
      </c>
      <c r="F2194">
        <f t="shared" si="69"/>
        <v>103076</v>
      </c>
      <c r="H2194" s="679">
        <v>194.47</v>
      </c>
      <c r="I2194" s="679">
        <v>196.43</v>
      </c>
    </row>
    <row r="2195" spans="2:9">
      <c r="B2195" s="395">
        <v>103077</v>
      </c>
      <c r="C2195" s="406" t="s">
        <v>6073</v>
      </c>
      <c r="D2195" s="395" t="s">
        <v>0</v>
      </c>
      <c r="E2195" s="407">
        <f t="shared" si="68"/>
        <v>255.77</v>
      </c>
      <c r="F2195">
        <f t="shared" si="69"/>
        <v>103077</v>
      </c>
      <c r="H2195" s="680">
        <v>255.77</v>
      </c>
      <c r="I2195" s="680">
        <v>257.94</v>
      </c>
    </row>
    <row r="2196" spans="2:9">
      <c r="B2196" s="396">
        <v>103078</v>
      </c>
      <c r="C2196" s="401" t="s">
        <v>6074</v>
      </c>
      <c r="D2196" s="396" t="s">
        <v>0</v>
      </c>
      <c r="E2196" s="405">
        <f t="shared" si="68"/>
        <v>311.43</v>
      </c>
      <c r="F2196">
        <f t="shared" si="69"/>
        <v>103078</v>
      </c>
      <c r="H2196" s="679">
        <v>311.43</v>
      </c>
      <c r="I2196" s="679">
        <v>313.93</v>
      </c>
    </row>
    <row r="2197" spans="2:9">
      <c r="B2197" s="395">
        <v>103079</v>
      </c>
      <c r="C2197" s="406" t="s">
        <v>6075</v>
      </c>
      <c r="D2197" s="395" t="s">
        <v>0</v>
      </c>
      <c r="E2197" s="407">
        <f t="shared" si="68"/>
        <v>377.51</v>
      </c>
      <c r="F2197">
        <f t="shared" si="69"/>
        <v>103079</v>
      </c>
      <c r="H2197" s="680">
        <v>377.51</v>
      </c>
      <c r="I2197" s="680">
        <v>380.32</v>
      </c>
    </row>
    <row r="2198" spans="2:9">
      <c r="B2198" s="396">
        <v>103080</v>
      </c>
      <c r="C2198" s="401" t="s">
        <v>6076</v>
      </c>
      <c r="D2198" s="396" t="s">
        <v>0</v>
      </c>
      <c r="E2198" s="405">
        <f t="shared" si="68"/>
        <v>468</v>
      </c>
      <c r="F2198">
        <f t="shared" si="69"/>
        <v>103080</v>
      </c>
      <c r="H2198" s="679">
        <v>468</v>
      </c>
      <c r="I2198" s="679">
        <v>471.12</v>
      </c>
    </row>
    <row r="2199" spans="2:9" ht="30">
      <c r="B2199" s="395">
        <v>92263</v>
      </c>
      <c r="C2199" s="406" t="s">
        <v>4545</v>
      </c>
      <c r="D2199" s="395" t="s">
        <v>0</v>
      </c>
      <c r="E2199" s="407">
        <f t="shared" si="68"/>
        <v>208.67</v>
      </c>
      <c r="F2199">
        <f t="shared" si="69"/>
        <v>92263</v>
      </c>
      <c r="H2199" s="680">
        <v>208.67</v>
      </c>
      <c r="I2199" s="680">
        <v>212.71</v>
      </c>
    </row>
    <row r="2200" spans="2:9" ht="30">
      <c r="B2200" s="396">
        <v>92264</v>
      </c>
      <c r="C2200" s="401" t="s">
        <v>4546</v>
      </c>
      <c r="D2200" s="396" t="s">
        <v>0</v>
      </c>
      <c r="E2200" s="405">
        <f t="shared" si="68"/>
        <v>275.51</v>
      </c>
      <c r="F2200">
        <f t="shared" si="69"/>
        <v>92264</v>
      </c>
      <c r="H2200" s="679">
        <v>275.51</v>
      </c>
      <c r="I2200" s="679">
        <v>279.55</v>
      </c>
    </row>
    <row r="2201" spans="2:9">
      <c r="B2201" s="395">
        <v>92265</v>
      </c>
      <c r="C2201" s="406" t="s">
        <v>4547</v>
      </c>
      <c r="D2201" s="395" t="s">
        <v>0</v>
      </c>
      <c r="E2201" s="407">
        <f t="shared" si="68"/>
        <v>148.44</v>
      </c>
      <c r="F2201">
        <f t="shared" si="69"/>
        <v>92265</v>
      </c>
      <c r="H2201" s="680">
        <v>148.44</v>
      </c>
      <c r="I2201" s="680">
        <v>151.66</v>
      </c>
    </row>
    <row r="2202" spans="2:9">
      <c r="B2202" s="396">
        <v>92266</v>
      </c>
      <c r="C2202" s="401" t="s">
        <v>4548</v>
      </c>
      <c r="D2202" s="396" t="s">
        <v>0</v>
      </c>
      <c r="E2202" s="405">
        <f t="shared" si="68"/>
        <v>205.77</v>
      </c>
      <c r="F2202">
        <f t="shared" si="69"/>
        <v>92266</v>
      </c>
      <c r="H2202" s="679">
        <v>205.77</v>
      </c>
      <c r="I2202" s="679">
        <v>208.99</v>
      </c>
    </row>
    <row r="2203" spans="2:9">
      <c r="B2203" s="395">
        <v>92267</v>
      </c>
      <c r="C2203" s="406" t="s">
        <v>4549</v>
      </c>
      <c r="D2203" s="395" t="s">
        <v>0</v>
      </c>
      <c r="E2203" s="407">
        <f t="shared" si="68"/>
        <v>76.38</v>
      </c>
      <c r="F2203">
        <f t="shared" si="69"/>
        <v>92267</v>
      </c>
      <c r="H2203" s="680">
        <v>76.38</v>
      </c>
      <c r="I2203" s="680">
        <v>76.45</v>
      </c>
    </row>
    <row r="2204" spans="2:9">
      <c r="B2204" s="396">
        <v>92268</v>
      </c>
      <c r="C2204" s="401" t="s">
        <v>4550</v>
      </c>
      <c r="D2204" s="396" t="s">
        <v>0</v>
      </c>
      <c r="E2204" s="405">
        <f t="shared" si="68"/>
        <v>128.91</v>
      </c>
      <c r="F2204">
        <f t="shared" si="69"/>
        <v>92268</v>
      </c>
      <c r="H2204" s="679">
        <v>128.91</v>
      </c>
      <c r="I2204" s="679">
        <v>128.97999999999999</v>
      </c>
    </row>
    <row r="2205" spans="2:9">
      <c r="B2205" s="395">
        <v>92269</v>
      </c>
      <c r="C2205" s="406" t="s">
        <v>4551</v>
      </c>
      <c r="D2205" s="395" t="s">
        <v>0</v>
      </c>
      <c r="E2205" s="407">
        <f t="shared" si="68"/>
        <v>201.01</v>
      </c>
      <c r="F2205">
        <f t="shared" si="69"/>
        <v>92269</v>
      </c>
      <c r="H2205" s="680">
        <v>201.01</v>
      </c>
      <c r="I2205" s="680">
        <v>203.29</v>
      </c>
    </row>
    <row r="2206" spans="2:9">
      <c r="B2206" s="396">
        <v>92270</v>
      </c>
      <c r="C2206" s="401" t="s">
        <v>4552</v>
      </c>
      <c r="D2206" s="396" t="s">
        <v>0</v>
      </c>
      <c r="E2206" s="405">
        <f t="shared" si="68"/>
        <v>155.63</v>
      </c>
      <c r="F2206">
        <f t="shared" si="69"/>
        <v>92270</v>
      </c>
      <c r="H2206" s="679">
        <v>155.63</v>
      </c>
      <c r="I2206" s="679">
        <v>158.47999999999999</v>
      </c>
    </row>
    <row r="2207" spans="2:9">
      <c r="B2207" s="395">
        <v>92271</v>
      </c>
      <c r="C2207" s="406" t="s">
        <v>4553</v>
      </c>
      <c r="D2207" s="395" t="s">
        <v>0</v>
      </c>
      <c r="E2207" s="407">
        <f t="shared" si="68"/>
        <v>94.12</v>
      </c>
      <c r="F2207">
        <f t="shared" si="69"/>
        <v>92271</v>
      </c>
      <c r="H2207" s="680">
        <v>94.12</v>
      </c>
      <c r="I2207" s="680">
        <v>94.17</v>
      </c>
    </row>
    <row r="2208" spans="2:9">
      <c r="B2208" s="396">
        <v>92272</v>
      </c>
      <c r="C2208" s="401" t="s">
        <v>4554</v>
      </c>
      <c r="D2208" s="396" t="s">
        <v>22</v>
      </c>
      <c r="E2208" s="405">
        <f t="shared" si="68"/>
        <v>51.44</v>
      </c>
      <c r="F2208">
        <f t="shared" si="69"/>
        <v>92272</v>
      </c>
      <c r="H2208" s="679">
        <v>51.44</v>
      </c>
      <c r="I2208" s="679">
        <v>51.93</v>
      </c>
    </row>
    <row r="2209" spans="2:9">
      <c r="B2209" s="395">
        <v>92273</v>
      </c>
      <c r="C2209" s="406" t="s">
        <v>4555</v>
      </c>
      <c r="D2209" s="395" t="s">
        <v>22</v>
      </c>
      <c r="E2209" s="407">
        <f t="shared" si="68"/>
        <v>20.49</v>
      </c>
      <c r="F2209">
        <f t="shared" si="69"/>
        <v>92273</v>
      </c>
      <c r="H2209" s="680">
        <v>20.49</v>
      </c>
      <c r="I2209" s="680">
        <v>20.83</v>
      </c>
    </row>
    <row r="2210" spans="2:9" ht="30">
      <c r="B2210" s="396">
        <v>92409</v>
      </c>
      <c r="C2210" s="401" t="s">
        <v>4556</v>
      </c>
      <c r="D2210" s="396" t="s">
        <v>0</v>
      </c>
      <c r="E2210" s="405">
        <f t="shared" si="68"/>
        <v>281.07</v>
      </c>
      <c r="F2210">
        <f t="shared" si="69"/>
        <v>92409</v>
      </c>
      <c r="H2210" s="679">
        <v>281.07</v>
      </c>
      <c r="I2210" s="679">
        <v>292</v>
      </c>
    </row>
    <row r="2211" spans="2:9" ht="30">
      <c r="B2211" s="395">
        <v>92411</v>
      </c>
      <c r="C2211" s="406" t="s">
        <v>4557</v>
      </c>
      <c r="D2211" s="395" t="s">
        <v>0</v>
      </c>
      <c r="E2211" s="407">
        <f t="shared" si="68"/>
        <v>173.75</v>
      </c>
      <c r="F2211">
        <f t="shared" si="69"/>
        <v>92411</v>
      </c>
      <c r="H2211" s="680">
        <v>173.75</v>
      </c>
      <c r="I2211" s="680">
        <v>182.56</v>
      </c>
    </row>
    <row r="2212" spans="2:9" ht="30">
      <c r="B2212" s="396">
        <v>92413</v>
      </c>
      <c r="C2212" s="401" t="s">
        <v>4558</v>
      </c>
      <c r="D2212" s="396" t="s">
        <v>0</v>
      </c>
      <c r="E2212" s="405">
        <f t="shared" si="68"/>
        <v>107.19</v>
      </c>
      <c r="F2212">
        <f t="shared" si="69"/>
        <v>92413</v>
      </c>
      <c r="H2212" s="679">
        <v>107.19</v>
      </c>
      <c r="I2212" s="679">
        <v>113.67</v>
      </c>
    </row>
    <row r="2213" spans="2:9" ht="30">
      <c r="B2213" s="395">
        <v>92415</v>
      </c>
      <c r="C2213" s="406" t="s">
        <v>4559</v>
      </c>
      <c r="D2213" s="395" t="s">
        <v>0</v>
      </c>
      <c r="E2213" s="407">
        <f t="shared" si="68"/>
        <v>160.35</v>
      </c>
      <c r="F2213">
        <f t="shared" si="69"/>
        <v>92415</v>
      </c>
      <c r="H2213" s="680">
        <v>160.35</v>
      </c>
      <c r="I2213" s="680">
        <v>165.67</v>
      </c>
    </row>
    <row r="2214" spans="2:9" ht="30">
      <c r="B2214" s="396">
        <v>92417</v>
      </c>
      <c r="C2214" s="401" t="s">
        <v>4560</v>
      </c>
      <c r="D2214" s="396" t="s">
        <v>0</v>
      </c>
      <c r="E2214" s="405">
        <f t="shared" si="68"/>
        <v>178.42</v>
      </c>
      <c r="F2214">
        <f t="shared" si="69"/>
        <v>92417</v>
      </c>
      <c r="H2214" s="679">
        <v>178.42</v>
      </c>
      <c r="I2214" s="679">
        <v>185.81</v>
      </c>
    </row>
    <row r="2215" spans="2:9" ht="30">
      <c r="B2215" s="395">
        <v>92419</v>
      </c>
      <c r="C2215" s="406" t="s">
        <v>4561</v>
      </c>
      <c r="D2215" s="395" t="s">
        <v>0</v>
      </c>
      <c r="E2215" s="407">
        <f t="shared" si="68"/>
        <v>99.26</v>
      </c>
      <c r="F2215">
        <f t="shared" si="69"/>
        <v>92419</v>
      </c>
      <c r="H2215" s="680">
        <v>99.26</v>
      </c>
      <c r="I2215" s="680">
        <v>102.78</v>
      </c>
    </row>
    <row r="2216" spans="2:9" ht="30">
      <c r="B2216" s="396">
        <v>92421</v>
      </c>
      <c r="C2216" s="401" t="s">
        <v>4562</v>
      </c>
      <c r="D2216" s="396" t="s">
        <v>0</v>
      </c>
      <c r="E2216" s="405">
        <f t="shared" si="68"/>
        <v>113.1</v>
      </c>
      <c r="F2216">
        <f t="shared" si="69"/>
        <v>92421</v>
      </c>
      <c r="H2216" s="679">
        <v>113.1</v>
      </c>
      <c r="I2216" s="679">
        <v>118.22</v>
      </c>
    </row>
    <row r="2217" spans="2:9" ht="30">
      <c r="B2217" s="395">
        <v>92423</v>
      </c>
      <c r="C2217" s="406" t="s">
        <v>4563</v>
      </c>
      <c r="D2217" s="395" t="s">
        <v>0</v>
      </c>
      <c r="E2217" s="407">
        <f t="shared" si="68"/>
        <v>80.760000000000005</v>
      </c>
      <c r="F2217">
        <f t="shared" si="69"/>
        <v>92423</v>
      </c>
      <c r="H2217" s="680">
        <v>80.760000000000005</v>
      </c>
      <c r="I2217" s="680">
        <v>83.66</v>
      </c>
    </row>
    <row r="2218" spans="2:9" ht="30">
      <c r="B2218" s="396">
        <v>92425</v>
      </c>
      <c r="C2218" s="401" t="s">
        <v>4564</v>
      </c>
      <c r="D2218" s="396" t="s">
        <v>0</v>
      </c>
      <c r="E2218" s="405">
        <f t="shared" si="68"/>
        <v>92.81</v>
      </c>
      <c r="F2218">
        <f t="shared" si="69"/>
        <v>92425</v>
      </c>
      <c r="H2218" s="679">
        <v>92.81</v>
      </c>
      <c r="I2218" s="679">
        <v>97.09</v>
      </c>
    </row>
    <row r="2219" spans="2:9" ht="30">
      <c r="B2219" s="395">
        <v>92427</v>
      </c>
      <c r="C2219" s="406" t="s">
        <v>4565</v>
      </c>
      <c r="D2219" s="395" t="s">
        <v>0</v>
      </c>
      <c r="E2219" s="407">
        <f t="shared" si="68"/>
        <v>71.41</v>
      </c>
      <c r="F2219">
        <f t="shared" si="69"/>
        <v>92427</v>
      </c>
      <c r="H2219" s="680">
        <v>71.41</v>
      </c>
      <c r="I2219" s="680">
        <v>74</v>
      </c>
    </row>
    <row r="2220" spans="2:9" ht="30">
      <c r="B2220" s="396">
        <v>92429</v>
      </c>
      <c r="C2220" s="401" t="s">
        <v>4566</v>
      </c>
      <c r="D2220" s="396" t="s">
        <v>0</v>
      </c>
      <c r="E2220" s="405">
        <f t="shared" si="68"/>
        <v>82.58</v>
      </c>
      <c r="F2220">
        <f t="shared" si="69"/>
        <v>92429</v>
      </c>
      <c r="H2220" s="679">
        <v>82.58</v>
      </c>
      <c r="I2220" s="679">
        <v>86.44</v>
      </c>
    </row>
    <row r="2221" spans="2:9" ht="30">
      <c r="B2221" s="395">
        <v>92431</v>
      </c>
      <c r="C2221" s="406" t="s">
        <v>4567</v>
      </c>
      <c r="D2221" s="395" t="s">
        <v>0</v>
      </c>
      <c r="E2221" s="407">
        <f t="shared" si="68"/>
        <v>68.14</v>
      </c>
      <c r="F2221">
        <f t="shared" si="69"/>
        <v>92431</v>
      </c>
      <c r="H2221" s="680">
        <v>68.14</v>
      </c>
      <c r="I2221" s="680">
        <v>70.45</v>
      </c>
    </row>
    <row r="2222" spans="2:9" ht="30">
      <c r="B2222" s="396">
        <v>92433</v>
      </c>
      <c r="C2222" s="401" t="s">
        <v>4568</v>
      </c>
      <c r="D2222" s="396" t="s">
        <v>0</v>
      </c>
      <c r="E2222" s="405">
        <f t="shared" si="68"/>
        <v>78.75</v>
      </c>
      <c r="F2222">
        <f t="shared" si="69"/>
        <v>92433</v>
      </c>
      <c r="H2222" s="679">
        <v>78.75</v>
      </c>
      <c r="I2222" s="679">
        <v>82.27</v>
      </c>
    </row>
    <row r="2223" spans="2:9" ht="30">
      <c r="B2223" s="395">
        <v>92435</v>
      </c>
      <c r="C2223" s="406" t="s">
        <v>4569</v>
      </c>
      <c r="D2223" s="395" t="s">
        <v>0</v>
      </c>
      <c r="E2223" s="407">
        <f t="shared" si="68"/>
        <v>64.55</v>
      </c>
      <c r="F2223">
        <f t="shared" si="69"/>
        <v>92435</v>
      </c>
      <c r="H2223" s="680">
        <v>64.55</v>
      </c>
      <c r="I2223" s="680">
        <v>66.739999999999995</v>
      </c>
    </row>
    <row r="2224" spans="2:9" ht="30">
      <c r="B2224" s="396">
        <v>92437</v>
      </c>
      <c r="C2224" s="401" t="s">
        <v>4570</v>
      </c>
      <c r="D2224" s="396" t="s">
        <v>0</v>
      </c>
      <c r="E2224" s="405">
        <f t="shared" si="68"/>
        <v>74.790000000000006</v>
      </c>
      <c r="F2224">
        <f t="shared" si="69"/>
        <v>92437</v>
      </c>
      <c r="H2224" s="679">
        <v>74.790000000000006</v>
      </c>
      <c r="I2224" s="679">
        <v>78.16</v>
      </c>
    </row>
    <row r="2225" spans="2:9" ht="30">
      <c r="B2225" s="395">
        <v>92439</v>
      </c>
      <c r="C2225" s="406" t="s">
        <v>4571</v>
      </c>
      <c r="D2225" s="395" t="s">
        <v>0</v>
      </c>
      <c r="E2225" s="407">
        <f t="shared" si="68"/>
        <v>61.95</v>
      </c>
      <c r="F2225">
        <f t="shared" si="69"/>
        <v>92439</v>
      </c>
      <c r="H2225" s="680">
        <v>61.95</v>
      </c>
      <c r="I2225" s="680">
        <v>64.069999999999993</v>
      </c>
    </row>
    <row r="2226" spans="2:9" ht="30">
      <c r="B2226" s="396">
        <v>92441</v>
      </c>
      <c r="C2226" s="401" t="s">
        <v>4572</v>
      </c>
      <c r="D2226" s="396" t="s">
        <v>0</v>
      </c>
      <c r="E2226" s="405">
        <f t="shared" si="68"/>
        <v>71.94</v>
      </c>
      <c r="F2226">
        <f t="shared" si="69"/>
        <v>92441</v>
      </c>
      <c r="H2226" s="679">
        <v>71.94</v>
      </c>
      <c r="I2226" s="679">
        <v>75.209999999999994</v>
      </c>
    </row>
    <row r="2227" spans="2:9" ht="30">
      <c r="B2227" s="395">
        <v>92443</v>
      </c>
      <c r="C2227" s="406" t="s">
        <v>4573</v>
      </c>
      <c r="D2227" s="395" t="s">
        <v>0</v>
      </c>
      <c r="E2227" s="407">
        <f t="shared" si="68"/>
        <v>56.16</v>
      </c>
      <c r="F2227">
        <f t="shared" si="69"/>
        <v>92443</v>
      </c>
      <c r="H2227" s="680">
        <v>56.16</v>
      </c>
      <c r="I2227" s="680">
        <v>58.14</v>
      </c>
    </row>
    <row r="2228" spans="2:9" ht="30">
      <c r="B2228" s="396">
        <v>92445</v>
      </c>
      <c r="C2228" s="401" t="s">
        <v>4574</v>
      </c>
      <c r="D2228" s="396" t="s">
        <v>0</v>
      </c>
      <c r="E2228" s="405">
        <f t="shared" si="68"/>
        <v>65.8</v>
      </c>
      <c r="F2228">
        <f t="shared" si="69"/>
        <v>92445</v>
      </c>
      <c r="H2228" s="679">
        <v>65.8</v>
      </c>
      <c r="I2228" s="679">
        <v>68.88</v>
      </c>
    </row>
    <row r="2229" spans="2:9" ht="30">
      <c r="B2229" s="395">
        <v>92446</v>
      </c>
      <c r="C2229" s="406" t="s">
        <v>4575</v>
      </c>
      <c r="D2229" s="395" t="s">
        <v>0</v>
      </c>
      <c r="E2229" s="407">
        <f t="shared" si="68"/>
        <v>272.2</v>
      </c>
      <c r="F2229">
        <f t="shared" si="69"/>
        <v>92446</v>
      </c>
      <c r="H2229" s="680">
        <v>272.2</v>
      </c>
      <c r="I2229" s="680">
        <v>282.73</v>
      </c>
    </row>
    <row r="2230" spans="2:9" ht="30">
      <c r="B2230" s="396">
        <v>92447</v>
      </c>
      <c r="C2230" s="401" t="s">
        <v>4576</v>
      </c>
      <c r="D2230" s="396" t="s">
        <v>0</v>
      </c>
      <c r="E2230" s="405">
        <f t="shared" si="68"/>
        <v>190.54</v>
      </c>
      <c r="F2230">
        <f t="shared" si="69"/>
        <v>92447</v>
      </c>
      <c r="H2230" s="679">
        <v>190.54</v>
      </c>
      <c r="I2230" s="679">
        <v>198.7</v>
      </c>
    </row>
    <row r="2231" spans="2:9" ht="30">
      <c r="B2231" s="395">
        <v>92448</v>
      </c>
      <c r="C2231" s="406" t="s">
        <v>4577</v>
      </c>
      <c r="D2231" s="395" t="s">
        <v>0</v>
      </c>
      <c r="E2231" s="407">
        <f t="shared" si="68"/>
        <v>153.21</v>
      </c>
      <c r="F2231">
        <f t="shared" si="69"/>
        <v>92448</v>
      </c>
      <c r="H2231" s="680">
        <v>153.21</v>
      </c>
      <c r="I2231" s="680">
        <v>159.84</v>
      </c>
    </row>
    <row r="2232" spans="2:9" ht="30">
      <c r="B2232" s="396">
        <v>92449</v>
      </c>
      <c r="C2232" s="401" t="s">
        <v>4578</v>
      </c>
      <c r="D2232" s="396" t="s">
        <v>0</v>
      </c>
      <c r="E2232" s="405">
        <f t="shared" si="68"/>
        <v>333.37</v>
      </c>
      <c r="F2232">
        <f t="shared" si="69"/>
        <v>92449</v>
      </c>
      <c r="H2232" s="679">
        <v>333.37</v>
      </c>
      <c r="I2232" s="679">
        <v>341.86</v>
      </c>
    </row>
    <row r="2233" spans="2:9" ht="30">
      <c r="B2233" s="395">
        <v>92450</v>
      </c>
      <c r="C2233" s="406" t="s">
        <v>4579</v>
      </c>
      <c r="D2233" s="395" t="s">
        <v>0</v>
      </c>
      <c r="E2233" s="407">
        <f t="shared" si="68"/>
        <v>423.49</v>
      </c>
      <c r="F2233">
        <f t="shared" si="69"/>
        <v>92450</v>
      </c>
      <c r="H2233" s="680">
        <v>423.49</v>
      </c>
      <c r="I2233" s="680">
        <v>432.21</v>
      </c>
    </row>
    <row r="2234" spans="2:9" ht="30">
      <c r="B2234" s="396">
        <v>92451</v>
      </c>
      <c r="C2234" s="401" t="s">
        <v>4580</v>
      </c>
      <c r="D2234" s="396" t="s">
        <v>0</v>
      </c>
      <c r="E2234" s="405">
        <f t="shared" si="68"/>
        <v>222.9</v>
      </c>
      <c r="F2234">
        <f t="shared" si="69"/>
        <v>92451</v>
      </c>
      <c r="H2234" s="679">
        <v>222.9</v>
      </c>
      <c r="I2234" s="679">
        <v>228.98</v>
      </c>
    </row>
    <row r="2235" spans="2:9" ht="30">
      <c r="B2235" s="395">
        <v>92452</v>
      </c>
      <c r="C2235" s="406" t="s">
        <v>4581</v>
      </c>
      <c r="D2235" s="395" t="s">
        <v>0</v>
      </c>
      <c r="E2235" s="407">
        <f t="shared" si="68"/>
        <v>187.34</v>
      </c>
      <c r="F2235">
        <f t="shared" si="69"/>
        <v>92452</v>
      </c>
      <c r="H2235" s="680">
        <v>187.34</v>
      </c>
      <c r="I2235" s="680">
        <v>194.38</v>
      </c>
    </row>
    <row r="2236" spans="2:9" ht="30">
      <c r="B2236" s="396">
        <v>92453</v>
      </c>
      <c r="C2236" s="401" t="s">
        <v>4582</v>
      </c>
      <c r="D2236" s="396" t="s">
        <v>0</v>
      </c>
      <c r="E2236" s="405">
        <f t="shared" si="68"/>
        <v>287.02999999999997</v>
      </c>
      <c r="F2236">
        <f t="shared" si="69"/>
        <v>92453</v>
      </c>
      <c r="H2236" s="679">
        <v>287.02999999999997</v>
      </c>
      <c r="I2236" s="679">
        <v>294.42</v>
      </c>
    </row>
    <row r="2237" spans="2:9" ht="30">
      <c r="B2237" s="395">
        <v>92454</v>
      </c>
      <c r="C2237" s="406" t="s">
        <v>4583</v>
      </c>
      <c r="D2237" s="395" t="s">
        <v>0</v>
      </c>
      <c r="E2237" s="407">
        <f t="shared" si="68"/>
        <v>388.36</v>
      </c>
      <c r="F2237">
        <f t="shared" si="69"/>
        <v>92454</v>
      </c>
      <c r="H2237" s="680">
        <v>388.36</v>
      </c>
      <c r="I2237" s="680">
        <v>395.89</v>
      </c>
    </row>
    <row r="2238" spans="2:9" ht="30">
      <c r="B2238" s="396">
        <v>92455</v>
      </c>
      <c r="C2238" s="401" t="s">
        <v>4584</v>
      </c>
      <c r="D2238" s="396" t="s">
        <v>0</v>
      </c>
      <c r="E2238" s="405">
        <f t="shared" si="68"/>
        <v>183.15</v>
      </c>
      <c r="F2238">
        <f t="shared" si="69"/>
        <v>92455</v>
      </c>
      <c r="H2238" s="679">
        <v>183.15</v>
      </c>
      <c r="I2238" s="679">
        <v>188.28</v>
      </c>
    </row>
    <row r="2239" spans="2:9" ht="30">
      <c r="B2239" s="395">
        <v>92456</v>
      </c>
      <c r="C2239" s="406" t="s">
        <v>4585</v>
      </c>
      <c r="D2239" s="395" t="s">
        <v>0</v>
      </c>
      <c r="E2239" s="407">
        <f t="shared" si="68"/>
        <v>150.61000000000001</v>
      </c>
      <c r="F2239">
        <f t="shared" si="69"/>
        <v>92456</v>
      </c>
      <c r="H2239" s="680">
        <v>150.61000000000001</v>
      </c>
      <c r="I2239" s="680">
        <v>156.6</v>
      </c>
    </row>
    <row r="2240" spans="2:9" ht="30">
      <c r="B2240" s="396">
        <v>92457</v>
      </c>
      <c r="C2240" s="401" t="s">
        <v>4586</v>
      </c>
      <c r="D2240" s="396" t="s">
        <v>0</v>
      </c>
      <c r="E2240" s="405">
        <f t="shared" si="68"/>
        <v>248.46</v>
      </c>
      <c r="F2240">
        <f t="shared" si="69"/>
        <v>92457</v>
      </c>
      <c r="H2240" s="679">
        <v>248.46</v>
      </c>
      <c r="I2240" s="679">
        <v>254.97</v>
      </c>
    </row>
    <row r="2241" spans="2:9" ht="30">
      <c r="B2241" s="395">
        <v>92458</v>
      </c>
      <c r="C2241" s="406" t="s">
        <v>1404</v>
      </c>
      <c r="D2241" s="395" t="s">
        <v>0</v>
      </c>
      <c r="E2241" s="407">
        <f t="shared" si="68"/>
        <v>366.88</v>
      </c>
      <c r="F2241">
        <f t="shared" si="69"/>
        <v>92458</v>
      </c>
      <c r="H2241" s="680">
        <v>366.88</v>
      </c>
      <c r="I2241" s="680">
        <v>373.57</v>
      </c>
    </row>
    <row r="2242" spans="2:9" ht="30">
      <c r="B2242" s="396">
        <v>92459</v>
      </c>
      <c r="C2242" s="401" t="s">
        <v>4587</v>
      </c>
      <c r="D2242" s="396" t="s">
        <v>0</v>
      </c>
      <c r="E2242" s="405">
        <f t="shared" si="68"/>
        <v>154.68</v>
      </c>
      <c r="F2242">
        <f t="shared" si="69"/>
        <v>92459</v>
      </c>
      <c r="H2242" s="679">
        <v>154.68</v>
      </c>
      <c r="I2242" s="679">
        <v>159.12</v>
      </c>
    </row>
    <row r="2243" spans="2:9" ht="30">
      <c r="B2243" s="395">
        <v>92460</v>
      </c>
      <c r="C2243" s="406" t="s">
        <v>4588</v>
      </c>
      <c r="D2243" s="395" t="s">
        <v>0</v>
      </c>
      <c r="E2243" s="407">
        <f t="shared" ref="E2243:E2306" si="70">IF($K$2=$H$1,H2243,I2243)</f>
        <v>120.02</v>
      </c>
      <c r="F2243">
        <f t="shared" ref="F2243:F2306" si="71">IF(LEN($B2243)=7,CONCATENATE(MID($B2243,1,6),"00",RIGHT($B2243,1)),IF(LEN($B2243)=8,CONCATENATE(MID($B2243,1,6),"0",RIGHT($B2243,2)),$B2243))</f>
        <v>92460</v>
      </c>
      <c r="H2243" s="680">
        <v>120.02</v>
      </c>
      <c r="I2243" s="680">
        <v>125.28</v>
      </c>
    </row>
    <row r="2244" spans="2:9" ht="30">
      <c r="B2244" s="396">
        <v>92461</v>
      </c>
      <c r="C2244" s="401" t="s">
        <v>4589</v>
      </c>
      <c r="D2244" s="396" t="s">
        <v>0</v>
      </c>
      <c r="E2244" s="405">
        <f t="shared" si="70"/>
        <v>229.66</v>
      </c>
      <c r="F2244">
        <f t="shared" si="71"/>
        <v>92461</v>
      </c>
      <c r="H2244" s="679">
        <v>229.66</v>
      </c>
      <c r="I2244" s="679">
        <v>235.6</v>
      </c>
    </row>
    <row r="2245" spans="2:9" ht="30">
      <c r="B2245" s="395">
        <v>92462</v>
      </c>
      <c r="C2245" s="406" t="s">
        <v>4590</v>
      </c>
      <c r="D2245" s="395" t="s">
        <v>0</v>
      </c>
      <c r="E2245" s="407">
        <f t="shared" si="70"/>
        <v>354.03</v>
      </c>
      <c r="F2245">
        <f t="shared" si="71"/>
        <v>92462</v>
      </c>
      <c r="H2245" s="680">
        <v>354.03</v>
      </c>
      <c r="I2245" s="680">
        <v>360.08</v>
      </c>
    </row>
    <row r="2246" spans="2:9" ht="30">
      <c r="B2246" s="396">
        <v>92463</v>
      </c>
      <c r="C2246" s="401" t="s">
        <v>4591</v>
      </c>
      <c r="D2246" s="396" t="s">
        <v>0</v>
      </c>
      <c r="E2246" s="405">
        <f t="shared" si="70"/>
        <v>140.27000000000001</v>
      </c>
      <c r="F2246">
        <f t="shared" si="71"/>
        <v>92463</v>
      </c>
      <c r="H2246" s="679">
        <v>140.27000000000001</v>
      </c>
      <c r="I2246" s="679">
        <v>144.29</v>
      </c>
    </row>
    <row r="2247" spans="2:9" ht="30">
      <c r="B2247" s="395">
        <v>92464</v>
      </c>
      <c r="C2247" s="406" t="s">
        <v>4592</v>
      </c>
      <c r="D2247" s="395" t="s">
        <v>0</v>
      </c>
      <c r="E2247" s="407">
        <f t="shared" si="70"/>
        <v>115.38</v>
      </c>
      <c r="F2247">
        <f t="shared" si="71"/>
        <v>92464</v>
      </c>
      <c r="H2247" s="680">
        <v>115.38</v>
      </c>
      <c r="I2247" s="680">
        <v>120.13</v>
      </c>
    </row>
    <row r="2248" spans="2:9" ht="30">
      <c r="B2248" s="396">
        <v>92465</v>
      </c>
      <c r="C2248" s="401" t="s">
        <v>4593</v>
      </c>
      <c r="D2248" s="396" t="s">
        <v>0</v>
      </c>
      <c r="E2248" s="405">
        <f t="shared" si="70"/>
        <v>180.34</v>
      </c>
      <c r="F2248">
        <f t="shared" si="71"/>
        <v>92465</v>
      </c>
      <c r="H2248" s="679">
        <v>180.34</v>
      </c>
      <c r="I2248" s="679">
        <v>185.34</v>
      </c>
    </row>
    <row r="2249" spans="2:9" ht="30">
      <c r="B2249" s="395">
        <v>92466</v>
      </c>
      <c r="C2249" s="406" t="s">
        <v>4594</v>
      </c>
      <c r="D2249" s="395" t="s">
        <v>0</v>
      </c>
      <c r="E2249" s="407">
        <f t="shared" si="70"/>
        <v>349.41</v>
      </c>
      <c r="F2249">
        <f t="shared" si="71"/>
        <v>92466</v>
      </c>
      <c r="H2249" s="680">
        <v>349.41</v>
      </c>
      <c r="I2249" s="680">
        <v>354.85</v>
      </c>
    </row>
    <row r="2250" spans="2:9" ht="30">
      <c r="B2250" s="396">
        <v>92467</v>
      </c>
      <c r="C2250" s="401" t="s">
        <v>4595</v>
      </c>
      <c r="D2250" s="396" t="s">
        <v>0</v>
      </c>
      <c r="E2250" s="405">
        <f t="shared" si="70"/>
        <v>114.64</v>
      </c>
      <c r="F2250">
        <f t="shared" si="71"/>
        <v>92467</v>
      </c>
      <c r="H2250" s="679">
        <v>114.64</v>
      </c>
      <c r="I2250" s="679">
        <v>118.01</v>
      </c>
    </row>
    <row r="2251" spans="2:9" ht="30">
      <c r="B2251" s="395">
        <v>92468</v>
      </c>
      <c r="C2251" s="406" t="s">
        <v>4596</v>
      </c>
      <c r="D2251" s="395" t="s">
        <v>0</v>
      </c>
      <c r="E2251" s="407">
        <f t="shared" si="70"/>
        <v>110.49</v>
      </c>
      <c r="F2251">
        <f t="shared" si="71"/>
        <v>92468</v>
      </c>
      <c r="H2251" s="680">
        <v>110.49</v>
      </c>
      <c r="I2251" s="680">
        <v>114.7</v>
      </c>
    </row>
    <row r="2252" spans="2:9" ht="30">
      <c r="B2252" s="396">
        <v>92469</v>
      </c>
      <c r="C2252" s="401" t="s">
        <v>4597</v>
      </c>
      <c r="D2252" s="396" t="s">
        <v>0</v>
      </c>
      <c r="E2252" s="405">
        <f t="shared" si="70"/>
        <v>163.55000000000001</v>
      </c>
      <c r="F2252">
        <f t="shared" si="71"/>
        <v>92469</v>
      </c>
      <c r="H2252" s="679">
        <v>163.55000000000001</v>
      </c>
      <c r="I2252" s="679">
        <v>168.13</v>
      </c>
    </row>
    <row r="2253" spans="2:9" ht="30">
      <c r="B2253" s="395">
        <v>92470</v>
      </c>
      <c r="C2253" s="406" t="s">
        <v>4598</v>
      </c>
      <c r="D2253" s="395" t="s">
        <v>0</v>
      </c>
      <c r="E2253" s="407">
        <f t="shared" si="70"/>
        <v>342.68</v>
      </c>
      <c r="F2253">
        <f t="shared" si="71"/>
        <v>92470</v>
      </c>
      <c r="H2253" s="680">
        <v>342.68</v>
      </c>
      <c r="I2253" s="680">
        <v>347.69</v>
      </c>
    </row>
    <row r="2254" spans="2:9" ht="30">
      <c r="B2254" s="396">
        <v>92471</v>
      </c>
      <c r="C2254" s="401" t="s">
        <v>4599</v>
      </c>
      <c r="D2254" s="396" t="s">
        <v>0</v>
      </c>
      <c r="E2254" s="405">
        <f t="shared" si="70"/>
        <v>104.11</v>
      </c>
      <c r="F2254">
        <f t="shared" si="71"/>
        <v>92471</v>
      </c>
      <c r="H2254" s="679">
        <v>104.11</v>
      </c>
      <c r="I2254" s="679">
        <v>107.19</v>
      </c>
    </row>
    <row r="2255" spans="2:9" ht="30">
      <c r="B2255" s="395">
        <v>92472</v>
      </c>
      <c r="C2255" s="406" t="s">
        <v>4600</v>
      </c>
      <c r="D2255" s="395" t="s">
        <v>0</v>
      </c>
      <c r="E2255" s="407">
        <f t="shared" si="70"/>
        <v>104.26</v>
      </c>
      <c r="F2255">
        <f t="shared" si="71"/>
        <v>92472</v>
      </c>
      <c r="H2255" s="680">
        <v>104.26</v>
      </c>
      <c r="I2255" s="680">
        <v>108.15</v>
      </c>
    </row>
    <row r="2256" spans="2:9" ht="30">
      <c r="B2256" s="396">
        <v>92473</v>
      </c>
      <c r="C2256" s="401" t="s">
        <v>4601</v>
      </c>
      <c r="D2256" s="396" t="s">
        <v>0</v>
      </c>
      <c r="E2256" s="405">
        <f t="shared" si="70"/>
        <v>150.16</v>
      </c>
      <c r="F2256">
        <f t="shared" si="71"/>
        <v>92473</v>
      </c>
      <c r="H2256" s="679">
        <v>150.16</v>
      </c>
      <c r="I2256" s="679">
        <v>154.37</v>
      </c>
    </row>
    <row r="2257" spans="2:9" ht="30">
      <c r="B2257" s="395">
        <v>92474</v>
      </c>
      <c r="C2257" s="406" t="s">
        <v>4602</v>
      </c>
      <c r="D2257" s="395" t="s">
        <v>0</v>
      </c>
      <c r="E2257" s="407">
        <f t="shared" si="70"/>
        <v>337.02</v>
      </c>
      <c r="F2257">
        <f t="shared" si="71"/>
        <v>92474</v>
      </c>
      <c r="H2257" s="680">
        <v>337.02</v>
      </c>
      <c r="I2257" s="680">
        <v>341.65</v>
      </c>
    </row>
    <row r="2258" spans="2:9" ht="30">
      <c r="B2258" s="396">
        <v>92475</v>
      </c>
      <c r="C2258" s="401" t="s">
        <v>4603</v>
      </c>
      <c r="D2258" s="396" t="s">
        <v>0</v>
      </c>
      <c r="E2258" s="405">
        <f t="shared" si="70"/>
        <v>95.68</v>
      </c>
      <c r="F2258">
        <f t="shared" si="71"/>
        <v>92475</v>
      </c>
      <c r="H2258" s="679">
        <v>95.68</v>
      </c>
      <c r="I2258" s="679">
        <v>98.53</v>
      </c>
    </row>
    <row r="2259" spans="2:9" ht="30">
      <c r="B2259" s="395">
        <v>92476</v>
      </c>
      <c r="C2259" s="406" t="s">
        <v>4604</v>
      </c>
      <c r="D2259" s="395" t="s">
        <v>0</v>
      </c>
      <c r="E2259" s="407">
        <f t="shared" si="70"/>
        <v>99.12</v>
      </c>
      <c r="F2259">
        <f t="shared" si="71"/>
        <v>92476</v>
      </c>
      <c r="H2259" s="680">
        <v>99.12</v>
      </c>
      <c r="I2259" s="680">
        <v>102.7</v>
      </c>
    </row>
    <row r="2260" spans="2:9" ht="30">
      <c r="B2260" s="396">
        <v>92477</v>
      </c>
      <c r="C2260" s="401" t="s">
        <v>4605</v>
      </c>
      <c r="D2260" s="396" t="s">
        <v>0</v>
      </c>
      <c r="E2260" s="405">
        <f t="shared" si="70"/>
        <v>120.93</v>
      </c>
      <c r="F2260">
        <f t="shared" si="71"/>
        <v>92477</v>
      </c>
      <c r="H2260" s="679">
        <v>120.93</v>
      </c>
      <c r="I2260" s="679">
        <v>124.44</v>
      </c>
    </row>
    <row r="2261" spans="2:9" ht="30">
      <c r="B2261" s="395">
        <v>92478</v>
      </c>
      <c r="C2261" s="406" t="s">
        <v>4606</v>
      </c>
      <c r="D2261" s="395" t="s">
        <v>0</v>
      </c>
      <c r="E2261" s="407">
        <f t="shared" si="70"/>
        <v>325.5</v>
      </c>
      <c r="F2261">
        <f t="shared" si="71"/>
        <v>92478</v>
      </c>
      <c r="H2261" s="680">
        <v>325.5</v>
      </c>
      <c r="I2261" s="680">
        <v>329.41</v>
      </c>
    </row>
    <row r="2262" spans="2:9" ht="30">
      <c r="B2262" s="396">
        <v>92479</v>
      </c>
      <c r="C2262" s="401" t="s">
        <v>4607</v>
      </c>
      <c r="D2262" s="396" t="s">
        <v>0</v>
      </c>
      <c r="E2262" s="405">
        <f t="shared" si="70"/>
        <v>77.3</v>
      </c>
      <c r="F2262">
        <f t="shared" si="71"/>
        <v>92479</v>
      </c>
      <c r="H2262" s="679">
        <v>77.3</v>
      </c>
      <c r="I2262" s="679">
        <v>79.67</v>
      </c>
    </row>
    <row r="2263" spans="2:9" ht="30">
      <c r="B2263" s="395">
        <v>92480</v>
      </c>
      <c r="C2263" s="406" t="s">
        <v>4608</v>
      </c>
      <c r="D2263" s="395" t="s">
        <v>0</v>
      </c>
      <c r="E2263" s="407">
        <f t="shared" si="70"/>
        <v>88.48</v>
      </c>
      <c r="F2263">
        <f t="shared" si="71"/>
        <v>92480</v>
      </c>
      <c r="H2263" s="680">
        <v>88.48</v>
      </c>
      <c r="I2263" s="680">
        <v>91.51</v>
      </c>
    </row>
    <row r="2264" spans="2:9">
      <c r="B2264" s="396">
        <v>92482</v>
      </c>
      <c r="C2264" s="401" t="s">
        <v>4609</v>
      </c>
      <c r="D2264" s="396" t="s">
        <v>0</v>
      </c>
      <c r="E2264" s="405">
        <f t="shared" si="70"/>
        <v>288.88</v>
      </c>
      <c r="F2264">
        <f t="shared" si="71"/>
        <v>92482</v>
      </c>
      <c r="H2264" s="679">
        <v>288.88</v>
      </c>
      <c r="I2264" s="679">
        <v>300.72000000000003</v>
      </c>
    </row>
    <row r="2265" spans="2:9">
      <c r="B2265" s="395">
        <v>92484</v>
      </c>
      <c r="C2265" s="406" t="s">
        <v>4610</v>
      </c>
      <c r="D2265" s="395" t="s">
        <v>0</v>
      </c>
      <c r="E2265" s="407">
        <f t="shared" si="70"/>
        <v>200.51</v>
      </c>
      <c r="F2265">
        <f t="shared" si="71"/>
        <v>92484</v>
      </c>
      <c r="H2265" s="680">
        <v>200.51</v>
      </c>
      <c r="I2265" s="680">
        <v>210.29</v>
      </c>
    </row>
    <row r="2266" spans="2:9">
      <c r="B2266" s="396">
        <v>92486</v>
      </c>
      <c r="C2266" s="401" t="s">
        <v>4611</v>
      </c>
      <c r="D2266" s="396" t="s">
        <v>0</v>
      </c>
      <c r="E2266" s="405">
        <f t="shared" si="70"/>
        <v>144.03</v>
      </c>
      <c r="F2266">
        <f t="shared" si="71"/>
        <v>92486</v>
      </c>
      <c r="H2266" s="679">
        <v>144.03</v>
      </c>
      <c r="I2266" s="679">
        <v>152.11000000000001</v>
      </c>
    </row>
    <row r="2267" spans="2:9" ht="30">
      <c r="B2267" s="395">
        <v>92488</v>
      </c>
      <c r="C2267" s="406" t="s">
        <v>4612</v>
      </c>
      <c r="D2267" s="395" t="s">
        <v>0</v>
      </c>
      <c r="E2267" s="407">
        <f t="shared" si="70"/>
        <v>139.38999999999999</v>
      </c>
      <c r="F2267">
        <f t="shared" si="71"/>
        <v>92488</v>
      </c>
      <c r="H2267" s="680">
        <v>139.38999999999999</v>
      </c>
      <c r="I2267" s="680">
        <v>143.80000000000001</v>
      </c>
    </row>
    <row r="2268" spans="2:9" ht="30">
      <c r="B2268" s="396">
        <v>92490</v>
      </c>
      <c r="C2268" s="401" t="s">
        <v>4613</v>
      </c>
      <c r="D2268" s="396" t="s">
        <v>0</v>
      </c>
      <c r="E2268" s="405">
        <f t="shared" si="70"/>
        <v>79.98</v>
      </c>
      <c r="F2268">
        <f t="shared" si="71"/>
        <v>92490</v>
      </c>
      <c r="H2268" s="679">
        <v>79.98</v>
      </c>
      <c r="I2268" s="679">
        <v>83.14</v>
      </c>
    </row>
    <row r="2269" spans="2:9" ht="30">
      <c r="B2269" s="395">
        <v>92492</v>
      </c>
      <c r="C2269" s="406" t="s">
        <v>4614</v>
      </c>
      <c r="D2269" s="395" t="s">
        <v>0</v>
      </c>
      <c r="E2269" s="407">
        <f t="shared" si="70"/>
        <v>133.71</v>
      </c>
      <c r="F2269">
        <f t="shared" si="71"/>
        <v>92492</v>
      </c>
      <c r="H2269" s="680">
        <v>133.71</v>
      </c>
      <c r="I2269" s="680">
        <v>137.79</v>
      </c>
    </row>
    <row r="2270" spans="2:9" ht="30">
      <c r="B2270" s="396">
        <v>92494</v>
      </c>
      <c r="C2270" s="401" t="s">
        <v>4615</v>
      </c>
      <c r="D2270" s="396" t="s">
        <v>0</v>
      </c>
      <c r="E2270" s="405">
        <f t="shared" si="70"/>
        <v>75.180000000000007</v>
      </c>
      <c r="F2270">
        <f t="shared" si="71"/>
        <v>92494</v>
      </c>
      <c r="H2270" s="679">
        <v>75.180000000000007</v>
      </c>
      <c r="I2270" s="679">
        <v>78.09</v>
      </c>
    </row>
    <row r="2271" spans="2:9" ht="30">
      <c r="B2271" s="395">
        <v>92496</v>
      </c>
      <c r="C2271" s="406" t="s">
        <v>4616</v>
      </c>
      <c r="D2271" s="395" t="s">
        <v>0</v>
      </c>
      <c r="E2271" s="407">
        <f t="shared" si="70"/>
        <v>129.16999999999999</v>
      </c>
      <c r="F2271">
        <f t="shared" si="71"/>
        <v>92496</v>
      </c>
      <c r="H2271" s="680">
        <v>129.16999999999999</v>
      </c>
      <c r="I2271" s="680">
        <v>132.91999999999999</v>
      </c>
    </row>
    <row r="2272" spans="2:9" ht="30">
      <c r="B2272" s="396">
        <v>92498</v>
      </c>
      <c r="C2272" s="401" t="s">
        <v>4617</v>
      </c>
      <c r="D2272" s="396" t="s">
        <v>0</v>
      </c>
      <c r="E2272" s="405">
        <f t="shared" si="70"/>
        <v>71.36</v>
      </c>
      <c r="F2272">
        <f t="shared" si="71"/>
        <v>92498</v>
      </c>
      <c r="H2272" s="679">
        <v>71.36</v>
      </c>
      <c r="I2272" s="679">
        <v>74.05</v>
      </c>
    </row>
    <row r="2273" spans="2:9" ht="30">
      <c r="B2273" s="395">
        <v>92500</v>
      </c>
      <c r="C2273" s="406" t="s">
        <v>4618</v>
      </c>
      <c r="D2273" s="395" t="s">
        <v>0</v>
      </c>
      <c r="E2273" s="407">
        <f t="shared" si="70"/>
        <v>125.83</v>
      </c>
      <c r="F2273">
        <f t="shared" si="71"/>
        <v>92500</v>
      </c>
      <c r="H2273" s="680">
        <v>125.83</v>
      </c>
      <c r="I2273" s="680">
        <v>129.31</v>
      </c>
    </row>
    <row r="2274" spans="2:9" ht="30">
      <c r="B2274" s="396">
        <v>92502</v>
      </c>
      <c r="C2274" s="401" t="s">
        <v>4619</v>
      </c>
      <c r="D2274" s="396" t="s">
        <v>0</v>
      </c>
      <c r="E2274" s="405">
        <f t="shared" si="70"/>
        <v>68.739999999999995</v>
      </c>
      <c r="F2274">
        <f t="shared" si="71"/>
        <v>92502</v>
      </c>
      <c r="H2274" s="679">
        <v>68.739999999999995</v>
      </c>
      <c r="I2274" s="679">
        <v>71.23</v>
      </c>
    </row>
    <row r="2275" spans="2:9" ht="30">
      <c r="B2275" s="395">
        <v>92504</v>
      </c>
      <c r="C2275" s="406" t="s">
        <v>4620</v>
      </c>
      <c r="D2275" s="395" t="s">
        <v>0</v>
      </c>
      <c r="E2275" s="407">
        <f t="shared" si="70"/>
        <v>70.94</v>
      </c>
      <c r="F2275">
        <f t="shared" si="71"/>
        <v>92504</v>
      </c>
      <c r="H2275" s="680">
        <v>70.94</v>
      </c>
      <c r="I2275" s="680">
        <v>73.92</v>
      </c>
    </row>
    <row r="2276" spans="2:9" ht="30">
      <c r="B2276" s="396">
        <v>92506</v>
      </c>
      <c r="C2276" s="401" t="s">
        <v>4621</v>
      </c>
      <c r="D2276" s="396" t="s">
        <v>0</v>
      </c>
      <c r="E2276" s="405">
        <f t="shared" si="70"/>
        <v>63.76</v>
      </c>
      <c r="F2276">
        <f t="shared" si="71"/>
        <v>92506</v>
      </c>
      <c r="H2276" s="679">
        <v>63.76</v>
      </c>
      <c r="I2276" s="679">
        <v>65.89</v>
      </c>
    </row>
    <row r="2277" spans="2:9" ht="30">
      <c r="B2277" s="395">
        <v>92508</v>
      </c>
      <c r="C2277" s="406" t="s">
        <v>4622</v>
      </c>
      <c r="D2277" s="395" t="s">
        <v>0</v>
      </c>
      <c r="E2277" s="407">
        <f t="shared" si="70"/>
        <v>139.63999999999999</v>
      </c>
      <c r="F2277">
        <f t="shared" si="71"/>
        <v>92508</v>
      </c>
      <c r="H2277" s="680">
        <v>139.63999999999999</v>
      </c>
      <c r="I2277" s="680">
        <v>143.06</v>
      </c>
    </row>
    <row r="2278" spans="2:9" ht="30">
      <c r="B2278" s="396">
        <v>92510</v>
      </c>
      <c r="C2278" s="401" t="s">
        <v>4623</v>
      </c>
      <c r="D2278" s="396" t="s">
        <v>0</v>
      </c>
      <c r="E2278" s="405">
        <f t="shared" si="70"/>
        <v>78.75</v>
      </c>
      <c r="F2278">
        <f t="shared" si="71"/>
        <v>92510</v>
      </c>
      <c r="H2278" s="679">
        <v>78.75</v>
      </c>
      <c r="I2278" s="679">
        <v>80.760000000000005</v>
      </c>
    </row>
    <row r="2279" spans="2:9" ht="30">
      <c r="B2279" s="395">
        <v>92512</v>
      </c>
      <c r="C2279" s="406" t="s">
        <v>4624</v>
      </c>
      <c r="D2279" s="395" t="s">
        <v>0</v>
      </c>
      <c r="E2279" s="407">
        <f t="shared" si="70"/>
        <v>119.39</v>
      </c>
      <c r="F2279">
        <f t="shared" si="71"/>
        <v>92512</v>
      </c>
      <c r="H2279" s="680">
        <v>119.39</v>
      </c>
      <c r="I2279" s="680">
        <v>122.54</v>
      </c>
    </row>
    <row r="2280" spans="2:9" ht="30">
      <c r="B2280" s="396">
        <v>92514</v>
      </c>
      <c r="C2280" s="401" t="s">
        <v>4625</v>
      </c>
      <c r="D2280" s="396" t="s">
        <v>0</v>
      </c>
      <c r="E2280" s="405">
        <f t="shared" si="70"/>
        <v>59.42</v>
      </c>
      <c r="F2280">
        <f t="shared" si="71"/>
        <v>92514</v>
      </c>
      <c r="H2280" s="679">
        <v>59.42</v>
      </c>
      <c r="I2280" s="679">
        <v>61.25</v>
      </c>
    </row>
    <row r="2281" spans="2:9" ht="30">
      <c r="B2281" s="395">
        <v>92515</v>
      </c>
      <c r="C2281" s="406" t="s">
        <v>4626</v>
      </c>
      <c r="D2281" s="395" t="s">
        <v>0</v>
      </c>
      <c r="E2281" s="407">
        <f t="shared" si="70"/>
        <v>110</v>
      </c>
      <c r="F2281">
        <f t="shared" si="71"/>
        <v>92515</v>
      </c>
      <c r="H2281" s="680">
        <v>110</v>
      </c>
      <c r="I2281" s="680">
        <v>112.91</v>
      </c>
    </row>
    <row r="2282" spans="2:9" ht="30">
      <c r="B2282" s="396">
        <v>92518</v>
      </c>
      <c r="C2282" s="401" t="s">
        <v>4627</v>
      </c>
      <c r="D2282" s="396" t="s">
        <v>0</v>
      </c>
      <c r="E2282" s="405">
        <f t="shared" si="70"/>
        <v>50.91</v>
      </c>
      <c r="F2282">
        <f t="shared" si="71"/>
        <v>92518</v>
      </c>
      <c r="H2282" s="679">
        <v>50.91</v>
      </c>
      <c r="I2282" s="679">
        <v>52.61</v>
      </c>
    </row>
    <row r="2283" spans="2:9" ht="30">
      <c r="B2283" s="395">
        <v>92520</v>
      </c>
      <c r="C2283" s="406" t="s">
        <v>4628</v>
      </c>
      <c r="D2283" s="395" t="s">
        <v>0</v>
      </c>
      <c r="E2283" s="407">
        <f t="shared" si="70"/>
        <v>104.26</v>
      </c>
      <c r="F2283">
        <f t="shared" si="71"/>
        <v>92520</v>
      </c>
      <c r="H2283" s="680">
        <v>104.26</v>
      </c>
      <c r="I2283" s="680">
        <v>106.95</v>
      </c>
    </row>
    <row r="2284" spans="2:9" ht="30">
      <c r="B2284" s="396">
        <v>92522</v>
      </c>
      <c r="C2284" s="401" t="s">
        <v>4629</v>
      </c>
      <c r="D2284" s="396" t="s">
        <v>0</v>
      </c>
      <c r="E2284" s="405">
        <f t="shared" si="70"/>
        <v>45.99</v>
      </c>
      <c r="F2284">
        <f t="shared" si="71"/>
        <v>92522</v>
      </c>
      <c r="H2284" s="679">
        <v>45.99</v>
      </c>
      <c r="I2284" s="679">
        <v>47.55</v>
      </c>
    </row>
    <row r="2285" spans="2:9" ht="30">
      <c r="B2285" s="395">
        <v>92524</v>
      </c>
      <c r="C2285" s="406" t="s">
        <v>6373</v>
      </c>
      <c r="D2285" s="395" t="s">
        <v>0</v>
      </c>
      <c r="E2285" s="407">
        <f t="shared" si="70"/>
        <v>105.1</v>
      </c>
      <c r="F2285">
        <f t="shared" si="71"/>
        <v>92524</v>
      </c>
      <c r="H2285" s="680">
        <v>105.1</v>
      </c>
      <c r="I2285" s="680">
        <v>107.58</v>
      </c>
    </row>
    <row r="2286" spans="2:9" ht="30">
      <c r="B2286" s="396">
        <v>92526</v>
      </c>
      <c r="C2286" s="401" t="s">
        <v>4630</v>
      </c>
      <c r="D2286" s="396" t="s">
        <v>0</v>
      </c>
      <c r="E2286" s="405">
        <f t="shared" si="70"/>
        <v>47.57</v>
      </c>
      <c r="F2286">
        <f t="shared" si="71"/>
        <v>92526</v>
      </c>
      <c r="H2286" s="679">
        <v>47.57</v>
      </c>
      <c r="I2286" s="679">
        <v>49</v>
      </c>
    </row>
    <row r="2287" spans="2:9" ht="30">
      <c r="B2287" s="395">
        <v>92528</v>
      </c>
      <c r="C2287" s="406" t="s">
        <v>4631</v>
      </c>
      <c r="D2287" s="395" t="s">
        <v>0</v>
      </c>
      <c r="E2287" s="407">
        <f t="shared" si="70"/>
        <v>101.65</v>
      </c>
      <c r="F2287">
        <f t="shared" si="71"/>
        <v>92528</v>
      </c>
      <c r="H2287" s="680">
        <v>101.65</v>
      </c>
      <c r="I2287" s="680">
        <v>103.94</v>
      </c>
    </row>
    <row r="2288" spans="2:9" ht="30">
      <c r="B2288" s="396">
        <v>92530</v>
      </c>
      <c r="C2288" s="401" t="s">
        <v>4632</v>
      </c>
      <c r="D2288" s="396" t="s">
        <v>0</v>
      </c>
      <c r="E2288" s="405">
        <f t="shared" si="70"/>
        <v>44.81</v>
      </c>
      <c r="F2288">
        <f t="shared" si="71"/>
        <v>92530</v>
      </c>
      <c r="H2288" s="679">
        <v>44.81</v>
      </c>
      <c r="I2288" s="679">
        <v>46.14</v>
      </c>
    </row>
    <row r="2289" spans="2:9" ht="30">
      <c r="B2289" s="395">
        <v>92532</v>
      </c>
      <c r="C2289" s="406" t="s">
        <v>4633</v>
      </c>
      <c r="D2289" s="395" t="s">
        <v>0</v>
      </c>
      <c r="E2289" s="407">
        <f t="shared" si="70"/>
        <v>98.74</v>
      </c>
      <c r="F2289">
        <f t="shared" si="71"/>
        <v>92532</v>
      </c>
      <c r="H2289" s="680">
        <v>98.74</v>
      </c>
      <c r="I2289" s="680">
        <v>100.86</v>
      </c>
    </row>
    <row r="2290" spans="2:9" ht="30">
      <c r="B2290" s="396">
        <v>92534</v>
      </c>
      <c r="C2290" s="401" t="s">
        <v>4634</v>
      </c>
      <c r="D2290" s="396" t="s">
        <v>0</v>
      </c>
      <c r="E2290" s="405">
        <f t="shared" si="70"/>
        <v>42.53</v>
      </c>
      <c r="F2290">
        <f t="shared" si="71"/>
        <v>92534</v>
      </c>
      <c r="H2290" s="679">
        <v>42.53</v>
      </c>
      <c r="I2290" s="679">
        <v>43.76</v>
      </c>
    </row>
    <row r="2291" spans="2:9" ht="30">
      <c r="B2291" s="395">
        <v>92536</v>
      </c>
      <c r="C2291" s="406" t="s">
        <v>4635</v>
      </c>
      <c r="D2291" s="395" t="s">
        <v>0</v>
      </c>
      <c r="E2291" s="407">
        <f t="shared" si="70"/>
        <v>92.96</v>
      </c>
      <c r="F2291">
        <f t="shared" si="71"/>
        <v>92536</v>
      </c>
      <c r="H2291" s="680">
        <v>92.96</v>
      </c>
      <c r="I2291" s="680">
        <v>94.78</v>
      </c>
    </row>
    <row r="2292" spans="2:9" ht="30">
      <c r="B2292" s="396">
        <v>92538</v>
      </c>
      <c r="C2292" s="401" t="s">
        <v>4636</v>
      </c>
      <c r="D2292" s="396" t="s">
        <v>0</v>
      </c>
      <c r="E2292" s="405">
        <f t="shared" si="70"/>
        <v>37.869999999999997</v>
      </c>
      <c r="F2292">
        <f t="shared" si="71"/>
        <v>92538</v>
      </c>
      <c r="H2292" s="679">
        <v>37.869999999999997</v>
      </c>
      <c r="I2292" s="679">
        <v>38.92</v>
      </c>
    </row>
    <row r="2293" spans="2:9">
      <c r="B2293" s="395">
        <v>96252</v>
      </c>
      <c r="C2293" s="406" t="s">
        <v>2132</v>
      </c>
      <c r="D2293" s="395" t="s">
        <v>0</v>
      </c>
      <c r="E2293" s="407">
        <f t="shared" si="70"/>
        <v>291.72000000000003</v>
      </c>
      <c r="F2293">
        <f t="shared" si="71"/>
        <v>96252</v>
      </c>
      <c r="H2293" s="680">
        <v>291.72000000000003</v>
      </c>
      <c r="I2293" s="680">
        <v>298.19</v>
      </c>
    </row>
    <row r="2294" spans="2:9" ht="30">
      <c r="B2294" s="396">
        <v>96257</v>
      </c>
      <c r="C2294" s="401" t="s">
        <v>2049</v>
      </c>
      <c r="D2294" s="396" t="s">
        <v>0</v>
      </c>
      <c r="E2294" s="405">
        <f t="shared" si="70"/>
        <v>215.51</v>
      </c>
      <c r="F2294">
        <f t="shared" si="71"/>
        <v>96257</v>
      </c>
      <c r="H2294" s="679">
        <v>215.51</v>
      </c>
      <c r="I2294" s="679">
        <v>224.78</v>
      </c>
    </row>
    <row r="2295" spans="2:9" ht="30">
      <c r="B2295" s="395">
        <v>96258</v>
      </c>
      <c r="C2295" s="406" t="s">
        <v>2050</v>
      </c>
      <c r="D2295" s="395" t="s">
        <v>0</v>
      </c>
      <c r="E2295" s="407">
        <f t="shared" si="70"/>
        <v>204.01</v>
      </c>
      <c r="F2295">
        <f t="shared" si="71"/>
        <v>96258</v>
      </c>
      <c r="H2295" s="680">
        <v>204.01</v>
      </c>
      <c r="I2295" s="680">
        <v>212.39</v>
      </c>
    </row>
    <row r="2296" spans="2:9" ht="30">
      <c r="B2296" s="396">
        <v>96259</v>
      </c>
      <c r="C2296" s="401" t="s">
        <v>2051</v>
      </c>
      <c r="D2296" s="396" t="s">
        <v>0</v>
      </c>
      <c r="E2296" s="405">
        <f t="shared" si="70"/>
        <v>232.85</v>
      </c>
      <c r="F2296">
        <f t="shared" si="71"/>
        <v>96259</v>
      </c>
      <c r="H2296" s="679">
        <v>232.85</v>
      </c>
      <c r="I2296" s="679">
        <v>244.54</v>
      </c>
    </row>
    <row r="2297" spans="2:9">
      <c r="B2297" s="395">
        <v>96529</v>
      </c>
      <c r="C2297" s="406" t="s">
        <v>2133</v>
      </c>
      <c r="D2297" s="395" t="s">
        <v>0</v>
      </c>
      <c r="E2297" s="407">
        <f t="shared" si="70"/>
        <v>326.86</v>
      </c>
      <c r="F2297">
        <f t="shared" si="71"/>
        <v>96529</v>
      </c>
      <c r="H2297" s="680">
        <v>326.86</v>
      </c>
      <c r="I2297" s="680">
        <v>341.35</v>
      </c>
    </row>
    <row r="2298" spans="2:9" ht="30">
      <c r="B2298" s="396">
        <v>96530</v>
      </c>
      <c r="C2298" s="401" t="s">
        <v>2134</v>
      </c>
      <c r="D2298" s="396" t="s">
        <v>0</v>
      </c>
      <c r="E2298" s="405">
        <f t="shared" si="70"/>
        <v>179.01</v>
      </c>
      <c r="F2298">
        <f t="shared" si="71"/>
        <v>96530</v>
      </c>
      <c r="H2298" s="679">
        <v>179.01</v>
      </c>
      <c r="I2298" s="679">
        <v>184.23</v>
      </c>
    </row>
    <row r="2299" spans="2:9" ht="30">
      <c r="B2299" s="395">
        <v>96531</v>
      </c>
      <c r="C2299" s="406" t="s">
        <v>2135</v>
      </c>
      <c r="D2299" s="395" t="s">
        <v>0</v>
      </c>
      <c r="E2299" s="407">
        <f t="shared" si="70"/>
        <v>121.42</v>
      </c>
      <c r="F2299">
        <f t="shared" si="71"/>
        <v>96531</v>
      </c>
      <c r="H2299" s="680">
        <v>121.42</v>
      </c>
      <c r="I2299" s="680">
        <v>126.65</v>
      </c>
    </row>
    <row r="2300" spans="2:9" ht="30">
      <c r="B2300" s="396">
        <v>96532</v>
      </c>
      <c r="C2300" s="401" t="s">
        <v>2136</v>
      </c>
      <c r="D2300" s="396" t="s">
        <v>0</v>
      </c>
      <c r="E2300" s="405">
        <f t="shared" si="70"/>
        <v>201.04</v>
      </c>
      <c r="F2300">
        <f t="shared" si="71"/>
        <v>96532</v>
      </c>
      <c r="H2300" s="679">
        <v>201.04</v>
      </c>
      <c r="I2300" s="679">
        <v>212.09</v>
      </c>
    </row>
    <row r="2301" spans="2:9" ht="30">
      <c r="B2301" s="395">
        <v>96533</v>
      </c>
      <c r="C2301" s="406" t="s">
        <v>2137</v>
      </c>
      <c r="D2301" s="395" t="s">
        <v>0</v>
      </c>
      <c r="E2301" s="407">
        <f t="shared" si="70"/>
        <v>107.63</v>
      </c>
      <c r="F2301">
        <f t="shared" si="71"/>
        <v>96533</v>
      </c>
      <c r="H2301" s="680">
        <v>107.63</v>
      </c>
      <c r="I2301" s="680">
        <v>111.95</v>
      </c>
    </row>
    <row r="2302" spans="2:9" ht="30">
      <c r="B2302" s="396">
        <v>96534</v>
      </c>
      <c r="C2302" s="401" t="s">
        <v>2138</v>
      </c>
      <c r="D2302" s="396" t="s">
        <v>0</v>
      </c>
      <c r="E2302" s="405">
        <f t="shared" si="70"/>
        <v>81.52</v>
      </c>
      <c r="F2302">
        <f t="shared" si="71"/>
        <v>96534</v>
      </c>
      <c r="H2302" s="679">
        <v>81.52</v>
      </c>
      <c r="I2302" s="679">
        <v>86.26</v>
      </c>
    </row>
    <row r="2303" spans="2:9" ht="30">
      <c r="B2303" s="395">
        <v>96535</v>
      </c>
      <c r="C2303" s="406" t="s">
        <v>2139</v>
      </c>
      <c r="D2303" s="395" t="s">
        <v>0</v>
      </c>
      <c r="E2303" s="407">
        <f t="shared" si="70"/>
        <v>135.51</v>
      </c>
      <c r="F2303">
        <f t="shared" si="71"/>
        <v>96535</v>
      </c>
      <c r="H2303" s="680">
        <v>135.51</v>
      </c>
      <c r="I2303" s="680">
        <v>144.78</v>
      </c>
    </row>
    <row r="2304" spans="2:9" ht="30">
      <c r="B2304" s="396">
        <v>96536</v>
      </c>
      <c r="C2304" s="401" t="s">
        <v>2140</v>
      </c>
      <c r="D2304" s="396" t="s">
        <v>0</v>
      </c>
      <c r="E2304" s="405">
        <f t="shared" si="70"/>
        <v>70.510000000000005</v>
      </c>
      <c r="F2304">
        <f t="shared" si="71"/>
        <v>96536</v>
      </c>
      <c r="H2304" s="679">
        <v>70.510000000000005</v>
      </c>
      <c r="I2304" s="679">
        <v>74.36</v>
      </c>
    </row>
    <row r="2305" spans="2:9" ht="30">
      <c r="B2305" s="395">
        <v>96537</v>
      </c>
      <c r="C2305" s="406" t="s">
        <v>2141</v>
      </c>
      <c r="D2305" s="395" t="s">
        <v>0</v>
      </c>
      <c r="E2305" s="407">
        <f t="shared" si="70"/>
        <v>204.09</v>
      </c>
      <c r="F2305">
        <f t="shared" si="71"/>
        <v>96537</v>
      </c>
      <c r="H2305" s="680">
        <v>204.09</v>
      </c>
      <c r="I2305" s="680">
        <v>212.7</v>
      </c>
    </row>
    <row r="2306" spans="2:9" ht="30">
      <c r="B2306" s="396">
        <v>96538</v>
      </c>
      <c r="C2306" s="401" t="s">
        <v>2142</v>
      </c>
      <c r="D2306" s="396" t="s">
        <v>0</v>
      </c>
      <c r="E2306" s="405">
        <f t="shared" si="70"/>
        <v>288.17</v>
      </c>
      <c r="F2306">
        <f t="shared" si="71"/>
        <v>96538</v>
      </c>
      <c r="H2306" s="679">
        <v>288.17</v>
      </c>
      <c r="I2306" s="679">
        <v>303.88</v>
      </c>
    </row>
    <row r="2307" spans="2:9" ht="30">
      <c r="B2307" s="395">
        <v>96539</v>
      </c>
      <c r="C2307" s="406" t="s">
        <v>2143</v>
      </c>
      <c r="D2307" s="395" t="s">
        <v>0</v>
      </c>
      <c r="E2307" s="407">
        <f t="shared" ref="E2307:E2370" si="72">IF($K$2=$H$1,H2307,I2307)</f>
        <v>137.07</v>
      </c>
      <c r="F2307">
        <f t="shared" ref="F2307:F2370" si="73">IF(LEN($B2307)=7,CONCATENATE(MID($B2307,1,6),"00",RIGHT($B2307,1)),IF(LEN($B2307)=8,CONCATENATE(MID($B2307,1,6),"0",RIGHT($B2307,2)),$B2307))</f>
        <v>96539</v>
      </c>
      <c r="H2307" s="680">
        <v>137.07</v>
      </c>
      <c r="I2307" s="680">
        <v>143.57</v>
      </c>
    </row>
    <row r="2308" spans="2:9" ht="30">
      <c r="B2308" s="396">
        <v>96540</v>
      </c>
      <c r="C2308" s="401" t="s">
        <v>2144</v>
      </c>
      <c r="D2308" s="396" t="s">
        <v>0</v>
      </c>
      <c r="E2308" s="405">
        <f t="shared" si="72"/>
        <v>133.71</v>
      </c>
      <c r="F2308">
        <f t="shared" si="73"/>
        <v>96540</v>
      </c>
      <c r="H2308" s="679">
        <v>133.71</v>
      </c>
      <c r="I2308" s="679">
        <v>141.12</v>
      </c>
    </row>
    <row r="2309" spans="2:9" ht="30">
      <c r="B2309" s="395">
        <v>96541</v>
      </c>
      <c r="C2309" s="406" t="s">
        <v>2145</v>
      </c>
      <c r="D2309" s="395" t="s">
        <v>0</v>
      </c>
      <c r="E2309" s="407">
        <f t="shared" si="72"/>
        <v>191.21</v>
      </c>
      <c r="F2309">
        <f t="shared" si="73"/>
        <v>96541</v>
      </c>
      <c r="H2309" s="680">
        <v>191.21</v>
      </c>
      <c r="I2309" s="680">
        <v>203.86</v>
      </c>
    </row>
    <row r="2310" spans="2:9" ht="30">
      <c r="B2310" s="396">
        <v>96542</v>
      </c>
      <c r="C2310" s="401" t="s">
        <v>2146</v>
      </c>
      <c r="D2310" s="396" t="s">
        <v>0</v>
      </c>
      <c r="E2310" s="405">
        <f t="shared" si="72"/>
        <v>94.31</v>
      </c>
      <c r="F2310">
        <f t="shared" si="73"/>
        <v>96542</v>
      </c>
      <c r="H2310" s="679">
        <v>94.31</v>
      </c>
      <c r="I2310" s="679">
        <v>100.19</v>
      </c>
    </row>
    <row r="2311" spans="2:9">
      <c r="B2311" s="395">
        <v>96543</v>
      </c>
      <c r="C2311" s="406" t="s">
        <v>2147</v>
      </c>
      <c r="D2311" s="395" t="s">
        <v>21</v>
      </c>
      <c r="E2311" s="407">
        <f t="shared" si="72"/>
        <v>19.14</v>
      </c>
      <c r="F2311">
        <f t="shared" si="73"/>
        <v>96543</v>
      </c>
      <c r="H2311" s="680">
        <v>19.14</v>
      </c>
      <c r="I2311" s="680">
        <v>19.91</v>
      </c>
    </row>
    <row r="2312" spans="2:9" ht="30">
      <c r="B2312" s="396">
        <v>97747</v>
      </c>
      <c r="C2312" s="401" t="s">
        <v>2634</v>
      </c>
      <c r="D2312" s="396" t="s">
        <v>0</v>
      </c>
      <c r="E2312" s="405">
        <f t="shared" si="72"/>
        <v>219.39</v>
      </c>
      <c r="F2312">
        <f t="shared" si="73"/>
        <v>97747</v>
      </c>
      <c r="H2312" s="679">
        <v>219.39</v>
      </c>
      <c r="I2312" s="679">
        <v>229.79</v>
      </c>
    </row>
    <row r="2313" spans="2:9">
      <c r="B2313" s="395">
        <v>101791</v>
      </c>
      <c r="C2313" s="406" t="s">
        <v>4637</v>
      </c>
      <c r="D2313" s="395" t="s">
        <v>22</v>
      </c>
      <c r="E2313" s="407">
        <f t="shared" si="72"/>
        <v>39</v>
      </c>
      <c r="F2313">
        <f t="shared" si="73"/>
        <v>101791</v>
      </c>
      <c r="H2313" s="680">
        <v>39</v>
      </c>
      <c r="I2313" s="680">
        <v>39.19</v>
      </c>
    </row>
    <row r="2314" spans="2:9" ht="30">
      <c r="B2314" s="396">
        <v>101792</v>
      </c>
      <c r="C2314" s="401" t="s">
        <v>4638</v>
      </c>
      <c r="D2314" s="396" t="s">
        <v>20</v>
      </c>
      <c r="E2314" s="405">
        <f t="shared" si="72"/>
        <v>18.239999999999998</v>
      </c>
      <c r="F2314">
        <f t="shared" si="73"/>
        <v>101792</v>
      </c>
      <c r="H2314" s="679">
        <v>18.239999999999998</v>
      </c>
      <c r="I2314" s="679">
        <v>18.93</v>
      </c>
    </row>
    <row r="2315" spans="2:9" ht="30">
      <c r="B2315" s="395">
        <v>101793</v>
      </c>
      <c r="C2315" s="406" t="s">
        <v>4639</v>
      </c>
      <c r="D2315" s="395" t="s">
        <v>20</v>
      </c>
      <c r="E2315" s="407">
        <f t="shared" si="72"/>
        <v>30.6</v>
      </c>
      <c r="F2315">
        <f t="shared" si="73"/>
        <v>101793</v>
      </c>
      <c r="H2315" s="680">
        <v>30.6</v>
      </c>
      <c r="I2315" s="680">
        <v>31.52</v>
      </c>
    </row>
    <row r="2316" spans="2:9" ht="30">
      <c r="B2316" s="396">
        <v>101969</v>
      </c>
      <c r="C2316" s="401" t="s">
        <v>4731</v>
      </c>
      <c r="D2316" s="396" t="s">
        <v>0</v>
      </c>
      <c r="E2316" s="405">
        <f t="shared" si="72"/>
        <v>262.33</v>
      </c>
      <c r="F2316">
        <f t="shared" si="73"/>
        <v>101969</v>
      </c>
      <c r="H2316" s="679">
        <v>262.33</v>
      </c>
      <c r="I2316" s="679">
        <v>264.86</v>
      </c>
    </row>
    <row r="2317" spans="2:9" ht="30">
      <c r="B2317" s="395">
        <v>101971</v>
      </c>
      <c r="C2317" s="406" t="s">
        <v>4732</v>
      </c>
      <c r="D2317" s="395" t="s">
        <v>0</v>
      </c>
      <c r="E2317" s="407">
        <f t="shared" si="72"/>
        <v>202.4</v>
      </c>
      <c r="F2317">
        <f t="shared" si="73"/>
        <v>101971</v>
      </c>
      <c r="H2317" s="680">
        <v>202.4</v>
      </c>
      <c r="I2317" s="680">
        <v>204.93</v>
      </c>
    </row>
    <row r="2318" spans="2:9">
      <c r="B2318" s="396">
        <v>101973</v>
      </c>
      <c r="C2318" s="401" t="s">
        <v>4733</v>
      </c>
      <c r="D2318" s="396" t="s">
        <v>0</v>
      </c>
      <c r="E2318" s="405">
        <f t="shared" si="72"/>
        <v>194.08</v>
      </c>
      <c r="F2318">
        <f t="shared" si="73"/>
        <v>101973</v>
      </c>
      <c r="H2318" s="679">
        <v>194.08</v>
      </c>
      <c r="I2318" s="679">
        <v>196.84</v>
      </c>
    </row>
    <row r="2319" spans="2:9" ht="30">
      <c r="B2319" s="395">
        <v>101974</v>
      </c>
      <c r="C2319" s="406" t="s">
        <v>4734</v>
      </c>
      <c r="D2319" s="395" t="s">
        <v>0</v>
      </c>
      <c r="E2319" s="407">
        <f t="shared" si="72"/>
        <v>454.22</v>
      </c>
      <c r="F2319">
        <f t="shared" si="73"/>
        <v>101974</v>
      </c>
      <c r="H2319" s="680">
        <v>454.22</v>
      </c>
      <c r="I2319" s="680">
        <v>476.2</v>
      </c>
    </row>
    <row r="2320" spans="2:9" ht="30">
      <c r="B2320" s="396">
        <v>101975</v>
      </c>
      <c r="C2320" s="401" t="s">
        <v>4735</v>
      </c>
      <c r="D2320" s="396" t="s">
        <v>0</v>
      </c>
      <c r="E2320" s="405">
        <f t="shared" si="72"/>
        <v>390.09</v>
      </c>
      <c r="F2320">
        <f t="shared" si="73"/>
        <v>101975</v>
      </c>
      <c r="H2320" s="679">
        <v>390.09</v>
      </c>
      <c r="I2320" s="679">
        <v>407.57</v>
      </c>
    </row>
    <row r="2321" spans="2:9" ht="30">
      <c r="B2321" s="395">
        <v>101977</v>
      </c>
      <c r="C2321" s="406" t="s">
        <v>4736</v>
      </c>
      <c r="D2321" s="395" t="s">
        <v>0</v>
      </c>
      <c r="E2321" s="407">
        <f t="shared" si="72"/>
        <v>316.39999999999998</v>
      </c>
      <c r="F2321">
        <f t="shared" si="73"/>
        <v>101977</v>
      </c>
      <c r="H2321" s="680">
        <v>316.39999999999998</v>
      </c>
      <c r="I2321" s="680">
        <v>331.48</v>
      </c>
    </row>
    <row r="2322" spans="2:9" ht="30">
      <c r="B2322" s="396">
        <v>101980</v>
      </c>
      <c r="C2322" s="401" t="s">
        <v>4737</v>
      </c>
      <c r="D2322" s="396" t="s">
        <v>0</v>
      </c>
      <c r="E2322" s="405">
        <f t="shared" si="72"/>
        <v>296.44</v>
      </c>
      <c r="F2322">
        <f t="shared" si="73"/>
        <v>101980</v>
      </c>
      <c r="H2322" s="679">
        <v>296.44</v>
      </c>
      <c r="I2322" s="679">
        <v>308.52999999999997</v>
      </c>
    </row>
    <row r="2323" spans="2:9" ht="30">
      <c r="B2323" s="395">
        <v>101981</v>
      </c>
      <c r="C2323" s="406" t="s">
        <v>4738</v>
      </c>
      <c r="D2323" s="395" t="s">
        <v>0</v>
      </c>
      <c r="E2323" s="407">
        <f t="shared" si="72"/>
        <v>252.51</v>
      </c>
      <c r="F2323">
        <f t="shared" si="73"/>
        <v>101981</v>
      </c>
      <c r="H2323" s="680">
        <v>252.51</v>
      </c>
      <c r="I2323" s="680">
        <v>262.75</v>
      </c>
    </row>
    <row r="2324" spans="2:9" ht="30">
      <c r="B2324" s="396">
        <v>101982</v>
      </c>
      <c r="C2324" s="401" t="s">
        <v>4739</v>
      </c>
      <c r="D2324" s="396" t="s">
        <v>0</v>
      </c>
      <c r="E2324" s="405">
        <f t="shared" si="72"/>
        <v>219.34</v>
      </c>
      <c r="F2324">
        <f t="shared" si="73"/>
        <v>101982</v>
      </c>
      <c r="H2324" s="679">
        <v>219.34</v>
      </c>
      <c r="I2324" s="679">
        <v>228.81</v>
      </c>
    </row>
    <row r="2325" spans="2:9" ht="30">
      <c r="B2325" s="395">
        <v>101983</v>
      </c>
      <c r="C2325" s="406" t="s">
        <v>4740</v>
      </c>
      <c r="D2325" s="395" t="s">
        <v>0</v>
      </c>
      <c r="E2325" s="407">
        <f t="shared" si="72"/>
        <v>198.39</v>
      </c>
      <c r="F2325">
        <f t="shared" si="73"/>
        <v>101983</v>
      </c>
      <c r="H2325" s="680">
        <v>198.39</v>
      </c>
      <c r="I2325" s="680">
        <v>207.39</v>
      </c>
    </row>
    <row r="2326" spans="2:9" ht="30">
      <c r="B2326" s="396">
        <v>101985</v>
      </c>
      <c r="C2326" s="401" t="s">
        <v>4741</v>
      </c>
      <c r="D2326" s="396" t="s">
        <v>0</v>
      </c>
      <c r="E2326" s="405">
        <f t="shared" si="72"/>
        <v>268.08</v>
      </c>
      <c r="F2326">
        <f t="shared" si="73"/>
        <v>101985</v>
      </c>
      <c r="H2326" s="679">
        <v>268.08</v>
      </c>
      <c r="I2326" s="679">
        <v>271.05</v>
      </c>
    </row>
    <row r="2327" spans="2:9" ht="30">
      <c r="B2327" s="395">
        <v>101986</v>
      </c>
      <c r="C2327" s="406" t="s">
        <v>4742</v>
      </c>
      <c r="D2327" s="395" t="s">
        <v>0</v>
      </c>
      <c r="E2327" s="407">
        <f t="shared" si="72"/>
        <v>191.88</v>
      </c>
      <c r="F2327">
        <f t="shared" si="73"/>
        <v>101986</v>
      </c>
      <c r="H2327" s="680">
        <v>191.88</v>
      </c>
      <c r="I2327" s="680">
        <v>194.85</v>
      </c>
    </row>
    <row r="2328" spans="2:9">
      <c r="B2328" s="396">
        <v>101987</v>
      </c>
      <c r="C2328" s="401" t="s">
        <v>4743</v>
      </c>
      <c r="D2328" s="396" t="s">
        <v>0</v>
      </c>
      <c r="E2328" s="405">
        <f t="shared" si="72"/>
        <v>221.39</v>
      </c>
      <c r="F2328">
        <f t="shared" si="73"/>
        <v>101987</v>
      </c>
      <c r="H2328" s="679">
        <v>221.39</v>
      </c>
      <c r="I2328" s="679">
        <v>224.3</v>
      </c>
    </row>
    <row r="2329" spans="2:9" ht="30">
      <c r="B2329" s="395">
        <v>101988</v>
      </c>
      <c r="C2329" s="406" t="s">
        <v>4744</v>
      </c>
      <c r="D2329" s="395" t="s">
        <v>0</v>
      </c>
      <c r="E2329" s="407">
        <f t="shared" si="72"/>
        <v>269.51</v>
      </c>
      <c r="F2329">
        <f t="shared" si="73"/>
        <v>101988</v>
      </c>
      <c r="H2329" s="680">
        <v>269.51</v>
      </c>
      <c r="I2329" s="680">
        <v>272.55</v>
      </c>
    </row>
    <row r="2330" spans="2:9" ht="30">
      <c r="B2330" s="396">
        <v>101989</v>
      </c>
      <c r="C2330" s="401" t="s">
        <v>4745</v>
      </c>
      <c r="D2330" s="396" t="s">
        <v>0</v>
      </c>
      <c r="E2330" s="405">
        <f t="shared" si="72"/>
        <v>210.33</v>
      </c>
      <c r="F2330">
        <f t="shared" si="73"/>
        <v>101989</v>
      </c>
      <c r="H2330" s="679">
        <v>210.33</v>
      </c>
      <c r="I2330" s="679">
        <v>213.37</v>
      </c>
    </row>
    <row r="2331" spans="2:9">
      <c r="B2331" s="395">
        <v>101990</v>
      </c>
      <c r="C2331" s="406" t="s">
        <v>4746</v>
      </c>
      <c r="D2331" s="395" t="s">
        <v>0</v>
      </c>
      <c r="E2331" s="407">
        <f t="shared" si="72"/>
        <v>208.35</v>
      </c>
      <c r="F2331">
        <f t="shared" si="73"/>
        <v>101990</v>
      </c>
      <c r="H2331" s="680">
        <v>208.35</v>
      </c>
      <c r="I2331" s="680">
        <v>211.37</v>
      </c>
    </row>
    <row r="2332" spans="2:9" ht="30">
      <c r="B2332" s="396">
        <v>101991</v>
      </c>
      <c r="C2332" s="401" t="s">
        <v>4747</v>
      </c>
      <c r="D2332" s="396" t="s">
        <v>0</v>
      </c>
      <c r="E2332" s="405">
        <f t="shared" si="72"/>
        <v>265.32</v>
      </c>
      <c r="F2332">
        <f t="shared" si="73"/>
        <v>101991</v>
      </c>
      <c r="H2332" s="679">
        <v>265.32</v>
      </c>
      <c r="I2332" s="679">
        <v>268.73</v>
      </c>
    </row>
    <row r="2333" spans="2:9" ht="30">
      <c r="B2333" s="395">
        <v>101992</v>
      </c>
      <c r="C2333" s="406" t="s">
        <v>4748</v>
      </c>
      <c r="D2333" s="395" t="s">
        <v>0</v>
      </c>
      <c r="E2333" s="407">
        <f t="shared" si="72"/>
        <v>192.48</v>
      </c>
      <c r="F2333">
        <f t="shared" si="73"/>
        <v>101992</v>
      </c>
      <c r="H2333" s="680">
        <v>192.48</v>
      </c>
      <c r="I2333" s="680">
        <v>195.89</v>
      </c>
    </row>
    <row r="2334" spans="2:9">
      <c r="B2334" s="396">
        <v>101993</v>
      </c>
      <c r="C2334" s="401" t="s">
        <v>4749</v>
      </c>
      <c r="D2334" s="396" t="s">
        <v>0</v>
      </c>
      <c r="E2334" s="405">
        <f t="shared" si="72"/>
        <v>258.24</v>
      </c>
      <c r="F2334">
        <f t="shared" si="73"/>
        <v>101993</v>
      </c>
      <c r="H2334" s="679">
        <v>258.24</v>
      </c>
      <c r="I2334" s="679">
        <v>261.38</v>
      </c>
    </row>
    <row r="2335" spans="2:9" ht="30">
      <c r="B2335" s="395">
        <v>101994</v>
      </c>
      <c r="C2335" s="406" t="s">
        <v>4750</v>
      </c>
      <c r="D2335" s="395" t="s">
        <v>0</v>
      </c>
      <c r="E2335" s="407">
        <f t="shared" si="72"/>
        <v>288.70999999999998</v>
      </c>
      <c r="F2335">
        <f t="shared" si="73"/>
        <v>101994</v>
      </c>
      <c r="H2335" s="680">
        <v>288.70999999999998</v>
      </c>
      <c r="I2335" s="680">
        <v>291.55</v>
      </c>
    </row>
    <row r="2336" spans="2:9" ht="30">
      <c r="B2336" s="396">
        <v>101995</v>
      </c>
      <c r="C2336" s="401" t="s">
        <v>4751</v>
      </c>
      <c r="D2336" s="396" t="s">
        <v>0</v>
      </c>
      <c r="E2336" s="405">
        <f t="shared" si="72"/>
        <v>222.27</v>
      </c>
      <c r="F2336">
        <f t="shared" si="73"/>
        <v>101995</v>
      </c>
      <c r="H2336" s="679">
        <v>222.27</v>
      </c>
      <c r="I2336" s="679">
        <v>225.11</v>
      </c>
    </row>
    <row r="2337" spans="2:9">
      <c r="B2337" s="395">
        <v>101996</v>
      </c>
      <c r="C2337" s="406" t="s">
        <v>4752</v>
      </c>
      <c r="D2337" s="395" t="s">
        <v>0</v>
      </c>
      <c r="E2337" s="407">
        <f t="shared" si="72"/>
        <v>223.47</v>
      </c>
      <c r="F2337">
        <f t="shared" si="73"/>
        <v>101996</v>
      </c>
      <c r="H2337" s="680">
        <v>223.47</v>
      </c>
      <c r="I2337" s="680">
        <v>226.46</v>
      </c>
    </row>
    <row r="2338" spans="2:9" ht="30">
      <c r="B2338" s="396">
        <v>101997</v>
      </c>
      <c r="C2338" s="401" t="s">
        <v>4753</v>
      </c>
      <c r="D2338" s="396" t="s">
        <v>0</v>
      </c>
      <c r="E2338" s="405">
        <f t="shared" si="72"/>
        <v>264.79000000000002</v>
      </c>
      <c r="F2338">
        <f t="shared" si="73"/>
        <v>101997</v>
      </c>
      <c r="H2338" s="679">
        <v>264.79000000000002</v>
      </c>
      <c r="I2338" s="679">
        <v>268.18</v>
      </c>
    </row>
    <row r="2339" spans="2:9" ht="30">
      <c r="B2339" s="395">
        <v>101998</v>
      </c>
      <c r="C2339" s="406" t="s">
        <v>4754</v>
      </c>
      <c r="D2339" s="395" t="s">
        <v>0</v>
      </c>
      <c r="E2339" s="407">
        <f t="shared" si="72"/>
        <v>190.29</v>
      </c>
      <c r="F2339">
        <f t="shared" si="73"/>
        <v>101998</v>
      </c>
      <c r="H2339" s="680">
        <v>190.29</v>
      </c>
      <c r="I2339" s="680">
        <v>193.68</v>
      </c>
    </row>
    <row r="2340" spans="2:9">
      <c r="B2340" s="396">
        <v>101999</v>
      </c>
      <c r="C2340" s="401" t="s">
        <v>4755</v>
      </c>
      <c r="D2340" s="396" t="s">
        <v>0</v>
      </c>
      <c r="E2340" s="405">
        <f t="shared" si="72"/>
        <v>275.95999999999998</v>
      </c>
      <c r="F2340">
        <f t="shared" si="73"/>
        <v>101999</v>
      </c>
      <c r="H2340" s="679">
        <v>275.95999999999998</v>
      </c>
      <c r="I2340" s="679">
        <v>279.19</v>
      </c>
    </row>
    <row r="2341" spans="2:9" ht="30">
      <c r="B2341" s="395">
        <v>102000</v>
      </c>
      <c r="C2341" s="406" t="s">
        <v>4756</v>
      </c>
      <c r="D2341" s="395" t="s">
        <v>0</v>
      </c>
      <c r="E2341" s="407">
        <f t="shared" si="72"/>
        <v>443.11</v>
      </c>
      <c r="F2341">
        <f t="shared" si="73"/>
        <v>102000</v>
      </c>
      <c r="H2341" s="680">
        <v>443.11</v>
      </c>
      <c r="I2341" s="680">
        <v>464.56</v>
      </c>
    </row>
    <row r="2342" spans="2:9" ht="30">
      <c r="B2342" s="396">
        <v>102001</v>
      </c>
      <c r="C2342" s="401" t="s">
        <v>4757</v>
      </c>
      <c r="D2342" s="396" t="s">
        <v>0</v>
      </c>
      <c r="E2342" s="405">
        <f t="shared" si="72"/>
        <v>384.27</v>
      </c>
      <c r="F2342">
        <f t="shared" si="73"/>
        <v>102001</v>
      </c>
      <c r="H2342" s="679">
        <v>384.27</v>
      </c>
      <c r="I2342" s="679">
        <v>401.32</v>
      </c>
    </row>
    <row r="2343" spans="2:9" ht="30">
      <c r="B2343" s="395">
        <v>102002</v>
      </c>
      <c r="C2343" s="406" t="s">
        <v>4758</v>
      </c>
      <c r="D2343" s="395" t="s">
        <v>0</v>
      </c>
      <c r="E2343" s="407">
        <f t="shared" si="72"/>
        <v>304.75</v>
      </c>
      <c r="F2343">
        <f t="shared" si="73"/>
        <v>102002</v>
      </c>
      <c r="H2343" s="680">
        <v>304.75</v>
      </c>
      <c r="I2343" s="680">
        <v>320.3</v>
      </c>
    </row>
    <row r="2344" spans="2:9" ht="30">
      <c r="B2344" s="396">
        <v>102003</v>
      </c>
      <c r="C2344" s="401" t="s">
        <v>4759</v>
      </c>
      <c r="D2344" s="396" t="s">
        <v>0</v>
      </c>
      <c r="E2344" s="405">
        <f t="shared" si="72"/>
        <v>286.04000000000002</v>
      </c>
      <c r="F2344">
        <f t="shared" si="73"/>
        <v>102003</v>
      </c>
      <c r="H2344" s="679">
        <v>286.04000000000002</v>
      </c>
      <c r="I2344" s="679">
        <v>298.64999999999998</v>
      </c>
    </row>
    <row r="2345" spans="2:9" ht="30">
      <c r="B2345" s="395">
        <v>102004</v>
      </c>
      <c r="C2345" s="406" t="s">
        <v>4760</v>
      </c>
      <c r="D2345" s="395" t="s">
        <v>0</v>
      </c>
      <c r="E2345" s="407">
        <f t="shared" si="72"/>
        <v>252.49</v>
      </c>
      <c r="F2345">
        <f t="shared" si="73"/>
        <v>102004</v>
      </c>
      <c r="H2345" s="680">
        <v>252.49</v>
      </c>
      <c r="I2345" s="680">
        <v>263.02999999999997</v>
      </c>
    </row>
    <row r="2346" spans="2:9" ht="30">
      <c r="B2346" s="396">
        <v>102005</v>
      </c>
      <c r="C2346" s="401" t="s">
        <v>4761</v>
      </c>
      <c r="D2346" s="396" t="s">
        <v>0</v>
      </c>
      <c r="E2346" s="405">
        <f t="shared" si="72"/>
        <v>218.69</v>
      </c>
      <c r="F2346">
        <f t="shared" si="73"/>
        <v>102005</v>
      </c>
      <c r="H2346" s="679">
        <v>218.69</v>
      </c>
      <c r="I2346" s="679">
        <v>228.42</v>
      </c>
    </row>
    <row r="2347" spans="2:9" ht="30">
      <c r="B2347" s="395">
        <v>102006</v>
      </c>
      <c r="C2347" s="406" t="s">
        <v>4762</v>
      </c>
      <c r="D2347" s="395" t="s">
        <v>0</v>
      </c>
      <c r="E2347" s="407">
        <f t="shared" si="72"/>
        <v>197.34</v>
      </c>
      <c r="F2347">
        <f t="shared" si="73"/>
        <v>102006</v>
      </c>
      <c r="H2347" s="680">
        <v>197.34</v>
      </c>
      <c r="I2347" s="680">
        <v>206.57</v>
      </c>
    </row>
    <row r="2348" spans="2:9" ht="30">
      <c r="B2348" s="396">
        <v>102007</v>
      </c>
      <c r="C2348" s="401" t="s">
        <v>4763</v>
      </c>
      <c r="D2348" s="396" t="s">
        <v>0</v>
      </c>
      <c r="E2348" s="405">
        <f t="shared" si="72"/>
        <v>444.92</v>
      </c>
      <c r="F2348">
        <f t="shared" si="73"/>
        <v>102007</v>
      </c>
      <c r="H2348" s="679">
        <v>444.92</v>
      </c>
      <c r="I2348" s="679">
        <v>466.88</v>
      </c>
    </row>
    <row r="2349" spans="2:9" ht="30">
      <c r="B2349" s="395">
        <v>102008</v>
      </c>
      <c r="C2349" s="406" t="s">
        <v>4764</v>
      </c>
      <c r="D2349" s="395" t="s">
        <v>0</v>
      </c>
      <c r="E2349" s="407">
        <f t="shared" si="72"/>
        <v>375.34</v>
      </c>
      <c r="F2349">
        <f t="shared" si="73"/>
        <v>102008</v>
      </c>
      <c r="H2349" s="680">
        <v>375.34</v>
      </c>
      <c r="I2349" s="680">
        <v>392.69</v>
      </c>
    </row>
    <row r="2350" spans="2:9" ht="30">
      <c r="B2350" s="396">
        <v>102009</v>
      </c>
      <c r="C2350" s="401" t="s">
        <v>4765</v>
      </c>
      <c r="D2350" s="396" t="s">
        <v>0</v>
      </c>
      <c r="E2350" s="405">
        <f t="shared" si="72"/>
        <v>317.81</v>
      </c>
      <c r="F2350">
        <f t="shared" si="73"/>
        <v>102009</v>
      </c>
      <c r="H2350" s="679">
        <v>317.81</v>
      </c>
      <c r="I2350" s="679">
        <v>333.29</v>
      </c>
    </row>
    <row r="2351" spans="2:9" ht="30">
      <c r="B2351" s="395">
        <v>102010</v>
      </c>
      <c r="C2351" s="406" t="s">
        <v>4766</v>
      </c>
      <c r="D2351" s="395" t="s">
        <v>0</v>
      </c>
      <c r="E2351" s="407">
        <f t="shared" si="72"/>
        <v>294.83999999999997</v>
      </c>
      <c r="F2351">
        <f t="shared" si="73"/>
        <v>102010</v>
      </c>
      <c r="H2351" s="680">
        <v>294.83999999999997</v>
      </c>
      <c r="I2351" s="680">
        <v>307.31</v>
      </c>
    </row>
    <row r="2352" spans="2:9" ht="30">
      <c r="B2352" s="396">
        <v>102011</v>
      </c>
      <c r="C2352" s="401" t="s">
        <v>4767</v>
      </c>
      <c r="D2352" s="396" t="s">
        <v>0</v>
      </c>
      <c r="E2352" s="405">
        <f t="shared" si="72"/>
        <v>248.72</v>
      </c>
      <c r="F2352">
        <f t="shared" si="73"/>
        <v>102011</v>
      </c>
      <c r="H2352" s="679">
        <v>248.72</v>
      </c>
      <c r="I2352" s="679">
        <v>259.18</v>
      </c>
    </row>
    <row r="2353" spans="2:9" ht="30">
      <c r="B2353" s="395">
        <v>102012</v>
      </c>
      <c r="C2353" s="406" t="s">
        <v>4768</v>
      </c>
      <c r="D2353" s="395" t="s">
        <v>0</v>
      </c>
      <c r="E2353" s="407">
        <f t="shared" si="72"/>
        <v>214.76</v>
      </c>
      <c r="F2353">
        <f t="shared" si="73"/>
        <v>102012</v>
      </c>
      <c r="H2353" s="680">
        <v>214.76</v>
      </c>
      <c r="I2353" s="680">
        <v>224.4</v>
      </c>
    </row>
    <row r="2354" spans="2:9" ht="30">
      <c r="B2354" s="396">
        <v>102013</v>
      </c>
      <c r="C2354" s="401" t="s">
        <v>4769</v>
      </c>
      <c r="D2354" s="396" t="s">
        <v>0</v>
      </c>
      <c r="E2354" s="405">
        <f t="shared" si="72"/>
        <v>196</v>
      </c>
      <c r="F2354">
        <f t="shared" si="73"/>
        <v>102013</v>
      </c>
      <c r="H2354" s="679">
        <v>196</v>
      </c>
      <c r="I2354" s="679">
        <v>205.17</v>
      </c>
    </row>
    <row r="2355" spans="2:9" ht="30">
      <c r="B2355" s="395">
        <v>102014</v>
      </c>
      <c r="C2355" s="406" t="s">
        <v>4770</v>
      </c>
      <c r="D2355" s="395" t="s">
        <v>0</v>
      </c>
      <c r="E2355" s="407">
        <f t="shared" si="72"/>
        <v>479.33</v>
      </c>
      <c r="F2355">
        <f t="shared" si="73"/>
        <v>102014</v>
      </c>
      <c r="H2355" s="680">
        <v>479.33</v>
      </c>
      <c r="I2355" s="680">
        <v>500.98</v>
      </c>
    </row>
    <row r="2356" spans="2:9" ht="30">
      <c r="B2356" s="396">
        <v>102015</v>
      </c>
      <c r="C2356" s="401" t="s">
        <v>4771</v>
      </c>
      <c r="D2356" s="396" t="s">
        <v>0</v>
      </c>
      <c r="E2356" s="405">
        <f t="shared" si="72"/>
        <v>404.43</v>
      </c>
      <c r="F2356">
        <f t="shared" si="73"/>
        <v>102015</v>
      </c>
      <c r="H2356" s="679">
        <v>404.43</v>
      </c>
      <c r="I2356" s="679">
        <v>421.6</v>
      </c>
    </row>
    <row r="2357" spans="2:9" ht="30">
      <c r="B2357" s="395">
        <v>102016</v>
      </c>
      <c r="C2357" s="406" t="s">
        <v>4772</v>
      </c>
      <c r="D2357" s="395" t="s">
        <v>0</v>
      </c>
      <c r="E2357" s="407">
        <f t="shared" si="72"/>
        <v>300.69</v>
      </c>
      <c r="F2357">
        <f t="shared" si="73"/>
        <v>102016</v>
      </c>
      <c r="H2357" s="680">
        <v>300.69</v>
      </c>
      <c r="I2357" s="680">
        <v>316.57</v>
      </c>
    </row>
    <row r="2358" spans="2:9" ht="30">
      <c r="B2358" s="396">
        <v>102017</v>
      </c>
      <c r="C2358" s="401" t="s">
        <v>4773</v>
      </c>
      <c r="D2358" s="396" t="s">
        <v>0</v>
      </c>
      <c r="E2358" s="405">
        <f t="shared" si="72"/>
        <v>279.60000000000002</v>
      </c>
      <c r="F2358">
        <f t="shared" si="73"/>
        <v>102017</v>
      </c>
      <c r="H2358" s="679">
        <v>279.60000000000002</v>
      </c>
      <c r="I2358" s="679">
        <v>292.52</v>
      </c>
    </row>
    <row r="2359" spans="2:9" ht="30">
      <c r="B2359" s="395">
        <v>102036</v>
      </c>
      <c r="C2359" s="406" t="s">
        <v>4774</v>
      </c>
      <c r="D2359" s="395" t="s">
        <v>0</v>
      </c>
      <c r="E2359" s="407">
        <f t="shared" si="72"/>
        <v>244.35</v>
      </c>
      <c r="F2359">
        <f t="shared" si="73"/>
        <v>102036</v>
      </c>
      <c r="H2359" s="680">
        <v>244.35</v>
      </c>
      <c r="I2359" s="680">
        <v>255.08</v>
      </c>
    </row>
    <row r="2360" spans="2:9" ht="30">
      <c r="B2360" s="396">
        <v>102037</v>
      </c>
      <c r="C2360" s="401" t="s">
        <v>4775</v>
      </c>
      <c r="D2360" s="396" t="s">
        <v>0</v>
      </c>
      <c r="E2360" s="405">
        <f t="shared" si="72"/>
        <v>210.86</v>
      </c>
      <c r="F2360">
        <f t="shared" si="73"/>
        <v>102037</v>
      </c>
      <c r="H2360" s="679">
        <v>210.86</v>
      </c>
      <c r="I2360" s="679">
        <v>220.72</v>
      </c>
    </row>
    <row r="2361" spans="2:9" ht="30">
      <c r="B2361" s="395">
        <v>102038</v>
      </c>
      <c r="C2361" s="406" t="s">
        <v>4776</v>
      </c>
      <c r="D2361" s="395" t="s">
        <v>0</v>
      </c>
      <c r="E2361" s="407">
        <f t="shared" si="72"/>
        <v>192.35</v>
      </c>
      <c r="F2361">
        <f t="shared" si="73"/>
        <v>102038</v>
      </c>
      <c r="H2361" s="680">
        <v>192.35</v>
      </c>
      <c r="I2361" s="680">
        <v>201.72</v>
      </c>
    </row>
    <row r="2362" spans="2:9" ht="30">
      <c r="B2362" s="396">
        <v>102039</v>
      </c>
      <c r="C2362" s="401" t="s">
        <v>4777</v>
      </c>
      <c r="D2362" s="396" t="s">
        <v>0</v>
      </c>
      <c r="E2362" s="405">
        <f t="shared" si="72"/>
        <v>461.71</v>
      </c>
      <c r="F2362">
        <f t="shared" si="73"/>
        <v>102039</v>
      </c>
      <c r="H2362" s="679">
        <v>461.71</v>
      </c>
      <c r="I2362" s="679">
        <v>483.58</v>
      </c>
    </row>
    <row r="2363" spans="2:9" ht="30">
      <c r="B2363" s="395">
        <v>102040</v>
      </c>
      <c r="C2363" s="406" t="s">
        <v>4778</v>
      </c>
      <c r="D2363" s="395" t="s">
        <v>0</v>
      </c>
      <c r="E2363" s="407">
        <f t="shared" si="72"/>
        <v>388.06</v>
      </c>
      <c r="F2363">
        <f t="shared" si="73"/>
        <v>102040</v>
      </c>
      <c r="H2363" s="680">
        <v>388.06</v>
      </c>
      <c r="I2363" s="680">
        <v>405.31</v>
      </c>
    </row>
    <row r="2364" spans="2:9" ht="30">
      <c r="B2364" s="396">
        <v>102041</v>
      </c>
      <c r="C2364" s="401" t="s">
        <v>4779</v>
      </c>
      <c r="D2364" s="396" t="s">
        <v>0</v>
      </c>
      <c r="E2364" s="405">
        <f t="shared" si="72"/>
        <v>322.45</v>
      </c>
      <c r="F2364">
        <f t="shared" si="73"/>
        <v>102041</v>
      </c>
      <c r="H2364" s="679">
        <v>322.45</v>
      </c>
      <c r="I2364" s="679">
        <v>337.7</v>
      </c>
    </row>
    <row r="2365" spans="2:9" ht="30">
      <c r="B2365" s="395">
        <v>102042</v>
      </c>
      <c r="C2365" s="406" t="s">
        <v>4780</v>
      </c>
      <c r="D2365" s="395" t="s">
        <v>0</v>
      </c>
      <c r="E2365" s="407">
        <f t="shared" si="72"/>
        <v>296.23</v>
      </c>
      <c r="F2365">
        <f t="shared" si="73"/>
        <v>102042</v>
      </c>
      <c r="H2365" s="680">
        <v>296.23</v>
      </c>
      <c r="I2365" s="680">
        <v>308.44</v>
      </c>
    </row>
    <row r="2366" spans="2:9" ht="30">
      <c r="B2366" s="396">
        <v>102043</v>
      </c>
      <c r="C2366" s="401" t="s">
        <v>4781</v>
      </c>
      <c r="D2366" s="396" t="s">
        <v>0</v>
      </c>
      <c r="E2366" s="405">
        <f t="shared" si="72"/>
        <v>250.98</v>
      </c>
      <c r="F2366">
        <f t="shared" si="73"/>
        <v>102043</v>
      </c>
      <c r="H2366" s="679">
        <v>250.98</v>
      </c>
      <c r="I2366" s="679">
        <v>261.27999999999997</v>
      </c>
    </row>
    <row r="2367" spans="2:9" ht="30">
      <c r="B2367" s="395">
        <v>102044</v>
      </c>
      <c r="C2367" s="406" t="s">
        <v>4782</v>
      </c>
      <c r="D2367" s="395" t="s">
        <v>0</v>
      </c>
      <c r="E2367" s="407">
        <f t="shared" si="72"/>
        <v>217.8</v>
      </c>
      <c r="F2367">
        <f t="shared" si="73"/>
        <v>102044</v>
      </c>
      <c r="H2367" s="680">
        <v>217.8</v>
      </c>
      <c r="I2367" s="680">
        <v>227.33</v>
      </c>
    </row>
    <row r="2368" spans="2:9" ht="30">
      <c r="B2368" s="396">
        <v>102045</v>
      </c>
      <c r="C2368" s="401" t="s">
        <v>4783</v>
      </c>
      <c r="D2368" s="396" t="s">
        <v>0</v>
      </c>
      <c r="E2368" s="405">
        <f t="shared" si="72"/>
        <v>197.89</v>
      </c>
      <c r="F2368">
        <f t="shared" si="73"/>
        <v>102045</v>
      </c>
      <c r="H2368" s="679">
        <v>197.89</v>
      </c>
      <c r="I2368" s="679">
        <v>206.95</v>
      </c>
    </row>
    <row r="2369" spans="2:9" ht="30">
      <c r="B2369" s="395">
        <v>102046</v>
      </c>
      <c r="C2369" s="406" t="s">
        <v>4784</v>
      </c>
      <c r="D2369" s="395" t="s">
        <v>0</v>
      </c>
      <c r="E2369" s="407">
        <f t="shared" si="72"/>
        <v>483.14</v>
      </c>
      <c r="F2369">
        <f t="shared" si="73"/>
        <v>102046</v>
      </c>
      <c r="H2369" s="680">
        <v>483.14</v>
      </c>
      <c r="I2369" s="680">
        <v>504.68</v>
      </c>
    </row>
    <row r="2370" spans="2:9" ht="30">
      <c r="B2370" s="396">
        <v>102047</v>
      </c>
      <c r="C2370" s="401" t="s">
        <v>4785</v>
      </c>
      <c r="D2370" s="396" t="s">
        <v>0</v>
      </c>
      <c r="E2370" s="405">
        <f t="shared" si="72"/>
        <v>414.67</v>
      </c>
      <c r="F2370">
        <f t="shared" si="73"/>
        <v>102047</v>
      </c>
      <c r="H2370" s="679">
        <v>414.67</v>
      </c>
      <c r="I2370" s="679">
        <v>431.7</v>
      </c>
    </row>
    <row r="2371" spans="2:9" ht="30">
      <c r="B2371" s="395">
        <v>102048</v>
      </c>
      <c r="C2371" s="406" t="s">
        <v>4786</v>
      </c>
      <c r="D2371" s="395" t="s">
        <v>0</v>
      </c>
      <c r="E2371" s="407">
        <f t="shared" ref="E2371:E2434" si="74">IF($K$2=$H$1,H2371,I2371)</f>
        <v>293.56</v>
      </c>
      <c r="F2371">
        <f t="shared" ref="F2371:F2434" si="75">IF(LEN($B2371)=7,CONCATENATE(MID($B2371,1,6),"00",RIGHT($B2371,1)),IF(LEN($B2371)=8,CONCATENATE(MID($B2371,1,6),"0",RIGHT($B2371,2)),$B2371))</f>
        <v>102048</v>
      </c>
      <c r="H2371" s="680">
        <v>293.56</v>
      </c>
      <c r="I2371" s="680">
        <v>309.39</v>
      </c>
    </row>
    <row r="2372" spans="2:9" ht="30">
      <c r="B2372" s="396">
        <v>102049</v>
      </c>
      <c r="C2372" s="401" t="s">
        <v>4787</v>
      </c>
      <c r="D2372" s="396" t="s">
        <v>0</v>
      </c>
      <c r="E2372" s="405">
        <f t="shared" si="74"/>
        <v>269.02999999999997</v>
      </c>
      <c r="F2372">
        <f t="shared" si="75"/>
        <v>102049</v>
      </c>
      <c r="H2372" s="679">
        <v>269.02999999999997</v>
      </c>
      <c r="I2372" s="679">
        <v>281.87</v>
      </c>
    </row>
    <row r="2373" spans="2:9" ht="30">
      <c r="B2373" s="395">
        <v>102050</v>
      </c>
      <c r="C2373" s="406" t="s">
        <v>4788</v>
      </c>
      <c r="D2373" s="395" t="s">
        <v>0</v>
      </c>
      <c r="E2373" s="407">
        <f t="shared" si="74"/>
        <v>236.64</v>
      </c>
      <c r="F2373">
        <f t="shared" si="75"/>
        <v>102050</v>
      </c>
      <c r="H2373" s="680">
        <v>236.64</v>
      </c>
      <c r="I2373" s="680">
        <v>247.32</v>
      </c>
    </row>
    <row r="2374" spans="2:9" ht="30">
      <c r="B2374" s="396">
        <v>102051</v>
      </c>
      <c r="C2374" s="401" t="s">
        <v>4789</v>
      </c>
      <c r="D2374" s="396" t="s">
        <v>0</v>
      </c>
      <c r="E2374" s="405">
        <f t="shared" si="74"/>
        <v>203.2</v>
      </c>
      <c r="F2374">
        <f t="shared" si="75"/>
        <v>102051</v>
      </c>
      <c r="H2374" s="679">
        <v>203.2</v>
      </c>
      <c r="I2374" s="679">
        <v>213.02</v>
      </c>
    </row>
    <row r="2375" spans="2:9" ht="30">
      <c r="B2375" s="395">
        <v>102052</v>
      </c>
      <c r="C2375" s="406" t="s">
        <v>4790</v>
      </c>
      <c r="D2375" s="395" t="s">
        <v>0</v>
      </c>
      <c r="E2375" s="407">
        <f t="shared" si="74"/>
        <v>184.73</v>
      </c>
      <c r="F2375">
        <f t="shared" si="75"/>
        <v>102052</v>
      </c>
      <c r="H2375" s="680">
        <v>184.73</v>
      </c>
      <c r="I2375" s="680">
        <v>194.05</v>
      </c>
    </row>
    <row r="2376" spans="2:9" ht="30">
      <c r="B2376" s="396">
        <v>102059</v>
      </c>
      <c r="C2376" s="401" t="s">
        <v>4791</v>
      </c>
      <c r="D2376" s="396" t="s">
        <v>0</v>
      </c>
      <c r="E2376" s="405">
        <f t="shared" si="74"/>
        <v>438.03</v>
      </c>
      <c r="F2376">
        <f t="shared" si="75"/>
        <v>102059</v>
      </c>
      <c r="H2376" s="679">
        <v>438.03</v>
      </c>
      <c r="I2376" s="679">
        <v>457.97</v>
      </c>
    </row>
    <row r="2377" spans="2:9" ht="30">
      <c r="B2377" s="395">
        <v>102060</v>
      </c>
      <c r="C2377" s="406" t="s">
        <v>4792</v>
      </c>
      <c r="D2377" s="395" t="s">
        <v>0</v>
      </c>
      <c r="E2377" s="407">
        <f t="shared" si="74"/>
        <v>371.58</v>
      </c>
      <c r="F2377">
        <f t="shared" si="75"/>
        <v>102060</v>
      </c>
      <c r="H2377" s="680">
        <v>371.58</v>
      </c>
      <c r="I2377" s="680">
        <v>387.4</v>
      </c>
    </row>
    <row r="2378" spans="2:9" ht="30">
      <c r="B2378" s="396">
        <v>102061</v>
      </c>
      <c r="C2378" s="401" t="s">
        <v>4793</v>
      </c>
      <c r="D2378" s="396" t="s">
        <v>0</v>
      </c>
      <c r="E2378" s="405">
        <f t="shared" si="74"/>
        <v>302.94</v>
      </c>
      <c r="F2378">
        <f t="shared" si="75"/>
        <v>102061</v>
      </c>
      <c r="H2378" s="679">
        <v>302.94</v>
      </c>
      <c r="I2378" s="679">
        <v>316.2</v>
      </c>
    </row>
    <row r="2379" spans="2:9" ht="30">
      <c r="B2379" s="395">
        <v>102062</v>
      </c>
      <c r="C2379" s="406" t="s">
        <v>4794</v>
      </c>
      <c r="D2379" s="395" t="s">
        <v>0</v>
      </c>
      <c r="E2379" s="407">
        <f t="shared" si="74"/>
        <v>284.13</v>
      </c>
      <c r="F2379">
        <f t="shared" si="75"/>
        <v>102062</v>
      </c>
      <c r="H2379" s="680">
        <v>284.13</v>
      </c>
      <c r="I2379" s="680">
        <v>294.83</v>
      </c>
    </row>
    <row r="2380" spans="2:9" ht="30">
      <c r="B2380" s="396">
        <v>102063</v>
      </c>
      <c r="C2380" s="401" t="s">
        <v>4795</v>
      </c>
      <c r="D2380" s="396" t="s">
        <v>0</v>
      </c>
      <c r="E2380" s="405">
        <f t="shared" si="74"/>
        <v>239.82</v>
      </c>
      <c r="F2380">
        <f t="shared" si="75"/>
        <v>102063</v>
      </c>
      <c r="H2380" s="679">
        <v>239.82</v>
      </c>
      <c r="I2380" s="679">
        <v>248.77</v>
      </c>
    </row>
    <row r="2381" spans="2:9" ht="30">
      <c r="B2381" s="395">
        <v>102064</v>
      </c>
      <c r="C2381" s="406" t="s">
        <v>4796</v>
      </c>
      <c r="D2381" s="395" t="s">
        <v>0</v>
      </c>
      <c r="E2381" s="407">
        <f t="shared" si="74"/>
        <v>205.85</v>
      </c>
      <c r="F2381">
        <f t="shared" si="75"/>
        <v>102064</v>
      </c>
      <c r="H2381" s="680">
        <v>205.85</v>
      </c>
      <c r="I2381" s="680">
        <v>214.05</v>
      </c>
    </row>
    <row r="2382" spans="2:9" ht="30">
      <c r="B2382" s="396">
        <v>102065</v>
      </c>
      <c r="C2382" s="401" t="s">
        <v>4797</v>
      </c>
      <c r="D2382" s="396" t="s">
        <v>0</v>
      </c>
      <c r="E2382" s="405">
        <f t="shared" si="74"/>
        <v>187.1</v>
      </c>
      <c r="F2382">
        <f t="shared" si="75"/>
        <v>102065</v>
      </c>
      <c r="H2382" s="679">
        <v>187.1</v>
      </c>
      <c r="I2382" s="679">
        <v>194.89</v>
      </c>
    </row>
    <row r="2383" spans="2:9" ht="30">
      <c r="B2383" s="395">
        <v>102066</v>
      </c>
      <c r="C2383" s="406" t="s">
        <v>4798</v>
      </c>
      <c r="D2383" s="395" t="s">
        <v>0</v>
      </c>
      <c r="E2383" s="407">
        <f t="shared" si="74"/>
        <v>437.52</v>
      </c>
      <c r="F2383">
        <f t="shared" si="75"/>
        <v>102066</v>
      </c>
      <c r="H2383" s="680">
        <v>437.52</v>
      </c>
      <c r="I2383" s="680">
        <v>457.07</v>
      </c>
    </row>
    <row r="2384" spans="2:9" ht="30">
      <c r="B2384" s="396">
        <v>102067</v>
      </c>
      <c r="C2384" s="401" t="s">
        <v>4799</v>
      </c>
      <c r="D2384" s="396" t="s">
        <v>0</v>
      </c>
      <c r="E2384" s="405">
        <f t="shared" si="74"/>
        <v>377.22</v>
      </c>
      <c r="F2384">
        <f t="shared" si="75"/>
        <v>102067</v>
      </c>
      <c r="H2384" s="679">
        <v>377.22</v>
      </c>
      <c r="I2384" s="679">
        <v>392.77</v>
      </c>
    </row>
    <row r="2385" spans="2:9" ht="30">
      <c r="B2385" s="395">
        <v>102068</v>
      </c>
      <c r="C2385" s="406" t="s">
        <v>4800</v>
      </c>
      <c r="D2385" s="395" t="s">
        <v>0</v>
      </c>
      <c r="E2385" s="407">
        <f t="shared" si="74"/>
        <v>273.24</v>
      </c>
      <c r="F2385">
        <f t="shared" si="75"/>
        <v>102068</v>
      </c>
      <c r="H2385" s="680">
        <v>273.24</v>
      </c>
      <c r="I2385" s="680">
        <v>286.76</v>
      </c>
    </row>
    <row r="2386" spans="2:9" ht="30">
      <c r="B2386" s="396">
        <v>102069</v>
      </c>
      <c r="C2386" s="401" t="s">
        <v>4801</v>
      </c>
      <c r="D2386" s="396" t="s">
        <v>0</v>
      </c>
      <c r="E2386" s="405">
        <f t="shared" si="74"/>
        <v>256.37</v>
      </c>
      <c r="F2386">
        <f t="shared" si="75"/>
        <v>102069</v>
      </c>
      <c r="H2386" s="679">
        <v>256.37</v>
      </c>
      <c r="I2386" s="679">
        <v>267.39</v>
      </c>
    </row>
    <row r="2387" spans="2:9" ht="30">
      <c r="B2387" s="395">
        <v>102070</v>
      </c>
      <c r="C2387" s="406" t="s">
        <v>4802</v>
      </c>
      <c r="D2387" s="395" t="s">
        <v>0</v>
      </c>
      <c r="E2387" s="407">
        <f t="shared" si="74"/>
        <v>224.81</v>
      </c>
      <c r="F2387">
        <f t="shared" si="75"/>
        <v>102070</v>
      </c>
      <c r="H2387" s="680">
        <v>224.81</v>
      </c>
      <c r="I2387" s="680">
        <v>233.94</v>
      </c>
    </row>
    <row r="2388" spans="2:9" ht="30">
      <c r="B2388" s="396">
        <v>102071</v>
      </c>
      <c r="C2388" s="401" t="s">
        <v>4803</v>
      </c>
      <c r="D2388" s="396" t="s">
        <v>0</v>
      </c>
      <c r="E2388" s="405">
        <f t="shared" si="74"/>
        <v>193.41</v>
      </c>
      <c r="F2388">
        <f t="shared" si="75"/>
        <v>102071</v>
      </c>
      <c r="H2388" s="679">
        <v>193.41</v>
      </c>
      <c r="I2388" s="679">
        <v>201.78</v>
      </c>
    </row>
    <row r="2389" spans="2:9" ht="30">
      <c r="B2389" s="395">
        <v>102072</v>
      </c>
      <c r="C2389" s="406" t="s">
        <v>4804</v>
      </c>
      <c r="D2389" s="395" t="s">
        <v>0</v>
      </c>
      <c r="E2389" s="407">
        <f t="shared" si="74"/>
        <v>185</v>
      </c>
      <c r="F2389">
        <f t="shared" si="75"/>
        <v>102072</v>
      </c>
      <c r="H2389" s="680">
        <v>185</v>
      </c>
      <c r="I2389" s="680">
        <v>192.82</v>
      </c>
    </row>
    <row r="2390" spans="2:9" ht="30">
      <c r="B2390" s="396">
        <v>102073</v>
      </c>
      <c r="C2390" s="401" t="s">
        <v>4805</v>
      </c>
      <c r="D2390" s="396" t="s">
        <v>20</v>
      </c>
      <c r="E2390" s="405">
        <f t="shared" si="74"/>
        <v>4181.05</v>
      </c>
      <c r="F2390">
        <f t="shared" si="75"/>
        <v>102073</v>
      </c>
      <c r="H2390" s="679">
        <v>4181.05</v>
      </c>
      <c r="I2390" s="679">
        <v>4303.8100000000004</v>
      </c>
    </row>
    <row r="2391" spans="2:9" ht="30">
      <c r="B2391" s="395">
        <v>102074</v>
      </c>
      <c r="C2391" s="406" t="s">
        <v>4806</v>
      </c>
      <c r="D2391" s="395" t="s">
        <v>20</v>
      </c>
      <c r="E2391" s="407">
        <f t="shared" si="74"/>
        <v>5016.2299999999996</v>
      </c>
      <c r="F2391">
        <f t="shared" si="75"/>
        <v>102074</v>
      </c>
      <c r="H2391" s="680">
        <v>5016.2299999999996</v>
      </c>
      <c r="I2391" s="680">
        <v>5152.2700000000004</v>
      </c>
    </row>
    <row r="2392" spans="2:9" ht="30">
      <c r="B2392" s="396">
        <v>102075</v>
      </c>
      <c r="C2392" s="401" t="s">
        <v>4807</v>
      </c>
      <c r="D2392" s="396" t="s">
        <v>20</v>
      </c>
      <c r="E2392" s="405">
        <f t="shared" si="74"/>
        <v>5235.0600000000004</v>
      </c>
      <c r="F2392">
        <f t="shared" si="75"/>
        <v>102075</v>
      </c>
      <c r="H2392" s="679">
        <v>5235.0600000000004</v>
      </c>
      <c r="I2392" s="679">
        <v>5376.06</v>
      </c>
    </row>
    <row r="2393" spans="2:9" ht="30">
      <c r="B2393" s="395">
        <v>102076</v>
      </c>
      <c r="C2393" s="406" t="s">
        <v>4808</v>
      </c>
      <c r="D2393" s="395" t="s">
        <v>20</v>
      </c>
      <c r="E2393" s="407">
        <f t="shared" si="74"/>
        <v>5418.23</v>
      </c>
      <c r="F2393">
        <f t="shared" si="75"/>
        <v>102076</v>
      </c>
      <c r="H2393" s="680">
        <v>5418.23</v>
      </c>
      <c r="I2393" s="680">
        <v>5555.78</v>
      </c>
    </row>
    <row r="2394" spans="2:9" ht="30">
      <c r="B2394" s="396">
        <v>102077</v>
      </c>
      <c r="C2394" s="401" t="s">
        <v>4809</v>
      </c>
      <c r="D2394" s="396" t="s">
        <v>20</v>
      </c>
      <c r="E2394" s="405">
        <f t="shared" si="74"/>
        <v>5744.52</v>
      </c>
      <c r="F2394">
        <f t="shared" si="75"/>
        <v>102077</v>
      </c>
      <c r="H2394" s="679">
        <v>5744.52</v>
      </c>
      <c r="I2394" s="679">
        <v>5927.37</v>
      </c>
    </row>
    <row r="2395" spans="2:9" ht="30">
      <c r="B2395" s="395">
        <v>102078</v>
      </c>
      <c r="C2395" s="406" t="s">
        <v>4810</v>
      </c>
      <c r="D2395" s="395" t="s">
        <v>20</v>
      </c>
      <c r="E2395" s="407">
        <f t="shared" si="74"/>
        <v>5875.51</v>
      </c>
      <c r="F2395">
        <f t="shared" si="75"/>
        <v>102078</v>
      </c>
      <c r="H2395" s="680">
        <v>5875.51</v>
      </c>
      <c r="I2395" s="680">
        <v>6055.52</v>
      </c>
    </row>
    <row r="2396" spans="2:9" ht="30">
      <c r="B2396" s="396">
        <v>102079</v>
      </c>
      <c r="C2396" s="401" t="s">
        <v>4811</v>
      </c>
      <c r="D2396" s="396" t="s">
        <v>20</v>
      </c>
      <c r="E2396" s="405">
        <f t="shared" si="74"/>
        <v>5648.12</v>
      </c>
      <c r="F2396">
        <f t="shared" si="75"/>
        <v>102079</v>
      </c>
      <c r="H2396" s="679">
        <v>5648.12</v>
      </c>
      <c r="I2396" s="679">
        <v>5820.07</v>
      </c>
    </row>
    <row r="2397" spans="2:9" ht="30">
      <c r="B2397" s="395">
        <v>102080</v>
      </c>
      <c r="C2397" s="406" t="s">
        <v>4812</v>
      </c>
      <c r="D2397" s="395" t="s">
        <v>20</v>
      </c>
      <c r="E2397" s="407">
        <f t="shared" si="74"/>
        <v>5034.01</v>
      </c>
      <c r="F2397">
        <f t="shared" si="75"/>
        <v>102080</v>
      </c>
      <c r="H2397" s="680">
        <v>5034.01</v>
      </c>
      <c r="I2397" s="680">
        <v>5171.1499999999996</v>
      </c>
    </row>
    <row r="2398" spans="2:9" ht="30">
      <c r="B2398" s="396">
        <v>102086</v>
      </c>
      <c r="C2398" s="401" t="s">
        <v>4813</v>
      </c>
      <c r="D2398" s="396" t="s">
        <v>0</v>
      </c>
      <c r="E2398" s="405">
        <f t="shared" si="74"/>
        <v>276.08</v>
      </c>
      <c r="F2398">
        <f t="shared" si="75"/>
        <v>102086</v>
      </c>
      <c r="H2398" s="679">
        <v>276.08</v>
      </c>
      <c r="I2398" s="679">
        <v>278.93</v>
      </c>
    </row>
    <row r="2399" spans="2:9" ht="30">
      <c r="B2399" s="395">
        <v>102087</v>
      </c>
      <c r="C2399" s="406" t="s">
        <v>4814</v>
      </c>
      <c r="D2399" s="395" t="s">
        <v>0</v>
      </c>
      <c r="E2399" s="407">
        <f t="shared" si="74"/>
        <v>213.94</v>
      </c>
      <c r="F2399">
        <f t="shared" si="75"/>
        <v>102087</v>
      </c>
      <c r="H2399" s="680">
        <v>213.94</v>
      </c>
      <c r="I2399" s="680">
        <v>216.79</v>
      </c>
    </row>
    <row r="2400" spans="2:9">
      <c r="B2400" s="396">
        <v>102088</v>
      </c>
      <c r="C2400" s="401" t="s">
        <v>4815</v>
      </c>
      <c r="D2400" s="396" t="s">
        <v>0</v>
      </c>
      <c r="E2400" s="405">
        <f t="shared" si="74"/>
        <v>208.69</v>
      </c>
      <c r="F2400">
        <f t="shared" si="75"/>
        <v>102088</v>
      </c>
      <c r="H2400" s="679">
        <v>208.69</v>
      </c>
      <c r="I2400" s="679">
        <v>211.68</v>
      </c>
    </row>
    <row r="2401" spans="2:9" ht="30">
      <c r="B2401" s="395">
        <v>102089</v>
      </c>
      <c r="C2401" s="406" t="s">
        <v>4816</v>
      </c>
      <c r="D2401" s="395" t="s">
        <v>0</v>
      </c>
      <c r="E2401" s="407">
        <f t="shared" si="74"/>
        <v>252.68</v>
      </c>
      <c r="F2401">
        <f t="shared" si="75"/>
        <v>102089</v>
      </c>
      <c r="H2401" s="680">
        <v>252.68</v>
      </c>
      <c r="I2401" s="680">
        <v>255.76</v>
      </c>
    </row>
    <row r="2402" spans="2:9" ht="30">
      <c r="B2402" s="396">
        <v>102090</v>
      </c>
      <c r="C2402" s="401" t="s">
        <v>4817</v>
      </c>
      <c r="D2402" s="396" t="s">
        <v>0</v>
      </c>
      <c r="E2402" s="405">
        <f t="shared" si="74"/>
        <v>182.19</v>
      </c>
      <c r="F2402">
        <f t="shared" si="75"/>
        <v>102090</v>
      </c>
      <c r="H2402" s="679">
        <v>182.19</v>
      </c>
      <c r="I2402" s="679">
        <v>185.27</v>
      </c>
    </row>
    <row r="2403" spans="2:9">
      <c r="B2403" s="395">
        <v>102091</v>
      </c>
      <c r="C2403" s="406" t="s">
        <v>4818</v>
      </c>
      <c r="D2403" s="395" t="s">
        <v>0</v>
      </c>
      <c r="E2403" s="407">
        <f t="shared" si="74"/>
        <v>235.02</v>
      </c>
      <c r="F2403">
        <f t="shared" si="75"/>
        <v>102091</v>
      </c>
      <c r="H2403" s="680">
        <v>235.02</v>
      </c>
      <c r="I2403" s="680">
        <v>238.14</v>
      </c>
    </row>
    <row r="2404" spans="2:9" ht="30">
      <c r="B2404" s="396">
        <v>103760</v>
      </c>
      <c r="C2404" s="401" t="s">
        <v>6483</v>
      </c>
      <c r="D2404" s="396" t="s">
        <v>0</v>
      </c>
      <c r="E2404" s="405">
        <f t="shared" si="74"/>
        <v>123.87</v>
      </c>
      <c r="F2404">
        <f t="shared" si="75"/>
        <v>103760</v>
      </c>
      <c r="H2404" s="679">
        <v>123.87</v>
      </c>
      <c r="I2404" s="679">
        <v>127.1</v>
      </c>
    </row>
    <row r="2405" spans="2:9" ht="30">
      <c r="B2405" s="395">
        <v>103761</v>
      </c>
      <c r="C2405" s="406" t="s">
        <v>6484</v>
      </c>
      <c r="D2405" s="395" t="s">
        <v>0</v>
      </c>
      <c r="E2405" s="407">
        <f t="shared" si="74"/>
        <v>84.06</v>
      </c>
      <c r="F2405">
        <f t="shared" si="75"/>
        <v>103761</v>
      </c>
      <c r="H2405" s="680">
        <v>84.06</v>
      </c>
      <c r="I2405" s="680">
        <v>87.03</v>
      </c>
    </row>
    <row r="2406" spans="2:9" ht="30">
      <c r="B2406" s="396">
        <v>103762</v>
      </c>
      <c r="C2406" s="401" t="s">
        <v>6485</v>
      </c>
      <c r="D2406" s="396" t="s">
        <v>0</v>
      </c>
      <c r="E2406" s="405">
        <f t="shared" si="74"/>
        <v>70.63</v>
      </c>
      <c r="F2406">
        <f t="shared" si="75"/>
        <v>103762</v>
      </c>
      <c r="H2406" s="679">
        <v>70.63</v>
      </c>
      <c r="I2406" s="679">
        <v>73.38</v>
      </c>
    </row>
    <row r="2407" spans="2:9" ht="30">
      <c r="B2407" s="395">
        <v>103763</v>
      </c>
      <c r="C2407" s="406" t="s">
        <v>6486</v>
      </c>
      <c r="D2407" s="395" t="s">
        <v>0</v>
      </c>
      <c r="E2407" s="407">
        <f t="shared" si="74"/>
        <v>62.05</v>
      </c>
      <c r="F2407">
        <f t="shared" si="75"/>
        <v>103763</v>
      </c>
      <c r="H2407" s="680">
        <v>62.05</v>
      </c>
      <c r="I2407" s="680">
        <v>64.58</v>
      </c>
    </row>
    <row r="2408" spans="2:9">
      <c r="B2408" s="396">
        <v>89996</v>
      </c>
      <c r="C2408" s="401" t="s">
        <v>6077</v>
      </c>
      <c r="D2408" s="396" t="s">
        <v>21</v>
      </c>
      <c r="E2408" s="405">
        <f t="shared" si="74"/>
        <v>13.27</v>
      </c>
      <c r="F2408">
        <f t="shared" si="75"/>
        <v>89996</v>
      </c>
      <c r="H2408" s="679">
        <v>13.27</v>
      </c>
      <c r="I2408" s="679">
        <v>13.49</v>
      </c>
    </row>
    <row r="2409" spans="2:9">
      <c r="B2409" s="395">
        <v>89997</v>
      </c>
      <c r="C2409" s="406" t="s">
        <v>6078</v>
      </c>
      <c r="D2409" s="395" t="s">
        <v>21</v>
      </c>
      <c r="E2409" s="407">
        <f t="shared" si="74"/>
        <v>11.03</v>
      </c>
      <c r="F2409">
        <f t="shared" si="75"/>
        <v>89997</v>
      </c>
      <c r="H2409" s="680">
        <v>11.03</v>
      </c>
      <c r="I2409" s="680">
        <v>11.18</v>
      </c>
    </row>
    <row r="2410" spans="2:9">
      <c r="B2410" s="396">
        <v>89998</v>
      </c>
      <c r="C2410" s="401" t="s">
        <v>6079</v>
      </c>
      <c r="D2410" s="396" t="s">
        <v>21</v>
      </c>
      <c r="E2410" s="405">
        <f t="shared" si="74"/>
        <v>12.84</v>
      </c>
      <c r="F2410">
        <f t="shared" si="75"/>
        <v>89998</v>
      </c>
      <c r="H2410" s="679">
        <v>12.84</v>
      </c>
      <c r="I2410" s="679">
        <v>13.02</v>
      </c>
    </row>
    <row r="2411" spans="2:9">
      <c r="B2411" s="395">
        <v>89999</v>
      </c>
      <c r="C2411" s="406" t="s">
        <v>6080</v>
      </c>
      <c r="D2411" s="395" t="s">
        <v>21</v>
      </c>
      <c r="E2411" s="407">
        <f t="shared" si="74"/>
        <v>17.88</v>
      </c>
      <c r="F2411">
        <f t="shared" si="75"/>
        <v>89999</v>
      </c>
      <c r="H2411" s="680">
        <v>17.88</v>
      </c>
      <c r="I2411" s="680">
        <v>18.54</v>
      </c>
    </row>
    <row r="2412" spans="2:9">
      <c r="B2412" s="396">
        <v>90000</v>
      </c>
      <c r="C2412" s="401" t="s">
        <v>6081</v>
      </c>
      <c r="D2412" s="396" t="s">
        <v>21</v>
      </c>
      <c r="E2412" s="405">
        <f t="shared" si="74"/>
        <v>15.04</v>
      </c>
      <c r="F2412">
        <f t="shared" si="75"/>
        <v>90000</v>
      </c>
      <c r="H2412" s="679">
        <v>15.04</v>
      </c>
      <c r="I2412" s="679">
        <v>15.46</v>
      </c>
    </row>
    <row r="2413" spans="2:9" ht="30">
      <c r="B2413" s="395">
        <v>91593</v>
      </c>
      <c r="C2413" s="406" t="s">
        <v>3049</v>
      </c>
      <c r="D2413" s="395" t="s">
        <v>21</v>
      </c>
      <c r="E2413" s="407">
        <f t="shared" si="74"/>
        <v>15.24</v>
      </c>
      <c r="F2413">
        <f t="shared" si="75"/>
        <v>91593</v>
      </c>
      <c r="H2413" s="680">
        <v>15.24</v>
      </c>
      <c r="I2413" s="680">
        <v>15.32</v>
      </c>
    </row>
    <row r="2414" spans="2:9" ht="30">
      <c r="B2414" s="396">
        <v>91594</v>
      </c>
      <c r="C2414" s="401" t="s">
        <v>3050</v>
      </c>
      <c r="D2414" s="396" t="s">
        <v>21</v>
      </c>
      <c r="E2414" s="405">
        <f t="shared" si="74"/>
        <v>15.6</v>
      </c>
      <c r="F2414">
        <f t="shared" si="75"/>
        <v>91594</v>
      </c>
      <c r="H2414" s="679">
        <v>15.6</v>
      </c>
      <c r="I2414" s="679">
        <v>15.71</v>
      </c>
    </row>
    <row r="2415" spans="2:9">
      <c r="B2415" s="395">
        <v>91595</v>
      </c>
      <c r="C2415" s="406" t="s">
        <v>3051</v>
      </c>
      <c r="D2415" s="395" t="s">
        <v>21</v>
      </c>
      <c r="E2415" s="407">
        <f t="shared" si="74"/>
        <v>16.11</v>
      </c>
      <c r="F2415">
        <f t="shared" si="75"/>
        <v>91595</v>
      </c>
      <c r="H2415" s="680">
        <v>16.11</v>
      </c>
      <c r="I2415" s="680">
        <v>16.28</v>
      </c>
    </row>
    <row r="2416" spans="2:9">
      <c r="B2416" s="396">
        <v>91596</v>
      </c>
      <c r="C2416" s="401" t="s">
        <v>3052</v>
      </c>
      <c r="D2416" s="396" t="s">
        <v>21</v>
      </c>
      <c r="E2416" s="405">
        <f t="shared" si="74"/>
        <v>15.51</v>
      </c>
      <c r="F2416">
        <f t="shared" si="75"/>
        <v>91596</v>
      </c>
      <c r="H2416" s="679">
        <v>15.51</v>
      </c>
      <c r="I2416" s="679">
        <v>15.61</v>
      </c>
    </row>
    <row r="2417" spans="2:9">
      <c r="B2417" s="395">
        <v>91597</v>
      </c>
      <c r="C2417" s="406" t="s">
        <v>3053</v>
      </c>
      <c r="D2417" s="395" t="s">
        <v>21</v>
      </c>
      <c r="E2417" s="407">
        <f t="shared" si="74"/>
        <v>10.81</v>
      </c>
      <c r="F2417">
        <f t="shared" si="75"/>
        <v>91597</v>
      </c>
      <c r="H2417" s="680">
        <v>10.81</v>
      </c>
      <c r="I2417" s="680">
        <v>10.92</v>
      </c>
    </row>
    <row r="2418" spans="2:9">
      <c r="B2418" s="396">
        <v>91598</v>
      </c>
      <c r="C2418" s="401" t="s">
        <v>3054</v>
      </c>
      <c r="D2418" s="396" t="s">
        <v>21</v>
      </c>
      <c r="E2418" s="405">
        <f t="shared" si="74"/>
        <v>15.06</v>
      </c>
      <c r="F2418">
        <f t="shared" si="75"/>
        <v>91598</v>
      </c>
      <c r="H2418" s="679">
        <v>15.06</v>
      </c>
      <c r="I2418" s="679">
        <v>15.18</v>
      </c>
    </row>
    <row r="2419" spans="2:9">
      <c r="B2419" s="395">
        <v>91599</v>
      </c>
      <c r="C2419" s="406" t="s">
        <v>3055</v>
      </c>
      <c r="D2419" s="395" t="s">
        <v>21</v>
      </c>
      <c r="E2419" s="407">
        <f t="shared" si="74"/>
        <v>11.16</v>
      </c>
      <c r="F2419">
        <f t="shared" si="75"/>
        <v>91599</v>
      </c>
      <c r="H2419" s="680">
        <v>11.16</v>
      </c>
      <c r="I2419" s="680">
        <v>11.3</v>
      </c>
    </row>
    <row r="2420" spans="2:9">
      <c r="B2420" s="396">
        <v>91600</v>
      </c>
      <c r="C2420" s="401" t="s">
        <v>3056</v>
      </c>
      <c r="D2420" s="396" t="s">
        <v>21</v>
      </c>
      <c r="E2420" s="405">
        <f t="shared" si="74"/>
        <v>17.63</v>
      </c>
      <c r="F2420">
        <f t="shared" si="75"/>
        <v>91600</v>
      </c>
      <c r="H2420" s="679">
        <v>17.63</v>
      </c>
      <c r="I2420" s="679">
        <v>17.95</v>
      </c>
    </row>
    <row r="2421" spans="2:9">
      <c r="B2421" s="395">
        <v>91601</v>
      </c>
      <c r="C2421" s="406" t="s">
        <v>3057</v>
      </c>
      <c r="D2421" s="395" t="s">
        <v>21</v>
      </c>
      <c r="E2421" s="407">
        <f t="shared" si="74"/>
        <v>15.52</v>
      </c>
      <c r="F2421">
        <f t="shared" si="75"/>
        <v>91601</v>
      </c>
      <c r="H2421" s="680">
        <v>15.52</v>
      </c>
      <c r="I2421" s="680">
        <v>15.75</v>
      </c>
    </row>
    <row r="2422" spans="2:9">
      <c r="B2422" s="396">
        <v>91602</v>
      </c>
      <c r="C2422" s="401" t="s">
        <v>3058</v>
      </c>
      <c r="D2422" s="396" t="s">
        <v>21</v>
      </c>
      <c r="E2422" s="405">
        <f t="shared" si="74"/>
        <v>14.75</v>
      </c>
      <c r="F2422">
        <f t="shared" si="75"/>
        <v>91602</v>
      </c>
      <c r="H2422" s="679">
        <v>14.75</v>
      </c>
      <c r="I2422" s="679">
        <v>14.9</v>
      </c>
    </row>
    <row r="2423" spans="2:9" ht="30">
      <c r="B2423" s="395">
        <v>91603</v>
      </c>
      <c r="C2423" s="406" t="s">
        <v>3059</v>
      </c>
      <c r="D2423" s="395" t="s">
        <v>21</v>
      </c>
      <c r="E2423" s="407">
        <f t="shared" si="74"/>
        <v>13.92</v>
      </c>
      <c r="F2423">
        <f t="shared" si="75"/>
        <v>91603</v>
      </c>
      <c r="H2423" s="680">
        <v>13.92</v>
      </c>
      <c r="I2423" s="680">
        <v>14.06</v>
      </c>
    </row>
    <row r="2424" spans="2:9" ht="30">
      <c r="B2424" s="396">
        <v>92759</v>
      </c>
      <c r="C2424" s="401" t="s">
        <v>7446</v>
      </c>
      <c r="D2424" s="396" t="s">
        <v>21</v>
      </c>
      <c r="E2424" s="405">
        <f t="shared" si="74"/>
        <v>16.27</v>
      </c>
      <c r="F2424">
        <f t="shared" si="75"/>
        <v>92759</v>
      </c>
      <c r="H2424" s="679">
        <v>16.27</v>
      </c>
      <c r="I2424" s="679">
        <v>16.739999999999998</v>
      </c>
    </row>
    <row r="2425" spans="2:9" ht="30">
      <c r="B2425" s="395">
        <v>92760</v>
      </c>
      <c r="C2425" s="406" t="s">
        <v>7447</v>
      </c>
      <c r="D2425" s="395" t="s">
        <v>21</v>
      </c>
      <c r="E2425" s="407">
        <f t="shared" si="74"/>
        <v>16.18</v>
      </c>
      <c r="F2425">
        <f t="shared" si="75"/>
        <v>92760</v>
      </c>
      <c r="H2425" s="680">
        <v>16.18</v>
      </c>
      <c r="I2425" s="680">
        <v>16.47</v>
      </c>
    </row>
    <row r="2426" spans="2:9" ht="30">
      <c r="B2426" s="396">
        <v>92761</v>
      </c>
      <c r="C2426" s="401" t="s">
        <v>7448</v>
      </c>
      <c r="D2426" s="396" t="s">
        <v>21</v>
      </c>
      <c r="E2426" s="405">
        <f t="shared" si="74"/>
        <v>15.77</v>
      </c>
      <c r="F2426">
        <f t="shared" si="75"/>
        <v>92761</v>
      </c>
      <c r="H2426" s="679">
        <v>15.77</v>
      </c>
      <c r="I2426" s="679">
        <v>15.97</v>
      </c>
    </row>
    <row r="2427" spans="2:9" ht="30">
      <c r="B2427" s="395">
        <v>92762</v>
      </c>
      <c r="C2427" s="406" t="s">
        <v>7449</v>
      </c>
      <c r="D2427" s="395" t="s">
        <v>21</v>
      </c>
      <c r="E2427" s="407">
        <f t="shared" si="74"/>
        <v>14.35</v>
      </c>
      <c r="F2427">
        <f t="shared" si="75"/>
        <v>92762</v>
      </c>
      <c r="H2427" s="680">
        <v>14.35</v>
      </c>
      <c r="I2427" s="680">
        <v>14.48</v>
      </c>
    </row>
    <row r="2428" spans="2:9" ht="30">
      <c r="B2428" s="396">
        <v>92763</v>
      </c>
      <c r="C2428" s="401" t="s">
        <v>7450</v>
      </c>
      <c r="D2428" s="396" t="s">
        <v>21</v>
      </c>
      <c r="E2428" s="405">
        <f t="shared" si="74"/>
        <v>12.23</v>
      </c>
      <c r="F2428">
        <f t="shared" si="75"/>
        <v>92763</v>
      </c>
      <c r="H2428" s="679">
        <v>12.23</v>
      </c>
      <c r="I2428" s="679">
        <v>12.32</v>
      </c>
    </row>
    <row r="2429" spans="2:9" ht="30">
      <c r="B2429" s="395">
        <v>92764</v>
      </c>
      <c r="C2429" s="406" t="s">
        <v>7451</v>
      </c>
      <c r="D2429" s="395" t="s">
        <v>21</v>
      </c>
      <c r="E2429" s="407">
        <f t="shared" si="74"/>
        <v>11.98</v>
      </c>
      <c r="F2429">
        <f t="shared" si="75"/>
        <v>92764</v>
      </c>
      <c r="H2429" s="680">
        <v>11.98</v>
      </c>
      <c r="I2429" s="680">
        <v>12.04</v>
      </c>
    </row>
    <row r="2430" spans="2:9" ht="30">
      <c r="B2430" s="396">
        <v>92765</v>
      </c>
      <c r="C2430" s="401" t="s">
        <v>7452</v>
      </c>
      <c r="D2430" s="396" t="s">
        <v>21</v>
      </c>
      <c r="E2430" s="405">
        <f t="shared" si="74"/>
        <v>13.81</v>
      </c>
      <c r="F2430">
        <f t="shared" si="75"/>
        <v>92765</v>
      </c>
      <c r="H2430" s="679">
        <v>13.81</v>
      </c>
      <c r="I2430" s="679">
        <v>13.86</v>
      </c>
    </row>
    <row r="2431" spans="2:9" ht="30">
      <c r="B2431" s="395">
        <v>92766</v>
      </c>
      <c r="C2431" s="406" t="s">
        <v>7453</v>
      </c>
      <c r="D2431" s="395" t="s">
        <v>21</v>
      </c>
      <c r="E2431" s="407">
        <f t="shared" si="74"/>
        <v>13.72</v>
      </c>
      <c r="F2431">
        <f t="shared" si="75"/>
        <v>92766</v>
      </c>
      <c r="H2431" s="680">
        <v>13.72</v>
      </c>
      <c r="I2431" s="680">
        <v>13.75</v>
      </c>
    </row>
    <row r="2432" spans="2:9" ht="30">
      <c r="B2432" s="396">
        <v>92767</v>
      </c>
      <c r="C2432" s="401" t="s">
        <v>7454</v>
      </c>
      <c r="D2432" s="396" t="s">
        <v>21</v>
      </c>
      <c r="E2432" s="405">
        <f t="shared" si="74"/>
        <v>17.45</v>
      </c>
      <c r="F2432">
        <f t="shared" si="75"/>
        <v>92767</v>
      </c>
      <c r="H2432" s="679">
        <v>17.45</v>
      </c>
      <c r="I2432" s="679">
        <v>18.010000000000002</v>
      </c>
    </row>
    <row r="2433" spans="2:9" ht="30">
      <c r="B2433" s="395">
        <v>92768</v>
      </c>
      <c r="C2433" s="406" t="s">
        <v>7455</v>
      </c>
      <c r="D2433" s="395" t="s">
        <v>21</v>
      </c>
      <c r="E2433" s="407">
        <f t="shared" si="74"/>
        <v>15.9</v>
      </c>
      <c r="F2433">
        <f t="shared" si="75"/>
        <v>92768</v>
      </c>
      <c r="H2433" s="680">
        <v>15.9</v>
      </c>
      <c r="I2433" s="680">
        <v>16.3</v>
      </c>
    </row>
    <row r="2434" spans="2:9" ht="30">
      <c r="B2434" s="396">
        <v>92769</v>
      </c>
      <c r="C2434" s="401" t="s">
        <v>7456</v>
      </c>
      <c r="D2434" s="396" t="s">
        <v>21</v>
      </c>
      <c r="E2434" s="405">
        <f t="shared" si="74"/>
        <v>15.79</v>
      </c>
      <c r="F2434">
        <f t="shared" si="75"/>
        <v>92769</v>
      </c>
      <c r="H2434" s="679">
        <v>15.79</v>
      </c>
      <c r="I2434" s="679">
        <v>16.03</v>
      </c>
    </row>
    <row r="2435" spans="2:9" ht="30">
      <c r="B2435" s="395">
        <v>92770</v>
      </c>
      <c r="C2435" s="406" t="s">
        <v>7457</v>
      </c>
      <c r="D2435" s="395" t="s">
        <v>21</v>
      </c>
      <c r="E2435" s="407">
        <f t="shared" ref="E2435:E2498" si="76">IF($K$2=$H$1,H2435,I2435)</f>
        <v>15.38</v>
      </c>
      <c r="F2435">
        <f t="shared" ref="F2435:F2498" si="77">IF(LEN($B2435)=7,CONCATENATE(MID($B2435,1,6),"00",RIGHT($B2435,1)),IF(LEN($B2435)=8,CONCATENATE(MID($B2435,1,6),"0",RIGHT($B2435,2)),$B2435))</f>
        <v>92770</v>
      </c>
      <c r="H2435" s="680">
        <v>15.38</v>
      </c>
      <c r="I2435" s="680">
        <v>15.54</v>
      </c>
    </row>
    <row r="2436" spans="2:9" ht="30">
      <c r="B2436" s="396">
        <v>92771</v>
      </c>
      <c r="C2436" s="401" t="s">
        <v>7458</v>
      </c>
      <c r="D2436" s="396" t="s">
        <v>21</v>
      </c>
      <c r="E2436" s="405">
        <f t="shared" si="76"/>
        <v>13.99</v>
      </c>
      <c r="F2436">
        <f t="shared" si="77"/>
        <v>92771</v>
      </c>
      <c r="H2436" s="679">
        <v>13.99</v>
      </c>
      <c r="I2436" s="679">
        <v>14.08</v>
      </c>
    </row>
    <row r="2437" spans="2:9" ht="30">
      <c r="B2437" s="395">
        <v>92772</v>
      </c>
      <c r="C2437" s="406" t="s">
        <v>7459</v>
      </c>
      <c r="D2437" s="395" t="s">
        <v>21</v>
      </c>
      <c r="E2437" s="407">
        <f t="shared" si="76"/>
        <v>11.9</v>
      </c>
      <c r="F2437">
        <f t="shared" si="77"/>
        <v>92772</v>
      </c>
      <c r="H2437" s="680">
        <v>11.9</v>
      </c>
      <c r="I2437" s="680">
        <v>11.95</v>
      </c>
    </row>
    <row r="2438" spans="2:9" ht="30">
      <c r="B2438" s="396">
        <v>92773</v>
      </c>
      <c r="C2438" s="401" t="s">
        <v>7460</v>
      </c>
      <c r="D2438" s="396" t="s">
        <v>21</v>
      </c>
      <c r="E2438" s="405">
        <f t="shared" si="76"/>
        <v>11.76</v>
      </c>
      <c r="F2438">
        <f t="shared" si="77"/>
        <v>92773</v>
      </c>
      <c r="H2438" s="679">
        <v>11.76</v>
      </c>
      <c r="I2438" s="679">
        <v>11.8</v>
      </c>
    </row>
    <row r="2439" spans="2:9" ht="30">
      <c r="B2439" s="395">
        <v>92774</v>
      </c>
      <c r="C2439" s="406" t="s">
        <v>7461</v>
      </c>
      <c r="D2439" s="395" t="s">
        <v>21</v>
      </c>
      <c r="E2439" s="407">
        <f t="shared" si="76"/>
        <v>13.69</v>
      </c>
      <c r="F2439">
        <f t="shared" si="77"/>
        <v>92774</v>
      </c>
      <c r="H2439" s="680">
        <v>13.69</v>
      </c>
      <c r="I2439" s="680">
        <v>13.73</v>
      </c>
    </row>
    <row r="2440" spans="2:9">
      <c r="B2440" s="396">
        <v>92798</v>
      </c>
      <c r="C2440" s="401" t="s">
        <v>7462</v>
      </c>
      <c r="D2440" s="396" t="s">
        <v>21</v>
      </c>
      <c r="E2440" s="405">
        <f t="shared" si="76"/>
        <v>12.81</v>
      </c>
      <c r="F2440">
        <f t="shared" si="77"/>
        <v>92798</v>
      </c>
      <c r="H2440" s="679">
        <v>12.81</v>
      </c>
      <c r="I2440" s="679">
        <v>12.81</v>
      </c>
    </row>
    <row r="2441" spans="2:9">
      <c r="B2441" s="395">
        <v>92799</v>
      </c>
      <c r="C2441" s="406" t="s">
        <v>7463</v>
      </c>
      <c r="D2441" s="395" t="s">
        <v>21</v>
      </c>
      <c r="E2441" s="407">
        <f t="shared" si="76"/>
        <v>13.65</v>
      </c>
      <c r="F2441">
        <f t="shared" si="77"/>
        <v>92799</v>
      </c>
      <c r="H2441" s="680">
        <v>13.65</v>
      </c>
      <c r="I2441" s="680">
        <v>13.91</v>
      </c>
    </row>
    <row r="2442" spans="2:9">
      <c r="B2442" s="396">
        <v>92800</v>
      </c>
      <c r="C2442" s="401" t="s">
        <v>7464</v>
      </c>
      <c r="D2442" s="396" t="s">
        <v>21</v>
      </c>
      <c r="E2442" s="405">
        <f t="shared" si="76"/>
        <v>12.78</v>
      </c>
      <c r="F2442">
        <f t="shared" si="77"/>
        <v>92800</v>
      </c>
      <c r="H2442" s="679">
        <v>12.78</v>
      </c>
      <c r="I2442" s="679">
        <v>12.95</v>
      </c>
    </row>
    <row r="2443" spans="2:9">
      <c r="B2443" s="395">
        <v>92801</v>
      </c>
      <c r="C2443" s="406" t="s">
        <v>7465</v>
      </c>
      <c r="D2443" s="395" t="s">
        <v>21</v>
      </c>
      <c r="E2443" s="407">
        <f t="shared" si="76"/>
        <v>13.42</v>
      </c>
      <c r="F2443">
        <f t="shared" si="77"/>
        <v>92801</v>
      </c>
      <c r="H2443" s="680">
        <v>13.42</v>
      </c>
      <c r="I2443" s="680">
        <v>13.5</v>
      </c>
    </row>
    <row r="2444" spans="2:9">
      <c r="B2444" s="396">
        <v>92802</v>
      </c>
      <c r="C2444" s="401" t="s">
        <v>7466</v>
      </c>
      <c r="D2444" s="396" t="s">
        <v>21</v>
      </c>
      <c r="E2444" s="405">
        <f t="shared" si="76"/>
        <v>13.62</v>
      </c>
      <c r="F2444">
        <f t="shared" si="77"/>
        <v>92802</v>
      </c>
      <c r="H2444" s="679">
        <v>13.62</v>
      </c>
      <c r="I2444" s="679">
        <v>13.67</v>
      </c>
    </row>
    <row r="2445" spans="2:9">
      <c r="B2445" s="395">
        <v>92803</v>
      </c>
      <c r="C2445" s="406" t="s">
        <v>7467</v>
      </c>
      <c r="D2445" s="395" t="s">
        <v>21</v>
      </c>
      <c r="E2445" s="407">
        <f t="shared" si="76"/>
        <v>12.67</v>
      </c>
      <c r="F2445">
        <f t="shared" si="77"/>
        <v>92803</v>
      </c>
      <c r="H2445" s="680">
        <v>12.67</v>
      </c>
      <c r="I2445" s="680">
        <v>12.69</v>
      </c>
    </row>
    <row r="2446" spans="2:9">
      <c r="B2446" s="396">
        <v>92804</v>
      </c>
      <c r="C2446" s="401" t="s">
        <v>7468</v>
      </c>
      <c r="D2446" s="396" t="s">
        <v>21</v>
      </c>
      <c r="E2446" s="405">
        <f t="shared" si="76"/>
        <v>10.91</v>
      </c>
      <c r="F2446">
        <f t="shared" si="77"/>
        <v>92804</v>
      </c>
      <c r="H2446" s="679">
        <v>10.91</v>
      </c>
      <c r="I2446" s="679">
        <v>10.92</v>
      </c>
    </row>
    <row r="2447" spans="2:9">
      <c r="B2447" s="395">
        <v>92805</v>
      </c>
      <c r="C2447" s="406" t="s">
        <v>7469</v>
      </c>
      <c r="D2447" s="395" t="s">
        <v>21</v>
      </c>
      <c r="E2447" s="407">
        <f t="shared" si="76"/>
        <v>10.85</v>
      </c>
      <c r="F2447">
        <f t="shared" si="77"/>
        <v>92805</v>
      </c>
      <c r="H2447" s="680">
        <v>10.85</v>
      </c>
      <c r="I2447" s="680">
        <v>10.86</v>
      </c>
    </row>
    <row r="2448" spans="2:9">
      <c r="B2448" s="396">
        <v>92806</v>
      </c>
      <c r="C2448" s="401" t="s">
        <v>7470</v>
      </c>
      <c r="D2448" s="396" t="s">
        <v>21</v>
      </c>
      <c r="E2448" s="405">
        <f t="shared" si="76"/>
        <v>12.81</v>
      </c>
      <c r="F2448">
        <f t="shared" si="77"/>
        <v>92806</v>
      </c>
      <c r="H2448" s="679">
        <v>12.81</v>
      </c>
      <c r="I2448" s="679">
        <v>12.82</v>
      </c>
    </row>
    <row r="2449" spans="2:9">
      <c r="B2449" s="395">
        <v>92875</v>
      </c>
      <c r="C2449" s="406" t="s">
        <v>7471</v>
      </c>
      <c r="D2449" s="395" t="s">
        <v>21</v>
      </c>
      <c r="E2449" s="407">
        <f t="shared" si="76"/>
        <v>12.53</v>
      </c>
      <c r="F2449">
        <f t="shared" si="77"/>
        <v>92875</v>
      </c>
      <c r="H2449" s="680">
        <v>12.53</v>
      </c>
      <c r="I2449" s="680">
        <v>12.65</v>
      </c>
    </row>
    <row r="2450" spans="2:9">
      <c r="B2450" s="396">
        <v>92876</v>
      </c>
      <c r="C2450" s="401" t="s">
        <v>7472</v>
      </c>
      <c r="D2450" s="396" t="s">
        <v>21</v>
      </c>
      <c r="E2450" s="405">
        <f t="shared" si="76"/>
        <v>12.49</v>
      </c>
      <c r="F2450">
        <f t="shared" si="77"/>
        <v>92876</v>
      </c>
      <c r="H2450" s="679">
        <v>12.49</v>
      </c>
      <c r="I2450" s="679">
        <v>12.56</v>
      </c>
    </row>
    <row r="2451" spans="2:9">
      <c r="B2451" s="395">
        <v>92877</v>
      </c>
      <c r="C2451" s="406" t="s">
        <v>7473</v>
      </c>
      <c r="D2451" s="395" t="s">
        <v>21</v>
      </c>
      <c r="E2451" s="407">
        <f t="shared" si="76"/>
        <v>13.69</v>
      </c>
      <c r="F2451">
        <f t="shared" si="77"/>
        <v>92877</v>
      </c>
      <c r="H2451" s="680">
        <v>13.69</v>
      </c>
      <c r="I2451" s="680">
        <v>13.72</v>
      </c>
    </row>
    <row r="2452" spans="2:9">
      <c r="B2452" s="396">
        <v>92878</v>
      </c>
      <c r="C2452" s="401" t="s">
        <v>7474</v>
      </c>
      <c r="D2452" s="396" t="s">
        <v>21</v>
      </c>
      <c r="E2452" s="405">
        <f t="shared" si="76"/>
        <v>13.55</v>
      </c>
      <c r="F2452">
        <f t="shared" si="77"/>
        <v>92878</v>
      </c>
      <c r="H2452" s="679">
        <v>13.55</v>
      </c>
      <c r="I2452" s="679">
        <v>13.56</v>
      </c>
    </row>
    <row r="2453" spans="2:9">
      <c r="B2453" s="395">
        <v>92879</v>
      </c>
      <c r="C2453" s="406" t="s">
        <v>7475</v>
      </c>
      <c r="D2453" s="395" t="s">
        <v>21</v>
      </c>
      <c r="E2453" s="407">
        <f t="shared" si="76"/>
        <v>13.47</v>
      </c>
      <c r="F2453">
        <f t="shared" si="77"/>
        <v>92879</v>
      </c>
      <c r="H2453" s="680">
        <v>13.47</v>
      </c>
      <c r="I2453" s="680">
        <v>13.47</v>
      </c>
    </row>
    <row r="2454" spans="2:9">
      <c r="B2454" s="396">
        <v>92880</v>
      </c>
      <c r="C2454" s="401" t="s">
        <v>7476</v>
      </c>
      <c r="D2454" s="396" t="s">
        <v>21</v>
      </c>
      <c r="E2454" s="405">
        <f t="shared" si="76"/>
        <v>13.79</v>
      </c>
      <c r="F2454">
        <f t="shared" si="77"/>
        <v>92880</v>
      </c>
      <c r="H2454" s="679">
        <v>13.79</v>
      </c>
      <c r="I2454" s="679">
        <v>13.79</v>
      </c>
    </row>
    <row r="2455" spans="2:9">
      <c r="B2455" s="395">
        <v>92881</v>
      </c>
      <c r="C2455" s="406" t="s">
        <v>7477</v>
      </c>
      <c r="D2455" s="395" t="s">
        <v>21</v>
      </c>
      <c r="E2455" s="407">
        <f t="shared" si="76"/>
        <v>13.77</v>
      </c>
      <c r="F2455">
        <f t="shared" si="77"/>
        <v>92881</v>
      </c>
      <c r="H2455" s="680">
        <v>13.77</v>
      </c>
      <c r="I2455" s="680">
        <v>13.77</v>
      </c>
    </row>
    <row r="2456" spans="2:9">
      <c r="B2456" s="396">
        <v>92882</v>
      </c>
      <c r="C2456" s="401" t="s">
        <v>7478</v>
      </c>
      <c r="D2456" s="396" t="s">
        <v>21</v>
      </c>
      <c r="E2456" s="405">
        <f t="shared" si="76"/>
        <v>15.68</v>
      </c>
      <c r="F2456">
        <f t="shared" si="77"/>
        <v>92882</v>
      </c>
      <c r="H2456" s="679">
        <v>15.68</v>
      </c>
      <c r="I2456" s="679">
        <v>16.05</v>
      </c>
    </row>
    <row r="2457" spans="2:9">
      <c r="B2457" s="395">
        <v>92883</v>
      </c>
      <c r="C2457" s="406" t="s">
        <v>7479</v>
      </c>
      <c r="D2457" s="395" t="s">
        <v>21</v>
      </c>
      <c r="E2457" s="407">
        <f t="shared" si="76"/>
        <v>15</v>
      </c>
      <c r="F2457">
        <f t="shared" si="77"/>
        <v>92883</v>
      </c>
      <c r="H2457" s="680">
        <v>15</v>
      </c>
      <c r="I2457" s="680">
        <v>15.26</v>
      </c>
    </row>
    <row r="2458" spans="2:9">
      <c r="B2458" s="396">
        <v>92884</v>
      </c>
      <c r="C2458" s="401" t="s">
        <v>7480</v>
      </c>
      <c r="D2458" s="396" t="s">
        <v>21</v>
      </c>
      <c r="E2458" s="405">
        <f t="shared" si="76"/>
        <v>15.7</v>
      </c>
      <c r="F2458">
        <f t="shared" si="77"/>
        <v>92884</v>
      </c>
      <c r="H2458" s="679">
        <v>15.7</v>
      </c>
      <c r="I2458" s="679">
        <v>15.88</v>
      </c>
    </row>
    <row r="2459" spans="2:9">
      <c r="B2459" s="395">
        <v>92885</v>
      </c>
      <c r="C2459" s="406" t="s">
        <v>7481</v>
      </c>
      <c r="D2459" s="395" t="s">
        <v>21</v>
      </c>
      <c r="E2459" s="407">
        <f t="shared" si="76"/>
        <v>15.18</v>
      </c>
      <c r="F2459">
        <f t="shared" si="77"/>
        <v>92885</v>
      </c>
      <c r="H2459" s="680">
        <v>15.18</v>
      </c>
      <c r="I2459" s="680">
        <v>15.31</v>
      </c>
    </row>
    <row r="2460" spans="2:9">
      <c r="B2460" s="396">
        <v>92886</v>
      </c>
      <c r="C2460" s="401" t="s">
        <v>7482</v>
      </c>
      <c r="D2460" s="396" t="s">
        <v>21</v>
      </c>
      <c r="E2460" s="405">
        <f t="shared" si="76"/>
        <v>14.76</v>
      </c>
      <c r="F2460">
        <f t="shared" si="77"/>
        <v>92886</v>
      </c>
      <c r="H2460" s="679">
        <v>14.76</v>
      </c>
      <c r="I2460" s="679">
        <v>14.84</v>
      </c>
    </row>
    <row r="2461" spans="2:9">
      <c r="B2461" s="395">
        <v>92887</v>
      </c>
      <c r="C2461" s="406" t="s">
        <v>7483</v>
      </c>
      <c r="D2461" s="395" t="s">
        <v>21</v>
      </c>
      <c r="E2461" s="407">
        <f t="shared" si="76"/>
        <v>14.84</v>
      </c>
      <c r="F2461">
        <f t="shared" si="77"/>
        <v>92887</v>
      </c>
      <c r="H2461" s="680">
        <v>14.84</v>
      </c>
      <c r="I2461" s="680">
        <v>14.89</v>
      </c>
    </row>
    <row r="2462" spans="2:9">
      <c r="B2462" s="396">
        <v>92888</v>
      </c>
      <c r="C2462" s="401" t="s">
        <v>7484</v>
      </c>
      <c r="D2462" s="396" t="s">
        <v>21</v>
      </c>
      <c r="E2462" s="405">
        <f t="shared" si="76"/>
        <v>14.62</v>
      </c>
      <c r="F2462">
        <f t="shared" si="77"/>
        <v>92888</v>
      </c>
      <c r="H2462" s="679">
        <v>14.62</v>
      </c>
      <c r="I2462" s="679">
        <v>14.66</v>
      </c>
    </row>
    <row r="2463" spans="2:9" ht="30">
      <c r="B2463" s="395">
        <v>92915</v>
      </c>
      <c r="C2463" s="406" t="s">
        <v>7485</v>
      </c>
      <c r="D2463" s="395" t="s">
        <v>21</v>
      </c>
      <c r="E2463" s="407">
        <f t="shared" si="76"/>
        <v>18.39</v>
      </c>
      <c r="F2463">
        <f t="shared" si="77"/>
        <v>92915</v>
      </c>
      <c r="H2463" s="680">
        <v>18.39</v>
      </c>
      <c r="I2463" s="680">
        <v>19.09</v>
      </c>
    </row>
    <row r="2464" spans="2:9" ht="30">
      <c r="B2464" s="396">
        <v>92916</v>
      </c>
      <c r="C2464" s="401" t="s">
        <v>7486</v>
      </c>
      <c r="D2464" s="396" t="s">
        <v>21</v>
      </c>
      <c r="E2464" s="405">
        <f t="shared" si="76"/>
        <v>17.739999999999998</v>
      </c>
      <c r="F2464">
        <f t="shared" si="77"/>
        <v>92916</v>
      </c>
      <c r="H2464" s="679">
        <v>17.739999999999998</v>
      </c>
      <c r="I2464" s="679">
        <v>18.21</v>
      </c>
    </row>
    <row r="2465" spans="2:9" ht="30">
      <c r="B2465" s="395">
        <v>92917</v>
      </c>
      <c r="C2465" s="406" t="s">
        <v>7487</v>
      </c>
      <c r="D2465" s="395" t="s">
        <v>21</v>
      </c>
      <c r="E2465" s="407">
        <f t="shared" si="76"/>
        <v>16.87</v>
      </c>
      <c r="F2465">
        <f t="shared" si="77"/>
        <v>92917</v>
      </c>
      <c r="H2465" s="680">
        <v>16.87</v>
      </c>
      <c r="I2465" s="680">
        <v>17.21</v>
      </c>
    </row>
    <row r="2466" spans="2:9" ht="30">
      <c r="B2466" s="396">
        <v>92919</v>
      </c>
      <c r="C2466" s="401" t="s">
        <v>7488</v>
      </c>
      <c r="D2466" s="396" t="s">
        <v>21</v>
      </c>
      <c r="E2466" s="405">
        <f t="shared" si="76"/>
        <v>15.13</v>
      </c>
      <c r="F2466">
        <f t="shared" si="77"/>
        <v>92919</v>
      </c>
      <c r="H2466" s="679">
        <v>15.13</v>
      </c>
      <c r="I2466" s="679">
        <v>15.35</v>
      </c>
    </row>
    <row r="2467" spans="2:9" ht="30">
      <c r="B2467" s="395">
        <v>92921</v>
      </c>
      <c r="C2467" s="406" t="s">
        <v>7489</v>
      </c>
      <c r="D2467" s="395" t="s">
        <v>21</v>
      </c>
      <c r="E2467" s="407">
        <f t="shared" si="76"/>
        <v>12.74</v>
      </c>
      <c r="F2467">
        <f t="shared" si="77"/>
        <v>92921</v>
      </c>
      <c r="H2467" s="680">
        <v>12.74</v>
      </c>
      <c r="I2467" s="680">
        <v>12.88</v>
      </c>
    </row>
    <row r="2468" spans="2:9" ht="30">
      <c r="B2468" s="396">
        <v>92922</v>
      </c>
      <c r="C2468" s="401" t="s">
        <v>7490</v>
      </c>
      <c r="D2468" s="396" t="s">
        <v>21</v>
      </c>
      <c r="E2468" s="405">
        <f t="shared" si="76"/>
        <v>12.36</v>
      </c>
      <c r="F2468">
        <f t="shared" si="77"/>
        <v>92922</v>
      </c>
      <c r="H2468" s="679">
        <v>12.36</v>
      </c>
      <c r="I2468" s="679">
        <v>12.46</v>
      </c>
    </row>
    <row r="2469" spans="2:9" ht="30">
      <c r="B2469" s="395">
        <v>92923</v>
      </c>
      <c r="C2469" s="406" t="s">
        <v>7491</v>
      </c>
      <c r="D2469" s="395" t="s">
        <v>21</v>
      </c>
      <c r="E2469" s="407">
        <f t="shared" si="76"/>
        <v>14.11</v>
      </c>
      <c r="F2469">
        <f t="shared" si="77"/>
        <v>92923</v>
      </c>
      <c r="H2469" s="680">
        <v>14.11</v>
      </c>
      <c r="I2469" s="680">
        <v>14.2</v>
      </c>
    </row>
    <row r="2470" spans="2:9" ht="30">
      <c r="B2470" s="396">
        <v>92924</v>
      </c>
      <c r="C2470" s="401" t="s">
        <v>7492</v>
      </c>
      <c r="D2470" s="396" t="s">
        <v>21</v>
      </c>
      <c r="E2470" s="405">
        <f t="shared" si="76"/>
        <v>13.96</v>
      </c>
      <c r="F2470">
        <f t="shared" si="77"/>
        <v>92924</v>
      </c>
      <c r="H2470" s="679">
        <v>13.96</v>
      </c>
      <c r="I2470" s="679">
        <v>14.02</v>
      </c>
    </row>
    <row r="2471" spans="2:9">
      <c r="B2471" s="395">
        <v>95448</v>
      </c>
      <c r="C2471" s="406" t="s">
        <v>7493</v>
      </c>
      <c r="D2471" s="395" t="s">
        <v>21</v>
      </c>
      <c r="E2471" s="407">
        <f t="shared" si="76"/>
        <v>14.06</v>
      </c>
      <c r="F2471">
        <f t="shared" si="77"/>
        <v>95448</v>
      </c>
      <c r="H2471" s="680">
        <v>14.06</v>
      </c>
      <c r="I2471" s="680">
        <v>14.06</v>
      </c>
    </row>
    <row r="2472" spans="2:9">
      <c r="B2472" s="396">
        <v>95576</v>
      </c>
      <c r="C2472" s="401" t="s">
        <v>7494</v>
      </c>
      <c r="D2472" s="396" t="s">
        <v>21</v>
      </c>
      <c r="E2472" s="405">
        <f t="shared" si="76"/>
        <v>15.88</v>
      </c>
      <c r="F2472">
        <f t="shared" si="77"/>
        <v>95576</v>
      </c>
      <c r="H2472" s="679">
        <v>15.88</v>
      </c>
      <c r="I2472" s="679">
        <v>16.11</v>
      </c>
    </row>
    <row r="2473" spans="2:9">
      <c r="B2473" s="395">
        <v>95577</v>
      </c>
      <c r="C2473" s="406" t="s">
        <v>7495</v>
      </c>
      <c r="D2473" s="395" t="s">
        <v>21</v>
      </c>
      <c r="E2473" s="407">
        <f t="shared" si="76"/>
        <v>14.03</v>
      </c>
      <c r="F2473">
        <f t="shared" si="77"/>
        <v>95577</v>
      </c>
      <c r="H2473" s="680">
        <v>14.03</v>
      </c>
      <c r="I2473" s="680">
        <v>14.13</v>
      </c>
    </row>
    <row r="2474" spans="2:9">
      <c r="B2474" s="396">
        <v>95578</v>
      </c>
      <c r="C2474" s="401" t="s">
        <v>7496</v>
      </c>
      <c r="D2474" s="396" t="s">
        <v>21</v>
      </c>
      <c r="E2474" s="405">
        <f t="shared" si="76"/>
        <v>11.89</v>
      </c>
      <c r="F2474">
        <f t="shared" si="77"/>
        <v>95578</v>
      </c>
      <c r="H2474" s="679">
        <v>11.89</v>
      </c>
      <c r="I2474" s="679">
        <v>11.95</v>
      </c>
    </row>
    <row r="2475" spans="2:9">
      <c r="B2475" s="395">
        <v>95579</v>
      </c>
      <c r="C2475" s="406" t="s">
        <v>7497</v>
      </c>
      <c r="D2475" s="395" t="s">
        <v>21</v>
      </c>
      <c r="E2475" s="407">
        <f t="shared" si="76"/>
        <v>11.63</v>
      </c>
      <c r="F2475">
        <f t="shared" si="77"/>
        <v>95579</v>
      </c>
      <c r="H2475" s="680">
        <v>11.63</v>
      </c>
      <c r="I2475" s="680">
        <v>11.68</v>
      </c>
    </row>
    <row r="2476" spans="2:9">
      <c r="B2476" s="396">
        <v>95580</v>
      </c>
      <c r="C2476" s="401" t="s">
        <v>7498</v>
      </c>
      <c r="D2476" s="396" t="s">
        <v>21</v>
      </c>
      <c r="E2476" s="405">
        <f t="shared" si="76"/>
        <v>13.52</v>
      </c>
      <c r="F2476">
        <f t="shared" si="77"/>
        <v>95580</v>
      </c>
      <c r="H2476" s="679">
        <v>13.52</v>
      </c>
      <c r="I2476" s="679">
        <v>13.56</v>
      </c>
    </row>
    <row r="2477" spans="2:9">
      <c r="B2477" s="395">
        <v>95581</v>
      </c>
      <c r="C2477" s="406" t="s">
        <v>7499</v>
      </c>
      <c r="D2477" s="395" t="s">
        <v>21</v>
      </c>
      <c r="E2477" s="407">
        <f t="shared" si="76"/>
        <v>13.49</v>
      </c>
      <c r="F2477">
        <f t="shared" si="77"/>
        <v>95581</v>
      </c>
      <c r="H2477" s="680">
        <v>13.49</v>
      </c>
      <c r="I2477" s="680">
        <v>13.51</v>
      </c>
    </row>
    <row r="2478" spans="2:9">
      <c r="B2478" s="396">
        <v>95582</v>
      </c>
      <c r="C2478" s="401" t="s">
        <v>7500</v>
      </c>
      <c r="D2478" s="396" t="s">
        <v>21</v>
      </c>
      <c r="E2478" s="405">
        <f t="shared" si="76"/>
        <v>14.72</v>
      </c>
      <c r="F2478">
        <f t="shared" si="77"/>
        <v>95582</v>
      </c>
      <c r="H2478" s="679">
        <v>14.72</v>
      </c>
      <c r="I2478" s="679">
        <v>14.74</v>
      </c>
    </row>
    <row r="2479" spans="2:9">
      <c r="B2479" s="395">
        <v>95583</v>
      </c>
      <c r="C2479" s="406" t="s">
        <v>7501</v>
      </c>
      <c r="D2479" s="395" t="s">
        <v>21</v>
      </c>
      <c r="E2479" s="407">
        <f t="shared" si="76"/>
        <v>17.670000000000002</v>
      </c>
      <c r="F2479">
        <f t="shared" si="77"/>
        <v>95583</v>
      </c>
      <c r="H2479" s="680">
        <v>17.670000000000002</v>
      </c>
      <c r="I2479" s="680">
        <v>18.309999999999999</v>
      </c>
    </row>
    <row r="2480" spans="2:9">
      <c r="B2480" s="396">
        <v>95584</v>
      </c>
      <c r="C2480" s="401" t="s">
        <v>7502</v>
      </c>
      <c r="D2480" s="396" t="s">
        <v>21</v>
      </c>
      <c r="E2480" s="405">
        <f t="shared" si="76"/>
        <v>16.73</v>
      </c>
      <c r="F2480">
        <f t="shared" si="77"/>
        <v>95584</v>
      </c>
      <c r="H2480" s="679">
        <v>16.73</v>
      </c>
      <c r="I2480" s="679">
        <v>17.11</v>
      </c>
    </row>
    <row r="2481" spans="2:9">
      <c r="B2481" s="395">
        <v>95592</v>
      </c>
      <c r="C2481" s="406" t="s">
        <v>7503</v>
      </c>
      <c r="D2481" s="395" t="s">
        <v>21</v>
      </c>
      <c r="E2481" s="407">
        <f t="shared" si="76"/>
        <v>17.670000000000002</v>
      </c>
      <c r="F2481">
        <f t="shared" si="77"/>
        <v>95592</v>
      </c>
      <c r="H2481" s="680">
        <v>17.670000000000002</v>
      </c>
      <c r="I2481" s="680">
        <v>18.309999999999999</v>
      </c>
    </row>
    <row r="2482" spans="2:9">
      <c r="B2482" s="396">
        <v>95593</v>
      </c>
      <c r="C2482" s="401" t="s">
        <v>7504</v>
      </c>
      <c r="D2482" s="396" t="s">
        <v>21</v>
      </c>
      <c r="E2482" s="405">
        <f t="shared" si="76"/>
        <v>16.73</v>
      </c>
      <c r="F2482">
        <f t="shared" si="77"/>
        <v>95593</v>
      </c>
      <c r="H2482" s="679">
        <v>16.73</v>
      </c>
      <c r="I2482" s="679">
        <v>17.11</v>
      </c>
    </row>
    <row r="2483" spans="2:9" ht="30">
      <c r="B2483" s="395">
        <v>95943</v>
      </c>
      <c r="C2483" s="406" t="s">
        <v>4819</v>
      </c>
      <c r="D2483" s="395" t="s">
        <v>21</v>
      </c>
      <c r="E2483" s="407">
        <f t="shared" si="76"/>
        <v>22.55</v>
      </c>
      <c r="F2483">
        <f t="shared" si="77"/>
        <v>95943</v>
      </c>
      <c r="H2483" s="680">
        <v>22.55</v>
      </c>
      <c r="I2483" s="680">
        <v>23.73</v>
      </c>
    </row>
    <row r="2484" spans="2:9" ht="30">
      <c r="B2484" s="396">
        <v>95944</v>
      </c>
      <c r="C2484" s="401" t="s">
        <v>4820</v>
      </c>
      <c r="D2484" s="396" t="s">
        <v>21</v>
      </c>
      <c r="E2484" s="405">
        <f t="shared" si="76"/>
        <v>21.46</v>
      </c>
      <c r="F2484">
        <f t="shared" si="77"/>
        <v>95944</v>
      </c>
      <c r="H2484" s="679">
        <v>21.46</v>
      </c>
      <c r="I2484" s="679">
        <v>22.36</v>
      </c>
    </row>
    <row r="2485" spans="2:9" ht="30">
      <c r="B2485" s="395">
        <v>95945</v>
      </c>
      <c r="C2485" s="406" t="s">
        <v>4821</v>
      </c>
      <c r="D2485" s="395" t="s">
        <v>21</v>
      </c>
      <c r="E2485" s="407">
        <f t="shared" si="76"/>
        <v>18.64</v>
      </c>
      <c r="F2485">
        <f t="shared" si="77"/>
        <v>95945</v>
      </c>
      <c r="H2485" s="680">
        <v>18.64</v>
      </c>
      <c r="I2485" s="680">
        <v>19.170000000000002</v>
      </c>
    </row>
    <row r="2486" spans="2:9" ht="30">
      <c r="B2486" s="396">
        <v>95946</v>
      </c>
      <c r="C2486" s="401" t="s">
        <v>4822</v>
      </c>
      <c r="D2486" s="396" t="s">
        <v>21</v>
      </c>
      <c r="E2486" s="405">
        <f t="shared" si="76"/>
        <v>15.67</v>
      </c>
      <c r="F2486">
        <f t="shared" si="77"/>
        <v>95946</v>
      </c>
      <c r="H2486" s="679">
        <v>15.67</v>
      </c>
      <c r="I2486" s="679">
        <v>15.94</v>
      </c>
    </row>
    <row r="2487" spans="2:9" ht="30">
      <c r="B2487" s="395">
        <v>95947</v>
      </c>
      <c r="C2487" s="406" t="s">
        <v>4823</v>
      </c>
      <c r="D2487" s="395" t="s">
        <v>21</v>
      </c>
      <c r="E2487" s="407">
        <f t="shared" si="76"/>
        <v>12.61</v>
      </c>
      <c r="F2487">
        <f t="shared" si="77"/>
        <v>95947</v>
      </c>
      <c r="H2487" s="680">
        <v>12.61</v>
      </c>
      <c r="I2487" s="680">
        <v>12.74</v>
      </c>
    </row>
    <row r="2488" spans="2:9" ht="30">
      <c r="B2488" s="396">
        <v>95948</v>
      </c>
      <c r="C2488" s="401" t="s">
        <v>4824</v>
      </c>
      <c r="D2488" s="396" t="s">
        <v>21</v>
      </c>
      <c r="E2488" s="405">
        <f t="shared" si="76"/>
        <v>11.66</v>
      </c>
      <c r="F2488">
        <f t="shared" si="77"/>
        <v>95948</v>
      </c>
      <c r="H2488" s="679">
        <v>11.66</v>
      </c>
      <c r="I2488" s="679">
        <v>11.68</v>
      </c>
    </row>
    <row r="2489" spans="2:9">
      <c r="B2489" s="395">
        <v>96544</v>
      </c>
      <c r="C2489" s="406" t="s">
        <v>2148</v>
      </c>
      <c r="D2489" s="395" t="s">
        <v>21</v>
      </c>
      <c r="E2489" s="407">
        <f t="shared" si="76"/>
        <v>18.420000000000002</v>
      </c>
      <c r="F2489">
        <f t="shared" si="77"/>
        <v>96544</v>
      </c>
      <c r="H2489" s="680">
        <v>18.420000000000002</v>
      </c>
      <c r="I2489" s="680">
        <v>18.96</v>
      </c>
    </row>
    <row r="2490" spans="2:9">
      <c r="B2490" s="396">
        <v>96545</v>
      </c>
      <c r="C2490" s="401" t="s">
        <v>2149</v>
      </c>
      <c r="D2490" s="396" t="s">
        <v>21</v>
      </c>
      <c r="E2490" s="405">
        <f t="shared" si="76"/>
        <v>17.54</v>
      </c>
      <c r="F2490">
        <f t="shared" si="77"/>
        <v>96545</v>
      </c>
      <c r="H2490" s="679">
        <v>17.54</v>
      </c>
      <c r="I2490" s="679">
        <v>17.940000000000001</v>
      </c>
    </row>
    <row r="2491" spans="2:9">
      <c r="B2491" s="395">
        <v>96546</v>
      </c>
      <c r="C2491" s="406" t="s">
        <v>2150</v>
      </c>
      <c r="D2491" s="395" t="s">
        <v>21</v>
      </c>
      <c r="E2491" s="407">
        <f t="shared" si="76"/>
        <v>15.81</v>
      </c>
      <c r="F2491">
        <f t="shared" si="77"/>
        <v>96546</v>
      </c>
      <c r="H2491" s="680">
        <v>15.81</v>
      </c>
      <c r="I2491" s="680">
        <v>16.100000000000001</v>
      </c>
    </row>
    <row r="2492" spans="2:9">
      <c r="B2492" s="396">
        <v>96547</v>
      </c>
      <c r="C2492" s="401" t="s">
        <v>2151</v>
      </c>
      <c r="D2492" s="396" t="s">
        <v>21</v>
      </c>
      <c r="E2492" s="405">
        <f t="shared" si="76"/>
        <v>13.44</v>
      </c>
      <c r="F2492">
        <f t="shared" si="77"/>
        <v>96547</v>
      </c>
      <c r="H2492" s="679">
        <v>13.44</v>
      </c>
      <c r="I2492" s="679">
        <v>13.66</v>
      </c>
    </row>
    <row r="2493" spans="2:9">
      <c r="B2493" s="395">
        <v>96548</v>
      </c>
      <c r="C2493" s="406" t="s">
        <v>2152</v>
      </c>
      <c r="D2493" s="395" t="s">
        <v>21</v>
      </c>
      <c r="E2493" s="407">
        <f t="shared" si="76"/>
        <v>12.85</v>
      </c>
      <c r="F2493">
        <f t="shared" si="77"/>
        <v>96548</v>
      </c>
      <c r="H2493" s="680">
        <v>12.85</v>
      </c>
      <c r="I2493" s="680">
        <v>13.01</v>
      </c>
    </row>
    <row r="2494" spans="2:9">
      <c r="B2494" s="396">
        <v>96549</v>
      </c>
      <c r="C2494" s="401" t="s">
        <v>2153</v>
      </c>
      <c r="D2494" s="396" t="s">
        <v>21</v>
      </c>
      <c r="E2494" s="405">
        <f t="shared" si="76"/>
        <v>14.44</v>
      </c>
      <c r="F2494">
        <f t="shared" si="77"/>
        <v>96549</v>
      </c>
      <c r="H2494" s="679">
        <v>14.44</v>
      </c>
      <c r="I2494" s="679">
        <v>14.57</v>
      </c>
    </row>
    <row r="2495" spans="2:9">
      <c r="B2495" s="395">
        <v>96550</v>
      </c>
      <c r="C2495" s="406" t="s">
        <v>2154</v>
      </c>
      <c r="D2495" s="395" t="s">
        <v>21</v>
      </c>
      <c r="E2495" s="407">
        <f t="shared" si="76"/>
        <v>14.15</v>
      </c>
      <c r="F2495">
        <f t="shared" si="77"/>
        <v>96550</v>
      </c>
      <c r="H2495" s="680">
        <v>14.15</v>
      </c>
      <c r="I2495" s="680">
        <v>14.23</v>
      </c>
    </row>
    <row r="2496" spans="2:9">
      <c r="B2496" s="396">
        <v>100064</v>
      </c>
      <c r="C2496" s="401" t="s">
        <v>5535</v>
      </c>
      <c r="D2496" s="396" t="s">
        <v>21</v>
      </c>
      <c r="E2496" s="405">
        <f t="shared" si="76"/>
        <v>15.48</v>
      </c>
      <c r="F2496">
        <f t="shared" si="77"/>
        <v>100064</v>
      </c>
      <c r="H2496" s="679">
        <v>15.48</v>
      </c>
      <c r="I2496" s="679">
        <v>15.57</v>
      </c>
    </row>
    <row r="2497" spans="2:9">
      <c r="B2497" s="395">
        <v>100066</v>
      </c>
      <c r="C2497" s="406" t="s">
        <v>3060</v>
      </c>
      <c r="D2497" s="395" t="s">
        <v>21</v>
      </c>
      <c r="E2497" s="407">
        <f t="shared" si="76"/>
        <v>15.49</v>
      </c>
      <c r="F2497">
        <f t="shared" si="77"/>
        <v>100066</v>
      </c>
      <c r="H2497" s="680">
        <v>15.49</v>
      </c>
      <c r="I2497" s="680">
        <v>15.56</v>
      </c>
    </row>
    <row r="2498" spans="2:9">
      <c r="B2498" s="396">
        <v>100067</v>
      </c>
      <c r="C2498" s="401" t="s">
        <v>3061</v>
      </c>
      <c r="D2498" s="396" t="s">
        <v>21</v>
      </c>
      <c r="E2498" s="405">
        <f t="shared" si="76"/>
        <v>14.68</v>
      </c>
      <c r="F2498">
        <f t="shared" si="77"/>
        <v>100067</v>
      </c>
      <c r="H2498" s="679">
        <v>14.68</v>
      </c>
      <c r="I2498" s="679">
        <v>14.98</v>
      </c>
    </row>
    <row r="2499" spans="2:9" ht="30">
      <c r="B2499" s="395">
        <v>100068</v>
      </c>
      <c r="C2499" s="406" t="s">
        <v>3062</v>
      </c>
      <c r="D2499" s="395" t="s">
        <v>21</v>
      </c>
      <c r="E2499" s="407">
        <f t="shared" ref="E2499:E2562" si="78">IF($K$2=$H$1,H2499,I2499)</f>
        <v>11.99</v>
      </c>
      <c r="F2499">
        <f t="shared" ref="F2499:F2562" si="79">IF(LEN($B2499)=7,CONCATENATE(MID($B2499,1,6),"00",RIGHT($B2499,1)),IF(LEN($B2499)=8,CONCATENATE(MID($B2499,1,6),"0",RIGHT($B2499,2)),$B2499))</f>
        <v>100068</v>
      </c>
      <c r="H2499" s="680">
        <v>11.99</v>
      </c>
      <c r="I2499" s="680">
        <v>12.09</v>
      </c>
    </row>
    <row r="2500" spans="2:9">
      <c r="B2500" s="396">
        <v>102920</v>
      </c>
      <c r="C2500" s="401" t="s">
        <v>6082</v>
      </c>
      <c r="D2500" s="396" t="s">
        <v>21</v>
      </c>
      <c r="E2500" s="405">
        <f t="shared" si="78"/>
        <v>10.76</v>
      </c>
      <c r="F2500">
        <f t="shared" si="79"/>
        <v>102920</v>
      </c>
      <c r="H2500" s="679">
        <v>10.76</v>
      </c>
      <c r="I2500" s="679">
        <v>10.88</v>
      </c>
    </row>
    <row r="2501" spans="2:9">
      <c r="B2501" s="395">
        <v>102921</v>
      </c>
      <c r="C2501" s="406" t="s">
        <v>6083</v>
      </c>
      <c r="D2501" s="395" t="s">
        <v>21</v>
      </c>
      <c r="E2501" s="407">
        <f t="shared" si="78"/>
        <v>10.52</v>
      </c>
      <c r="F2501">
        <f t="shared" si="79"/>
        <v>102921</v>
      </c>
      <c r="H2501" s="680">
        <v>10.52</v>
      </c>
      <c r="I2501" s="680">
        <v>10.61</v>
      </c>
    </row>
    <row r="2502" spans="2:9">
      <c r="B2502" s="396">
        <v>102922</v>
      </c>
      <c r="C2502" s="401" t="s">
        <v>6084</v>
      </c>
      <c r="D2502" s="396" t="s">
        <v>21</v>
      </c>
      <c r="E2502" s="405">
        <f t="shared" si="78"/>
        <v>11.22</v>
      </c>
      <c r="F2502">
        <f t="shared" si="79"/>
        <v>102922</v>
      </c>
      <c r="H2502" s="679">
        <v>11.22</v>
      </c>
      <c r="I2502" s="679">
        <v>11.38</v>
      </c>
    </row>
    <row r="2503" spans="2:9">
      <c r="B2503" s="395">
        <v>102923</v>
      </c>
      <c r="C2503" s="406" t="s">
        <v>6085</v>
      </c>
      <c r="D2503" s="395" t="s">
        <v>21</v>
      </c>
      <c r="E2503" s="407">
        <f t="shared" si="78"/>
        <v>10.36</v>
      </c>
      <c r="F2503">
        <f t="shared" si="79"/>
        <v>102923</v>
      </c>
      <c r="H2503" s="680">
        <v>10.36</v>
      </c>
      <c r="I2503" s="680">
        <v>10.43</v>
      </c>
    </row>
    <row r="2504" spans="2:9">
      <c r="B2504" s="396">
        <v>103088</v>
      </c>
      <c r="C2504" s="401" t="s">
        <v>6086</v>
      </c>
      <c r="D2504" s="396" t="s">
        <v>21</v>
      </c>
      <c r="E2504" s="405">
        <f t="shared" si="78"/>
        <v>12.17</v>
      </c>
      <c r="F2504">
        <f t="shared" si="79"/>
        <v>103088</v>
      </c>
      <c r="H2504" s="679">
        <v>12.17</v>
      </c>
      <c r="I2504" s="679">
        <v>12.44</v>
      </c>
    </row>
    <row r="2505" spans="2:9" ht="30">
      <c r="B2505" s="395">
        <v>104104</v>
      </c>
      <c r="C2505" s="406" t="s">
        <v>7505</v>
      </c>
      <c r="D2505" s="395" t="s">
        <v>21</v>
      </c>
      <c r="E2505" s="407">
        <f t="shared" si="78"/>
        <v>14.89</v>
      </c>
      <c r="F2505">
        <f t="shared" si="79"/>
        <v>104104</v>
      </c>
      <c r="H2505" s="680">
        <v>14.89</v>
      </c>
      <c r="I2505" s="680">
        <v>14.91</v>
      </c>
    </row>
    <row r="2506" spans="2:9" ht="30">
      <c r="B2506" s="396">
        <v>104105</v>
      </c>
      <c r="C2506" s="401" t="s">
        <v>7506</v>
      </c>
      <c r="D2506" s="396" t="s">
        <v>21</v>
      </c>
      <c r="E2506" s="405">
        <f t="shared" si="78"/>
        <v>14.89</v>
      </c>
      <c r="F2506">
        <f t="shared" si="79"/>
        <v>104105</v>
      </c>
      <c r="H2506" s="679">
        <v>14.89</v>
      </c>
      <c r="I2506" s="679">
        <v>14.92</v>
      </c>
    </row>
    <row r="2507" spans="2:9" ht="30">
      <c r="B2507" s="395">
        <v>104106</v>
      </c>
      <c r="C2507" s="406" t="s">
        <v>7507</v>
      </c>
      <c r="D2507" s="395" t="s">
        <v>21</v>
      </c>
      <c r="E2507" s="407">
        <f t="shared" si="78"/>
        <v>12.88</v>
      </c>
      <c r="F2507">
        <f t="shared" si="79"/>
        <v>104106</v>
      </c>
      <c r="H2507" s="680">
        <v>12.88</v>
      </c>
      <c r="I2507" s="680">
        <v>13.04</v>
      </c>
    </row>
    <row r="2508" spans="2:9" ht="30">
      <c r="B2508" s="396">
        <v>104107</v>
      </c>
      <c r="C2508" s="401" t="s">
        <v>7508</v>
      </c>
      <c r="D2508" s="396" t="s">
        <v>21</v>
      </c>
      <c r="E2508" s="405">
        <f t="shared" si="78"/>
        <v>13.42</v>
      </c>
      <c r="F2508">
        <f t="shared" si="79"/>
        <v>104107</v>
      </c>
      <c r="H2508" s="679">
        <v>13.42</v>
      </c>
      <c r="I2508" s="679">
        <v>13.64</v>
      </c>
    </row>
    <row r="2509" spans="2:9" ht="30">
      <c r="B2509" s="395">
        <v>104108</v>
      </c>
      <c r="C2509" s="406" t="s">
        <v>7509</v>
      </c>
      <c r="D2509" s="395" t="s">
        <v>21</v>
      </c>
      <c r="E2509" s="407">
        <f t="shared" si="78"/>
        <v>15.74</v>
      </c>
      <c r="F2509">
        <f t="shared" si="79"/>
        <v>104108</v>
      </c>
      <c r="H2509" s="680">
        <v>15.74</v>
      </c>
      <c r="I2509" s="680">
        <v>16.02</v>
      </c>
    </row>
    <row r="2510" spans="2:9" ht="30">
      <c r="B2510" s="396">
        <v>104109</v>
      </c>
      <c r="C2510" s="401" t="s">
        <v>7510</v>
      </c>
      <c r="D2510" s="396" t="s">
        <v>21</v>
      </c>
      <c r="E2510" s="405">
        <f t="shared" si="78"/>
        <v>18.37</v>
      </c>
      <c r="F2510">
        <f t="shared" si="79"/>
        <v>104109</v>
      </c>
      <c r="H2510" s="679">
        <v>18.37</v>
      </c>
      <c r="I2510" s="679">
        <v>18.88</v>
      </c>
    </row>
    <row r="2511" spans="2:9" ht="30">
      <c r="B2511" s="395">
        <v>104110</v>
      </c>
      <c r="C2511" s="406" t="s">
        <v>7511</v>
      </c>
      <c r="D2511" s="395" t="s">
        <v>21</v>
      </c>
      <c r="E2511" s="407">
        <f t="shared" si="78"/>
        <v>19.84</v>
      </c>
      <c r="F2511">
        <f t="shared" si="79"/>
        <v>104110</v>
      </c>
      <c r="H2511" s="680">
        <v>19.84</v>
      </c>
      <c r="I2511" s="680">
        <v>20.55</v>
      </c>
    </row>
    <row r="2512" spans="2:9" ht="30">
      <c r="B2512" s="396">
        <v>104111</v>
      </c>
      <c r="C2512" s="401" t="s">
        <v>7512</v>
      </c>
      <c r="D2512" s="396" t="s">
        <v>21</v>
      </c>
      <c r="E2512" s="405">
        <f t="shared" si="78"/>
        <v>21.23</v>
      </c>
      <c r="F2512">
        <f t="shared" si="79"/>
        <v>104111</v>
      </c>
      <c r="H2512" s="679">
        <v>21.23</v>
      </c>
      <c r="I2512" s="679">
        <v>22.26</v>
      </c>
    </row>
    <row r="2513" spans="2:9">
      <c r="B2513" s="395">
        <v>89993</v>
      </c>
      <c r="C2513" s="406" t="s">
        <v>6087</v>
      </c>
      <c r="D2513" s="395" t="s">
        <v>20</v>
      </c>
      <c r="E2513" s="407">
        <f t="shared" si="78"/>
        <v>1035.29</v>
      </c>
      <c r="F2513">
        <f t="shared" si="79"/>
        <v>89993</v>
      </c>
      <c r="H2513" s="680">
        <v>1035.29</v>
      </c>
      <c r="I2513" s="680">
        <v>1075.53</v>
      </c>
    </row>
    <row r="2514" spans="2:9">
      <c r="B2514" s="396">
        <v>89994</v>
      </c>
      <c r="C2514" s="401" t="s">
        <v>6088</v>
      </c>
      <c r="D2514" s="396" t="s">
        <v>20</v>
      </c>
      <c r="E2514" s="405">
        <f t="shared" si="78"/>
        <v>919.89</v>
      </c>
      <c r="F2514">
        <f t="shared" si="79"/>
        <v>89994</v>
      </c>
      <c r="H2514" s="679">
        <v>919.89</v>
      </c>
      <c r="I2514" s="679">
        <v>947.21</v>
      </c>
    </row>
    <row r="2515" spans="2:9">
      <c r="B2515" s="395">
        <v>89995</v>
      </c>
      <c r="C2515" s="406" t="s">
        <v>6089</v>
      </c>
      <c r="D2515" s="395" t="s">
        <v>20</v>
      </c>
      <c r="E2515" s="407">
        <f t="shared" si="78"/>
        <v>1005.78</v>
      </c>
      <c r="F2515">
        <f t="shared" si="79"/>
        <v>89995</v>
      </c>
      <c r="H2515" s="680">
        <v>1005.78</v>
      </c>
      <c r="I2515" s="680">
        <v>1042.71</v>
      </c>
    </row>
    <row r="2516" spans="2:9" ht="30">
      <c r="B2516" s="396">
        <v>90278</v>
      </c>
      <c r="C2516" s="401" t="s">
        <v>6090</v>
      </c>
      <c r="D2516" s="396" t="s">
        <v>20</v>
      </c>
      <c r="E2516" s="405">
        <f t="shared" si="78"/>
        <v>569.35</v>
      </c>
      <c r="F2516">
        <f t="shared" si="79"/>
        <v>90278</v>
      </c>
      <c r="H2516" s="679">
        <v>569.35</v>
      </c>
      <c r="I2516" s="679">
        <v>576.28</v>
      </c>
    </row>
    <row r="2517" spans="2:9" ht="30">
      <c r="B2517" s="395">
        <v>90279</v>
      </c>
      <c r="C2517" s="406" t="s">
        <v>6091</v>
      </c>
      <c r="D2517" s="395" t="s">
        <v>20</v>
      </c>
      <c r="E2517" s="407">
        <f t="shared" si="78"/>
        <v>629.94000000000005</v>
      </c>
      <c r="F2517">
        <f t="shared" si="79"/>
        <v>90279</v>
      </c>
      <c r="H2517" s="680">
        <v>629.94000000000005</v>
      </c>
      <c r="I2517" s="680">
        <v>637.54</v>
      </c>
    </row>
    <row r="2518" spans="2:9" ht="30">
      <c r="B2518" s="396">
        <v>90280</v>
      </c>
      <c r="C2518" s="401" t="s">
        <v>6092</v>
      </c>
      <c r="D2518" s="396" t="s">
        <v>20</v>
      </c>
      <c r="E2518" s="405">
        <f t="shared" si="78"/>
        <v>705.78</v>
      </c>
      <c r="F2518">
        <f t="shared" si="79"/>
        <v>90280</v>
      </c>
      <c r="H2518" s="679">
        <v>705.78</v>
      </c>
      <c r="I2518" s="679">
        <v>713.38</v>
      </c>
    </row>
    <row r="2519" spans="2:9" ht="30">
      <c r="B2519" s="395">
        <v>90281</v>
      </c>
      <c r="C2519" s="406" t="s">
        <v>6093</v>
      </c>
      <c r="D2519" s="395" t="s">
        <v>20</v>
      </c>
      <c r="E2519" s="407">
        <f t="shared" si="78"/>
        <v>829.84</v>
      </c>
      <c r="F2519">
        <f t="shared" si="79"/>
        <v>90281</v>
      </c>
      <c r="H2519" s="680">
        <v>829.84</v>
      </c>
      <c r="I2519" s="680">
        <v>837.25</v>
      </c>
    </row>
    <row r="2520" spans="2:9" ht="30">
      <c r="B2520" s="396">
        <v>90282</v>
      </c>
      <c r="C2520" s="401" t="s">
        <v>6094</v>
      </c>
      <c r="D2520" s="396" t="s">
        <v>20</v>
      </c>
      <c r="E2520" s="405">
        <f t="shared" si="78"/>
        <v>562</v>
      </c>
      <c r="F2520">
        <f t="shared" si="79"/>
        <v>90282</v>
      </c>
      <c r="H2520" s="679">
        <v>562</v>
      </c>
      <c r="I2520" s="679">
        <v>568.70000000000005</v>
      </c>
    </row>
    <row r="2521" spans="2:9" ht="30">
      <c r="B2521" s="395">
        <v>90283</v>
      </c>
      <c r="C2521" s="406" t="s">
        <v>6095</v>
      </c>
      <c r="D2521" s="395" t="s">
        <v>20</v>
      </c>
      <c r="E2521" s="407">
        <f t="shared" si="78"/>
        <v>623.61</v>
      </c>
      <c r="F2521">
        <f t="shared" si="79"/>
        <v>90283</v>
      </c>
      <c r="H2521" s="680">
        <v>623.61</v>
      </c>
      <c r="I2521" s="680">
        <v>630.94000000000005</v>
      </c>
    </row>
    <row r="2522" spans="2:9" ht="30">
      <c r="B2522" s="396">
        <v>90284</v>
      </c>
      <c r="C2522" s="401" t="s">
        <v>6096</v>
      </c>
      <c r="D2522" s="396" t="s">
        <v>20</v>
      </c>
      <c r="E2522" s="405">
        <f t="shared" si="78"/>
        <v>703.46</v>
      </c>
      <c r="F2522">
        <f t="shared" si="79"/>
        <v>90284</v>
      </c>
      <c r="H2522" s="679">
        <v>703.46</v>
      </c>
      <c r="I2522" s="679">
        <v>710.78</v>
      </c>
    </row>
    <row r="2523" spans="2:9" ht="30">
      <c r="B2523" s="395">
        <v>90285</v>
      </c>
      <c r="C2523" s="406" t="s">
        <v>6097</v>
      </c>
      <c r="D2523" s="395" t="s">
        <v>20</v>
      </c>
      <c r="E2523" s="407">
        <f t="shared" si="78"/>
        <v>835.21</v>
      </c>
      <c r="F2523">
        <f t="shared" si="79"/>
        <v>90285</v>
      </c>
      <c r="H2523" s="680">
        <v>835.21</v>
      </c>
      <c r="I2523" s="680">
        <v>842.43</v>
      </c>
    </row>
    <row r="2524" spans="2:9" ht="30">
      <c r="B2524" s="396">
        <v>94962</v>
      </c>
      <c r="C2524" s="401" t="s">
        <v>5558</v>
      </c>
      <c r="D2524" s="396" t="s">
        <v>20</v>
      </c>
      <c r="E2524" s="405">
        <f t="shared" si="78"/>
        <v>431.1</v>
      </c>
      <c r="F2524">
        <f t="shared" si="79"/>
        <v>94962</v>
      </c>
      <c r="H2524" s="679">
        <v>431.1</v>
      </c>
      <c r="I2524" s="679">
        <v>438.09</v>
      </c>
    </row>
    <row r="2525" spans="2:9" ht="30">
      <c r="B2525" s="395">
        <v>94963</v>
      </c>
      <c r="C2525" s="406" t="s">
        <v>5559</v>
      </c>
      <c r="D2525" s="395" t="s">
        <v>20</v>
      </c>
      <c r="E2525" s="407">
        <f t="shared" si="78"/>
        <v>484.03</v>
      </c>
      <c r="F2525">
        <f t="shared" si="79"/>
        <v>94963</v>
      </c>
      <c r="H2525" s="680">
        <v>484.03</v>
      </c>
      <c r="I2525" s="680">
        <v>490.97</v>
      </c>
    </row>
    <row r="2526" spans="2:9" ht="30">
      <c r="B2526" s="396">
        <v>94964</v>
      </c>
      <c r="C2526" s="401" t="s">
        <v>5560</v>
      </c>
      <c r="D2526" s="396" t="s">
        <v>20</v>
      </c>
      <c r="E2526" s="405">
        <f t="shared" si="78"/>
        <v>530.5</v>
      </c>
      <c r="F2526">
        <f t="shared" si="79"/>
        <v>94964</v>
      </c>
      <c r="H2526" s="679">
        <v>530.5</v>
      </c>
      <c r="I2526" s="679">
        <v>538.04999999999995</v>
      </c>
    </row>
    <row r="2527" spans="2:9" ht="30">
      <c r="B2527" s="395">
        <v>94965</v>
      </c>
      <c r="C2527" s="406" t="s">
        <v>5561</v>
      </c>
      <c r="D2527" s="395" t="s">
        <v>20</v>
      </c>
      <c r="E2527" s="407">
        <f t="shared" si="78"/>
        <v>557.22</v>
      </c>
      <c r="F2527">
        <f t="shared" si="79"/>
        <v>94965</v>
      </c>
      <c r="H2527" s="680">
        <v>557.22</v>
      </c>
      <c r="I2527" s="680">
        <v>564.12</v>
      </c>
    </row>
    <row r="2528" spans="2:9" ht="30">
      <c r="B2528" s="396">
        <v>94966</v>
      </c>
      <c r="C2528" s="401" t="s">
        <v>5562</v>
      </c>
      <c r="D2528" s="396" t="s">
        <v>20</v>
      </c>
      <c r="E2528" s="405">
        <f t="shared" si="78"/>
        <v>578.42999999999995</v>
      </c>
      <c r="F2528">
        <f t="shared" si="79"/>
        <v>94966</v>
      </c>
      <c r="H2528" s="679">
        <v>578.42999999999995</v>
      </c>
      <c r="I2528" s="679">
        <v>585.27</v>
      </c>
    </row>
    <row r="2529" spans="2:9" ht="30">
      <c r="B2529" s="395">
        <v>94967</v>
      </c>
      <c r="C2529" s="406" t="s">
        <v>5563</v>
      </c>
      <c r="D2529" s="395" t="s">
        <v>20</v>
      </c>
      <c r="E2529" s="407">
        <f t="shared" si="78"/>
        <v>665.23</v>
      </c>
      <c r="F2529">
        <f t="shared" si="79"/>
        <v>94967</v>
      </c>
      <c r="H2529" s="680">
        <v>665.23</v>
      </c>
      <c r="I2529" s="680">
        <v>672.5</v>
      </c>
    </row>
    <row r="2530" spans="2:9" ht="30">
      <c r="B2530" s="396">
        <v>94968</v>
      </c>
      <c r="C2530" s="401" t="s">
        <v>5564</v>
      </c>
      <c r="D2530" s="396" t="s">
        <v>20</v>
      </c>
      <c r="E2530" s="405">
        <f t="shared" si="78"/>
        <v>430.28</v>
      </c>
      <c r="F2530">
        <f t="shared" si="79"/>
        <v>94968</v>
      </c>
      <c r="H2530" s="679">
        <v>430.28</v>
      </c>
      <c r="I2530" s="679">
        <v>436.56</v>
      </c>
    </row>
    <row r="2531" spans="2:9" ht="30">
      <c r="B2531" s="395">
        <v>94969</v>
      </c>
      <c r="C2531" s="406" t="s">
        <v>5565</v>
      </c>
      <c r="D2531" s="395" t="s">
        <v>20</v>
      </c>
      <c r="E2531" s="407">
        <f t="shared" si="78"/>
        <v>480.42</v>
      </c>
      <c r="F2531">
        <f t="shared" si="79"/>
        <v>94969</v>
      </c>
      <c r="H2531" s="680">
        <v>480.42</v>
      </c>
      <c r="I2531" s="680">
        <v>486.47</v>
      </c>
    </row>
    <row r="2532" spans="2:9" ht="30">
      <c r="B2532" s="396">
        <v>94970</v>
      </c>
      <c r="C2532" s="401" t="s">
        <v>5566</v>
      </c>
      <c r="D2532" s="396" t="s">
        <v>20</v>
      </c>
      <c r="E2532" s="405">
        <f t="shared" si="78"/>
        <v>522.45000000000005</v>
      </c>
      <c r="F2532">
        <f t="shared" si="79"/>
        <v>94970</v>
      </c>
      <c r="H2532" s="679">
        <v>522.45000000000005</v>
      </c>
      <c r="I2532" s="679">
        <v>528.49</v>
      </c>
    </row>
    <row r="2533" spans="2:9" ht="30">
      <c r="B2533" s="395">
        <v>94971</v>
      </c>
      <c r="C2533" s="406" t="s">
        <v>5567</v>
      </c>
      <c r="D2533" s="395" t="s">
        <v>20</v>
      </c>
      <c r="E2533" s="407">
        <f t="shared" si="78"/>
        <v>554.09</v>
      </c>
      <c r="F2533">
        <f t="shared" si="79"/>
        <v>94971</v>
      </c>
      <c r="H2533" s="680">
        <v>554.09</v>
      </c>
      <c r="I2533" s="680">
        <v>559.99</v>
      </c>
    </row>
    <row r="2534" spans="2:9" ht="30">
      <c r="B2534" s="396">
        <v>94972</v>
      </c>
      <c r="C2534" s="401" t="s">
        <v>5568</v>
      </c>
      <c r="D2534" s="396" t="s">
        <v>20</v>
      </c>
      <c r="E2534" s="405">
        <f t="shared" si="78"/>
        <v>575.26</v>
      </c>
      <c r="F2534">
        <f t="shared" si="79"/>
        <v>94972</v>
      </c>
      <c r="H2534" s="679">
        <v>575.26</v>
      </c>
      <c r="I2534" s="679">
        <v>581.11</v>
      </c>
    </row>
    <row r="2535" spans="2:9" ht="30">
      <c r="B2535" s="395">
        <v>94973</v>
      </c>
      <c r="C2535" s="406" t="s">
        <v>5569</v>
      </c>
      <c r="D2535" s="395" t="s">
        <v>20</v>
      </c>
      <c r="E2535" s="407">
        <f t="shared" si="78"/>
        <v>661.14</v>
      </c>
      <c r="F2535">
        <f t="shared" si="79"/>
        <v>94973</v>
      </c>
      <c r="H2535" s="680">
        <v>661.14</v>
      </c>
      <c r="I2535" s="680">
        <v>667.18</v>
      </c>
    </row>
    <row r="2536" spans="2:9" ht="30">
      <c r="B2536" s="396">
        <v>94974</v>
      </c>
      <c r="C2536" s="401" t="s">
        <v>5570</v>
      </c>
      <c r="D2536" s="396" t="s">
        <v>20</v>
      </c>
      <c r="E2536" s="405">
        <f t="shared" si="78"/>
        <v>486.47</v>
      </c>
      <c r="F2536">
        <f t="shared" si="79"/>
        <v>94974</v>
      </c>
      <c r="H2536" s="679">
        <v>486.47</v>
      </c>
      <c r="I2536" s="679">
        <v>498.23</v>
      </c>
    </row>
    <row r="2537" spans="2:9">
      <c r="B2537" s="395">
        <v>94975</v>
      </c>
      <c r="C2537" s="406" t="s">
        <v>5571</v>
      </c>
      <c r="D2537" s="395" t="s">
        <v>20</v>
      </c>
      <c r="E2537" s="407">
        <f t="shared" si="78"/>
        <v>533.95000000000005</v>
      </c>
      <c r="F2537">
        <f t="shared" si="79"/>
        <v>94975</v>
      </c>
      <c r="H2537" s="680">
        <v>533.95000000000005</v>
      </c>
      <c r="I2537" s="680">
        <v>545.54999999999995</v>
      </c>
    </row>
    <row r="2538" spans="2:9" ht="30">
      <c r="B2538" s="396">
        <v>96555</v>
      </c>
      <c r="C2538" s="401" t="s">
        <v>2155</v>
      </c>
      <c r="D2538" s="396" t="s">
        <v>20</v>
      </c>
      <c r="E2538" s="405">
        <f t="shared" si="78"/>
        <v>757.16</v>
      </c>
      <c r="F2538">
        <f t="shared" si="79"/>
        <v>96555</v>
      </c>
      <c r="H2538" s="679">
        <v>757.16</v>
      </c>
      <c r="I2538" s="679">
        <v>774.45</v>
      </c>
    </row>
    <row r="2539" spans="2:9">
      <c r="B2539" s="395">
        <v>96556</v>
      </c>
      <c r="C2539" s="406" t="s">
        <v>2156</v>
      </c>
      <c r="D2539" s="395" t="s">
        <v>20</v>
      </c>
      <c r="E2539" s="407">
        <f t="shared" si="78"/>
        <v>827.21</v>
      </c>
      <c r="F2539">
        <f t="shared" si="79"/>
        <v>96556</v>
      </c>
      <c r="H2539" s="680">
        <v>827.21</v>
      </c>
      <c r="I2539" s="680">
        <v>852.37</v>
      </c>
    </row>
    <row r="2540" spans="2:9" ht="30">
      <c r="B2540" s="396">
        <v>96557</v>
      </c>
      <c r="C2540" s="401" t="s">
        <v>2157</v>
      </c>
      <c r="D2540" s="396" t="s">
        <v>20</v>
      </c>
      <c r="E2540" s="405">
        <f t="shared" si="78"/>
        <v>927.28</v>
      </c>
      <c r="F2540">
        <f t="shared" si="79"/>
        <v>96557</v>
      </c>
      <c r="H2540" s="679">
        <v>927.28</v>
      </c>
      <c r="I2540" s="679">
        <v>929.21</v>
      </c>
    </row>
    <row r="2541" spans="2:9">
      <c r="B2541" s="395">
        <v>96558</v>
      </c>
      <c r="C2541" s="406" t="s">
        <v>2158</v>
      </c>
      <c r="D2541" s="395" t="s">
        <v>20</v>
      </c>
      <c r="E2541" s="407">
        <f t="shared" si="78"/>
        <v>933.6</v>
      </c>
      <c r="F2541">
        <f t="shared" si="79"/>
        <v>96558</v>
      </c>
      <c r="H2541" s="680">
        <v>933.6</v>
      </c>
      <c r="I2541" s="680">
        <v>936.21</v>
      </c>
    </row>
    <row r="2542" spans="2:9" ht="30">
      <c r="B2542" s="396">
        <v>99235</v>
      </c>
      <c r="C2542" s="401" t="s">
        <v>6117</v>
      </c>
      <c r="D2542" s="396" t="s">
        <v>20</v>
      </c>
      <c r="E2542" s="405">
        <f t="shared" si="78"/>
        <v>901.45</v>
      </c>
      <c r="F2542">
        <f t="shared" si="79"/>
        <v>99235</v>
      </c>
      <c r="H2542" s="679">
        <v>901.45</v>
      </c>
      <c r="I2542" s="679">
        <v>902.95</v>
      </c>
    </row>
    <row r="2543" spans="2:9" ht="30">
      <c r="B2543" s="395">
        <v>99431</v>
      </c>
      <c r="C2543" s="406" t="s">
        <v>6118</v>
      </c>
      <c r="D2543" s="395" t="s">
        <v>20</v>
      </c>
      <c r="E2543" s="407">
        <f t="shared" si="78"/>
        <v>926.65</v>
      </c>
      <c r="F2543">
        <f t="shared" si="79"/>
        <v>99431</v>
      </c>
      <c r="H2543" s="680">
        <v>926.65</v>
      </c>
      <c r="I2543" s="680">
        <v>929.18</v>
      </c>
    </row>
    <row r="2544" spans="2:9" ht="30">
      <c r="B2544" s="396">
        <v>99432</v>
      </c>
      <c r="C2544" s="401" t="s">
        <v>6119</v>
      </c>
      <c r="D2544" s="396" t="s">
        <v>20</v>
      </c>
      <c r="E2544" s="405">
        <f t="shared" si="78"/>
        <v>900.55</v>
      </c>
      <c r="F2544">
        <f t="shared" si="79"/>
        <v>99432</v>
      </c>
      <c r="H2544" s="679">
        <v>900.55</v>
      </c>
      <c r="I2544" s="679">
        <v>902.9</v>
      </c>
    </row>
    <row r="2545" spans="2:9" ht="30">
      <c r="B2545" s="395">
        <v>99433</v>
      </c>
      <c r="C2545" s="406" t="s">
        <v>6120</v>
      </c>
      <c r="D2545" s="395" t="s">
        <v>20</v>
      </c>
      <c r="E2545" s="407">
        <f t="shared" si="78"/>
        <v>969.48</v>
      </c>
      <c r="F2545">
        <f t="shared" si="79"/>
        <v>99433</v>
      </c>
      <c r="H2545" s="680">
        <v>969.48</v>
      </c>
      <c r="I2545" s="680">
        <v>973.13</v>
      </c>
    </row>
    <row r="2546" spans="2:9" ht="30">
      <c r="B2546" s="396">
        <v>99434</v>
      </c>
      <c r="C2546" s="401" t="s">
        <v>6121</v>
      </c>
      <c r="D2546" s="396" t="s">
        <v>20</v>
      </c>
      <c r="E2546" s="405">
        <f t="shared" si="78"/>
        <v>930.03</v>
      </c>
      <c r="F2546">
        <f t="shared" si="79"/>
        <v>99434</v>
      </c>
      <c r="H2546" s="679">
        <v>930.03</v>
      </c>
      <c r="I2546" s="679">
        <v>932.94</v>
      </c>
    </row>
    <row r="2547" spans="2:9" ht="30">
      <c r="B2547" s="395">
        <v>99435</v>
      </c>
      <c r="C2547" s="406" t="s">
        <v>6122</v>
      </c>
      <c r="D2547" s="395" t="s">
        <v>20</v>
      </c>
      <c r="E2547" s="407">
        <f t="shared" si="78"/>
        <v>902.88</v>
      </c>
      <c r="F2547">
        <f t="shared" si="79"/>
        <v>99435</v>
      </c>
      <c r="H2547" s="680">
        <v>902.88</v>
      </c>
      <c r="I2547" s="680">
        <v>905.48</v>
      </c>
    </row>
    <row r="2548" spans="2:9" ht="45">
      <c r="B2548" s="396">
        <v>99436</v>
      </c>
      <c r="C2548" s="401" t="s">
        <v>6123</v>
      </c>
      <c r="D2548" s="396" t="s">
        <v>20</v>
      </c>
      <c r="E2548" s="405">
        <f t="shared" si="78"/>
        <v>987.13</v>
      </c>
      <c r="F2548">
        <f t="shared" si="79"/>
        <v>99436</v>
      </c>
      <c r="H2548" s="679">
        <v>987.13</v>
      </c>
      <c r="I2548" s="679">
        <v>992.75</v>
      </c>
    </row>
    <row r="2549" spans="2:9" ht="30">
      <c r="B2549" s="395">
        <v>99437</v>
      </c>
      <c r="C2549" s="406" t="s">
        <v>6124</v>
      </c>
      <c r="D2549" s="395" t="s">
        <v>20</v>
      </c>
      <c r="E2549" s="407">
        <f t="shared" si="78"/>
        <v>953.93</v>
      </c>
      <c r="F2549">
        <f t="shared" si="79"/>
        <v>99437</v>
      </c>
      <c r="H2549" s="680">
        <v>953.93</v>
      </c>
      <c r="I2549" s="680">
        <v>955.84</v>
      </c>
    </row>
    <row r="2550" spans="2:9" ht="30">
      <c r="B2550" s="396">
        <v>99438</v>
      </c>
      <c r="C2550" s="401" t="s">
        <v>6125</v>
      </c>
      <c r="D2550" s="396" t="s">
        <v>20</v>
      </c>
      <c r="E2550" s="405">
        <f t="shared" si="78"/>
        <v>958.78</v>
      </c>
      <c r="F2550">
        <f t="shared" si="79"/>
        <v>99438</v>
      </c>
      <c r="H2550" s="679">
        <v>958.78</v>
      </c>
      <c r="I2550" s="679">
        <v>961.23</v>
      </c>
    </row>
    <row r="2551" spans="2:9" ht="30">
      <c r="B2551" s="395">
        <v>99439</v>
      </c>
      <c r="C2551" s="406" t="s">
        <v>6126</v>
      </c>
      <c r="D2551" s="395" t="s">
        <v>20</v>
      </c>
      <c r="E2551" s="407">
        <f t="shared" si="78"/>
        <v>911.33</v>
      </c>
      <c r="F2551">
        <f t="shared" si="79"/>
        <v>99439</v>
      </c>
      <c r="H2551" s="680">
        <v>911.33</v>
      </c>
      <c r="I2551" s="680">
        <v>913.96</v>
      </c>
    </row>
    <row r="2552" spans="2:9" ht="30">
      <c r="B2552" s="396">
        <v>102473</v>
      </c>
      <c r="C2552" s="401" t="s">
        <v>5572</v>
      </c>
      <c r="D2552" s="396" t="s">
        <v>20</v>
      </c>
      <c r="E2552" s="405">
        <f t="shared" si="78"/>
        <v>592.17999999999995</v>
      </c>
      <c r="F2552">
        <f t="shared" si="79"/>
        <v>102473</v>
      </c>
      <c r="H2552" s="679">
        <v>592.17999999999995</v>
      </c>
      <c r="I2552" s="679">
        <v>599.29999999999995</v>
      </c>
    </row>
    <row r="2553" spans="2:9" ht="30">
      <c r="B2553" s="395">
        <v>102474</v>
      </c>
      <c r="C2553" s="406" t="s">
        <v>5573</v>
      </c>
      <c r="D2553" s="395" t="s">
        <v>20</v>
      </c>
      <c r="E2553" s="407">
        <f t="shared" si="78"/>
        <v>641.77</v>
      </c>
      <c r="F2553">
        <f t="shared" si="79"/>
        <v>102474</v>
      </c>
      <c r="H2553" s="680">
        <v>641.77</v>
      </c>
      <c r="I2553" s="680">
        <v>648.85</v>
      </c>
    </row>
    <row r="2554" spans="2:9" ht="30">
      <c r="B2554" s="396">
        <v>102475</v>
      </c>
      <c r="C2554" s="401" t="s">
        <v>5574</v>
      </c>
      <c r="D2554" s="396" t="s">
        <v>20</v>
      </c>
      <c r="E2554" s="405">
        <f t="shared" si="78"/>
        <v>693.62</v>
      </c>
      <c r="F2554">
        <f t="shared" si="79"/>
        <v>102475</v>
      </c>
      <c r="H2554" s="679">
        <v>693.62</v>
      </c>
      <c r="I2554" s="679">
        <v>701.42</v>
      </c>
    </row>
    <row r="2555" spans="2:9" ht="30">
      <c r="B2555" s="395">
        <v>102476</v>
      </c>
      <c r="C2555" s="406" t="s">
        <v>5575</v>
      </c>
      <c r="D2555" s="395" t="s">
        <v>20</v>
      </c>
      <c r="E2555" s="407">
        <f t="shared" si="78"/>
        <v>722.69</v>
      </c>
      <c r="F2555">
        <f t="shared" si="79"/>
        <v>102476</v>
      </c>
      <c r="H2555" s="680">
        <v>722.69</v>
      </c>
      <c r="I2555" s="680">
        <v>729.4</v>
      </c>
    </row>
    <row r="2556" spans="2:9" ht="30">
      <c r="B2556" s="396">
        <v>102477</v>
      </c>
      <c r="C2556" s="401" t="s">
        <v>5576</v>
      </c>
      <c r="D2556" s="396" t="s">
        <v>20</v>
      </c>
      <c r="E2556" s="405">
        <f t="shared" si="78"/>
        <v>762.69</v>
      </c>
      <c r="F2556">
        <f t="shared" si="79"/>
        <v>102477</v>
      </c>
      <c r="H2556" s="679">
        <v>762.69</v>
      </c>
      <c r="I2556" s="679">
        <v>770.09</v>
      </c>
    </row>
    <row r="2557" spans="2:9" ht="30">
      <c r="B2557" s="395">
        <v>102478</v>
      </c>
      <c r="C2557" s="406" t="s">
        <v>5577</v>
      </c>
      <c r="D2557" s="395" t="s">
        <v>20</v>
      </c>
      <c r="E2557" s="407">
        <f t="shared" si="78"/>
        <v>831.87</v>
      </c>
      <c r="F2557">
        <f t="shared" si="79"/>
        <v>102478</v>
      </c>
      <c r="H2557" s="680">
        <v>831.87</v>
      </c>
      <c r="I2557" s="680">
        <v>838.57</v>
      </c>
    </row>
    <row r="2558" spans="2:9" ht="30">
      <c r="B2558" s="396">
        <v>102479</v>
      </c>
      <c r="C2558" s="401" t="s">
        <v>5578</v>
      </c>
      <c r="D2558" s="396" t="s">
        <v>20</v>
      </c>
      <c r="E2558" s="405">
        <f t="shared" si="78"/>
        <v>592.16999999999996</v>
      </c>
      <c r="F2558">
        <f t="shared" si="79"/>
        <v>102479</v>
      </c>
      <c r="H2558" s="679">
        <v>592.16999999999996</v>
      </c>
      <c r="I2558" s="679">
        <v>598.55999999999995</v>
      </c>
    </row>
    <row r="2559" spans="2:9" ht="30">
      <c r="B2559" s="395">
        <v>102480</v>
      </c>
      <c r="C2559" s="406" t="s">
        <v>5579</v>
      </c>
      <c r="D2559" s="395" t="s">
        <v>20</v>
      </c>
      <c r="E2559" s="407">
        <f t="shared" si="78"/>
        <v>638.74</v>
      </c>
      <c r="F2559">
        <f t="shared" si="79"/>
        <v>102480</v>
      </c>
      <c r="H2559" s="680">
        <v>638.74</v>
      </c>
      <c r="I2559" s="680">
        <v>644.91999999999996</v>
      </c>
    </row>
    <row r="2560" spans="2:9" ht="30">
      <c r="B2560" s="396">
        <v>102481</v>
      </c>
      <c r="C2560" s="401" t="s">
        <v>5580</v>
      </c>
      <c r="D2560" s="396" t="s">
        <v>20</v>
      </c>
      <c r="E2560" s="405">
        <f t="shared" si="78"/>
        <v>686.35</v>
      </c>
      <c r="F2560">
        <f t="shared" si="79"/>
        <v>102481</v>
      </c>
      <c r="H2560" s="679">
        <v>686.35</v>
      </c>
      <c r="I2560" s="679">
        <v>692.57</v>
      </c>
    </row>
    <row r="2561" spans="2:9" ht="30">
      <c r="B2561" s="395">
        <v>102482</v>
      </c>
      <c r="C2561" s="406" t="s">
        <v>5581</v>
      </c>
      <c r="D2561" s="395" t="s">
        <v>20</v>
      </c>
      <c r="E2561" s="407">
        <f t="shared" si="78"/>
        <v>723.18</v>
      </c>
      <c r="F2561">
        <f t="shared" si="79"/>
        <v>102482</v>
      </c>
      <c r="H2561" s="680">
        <v>723.18</v>
      </c>
      <c r="I2561" s="680">
        <v>729.12</v>
      </c>
    </row>
    <row r="2562" spans="2:9" ht="30">
      <c r="B2562" s="396">
        <v>102483</v>
      </c>
      <c r="C2562" s="401" t="s">
        <v>5582</v>
      </c>
      <c r="D2562" s="396" t="s">
        <v>20</v>
      </c>
      <c r="E2562" s="405">
        <f t="shared" si="78"/>
        <v>760.57</v>
      </c>
      <c r="F2562">
        <f t="shared" si="79"/>
        <v>102483</v>
      </c>
      <c r="H2562" s="679">
        <v>760.57</v>
      </c>
      <c r="I2562" s="679">
        <v>766.71</v>
      </c>
    </row>
    <row r="2563" spans="2:9" ht="30">
      <c r="B2563" s="395">
        <v>102484</v>
      </c>
      <c r="C2563" s="406" t="s">
        <v>5583</v>
      </c>
      <c r="D2563" s="395" t="s">
        <v>20</v>
      </c>
      <c r="E2563" s="407">
        <f t="shared" ref="E2563:E2626" si="80">IF($K$2=$H$1,H2563,I2563)</f>
        <v>833.6</v>
      </c>
      <c r="F2563">
        <f t="shared" ref="F2563:F2626" si="81">IF(LEN($B2563)=7,CONCATENATE(MID($B2563,1,6),"00",RIGHT($B2563,1)),IF(LEN($B2563)=8,CONCATENATE(MID($B2563,1,6),"0",RIGHT($B2563,2)),$B2563))</f>
        <v>102484</v>
      </c>
      <c r="H2563" s="680">
        <v>833.6</v>
      </c>
      <c r="I2563" s="680">
        <v>839.73</v>
      </c>
    </row>
    <row r="2564" spans="2:9" ht="30">
      <c r="B2564" s="396">
        <v>102485</v>
      </c>
      <c r="C2564" s="401" t="s">
        <v>5584</v>
      </c>
      <c r="D2564" s="396" t="s">
        <v>20</v>
      </c>
      <c r="E2564" s="405">
        <f t="shared" si="80"/>
        <v>651.41999999999996</v>
      </c>
      <c r="F2564">
        <f t="shared" si="81"/>
        <v>102485</v>
      </c>
      <c r="H2564" s="679">
        <v>651.41999999999996</v>
      </c>
      <c r="I2564" s="679">
        <v>663.2</v>
      </c>
    </row>
    <row r="2565" spans="2:9" ht="30">
      <c r="B2565" s="395">
        <v>102486</v>
      </c>
      <c r="C2565" s="406" t="s">
        <v>5585</v>
      </c>
      <c r="D2565" s="395" t="s">
        <v>20</v>
      </c>
      <c r="E2565" s="407">
        <f t="shared" si="80"/>
        <v>693.26</v>
      </c>
      <c r="F2565">
        <f t="shared" si="81"/>
        <v>102486</v>
      </c>
      <c r="H2565" s="680">
        <v>693.26</v>
      </c>
      <c r="I2565" s="680">
        <v>704.92</v>
      </c>
    </row>
    <row r="2566" spans="2:9">
      <c r="B2566" s="396">
        <v>102487</v>
      </c>
      <c r="C2566" s="401" t="s">
        <v>5586</v>
      </c>
      <c r="D2566" s="396" t="s">
        <v>20</v>
      </c>
      <c r="E2566" s="405">
        <f t="shared" si="80"/>
        <v>586.80999999999995</v>
      </c>
      <c r="F2566">
        <f t="shared" si="81"/>
        <v>102487</v>
      </c>
      <c r="H2566" s="679">
        <v>586.80999999999995</v>
      </c>
      <c r="I2566" s="679">
        <v>608.66999999999996</v>
      </c>
    </row>
    <row r="2567" spans="2:9" ht="30">
      <c r="B2567" s="395">
        <v>103183</v>
      </c>
      <c r="C2567" s="406" t="s">
        <v>6127</v>
      </c>
      <c r="D2567" s="395" t="s">
        <v>20</v>
      </c>
      <c r="E2567" s="407">
        <f t="shared" si="80"/>
        <v>944.69</v>
      </c>
      <c r="F2567">
        <f t="shared" si="81"/>
        <v>103183</v>
      </c>
      <c r="H2567" s="680">
        <v>944.69</v>
      </c>
      <c r="I2567" s="680">
        <v>951.04</v>
      </c>
    </row>
    <row r="2568" spans="2:9" ht="30">
      <c r="B2568" s="396">
        <v>103184</v>
      </c>
      <c r="C2568" s="401" t="s">
        <v>6128</v>
      </c>
      <c r="D2568" s="396" t="s">
        <v>20</v>
      </c>
      <c r="E2568" s="405">
        <f t="shared" si="80"/>
        <v>911.25</v>
      </c>
      <c r="F2568">
        <f t="shared" si="81"/>
        <v>103184</v>
      </c>
      <c r="H2568" s="679">
        <v>911.25</v>
      </c>
      <c r="I2568" s="679">
        <v>913.84</v>
      </c>
    </row>
    <row r="2569" spans="2:9">
      <c r="B2569" s="395">
        <v>103669</v>
      </c>
      <c r="C2569" s="406" t="s">
        <v>6449</v>
      </c>
      <c r="D2569" s="395" t="s">
        <v>20</v>
      </c>
      <c r="E2569" s="407">
        <f t="shared" si="80"/>
        <v>1135.29</v>
      </c>
      <c r="F2569">
        <f t="shared" si="81"/>
        <v>103669</v>
      </c>
      <c r="H2569" s="680">
        <v>1135.29</v>
      </c>
      <c r="I2569" s="680">
        <v>1161.3399999999999</v>
      </c>
    </row>
    <row r="2570" spans="2:9">
      <c r="B2570" s="396">
        <v>103670</v>
      </c>
      <c r="C2570" s="401" t="s">
        <v>6450</v>
      </c>
      <c r="D2570" s="396" t="s">
        <v>20</v>
      </c>
      <c r="E2570" s="405">
        <f t="shared" si="80"/>
        <v>237.09</v>
      </c>
      <c r="F2570">
        <f t="shared" si="81"/>
        <v>103670</v>
      </c>
      <c r="H2570" s="679">
        <v>237.09</v>
      </c>
      <c r="I2570" s="679">
        <v>263.14</v>
      </c>
    </row>
    <row r="2571" spans="2:9">
      <c r="B2571" s="395">
        <v>103671</v>
      </c>
      <c r="C2571" s="406" t="s">
        <v>6451</v>
      </c>
      <c r="D2571" s="395" t="s">
        <v>20</v>
      </c>
      <c r="E2571" s="407">
        <f t="shared" si="80"/>
        <v>936.64</v>
      </c>
      <c r="F2571">
        <f t="shared" si="81"/>
        <v>103671</v>
      </c>
      <c r="H2571" s="680">
        <v>936.64</v>
      </c>
      <c r="I2571" s="680">
        <v>940.86</v>
      </c>
    </row>
    <row r="2572" spans="2:9">
      <c r="B2572" s="396">
        <v>103672</v>
      </c>
      <c r="C2572" s="401" t="s">
        <v>6452</v>
      </c>
      <c r="D2572" s="396" t="s">
        <v>20</v>
      </c>
      <c r="E2572" s="405">
        <f t="shared" si="80"/>
        <v>879.79</v>
      </c>
      <c r="F2572">
        <f t="shared" si="81"/>
        <v>103672</v>
      </c>
      <c r="H2572" s="679">
        <v>879.79</v>
      </c>
      <c r="I2572" s="679">
        <v>883.42</v>
      </c>
    </row>
    <row r="2573" spans="2:9">
      <c r="B2573" s="395">
        <v>103673</v>
      </c>
      <c r="C2573" s="406" t="s">
        <v>6453</v>
      </c>
      <c r="D2573" s="395" t="s">
        <v>20</v>
      </c>
      <c r="E2573" s="407">
        <f t="shared" si="80"/>
        <v>33.29</v>
      </c>
      <c r="F2573">
        <f t="shared" si="81"/>
        <v>103673</v>
      </c>
      <c r="H2573" s="680">
        <v>33.29</v>
      </c>
      <c r="I2573" s="680">
        <v>36.92</v>
      </c>
    </row>
    <row r="2574" spans="2:9" ht="30">
      <c r="B2574" s="396">
        <v>103674</v>
      </c>
      <c r="C2574" s="401" t="s">
        <v>6454</v>
      </c>
      <c r="D2574" s="396" t="s">
        <v>20</v>
      </c>
      <c r="E2574" s="405">
        <f t="shared" si="80"/>
        <v>896.01</v>
      </c>
      <c r="F2574">
        <f t="shared" si="81"/>
        <v>103674</v>
      </c>
      <c r="H2574" s="679">
        <v>896.01</v>
      </c>
      <c r="I2574" s="679">
        <v>901.5</v>
      </c>
    </row>
    <row r="2575" spans="2:9" ht="30">
      <c r="B2575" s="395">
        <v>103675</v>
      </c>
      <c r="C2575" s="406" t="s">
        <v>6455</v>
      </c>
      <c r="D2575" s="395" t="s">
        <v>20</v>
      </c>
      <c r="E2575" s="407">
        <f t="shared" si="80"/>
        <v>880.21</v>
      </c>
      <c r="F2575">
        <f t="shared" si="81"/>
        <v>103675</v>
      </c>
      <c r="H2575" s="680">
        <v>880.21</v>
      </c>
      <c r="I2575" s="680">
        <v>883.96</v>
      </c>
    </row>
    <row r="2576" spans="2:9" ht="30">
      <c r="B2576" s="396">
        <v>103676</v>
      </c>
      <c r="C2576" s="401" t="s">
        <v>6456</v>
      </c>
      <c r="D2576" s="396" t="s">
        <v>20</v>
      </c>
      <c r="E2576" s="405">
        <f t="shared" si="80"/>
        <v>1180.27</v>
      </c>
      <c r="F2576">
        <f t="shared" si="81"/>
        <v>103676</v>
      </c>
      <c r="H2576" s="679">
        <v>1180.27</v>
      </c>
      <c r="I2576" s="679">
        <v>1211.18</v>
      </c>
    </row>
    <row r="2577" spans="2:9" ht="30">
      <c r="B2577" s="395">
        <v>103677</v>
      </c>
      <c r="C2577" s="406" t="s">
        <v>6457</v>
      </c>
      <c r="D2577" s="395" t="s">
        <v>20</v>
      </c>
      <c r="E2577" s="407">
        <f t="shared" si="80"/>
        <v>1044.42</v>
      </c>
      <c r="F2577">
        <f t="shared" si="81"/>
        <v>103677</v>
      </c>
      <c r="H2577" s="680">
        <v>1044.42</v>
      </c>
      <c r="I2577" s="680">
        <v>1060.44</v>
      </c>
    </row>
    <row r="2578" spans="2:9" ht="30">
      <c r="B2578" s="396">
        <v>103678</v>
      </c>
      <c r="C2578" s="401" t="s">
        <v>6458</v>
      </c>
      <c r="D2578" s="396" t="s">
        <v>20</v>
      </c>
      <c r="E2578" s="405">
        <f t="shared" si="80"/>
        <v>1104.3900000000001</v>
      </c>
      <c r="F2578">
        <f t="shared" si="81"/>
        <v>103678</v>
      </c>
      <c r="H2578" s="679">
        <v>1104.3900000000001</v>
      </c>
      <c r="I2578" s="679">
        <v>1126.8900000000001</v>
      </c>
    </row>
    <row r="2579" spans="2:9" ht="30">
      <c r="B2579" s="395">
        <v>103679</v>
      </c>
      <c r="C2579" s="406" t="s">
        <v>6459</v>
      </c>
      <c r="D2579" s="395" t="s">
        <v>20</v>
      </c>
      <c r="E2579" s="407">
        <f t="shared" si="80"/>
        <v>1010.75</v>
      </c>
      <c r="F2579">
        <f t="shared" si="81"/>
        <v>103679</v>
      </c>
      <c r="H2579" s="680">
        <v>1010.75</v>
      </c>
      <c r="I2579" s="680">
        <v>1023.03</v>
      </c>
    </row>
    <row r="2580" spans="2:9" ht="30">
      <c r="B2580" s="396">
        <v>103680</v>
      </c>
      <c r="C2580" s="401" t="s">
        <v>6460</v>
      </c>
      <c r="D2580" s="396" t="s">
        <v>20</v>
      </c>
      <c r="E2580" s="405">
        <f t="shared" si="80"/>
        <v>1048.3699999999999</v>
      </c>
      <c r="F2580">
        <f t="shared" si="81"/>
        <v>103680</v>
      </c>
      <c r="H2580" s="679">
        <v>1048.3699999999999</v>
      </c>
      <c r="I2580" s="679">
        <v>1065.1300000000001</v>
      </c>
    </row>
    <row r="2581" spans="2:9" ht="30">
      <c r="B2581" s="395">
        <v>103681</v>
      </c>
      <c r="C2581" s="406" t="s">
        <v>6461</v>
      </c>
      <c r="D2581" s="395" t="s">
        <v>20</v>
      </c>
      <c r="E2581" s="407">
        <f t="shared" si="80"/>
        <v>957.31</v>
      </c>
      <c r="F2581">
        <f t="shared" si="81"/>
        <v>103681</v>
      </c>
      <c r="H2581" s="680">
        <v>957.31</v>
      </c>
      <c r="I2581" s="680">
        <v>963.91</v>
      </c>
    </row>
    <row r="2582" spans="2:9" ht="30">
      <c r="B2582" s="396">
        <v>103682</v>
      </c>
      <c r="C2582" s="401" t="s">
        <v>6462</v>
      </c>
      <c r="D2582" s="396" t="s">
        <v>20</v>
      </c>
      <c r="E2582" s="405">
        <f t="shared" si="80"/>
        <v>1149.56</v>
      </c>
      <c r="F2582">
        <f t="shared" si="81"/>
        <v>103682</v>
      </c>
      <c r="H2582" s="679">
        <v>1149.56</v>
      </c>
      <c r="I2582" s="679">
        <v>1177.17</v>
      </c>
    </row>
    <row r="2583" spans="2:9" ht="30">
      <c r="B2583" s="395">
        <v>103683</v>
      </c>
      <c r="C2583" s="406" t="s">
        <v>6463</v>
      </c>
      <c r="D2583" s="395" t="s">
        <v>20</v>
      </c>
      <c r="E2583" s="407">
        <f t="shared" si="80"/>
        <v>1379.68</v>
      </c>
      <c r="F2583">
        <f t="shared" si="81"/>
        <v>103683</v>
      </c>
      <c r="H2583" s="680">
        <v>1379.68</v>
      </c>
      <c r="I2583" s="680">
        <v>1432.56</v>
      </c>
    </row>
    <row r="2584" spans="2:9" ht="30">
      <c r="B2584" s="396">
        <v>103684</v>
      </c>
      <c r="C2584" s="401" t="s">
        <v>6464</v>
      </c>
      <c r="D2584" s="396" t="s">
        <v>20</v>
      </c>
      <c r="E2584" s="405">
        <f t="shared" si="80"/>
        <v>893.87</v>
      </c>
      <c r="F2584">
        <f t="shared" si="81"/>
        <v>103684</v>
      </c>
      <c r="H2584" s="679">
        <v>893.87</v>
      </c>
      <c r="I2584" s="679">
        <v>899.12</v>
      </c>
    </row>
    <row r="2585" spans="2:9">
      <c r="B2585" s="395">
        <v>103685</v>
      </c>
      <c r="C2585" s="406" t="s">
        <v>6465</v>
      </c>
      <c r="D2585" s="395" t="s">
        <v>20</v>
      </c>
      <c r="E2585" s="407">
        <f t="shared" si="80"/>
        <v>883.84</v>
      </c>
      <c r="F2585">
        <f t="shared" si="81"/>
        <v>103685</v>
      </c>
      <c r="H2585" s="680">
        <v>883.84</v>
      </c>
      <c r="I2585" s="680">
        <v>887.99</v>
      </c>
    </row>
    <row r="2586" spans="2:9">
      <c r="B2586" s="396">
        <v>103686</v>
      </c>
      <c r="C2586" s="401" t="s">
        <v>6466</v>
      </c>
      <c r="D2586" s="396" t="s">
        <v>20</v>
      </c>
      <c r="E2586" s="405">
        <f t="shared" si="80"/>
        <v>931.63</v>
      </c>
      <c r="F2586">
        <f t="shared" si="81"/>
        <v>103686</v>
      </c>
      <c r="H2586" s="679">
        <v>931.63</v>
      </c>
      <c r="I2586" s="679">
        <v>941.24</v>
      </c>
    </row>
    <row r="2587" spans="2:9" ht="30">
      <c r="B2587" s="395">
        <v>103687</v>
      </c>
      <c r="C2587" s="406" t="s">
        <v>6467</v>
      </c>
      <c r="D2587" s="395" t="s">
        <v>20</v>
      </c>
      <c r="E2587" s="407">
        <f t="shared" si="80"/>
        <v>1233.72</v>
      </c>
      <c r="F2587">
        <f t="shared" si="81"/>
        <v>103687</v>
      </c>
      <c r="H2587" s="680">
        <v>1233.72</v>
      </c>
      <c r="I2587" s="680">
        <v>1270.6199999999999</v>
      </c>
    </row>
    <row r="2588" spans="2:9" ht="30">
      <c r="B2588" s="396">
        <v>103688</v>
      </c>
      <c r="C2588" s="401" t="s">
        <v>6468</v>
      </c>
      <c r="D2588" s="396" t="s">
        <v>20</v>
      </c>
      <c r="E2588" s="405">
        <f t="shared" si="80"/>
        <v>1039.21</v>
      </c>
      <c r="F2588">
        <f t="shared" si="81"/>
        <v>103688</v>
      </c>
      <c r="H2588" s="679">
        <v>1039.21</v>
      </c>
      <c r="I2588" s="679">
        <v>1054.68</v>
      </c>
    </row>
    <row r="2589" spans="2:9" ht="30">
      <c r="B2589" s="395">
        <v>101963</v>
      </c>
      <c r="C2589" s="406" t="s">
        <v>4825</v>
      </c>
      <c r="D2589" s="395" t="s">
        <v>0</v>
      </c>
      <c r="E2589" s="407">
        <f t="shared" si="80"/>
        <v>214.77</v>
      </c>
      <c r="F2589">
        <f t="shared" si="81"/>
        <v>101963</v>
      </c>
      <c r="H2589" s="680">
        <v>214.77</v>
      </c>
      <c r="I2589" s="680">
        <v>217.98</v>
      </c>
    </row>
    <row r="2590" spans="2:9" ht="30">
      <c r="B2590" s="396">
        <v>101964</v>
      </c>
      <c r="C2590" s="401" t="s">
        <v>4826</v>
      </c>
      <c r="D2590" s="396" t="s">
        <v>0</v>
      </c>
      <c r="E2590" s="405">
        <f t="shared" si="80"/>
        <v>199.14</v>
      </c>
      <c r="F2590">
        <f t="shared" si="81"/>
        <v>101964</v>
      </c>
      <c r="H2590" s="679">
        <v>199.14</v>
      </c>
      <c r="I2590" s="679">
        <v>202.16</v>
      </c>
    </row>
    <row r="2591" spans="2:9" ht="30">
      <c r="B2591" s="395">
        <v>101165</v>
      </c>
      <c r="C2591" s="406" t="s">
        <v>4034</v>
      </c>
      <c r="D2591" s="395" t="s">
        <v>20</v>
      </c>
      <c r="E2591" s="407">
        <f t="shared" si="80"/>
        <v>927.3</v>
      </c>
      <c r="F2591">
        <f t="shared" si="81"/>
        <v>101165</v>
      </c>
      <c r="H2591" s="680">
        <v>927.3</v>
      </c>
      <c r="I2591" s="680">
        <v>963.58</v>
      </c>
    </row>
    <row r="2592" spans="2:9" ht="30">
      <c r="B2592" s="396">
        <v>101166</v>
      </c>
      <c r="C2592" s="401" t="s">
        <v>4035</v>
      </c>
      <c r="D2592" s="396" t="s">
        <v>20</v>
      </c>
      <c r="E2592" s="405">
        <f t="shared" si="80"/>
        <v>698.72</v>
      </c>
      <c r="F2592">
        <f t="shared" si="81"/>
        <v>101166</v>
      </c>
      <c r="H2592" s="679">
        <v>698.72</v>
      </c>
      <c r="I2592" s="679">
        <v>728.41</v>
      </c>
    </row>
    <row r="2593" spans="2:9" ht="30">
      <c r="B2593" s="395">
        <v>98575</v>
      </c>
      <c r="C2593" s="406" t="s">
        <v>6098</v>
      </c>
      <c r="D2593" s="395" t="s">
        <v>22</v>
      </c>
      <c r="E2593" s="407">
        <f t="shared" si="80"/>
        <v>105.69</v>
      </c>
      <c r="F2593">
        <f t="shared" si="81"/>
        <v>98575</v>
      </c>
      <c r="H2593" s="680">
        <v>105.69</v>
      </c>
      <c r="I2593" s="680">
        <v>111.02</v>
      </c>
    </row>
    <row r="2594" spans="2:9">
      <c r="B2594" s="396">
        <v>98576</v>
      </c>
      <c r="C2594" s="401" t="s">
        <v>2780</v>
      </c>
      <c r="D2594" s="396" t="s">
        <v>22</v>
      </c>
      <c r="E2594" s="405">
        <f t="shared" si="80"/>
        <v>25.09</v>
      </c>
      <c r="F2594">
        <f t="shared" si="81"/>
        <v>98576</v>
      </c>
      <c r="H2594" s="679">
        <v>25.09</v>
      </c>
      <c r="I2594" s="679">
        <v>25.16</v>
      </c>
    </row>
    <row r="2595" spans="2:9">
      <c r="B2595" s="395">
        <v>98577</v>
      </c>
      <c r="C2595" s="406" t="s">
        <v>6099</v>
      </c>
      <c r="D2595" s="395" t="s">
        <v>22</v>
      </c>
      <c r="E2595" s="407">
        <f t="shared" si="80"/>
        <v>42.01</v>
      </c>
      <c r="F2595">
        <f t="shared" si="81"/>
        <v>98577</v>
      </c>
      <c r="H2595" s="680">
        <v>42.01</v>
      </c>
      <c r="I2595" s="680">
        <v>45.36</v>
      </c>
    </row>
    <row r="2596" spans="2:9">
      <c r="B2596" s="396">
        <v>93182</v>
      </c>
      <c r="C2596" s="401" t="s">
        <v>438</v>
      </c>
      <c r="D2596" s="396" t="s">
        <v>22</v>
      </c>
      <c r="E2596" s="405">
        <f t="shared" si="80"/>
        <v>48.4</v>
      </c>
      <c r="F2596">
        <f t="shared" si="81"/>
        <v>93182</v>
      </c>
      <c r="H2596" s="679">
        <v>48.4</v>
      </c>
      <c r="I2596" s="679">
        <v>49.46</v>
      </c>
    </row>
    <row r="2597" spans="2:9">
      <c r="B2597" s="395">
        <v>93183</v>
      </c>
      <c r="C2597" s="406" t="s">
        <v>439</v>
      </c>
      <c r="D2597" s="395" t="s">
        <v>22</v>
      </c>
      <c r="E2597" s="407">
        <f t="shared" si="80"/>
        <v>62.55</v>
      </c>
      <c r="F2597">
        <f t="shared" si="81"/>
        <v>93183</v>
      </c>
      <c r="H2597" s="680">
        <v>62.55</v>
      </c>
      <c r="I2597" s="680">
        <v>63.73</v>
      </c>
    </row>
    <row r="2598" spans="2:9">
      <c r="B2598" s="396">
        <v>93184</v>
      </c>
      <c r="C2598" s="401" t="s">
        <v>440</v>
      </c>
      <c r="D2598" s="396" t="s">
        <v>22</v>
      </c>
      <c r="E2598" s="405">
        <f t="shared" si="80"/>
        <v>35.46</v>
      </c>
      <c r="F2598">
        <f t="shared" si="81"/>
        <v>93184</v>
      </c>
      <c r="H2598" s="679">
        <v>35.46</v>
      </c>
      <c r="I2598" s="679">
        <v>36.39</v>
      </c>
    </row>
    <row r="2599" spans="2:9">
      <c r="B2599" s="395">
        <v>93185</v>
      </c>
      <c r="C2599" s="406" t="s">
        <v>441</v>
      </c>
      <c r="D2599" s="395" t="s">
        <v>22</v>
      </c>
      <c r="E2599" s="407">
        <f t="shared" si="80"/>
        <v>61.72</v>
      </c>
      <c r="F2599">
        <f t="shared" si="81"/>
        <v>93185</v>
      </c>
      <c r="H2599" s="680">
        <v>61.72</v>
      </c>
      <c r="I2599" s="680">
        <v>62.85</v>
      </c>
    </row>
    <row r="2600" spans="2:9">
      <c r="B2600" s="396">
        <v>93186</v>
      </c>
      <c r="C2600" s="401" t="s">
        <v>1405</v>
      </c>
      <c r="D2600" s="396" t="s">
        <v>22</v>
      </c>
      <c r="E2600" s="405">
        <f t="shared" si="80"/>
        <v>87.82</v>
      </c>
      <c r="F2600">
        <f t="shared" si="81"/>
        <v>93186</v>
      </c>
      <c r="H2600" s="679">
        <v>87.82</v>
      </c>
      <c r="I2600" s="679">
        <v>90.25</v>
      </c>
    </row>
    <row r="2601" spans="2:9">
      <c r="B2601" s="395">
        <v>93187</v>
      </c>
      <c r="C2601" s="406" t="s">
        <v>1406</v>
      </c>
      <c r="D2601" s="395" t="s">
        <v>22</v>
      </c>
      <c r="E2601" s="407">
        <f t="shared" si="80"/>
        <v>100.72</v>
      </c>
      <c r="F2601">
        <f t="shared" si="81"/>
        <v>93187</v>
      </c>
      <c r="H2601" s="680">
        <v>100.72</v>
      </c>
      <c r="I2601" s="680">
        <v>103.29</v>
      </c>
    </row>
    <row r="2602" spans="2:9">
      <c r="B2602" s="396">
        <v>93188</v>
      </c>
      <c r="C2602" s="401" t="s">
        <v>1407</v>
      </c>
      <c r="D2602" s="396" t="s">
        <v>22</v>
      </c>
      <c r="E2602" s="405">
        <f t="shared" si="80"/>
        <v>85.83</v>
      </c>
      <c r="F2602">
        <f t="shared" si="81"/>
        <v>93188</v>
      </c>
      <c r="H2602" s="679">
        <v>85.83</v>
      </c>
      <c r="I2602" s="679">
        <v>88.15</v>
      </c>
    </row>
    <row r="2603" spans="2:9">
      <c r="B2603" s="395">
        <v>93189</v>
      </c>
      <c r="C2603" s="406" t="s">
        <v>1408</v>
      </c>
      <c r="D2603" s="395" t="s">
        <v>22</v>
      </c>
      <c r="E2603" s="407">
        <f t="shared" si="80"/>
        <v>102.48</v>
      </c>
      <c r="F2603">
        <f t="shared" si="81"/>
        <v>93189</v>
      </c>
      <c r="H2603" s="680">
        <v>102.48</v>
      </c>
      <c r="I2603" s="680">
        <v>105.01</v>
      </c>
    </row>
    <row r="2604" spans="2:9">
      <c r="B2604" s="396">
        <v>93190</v>
      </c>
      <c r="C2604" s="401" t="s">
        <v>1409</v>
      </c>
      <c r="D2604" s="396" t="s">
        <v>22</v>
      </c>
      <c r="E2604" s="405">
        <f t="shared" si="80"/>
        <v>51.35</v>
      </c>
      <c r="F2604">
        <f t="shared" si="81"/>
        <v>93190</v>
      </c>
      <c r="H2604" s="679">
        <v>51.35</v>
      </c>
      <c r="I2604" s="679">
        <v>52.44</v>
      </c>
    </row>
    <row r="2605" spans="2:9">
      <c r="B2605" s="395">
        <v>93191</v>
      </c>
      <c r="C2605" s="406" t="s">
        <v>1410</v>
      </c>
      <c r="D2605" s="395" t="s">
        <v>22</v>
      </c>
      <c r="E2605" s="407">
        <f t="shared" si="80"/>
        <v>53.45</v>
      </c>
      <c r="F2605">
        <f t="shared" si="81"/>
        <v>93191</v>
      </c>
      <c r="H2605" s="680">
        <v>53.45</v>
      </c>
      <c r="I2605" s="680">
        <v>54.49</v>
      </c>
    </row>
    <row r="2606" spans="2:9">
      <c r="B2606" s="396">
        <v>93192</v>
      </c>
      <c r="C2606" s="401" t="s">
        <v>1411</v>
      </c>
      <c r="D2606" s="396" t="s">
        <v>22</v>
      </c>
      <c r="E2606" s="405">
        <f t="shared" si="80"/>
        <v>60.21</v>
      </c>
      <c r="F2606">
        <f t="shared" si="81"/>
        <v>93192</v>
      </c>
      <c r="H2606" s="679">
        <v>60.21</v>
      </c>
      <c r="I2606" s="679">
        <v>61.34</v>
      </c>
    </row>
    <row r="2607" spans="2:9">
      <c r="B2607" s="395">
        <v>93193</v>
      </c>
      <c r="C2607" s="406" t="s">
        <v>1412</v>
      </c>
      <c r="D2607" s="395" t="s">
        <v>22</v>
      </c>
      <c r="E2607" s="407">
        <f t="shared" si="80"/>
        <v>55.31</v>
      </c>
      <c r="F2607">
        <f t="shared" si="81"/>
        <v>93193</v>
      </c>
      <c r="H2607" s="680">
        <v>55.31</v>
      </c>
      <c r="I2607" s="680">
        <v>56.32</v>
      </c>
    </row>
    <row r="2608" spans="2:9">
      <c r="B2608" s="396">
        <v>93194</v>
      </c>
      <c r="C2608" s="401" t="s">
        <v>1413</v>
      </c>
      <c r="D2608" s="396" t="s">
        <v>22</v>
      </c>
      <c r="E2608" s="405">
        <f t="shared" si="80"/>
        <v>47.47</v>
      </c>
      <c r="F2608">
        <f t="shared" si="81"/>
        <v>93194</v>
      </c>
      <c r="H2608" s="679">
        <v>47.47</v>
      </c>
      <c r="I2608" s="679">
        <v>48.51</v>
      </c>
    </row>
    <row r="2609" spans="2:9">
      <c r="B2609" s="395">
        <v>93195</v>
      </c>
      <c r="C2609" s="406" t="s">
        <v>1414</v>
      </c>
      <c r="D2609" s="395" t="s">
        <v>22</v>
      </c>
      <c r="E2609" s="407">
        <f t="shared" si="80"/>
        <v>57.74</v>
      </c>
      <c r="F2609">
        <f t="shared" si="81"/>
        <v>93195</v>
      </c>
      <c r="H2609" s="680">
        <v>57.74</v>
      </c>
      <c r="I2609" s="680">
        <v>58.91</v>
      </c>
    </row>
    <row r="2610" spans="2:9">
      <c r="B2610" s="396">
        <v>93196</v>
      </c>
      <c r="C2610" s="401" t="s">
        <v>1415</v>
      </c>
      <c r="D2610" s="396" t="s">
        <v>22</v>
      </c>
      <c r="E2610" s="405">
        <f t="shared" si="80"/>
        <v>83.27</v>
      </c>
      <c r="F2610">
        <f t="shared" si="81"/>
        <v>93196</v>
      </c>
      <c r="H2610" s="679">
        <v>83.27</v>
      </c>
      <c r="I2610" s="679">
        <v>85.7</v>
      </c>
    </row>
    <row r="2611" spans="2:9">
      <c r="B2611" s="395">
        <v>93197</v>
      </c>
      <c r="C2611" s="406" t="s">
        <v>442</v>
      </c>
      <c r="D2611" s="395" t="s">
        <v>22</v>
      </c>
      <c r="E2611" s="407">
        <f t="shared" si="80"/>
        <v>93.7</v>
      </c>
      <c r="F2611">
        <f t="shared" si="81"/>
        <v>93197</v>
      </c>
      <c r="H2611" s="680">
        <v>93.7</v>
      </c>
      <c r="I2611" s="680">
        <v>96.27</v>
      </c>
    </row>
    <row r="2612" spans="2:9" ht="30">
      <c r="B2612" s="396">
        <v>93198</v>
      </c>
      <c r="C2612" s="401" t="s">
        <v>1416</v>
      </c>
      <c r="D2612" s="396" t="s">
        <v>22</v>
      </c>
      <c r="E2612" s="405">
        <f t="shared" si="80"/>
        <v>43.87</v>
      </c>
      <c r="F2612">
        <f t="shared" si="81"/>
        <v>93198</v>
      </c>
      <c r="H2612" s="679">
        <v>43.87</v>
      </c>
      <c r="I2612" s="679">
        <v>44.96</v>
      </c>
    </row>
    <row r="2613" spans="2:9" ht="30">
      <c r="B2613" s="395">
        <v>93199</v>
      </c>
      <c r="C2613" s="406" t="s">
        <v>1417</v>
      </c>
      <c r="D2613" s="395" t="s">
        <v>22</v>
      </c>
      <c r="E2613" s="407">
        <f t="shared" si="80"/>
        <v>43.38</v>
      </c>
      <c r="F2613">
        <f t="shared" si="81"/>
        <v>93199</v>
      </c>
      <c r="H2613" s="680">
        <v>43.38</v>
      </c>
      <c r="I2613" s="680">
        <v>44.42</v>
      </c>
    </row>
    <row r="2614" spans="2:9">
      <c r="B2614" s="396">
        <v>93200</v>
      </c>
      <c r="C2614" s="401" t="s">
        <v>443</v>
      </c>
      <c r="D2614" s="396" t="s">
        <v>22</v>
      </c>
      <c r="E2614" s="405">
        <f t="shared" si="80"/>
        <v>2.97</v>
      </c>
      <c r="F2614">
        <f t="shared" si="81"/>
        <v>93200</v>
      </c>
      <c r="H2614" s="679">
        <v>2.97</v>
      </c>
      <c r="I2614" s="679">
        <v>3.13</v>
      </c>
    </row>
    <row r="2615" spans="2:9">
      <c r="B2615" s="395">
        <v>93201</v>
      </c>
      <c r="C2615" s="406" t="s">
        <v>444</v>
      </c>
      <c r="D2615" s="395" t="s">
        <v>22</v>
      </c>
      <c r="E2615" s="407">
        <f t="shared" si="80"/>
        <v>5.68</v>
      </c>
      <c r="F2615">
        <f t="shared" si="81"/>
        <v>93201</v>
      </c>
      <c r="H2615" s="680">
        <v>5.68</v>
      </c>
      <c r="I2615" s="680">
        <v>6.13</v>
      </c>
    </row>
    <row r="2616" spans="2:9">
      <c r="B2616" s="396">
        <v>93202</v>
      </c>
      <c r="C2616" s="401" t="s">
        <v>1418</v>
      </c>
      <c r="D2616" s="396" t="s">
        <v>22</v>
      </c>
      <c r="E2616" s="405">
        <f t="shared" si="80"/>
        <v>26.49</v>
      </c>
      <c r="F2616">
        <f t="shared" si="81"/>
        <v>93202</v>
      </c>
      <c r="H2616" s="679">
        <v>26.49</v>
      </c>
      <c r="I2616" s="679">
        <v>28.06</v>
      </c>
    </row>
    <row r="2617" spans="2:9">
      <c r="B2617" s="395">
        <v>93203</v>
      </c>
      <c r="C2617" s="406" t="s">
        <v>2562</v>
      </c>
      <c r="D2617" s="395" t="s">
        <v>22</v>
      </c>
      <c r="E2617" s="407">
        <f t="shared" si="80"/>
        <v>20.86</v>
      </c>
      <c r="F2617">
        <f t="shared" si="81"/>
        <v>93203</v>
      </c>
      <c r="H2617" s="680">
        <v>20.86</v>
      </c>
      <c r="I2617" s="680">
        <v>21.08</v>
      </c>
    </row>
    <row r="2618" spans="2:9">
      <c r="B2618" s="396">
        <v>93204</v>
      </c>
      <c r="C2618" s="401" t="s">
        <v>1419</v>
      </c>
      <c r="D2618" s="396" t="s">
        <v>22</v>
      </c>
      <c r="E2618" s="405">
        <f t="shared" si="80"/>
        <v>62.23</v>
      </c>
      <c r="F2618">
        <f t="shared" si="81"/>
        <v>93204</v>
      </c>
      <c r="H2618" s="679">
        <v>62.23</v>
      </c>
      <c r="I2618" s="679">
        <v>64.17</v>
      </c>
    </row>
    <row r="2619" spans="2:9">
      <c r="B2619" s="395">
        <v>93205</v>
      </c>
      <c r="C2619" s="406" t="s">
        <v>1420</v>
      </c>
      <c r="D2619" s="395" t="s">
        <v>22</v>
      </c>
      <c r="E2619" s="407">
        <f t="shared" si="80"/>
        <v>42.46</v>
      </c>
      <c r="F2619">
        <f t="shared" si="81"/>
        <v>93205</v>
      </c>
      <c r="H2619" s="680">
        <v>42.46</v>
      </c>
      <c r="I2619" s="680">
        <v>43.46</v>
      </c>
    </row>
    <row r="2620" spans="2:9">
      <c r="B2620" s="396">
        <v>97733</v>
      </c>
      <c r="C2620" s="401" t="s">
        <v>2731</v>
      </c>
      <c r="D2620" s="396" t="s">
        <v>20</v>
      </c>
      <c r="E2620" s="405">
        <f t="shared" si="80"/>
        <v>3175.68</v>
      </c>
      <c r="F2620">
        <f t="shared" si="81"/>
        <v>97733</v>
      </c>
      <c r="H2620" s="679">
        <v>3175.68</v>
      </c>
      <c r="I2620" s="679">
        <v>3375.71</v>
      </c>
    </row>
    <row r="2621" spans="2:9">
      <c r="B2621" s="395">
        <v>97734</v>
      </c>
      <c r="C2621" s="406" t="s">
        <v>2732</v>
      </c>
      <c r="D2621" s="395" t="s">
        <v>20</v>
      </c>
      <c r="E2621" s="407">
        <f t="shared" si="80"/>
        <v>2751.28</v>
      </c>
      <c r="F2621">
        <f t="shared" si="81"/>
        <v>97734</v>
      </c>
      <c r="H2621" s="680">
        <v>2751.28</v>
      </c>
      <c r="I2621" s="680">
        <v>2930.51</v>
      </c>
    </row>
    <row r="2622" spans="2:9">
      <c r="B2622" s="396">
        <v>97735</v>
      </c>
      <c r="C2622" s="401" t="s">
        <v>2733</v>
      </c>
      <c r="D2622" s="396" t="s">
        <v>20</v>
      </c>
      <c r="E2622" s="405">
        <f t="shared" si="80"/>
        <v>2330.98</v>
      </c>
      <c r="F2622">
        <f t="shared" si="81"/>
        <v>97735</v>
      </c>
      <c r="H2622" s="679">
        <v>2330.98</v>
      </c>
      <c r="I2622" s="679">
        <v>2465.75</v>
      </c>
    </row>
    <row r="2623" spans="2:9" ht="30">
      <c r="B2623" s="395">
        <v>97736</v>
      </c>
      <c r="C2623" s="406" t="s">
        <v>2734</v>
      </c>
      <c r="D2623" s="395" t="s">
        <v>20</v>
      </c>
      <c r="E2623" s="407">
        <f t="shared" si="80"/>
        <v>1583.81</v>
      </c>
      <c r="F2623">
        <f t="shared" si="81"/>
        <v>97736</v>
      </c>
      <c r="H2623" s="680">
        <v>1583.81</v>
      </c>
      <c r="I2623" s="680">
        <v>1635.35</v>
      </c>
    </row>
    <row r="2624" spans="2:9">
      <c r="B2624" s="396">
        <v>97737</v>
      </c>
      <c r="C2624" s="401" t="s">
        <v>2735</v>
      </c>
      <c r="D2624" s="396" t="s">
        <v>20</v>
      </c>
      <c r="E2624" s="405">
        <f t="shared" si="80"/>
        <v>3212.92</v>
      </c>
      <c r="F2624">
        <f t="shared" si="81"/>
        <v>97737</v>
      </c>
      <c r="H2624" s="679">
        <v>3212.92</v>
      </c>
      <c r="I2624" s="679">
        <v>3373.56</v>
      </c>
    </row>
    <row r="2625" spans="2:9" ht="30">
      <c r="B2625" s="395">
        <v>97738</v>
      </c>
      <c r="C2625" s="406" t="s">
        <v>7513</v>
      </c>
      <c r="D2625" s="395" t="s">
        <v>20</v>
      </c>
      <c r="E2625" s="407">
        <f t="shared" si="80"/>
        <v>5543.86</v>
      </c>
      <c r="F2625">
        <f t="shared" si="81"/>
        <v>97738</v>
      </c>
      <c r="H2625" s="680">
        <v>5543.86</v>
      </c>
      <c r="I2625" s="680">
        <v>5757.98</v>
      </c>
    </row>
    <row r="2626" spans="2:9">
      <c r="B2626" s="396">
        <v>97739</v>
      </c>
      <c r="C2626" s="401" t="s">
        <v>2736</v>
      </c>
      <c r="D2626" s="396" t="s">
        <v>20</v>
      </c>
      <c r="E2626" s="405">
        <f t="shared" si="80"/>
        <v>2925.68</v>
      </c>
      <c r="F2626">
        <f t="shared" si="81"/>
        <v>97739</v>
      </c>
      <c r="H2626" s="679">
        <v>2925.68</v>
      </c>
      <c r="I2626" s="679">
        <v>3067.38</v>
      </c>
    </row>
    <row r="2627" spans="2:9">
      <c r="B2627" s="395">
        <v>97740</v>
      </c>
      <c r="C2627" s="406" t="s">
        <v>2737</v>
      </c>
      <c r="D2627" s="395" t="s">
        <v>20</v>
      </c>
      <c r="E2627" s="407">
        <f t="shared" ref="E2627:E2690" si="82">IF($K$2=$H$1,H2627,I2627)</f>
        <v>2261.56</v>
      </c>
      <c r="F2627">
        <f t="shared" ref="F2627:F2690" si="83">IF(LEN($B2627)=7,CONCATENATE(MID($B2627,1,6),"00",RIGHT($B2627,1)),IF(LEN($B2627)=8,CONCATENATE(MID($B2627,1,6),"0",RIGHT($B2627,2)),$B2627))</f>
        <v>97740</v>
      </c>
      <c r="H2627" s="680">
        <v>2261.56</v>
      </c>
      <c r="I2627" s="680">
        <v>2328.6799999999998</v>
      </c>
    </row>
    <row r="2628" spans="2:9" ht="30">
      <c r="B2628" s="396">
        <v>98615</v>
      </c>
      <c r="C2628" s="401" t="s">
        <v>2781</v>
      </c>
      <c r="D2628" s="396" t="s">
        <v>0</v>
      </c>
      <c r="E2628" s="405">
        <f t="shared" si="82"/>
        <v>172.17</v>
      </c>
      <c r="F2628">
        <f t="shared" si="83"/>
        <v>98615</v>
      </c>
      <c r="H2628" s="679">
        <v>172.17</v>
      </c>
      <c r="I2628" s="679">
        <v>173.88</v>
      </c>
    </row>
    <row r="2629" spans="2:9" ht="30">
      <c r="B2629" s="395">
        <v>98616</v>
      </c>
      <c r="C2629" s="406" t="s">
        <v>2782</v>
      </c>
      <c r="D2629" s="395" t="s">
        <v>0</v>
      </c>
      <c r="E2629" s="407">
        <f t="shared" si="82"/>
        <v>141.69999999999999</v>
      </c>
      <c r="F2629">
        <f t="shared" si="83"/>
        <v>98616</v>
      </c>
      <c r="H2629" s="680">
        <v>141.69999999999999</v>
      </c>
      <c r="I2629" s="680">
        <v>142.79</v>
      </c>
    </row>
    <row r="2630" spans="2:9">
      <c r="B2630" s="396">
        <v>98617</v>
      </c>
      <c r="C2630" s="401" t="s">
        <v>2783</v>
      </c>
      <c r="D2630" s="396" t="s">
        <v>0</v>
      </c>
      <c r="E2630" s="405">
        <f t="shared" si="82"/>
        <v>133.66999999999999</v>
      </c>
      <c r="F2630">
        <f t="shared" si="83"/>
        <v>98617</v>
      </c>
      <c r="H2630" s="679">
        <v>133.66999999999999</v>
      </c>
      <c r="I2630" s="679">
        <v>134.53</v>
      </c>
    </row>
    <row r="2631" spans="2:9" ht="30">
      <c r="B2631" s="395">
        <v>98618</v>
      </c>
      <c r="C2631" s="406" t="s">
        <v>2784</v>
      </c>
      <c r="D2631" s="395" t="s">
        <v>0</v>
      </c>
      <c r="E2631" s="407">
        <f t="shared" si="82"/>
        <v>182.09</v>
      </c>
      <c r="F2631">
        <f t="shared" si="83"/>
        <v>98618</v>
      </c>
      <c r="H2631" s="680">
        <v>182.09</v>
      </c>
      <c r="I2631" s="680">
        <v>183.35</v>
      </c>
    </row>
    <row r="2632" spans="2:9" ht="30">
      <c r="B2632" s="396">
        <v>98619</v>
      </c>
      <c r="C2632" s="401" t="s">
        <v>2785</v>
      </c>
      <c r="D2632" s="396" t="s">
        <v>0</v>
      </c>
      <c r="E2632" s="405">
        <f t="shared" si="82"/>
        <v>169.86</v>
      </c>
      <c r="F2632">
        <f t="shared" si="83"/>
        <v>98619</v>
      </c>
      <c r="H2632" s="679">
        <v>169.86</v>
      </c>
      <c r="I2632" s="679">
        <v>170.76</v>
      </c>
    </row>
    <row r="2633" spans="2:9">
      <c r="B2633" s="395">
        <v>98620</v>
      </c>
      <c r="C2633" s="406" t="s">
        <v>2786</v>
      </c>
      <c r="D2633" s="395" t="s">
        <v>0</v>
      </c>
      <c r="E2633" s="407">
        <f t="shared" si="82"/>
        <v>163.65</v>
      </c>
      <c r="F2633">
        <f t="shared" si="83"/>
        <v>98620</v>
      </c>
      <c r="H2633" s="680">
        <v>163.65</v>
      </c>
      <c r="I2633" s="680">
        <v>164.38</v>
      </c>
    </row>
    <row r="2634" spans="2:9" ht="30">
      <c r="B2634" s="396">
        <v>98621</v>
      </c>
      <c r="C2634" s="401" t="s">
        <v>2787</v>
      </c>
      <c r="D2634" s="396" t="s">
        <v>0</v>
      </c>
      <c r="E2634" s="405">
        <f t="shared" si="82"/>
        <v>211.85</v>
      </c>
      <c r="F2634">
        <f t="shared" si="83"/>
        <v>98621</v>
      </c>
      <c r="H2634" s="679">
        <v>211.85</v>
      </c>
      <c r="I2634" s="679">
        <v>212.94</v>
      </c>
    </row>
    <row r="2635" spans="2:9" ht="30">
      <c r="B2635" s="395">
        <v>98622</v>
      </c>
      <c r="C2635" s="406" t="s">
        <v>2788</v>
      </c>
      <c r="D2635" s="395" t="s">
        <v>0</v>
      </c>
      <c r="E2635" s="407">
        <f t="shared" si="82"/>
        <v>201.99</v>
      </c>
      <c r="F2635">
        <f t="shared" si="83"/>
        <v>98622</v>
      </c>
      <c r="H2635" s="680">
        <v>201.99</v>
      </c>
      <c r="I2635" s="680">
        <v>202.8</v>
      </c>
    </row>
    <row r="2636" spans="2:9">
      <c r="B2636" s="396">
        <v>98623</v>
      </c>
      <c r="C2636" s="401" t="s">
        <v>2789</v>
      </c>
      <c r="D2636" s="396" t="s">
        <v>0</v>
      </c>
      <c r="E2636" s="405">
        <f t="shared" si="82"/>
        <v>196.93</v>
      </c>
      <c r="F2636">
        <f t="shared" si="83"/>
        <v>98623</v>
      </c>
      <c r="H2636" s="679">
        <v>196.93</v>
      </c>
      <c r="I2636" s="679">
        <v>197.61</v>
      </c>
    </row>
    <row r="2637" spans="2:9" ht="30">
      <c r="B2637" s="395">
        <v>98624</v>
      </c>
      <c r="C2637" s="406" t="s">
        <v>2790</v>
      </c>
      <c r="D2637" s="395" t="s">
        <v>0</v>
      </c>
      <c r="E2637" s="407">
        <f t="shared" si="82"/>
        <v>243.14</v>
      </c>
      <c r="F2637">
        <f t="shared" si="83"/>
        <v>98624</v>
      </c>
      <c r="H2637" s="680">
        <v>243.14</v>
      </c>
      <c r="I2637" s="680">
        <v>244.15</v>
      </c>
    </row>
    <row r="2638" spans="2:9" ht="30">
      <c r="B2638" s="396">
        <v>98625</v>
      </c>
      <c r="C2638" s="401" t="s">
        <v>2791</v>
      </c>
      <c r="D2638" s="396" t="s">
        <v>0</v>
      </c>
      <c r="E2638" s="405">
        <f t="shared" si="82"/>
        <v>234.76</v>
      </c>
      <c r="F2638">
        <f t="shared" si="83"/>
        <v>98625</v>
      </c>
      <c r="H2638" s="679">
        <v>234.76</v>
      </c>
      <c r="I2638" s="679">
        <v>235.54</v>
      </c>
    </row>
    <row r="2639" spans="2:9">
      <c r="B2639" s="395">
        <v>98626</v>
      </c>
      <c r="C2639" s="406" t="s">
        <v>2792</v>
      </c>
      <c r="D2639" s="395" t="s">
        <v>0</v>
      </c>
      <c r="E2639" s="407">
        <f t="shared" si="82"/>
        <v>230.35</v>
      </c>
      <c r="F2639">
        <f t="shared" si="83"/>
        <v>98626</v>
      </c>
      <c r="H2639" s="680">
        <v>230.35</v>
      </c>
      <c r="I2639" s="680">
        <v>231.02</v>
      </c>
    </row>
    <row r="2640" spans="2:9">
      <c r="B2640" s="396">
        <v>98655</v>
      </c>
      <c r="C2640" s="401" t="s">
        <v>2793</v>
      </c>
      <c r="D2640" s="396" t="s">
        <v>22</v>
      </c>
      <c r="E2640" s="405">
        <f t="shared" si="82"/>
        <v>714.73</v>
      </c>
      <c r="F2640">
        <f t="shared" si="83"/>
        <v>98655</v>
      </c>
      <c r="H2640" s="679">
        <v>714.73</v>
      </c>
      <c r="I2640" s="679">
        <v>732.88</v>
      </c>
    </row>
    <row r="2641" spans="2:9">
      <c r="B2641" s="395">
        <v>98656</v>
      </c>
      <c r="C2641" s="406" t="s">
        <v>2794</v>
      </c>
      <c r="D2641" s="395" t="s">
        <v>22</v>
      </c>
      <c r="E2641" s="407">
        <f t="shared" si="82"/>
        <v>726.32</v>
      </c>
      <c r="F2641">
        <f t="shared" si="83"/>
        <v>98656</v>
      </c>
      <c r="H2641" s="680">
        <v>726.32</v>
      </c>
      <c r="I2641" s="680">
        <v>744.62</v>
      </c>
    </row>
    <row r="2642" spans="2:9">
      <c r="B2642" s="396">
        <v>98657</v>
      </c>
      <c r="C2642" s="401" t="s">
        <v>2795</v>
      </c>
      <c r="D2642" s="396" t="s">
        <v>22</v>
      </c>
      <c r="E2642" s="405">
        <f t="shared" si="82"/>
        <v>737.92</v>
      </c>
      <c r="F2642">
        <f t="shared" si="83"/>
        <v>98657</v>
      </c>
      <c r="H2642" s="679">
        <v>737.92</v>
      </c>
      <c r="I2642" s="679">
        <v>756.38</v>
      </c>
    </row>
    <row r="2643" spans="2:9">
      <c r="B2643" s="395">
        <v>98658</v>
      </c>
      <c r="C2643" s="406" t="s">
        <v>2796</v>
      </c>
      <c r="D2643" s="395" t="s">
        <v>22</v>
      </c>
      <c r="E2643" s="407">
        <f t="shared" si="82"/>
        <v>749.5</v>
      </c>
      <c r="F2643">
        <f t="shared" si="83"/>
        <v>98658</v>
      </c>
      <c r="H2643" s="680">
        <v>749.5</v>
      </c>
      <c r="I2643" s="680">
        <v>768.13</v>
      </c>
    </row>
    <row r="2644" spans="2:9">
      <c r="B2644" s="396">
        <v>98659</v>
      </c>
      <c r="C2644" s="401" t="s">
        <v>2797</v>
      </c>
      <c r="D2644" s="396" t="s">
        <v>22</v>
      </c>
      <c r="E2644" s="405">
        <f t="shared" si="82"/>
        <v>772.69</v>
      </c>
      <c r="F2644">
        <f t="shared" si="83"/>
        <v>98659</v>
      </c>
      <c r="H2644" s="679">
        <v>772.69</v>
      </c>
      <c r="I2644" s="679">
        <v>791.63</v>
      </c>
    </row>
    <row r="2645" spans="2:9">
      <c r="B2645" s="395">
        <v>98746</v>
      </c>
      <c r="C2645" s="406" t="s">
        <v>2856</v>
      </c>
      <c r="D2645" s="395" t="s">
        <v>22</v>
      </c>
      <c r="E2645" s="407">
        <f t="shared" si="82"/>
        <v>52.9</v>
      </c>
      <c r="F2645">
        <f t="shared" si="83"/>
        <v>98746</v>
      </c>
      <c r="H2645" s="680">
        <v>52.9</v>
      </c>
      <c r="I2645" s="680">
        <v>56.76</v>
      </c>
    </row>
    <row r="2646" spans="2:9">
      <c r="B2646" s="396">
        <v>98749</v>
      </c>
      <c r="C2646" s="401" t="s">
        <v>2857</v>
      </c>
      <c r="D2646" s="396" t="s">
        <v>22</v>
      </c>
      <c r="E2646" s="405">
        <f t="shared" si="82"/>
        <v>63.31</v>
      </c>
      <c r="F2646">
        <f t="shared" si="83"/>
        <v>98749</v>
      </c>
      <c r="H2646" s="679">
        <v>63.31</v>
      </c>
      <c r="I2646" s="679">
        <v>67.319999999999993</v>
      </c>
    </row>
    <row r="2647" spans="2:9">
      <c r="B2647" s="395">
        <v>98750</v>
      </c>
      <c r="C2647" s="406" t="s">
        <v>2858</v>
      </c>
      <c r="D2647" s="395" t="s">
        <v>22</v>
      </c>
      <c r="E2647" s="407">
        <f t="shared" si="82"/>
        <v>75.89</v>
      </c>
      <c r="F2647">
        <f t="shared" si="83"/>
        <v>98750</v>
      </c>
      <c r="H2647" s="680">
        <v>75.89</v>
      </c>
      <c r="I2647" s="680">
        <v>80.03</v>
      </c>
    </row>
    <row r="2648" spans="2:9">
      <c r="B2648" s="396">
        <v>98751</v>
      </c>
      <c r="C2648" s="401" t="s">
        <v>2859</v>
      </c>
      <c r="D2648" s="396" t="s">
        <v>22</v>
      </c>
      <c r="E2648" s="405">
        <f t="shared" si="82"/>
        <v>108.77</v>
      </c>
      <c r="F2648">
        <f t="shared" si="83"/>
        <v>98751</v>
      </c>
      <c r="H2648" s="679">
        <v>108.77</v>
      </c>
      <c r="I2648" s="679">
        <v>113.21</v>
      </c>
    </row>
    <row r="2649" spans="2:9">
      <c r="B2649" s="395">
        <v>98752</v>
      </c>
      <c r="C2649" s="406" t="s">
        <v>2860</v>
      </c>
      <c r="D2649" s="395" t="s">
        <v>22</v>
      </c>
      <c r="E2649" s="407">
        <f t="shared" si="82"/>
        <v>148.38</v>
      </c>
      <c r="F2649">
        <f t="shared" si="83"/>
        <v>98752</v>
      </c>
      <c r="H2649" s="680">
        <v>148.38</v>
      </c>
      <c r="I2649" s="680">
        <v>153.09</v>
      </c>
    </row>
    <row r="2650" spans="2:9">
      <c r="B2650" s="396">
        <v>98753</v>
      </c>
      <c r="C2650" s="401" t="s">
        <v>2861</v>
      </c>
      <c r="D2650" s="396" t="s">
        <v>22</v>
      </c>
      <c r="E2650" s="405">
        <f t="shared" si="82"/>
        <v>197.62</v>
      </c>
      <c r="F2650">
        <f t="shared" si="83"/>
        <v>98753</v>
      </c>
      <c r="H2650" s="679">
        <v>197.62</v>
      </c>
      <c r="I2650" s="679">
        <v>202.6</v>
      </c>
    </row>
    <row r="2651" spans="2:9" ht="30">
      <c r="B2651" s="395">
        <v>100763</v>
      </c>
      <c r="C2651" s="406" t="s">
        <v>7514</v>
      </c>
      <c r="D2651" s="395" t="s">
        <v>21</v>
      </c>
      <c r="E2651" s="407">
        <f t="shared" si="82"/>
        <v>18.850000000000001</v>
      </c>
      <c r="F2651">
        <f t="shared" si="83"/>
        <v>100763</v>
      </c>
      <c r="H2651" s="680">
        <v>18.850000000000001</v>
      </c>
      <c r="I2651" s="680">
        <v>18.940000000000001</v>
      </c>
    </row>
    <row r="2652" spans="2:9" ht="30">
      <c r="B2652" s="396">
        <v>100764</v>
      </c>
      <c r="C2652" s="401" t="s">
        <v>7515</v>
      </c>
      <c r="D2652" s="396" t="s">
        <v>21</v>
      </c>
      <c r="E2652" s="405">
        <f t="shared" si="82"/>
        <v>18.62</v>
      </c>
      <c r="F2652">
        <f t="shared" si="83"/>
        <v>100764</v>
      </c>
      <c r="H2652" s="679">
        <v>18.62</v>
      </c>
      <c r="I2652" s="679">
        <v>18.73</v>
      </c>
    </row>
    <row r="2653" spans="2:9" ht="30">
      <c r="B2653" s="395">
        <v>100765</v>
      </c>
      <c r="C2653" s="406" t="s">
        <v>7516</v>
      </c>
      <c r="D2653" s="395" t="s">
        <v>21</v>
      </c>
      <c r="E2653" s="407">
        <f t="shared" si="82"/>
        <v>18.57</v>
      </c>
      <c r="F2653">
        <f t="shared" si="83"/>
        <v>100765</v>
      </c>
      <c r="H2653" s="680">
        <v>18.57</v>
      </c>
      <c r="I2653" s="680">
        <v>18.62</v>
      </c>
    </row>
    <row r="2654" spans="2:9" ht="30">
      <c r="B2654" s="396">
        <v>100766</v>
      </c>
      <c r="C2654" s="401" t="s">
        <v>7517</v>
      </c>
      <c r="D2654" s="396" t="s">
        <v>21</v>
      </c>
      <c r="E2654" s="405">
        <f t="shared" si="82"/>
        <v>18.649999999999999</v>
      </c>
      <c r="F2654">
        <f t="shared" si="83"/>
        <v>100766</v>
      </c>
      <c r="H2654" s="679">
        <v>18.649999999999999</v>
      </c>
      <c r="I2654" s="679">
        <v>18.75</v>
      </c>
    </row>
    <row r="2655" spans="2:9" ht="45">
      <c r="B2655" s="395">
        <v>100767</v>
      </c>
      <c r="C2655" s="406" t="s">
        <v>7518</v>
      </c>
      <c r="D2655" s="395" t="s">
        <v>21</v>
      </c>
      <c r="E2655" s="407">
        <f t="shared" si="82"/>
        <v>17.71</v>
      </c>
      <c r="F2655">
        <f t="shared" si="83"/>
        <v>100767</v>
      </c>
      <c r="H2655" s="680">
        <v>17.71</v>
      </c>
      <c r="I2655" s="680">
        <v>18.010000000000002</v>
      </c>
    </row>
    <row r="2656" spans="2:9" ht="45">
      <c r="B2656" s="396">
        <v>100768</v>
      </c>
      <c r="C2656" s="401" t="s">
        <v>7519</v>
      </c>
      <c r="D2656" s="396" t="s">
        <v>21</v>
      </c>
      <c r="E2656" s="405">
        <f t="shared" si="82"/>
        <v>17.07</v>
      </c>
      <c r="F2656">
        <f t="shared" si="83"/>
        <v>100768</v>
      </c>
      <c r="H2656" s="679">
        <v>17.07</v>
      </c>
      <c r="I2656" s="679">
        <v>17.41</v>
      </c>
    </row>
    <row r="2657" spans="2:9" ht="45">
      <c r="B2657" s="395">
        <v>100769</v>
      </c>
      <c r="C2657" s="406" t="s">
        <v>7520</v>
      </c>
      <c r="D2657" s="395" t="s">
        <v>21</v>
      </c>
      <c r="E2657" s="407">
        <f t="shared" si="82"/>
        <v>23.26</v>
      </c>
      <c r="F2657">
        <f t="shared" si="83"/>
        <v>100769</v>
      </c>
      <c r="H2657" s="680">
        <v>23.26</v>
      </c>
      <c r="I2657" s="680">
        <v>23.5</v>
      </c>
    </row>
    <row r="2658" spans="2:9" ht="45">
      <c r="B2658" s="396">
        <v>100770</v>
      </c>
      <c r="C2658" s="401" t="s">
        <v>7521</v>
      </c>
      <c r="D2658" s="396" t="s">
        <v>21</v>
      </c>
      <c r="E2658" s="405">
        <f t="shared" si="82"/>
        <v>22.34</v>
      </c>
      <c r="F2658">
        <f t="shared" si="83"/>
        <v>100770</v>
      </c>
      <c r="H2658" s="679">
        <v>22.34</v>
      </c>
      <c r="I2658" s="679">
        <v>22.61</v>
      </c>
    </row>
    <row r="2659" spans="2:9" ht="45">
      <c r="B2659" s="395">
        <v>100771</v>
      </c>
      <c r="C2659" s="406" t="s">
        <v>7522</v>
      </c>
      <c r="D2659" s="395" t="s">
        <v>21</v>
      </c>
      <c r="E2659" s="407">
        <f t="shared" si="82"/>
        <v>18.760000000000002</v>
      </c>
      <c r="F2659">
        <f t="shared" si="83"/>
        <v>100771</v>
      </c>
      <c r="H2659" s="680">
        <v>18.760000000000002</v>
      </c>
      <c r="I2659" s="680">
        <v>18.96</v>
      </c>
    </row>
    <row r="2660" spans="2:9" ht="45">
      <c r="B2660" s="396">
        <v>100772</v>
      </c>
      <c r="C2660" s="401" t="s">
        <v>7523</v>
      </c>
      <c r="D2660" s="396" t="s">
        <v>21</v>
      </c>
      <c r="E2660" s="405">
        <f t="shared" si="82"/>
        <v>17.91</v>
      </c>
      <c r="F2660">
        <f t="shared" si="83"/>
        <v>100772</v>
      </c>
      <c r="H2660" s="679">
        <v>17.91</v>
      </c>
      <c r="I2660" s="679">
        <v>18.16</v>
      </c>
    </row>
    <row r="2661" spans="2:9" ht="30">
      <c r="B2661" s="395">
        <v>100773</v>
      </c>
      <c r="C2661" s="406" t="s">
        <v>7524</v>
      </c>
      <c r="D2661" s="395" t="s">
        <v>21</v>
      </c>
      <c r="E2661" s="407">
        <f t="shared" si="82"/>
        <v>21.74</v>
      </c>
      <c r="F2661">
        <f t="shared" si="83"/>
        <v>100773</v>
      </c>
      <c r="H2661" s="680">
        <v>21.74</v>
      </c>
      <c r="I2661" s="680">
        <v>21.87</v>
      </c>
    </row>
    <row r="2662" spans="2:9" ht="30">
      <c r="B2662" s="396">
        <v>100774</v>
      </c>
      <c r="C2662" s="401" t="s">
        <v>7525</v>
      </c>
      <c r="D2662" s="396" t="s">
        <v>21</v>
      </c>
      <c r="E2662" s="405">
        <f t="shared" si="82"/>
        <v>14.33</v>
      </c>
      <c r="F2662">
        <f t="shared" si="83"/>
        <v>100774</v>
      </c>
      <c r="H2662" s="679">
        <v>14.33</v>
      </c>
      <c r="I2662" s="679">
        <v>14.38</v>
      </c>
    </row>
    <row r="2663" spans="2:9" ht="30">
      <c r="B2663" s="395">
        <v>100775</v>
      </c>
      <c r="C2663" s="406" t="s">
        <v>7526</v>
      </c>
      <c r="D2663" s="395" t="s">
        <v>21</v>
      </c>
      <c r="E2663" s="407">
        <f t="shared" si="82"/>
        <v>16.149999999999999</v>
      </c>
      <c r="F2663">
        <f t="shared" si="83"/>
        <v>100775</v>
      </c>
      <c r="H2663" s="680">
        <v>16.149999999999999</v>
      </c>
      <c r="I2663" s="680">
        <v>16.25</v>
      </c>
    </row>
    <row r="2664" spans="2:9" ht="30">
      <c r="B2664" s="396">
        <v>100776</v>
      </c>
      <c r="C2664" s="401" t="s">
        <v>7527</v>
      </c>
      <c r="D2664" s="396" t="s">
        <v>21</v>
      </c>
      <c r="E2664" s="405">
        <f t="shared" si="82"/>
        <v>21.91</v>
      </c>
      <c r="F2664">
        <f t="shared" si="83"/>
        <v>100776</v>
      </c>
      <c r="H2664" s="679">
        <v>21.91</v>
      </c>
      <c r="I2664" s="679">
        <v>22.03</v>
      </c>
    </row>
    <row r="2665" spans="2:9" ht="30">
      <c r="B2665" s="395">
        <v>100777</v>
      </c>
      <c r="C2665" s="406" t="s">
        <v>7528</v>
      </c>
      <c r="D2665" s="395" t="s">
        <v>21</v>
      </c>
      <c r="E2665" s="407">
        <f t="shared" si="82"/>
        <v>16.36</v>
      </c>
      <c r="F2665">
        <f t="shared" si="83"/>
        <v>100777</v>
      </c>
      <c r="H2665" s="680">
        <v>16.36</v>
      </c>
      <c r="I2665" s="680">
        <v>16.47</v>
      </c>
    </row>
    <row r="2666" spans="2:9" ht="30">
      <c r="B2666" s="396">
        <v>100778</v>
      </c>
      <c r="C2666" s="401" t="s">
        <v>7529</v>
      </c>
      <c r="D2666" s="396" t="s">
        <v>21</v>
      </c>
      <c r="E2666" s="405">
        <f t="shared" si="82"/>
        <v>13.13</v>
      </c>
      <c r="F2666">
        <f t="shared" si="83"/>
        <v>100778</v>
      </c>
      <c r="H2666" s="679">
        <v>13.13</v>
      </c>
      <c r="I2666" s="679">
        <v>13.16</v>
      </c>
    </row>
    <row r="2667" spans="2:9" ht="30">
      <c r="B2667" s="395">
        <v>103795</v>
      </c>
      <c r="C2667" s="406" t="s">
        <v>7530</v>
      </c>
      <c r="D2667" s="395" t="s">
        <v>0</v>
      </c>
      <c r="E2667" s="407">
        <f t="shared" si="82"/>
        <v>91.78</v>
      </c>
      <c r="F2667">
        <f t="shared" si="83"/>
        <v>103795</v>
      </c>
      <c r="H2667" s="680">
        <v>91.78</v>
      </c>
      <c r="I2667" s="680">
        <v>95.55</v>
      </c>
    </row>
    <row r="2668" spans="2:9" ht="30">
      <c r="B2668" s="396">
        <v>103796</v>
      </c>
      <c r="C2668" s="401" t="s">
        <v>7531</v>
      </c>
      <c r="D2668" s="396" t="s">
        <v>0</v>
      </c>
      <c r="E2668" s="405">
        <f t="shared" si="82"/>
        <v>76.95</v>
      </c>
      <c r="F2668">
        <f t="shared" si="83"/>
        <v>103796</v>
      </c>
      <c r="H2668" s="679">
        <v>76.95</v>
      </c>
      <c r="I2668" s="679">
        <v>78.27</v>
      </c>
    </row>
    <row r="2669" spans="2:9">
      <c r="B2669" s="395">
        <v>103797</v>
      </c>
      <c r="C2669" s="406" t="s">
        <v>7532</v>
      </c>
      <c r="D2669" s="395" t="s">
        <v>21</v>
      </c>
      <c r="E2669" s="407">
        <f t="shared" si="82"/>
        <v>17.829999999999998</v>
      </c>
      <c r="F2669">
        <f t="shared" si="83"/>
        <v>103797</v>
      </c>
      <c r="H2669" s="680">
        <v>17.829999999999998</v>
      </c>
      <c r="I2669" s="680">
        <v>18.489999999999998</v>
      </c>
    </row>
    <row r="2670" spans="2:9" ht="30">
      <c r="B2670" s="396">
        <v>103798</v>
      </c>
      <c r="C2670" s="401" t="s">
        <v>7533</v>
      </c>
      <c r="D2670" s="396" t="s">
        <v>20</v>
      </c>
      <c r="E2670" s="405">
        <f t="shared" si="82"/>
        <v>871.26</v>
      </c>
      <c r="F2670">
        <f t="shared" si="83"/>
        <v>103798</v>
      </c>
      <c r="H2670" s="679">
        <v>871.26</v>
      </c>
      <c r="I2670" s="679">
        <v>876.83</v>
      </c>
    </row>
    <row r="2671" spans="2:9" ht="45">
      <c r="B2671" s="395">
        <v>103799</v>
      </c>
      <c r="C2671" s="406" t="s">
        <v>7534</v>
      </c>
      <c r="D2671" s="395" t="s">
        <v>20</v>
      </c>
      <c r="E2671" s="407">
        <f t="shared" si="82"/>
        <v>427.77</v>
      </c>
      <c r="F2671">
        <f t="shared" si="83"/>
        <v>103799</v>
      </c>
      <c r="H2671" s="680">
        <v>427.77</v>
      </c>
      <c r="I2671" s="680">
        <v>441.77</v>
      </c>
    </row>
    <row r="2672" spans="2:9" ht="30">
      <c r="B2672" s="396">
        <v>103800</v>
      </c>
      <c r="C2672" s="401" t="s">
        <v>7535</v>
      </c>
      <c r="D2672" s="396" t="s">
        <v>20</v>
      </c>
      <c r="E2672" s="405">
        <f t="shared" si="82"/>
        <v>519.55999999999995</v>
      </c>
      <c r="F2672">
        <f t="shared" si="83"/>
        <v>103800</v>
      </c>
      <c r="H2672" s="679">
        <v>519.55999999999995</v>
      </c>
      <c r="I2672" s="679">
        <v>537.97</v>
      </c>
    </row>
    <row r="2673" spans="2:9" ht="30">
      <c r="B2673" s="395">
        <v>103801</v>
      </c>
      <c r="C2673" s="406" t="s">
        <v>7536</v>
      </c>
      <c r="D2673" s="395" t="s">
        <v>20</v>
      </c>
      <c r="E2673" s="407">
        <f t="shared" si="82"/>
        <v>681.63</v>
      </c>
      <c r="F2673">
        <f t="shared" si="83"/>
        <v>103801</v>
      </c>
      <c r="H2673" s="680">
        <v>681.63</v>
      </c>
      <c r="I2673" s="680">
        <v>699.79</v>
      </c>
    </row>
    <row r="2674" spans="2:9" ht="45">
      <c r="B2674" s="396">
        <v>103925</v>
      </c>
      <c r="C2674" s="401" t="s">
        <v>7537</v>
      </c>
      <c r="D2674" s="396" t="s">
        <v>20</v>
      </c>
      <c r="E2674" s="405">
        <f t="shared" si="82"/>
        <v>2004.04</v>
      </c>
      <c r="F2674">
        <f t="shared" si="83"/>
        <v>103925</v>
      </c>
      <c r="H2674" s="679">
        <v>2004.04</v>
      </c>
      <c r="I2674" s="679">
        <v>2053.9299999999998</v>
      </c>
    </row>
    <row r="2675" spans="2:9" ht="45">
      <c r="B2675" s="395">
        <v>103926</v>
      </c>
      <c r="C2675" s="406" t="s">
        <v>7538</v>
      </c>
      <c r="D2675" s="395" t="s">
        <v>20</v>
      </c>
      <c r="E2675" s="407">
        <f t="shared" si="82"/>
        <v>1651.9</v>
      </c>
      <c r="F2675">
        <f t="shared" si="83"/>
        <v>103926</v>
      </c>
      <c r="H2675" s="680">
        <v>1651.9</v>
      </c>
      <c r="I2675" s="680">
        <v>1687.9</v>
      </c>
    </row>
    <row r="2676" spans="2:9" ht="30">
      <c r="B2676" s="396">
        <v>103928</v>
      </c>
      <c r="C2676" s="401" t="s">
        <v>7539</v>
      </c>
      <c r="D2676" s="396" t="s">
        <v>20</v>
      </c>
      <c r="E2676" s="405">
        <f t="shared" si="82"/>
        <v>519.55999999999995</v>
      </c>
      <c r="F2676">
        <f t="shared" si="83"/>
        <v>103928</v>
      </c>
      <c r="H2676" s="679">
        <v>519.55999999999995</v>
      </c>
      <c r="I2676" s="679">
        <v>537.97</v>
      </c>
    </row>
    <row r="2677" spans="2:9" ht="30">
      <c r="B2677" s="395">
        <v>103929</v>
      </c>
      <c r="C2677" s="406" t="s">
        <v>7540</v>
      </c>
      <c r="D2677" s="395" t="s">
        <v>20</v>
      </c>
      <c r="E2677" s="407">
        <f t="shared" si="82"/>
        <v>1451.21</v>
      </c>
      <c r="F2677">
        <f t="shared" si="83"/>
        <v>103929</v>
      </c>
      <c r="H2677" s="680">
        <v>1451.21</v>
      </c>
      <c r="I2677" s="680">
        <v>1482.57</v>
      </c>
    </row>
    <row r="2678" spans="2:9" ht="30">
      <c r="B2678" s="396">
        <v>103930</v>
      </c>
      <c r="C2678" s="401" t="s">
        <v>7541</v>
      </c>
      <c r="D2678" s="396" t="s">
        <v>20</v>
      </c>
      <c r="E2678" s="405">
        <f t="shared" si="82"/>
        <v>862.16</v>
      </c>
      <c r="F2678">
        <f t="shared" si="83"/>
        <v>103930</v>
      </c>
      <c r="H2678" s="679">
        <v>862.16</v>
      </c>
      <c r="I2678" s="679">
        <v>883.53</v>
      </c>
    </row>
    <row r="2679" spans="2:9" ht="30">
      <c r="B2679" s="395">
        <v>103931</v>
      </c>
      <c r="C2679" s="406" t="s">
        <v>7542</v>
      </c>
      <c r="D2679" s="395" t="s">
        <v>20</v>
      </c>
      <c r="E2679" s="407">
        <f t="shared" si="82"/>
        <v>604.82000000000005</v>
      </c>
      <c r="F2679">
        <f t="shared" si="83"/>
        <v>103931</v>
      </c>
      <c r="H2679" s="680">
        <v>604.82000000000005</v>
      </c>
      <c r="I2679" s="680">
        <v>621.77</v>
      </c>
    </row>
    <row r="2680" spans="2:9" ht="30">
      <c r="B2680" s="396">
        <v>103932</v>
      </c>
      <c r="C2680" s="401" t="s">
        <v>7543</v>
      </c>
      <c r="D2680" s="396" t="s">
        <v>20</v>
      </c>
      <c r="E2680" s="405">
        <f t="shared" si="82"/>
        <v>567.1</v>
      </c>
      <c r="F2680">
        <f t="shared" si="83"/>
        <v>103932</v>
      </c>
      <c r="H2680" s="679">
        <v>567.1</v>
      </c>
      <c r="I2680" s="679">
        <v>583.44000000000005</v>
      </c>
    </row>
    <row r="2681" spans="2:9" ht="30">
      <c r="B2681" s="395">
        <v>103933</v>
      </c>
      <c r="C2681" s="406" t="s">
        <v>7544</v>
      </c>
      <c r="D2681" s="395" t="s">
        <v>20</v>
      </c>
      <c r="E2681" s="407">
        <f t="shared" si="82"/>
        <v>1932.62</v>
      </c>
      <c r="F2681">
        <f t="shared" si="83"/>
        <v>103933</v>
      </c>
      <c r="H2681" s="680">
        <v>1932.62</v>
      </c>
      <c r="I2681" s="680">
        <v>1965.36</v>
      </c>
    </row>
    <row r="2682" spans="2:9" ht="30">
      <c r="B2682" s="396">
        <v>104466</v>
      </c>
      <c r="C2682" s="401" t="s">
        <v>7545</v>
      </c>
      <c r="D2682" s="396" t="s">
        <v>21</v>
      </c>
      <c r="E2682" s="405">
        <f t="shared" si="82"/>
        <v>30.96</v>
      </c>
      <c r="F2682">
        <f t="shared" si="83"/>
        <v>104466</v>
      </c>
      <c r="H2682" s="679">
        <v>30.96</v>
      </c>
      <c r="I2682" s="679">
        <v>31.24</v>
      </c>
    </row>
    <row r="2683" spans="2:9" ht="30">
      <c r="B2683" s="395">
        <v>104467</v>
      </c>
      <c r="C2683" s="406" t="s">
        <v>7546</v>
      </c>
      <c r="D2683" s="395" t="s">
        <v>21</v>
      </c>
      <c r="E2683" s="407">
        <f t="shared" si="82"/>
        <v>41.17</v>
      </c>
      <c r="F2683">
        <f t="shared" si="83"/>
        <v>104467</v>
      </c>
      <c r="H2683" s="680">
        <v>41.17</v>
      </c>
      <c r="I2683" s="680">
        <v>41.63</v>
      </c>
    </row>
    <row r="2684" spans="2:9" ht="30">
      <c r="B2684" s="396">
        <v>104468</v>
      </c>
      <c r="C2684" s="401" t="s">
        <v>7547</v>
      </c>
      <c r="D2684" s="396" t="s">
        <v>21</v>
      </c>
      <c r="E2684" s="405">
        <f t="shared" si="82"/>
        <v>53.66</v>
      </c>
      <c r="F2684">
        <f t="shared" si="83"/>
        <v>104468</v>
      </c>
      <c r="H2684" s="679">
        <v>53.66</v>
      </c>
      <c r="I2684" s="679">
        <v>54.3</v>
      </c>
    </row>
    <row r="2685" spans="2:9" ht="30">
      <c r="B2685" s="395">
        <v>104469</v>
      </c>
      <c r="C2685" s="406" t="s">
        <v>7548</v>
      </c>
      <c r="D2685" s="395" t="s">
        <v>21</v>
      </c>
      <c r="E2685" s="407">
        <f t="shared" si="82"/>
        <v>57.52</v>
      </c>
      <c r="F2685">
        <f t="shared" si="83"/>
        <v>104469</v>
      </c>
      <c r="H2685" s="680">
        <v>57.52</v>
      </c>
      <c r="I2685" s="680">
        <v>58.17</v>
      </c>
    </row>
    <row r="2686" spans="2:9" ht="30">
      <c r="B2686" s="396">
        <v>104470</v>
      </c>
      <c r="C2686" s="401" t="s">
        <v>7549</v>
      </c>
      <c r="D2686" s="396" t="s">
        <v>21</v>
      </c>
      <c r="E2686" s="405">
        <f t="shared" si="82"/>
        <v>31.73</v>
      </c>
      <c r="F2686">
        <f t="shared" si="83"/>
        <v>104470</v>
      </c>
      <c r="H2686" s="679">
        <v>31.73</v>
      </c>
      <c r="I2686" s="679">
        <v>32.08</v>
      </c>
    </row>
    <row r="2687" spans="2:9" ht="30">
      <c r="B2687" s="395">
        <v>104471</v>
      </c>
      <c r="C2687" s="406" t="s">
        <v>7550</v>
      </c>
      <c r="D2687" s="395" t="s">
        <v>21</v>
      </c>
      <c r="E2687" s="407">
        <f t="shared" si="82"/>
        <v>28.39</v>
      </c>
      <c r="F2687">
        <f t="shared" si="83"/>
        <v>104471</v>
      </c>
      <c r="H2687" s="680">
        <v>28.39</v>
      </c>
      <c r="I2687" s="680">
        <v>28.71</v>
      </c>
    </row>
    <row r="2688" spans="2:9" ht="30">
      <c r="B2688" s="396">
        <v>104472</v>
      </c>
      <c r="C2688" s="401" t="s">
        <v>7551</v>
      </c>
      <c r="D2688" s="396" t="s">
        <v>21</v>
      </c>
      <c r="E2688" s="405">
        <f t="shared" si="82"/>
        <v>42.08</v>
      </c>
      <c r="F2688">
        <f t="shared" si="83"/>
        <v>104472</v>
      </c>
      <c r="H2688" s="679">
        <v>42.08</v>
      </c>
      <c r="I2688" s="679">
        <v>42.52</v>
      </c>
    </row>
    <row r="2689" spans="2:9" ht="30">
      <c r="B2689" s="395">
        <v>104483</v>
      </c>
      <c r="C2689" s="406" t="s">
        <v>7552</v>
      </c>
      <c r="D2689" s="395" t="s">
        <v>20</v>
      </c>
      <c r="E2689" s="407">
        <f t="shared" si="82"/>
        <v>2708.42</v>
      </c>
      <c r="F2689">
        <f t="shared" si="83"/>
        <v>104483</v>
      </c>
      <c r="H2689" s="680">
        <v>2708.42</v>
      </c>
      <c r="I2689" s="680">
        <v>2756.34</v>
      </c>
    </row>
    <row r="2690" spans="2:9" ht="30">
      <c r="B2690" s="396">
        <v>104484</v>
      </c>
      <c r="C2690" s="401" t="s">
        <v>7553</v>
      </c>
      <c r="D2690" s="396" t="s">
        <v>20</v>
      </c>
      <c r="E2690" s="405">
        <f t="shared" si="82"/>
        <v>4365.1099999999997</v>
      </c>
      <c r="F2690">
        <f t="shared" si="83"/>
        <v>104484</v>
      </c>
      <c r="H2690" s="679">
        <v>4365.1099999999997</v>
      </c>
      <c r="I2690" s="679">
        <v>4495.72</v>
      </c>
    </row>
    <row r="2691" spans="2:9" ht="30">
      <c r="B2691" s="395">
        <v>104485</v>
      </c>
      <c r="C2691" s="406" t="s">
        <v>7554</v>
      </c>
      <c r="D2691" s="395" t="s">
        <v>20</v>
      </c>
      <c r="E2691" s="407">
        <f t="shared" ref="E2691:E2754" si="84">IF($K$2=$H$1,H2691,I2691)</f>
        <v>3530.21</v>
      </c>
      <c r="F2691">
        <f t="shared" ref="F2691:F2754" si="85">IF(LEN($B2691)=7,CONCATENATE(MID($B2691,1,6),"00",RIGHT($B2691,1)),IF(LEN($B2691)=8,CONCATENATE(MID($B2691,1,6),"0",RIGHT($B2691,2)),$B2691))</f>
        <v>104485</v>
      </c>
      <c r="H2691" s="680">
        <v>3530.21</v>
      </c>
      <c r="I2691" s="680">
        <v>3614.33</v>
      </c>
    </row>
    <row r="2692" spans="2:9" ht="30">
      <c r="B2692" s="396">
        <v>104486</v>
      </c>
      <c r="C2692" s="401" t="s">
        <v>7555</v>
      </c>
      <c r="D2692" s="396" t="s">
        <v>20</v>
      </c>
      <c r="E2692" s="405">
        <f t="shared" si="84"/>
        <v>3770.22</v>
      </c>
      <c r="F2692">
        <f t="shared" si="85"/>
        <v>104486</v>
      </c>
      <c r="H2692" s="679">
        <v>3770.22</v>
      </c>
      <c r="I2692" s="679">
        <v>3866.91</v>
      </c>
    </row>
    <row r="2693" spans="2:9" ht="30">
      <c r="B2693" s="395">
        <v>104487</v>
      </c>
      <c r="C2693" s="406" t="s">
        <v>7556</v>
      </c>
      <c r="D2693" s="395" t="s">
        <v>20</v>
      </c>
      <c r="E2693" s="407">
        <f t="shared" si="84"/>
        <v>3117.31</v>
      </c>
      <c r="F2693">
        <f t="shared" si="85"/>
        <v>104487</v>
      </c>
      <c r="H2693" s="680">
        <v>3117.31</v>
      </c>
      <c r="I2693" s="680">
        <v>3183.31</v>
      </c>
    </row>
    <row r="2694" spans="2:9" ht="30">
      <c r="B2694" s="396">
        <v>104488</v>
      </c>
      <c r="C2694" s="401" t="s">
        <v>7557</v>
      </c>
      <c r="D2694" s="396" t="s">
        <v>20</v>
      </c>
      <c r="E2694" s="405">
        <f t="shared" si="84"/>
        <v>3100.44</v>
      </c>
      <c r="F2694">
        <f t="shared" si="85"/>
        <v>104488</v>
      </c>
      <c r="H2694" s="679">
        <v>3100.44</v>
      </c>
      <c r="I2694" s="679">
        <v>3151.86</v>
      </c>
    </row>
    <row r="2695" spans="2:9">
      <c r="B2695" s="395">
        <v>104489</v>
      </c>
      <c r="C2695" s="406" t="s">
        <v>7558</v>
      </c>
      <c r="D2695" s="395" t="s">
        <v>20</v>
      </c>
      <c r="E2695" s="407">
        <f t="shared" si="84"/>
        <v>4456.8900000000003</v>
      </c>
      <c r="F2695">
        <f t="shared" si="85"/>
        <v>104489</v>
      </c>
      <c r="H2695" s="680">
        <v>4456.8900000000003</v>
      </c>
      <c r="I2695" s="680">
        <v>4598.57</v>
      </c>
    </row>
    <row r="2696" spans="2:9" ht="30">
      <c r="B2696" s="396">
        <v>104490</v>
      </c>
      <c r="C2696" s="401" t="s">
        <v>7559</v>
      </c>
      <c r="D2696" s="396" t="s">
        <v>20</v>
      </c>
      <c r="E2696" s="405">
        <f t="shared" si="84"/>
        <v>2979.95</v>
      </c>
      <c r="F2696">
        <f t="shared" si="85"/>
        <v>104490</v>
      </c>
      <c r="H2696" s="679">
        <v>2979.95</v>
      </c>
      <c r="I2696" s="679">
        <v>3029.64</v>
      </c>
    </row>
    <row r="2697" spans="2:9">
      <c r="B2697" s="395">
        <v>98560</v>
      </c>
      <c r="C2697" s="406" t="s">
        <v>2798</v>
      </c>
      <c r="D2697" s="395" t="s">
        <v>0</v>
      </c>
      <c r="E2697" s="407">
        <f t="shared" si="84"/>
        <v>46.13</v>
      </c>
      <c r="F2697">
        <f t="shared" si="85"/>
        <v>98560</v>
      </c>
      <c r="H2697" s="680">
        <v>46.13</v>
      </c>
      <c r="I2697" s="680">
        <v>49.13</v>
      </c>
    </row>
    <row r="2698" spans="2:9">
      <c r="B2698" s="396">
        <v>98561</v>
      </c>
      <c r="C2698" s="401" t="s">
        <v>2799</v>
      </c>
      <c r="D2698" s="396" t="s">
        <v>0</v>
      </c>
      <c r="E2698" s="405">
        <f t="shared" si="84"/>
        <v>39.880000000000003</v>
      </c>
      <c r="F2698">
        <f t="shared" si="85"/>
        <v>98561</v>
      </c>
      <c r="H2698" s="679">
        <v>39.880000000000003</v>
      </c>
      <c r="I2698" s="679">
        <v>42.61</v>
      </c>
    </row>
    <row r="2699" spans="2:9" ht="30">
      <c r="B2699" s="395">
        <v>98562</v>
      </c>
      <c r="C2699" s="406" t="s">
        <v>2800</v>
      </c>
      <c r="D2699" s="395" t="s">
        <v>0</v>
      </c>
      <c r="E2699" s="407">
        <f t="shared" si="84"/>
        <v>42.27</v>
      </c>
      <c r="F2699">
        <f t="shared" si="85"/>
        <v>98562</v>
      </c>
      <c r="H2699" s="680">
        <v>42.27</v>
      </c>
      <c r="I2699" s="680">
        <v>44.57</v>
      </c>
    </row>
    <row r="2700" spans="2:9">
      <c r="B2700" s="396">
        <v>98555</v>
      </c>
      <c r="C2700" s="401" t="s">
        <v>3046</v>
      </c>
      <c r="D2700" s="396" t="s">
        <v>0</v>
      </c>
      <c r="E2700" s="405">
        <f t="shared" si="84"/>
        <v>24.8</v>
      </c>
      <c r="F2700">
        <f t="shared" si="85"/>
        <v>98555</v>
      </c>
      <c r="H2700" s="679">
        <v>24.8</v>
      </c>
      <c r="I2700" s="679">
        <v>26.2</v>
      </c>
    </row>
    <row r="2701" spans="2:9" ht="30">
      <c r="B2701" s="395">
        <v>98556</v>
      </c>
      <c r="C2701" s="406" t="s">
        <v>3047</v>
      </c>
      <c r="D2701" s="395" t="s">
        <v>0</v>
      </c>
      <c r="E2701" s="407">
        <f t="shared" si="84"/>
        <v>47.46</v>
      </c>
      <c r="F2701">
        <f t="shared" si="85"/>
        <v>98556</v>
      </c>
      <c r="H2701" s="680">
        <v>47.46</v>
      </c>
      <c r="I2701" s="680">
        <v>49.77</v>
      </c>
    </row>
    <row r="2702" spans="2:9" ht="30">
      <c r="B2702" s="396">
        <v>98558</v>
      </c>
      <c r="C2702" s="401" t="s">
        <v>3048</v>
      </c>
      <c r="D2702" s="396" t="s">
        <v>23</v>
      </c>
      <c r="E2702" s="405">
        <f t="shared" si="84"/>
        <v>7.45</v>
      </c>
      <c r="F2702">
        <f t="shared" si="85"/>
        <v>98558</v>
      </c>
      <c r="H2702" s="679">
        <v>7.45</v>
      </c>
      <c r="I2702" s="679">
        <v>7.76</v>
      </c>
    </row>
    <row r="2703" spans="2:9">
      <c r="B2703" s="395">
        <v>98559</v>
      </c>
      <c r="C2703" s="406" t="s">
        <v>2801</v>
      </c>
      <c r="D2703" s="395" t="s">
        <v>22</v>
      </c>
      <c r="E2703" s="407">
        <f t="shared" si="84"/>
        <v>4.51</v>
      </c>
      <c r="F2703">
        <f t="shared" si="85"/>
        <v>98559</v>
      </c>
      <c r="H2703" s="680">
        <v>4.51</v>
      </c>
      <c r="I2703" s="680">
        <v>4.67</v>
      </c>
    </row>
    <row r="2704" spans="2:9" ht="30">
      <c r="B2704" s="396">
        <v>98546</v>
      </c>
      <c r="C2704" s="401" t="s">
        <v>2802</v>
      </c>
      <c r="D2704" s="396" t="s">
        <v>0</v>
      </c>
      <c r="E2704" s="405">
        <f t="shared" si="84"/>
        <v>108.22</v>
      </c>
      <c r="F2704">
        <f t="shared" si="85"/>
        <v>98546</v>
      </c>
      <c r="H2704" s="679">
        <v>108.22</v>
      </c>
      <c r="I2704" s="679">
        <v>110.69</v>
      </c>
    </row>
    <row r="2705" spans="2:9" ht="30">
      <c r="B2705" s="395">
        <v>98547</v>
      </c>
      <c r="C2705" s="406" t="s">
        <v>2803</v>
      </c>
      <c r="D2705" s="395" t="s">
        <v>0</v>
      </c>
      <c r="E2705" s="407">
        <f t="shared" si="84"/>
        <v>203.64</v>
      </c>
      <c r="F2705">
        <f t="shared" si="85"/>
        <v>98547</v>
      </c>
      <c r="H2705" s="680">
        <v>203.64</v>
      </c>
      <c r="I2705" s="680">
        <v>207.24</v>
      </c>
    </row>
    <row r="2706" spans="2:9">
      <c r="B2706" s="396">
        <v>98553</v>
      </c>
      <c r="C2706" s="401" t="s">
        <v>3998</v>
      </c>
      <c r="D2706" s="396" t="s">
        <v>0</v>
      </c>
      <c r="E2706" s="405">
        <f t="shared" si="84"/>
        <v>150.74</v>
      </c>
      <c r="F2706">
        <f t="shared" si="85"/>
        <v>98553</v>
      </c>
      <c r="H2706" s="679">
        <v>150.74</v>
      </c>
      <c r="I2706" s="679">
        <v>151.97999999999999</v>
      </c>
    </row>
    <row r="2707" spans="2:9">
      <c r="B2707" s="395">
        <v>98554</v>
      </c>
      <c r="C2707" s="406" t="s">
        <v>3999</v>
      </c>
      <c r="D2707" s="395" t="s">
        <v>0</v>
      </c>
      <c r="E2707" s="407">
        <f t="shared" si="84"/>
        <v>45.98</v>
      </c>
      <c r="F2707">
        <f t="shared" si="85"/>
        <v>98554</v>
      </c>
      <c r="H2707" s="680">
        <v>45.98</v>
      </c>
      <c r="I2707" s="680">
        <v>47.5</v>
      </c>
    </row>
    <row r="2708" spans="2:9">
      <c r="B2708" s="396">
        <v>98557</v>
      </c>
      <c r="C2708" s="401" t="s">
        <v>2804</v>
      </c>
      <c r="D2708" s="396" t="s">
        <v>0</v>
      </c>
      <c r="E2708" s="405">
        <f t="shared" si="84"/>
        <v>74.3</v>
      </c>
      <c r="F2708">
        <f t="shared" si="85"/>
        <v>98557</v>
      </c>
      <c r="H2708" s="679">
        <v>74.3</v>
      </c>
      <c r="I2708" s="679">
        <v>75.400000000000006</v>
      </c>
    </row>
    <row r="2709" spans="2:9">
      <c r="B2709" s="395">
        <v>98563</v>
      </c>
      <c r="C2709" s="406" t="s">
        <v>2805</v>
      </c>
      <c r="D2709" s="395" t="s">
        <v>0</v>
      </c>
      <c r="E2709" s="407">
        <f t="shared" si="84"/>
        <v>35.06</v>
      </c>
      <c r="F2709">
        <f t="shared" si="85"/>
        <v>98563</v>
      </c>
      <c r="H2709" s="680">
        <v>35.06</v>
      </c>
      <c r="I2709" s="680">
        <v>36.799999999999997</v>
      </c>
    </row>
    <row r="2710" spans="2:9">
      <c r="B2710" s="396">
        <v>98564</v>
      </c>
      <c r="C2710" s="401" t="s">
        <v>2806</v>
      </c>
      <c r="D2710" s="396" t="s">
        <v>0</v>
      </c>
      <c r="E2710" s="405">
        <f t="shared" si="84"/>
        <v>54.22</v>
      </c>
      <c r="F2710">
        <f t="shared" si="85"/>
        <v>98564</v>
      </c>
      <c r="H2710" s="679">
        <v>54.22</v>
      </c>
      <c r="I2710" s="679">
        <v>56.11</v>
      </c>
    </row>
    <row r="2711" spans="2:9">
      <c r="B2711" s="395">
        <v>98565</v>
      </c>
      <c r="C2711" s="406" t="s">
        <v>2807</v>
      </c>
      <c r="D2711" s="395" t="s">
        <v>0</v>
      </c>
      <c r="E2711" s="407">
        <f t="shared" si="84"/>
        <v>49.94</v>
      </c>
      <c r="F2711">
        <f t="shared" si="85"/>
        <v>98565</v>
      </c>
      <c r="H2711" s="680">
        <v>49.94</v>
      </c>
      <c r="I2711" s="680">
        <v>52.61</v>
      </c>
    </row>
    <row r="2712" spans="2:9">
      <c r="B2712" s="396">
        <v>98566</v>
      </c>
      <c r="C2712" s="401" t="s">
        <v>2808</v>
      </c>
      <c r="D2712" s="396" t="s">
        <v>0</v>
      </c>
      <c r="E2712" s="405">
        <f t="shared" si="84"/>
        <v>69.11</v>
      </c>
      <c r="F2712">
        <f t="shared" si="85"/>
        <v>98566</v>
      </c>
      <c r="H2712" s="679">
        <v>69.11</v>
      </c>
      <c r="I2712" s="679">
        <v>71.900000000000006</v>
      </c>
    </row>
    <row r="2713" spans="2:9">
      <c r="B2713" s="395">
        <v>98567</v>
      </c>
      <c r="C2713" s="406" t="s">
        <v>2809</v>
      </c>
      <c r="D2713" s="395" t="s">
        <v>0</v>
      </c>
      <c r="E2713" s="407">
        <f t="shared" si="84"/>
        <v>63.98</v>
      </c>
      <c r="F2713">
        <f t="shared" si="85"/>
        <v>98567</v>
      </c>
      <c r="H2713" s="680">
        <v>63.98</v>
      </c>
      <c r="I2713" s="680">
        <v>67.52</v>
      </c>
    </row>
    <row r="2714" spans="2:9">
      <c r="B2714" s="396">
        <v>98568</v>
      </c>
      <c r="C2714" s="401" t="s">
        <v>2810</v>
      </c>
      <c r="D2714" s="396" t="s">
        <v>0</v>
      </c>
      <c r="E2714" s="405">
        <f t="shared" si="84"/>
        <v>83.12</v>
      </c>
      <c r="F2714">
        <f t="shared" si="85"/>
        <v>98568</v>
      </c>
      <c r="H2714" s="679">
        <v>83.12</v>
      </c>
      <c r="I2714" s="679">
        <v>86.79</v>
      </c>
    </row>
    <row r="2715" spans="2:9">
      <c r="B2715" s="395">
        <v>98569</v>
      </c>
      <c r="C2715" s="406" t="s">
        <v>2811</v>
      </c>
      <c r="D2715" s="395" t="s">
        <v>0</v>
      </c>
      <c r="E2715" s="407">
        <f t="shared" si="84"/>
        <v>78.84</v>
      </c>
      <c r="F2715">
        <f t="shared" si="85"/>
        <v>98569</v>
      </c>
      <c r="H2715" s="680">
        <v>78.84</v>
      </c>
      <c r="I2715" s="680">
        <v>83.29</v>
      </c>
    </row>
    <row r="2716" spans="2:9">
      <c r="B2716" s="396">
        <v>98570</v>
      </c>
      <c r="C2716" s="401" t="s">
        <v>2812</v>
      </c>
      <c r="D2716" s="396" t="s">
        <v>0</v>
      </c>
      <c r="E2716" s="405">
        <f t="shared" si="84"/>
        <v>98.03</v>
      </c>
      <c r="F2716">
        <f t="shared" si="85"/>
        <v>98570</v>
      </c>
      <c r="H2716" s="679">
        <v>98.03</v>
      </c>
      <c r="I2716" s="679">
        <v>102.61</v>
      </c>
    </row>
    <row r="2717" spans="2:9">
      <c r="B2717" s="395">
        <v>98571</v>
      </c>
      <c r="C2717" s="406" t="s">
        <v>2813</v>
      </c>
      <c r="D2717" s="395" t="s">
        <v>0</v>
      </c>
      <c r="E2717" s="407">
        <f t="shared" si="84"/>
        <v>47.64</v>
      </c>
      <c r="F2717">
        <f t="shared" si="85"/>
        <v>98571</v>
      </c>
      <c r="H2717" s="680">
        <v>47.64</v>
      </c>
      <c r="I2717" s="680">
        <v>49.47</v>
      </c>
    </row>
    <row r="2718" spans="2:9">
      <c r="B2718" s="396">
        <v>98572</v>
      </c>
      <c r="C2718" s="401" t="s">
        <v>2814</v>
      </c>
      <c r="D2718" s="396" t="s">
        <v>0</v>
      </c>
      <c r="E2718" s="405">
        <f t="shared" si="84"/>
        <v>58.51</v>
      </c>
      <c r="F2718">
        <f t="shared" si="85"/>
        <v>98572</v>
      </c>
      <c r="H2718" s="679">
        <v>58.51</v>
      </c>
      <c r="I2718" s="679">
        <v>60.83</v>
      </c>
    </row>
    <row r="2719" spans="2:9">
      <c r="B2719" s="395">
        <v>98573</v>
      </c>
      <c r="C2719" s="406" t="s">
        <v>2815</v>
      </c>
      <c r="D2719" s="395" t="s">
        <v>0</v>
      </c>
      <c r="E2719" s="407">
        <f t="shared" si="84"/>
        <v>77.34</v>
      </c>
      <c r="F2719">
        <f t="shared" si="85"/>
        <v>98573</v>
      </c>
      <c r="H2719" s="680">
        <v>77.34</v>
      </c>
      <c r="I2719" s="680">
        <v>79.75</v>
      </c>
    </row>
    <row r="2720" spans="2:9" ht="30">
      <c r="B2720" s="396">
        <v>91831</v>
      </c>
      <c r="C2720" s="401" t="s">
        <v>1421</v>
      </c>
      <c r="D2720" s="396" t="s">
        <v>22</v>
      </c>
      <c r="E2720" s="405">
        <f t="shared" si="84"/>
        <v>8.1300000000000008</v>
      </c>
      <c r="F2720">
        <f t="shared" si="85"/>
        <v>91831</v>
      </c>
      <c r="H2720" s="679">
        <v>8.1300000000000008</v>
      </c>
      <c r="I2720" s="679">
        <v>8.59</v>
      </c>
    </row>
    <row r="2721" spans="2:9" ht="30">
      <c r="B2721" s="395">
        <v>91833</v>
      </c>
      <c r="C2721" s="406" t="s">
        <v>3003</v>
      </c>
      <c r="D2721" s="395" t="s">
        <v>22</v>
      </c>
      <c r="E2721" s="407">
        <f t="shared" si="84"/>
        <v>8.76</v>
      </c>
      <c r="F2721">
        <f t="shared" si="85"/>
        <v>91833</v>
      </c>
      <c r="H2721" s="680">
        <v>8.76</v>
      </c>
      <c r="I2721" s="680">
        <v>9.2200000000000006</v>
      </c>
    </row>
    <row r="2722" spans="2:9" ht="30">
      <c r="B2722" s="396">
        <v>91834</v>
      </c>
      <c r="C2722" s="401" t="s">
        <v>1422</v>
      </c>
      <c r="D2722" s="396" t="s">
        <v>22</v>
      </c>
      <c r="E2722" s="405">
        <f t="shared" si="84"/>
        <v>8.99</v>
      </c>
      <c r="F2722">
        <f t="shared" si="85"/>
        <v>91834</v>
      </c>
      <c r="H2722" s="679">
        <v>8.99</v>
      </c>
      <c r="I2722" s="679">
        <v>9.5299999999999994</v>
      </c>
    </row>
    <row r="2723" spans="2:9" ht="30">
      <c r="B2723" s="395">
        <v>91835</v>
      </c>
      <c r="C2723" s="406" t="s">
        <v>3004</v>
      </c>
      <c r="D2723" s="395" t="s">
        <v>22</v>
      </c>
      <c r="E2723" s="407">
        <f t="shared" si="84"/>
        <v>10.62</v>
      </c>
      <c r="F2723">
        <f t="shared" si="85"/>
        <v>91835</v>
      </c>
      <c r="H2723" s="680">
        <v>10.62</v>
      </c>
      <c r="I2723" s="680">
        <v>11.16</v>
      </c>
    </row>
    <row r="2724" spans="2:9" ht="30">
      <c r="B2724" s="396">
        <v>91836</v>
      </c>
      <c r="C2724" s="401" t="s">
        <v>1423</v>
      </c>
      <c r="D2724" s="396" t="s">
        <v>22</v>
      </c>
      <c r="E2724" s="405">
        <f t="shared" si="84"/>
        <v>12.04</v>
      </c>
      <c r="F2724">
        <f t="shared" si="85"/>
        <v>91836</v>
      </c>
      <c r="H2724" s="679">
        <v>12.04</v>
      </c>
      <c r="I2724" s="679">
        <v>12.65</v>
      </c>
    </row>
    <row r="2725" spans="2:9" ht="30">
      <c r="B2725" s="395">
        <v>91837</v>
      </c>
      <c r="C2725" s="406" t="s">
        <v>3005</v>
      </c>
      <c r="D2725" s="395" t="s">
        <v>22</v>
      </c>
      <c r="E2725" s="407">
        <f t="shared" si="84"/>
        <v>15.83</v>
      </c>
      <c r="F2725">
        <f t="shared" si="85"/>
        <v>91837</v>
      </c>
      <c r="H2725" s="680">
        <v>15.83</v>
      </c>
      <c r="I2725" s="680">
        <v>16.440000000000001</v>
      </c>
    </row>
    <row r="2726" spans="2:9" ht="30">
      <c r="B2726" s="396">
        <v>91839</v>
      </c>
      <c r="C2726" s="401" t="s">
        <v>3006</v>
      </c>
      <c r="D2726" s="396" t="s">
        <v>22</v>
      </c>
      <c r="E2726" s="405">
        <f t="shared" si="84"/>
        <v>10.029999999999999</v>
      </c>
      <c r="F2726">
        <f t="shared" si="85"/>
        <v>91839</v>
      </c>
      <c r="H2726" s="679">
        <v>10.029999999999999</v>
      </c>
      <c r="I2726" s="679">
        <v>10.64</v>
      </c>
    </row>
    <row r="2727" spans="2:9" ht="30">
      <c r="B2727" s="395">
        <v>91840</v>
      </c>
      <c r="C2727" s="406" t="s">
        <v>3007</v>
      </c>
      <c r="D2727" s="395" t="s">
        <v>22</v>
      </c>
      <c r="E2727" s="407">
        <f t="shared" si="84"/>
        <v>12.67</v>
      </c>
      <c r="F2727">
        <f t="shared" si="85"/>
        <v>91840</v>
      </c>
      <c r="H2727" s="680">
        <v>12.67</v>
      </c>
      <c r="I2727" s="680">
        <v>13.39</v>
      </c>
    </row>
    <row r="2728" spans="2:9" ht="30">
      <c r="B2728" s="396">
        <v>91841</v>
      </c>
      <c r="C2728" s="401" t="s">
        <v>3008</v>
      </c>
      <c r="D2728" s="396" t="s">
        <v>22</v>
      </c>
      <c r="E2728" s="405">
        <f t="shared" si="84"/>
        <v>11.91</v>
      </c>
      <c r="F2728">
        <f t="shared" si="85"/>
        <v>91841</v>
      </c>
      <c r="H2728" s="679">
        <v>11.91</v>
      </c>
      <c r="I2728" s="679">
        <v>12.63</v>
      </c>
    </row>
    <row r="2729" spans="2:9" ht="30">
      <c r="B2729" s="395">
        <v>91842</v>
      </c>
      <c r="C2729" s="406" t="s">
        <v>1424</v>
      </c>
      <c r="D2729" s="395" t="s">
        <v>22</v>
      </c>
      <c r="E2729" s="407">
        <f t="shared" si="84"/>
        <v>5.88</v>
      </c>
      <c r="F2729">
        <f t="shared" si="85"/>
        <v>91842</v>
      </c>
      <c r="H2729" s="680">
        <v>5.88</v>
      </c>
      <c r="I2729" s="680">
        <v>6.22</v>
      </c>
    </row>
    <row r="2730" spans="2:9" ht="30">
      <c r="B2730" s="396">
        <v>91843</v>
      </c>
      <c r="C2730" s="401" t="s">
        <v>3009</v>
      </c>
      <c r="D2730" s="396" t="s">
        <v>22</v>
      </c>
      <c r="E2730" s="405">
        <f t="shared" si="84"/>
        <v>6.51</v>
      </c>
      <c r="F2730">
        <f t="shared" si="85"/>
        <v>91843</v>
      </c>
      <c r="H2730" s="679">
        <v>6.51</v>
      </c>
      <c r="I2730" s="679">
        <v>6.85</v>
      </c>
    </row>
    <row r="2731" spans="2:9" ht="30">
      <c r="B2731" s="395">
        <v>91844</v>
      </c>
      <c r="C2731" s="406" t="s">
        <v>1425</v>
      </c>
      <c r="D2731" s="395" t="s">
        <v>22</v>
      </c>
      <c r="E2731" s="407">
        <f t="shared" si="84"/>
        <v>6.75</v>
      </c>
      <c r="F2731">
        <f t="shared" si="85"/>
        <v>91844</v>
      </c>
      <c r="H2731" s="680">
        <v>6.75</v>
      </c>
      <c r="I2731" s="680">
        <v>7.16</v>
      </c>
    </row>
    <row r="2732" spans="2:9" ht="30">
      <c r="B2732" s="396">
        <v>91845</v>
      </c>
      <c r="C2732" s="401" t="s">
        <v>3010</v>
      </c>
      <c r="D2732" s="396" t="s">
        <v>22</v>
      </c>
      <c r="E2732" s="405">
        <f t="shared" si="84"/>
        <v>8.3800000000000008</v>
      </c>
      <c r="F2732">
        <f t="shared" si="85"/>
        <v>91845</v>
      </c>
      <c r="H2732" s="679">
        <v>8.3800000000000008</v>
      </c>
      <c r="I2732" s="679">
        <v>8.7899999999999991</v>
      </c>
    </row>
    <row r="2733" spans="2:9" ht="30">
      <c r="B2733" s="395">
        <v>91846</v>
      </c>
      <c r="C2733" s="406" t="s">
        <v>1426</v>
      </c>
      <c r="D2733" s="395" t="s">
        <v>22</v>
      </c>
      <c r="E2733" s="407">
        <f t="shared" si="84"/>
        <v>9.7899999999999991</v>
      </c>
      <c r="F2733">
        <f t="shared" si="85"/>
        <v>91846</v>
      </c>
      <c r="H2733" s="680">
        <v>9.7899999999999991</v>
      </c>
      <c r="I2733" s="680">
        <v>10.29</v>
      </c>
    </row>
    <row r="2734" spans="2:9" ht="30">
      <c r="B2734" s="396">
        <v>91847</v>
      </c>
      <c r="C2734" s="401" t="s">
        <v>3011</v>
      </c>
      <c r="D2734" s="396" t="s">
        <v>22</v>
      </c>
      <c r="E2734" s="405">
        <f t="shared" si="84"/>
        <v>13.58</v>
      </c>
      <c r="F2734">
        <f t="shared" si="85"/>
        <v>91847</v>
      </c>
      <c r="H2734" s="679">
        <v>13.58</v>
      </c>
      <c r="I2734" s="679">
        <v>14.08</v>
      </c>
    </row>
    <row r="2735" spans="2:9" ht="30">
      <c r="B2735" s="395">
        <v>91849</v>
      </c>
      <c r="C2735" s="406" t="s">
        <v>3012</v>
      </c>
      <c r="D2735" s="395" t="s">
        <v>22</v>
      </c>
      <c r="E2735" s="407">
        <f t="shared" si="84"/>
        <v>7.78</v>
      </c>
      <c r="F2735">
        <f t="shared" si="85"/>
        <v>91849</v>
      </c>
      <c r="H2735" s="680">
        <v>7.78</v>
      </c>
      <c r="I2735" s="680">
        <v>8.2799999999999994</v>
      </c>
    </row>
    <row r="2736" spans="2:9" ht="30">
      <c r="B2736" s="396">
        <v>91850</v>
      </c>
      <c r="C2736" s="401" t="s">
        <v>3013</v>
      </c>
      <c r="D2736" s="396" t="s">
        <v>22</v>
      </c>
      <c r="E2736" s="405">
        <f t="shared" si="84"/>
        <v>10.47</v>
      </c>
      <c r="F2736">
        <f t="shared" si="85"/>
        <v>91850</v>
      </c>
      <c r="H2736" s="679">
        <v>10.47</v>
      </c>
      <c r="I2736" s="679">
        <v>11.09</v>
      </c>
    </row>
    <row r="2737" spans="2:9" ht="30">
      <c r="B2737" s="395">
        <v>91851</v>
      </c>
      <c r="C2737" s="406" t="s">
        <v>3014</v>
      </c>
      <c r="D2737" s="395" t="s">
        <v>22</v>
      </c>
      <c r="E2737" s="407">
        <f t="shared" si="84"/>
        <v>9.7100000000000009</v>
      </c>
      <c r="F2737">
        <f t="shared" si="85"/>
        <v>91851</v>
      </c>
      <c r="H2737" s="680">
        <v>9.7100000000000009</v>
      </c>
      <c r="I2737" s="680">
        <v>10.33</v>
      </c>
    </row>
    <row r="2738" spans="2:9" ht="30">
      <c r="B2738" s="396">
        <v>91852</v>
      </c>
      <c r="C2738" s="401" t="s">
        <v>1427</v>
      </c>
      <c r="D2738" s="396" t="s">
        <v>22</v>
      </c>
      <c r="E2738" s="405">
        <f t="shared" si="84"/>
        <v>7.99</v>
      </c>
      <c r="F2738">
        <f t="shared" si="85"/>
        <v>91852</v>
      </c>
      <c r="H2738" s="679">
        <v>7.99</v>
      </c>
      <c r="I2738" s="679">
        <v>8.6</v>
      </c>
    </row>
    <row r="2739" spans="2:9" ht="30">
      <c r="B2739" s="395">
        <v>91853</v>
      </c>
      <c r="C2739" s="406" t="s">
        <v>3015</v>
      </c>
      <c r="D2739" s="395" t="s">
        <v>22</v>
      </c>
      <c r="E2739" s="407">
        <f t="shared" si="84"/>
        <v>8.58</v>
      </c>
      <c r="F2739">
        <f t="shared" si="85"/>
        <v>91853</v>
      </c>
      <c r="H2739" s="680">
        <v>8.58</v>
      </c>
      <c r="I2739" s="680">
        <v>9.19</v>
      </c>
    </row>
    <row r="2740" spans="2:9" ht="30">
      <c r="B2740" s="396">
        <v>91854</v>
      </c>
      <c r="C2740" s="401" t="s">
        <v>1428</v>
      </c>
      <c r="D2740" s="396" t="s">
        <v>22</v>
      </c>
      <c r="E2740" s="405">
        <f t="shared" si="84"/>
        <v>8.83</v>
      </c>
      <c r="F2740">
        <f t="shared" si="85"/>
        <v>91854</v>
      </c>
      <c r="H2740" s="679">
        <v>8.83</v>
      </c>
      <c r="I2740" s="679">
        <v>9.51</v>
      </c>
    </row>
    <row r="2741" spans="2:9" ht="30">
      <c r="B2741" s="395">
        <v>91855</v>
      </c>
      <c r="C2741" s="406" t="s">
        <v>3016</v>
      </c>
      <c r="D2741" s="395" t="s">
        <v>22</v>
      </c>
      <c r="E2741" s="407">
        <f t="shared" si="84"/>
        <v>10.34</v>
      </c>
      <c r="F2741">
        <f t="shared" si="85"/>
        <v>91855</v>
      </c>
      <c r="H2741" s="680">
        <v>10.34</v>
      </c>
      <c r="I2741" s="680">
        <v>11.02</v>
      </c>
    </row>
    <row r="2742" spans="2:9" ht="30">
      <c r="B2742" s="396">
        <v>91856</v>
      </c>
      <c r="C2742" s="401" t="s">
        <v>1429</v>
      </c>
      <c r="D2742" s="396" t="s">
        <v>22</v>
      </c>
      <c r="E2742" s="405">
        <f t="shared" si="84"/>
        <v>11.71</v>
      </c>
      <c r="F2742">
        <f t="shared" si="85"/>
        <v>91856</v>
      </c>
      <c r="H2742" s="679">
        <v>11.71</v>
      </c>
      <c r="I2742" s="679">
        <v>12.48</v>
      </c>
    </row>
    <row r="2743" spans="2:9" ht="30">
      <c r="B2743" s="395">
        <v>91857</v>
      </c>
      <c r="C2743" s="406" t="s">
        <v>3017</v>
      </c>
      <c r="D2743" s="395" t="s">
        <v>22</v>
      </c>
      <c r="E2743" s="407">
        <f t="shared" si="84"/>
        <v>15.22</v>
      </c>
      <c r="F2743">
        <f t="shared" si="85"/>
        <v>91857</v>
      </c>
      <c r="H2743" s="680">
        <v>15.22</v>
      </c>
      <c r="I2743" s="680">
        <v>15.99</v>
      </c>
    </row>
    <row r="2744" spans="2:9" ht="30">
      <c r="B2744" s="396">
        <v>91859</v>
      </c>
      <c r="C2744" s="401" t="s">
        <v>3018</v>
      </c>
      <c r="D2744" s="396" t="s">
        <v>22</v>
      </c>
      <c r="E2744" s="405">
        <f t="shared" si="84"/>
        <v>9.85</v>
      </c>
      <c r="F2744">
        <f t="shared" si="85"/>
        <v>91859</v>
      </c>
      <c r="H2744" s="679">
        <v>9.85</v>
      </c>
      <c r="I2744" s="679">
        <v>10.62</v>
      </c>
    </row>
    <row r="2745" spans="2:9" ht="30">
      <c r="B2745" s="395">
        <v>91860</v>
      </c>
      <c r="C2745" s="406" t="s">
        <v>3019</v>
      </c>
      <c r="D2745" s="395" t="s">
        <v>22</v>
      </c>
      <c r="E2745" s="407">
        <f t="shared" si="84"/>
        <v>12.41</v>
      </c>
      <c r="F2745">
        <f t="shared" si="85"/>
        <v>91860</v>
      </c>
      <c r="H2745" s="680">
        <v>12.41</v>
      </c>
      <c r="I2745" s="680">
        <v>13.29</v>
      </c>
    </row>
    <row r="2746" spans="2:9" ht="30">
      <c r="B2746" s="396">
        <v>91861</v>
      </c>
      <c r="C2746" s="401" t="s">
        <v>3020</v>
      </c>
      <c r="D2746" s="396" t="s">
        <v>22</v>
      </c>
      <c r="E2746" s="405">
        <f t="shared" si="84"/>
        <v>11.71</v>
      </c>
      <c r="F2746">
        <f t="shared" si="85"/>
        <v>91861</v>
      </c>
      <c r="H2746" s="679">
        <v>11.71</v>
      </c>
      <c r="I2746" s="679">
        <v>12.59</v>
      </c>
    </row>
    <row r="2747" spans="2:9" ht="30">
      <c r="B2747" s="395">
        <v>91862</v>
      </c>
      <c r="C2747" s="406" t="s">
        <v>1430</v>
      </c>
      <c r="D2747" s="395" t="s">
        <v>22</v>
      </c>
      <c r="E2747" s="407">
        <f t="shared" si="84"/>
        <v>10.07</v>
      </c>
      <c r="F2747">
        <f t="shared" si="85"/>
        <v>91862</v>
      </c>
      <c r="H2747" s="680">
        <v>10.07</v>
      </c>
      <c r="I2747" s="680">
        <v>10.57</v>
      </c>
    </row>
    <row r="2748" spans="2:9" ht="30">
      <c r="B2748" s="396">
        <v>91863</v>
      </c>
      <c r="C2748" s="401" t="s">
        <v>1431</v>
      </c>
      <c r="D2748" s="396" t="s">
        <v>22</v>
      </c>
      <c r="E2748" s="405">
        <f t="shared" si="84"/>
        <v>11.85</v>
      </c>
      <c r="F2748">
        <f t="shared" si="85"/>
        <v>91863</v>
      </c>
      <c r="H2748" s="679">
        <v>11.85</v>
      </c>
      <c r="I2748" s="679">
        <v>12.44</v>
      </c>
    </row>
    <row r="2749" spans="2:9" ht="30">
      <c r="B2749" s="395">
        <v>91864</v>
      </c>
      <c r="C2749" s="406" t="s">
        <v>1432</v>
      </c>
      <c r="D2749" s="395" t="s">
        <v>22</v>
      </c>
      <c r="E2749" s="407">
        <f t="shared" si="84"/>
        <v>15.92</v>
      </c>
      <c r="F2749">
        <f t="shared" si="85"/>
        <v>91864</v>
      </c>
      <c r="H2749" s="680">
        <v>15.92</v>
      </c>
      <c r="I2749" s="680">
        <v>16.62</v>
      </c>
    </row>
    <row r="2750" spans="2:9" ht="30">
      <c r="B2750" s="396">
        <v>91865</v>
      </c>
      <c r="C2750" s="401" t="s">
        <v>1433</v>
      </c>
      <c r="D2750" s="396" t="s">
        <v>22</v>
      </c>
      <c r="E2750" s="405">
        <f t="shared" si="84"/>
        <v>19.920000000000002</v>
      </c>
      <c r="F2750">
        <f t="shared" si="85"/>
        <v>91865</v>
      </c>
      <c r="H2750" s="679">
        <v>19.920000000000002</v>
      </c>
      <c r="I2750" s="679">
        <v>20.75</v>
      </c>
    </row>
    <row r="2751" spans="2:9" ht="30">
      <c r="B2751" s="395">
        <v>91866</v>
      </c>
      <c r="C2751" s="406" t="s">
        <v>1434</v>
      </c>
      <c r="D2751" s="395" t="s">
        <v>22</v>
      </c>
      <c r="E2751" s="407">
        <f t="shared" si="84"/>
        <v>7.93</v>
      </c>
      <c r="F2751">
        <f t="shared" si="85"/>
        <v>91866</v>
      </c>
      <c r="H2751" s="680">
        <v>7.93</v>
      </c>
      <c r="I2751" s="680">
        <v>8.34</v>
      </c>
    </row>
    <row r="2752" spans="2:9" ht="30">
      <c r="B2752" s="396">
        <v>91867</v>
      </c>
      <c r="C2752" s="401" t="s">
        <v>1435</v>
      </c>
      <c r="D2752" s="396" t="s">
        <v>22</v>
      </c>
      <c r="E2752" s="405">
        <f t="shared" si="84"/>
        <v>9.73</v>
      </c>
      <c r="F2752">
        <f t="shared" si="85"/>
        <v>91867</v>
      </c>
      <c r="H2752" s="679">
        <v>9.73</v>
      </c>
      <c r="I2752" s="679">
        <v>10.210000000000001</v>
      </c>
    </row>
    <row r="2753" spans="2:9" ht="30">
      <c r="B2753" s="395">
        <v>91868</v>
      </c>
      <c r="C2753" s="406" t="s">
        <v>1436</v>
      </c>
      <c r="D2753" s="395" t="s">
        <v>22</v>
      </c>
      <c r="E2753" s="407">
        <f t="shared" si="84"/>
        <v>13.8</v>
      </c>
      <c r="F2753">
        <f t="shared" si="85"/>
        <v>91868</v>
      </c>
      <c r="H2753" s="680">
        <v>13.8</v>
      </c>
      <c r="I2753" s="680">
        <v>14.38</v>
      </c>
    </row>
    <row r="2754" spans="2:9" ht="30">
      <c r="B2754" s="396">
        <v>91869</v>
      </c>
      <c r="C2754" s="401" t="s">
        <v>1437</v>
      </c>
      <c r="D2754" s="396" t="s">
        <v>22</v>
      </c>
      <c r="E2754" s="405">
        <f t="shared" si="84"/>
        <v>17.809999999999999</v>
      </c>
      <c r="F2754">
        <f t="shared" si="85"/>
        <v>91869</v>
      </c>
      <c r="H2754" s="679">
        <v>17.809999999999999</v>
      </c>
      <c r="I2754" s="679">
        <v>18.53</v>
      </c>
    </row>
    <row r="2755" spans="2:9" ht="30">
      <c r="B2755" s="395">
        <v>91870</v>
      </c>
      <c r="C2755" s="406" t="s">
        <v>1438</v>
      </c>
      <c r="D2755" s="395" t="s">
        <v>22</v>
      </c>
      <c r="E2755" s="407">
        <f t="shared" ref="E2755:E2818" si="86">IF($K$2=$H$1,H2755,I2755)</f>
        <v>10.68</v>
      </c>
      <c r="F2755">
        <f t="shared" ref="F2755:F2818" si="87">IF(LEN($B2755)=7,CONCATENATE(MID($B2755,1,6),"00",RIGHT($B2755,1)),IF(LEN($B2755)=8,CONCATENATE(MID($B2755,1,6),"0",RIGHT($B2755,2)),$B2755))</f>
        <v>91870</v>
      </c>
      <c r="H2755" s="680">
        <v>10.68</v>
      </c>
      <c r="I2755" s="680">
        <v>11.4</v>
      </c>
    </row>
    <row r="2756" spans="2:9" ht="30">
      <c r="B2756" s="396">
        <v>91871</v>
      </c>
      <c r="C2756" s="401" t="s">
        <v>1439</v>
      </c>
      <c r="D2756" s="396" t="s">
        <v>22</v>
      </c>
      <c r="E2756" s="405">
        <f t="shared" si="86"/>
        <v>12.51</v>
      </c>
      <c r="F2756">
        <f t="shared" si="87"/>
        <v>91871</v>
      </c>
      <c r="H2756" s="679">
        <v>12.51</v>
      </c>
      <c r="I2756" s="679">
        <v>13.31</v>
      </c>
    </row>
    <row r="2757" spans="2:9" ht="30">
      <c r="B2757" s="395">
        <v>91872</v>
      </c>
      <c r="C2757" s="406" t="s">
        <v>1440</v>
      </c>
      <c r="D2757" s="395" t="s">
        <v>22</v>
      </c>
      <c r="E2757" s="407">
        <f t="shared" si="86"/>
        <v>16.57</v>
      </c>
      <c r="F2757">
        <f t="shared" si="87"/>
        <v>91872</v>
      </c>
      <c r="H2757" s="680">
        <v>16.57</v>
      </c>
      <c r="I2757" s="680">
        <v>17.48</v>
      </c>
    </row>
    <row r="2758" spans="2:9" ht="30">
      <c r="B2758" s="396">
        <v>91873</v>
      </c>
      <c r="C2758" s="401" t="s">
        <v>1441</v>
      </c>
      <c r="D2758" s="396" t="s">
        <v>22</v>
      </c>
      <c r="E2758" s="405">
        <f t="shared" si="86"/>
        <v>20.54</v>
      </c>
      <c r="F2758">
        <f t="shared" si="87"/>
        <v>91873</v>
      </c>
      <c r="H2758" s="679">
        <v>20.54</v>
      </c>
      <c r="I2758" s="679">
        <v>21.58</v>
      </c>
    </row>
    <row r="2759" spans="2:9" ht="30">
      <c r="B2759" s="395">
        <v>93008</v>
      </c>
      <c r="C2759" s="406" t="s">
        <v>6374</v>
      </c>
      <c r="D2759" s="395" t="s">
        <v>22</v>
      </c>
      <c r="E2759" s="407">
        <f t="shared" si="86"/>
        <v>18.18</v>
      </c>
      <c r="F2759">
        <f t="shared" si="87"/>
        <v>93008</v>
      </c>
      <c r="H2759" s="680">
        <v>18.18</v>
      </c>
      <c r="I2759" s="680">
        <v>18.7</v>
      </c>
    </row>
    <row r="2760" spans="2:9" ht="30">
      <c r="B2760" s="396">
        <v>93009</v>
      </c>
      <c r="C2760" s="401" t="s">
        <v>6375</v>
      </c>
      <c r="D2760" s="396" t="s">
        <v>22</v>
      </c>
      <c r="E2760" s="405">
        <f t="shared" si="86"/>
        <v>27.45</v>
      </c>
      <c r="F2760">
        <f t="shared" si="87"/>
        <v>93009</v>
      </c>
      <c r="H2760" s="679">
        <v>27.45</v>
      </c>
      <c r="I2760" s="679">
        <v>28.06</v>
      </c>
    </row>
    <row r="2761" spans="2:9" ht="30">
      <c r="B2761" s="395">
        <v>93010</v>
      </c>
      <c r="C2761" s="406" t="s">
        <v>6376</v>
      </c>
      <c r="D2761" s="395" t="s">
        <v>22</v>
      </c>
      <c r="E2761" s="407">
        <f t="shared" si="86"/>
        <v>38.65</v>
      </c>
      <c r="F2761">
        <f t="shared" si="87"/>
        <v>93010</v>
      </c>
      <c r="H2761" s="680">
        <v>38.65</v>
      </c>
      <c r="I2761" s="680">
        <v>39.369999999999997</v>
      </c>
    </row>
    <row r="2762" spans="2:9" ht="30">
      <c r="B2762" s="396">
        <v>93011</v>
      </c>
      <c r="C2762" s="401" t="s">
        <v>6377</v>
      </c>
      <c r="D2762" s="396" t="s">
        <v>22</v>
      </c>
      <c r="E2762" s="405">
        <f t="shared" si="86"/>
        <v>47.53</v>
      </c>
      <c r="F2762">
        <f t="shared" si="87"/>
        <v>93011</v>
      </c>
      <c r="H2762" s="679">
        <v>47.53</v>
      </c>
      <c r="I2762" s="679">
        <v>48.33</v>
      </c>
    </row>
    <row r="2763" spans="2:9" ht="30">
      <c r="B2763" s="395">
        <v>93012</v>
      </c>
      <c r="C2763" s="406" t="s">
        <v>6378</v>
      </c>
      <c r="D2763" s="395" t="s">
        <v>22</v>
      </c>
      <c r="E2763" s="407">
        <f t="shared" si="86"/>
        <v>72.56</v>
      </c>
      <c r="F2763">
        <f t="shared" si="87"/>
        <v>93012</v>
      </c>
      <c r="H2763" s="680">
        <v>72.56</v>
      </c>
      <c r="I2763" s="680">
        <v>73.56</v>
      </c>
    </row>
    <row r="2764" spans="2:9">
      <c r="B2764" s="396">
        <v>95726</v>
      </c>
      <c r="C2764" s="401" t="s">
        <v>7560</v>
      </c>
      <c r="D2764" s="396" t="s">
        <v>22</v>
      </c>
      <c r="E2764" s="405">
        <f t="shared" si="86"/>
        <v>8.2799999999999994</v>
      </c>
      <c r="F2764">
        <f t="shared" si="87"/>
        <v>95726</v>
      </c>
      <c r="H2764" s="679">
        <v>8.2799999999999994</v>
      </c>
      <c r="I2764" s="679">
        <v>8.77</v>
      </c>
    </row>
    <row r="2765" spans="2:9">
      <c r="B2765" s="395">
        <v>95727</v>
      </c>
      <c r="C2765" s="406" t="s">
        <v>7561</v>
      </c>
      <c r="D2765" s="395" t="s">
        <v>22</v>
      </c>
      <c r="E2765" s="407">
        <f t="shared" si="86"/>
        <v>11.34</v>
      </c>
      <c r="F2765">
        <f t="shared" si="87"/>
        <v>95727</v>
      </c>
      <c r="H2765" s="680">
        <v>11.34</v>
      </c>
      <c r="I2765" s="680">
        <v>12.11</v>
      </c>
    </row>
    <row r="2766" spans="2:9">
      <c r="B2766" s="396">
        <v>95728</v>
      </c>
      <c r="C2766" s="401" t="s">
        <v>7562</v>
      </c>
      <c r="D2766" s="396" t="s">
        <v>22</v>
      </c>
      <c r="E2766" s="405">
        <f t="shared" si="86"/>
        <v>16.510000000000002</v>
      </c>
      <c r="F2766">
        <f t="shared" si="87"/>
        <v>95728</v>
      </c>
      <c r="H2766" s="679">
        <v>16.510000000000002</v>
      </c>
      <c r="I2766" s="679">
        <v>17.66</v>
      </c>
    </row>
    <row r="2767" spans="2:9" ht="30">
      <c r="B2767" s="395">
        <v>97667</v>
      </c>
      <c r="C2767" s="406" t="s">
        <v>6379</v>
      </c>
      <c r="D2767" s="395" t="s">
        <v>22</v>
      </c>
      <c r="E2767" s="407">
        <f t="shared" si="86"/>
        <v>8.52</v>
      </c>
      <c r="F2767">
        <f t="shared" si="87"/>
        <v>97667</v>
      </c>
      <c r="H2767" s="680">
        <v>8.52</v>
      </c>
      <c r="I2767" s="680">
        <v>8.84</v>
      </c>
    </row>
    <row r="2768" spans="2:9" ht="30">
      <c r="B2768" s="396">
        <v>97668</v>
      </c>
      <c r="C2768" s="401" t="s">
        <v>6380</v>
      </c>
      <c r="D2768" s="396" t="s">
        <v>22</v>
      </c>
      <c r="E2768" s="405">
        <f t="shared" si="86"/>
        <v>12.16</v>
      </c>
      <c r="F2768">
        <f t="shared" si="87"/>
        <v>97668</v>
      </c>
      <c r="H2768" s="679">
        <v>12.16</v>
      </c>
      <c r="I2768" s="679">
        <v>12.61</v>
      </c>
    </row>
    <row r="2769" spans="2:9" ht="30">
      <c r="B2769" s="395">
        <v>97669</v>
      </c>
      <c r="C2769" s="406" t="s">
        <v>6381</v>
      </c>
      <c r="D2769" s="395" t="s">
        <v>22</v>
      </c>
      <c r="E2769" s="407">
        <f t="shared" si="86"/>
        <v>17.82</v>
      </c>
      <c r="F2769">
        <f t="shared" si="87"/>
        <v>97669</v>
      </c>
      <c r="H2769" s="680">
        <v>17.82</v>
      </c>
      <c r="I2769" s="680">
        <v>18.53</v>
      </c>
    </row>
    <row r="2770" spans="2:9" ht="30">
      <c r="B2770" s="396">
        <v>97670</v>
      </c>
      <c r="C2770" s="401" t="s">
        <v>6382</v>
      </c>
      <c r="D2770" s="396" t="s">
        <v>22</v>
      </c>
      <c r="E2770" s="405">
        <f t="shared" si="86"/>
        <v>23.23</v>
      </c>
      <c r="F2770">
        <f t="shared" si="87"/>
        <v>97670</v>
      </c>
      <c r="H2770" s="679">
        <v>23.23</v>
      </c>
      <c r="I2770" s="679">
        <v>24.04</v>
      </c>
    </row>
    <row r="2771" spans="2:9" ht="30">
      <c r="B2771" s="395">
        <v>91874</v>
      </c>
      <c r="C2771" s="406" t="s">
        <v>1444</v>
      </c>
      <c r="D2771" s="395" t="s">
        <v>23</v>
      </c>
      <c r="E2771" s="407">
        <f t="shared" si="86"/>
        <v>4.28</v>
      </c>
      <c r="F2771">
        <f t="shared" si="87"/>
        <v>91874</v>
      </c>
      <c r="H2771" s="680">
        <v>4.28</v>
      </c>
      <c r="I2771" s="680">
        <v>4.66</v>
      </c>
    </row>
    <row r="2772" spans="2:9" ht="30">
      <c r="B2772" s="396">
        <v>91875</v>
      </c>
      <c r="C2772" s="401" t="s">
        <v>1445</v>
      </c>
      <c r="D2772" s="396" t="s">
        <v>23</v>
      </c>
      <c r="E2772" s="405">
        <f t="shared" si="86"/>
        <v>5.67</v>
      </c>
      <c r="F2772">
        <f t="shared" si="87"/>
        <v>91875</v>
      </c>
      <c r="H2772" s="679">
        <v>5.67</v>
      </c>
      <c r="I2772" s="679">
        <v>6.17</v>
      </c>
    </row>
    <row r="2773" spans="2:9" ht="30">
      <c r="B2773" s="395">
        <v>91876</v>
      </c>
      <c r="C2773" s="406" t="s">
        <v>1446</v>
      </c>
      <c r="D2773" s="395" t="s">
        <v>23</v>
      </c>
      <c r="E2773" s="407">
        <f t="shared" si="86"/>
        <v>7.49</v>
      </c>
      <c r="F2773">
        <f t="shared" si="87"/>
        <v>91876</v>
      </c>
      <c r="H2773" s="680">
        <v>7.49</v>
      </c>
      <c r="I2773" s="680">
        <v>8.14</v>
      </c>
    </row>
    <row r="2774" spans="2:9" ht="30">
      <c r="B2774" s="396">
        <v>91877</v>
      </c>
      <c r="C2774" s="401" t="s">
        <v>335</v>
      </c>
      <c r="D2774" s="396" t="s">
        <v>23</v>
      </c>
      <c r="E2774" s="405">
        <f t="shared" si="86"/>
        <v>9.98</v>
      </c>
      <c r="F2774">
        <f t="shared" si="87"/>
        <v>91877</v>
      </c>
      <c r="H2774" s="679">
        <v>9.98</v>
      </c>
      <c r="I2774" s="679">
        <v>10.81</v>
      </c>
    </row>
    <row r="2775" spans="2:9" ht="30">
      <c r="B2775" s="395">
        <v>91878</v>
      </c>
      <c r="C2775" s="406" t="s">
        <v>1447</v>
      </c>
      <c r="D2775" s="395" t="s">
        <v>23</v>
      </c>
      <c r="E2775" s="407">
        <f t="shared" si="86"/>
        <v>5.47</v>
      </c>
      <c r="F2775">
        <f t="shared" si="87"/>
        <v>91878</v>
      </c>
      <c r="H2775" s="680">
        <v>5.47</v>
      </c>
      <c r="I2775" s="680">
        <v>6</v>
      </c>
    </row>
    <row r="2776" spans="2:9" ht="30">
      <c r="B2776" s="396">
        <v>91879</v>
      </c>
      <c r="C2776" s="401" t="s">
        <v>1448</v>
      </c>
      <c r="D2776" s="396" t="s">
        <v>23</v>
      </c>
      <c r="E2776" s="405">
        <f t="shared" si="86"/>
        <v>6.83</v>
      </c>
      <c r="F2776">
        <f t="shared" si="87"/>
        <v>91879</v>
      </c>
      <c r="H2776" s="679">
        <v>6.83</v>
      </c>
      <c r="I2776" s="679">
        <v>7.46</v>
      </c>
    </row>
    <row r="2777" spans="2:9" ht="30">
      <c r="B2777" s="395">
        <v>91880</v>
      </c>
      <c r="C2777" s="406" t="s">
        <v>1449</v>
      </c>
      <c r="D2777" s="395" t="s">
        <v>23</v>
      </c>
      <c r="E2777" s="407">
        <f t="shared" si="86"/>
        <v>8.69</v>
      </c>
      <c r="F2777">
        <f t="shared" si="87"/>
        <v>91880</v>
      </c>
      <c r="H2777" s="680">
        <v>8.69</v>
      </c>
      <c r="I2777" s="680">
        <v>9.48</v>
      </c>
    </row>
    <row r="2778" spans="2:9" ht="30">
      <c r="B2778" s="396">
        <v>91881</v>
      </c>
      <c r="C2778" s="401" t="s">
        <v>336</v>
      </c>
      <c r="D2778" s="396" t="s">
        <v>23</v>
      </c>
      <c r="E2778" s="405">
        <f t="shared" si="86"/>
        <v>11.18</v>
      </c>
      <c r="F2778">
        <f t="shared" si="87"/>
        <v>91881</v>
      </c>
      <c r="H2778" s="679">
        <v>11.18</v>
      </c>
      <c r="I2778" s="679">
        <v>12.14</v>
      </c>
    </row>
    <row r="2779" spans="2:9" ht="30">
      <c r="B2779" s="395">
        <v>91882</v>
      </c>
      <c r="C2779" s="406" t="s">
        <v>1450</v>
      </c>
      <c r="D2779" s="395" t="s">
        <v>23</v>
      </c>
      <c r="E2779" s="407">
        <f t="shared" si="86"/>
        <v>6.76</v>
      </c>
      <c r="F2779">
        <f t="shared" si="87"/>
        <v>91882</v>
      </c>
      <c r="H2779" s="680">
        <v>6.76</v>
      </c>
      <c r="I2779" s="680">
        <v>7.43</v>
      </c>
    </row>
    <row r="2780" spans="2:9" ht="30">
      <c r="B2780" s="396">
        <v>91884</v>
      </c>
      <c r="C2780" s="401" t="s">
        <v>1451</v>
      </c>
      <c r="D2780" s="396" t="s">
        <v>23</v>
      </c>
      <c r="E2780" s="405">
        <f t="shared" si="86"/>
        <v>7.83</v>
      </c>
      <c r="F2780">
        <f t="shared" si="87"/>
        <v>91884</v>
      </c>
      <c r="H2780" s="679">
        <v>7.83</v>
      </c>
      <c r="I2780" s="679">
        <v>8.57</v>
      </c>
    </row>
    <row r="2781" spans="2:9" ht="30">
      <c r="B2781" s="395">
        <v>91885</v>
      </c>
      <c r="C2781" s="406" t="s">
        <v>1452</v>
      </c>
      <c r="D2781" s="395" t="s">
        <v>23</v>
      </c>
      <c r="E2781" s="407">
        <f t="shared" si="86"/>
        <v>9.27</v>
      </c>
      <c r="F2781">
        <f t="shared" si="87"/>
        <v>91885</v>
      </c>
      <c r="H2781" s="680">
        <v>9.27</v>
      </c>
      <c r="I2781" s="680">
        <v>10.119999999999999</v>
      </c>
    </row>
    <row r="2782" spans="2:9" ht="30">
      <c r="B2782" s="396">
        <v>91886</v>
      </c>
      <c r="C2782" s="401" t="s">
        <v>1453</v>
      </c>
      <c r="D2782" s="396" t="s">
        <v>23</v>
      </c>
      <c r="E2782" s="405">
        <f t="shared" si="86"/>
        <v>11.31</v>
      </c>
      <c r="F2782">
        <f t="shared" si="87"/>
        <v>91886</v>
      </c>
      <c r="H2782" s="679">
        <v>11.31</v>
      </c>
      <c r="I2782" s="679">
        <v>12.29</v>
      </c>
    </row>
    <row r="2783" spans="2:9" ht="30">
      <c r="B2783" s="395">
        <v>91887</v>
      </c>
      <c r="C2783" s="406" t="s">
        <v>1454</v>
      </c>
      <c r="D2783" s="395" t="s">
        <v>23</v>
      </c>
      <c r="E2783" s="407">
        <f t="shared" si="86"/>
        <v>8.01</v>
      </c>
      <c r="F2783">
        <f t="shared" si="87"/>
        <v>91887</v>
      </c>
      <c r="H2783" s="680">
        <v>8.01</v>
      </c>
      <c r="I2783" s="680">
        <v>8.59</v>
      </c>
    </row>
    <row r="2784" spans="2:9" ht="30">
      <c r="B2784" s="396">
        <v>91889</v>
      </c>
      <c r="C2784" s="401" t="s">
        <v>1455</v>
      </c>
      <c r="D2784" s="396" t="s">
        <v>23</v>
      </c>
      <c r="E2784" s="405">
        <f t="shared" si="86"/>
        <v>7.7</v>
      </c>
      <c r="F2784">
        <f t="shared" si="87"/>
        <v>91889</v>
      </c>
      <c r="H2784" s="679">
        <v>7.7</v>
      </c>
      <c r="I2784" s="679">
        <v>8.2799999999999994</v>
      </c>
    </row>
    <row r="2785" spans="2:9" ht="30">
      <c r="B2785" s="395">
        <v>91890</v>
      </c>
      <c r="C2785" s="406" t="s">
        <v>1456</v>
      </c>
      <c r="D2785" s="395" t="s">
        <v>23</v>
      </c>
      <c r="E2785" s="407">
        <f t="shared" si="86"/>
        <v>9.49</v>
      </c>
      <c r="F2785">
        <f t="shared" si="87"/>
        <v>91890</v>
      </c>
      <c r="H2785" s="680">
        <v>9.49</v>
      </c>
      <c r="I2785" s="680">
        <v>10.24</v>
      </c>
    </row>
    <row r="2786" spans="2:9" ht="30">
      <c r="B2786" s="396">
        <v>91892</v>
      </c>
      <c r="C2786" s="401" t="s">
        <v>1457</v>
      </c>
      <c r="D2786" s="396" t="s">
        <v>23</v>
      </c>
      <c r="E2786" s="405">
        <f t="shared" si="86"/>
        <v>11.54</v>
      </c>
      <c r="F2786">
        <f t="shared" si="87"/>
        <v>91892</v>
      </c>
      <c r="H2786" s="679">
        <v>11.54</v>
      </c>
      <c r="I2786" s="679">
        <v>12.29</v>
      </c>
    </row>
    <row r="2787" spans="2:9" ht="30">
      <c r="B2787" s="395">
        <v>91893</v>
      </c>
      <c r="C2787" s="406" t="s">
        <v>1458</v>
      </c>
      <c r="D2787" s="395" t="s">
        <v>23</v>
      </c>
      <c r="E2787" s="407">
        <f t="shared" si="86"/>
        <v>13</v>
      </c>
      <c r="F2787">
        <f t="shared" si="87"/>
        <v>91893</v>
      </c>
      <c r="H2787" s="680">
        <v>13</v>
      </c>
      <c r="I2787" s="680">
        <v>13.98</v>
      </c>
    </row>
    <row r="2788" spans="2:9" ht="30">
      <c r="B2788" s="396">
        <v>91895</v>
      </c>
      <c r="C2788" s="401" t="s">
        <v>3021</v>
      </c>
      <c r="D2788" s="396" t="s">
        <v>23</v>
      </c>
      <c r="E2788" s="405">
        <f t="shared" si="86"/>
        <v>15.09</v>
      </c>
      <c r="F2788">
        <f t="shared" si="87"/>
        <v>91895</v>
      </c>
      <c r="H2788" s="679">
        <v>15.09</v>
      </c>
      <c r="I2788" s="679">
        <v>16.07</v>
      </c>
    </row>
    <row r="2789" spans="2:9" ht="30">
      <c r="B2789" s="395">
        <v>91896</v>
      </c>
      <c r="C2789" s="406" t="s">
        <v>337</v>
      </c>
      <c r="D2789" s="395" t="s">
        <v>23</v>
      </c>
      <c r="E2789" s="407">
        <f t="shared" si="86"/>
        <v>15.84</v>
      </c>
      <c r="F2789">
        <f t="shared" si="87"/>
        <v>91896</v>
      </c>
      <c r="H2789" s="680">
        <v>15.84</v>
      </c>
      <c r="I2789" s="680">
        <v>17.07</v>
      </c>
    </row>
    <row r="2790" spans="2:9" ht="30">
      <c r="B2790" s="396">
        <v>91898</v>
      </c>
      <c r="C2790" s="401" t="s">
        <v>1459</v>
      </c>
      <c r="D2790" s="396" t="s">
        <v>23</v>
      </c>
      <c r="E2790" s="405">
        <f t="shared" si="86"/>
        <v>18.07</v>
      </c>
      <c r="F2790">
        <f t="shared" si="87"/>
        <v>91898</v>
      </c>
      <c r="H2790" s="679">
        <v>18.07</v>
      </c>
      <c r="I2790" s="679">
        <v>19.3</v>
      </c>
    </row>
    <row r="2791" spans="2:9" ht="30">
      <c r="B2791" s="395">
        <v>91899</v>
      </c>
      <c r="C2791" s="406" t="s">
        <v>1460</v>
      </c>
      <c r="D2791" s="395" t="s">
        <v>23</v>
      </c>
      <c r="E2791" s="407">
        <f t="shared" si="86"/>
        <v>9.75</v>
      </c>
      <c r="F2791">
        <f t="shared" si="87"/>
        <v>91899</v>
      </c>
      <c r="H2791" s="680">
        <v>9.75</v>
      </c>
      <c r="I2791" s="680">
        <v>10.53</v>
      </c>
    </row>
    <row r="2792" spans="2:9" ht="30">
      <c r="B2792" s="396">
        <v>91901</v>
      </c>
      <c r="C2792" s="401" t="s">
        <v>1461</v>
      </c>
      <c r="D2792" s="396" t="s">
        <v>23</v>
      </c>
      <c r="E2792" s="405">
        <f t="shared" si="86"/>
        <v>9.44</v>
      </c>
      <c r="F2792">
        <f t="shared" si="87"/>
        <v>91901</v>
      </c>
      <c r="H2792" s="679">
        <v>9.44</v>
      </c>
      <c r="I2792" s="679">
        <v>10.220000000000001</v>
      </c>
    </row>
    <row r="2793" spans="2:9" ht="30">
      <c r="B2793" s="395">
        <v>91902</v>
      </c>
      <c r="C2793" s="406" t="s">
        <v>1462</v>
      </c>
      <c r="D2793" s="395" t="s">
        <v>23</v>
      </c>
      <c r="E2793" s="407">
        <f t="shared" si="86"/>
        <v>11.23</v>
      </c>
      <c r="F2793">
        <f t="shared" si="87"/>
        <v>91902</v>
      </c>
      <c r="H2793" s="680">
        <v>11.23</v>
      </c>
      <c r="I2793" s="680">
        <v>12.19</v>
      </c>
    </row>
    <row r="2794" spans="2:9" ht="30">
      <c r="B2794" s="396">
        <v>91904</v>
      </c>
      <c r="C2794" s="401" t="s">
        <v>1463</v>
      </c>
      <c r="D2794" s="396" t="s">
        <v>23</v>
      </c>
      <c r="E2794" s="405">
        <f t="shared" si="86"/>
        <v>13.28</v>
      </c>
      <c r="F2794">
        <f t="shared" si="87"/>
        <v>91904</v>
      </c>
      <c r="H2794" s="679">
        <v>13.28</v>
      </c>
      <c r="I2794" s="679">
        <v>14.24</v>
      </c>
    </row>
    <row r="2795" spans="2:9" ht="30">
      <c r="B2795" s="395">
        <v>91905</v>
      </c>
      <c r="C2795" s="406" t="s">
        <v>1464</v>
      </c>
      <c r="D2795" s="395" t="s">
        <v>23</v>
      </c>
      <c r="E2795" s="407">
        <f t="shared" si="86"/>
        <v>14.75</v>
      </c>
      <c r="F2795">
        <f t="shared" si="87"/>
        <v>91905</v>
      </c>
      <c r="H2795" s="680">
        <v>14.75</v>
      </c>
      <c r="I2795" s="680">
        <v>15.92</v>
      </c>
    </row>
    <row r="2796" spans="2:9" ht="30">
      <c r="B2796" s="396">
        <v>91907</v>
      </c>
      <c r="C2796" s="401" t="s">
        <v>3022</v>
      </c>
      <c r="D2796" s="396" t="s">
        <v>23</v>
      </c>
      <c r="E2796" s="405">
        <f t="shared" si="86"/>
        <v>16.84</v>
      </c>
      <c r="F2796">
        <f t="shared" si="87"/>
        <v>91907</v>
      </c>
      <c r="H2796" s="679">
        <v>16.84</v>
      </c>
      <c r="I2796" s="679">
        <v>18.010000000000002</v>
      </c>
    </row>
    <row r="2797" spans="2:9" ht="30">
      <c r="B2797" s="395">
        <v>91908</v>
      </c>
      <c r="C2797" s="406" t="s">
        <v>1465</v>
      </c>
      <c r="D2797" s="395" t="s">
        <v>23</v>
      </c>
      <c r="E2797" s="407">
        <f t="shared" si="86"/>
        <v>17.62</v>
      </c>
      <c r="F2797">
        <f t="shared" si="87"/>
        <v>91908</v>
      </c>
      <c r="H2797" s="680">
        <v>17.62</v>
      </c>
      <c r="I2797" s="680">
        <v>19.059999999999999</v>
      </c>
    </row>
    <row r="2798" spans="2:9" ht="30">
      <c r="B2798" s="396">
        <v>91910</v>
      </c>
      <c r="C2798" s="401" t="s">
        <v>1466</v>
      </c>
      <c r="D2798" s="396" t="s">
        <v>23</v>
      </c>
      <c r="E2798" s="405">
        <f t="shared" si="86"/>
        <v>19.850000000000001</v>
      </c>
      <c r="F2798">
        <f t="shared" si="87"/>
        <v>91910</v>
      </c>
      <c r="H2798" s="679">
        <v>19.850000000000001</v>
      </c>
      <c r="I2798" s="679">
        <v>21.29</v>
      </c>
    </row>
    <row r="2799" spans="2:9" ht="30">
      <c r="B2799" s="395">
        <v>91911</v>
      </c>
      <c r="C2799" s="406" t="s">
        <v>1467</v>
      </c>
      <c r="D2799" s="395" t="s">
        <v>23</v>
      </c>
      <c r="E2799" s="407">
        <f t="shared" si="86"/>
        <v>11.74</v>
      </c>
      <c r="F2799">
        <f t="shared" si="87"/>
        <v>91911</v>
      </c>
      <c r="H2799" s="680">
        <v>11.74</v>
      </c>
      <c r="I2799" s="680">
        <v>12.74</v>
      </c>
    </row>
    <row r="2800" spans="2:9" ht="30">
      <c r="B2800" s="396">
        <v>91913</v>
      </c>
      <c r="C2800" s="401" t="s">
        <v>567</v>
      </c>
      <c r="D2800" s="396" t="s">
        <v>23</v>
      </c>
      <c r="E2800" s="405">
        <f t="shared" si="86"/>
        <v>11.43</v>
      </c>
      <c r="F2800">
        <f t="shared" si="87"/>
        <v>91913</v>
      </c>
      <c r="H2800" s="679">
        <v>11.43</v>
      </c>
      <c r="I2800" s="679">
        <v>12.43</v>
      </c>
    </row>
    <row r="2801" spans="2:9" ht="30">
      <c r="B2801" s="395">
        <v>91914</v>
      </c>
      <c r="C2801" s="406" t="s">
        <v>1468</v>
      </c>
      <c r="D2801" s="395" t="s">
        <v>23</v>
      </c>
      <c r="E2801" s="407">
        <f t="shared" si="86"/>
        <v>12.77</v>
      </c>
      <c r="F2801">
        <f t="shared" si="87"/>
        <v>91914</v>
      </c>
      <c r="H2801" s="680">
        <v>12.77</v>
      </c>
      <c r="I2801" s="680">
        <v>13.89</v>
      </c>
    </row>
    <row r="2802" spans="2:9" ht="30">
      <c r="B2802" s="396">
        <v>91916</v>
      </c>
      <c r="C2802" s="401" t="s">
        <v>338</v>
      </c>
      <c r="D2802" s="396" t="s">
        <v>23</v>
      </c>
      <c r="E2802" s="405">
        <f t="shared" si="86"/>
        <v>14.82</v>
      </c>
      <c r="F2802">
        <f t="shared" si="87"/>
        <v>91916</v>
      </c>
      <c r="H2802" s="679">
        <v>14.82</v>
      </c>
      <c r="I2802" s="679">
        <v>15.94</v>
      </c>
    </row>
    <row r="2803" spans="2:9" ht="30">
      <c r="B2803" s="395">
        <v>91917</v>
      </c>
      <c r="C2803" s="406" t="s">
        <v>1469</v>
      </c>
      <c r="D2803" s="395" t="s">
        <v>23</v>
      </c>
      <c r="E2803" s="407">
        <f t="shared" si="86"/>
        <v>15.65</v>
      </c>
      <c r="F2803">
        <f t="shared" si="87"/>
        <v>91917</v>
      </c>
      <c r="H2803" s="680">
        <v>15.65</v>
      </c>
      <c r="I2803" s="680">
        <v>16.93</v>
      </c>
    </row>
    <row r="2804" spans="2:9" ht="30">
      <c r="B2804" s="396">
        <v>91919</v>
      </c>
      <c r="C2804" s="401" t="s">
        <v>3023</v>
      </c>
      <c r="D2804" s="396" t="s">
        <v>23</v>
      </c>
      <c r="E2804" s="405">
        <f t="shared" si="86"/>
        <v>17.739999999999998</v>
      </c>
      <c r="F2804">
        <f t="shared" si="87"/>
        <v>91919</v>
      </c>
      <c r="H2804" s="679">
        <v>17.739999999999998</v>
      </c>
      <c r="I2804" s="679">
        <v>19.02</v>
      </c>
    </row>
    <row r="2805" spans="2:9" ht="30">
      <c r="B2805" s="395">
        <v>91920</v>
      </c>
      <c r="C2805" s="406" t="s">
        <v>339</v>
      </c>
      <c r="D2805" s="395" t="s">
        <v>23</v>
      </c>
      <c r="E2805" s="407">
        <f t="shared" si="86"/>
        <v>17.829999999999998</v>
      </c>
      <c r="F2805">
        <f t="shared" si="87"/>
        <v>91920</v>
      </c>
      <c r="H2805" s="680">
        <v>17.829999999999998</v>
      </c>
      <c r="I2805" s="680">
        <v>19.3</v>
      </c>
    </row>
    <row r="2806" spans="2:9" ht="30">
      <c r="B2806" s="396">
        <v>91922</v>
      </c>
      <c r="C2806" s="401" t="s">
        <v>1470</v>
      </c>
      <c r="D2806" s="396" t="s">
        <v>23</v>
      </c>
      <c r="E2806" s="405">
        <f t="shared" si="86"/>
        <v>20.059999999999999</v>
      </c>
      <c r="F2806">
        <f t="shared" si="87"/>
        <v>91922</v>
      </c>
      <c r="H2806" s="679">
        <v>20.059999999999999</v>
      </c>
      <c r="I2806" s="679">
        <v>21.53</v>
      </c>
    </row>
    <row r="2807" spans="2:9" ht="30">
      <c r="B2807" s="395">
        <v>93013</v>
      </c>
      <c r="C2807" s="406" t="s">
        <v>6383</v>
      </c>
      <c r="D2807" s="395" t="s">
        <v>23</v>
      </c>
      <c r="E2807" s="407">
        <f t="shared" si="86"/>
        <v>12.99</v>
      </c>
      <c r="F2807">
        <f t="shared" si="87"/>
        <v>93013</v>
      </c>
      <c r="H2807" s="680">
        <v>12.99</v>
      </c>
      <c r="I2807" s="680">
        <v>14.05</v>
      </c>
    </row>
    <row r="2808" spans="2:9" ht="30">
      <c r="B2808" s="396">
        <v>93014</v>
      </c>
      <c r="C2808" s="401" t="s">
        <v>6384</v>
      </c>
      <c r="D2808" s="396" t="s">
        <v>23</v>
      </c>
      <c r="E2808" s="405">
        <f t="shared" si="86"/>
        <v>16.05</v>
      </c>
      <c r="F2808">
        <f t="shared" si="87"/>
        <v>93014</v>
      </c>
      <c r="H2808" s="679">
        <v>16.05</v>
      </c>
      <c r="I2808" s="679">
        <v>17.260000000000002</v>
      </c>
    </row>
    <row r="2809" spans="2:9" ht="30">
      <c r="B2809" s="395">
        <v>93015</v>
      </c>
      <c r="C2809" s="406" t="s">
        <v>6385</v>
      </c>
      <c r="D2809" s="395" t="s">
        <v>23</v>
      </c>
      <c r="E2809" s="407">
        <f t="shared" si="86"/>
        <v>24.71</v>
      </c>
      <c r="F2809">
        <f t="shared" si="87"/>
        <v>93015</v>
      </c>
      <c r="H2809" s="680">
        <v>24.71</v>
      </c>
      <c r="I2809" s="680">
        <v>26.15</v>
      </c>
    </row>
    <row r="2810" spans="2:9" ht="30">
      <c r="B2810" s="396">
        <v>93016</v>
      </c>
      <c r="C2810" s="401" t="s">
        <v>6386</v>
      </c>
      <c r="D2810" s="396" t="s">
        <v>23</v>
      </c>
      <c r="E2810" s="405">
        <f t="shared" si="86"/>
        <v>30.19</v>
      </c>
      <c r="F2810">
        <f t="shared" si="87"/>
        <v>93016</v>
      </c>
      <c r="H2810" s="679">
        <v>30.19</v>
      </c>
      <c r="I2810" s="679">
        <v>31.79</v>
      </c>
    </row>
    <row r="2811" spans="2:9" ht="30">
      <c r="B2811" s="395">
        <v>93017</v>
      </c>
      <c r="C2811" s="406" t="s">
        <v>6387</v>
      </c>
      <c r="D2811" s="395" t="s">
        <v>23</v>
      </c>
      <c r="E2811" s="407">
        <f t="shared" si="86"/>
        <v>45.79</v>
      </c>
      <c r="F2811">
        <f t="shared" si="87"/>
        <v>93017</v>
      </c>
      <c r="H2811" s="680">
        <v>45.79</v>
      </c>
      <c r="I2811" s="680">
        <v>47.79</v>
      </c>
    </row>
    <row r="2812" spans="2:9" ht="30">
      <c r="B2812" s="396">
        <v>93018</v>
      </c>
      <c r="C2812" s="401" t="s">
        <v>6388</v>
      </c>
      <c r="D2812" s="396" t="s">
        <v>23</v>
      </c>
      <c r="E2812" s="405">
        <f t="shared" si="86"/>
        <v>19.87</v>
      </c>
      <c r="F2812">
        <f t="shared" si="87"/>
        <v>93018</v>
      </c>
      <c r="H2812" s="679">
        <v>19.87</v>
      </c>
      <c r="I2812" s="679">
        <v>21.46</v>
      </c>
    </row>
    <row r="2813" spans="2:9" ht="30">
      <c r="B2813" s="395">
        <v>93020</v>
      </c>
      <c r="C2813" s="406" t="s">
        <v>6389</v>
      </c>
      <c r="D2813" s="395" t="s">
        <v>23</v>
      </c>
      <c r="E2813" s="407">
        <f t="shared" si="86"/>
        <v>25.68</v>
      </c>
      <c r="F2813">
        <f t="shared" si="87"/>
        <v>93020</v>
      </c>
      <c r="H2813" s="680">
        <v>25.68</v>
      </c>
      <c r="I2813" s="680">
        <v>27.49</v>
      </c>
    </row>
    <row r="2814" spans="2:9" ht="30">
      <c r="B2814" s="396">
        <v>93022</v>
      </c>
      <c r="C2814" s="401" t="s">
        <v>6390</v>
      </c>
      <c r="D2814" s="396" t="s">
        <v>23</v>
      </c>
      <c r="E2814" s="405">
        <f t="shared" si="86"/>
        <v>43.77</v>
      </c>
      <c r="F2814">
        <f t="shared" si="87"/>
        <v>93022</v>
      </c>
      <c r="H2814" s="679">
        <v>43.77</v>
      </c>
      <c r="I2814" s="679">
        <v>45.95</v>
      </c>
    </row>
    <row r="2815" spans="2:9" ht="30">
      <c r="B2815" s="395">
        <v>93024</v>
      </c>
      <c r="C2815" s="406" t="s">
        <v>6391</v>
      </c>
      <c r="D2815" s="395" t="s">
        <v>23</v>
      </c>
      <c r="E2815" s="407">
        <f t="shared" si="86"/>
        <v>45.9</v>
      </c>
      <c r="F2815">
        <f t="shared" si="87"/>
        <v>93024</v>
      </c>
      <c r="H2815" s="680">
        <v>45.9</v>
      </c>
      <c r="I2815" s="680">
        <v>48.31</v>
      </c>
    </row>
    <row r="2816" spans="2:9" ht="30">
      <c r="B2816" s="396">
        <v>93026</v>
      </c>
      <c r="C2816" s="401" t="s">
        <v>6392</v>
      </c>
      <c r="D2816" s="396" t="s">
        <v>23</v>
      </c>
      <c r="E2816" s="405">
        <f t="shared" si="86"/>
        <v>75.989999999999995</v>
      </c>
      <c r="F2816">
        <f t="shared" si="87"/>
        <v>93026</v>
      </c>
      <c r="H2816" s="679">
        <v>75.989999999999995</v>
      </c>
      <c r="I2816" s="679">
        <v>78.989999999999995</v>
      </c>
    </row>
    <row r="2817" spans="2:9" ht="30">
      <c r="B2817" s="395">
        <v>97559</v>
      </c>
      <c r="C2817" s="406" t="s">
        <v>3024</v>
      </c>
      <c r="D2817" s="395" t="s">
        <v>23</v>
      </c>
      <c r="E2817" s="407">
        <f t="shared" si="86"/>
        <v>9.26</v>
      </c>
      <c r="F2817">
        <f t="shared" si="87"/>
        <v>97559</v>
      </c>
      <c r="H2817" s="680">
        <v>9.26</v>
      </c>
      <c r="I2817" s="680">
        <v>10.01</v>
      </c>
    </row>
    <row r="2818" spans="2:9" ht="30">
      <c r="B2818" s="396">
        <v>97562</v>
      </c>
      <c r="C2818" s="401" t="s">
        <v>3025</v>
      </c>
      <c r="D2818" s="396" t="s">
        <v>23</v>
      </c>
      <c r="E2818" s="405">
        <f t="shared" si="86"/>
        <v>11</v>
      </c>
      <c r="F2818">
        <f t="shared" si="87"/>
        <v>97562</v>
      </c>
      <c r="H2818" s="679">
        <v>11</v>
      </c>
      <c r="I2818" s="679">
        <v>11.96</v>
      </c>
    </row>
    <row r="2819" spans="2:9" ht="30">
      <c r="B2819" s="395">
        <v>97564</v>
      </c>
      <c r="C2819" s="406" t="s">
        <v>3026</v>
      </c>
      <c r="D2819" s="395" t="s">
        <v>23</v>
      </c>
      <c r="E2819" s="407">
        <f t="shared" ref="E2819:E2882" si="88">IF($K$2=$H$1,H2819,I2819)</f>
        <v>12.54</v>
      </c>
      <c r="F2819">
        <f t="shared" ref="F2819:F2882" si="89">IF(LEN($B2819)=7,CONCATENATE(MID($B2819,1,6),"00",RIGHT($B2819,1)),IF(LEN($B2819)=8,CONCATENATE(MID($B2819,1,6),"0",RIGHT($B2819,2)),$B2819))</f>
        <v>97564</v>
      </c>
      <c r="H2819" s="680">
        <v>12.54</v>
      </c>
      <c r="I2819" s="680">
        <v>13.66</v>
      </c>
    </row>
    <row r="2820" spans="2:9" ht="30">
      <c r="B2820" s="396">
        <v>104395</v>
      </c>
      <c r="C2820" s="401" t="s">
        <v>7563</v>
      </c>
      <c r="D2820" s="396" t="s">
        <v>23</v>
      </c>
      <c r="E2820" s="405">
        <f t="shared" si="88"/>
        <v>19.260000000000002</v>
      </c>
      <c r="F2820">
        <f t="shared" si="89"/>
        <v>104395</v>
      </c>
      <c r="H2820" s="679">
        <v>19.260000000000002</v>
      </c>
      <c r="I2820" s="679">
        <v>20.27</v>
      </c>
    </row>
    <row r="2821" spans="2:9" ht="30">
      <c r="B2821" s="395">
        <v>91924</v>
      </c>
      <c r="C2821" s="406" t="s">
        <v>1471</v>
      </c>
      <c r="D2821" s="395" t="s">
        <v>22</v>
      </c>
      <c r="E2821" s="407">
        <f t="shared" si="88"/>
        <v>2.63</v>
      </c>
      <c r="F2821">
        <f t="shared" si="89"/>
        <v>91924</v>
      </c>
      <c r="H2821" s="680">
        <v>2.63</v>
      </c>
      <c r="I2821" s="680">
        <v>2.74</v>
      </c>
    </row>
    <row r="2822" spans="2:9" ht="30">
      <c r="B2822" s="396">
        <v>91925</v>
      </c>
      <c r="C2822" s="401" t="s">
        <v>1472</v>
      </c>
      <c r="D2822" s="396" t="s">
        <v>22</v>
      </c>
      <c r="E2822" s="405">
        <f t="shared" si="88"/>
        <v>3.2</v>
      </c>
      <c r="F2822">
        <f t="shared" si="89"/>
        <v>91925</v>
      </c>
      <c r="H2822" s="679">
        <v>3.2</v>
      </c>
      <c r="I2822" s="679">
        <v>3.31</v>
      </c>
    </row>
    <row r="2823" spans="2:9" ht="30">
      <c r="B2823" s="395">
        <v>91926</v>
      </c>
      <c r="C2823" s="406" t="s">
        <v>1473</v>
      </c>
      <c r="D2823" s="395" t="s">
        <v>22</v>
      </c>
      <c r="E2823" s="407">
        <f t="shared" si="88"/>
        <v>3.84</v>
      </c>
      <c r="F2823">
        <f t="shared" si="89"/>
        <v>91926</v>
      </c>
      <c r="H2823" s="680">
        <v>3.84</v>
      </c>
      <c r="I2823" s="680">
        <v>3.97</v>
      </c>
    </row>
    <row r="2824" spans="2:9" ht="30">
      <c r="B2824" s="396">
        <v>91927</v>
      </c>
      <c r="C2824" s="401" t="s">
        <v>1474</v>
      </c>
      <c r="D2824" s="396" t="s">
        <v>22</v>
      </c>
      <c r="E2824" s="405">
        <f t="shared" si="88"/>
        <v>4.3099999999999996</v>
      </c>
      <c r="F2824">
        <f t="shared" si="89"/>
        <v>91927</v>
      </c>
      <c r="H2824" s="679">
        <v>4.3099999999999996</v>
      </c>
      <c r="I2824" s="679">
        <v>4.4400000000000004</v>
      </c>
    </row>
    <row r="2825" spans="2:9" ht="30">
      <c r="B2825" s="395">
        <v>91928</v>
      </c>
      <c r="C2825" s="406" t="s">
        <v>1475</v>
      </c>
      <c r="D2825" s="395" t="s">
        <v>22</v>
      </c>
      <c r="E2825" s="407">
        <f t="shared" si="88"/>
        <v>5.94</v>
      </c>
      <c r="F2825">
        <f t="shared" si="89"/>
        <v>91928</v>
      </c>
      <c r="H2825" s="680">
        <v>5.94</v>
      </c>
      <c r="I2825" s="680">
        <v>6.13</v>
      </c>
    </row>
    <row r="2826" spans="2:9" ht="30">
      <c r="B2826" s="396">
        <v>91929</v>
      </c>
      <c r="C2826" s="401" t="s">
        <v>1476</v>
      </c>
      <c r="D2826" s="396" t="s">
        <v>22</v>
      </c>
      <c r="E2826" s="405">
        <f t="shared" si="88"/>
        <v>6.35</v>
      </c>
      <c r="F2826">
        <f t="shared" si="89"/>
        <v>91929</v>
      </c>
      <c r="H2826" s="679">
        <v>6.35</v>
      </c>
      <c r="I2826" s="679">
        <v>6.54</v>
      </c>
    </row>
    <row r="2827" spans="2:9" ht="30">
      <c r="B2827" s="395">
        <v>91930</v>
      </c>
      <c r="C2827" s="406" t="s">
        <v>1477</v>
      </c>
      <c r="D2827" s="395" t="s">
        <v>22</v>
      </c>
      <c r="E2827" s="407">
        <f t="shared" si="88"/>
        <v>8.2799999999999994</v>
      </c>
      <c r="F2827">
        <f t="shared" si="89"/>
        <v>91930</v>
      </c>
      <c r="H2827" s="680">
        <v>8.2799999999999994</v>
      </c>
      <c r="I2827" s="680">
        <v>8.5299999999999994</v>
      </c>
    </row>
    <row r="2828" spans="2:9" ht="30">
      <c r="B2828" s="396">
        <v>91931</v>
      </c>
      <c r="C2828" s="401" t="s">
        <v>1478</v>
      </c>
      <c r="D2828" s="396" t="s">
        <v>22</v>
      </c>
      <c r="E2828" s="405">
        <f t="shared" si="88"/>
        <v>8.9700000000000006</v>
      </c>
      <c r="F2828">
        <f t="shared" si="89"/>
        <v>91931</v>
      </c>
      <c r="H2828" s="679">
        <v>8.9700000000000006</v>
      </c>
      <c r="I2828" s="679">
        <v>9.2200000000000006</v>
      </c>
    </row>
    <row r="2829" spans="2:9" ht="30">
      <c r="B2829" s="395">
        <v>91932</v>
      </c>
      <c r="C2829" s="406" t="s">
        <v>1479</v>
      </c>
      <c r="D2829" s="395" t="s">
        <v>22</v>
      </c>
      <c r="E2829" s="407">
        <f t="shared" si="88"/>
        <v>14.9</v>
      </c>
      <c r="F2829">
        <f t="shared" si="89"/>
        <v>91932</v>
      </c>
      <c r="H2829" s="680">
        <v>14.9</v>
      </c>
      <c r="I2829" s="680">
        <v>15.26</v>
      </c>
    </row>
    <row r="2830" spans="2:9" ht="30">
      <c r="B2830" s="396">
        <v>91933</v>
      </c>
      <c r="C2830" s="401" t="s">
        <v>1480</v>
      </c>
      <c r="D2830" s="396" t="s">
        <v>22</v>
      </c>
      <c r="E2830" s="405">
        <f t="shared" si="88"/>
        <v>14.37</v>
      </c>
      <c r="F2830">
        <f t="shared" si="89"/>
        <v>91933</v>
      </c>
      <c r="H2830" s="679">
        <v>14.37</v>
      </c>
      <c r="I2830" s="679">
        <v>14.73</v>
      </c>
    </row>
    <row r="2831" spans="2:9" ht="30">
      <c r="B2831" s="395">
        <v>91934</v>
      </c>
      <c r="C2831" s="406" t="s">
        <v>1481</v>
      </c>
      <c r="D2831" s="395" t="s">
        <v>22</v>
      </c>
      <c r="E2831" s="407">
        <f t="shared" si="88"/>
        <v>21.5</v>
      </c>
      <c r="F2831">
        <f t="shared" si="89"/>
        <v>91934</v>
      </c>
      <c r="H2831" s="680">
        <v>21.5</v>
      </c>
      <c r="I2831" s="680">
        <v>22.04</v>
      </c>
    </row>
    <row r="2832" spans="2:9" ht="30">
      <c r="B2832" s="396">
        <v>91935</v>
      </c>
      <c r="C2832" s="401" t="s">
        <v>1482</v>
      </c>
      <c r="D2832" s="396" t="s">
        <v>22</v>
      </c>
      <c r="E2832" s="405">
        <f t="shared" si="88"/>
        <v>22.55</v>
      </c>
      <c r="F2832">
        <f t="shared" si="89"/>
        <v>91935</v>
      </c>
      <c r="H2832" s="679">
        <v>22.55</v>
      </c>
      <c r="I2832" s="679">
        <v>23.09</v>
      </c>
    </row>
    <row r="2833" spans="2:9" ht="30">
      <c r="B2833" s="395">
        <v>92979</v>
      </c>
      <c r="C2833" s="406" t="s">
        <v>1483</v>
      </c>
      <c r="D2833" s="395" t="s">
        <v>22</v>
      </c>
      <c r="E2833" s="407">
        <f t="shared" si="88"/>
        <v>10.49</v>
      </c>
      <c r="F2833">
        <f t="shared" si="89"/>
        <v>92979</v>
      </c>
      <c r="H2833" s="680">
        <v>10.49</v>
      </c>
      <c r="I2833" s="680">
        <v>10.53</v>
      </c>
    </row>
    <row r="2834" spans="2:9" ht="30">
      <c r="B2834" s="396">
        <v>92980</v>
      </c>
      <c r="C2834" s="401" t="s">
        <v>1484</v>
      </c>
      <c r="D2834" s="396" t="s">
        <v>22</v>
      </c>
      <c r="E2834" s="405">
        <f t="shared" si="88"/>
        <v>10.029999999999999</v>
      </c>
      <c r="F2834">
        <f t="shared" si="89"/>
        <v>92980</v>
      </c>
      <c r="H2834" s="679">
        <v>10.029999999999999</v>
      </c>
      <c r="I2834" s="679">
        <v>10.07</v>
      </c>
    </row>
    <row r="2835" spans="2:9" ht="30">
      <c r="B2835" s="395">
        <v>92981</v>
      </c>
      <c r="C2835" s="406" t="s">
        <v>1485</v>
      </c>
      <c r="D2835" s="395" t="s">
        <v>22</v>
      </c>
      <c r="E2835" s="407">
        <f t="shared" si="88"/>
        <v>14.99</v>
      </c>
      <c r="F2835">
        <f t="shared" si="89"/>
        <v>92981</v>
      </c>
      <c r="H2835" s="680">
        <v>14.99</v>
      </c>
      <c r="I2835" s="680">
        <v>15.05</v>
      </c>
    </row>
    <row r="2836" spans="2:9" ht="30">
      <c r="B2836" s="396">
        <v>92982</v>
      </c>
      <c r="C2836" s="401" t="s">
        <v>1486</v>
      </c>
      <c r="D2836" s="396" t="s">
        <v>22</v>
      </c>
      <c r="E2836" s="405">
        <f t="shared" si="88"/>
        <v>15.9</v>
      </c>
      <c r="F2836">
        <f t="shared" si="89"/>
        <v>92982</v>
      </c>
      <c r="H2836" s="679">
        <v>15.9</v>
      </c>
      <c r="I2836" s="679">
        <v>15.96</v>
      </c>
    </row>
    <row r="2837" spans="2:9" ht="30">
      <c r="B2837" s="395">
        <v>92984</v>
      </c>
      <c r="C2837" s="406" t="s">
        <v>6393</v>
      </c>
      <c r="D2837" s="395" t="s">
        <v>22</v>
      </c>
      <c r="E2837" s="407">
        <f t="shared" si="88"/>
        <v>26.03</v>
      </c>
      <c r="F2837">
        <f t="shared" si="89"/>
        <v>92984</v>
      </c>
      <c r="H2837" s="680">
        <v>26.03</v>
      </c>
      <c r="I2837" s="680">
        <v>26.31</v>
      </c>
    </row>
    <row r="2838" spans="2:9" ht="30">
      <c r="B2838" s="396">
        <v>92986</v>
      </c>
      <c r="C2838" s="401" t="s">
        <v>6394</v>
      </c>
      <c r="D2838" s="396" t="s">
        <v>22</v>
      </c>
      <c r="E2838" s="405">
        <f t="shared" si="88"/>
        <v>36.130000000000003</v>
      </c>
      <c r="F2838">
        <f t="shared" si="89"/>
        <v>92986</v>
      </c>
      <c r="H2838" s="679">
        <v>36.130000000000003</v>
      </c>
      <c r="I2838" s="679">
        <v>36.450000000000003</v>
      </c>
    </row>
    <row r="2839" spans="2:9" ht="30">
      <c r="B2839" s="395">
        <v>92988</v>
      </c>
      <c r="C2839" s="406" t="s">
        <v>6395</v>
      </c>
      <c r="D2839" s="395" t="s">
        <v>22</v>
      </c>
      <c r="E2839" s="407">
        <f t="shared" si="88"/>
        <v>52.58</v>
      </c>
      <c r="F2839">
        <f t="shared" si="89"/>
        <v>92988</v>
      </c>
      <c r="H2839" s="680">
        <v>52.58</v>
      </c>
      <c r="I2839" s="680">
        <v>52.96</v>
      </c>
    </row>
    <row r="2840" spans="2:9" ht="30">
      <c r="B2840" s="396">
        <v>92990</v>
      </c>
      <c r="C2840" s="401" t="s">
        <v>6396</v>
      </c>
      <c r="D2840" s="396" t="s">
        <v>22</v>
      </c>
      <c r="E2840" s="405">
        <f t="shared" si="88"/>
        <v>72.900000000000006</v>
      </c>
      <c r="F2840">
        <f t="shared" si="89"/>
        <v>92990</v>
      </c>
      <c r="H2840" s="679">
        <v>72.900000000000006</v>
      </c>
      <c r="I2840" s="679">
        <v>73.37</v>
      </c>
    </row>
    <row r="2841" spans="2:9" ht="30">
      <c r="B2841" s="395">
        <v>92992</v>
      </c>
      <c r="C2841" s="406" t="s">
        <v>6397</v>
      </c>
      <c r="D2841" s="395" t="s">
        <v>22</v>
      </c>
      <c r="E2841" s="407">
        <f t="shared" si="88"/>
        <v>94.31</v>
      </c>
      <c r="F2841">
        <f t="shared" si="89"/>
        <v>92992</v>
      </c>
      <c r="H2841" s="680">
        <v>94.31</v>
      </c>
      <c r="I2841" s="680">
        <v>94.89</v>
      </c>
    </row>
    <row r="2842" spans="2:9" ht="30">
      <c r="B2842" s="396">
        <v>92994</v>
      </c>
      <c r="C2842" s="401" t="s">
        <v>6398</v>
      </c>
      <c r="D2842" s="396" t="s">
        <v>22</v>
      </c>
      <c r="E2842" s="405">
        <f t="shared" si="88"/>
        <v>122.68</v>
      </c>
      <c r="F2842">
        <f t="shared" si="89"/>
        <v>92994</v>
      </c>
      <c r="H2842" s="679">
        <v>122.68</v>
      </c>
      <c r="I2842" s="679">
        <v>123.36</v>
      </c>
    </row>
    <row r="2843" spans="2:9" ht="30">
      <c r="B2843" s="395">
        <v>92996</v>
      </c>
      <c r="C2843" s="406" t="s">
        <v>6399</v>
      </c>
      <c r="D2843" s="395" t="s">
        <v>22</v>
      </c>
      <c r="E2843" s="407">
        <f t="shared" si="88"/>
        <v>148.44999999999999</v>
      </c>
      <c r="F2843">
        <f t="shared" si="89"/>
        <v>92996</v>
      </c>
      <c r="H2843" s="680">
        <v>148.44999999999999</v>
      </c>
      <c r="I2843" s="680">
        <v>149.25</v>
      </c>
    </row>
    <row r="2844" spans="2:9" ht="30">
      <c r="B2844" s="396">
        <v>92998</v>
      </c>
      <c r="C2844" s="401" t="s">
        <v>6400</v>
      </c>
      <c r="D2844" s="396" t="s">
        <v>22</v>
      </c>
      <c r="E2844" s="405">
        <f t="shared" si="88"/>
        <v>182.01</v>
      </c>
      <c r="F2844">
        <f t="shared" si="89"/>
        <v>92998</v>
      </c>
      <c r="H2844" s="679">
        <v>182.01</v>
      </c>
      <c r="I2844" s="679">
        <v>182.96</v>
      </c>
    </row>
    <row r="2845" spans="2:9" ht="30">
      <c r="B2845" s="395">
        <v>93000</v>
      </c>
      <c r="C2845" s="406" t="s">
        <v>6401</v>
      </c>
      <c r="D2845" s="395" t="s">
        <v>22</v>
      </c>
      <c r="E2845" s="407">
        <f t="shared" si="88"/>
        <v>241.11</v>
      </c>
      <c r="F2845">
        <f t="shared" si="89"/>
        <v>93000</v>
      </c>
      <c r="H2845" s="680">
        <v>241.11</v>
      </c>
      <c r="I2845" s="680">
        <v>242.29</v>
      </c>
    </row>
    <row r="2846" spans="2:9" ht="30">
      <c r="B2846" s="396">
        <v>93002</v>
      </c>
      <c r="C2846" s="401" t="s">
        <v>6402</v>
      </c>
      <c r="D2846" s="396" t="s">
        <v>22</v>
      </c>
      <c r="E2846" s="405">
        <f t="shared" si="88"/>
        <v>311.95</v>
      </c>
      <c r="F2846">
        <f t="shared" si="89"/>
        <v>93002</v>
      </c>
      <c r="H2846" s="679">
        <v>311.95</v>
      </c>
      <c r="I2846" s="679">
        <v>313.38</v>
      </c>
    </row>
    <row r="2847" spans="2:9" ht="30">
      <c r="B2847" s="395">
        <v>101884</v>
      </c>
      <c r="C2847" s="406" t="s">
        <v>4827</v>
      </c>
      <c r="D2847" s="395" t="s">
        <v>22</v>
      </c>
      <c r="E2847" s="407">
        <f t="shared" si="88"/>
        <v>10.28</v>
      </c>
      <c r="F2847">
        <f t="shared" si="89"/>
        <v>101884</v>
      </c>
      <c r="H2847" s="680">
        <v>10.28</v>
      </c>
      <c r="I2847" s="680">
        <v>10.29</v>
      </c>
    </row>
    <row r="2848" spans="2:9" ht="30">
      <c r="B2848" s="396">
        <v>101885</v>
      </c>
      <c r="C2848" s="401" t="s">
        <v>4828</v>
      </c>
      <c r="D2848" s="396" t="s">
        <v>22</v>
      </c>
      <c r="E2848" s="405">
        <f t="shared" si="88"/>
        <v>9.82</v>
      </c>
      <c r="F2848">
        <f t="shared" si="89"/>
        <v>101885</v>
      </c>
      <c r="H2848" s="679">
        <v>9.82</v>
      </c>
      <c r="I2848" s="679">
        <v>9.83</v>
      </c>
    </row>
    <row r="2849" spans="2:9" ht="30">
      <c r="B2849" s="395">
        <v>101886</v>
      </c>
      <c r="C2849" s="406" t="s">
        <v>4829</v>
      </c>
      <c r="D2849" s="395" t="s">
        <v>22</v>
      </c>
      <c r="E2849" s="407">
        <f t="shared" si="88"/>
        <v>14.75</v>
      </c>
      <c r="F2849">
        <f t="shared" si="89"/>
        <v>101886</v>
      </c>
      <c r="H2849" s="680">
        <v>14.75</v>
      </c>
      <c r="I2849" s="680">
        <v>14.77</v>
      </c>
    </row>
    <row r="2850" spans="2:9" ht="30">
      <c r="B2850" s="396">
        <v>101887</v>
      </c>
      <c r="C2850" s="401" t="s">
        <v>4830</v>
      </c>
      <c r="D2850" s="396" t="s">
        <v>22</v>
      </c>
      <c r="E2850" s="405">
        <f t="shared" si="88"/>
        <v>15.66</v>
      </c>
      <c r="F2850">
        <f t="shared" si="89"/>
        <v>101887</v>
      </c>
      <c r="H2850" s="679">
        <v>15.66</v>
      </c>
      <c r="I2850" s="679">
        <v>15.68</v>
      </c>
    </row>
    <row r="2851" spans="2:9" ht="30">
      <c r="B2851" s="395">
        <v>101888</v>
      </c>
      <c r="C2851" s="406" t="s">
        <v>4831</v>
      </c>
      <c r="D2851" s="395" t="s">
        <v>22</v>
      </c>
      <c r="E2851" s="407">
        <f t="shared" si="88"/>
        <v>23.11</v>
      </c>
      <c r="F2851">
        <f t="shared" si="89"/>
        <v>101888</v>
      </c>
      <c r="H2851" s="680">
        <v>23.11</v>
      </c>
      <c r="I2851" s="680">
        <v>23.17</v>
      </c>
    </row>
    <row r="2852" spans="2:9" ht="30">
      <c r="B2852" s="396">
        <v>101889</v>
      </c>
      <c r="C2852" s="401" t="s">
        <v>4832</v>
      </c>
      <c r="D2852" s="396" t="s">
        <v>22</v>
      </c>
      <c r="E2852" s="405">
        <f t="shared" si="88"/>
        <v>24.29</v>
      </c>
      <c r="F2852">
        <f t="shared" si="89"/>
        <v>101889</v>
      </c>
      <c r="H2852" s="679">
        <v>24.29</v>
      </c>
      <c r="I2852" s="679">
        <v>24.35</v>
      </c>
    </row>
    <row r="2853" spans="2:9">
      <c r="B2853" s="395">
        <v>91936</v>
      </c>
      <c r="C2853" s="406" t="s">
        <v>1487</v>
      </c>
      <c r="D2853" s="395" t="s">
        <v>23</v>
      </c>
      <c r="E2853" s="407">
        <f t="shared" si="88"/>
        <v>12.31</v>
      </c>
      <c r="F2853">
        <f t="shared" si="89"/>
        <v>91936</v>
      </c>
      <c r="H2853" s="680">
        <v>12.31</v>
      </c>
      <c r="I2853" s="680">
        <v>12.98</v>
      </c>
    </row>
    <row r="2854" spans="2:9">
      <c r="B2854" s="396">
        <v>91937</v>
      </c>
      <c r="C2854" s="401" t="s">
        <v>1488</v>
      </c>
      <c r="D2854" s="396" t="s">
        <v>23</v>
      </c>
      <c r="E2854" s="405">
        <f t="shared" si="88"/>
        <v>10.34</v>
      </c>
      <c r="F2854">
        <f t="shared" si="89"/>
        <v>91937</v>
      </c>
      <c r="H2854" s="679">
        <v>10.34</v>
      </c>
      <c r="I2854" s="679">
        <v>11.01</v>
      </c>
    </row>
    <row r="2855" spans="2:9">
      <c r="B2855" s="395">
        <v>91939</v>
      </c>
      <c r="C2855" s="406" t="s">
        <v>1489</v>
      </c>
      <c r="D2855" s="395" t="s">
        <v>23</v>
      </c>
      <c r="E2855" s="407">
        <f t="shared" si="88"/>
        <v>24.64</v>
      </c>
      <c r="F2855">
        <f t="shared" si="89"/>
        <v>91939</v>
      </c>
      <c r="H2855" s="680">
        <v>24.64</v>
      </c>
      <c r="I2855" s="680">
        <v>27.1</v>
      </c>
    </row>
    <row r="2856" spans="2:9">
      <c r="B2856" s="396">
        <v>91940</v>
      </c>
      <c r="C2856" s="401" t="s">
        <v>1490</v>
      </c>
      <c r="D2856" s="396" t="s">
        <v>23</v>
      </c>
      <c r="E2856" s="405">
        <f t="shared" si="88"/>
        <v>13.35</v>
      </c>
      <c r="F2856">
        <f t="shared" si="89"/>
        <v>91940</v>
      </c>
      <c r="H2856" s="679">
        <v>13.35</v>
      </c>
      <c r="I2856" s="679">
        <v>14.53</v>
      </c>
    </row>
    <row r="2857" spans="2:9">
      <c r="B2857" s="395">
        <v>91941</v>
      </c>
      <c r="C2857" s="406" t="s">
        <v>1491</v>
      </c>
      <c r="D2857" s="395" t="s">
        <v>23</v>
      </c>
      <c r="E2857" s="407">
        <f t="shared" si="88"/>
        <v>9.1199999999999992</v>
      </c>
      <c r="F2857">
        <f t="shared" si="89"/>
        <v>91941</v>
      </c>
      <c r="H2857" s="680">
        <v>9.1199999999999992</v>
      </c>
      <c r="I2857" s="680">
        <v>9.82</v>
      </c>
    </row>
    <row r="2858" spans="2:9">
      <c r="B2858" s="396">
        <v>91942</v>
      </c>
      <c r="C2858" s="401" t="s">
        <v>1492</v>
      </c>
      <c r="D2858" s="396" t="s">
        <v>23</v>
      </c>
      <c r="E2858" s="405">
        <f t="shared" si="88"/>
        <v>30.51</v>
      </c>
      <c r="F2858">
        <f t="shared" si="89"/>
        <v>91942</v>
      </c>
      <c r="H2858" s="679">
        <v>30.51</v>
      </c>
      <c r="I2858" s="679">
        <v>33.31</v>
      </c>
    </row>
    <row r="2859" spans="2:9">
      <c r="B2859" s="395">
        <v>91943</v>
      </c>
      <c r="C2859" s="406" t="s">
        <v>1493</v>
      </c>
      <c r="D2859" s="395" t="s">
        <v>23</v>
      </c>
      <c r="E2859" s="407">
        <f t="shared" si="88"/>
        <v>17.52</v>
      </c>
      <c r="F2859">
        <f t="shared" si="89"/>
        <v>91943</v>
      </c>
      <c r="H2859" s="680">
        <v>17.52</v>
      </c>
      <c r="I2859" s="680">
        <v>18.86</v>
      </c>
    </row>
    <row r="2860" spans="2:9">
      <c r="B2860" s="396">
        <v>91944</v>
      </c>
      <c r="C2860" s="401" t="s">
        <v>1494</v>
      </c>
      <c r="D2860" s="396" t="s">
        <v>23</v>
      </c>
      <c r="E2860" s="405">
        <f t="shared" si="88"/>
        <v>12.67</v>
      </c>
      <c r="F2860">
        <f t="shared" si="89"/>
        <v>91944</v>
      </c>
      <c r="H2860" s="679">
        <v>12.67</v>
      </c>
      <c r="I2860" s="679">
        <v>13.46</v>
      </c>
    </row>
    <row r="2861" spans="2:9">
      <c r="B2861" s="395">
        <v>92865</v>
      </c>
      <c r="C2861" s="406" t="s">
        <v>340</v>
      </c>
      <c r="D2861" s="395" t="s">
        <v>23</v>
      </c>
      <c r="E2861" s="407">
        <f t="shared" si="88"/>
        <v>9.41</v>
      </c>
      <c r="F2861">
        <f t="shared" si="89"/>
        <v>92865</v>
      </c>
      <c r="H2861" s="680">
        <v>9.41</v>
      </c>
      <c r="I2861" s="680">
        <v>10.08</v>
      </c>
    </row>
    <row r="2862" spans="2:9">
      <c r="B2862" s="396">
        <v>92866</v>
      </c>
      <c r="C2862" s="401" t="s">
        <v>341</v>
      </c>
      <c r="D2862" s="396" t="s">
        <v>23</v>
      </c>
      <c r="E2862" s="405">
        <f t="shared" si="88"/>
        <v>7.51</v>
      </c>
      <c r="F2862">
        <f t="shared" si="89"/>
        <v>92866</v>
      </c>
      <c r="H2862" s="679">
        <v>7.51</v>
      </c>
      <c r="I2862" s="679">
        <v>8.18</v>
      </c>
    </row>
    <row r="2863" spans="2:9">
      <c r="B2863" s="395">
        <v>92867</v>
      </c>
      <c r="C2863" s="406" t="s">
        <v>342</v>
      </c>
      <c r="D2863" s="395" t="s">
        <v>23</v>
      </c>
      <c r="E2863" s="407">
        <f t="shared" si="88"/>
        <v>23.82</v>
      </c>
      <c r="F2863">
        <f t="shared" si="89"/>
        <v>92867</v>
      </c>
      <c r="H2863" s="680">
        <v>23.82</v>
      </c>
      <c r="I2863" s="680">
        <v>26.28</v>
      </c>
    </row>
    <row r="2864" spans="2:9" ht="30">
      <c r="B2864" s="396">
        <v>92868</v>
      </c>
      <c r="C2864" s="401" t="s">
        <v>1495</v>
      </c>
      <c r="D2864" s="396" t="s">
        <v>23</v>
      </c>
      <c r="E2864" s="405">
        <f t="shared" si="88"/>
        <v>12.53</v>
      </c>
      <c r="F2864">
        <f t="shared" si="89"/>
        <v>92868</v>
      </c>
      <c r="H2864" s="679">
        <v>12.53</v>
      </c>
      <c r="I2864" s="679">
        <v>13.71</v>
      </c>
    </row>
    <row r="2865" spans="2:9" ht="30">
      <c r="B2865" s="395">
        <v>92869</v>
      </c>
      <c r="C2865" s="406" t="s">
        <v>1496</v>
      </c>
      <c r="D2865" s="395" t="s">
        <v>23</v>
      </c>
      <c r="E2865" s="407">
        <f t="shared" si="88"/>
        <v>8.3000000000000007</v>
      </c>
      <c r="F2865">
        <f t="shared" si="89"/>
        <v>92869</v>
      </c>
      <c r="H2865" s="680">
        <v>8.3000000000000007</v>
      </c>
      <c r="I2865" s="680">
        <v>9</v>
      </c>
    </row>
    <row r="2866" spans="2:9">
      <c r="B2866" s="396">
        <v>92870</v>
      </c>
      <c r="C2866" s="401" t="s">
        <v>343</v>
      </c>
      <c r="D2866" s="396" t="s">
        <v>23</v>
      </c>
      <c r="E2866" s="405">
        <f t="shared" si="88"/>
        <v>29.08</v>
      </c>
      <c r="F2866">
        <f t="shared" si="89"/>
        <v>92870</v>
      </c>
      <c r="H2866" s="679">
        <v>29.08</v>
      </c>
      <c r="I2866" s="679">
        <v>31.88</v>
      </c>
    </row>
    <row r="2867" spans="2:9" ht="30">
      <c r="B2867" s="395">
        <v>92871</v>
      </c>
      <c r="C2867" s="406" t="s">
        <v>1497</v>
      </c>
      <c r="D2867" s="395" t="s">
        <v>23</v>
      </c>
      <c r="E2867" s="407">
        <f t="shared" si="88"/>
        <v>16.09</v>
      </c>
      <c r="F2867">
        <f t="shared" si="89"/>
        <v>92871</v>
      </c>
      <c r="H2867" s="680">
        <v>16.09</v>
      </c>
      <c r="I2867" s="680">
        <v>17.43</v>
      </c>
    </row>
    <row r="2868" spans="2:9" ht="30">
      <c r="B2868" s="396">
        <v>92872</v>
      </c>
      <c r="C2868" s="401" t="s">
        <v>1498</v>
      </c>
      <c r="D2868" s="396" t="s">
        <v>23</v>
      </c>
      <c r="E2868" s="405">
        <f t="shared" si="88"/>
        <v>11.24</v>
      </c>
      <c r="F2868">
        <f t="shared" si="89"/>
        <v>92872</v>
      </c>
      <c r="H2868" s="679">
        <v>11.24</v>
      </c>
      <c r="I2868" s="679">
        <v>12.03</v>
      </c>
    </row>
    <row r="2869" spans="2:9" ht="30">
      <c r="B2869" s="395">
        <v>95777</v>
      </c>
      <c r="C2869" s="406" t="s">
        <v>7564</v>
      </c>
      <c r="D2869" s="395" t="s">
        <v>23</v>
      </c>
      <c r="E2869" s="407">
        <f t="shared" si="88"/>
        <v>22.56</v>
      </c>
      <c r="F2869">
        <f t="shared" si="89"/>
        <v>95777</v>
      </c>
      <c r="H2869" s="680">
        <v>22.56</v>
      </c>
      <c r="I2869" s="680">
        <v>23.65</v>
      </c>
    </row>
    <row r="2870" spans="2:9" ht="30">
      <c r="B2870" s="396">
        <v>95778</v>
      </c>
      <c r="C2870" s="401" t="s">
        <v>7565</v>
      </c>
      <c r="D2870" s="396" t="s">
        <v>23</v>
      </c>
      <c r="E2870" s="405">
        <f t="shared" si="88"/>
        <v>25.08</v>
      </c>
      <c r="F2870">
        <f t="shared" si="89"/>
        <v>95778</v>
      </c>
      <c r="H2870" s="679">
        <v>25.08</v>
      </c>
      <c r="I2870" s="679">
        <v>26.36</v>
      </c>
    </row>
    <row r="2871" spans="2:9" ht="30">
      <c r="B2871" s="395">
        <v>95779</v>
      </c>
      <c r="C2871" s="406" t="s">
        <v>7566</v>
      </c>
      <c r="D2871" s="395" t="s">
        <v>23</v>
      </c>
      <c r="E2871" s="407">
        <f t="shared" si="88"/>
        <v>20.78</v>
      </c>
      <c r="F2871">
        <f t="shared" si="89"/>
        <v>95779</v>
      </c>
      <c r="H2871" s="680">
        <v>20.78</v>
      </c>
      <c r="I2871" s="680">
        <v>21.87</v>
      </c>
    </row>
    <row r="2872" spans="2:9" ht="30">
      <c r="B2872" s="396">
        <v>95780</v>
      </c>
      <c r="C2872" s="401" t="s">
        <v>7567</v>
      </c>
      <c r="D2872" s="396" t="s">
        <v>23</v>
      </c>
      <c r="E2872" s="405">
        <f t="shared" si="88"/>
        <v>27.13</v>
      </c>
      <c r="F2872">
        <f t="shared" si="89"/>
        <v>95780</v>
      </c>
      <c r="H2872" s="679">
        <v>27.13</v>
      </c>
      <c r="I2872" s="679">
        <v>28.33</v>
      </c>
    </row>
    <row r="2873" spans="2:9" ht="30">
      <c r="B2873" s="395">
        <v>95781</v>
      </c>
      <c r="C2873" s="406" t="s">
        <v>7568</v>
      </c>
      <c r="D2873" s="395" t="s">
        <v>23</v>
      </c>
      <c r="E2873" s="407">
        <f t="shared" si="88"/>
        <v>30.49</v>
      </c>
      <c r="F2873">
        <f t="shared" si="89"/>
        <v>95781</v>
      </c>
      <c r="H2873" s="680">
        <v>30.49</v>
      </c>
      <c r="I2873" s="680">
        <v>32.01</v>
      </c>
    </row>
    <row r="2874" spans="2:9" ht="30">
      <c r="B2874" s="396">
        <v>95782</v>
      </c>
      <c r="C2874" s="401" t="s">
        <v>7569</v>
      </c>
      <c r="D2874" s="396" t="s">
        <v>23</v>
      </c>
      <c r="E2874" s="405">
        <f t="shared" si="88"/>
        <v>29.16</v>
      </c>
      <c r="F2874">
        <f t="shared" si="89"/>
        <v>95782</v>
      </c>
      <c r="H2874" s="679">
        <v>29.16</v>
      </c>
      <c r="I2874" s="679">
        <v>30.36</v>
      </c>
    </row>
    <row r="2875" spans="2:9" ht="30">
      <c r="B2875" s="395">
        <v>95785</v>
      </c>
      <c r="C2875" s="406" t="s">
        <v>7570</v>
      </c>
      <c r="D2875" s="395" t="s">
        <v>23</v>
      </c>
      <c r="E2875" s="407">
        <f t="shared" si="88"/>
        <v>34.700000000000003</v>
      </c>
      <c r="F2875">
        <f t="shared" si="89"/>
        <v>95785</v>
      </c>
      <c r="H2875" s="680">
        <v>34.700000000000003</v>
      </c>
      <c r="I2875" s="680">
        <v>36.06</v>
      </c>
    </row>
    <row r="2876" spans="2:9" ht="30">
      <c r="B2876" s="396">
        <v>95787</v>
      </c>
      <c r="C2876" s="401" t="s">
        <v>7571</v>
      </c>
      <c r="D2876" s="396" t="s">
        <v>23</v>
      </c>
      <c r="E2876" s="405">
        <f t="shared" si="88"/>
        <v>24.68</v>
      </c>
      <c r="F2876">
        <f t="shared" si="89"/>
        <v>95787</v>
      </c>
      <c r="H2876" s="679">
        <v>24.68</v>
      </c>
      <c r="I2876" s="679">
        <v>26.15</v>
      </c>
    </row>
    <row r="2877" spans="2:9" ht="30">
      <c r="B2877" s="395">
        <v>95789</v>
      </c>
      <c r="C2877" s="406" t="s">
        <v>7572</v>
      </c>
      <c r="D2877" s="395" t="s">
        <v>23</v>
      </c>
      <c r="E2877" s="407">
        <f t="shared" si="88"/>
        <v>34.159999999999997</v>
      </c>
      <c r="F2877">
        <f t="shared" si="89"/>
        <v>95789</v>
      </c>
      <c r="H2877" s="680">
        <v>34.159999999999997</v>
      </c>
      <c r="I2877" s="680">
        <v>36</v>
      </c>
    </row>
    <row r="2878" spans="2:9" ht="30">
      <c r="B2878" s="396">
        <v>95791</v>
      </c>
      <c r="C2878" s="401" t="s">
        <v>7573</v>
      </c>
      <c r="D2878" s="396" t="s">
        <v>23</v>
      </c>
      <c r="E2878" s="405">
        <f t="shared" si="88"/>
        <v>48.12</v>
      </c>
      <c r="F2878">
        <f t="shared" si="89"/>
        <v>95791</v>
      </c>
      <c r="H2878" s="679">
        <v>48.12</v>
      </c>
      <c r="I2878" s="679">
        <v>50.44</v>
      </c>
    </row>
    <row r="2879" spans="2:9" ht="30">
      <c r="B2879" s="395">
        <v>95795</v>
      </c>
      <c r="C2879" s="406" t="s">
        <v>7574</v>
      </c>
      <c r="D2879" s="395" t="s">
        <v>23</v>
      </c>
      <c r="E2879" s="407">
        <f t="shared" si="88"/>
        <v>28.16</v>
      </c>
      <c r="F2879">
        <f t="shared" si="89"/>
        <v>95795</v>
      </c>
      <c r="H2879" s="680">
        <v>28.16</v>
      </c>
      <c r="I2879" s="680">
        <v>29.84</v>
      </c>
    </row>
    <row r="2880" spans="2:9" ht="30">
      <c r="B2880" s="396">
        <v>95796</v>
      </c>
      <c r="C2880" s="401" t="s">
        <v>7575</v>
      </c>
      <c r="D2880" s="396" t="s">
        <v>23</v>
      </c>
      <c r="E2880" s="405">
        <f t="shared" si="88"/>
        <v>40.159999999999997</v>
      </c>
      <c r="F2880">
        <f t="shared" si="89"/>
        <v>95796</v>
      </c>
      <c r="H2880" s="679">
        <v>40.159999999999997</v>
      </c>
      <c r="I2880" s="679">
        <v>42.31</v>
      </c>
    </row>
    <row r="2881" spans="2:9" ht="30">
      <c r="B2881" s="395">
        <v>95797</v>
      </c>
      <c r="C2881" s="406" t="s">
        <v>7576</v>
      </c>
      <c r="D2881" s="395" t="s">
        <v>23</v>
      </c>
      <c r="E2881" s="407">
        <f t="shared" si="88"/>
        <v>56.02</v>
      </c>
      <c r="F2881">
        <f t="shared" si="89"/>
        <v>95797</v>
      </c>
      <c r="H2881" s="680">
        <v>56.02</v>
      </c>
      <c r="I2881" s="680">
        <v>58.82</v>
      </c>
    </row>
    <row r="2882" spans="2:9" ht="30">
      <c r="B2882" s="396">
        <v>95801</v>
      </c>
      <c r="C2882" s="401" t="s">
        <v>7577</v>
      </c>
      <c r="D2882" s="396" t="s">
        <v>23</v>
      </c>
      <c r="E2882" s="405">
        <f t="shared" si="88"/>
        <v>34.049999999999997</v>
      </c>
      <c r="F2882">
        <f t="shared" si="89"/>
        <v>95801</v>
      </c>
      <c r="H2882" s="679">
        <v>34.049999999999997</v>
      </c>
      <c r="I2882" s="679">
        <v>35.94</v>
      </c>
    </row>
    <row r="2883" spans="2:9" ht="30">
      <c r="B2883" s="395">
        <v>95802</v>
      </c>
      <c r="C2883" s="406" t="s">
        <v>7578</v>
      </c>
      <c r="D2883" s="395" t="s">
        <v>23</v>
      </c>
      <c r="E2883" s="407">
        <f t="shared" ref="E2883:E2946" si="90">IF($K$2=$H$1,H2883,I2883)</f>
        <v>42.08</v>
      </c>
      <c r="F2883">
        <f t="shared" ref="F2883:F2946" si="91">IF(LEN($B2883)=7,CONCATENATE(MID($B2883,1,6),"00",RIGHT($B2883,1)),IF(LEN($B2883)=8,CONCATENATE(MID($B2883,1,6),"0",RIGHT($B2883,2)),$B2883))</f>
        <v>95802</v>
      </c>
      <c r="H2883" s="680">
        <v>42.08</v>
      </c>
      <c r="I2883" s="680">
        <v>44.54</v>
      </c>
    </row>
    <row r="2884" spans="2:9" ht="30">
      <c r="B2884" s="396">
        <v>95803</v>
      </c>
      <c r="C2884" s="401" t="s">
        <v>7579</v>
      </c>
      <c r="D2884" s="396" t="s">
        <v>23</v>
      </c>
      <c r="E2884" s="405">
        <f t="shared" si="90"/>
        <v>62.04</v>
      </c>
      <c r="F2884">
        <f t="shared" si="91"/>
        <v>95803</v>
      </c>
      <c r="H2884" s="679">
        <v>62.04</v>
      </c>
      <c r="I2884" s="679">
        <v>65.319999999999993</v>
      </c>
    </row>
    <row r="2885" spans="2:9" ht="30">
      <c r="B2885" s="395">
        <v>95804</v>
      </c>
      <c r="C2885" s="406" t="s">
        <v>7580</v>
      </c>
      <c r="D2885" s="395" t="s">
        <v>23</v>
      </c>
      <c r="E2885" s="407">
        <f t="shared" si="90"/>
        <v>19.739999999999998</v>
      </c>
      <c r="F2885">
        <f t="shared" si="91"/>
        <v>95804</v>
      </c>
      <c r="H2885" s="680">
        <v>19.739999999999998</v>
      </c>
      <c r="I2885" s="680">
        <v>20.75</v>
      </c>
    </row>
    <row r="2886" spans="2:9" ht="30">
      <c r="B2886" s="396">
        <v>95805</v>
      </c>
      <c r="C2886" s="401" t="s">
        <v>7581</v>
      </c>
      <c r="D2886" s="396" t="s">
        <v>23</v>
      </c>
      <c r="E2886" s="405">
        <f t="shared" si="90"/>
        <v>20.77</v>
      </c>
      <c r="F2886">
        <f t="shared" si="91"/>
        <v>95805</v>
      </c>
      <c r="H2886" s="679">
        <v>20.77</v>
      </c>
      <c r="I2886" s="679">
        <v>21.9</v>
      </c>
    </row>
    <row r="2887" spans="2:9" ht="30">
      <c r="B2887" s="395">
        <v>95806</v>
      </c>
      <c r="C2887" s="406" t="s">
        <v>7582</v>
      </c>
      <c r="D2887" s="395" t="s">
        <v>23</v>
      </c>
      <c r="E2887" s="407">
        <f t="shared" si="90"/>
        <v>22.69</v>
      </c>
      <c r="F2887">
        <f t="shared" si="91"/>
        <v>95806</v>
      </c>
      <c r="H2887" s="680">
        <v>22.69</v>
      </c>
      <c r="I2887" s="680">
        <v>23.98</v>
      </c>
    </row>
    <row r="2888" spans="2:9" ht="30">
      <c r="B2888" s="396">
        <v>95807</v>
      </c>
      <c r="C2888" s="401" t="s">
        <v>7583</v>
      </c>
      <c r="D2888" s="396" t="s">
        <v>23</v>
      </c>
      <c r="E2888" s="405">
        <f t="shared" si="90"/>
        <v>23.07</v>
      </c>
      <c r="F2888">
        <f t="shared" si="91"/>
        <v>95807</v>
      </c>
      <c r="H2888" s="679">
        <v>23.07</v>
      </c>
      <c r="I2888" s="679">
        <v>24.33</v>
      </c>
    </row>
    <row r="2889" spans="2:9" ht="30">
      <c r="B2889" s="395">
        <v>95808</v>
      </c>
      <c r="C2889" s="406" t="s">
        <v>7584</v>
      </c>
      <c r="D2889" s="395" t="s">
        <v>23</v>
      </c>
      <c r="E2889" s="407">
        <f t="shared" si="90"/>
        <v>26.16</v>
      </c>
      <c r="F2889">
        <f t="shared" si="91"/>
        <v>95808</v>
      </c>
      <c r="H2889" s="680">
        <v>26.16</v>
      </c>
      <c r="I2889" s="680">
        <v>27.78</v>
      </c>
    </row>
    <row r="2890" spans="2:9" ht="30">
      <c r="B2890" s="396">
        <v>95809</v>
      </c>
      <c r="C2890" s="401" t="s">
        <v>7585</v>
      </c>
      <c r="D2890" s="396" t="s">
        <v>23</v>
      </c>
      <c r="E2890" s="405">
        <f t="shared" si="90"/>
        <v>32.380000000000003</v>
      </c>
      <c r="F2890">
        <f t="shared" si="91"/>
        <v>95809</v>
      </c>
      <c r="H2890" s="679">
        <v>32.380000000000003</v>
      </c>
      <c r="I2890" s="679">
        <v>34.49</v>
      </c>
    </row>
    <row r="2891" spans="2:9" ht="30">
      <c r="B2891" s="395">
        <v>95810</v>
      </c>
      <c r="C2891" s="406" t="s">
        <v>7586</v>
      </c>
      <c r="D2891" s="395" t="s">
        <v>23</v>
      </c>
      <c r="E2891" s="407">
        <f t="shared" si="90"/>
        <v>14.85</v>
      </c>
      <c r="F2891">
        <f t="shared" si="91"/>
        <v>95810</v>
      </c>
      <c r="H2891" s="680">
        <v>14.85</v>
      </c>
      <c r="I2891" s="680">
        <v>15.23</v>
      </c>
    </row>
    <row r="2892" spans="2:9" ht="30">
      <c r="B2892" s="396">
        <v>95811</v>
      </c>
      <c r="C2892" s="401" t="s">
        <v>7587</v>
      </c>
      <c r="D2892" s="396" t="s">
        <v>23</v>
      </c>
      <c r="E2892" s="405">
        <f t="shared" si="90"/>
        <v>17.95</v>
      </c>
      <c r="F2892">
        <f t="shared" si="91"/>
        <v>95811</v>
      </c>
      <c r="H2892" s="679">
        <v>17.95</v>
      </c>
      <c r="I2892" s="679">
        <v>18.690000000000001</v>
      </c>
    </row>
    <row r="2893" spans="2:9" ht="30">
      <c r="B2893" s="395">
        <v>95812</v>
      </c>
      <c r="C2893" s="406" t="s">
        <v>7588</v>
      </c>
      <c r="D2893" s="395" t="s">
        <v>23</v>
      </c>
      <c r="E2893" s="407">
        <f t="shared" si="90"/>
        <v>24.18</v>
      </c>
      <c r="F2893">
        <f t="shared" si="91"/>
        <v>95812</v>
      </c>
      <c r="H2893" s="680">
        <v>24.18</v>
      </c>
      <c r="I2893" s="680">
        <v>25.39</v>
      </c>
    </row>
    <row r="2894" spans="2:9" ht="30">
      <c r="B2894" s="396">
        <v>95813</v>
      </c>
      <c r="C2894" s="401" t="s">
        <v>7589</v>
      </c>
      <c r="D2894" s="396" t="s">
        <v>23</v>
      </c>
      <c r="E2894" s="405">
        <f t="shared" si="90"/>
        <v>17.18</v>
      </c>
      <c r="F2894">
        <f t="shared" si="91"/>
        <v>95813</v>
      </c>
      <c r="H2894" s="679">
        <v>17.18</v>
      </c>
      <c r="I2894" s="679">
        <v>17.690000000000001</v>
      </c>
    </row>
    <row r="2895" spans="2:9" ht="30">
      <c r="B2895" s="395">
        <v>95814</v>
      </c>
      <c r="C2895" s="406" t="s">
        <v>7590</v>
      </c>
      <c r="D2895" s="395" t="s">
        <v>23</v>
      </c>
      <c r="E2895" s="407">
        <f t="shared" si="90"/>
        <v>21.31</v>
      </c>
      <c r="F2895">
        <f t="shared" si="91"/>
        <v>95814</v>
      </c>
      <c r="H2895" s="680">
        <v>21.31</v>
      </c>
      <c r="I2895" s="680">
        <v>22.29</v>
      </c>
    </row>
    <row r="2896" spans="2:9" ht="30">
      <c r="B2896" s="396">
        <v>95815</v>
      </c>
      <c r="C2896" s="401" t="s">
        <v>7591</v>
      </c>
      <c r="D2896" s="396" t="s">
        <v>23</v>
      </c>
      <c r="E2896" s="405">
        <f t="shared" si="90"/>
        <v>31.12</v>
      </c>
      <c r="F2896">
        <f t="shared" si="91"/>
        <v>95815</v>
      </c>
      <c r="H2896" s="679">
        <v>31.12</v>
      </c>
      <c r="I2896" s="679">
        <v>32.75</v>
      </c>
    </row>
    <row r="2897" spans="2:9" ht="30">
      <c r="B2897" s="395">
        <v>95816</v>
      </c>
      <c r="C2897" s="406" t="s">
        <v>7592</v>
      </c>
      <c r="D2897" s="395" t="s">
        <v>23</v>
      </c>
      <c r="E2897" s="407">
        <f t="shared" si="90"/>
        <v>27.96</v>
      </c>
      <c r="F2897">
        <f t="shared" si="91"/>
        <v>95816</v>
      </c>
      <c r="H2897" s="680">
        <v>27.96</v>
      </c>
      <c r="I2897" s="680">
        <v>29.48</v>
      </c>
    </row>
    <row r="2898" spans="2:9" ht="30">
      <c r="B2898" s="396">
        <v>95817</v>
      </c>
      <c r="C2898" s="401" t="s">
        <v>7593</v>
      </c>
      <c r="D2898" s="396" t="s">
        <v>23</v>
      </c>
      <c r="E2898" s="405">
        <f t="shared" si="90"/>
        <v>32.65</v>
      </c>
      <c r="F2898">
        <f t="shared" si="91"/>
        <v>95817</v>
      </c>
      <c r="H2898" s="679">
        <v>32.65</v>
      </c>
      <c r="I2898" s="679">
        <v>34.76</v>
      </c>
    </row>
    <row r="2899" spans="2:9" ht="30">
      <c r="B2899" s="395">
        <v>95818</v>
      </c>
      <c r="C2899" s="406" t="s">
        <v>7594</v>
      </c>
      <c r="D2899" s="395" t="s">
        <v>23</v>
      </c>
      <c r="E2899" s="407">
        <f t="shared" si="90"/>
        <v>45.33</v>
      </c>
      <c r="F2899">
        <f t="shared" si="91"/>
        <v>95818</v>
      </c>
      <c r="H2899" s="680">
        <v>45.33</v>
      </c>
      <c r="I2899" s="680">
        <v>48.26</v>
      </c>
    </row>
    <row r="2900" spans="2:9" ht="30">
      <c r="B2900" s="396">
        <v>97881</v>
      </c>
      <c r="C2900" s="401" t="s">
        <v>5315</v>
      </c>
      <c r="D2900" s="396" t="s">
        <v>23</v>
      </c>
      <c r="E2900" s="405">
        <f t="shared" si="90"/>
        <v>131.72999999999999</v>
      </c>
      <c r="F2900">
        <f t="shared" si="91"/>
        <v>97881</v>
      </c>
      <c r="H2900" s="679">
        <v>131.72999999999999</v>
      </c>
      <c r="I2900" s="679">
        <v>134.13</v>
      </c>
    </row>
    <row r="2901" spans="2:9" ht="30">
      <c r="B2901" s="395">
        <v>97882</v>
      </c>
      <c r="C2901" s="406" t="s">
        <v>5316</v>
      </c>
      <c r="D2901" s="395" t="s">
        <v>23</v>
      </c>
      <c r="E2901" s="407">
        <f t="shared" si="90"/>
        <v>208.34</v>
      </c>
      <c r="F2901">
        <f t="shared" si="91"/>
        <v>97882</v>
      </c>
      <c r="H2901" s="680">
        <v>208.34</v>
      </c>
      <c r="I2901" s="680">
        <v>211.78</v>
      </c>
    </row>
    <row r="2902" spans="2:9" ht="30">
      <c r="B2902" s="396">
        <v>97883</v>
      </c>
      <c r="C2902" s="401" t="s">
        <v>5317</v>
      </c>
      <c r="D2902" s="396" t="s">
        <v>23</v>
      </c>
      <c r="E2902" s="405">
        <f t="shared" si="90"/>
        <v>404.78</v>
      </c>
      <c r="F2902">
        <f t="shared" si="91"/>
        <v>97883</v>
      </c>
      <c r="H2902" s="679">
        <v>404.78</v>
      </c>
      <c r="I2902" s="679">
        <v>410.73</v>
      </c>
    </row>
    <row r="2903" spans="2:9" ht="30">
      <c r="B2903" s="395">
        <v>97884</v>
      </c>
      <c r="C2903" s="406" t="s">
        <v>5318</v>
      </c>
      <c r="D2903" s="395" t="s">
        <v>23</v>
      </c>
      <c r="E2903" s="407">
        <f t="shared" si="90"/>
        <v>797.27</v>
      </c>
      <c r="F2903">
        <f t="shared" si="91"/>
        <v>97884</v>
      </c>
      <c r="H2903" s="680">
        <v>797.27</v>
      </c>
      <c r="I2903" s="680">
        <v>807.26</v>
      </c>
    </row>
    <row r="2904" spans="2:9" ht="30">
      <c r="B2904" s="396">
        <v>97885</v>
      </c>
      <c r="C2904" s="401" t="s">
        <v>5319</v>
      </c>
      <c r="D2904" s="396" t="s">
        <v>23</v>
      </c>
      <c r="E2904" s="405">
        <f t="shared" si="90"/>
        <v>1231.29</v>
      </c>
      <c r="F2904">
        <f t="shared" si="91"/>
        <v>97885</v>
      </c>
      <c r="H2904" s="679">
        <v>1231.29</v>
      </c>
      <c r="I2904" s="679">
        <v>1244.8</v>
      </c>
    </row>
    <row r="2905" spans="2:9" ht="30">
      <c r="B2905" s="395">
        <v>97886</v>
      </c>
      <c r="C2905" s="406" t="s">
        <v>5320</v>
      </c>
      <c r="D2905" s="395" t="s">
        <v>23</v>
      </c>
      <c r="E2905" s="407">
        <f t="shared" si="90"/>
        <v>162.82</v>
      </c>
      <c r="F2905">
        <f t="shared" si="91"/>
        <v>97886</v>
      </c>
      <c r="H2905" s="680">
        <v>162.82</v>
      </c>
      <c r="I2905" s="680">
        <v>171.7</v>
      </c>
    </row>
    <row r="2906" spans="2:9" ht="30">
      <c r="B2906" s="396">
        <v>97887</v>
      </c>
      <c r="C2906" s="401" t="s">
        <v>5321</v>
      </c>
      <c r="D2906" s="396" t="s">
        <v>23</v>
      </c>
      <c r="E2906" s="405">
        <f t="shared" si="90"/>
        <v>257.20999999999998</v>
      </c>
      <c r="F2906">
        <f t="shared" si="91"/>
        <v>97887</v>
      </c>
      <c r="H2906" s="679">
        <v>257.20999999999998</v>
      </c>
      <c r="I2906" s="679">
        <v>271.14</v>
      </c>
    </row>
    <row r="2907" spans="2:9" ht="30">
      <c r="B2907" s="395">
        <v>97888</v>
      </c>
      <c r="C2907" s="406" t="s">
        <v>5322</v>
      </c>
      <c r="D2907" s="395" t="s">
        <v>23</v>
      </c>
      <c r="E2907" s="407">
        <f t="shared" si="90"/>
        <v>502.26</v>
      </c>
      <c r="F2907">
        <f t="shared" si="91"/>
        <v>97888</v>
      </c>
      <c r="H2907" s="680">
        <v>502.26</v>
      </c>
      <c r="I2907" s="680">
        <v>528.25</v>
      </c>
    </row>
    <row r="2908" spans="2:9" ht="30">
      <c r="B2908" s="396">
        <v>97889</v>
      </c>
      <c r="C2908" s="401" t="s">
        <v>5323</v>
      </c>
      <c r="D2908" s="396" t="s">
        <v>23</v>
      </c>
      <c r="E2908" s="405">
        <f t="shared" si="90"/>
        <v>678.95</v>
      </c>
      <c r="F2908">
        <f t="shared" si="91"/>
        <v>97889</v>
      </c>
      <c r="H2908" s="679">
        <v>678.95</v>
      </c>
      <c r="I2908" s="679">
        <v>714.33</v>
      </c>
    </row>
    <row r="2909" spans="2:9" ht="30">
      <c r="B2909" s="395">
        <v>97890</v>
      </c>
      <c r="C2909" s="406" t="s">
        <v>5324</v>
      </c>
      <c r="D2909" s="395" t="s">
        <v>23</v>
      </c>
      <c r="E2909" s="407">
        <f t="shared" si="90"/>
        <v>789.89</v>
      </c>
      <c r="F2909">
        <f t="shared" si="91"/>
        <v>97890</v>
      </c>
      <c r="H2909" s="680">
        <v>789.89</v>
      </c>
      <c r="I2909" s="680">
        <v>825.94</v>
      </c>
    </row>
    <row r="2910" spans="2:9" ht="30">
      <c r="B2910" s="396">
        <v>97891</v>
      </c>
      <c r="C2910" s="401" t="s">
        <v>5325</v>
      </c>
      <c r="D2910" s="396" t="s">
        <v>23</v>
      </c>
      <c r="E2910" s="405">
        <f t="shared" si="90"/>
        <v>188.33</v>
      </c>
      <c r="F2910">
        <f t="shared" si="91"/>
        <v>97891</v>
      </c>
      <c r="H2910" s="679">
        <v>188.33</v>
      </c>
      <c r="I2910" s="679">
        <v>199.19</v>
      </c>
    </row>
    <row r="2911" spans="2:9" ht="30">
      <c r="B2911" s="395">
        <v>97892</v>
      </c>
      <c r="C2911" s="406" t="s">
        <v>5326</v>
      </c>
      <c r="D2911" s="395" t="s">
        <v>23</v>
      </c>
      <c r="E2911" s="407">
        <f t="shared" si="90"/>
        <v>356.64</v>
      </c>
      <c r="F2911">
        <f t="shared" si="91"/>
        <v>97892</v>
      </c>
      <c r="H2911" s="680">
        <v>356.64</v>
      </c>
      <c r="I2911" s="680">
        <v>376.14</v>
      </c>
    </row>
    <row r="2912" spans="2:9" ht="30">
      <c r="B2912" s="396">
        <v>97893</v>
      </c>
      <c r="C2912" s="401" t="s">
        <v>5327</v>
      </c>
      <c r="D2912" s="396" t="s">
        <v>23</v>
      </c>
      <c r="E2912" s="405">
        <f t="shared" si="90"/>
        <v>493.24</v>
      </c>
      <c r="F2912">
        <f t="shared" si="91"/>
        <v>97893</v>
      </c>
      <c r="H2912" s="679">
        <v>493.24</v>
      </c>
      <c r="I2912" s="679">
        <v>520.34</v>
      </c>
    </row>
    <row r="2913" spans="2:9" ht="30">
      <c r="B2913" s="395">
        <v>97894</v>
      </c>
      <c r="C2913" s="406" t="s">
        <v>5328</v>
      </c>
      <c r="D2913" s="395" t="s">
        <v>23</v>
      </c>
      <c r="E2913" s="407">
        <f t="shared" si="90"/>
        <v>564.83000000000004</v>
      </c>
      <c r="F2913">
        <f t="shared" si="91"/>
        <v>97894</v>
      </c>
      <c r="H2913" s="680">
        <v>564.83000000000004</v>
      </c>
      <c r="I2913" s="680">
        <v>590.89</v>
      </c>
    </row>
    <row r="2914" spans="2:9" ht="30">
      <c r="B2914" s="396">
        <v>104396</v>
      </c>
      <c r="C2914" s="401" t="s">
        <v>7595</v>
      </c>
      <c r="D2914" s="396" t="s">
        <v>23</v>
      </c>
      <c r="E2914" s="405">
        <f t="shared" si="90"/>
        <v>19.489999999999998</v>
      </c>
      <c r="F2914">
        <f t="shared" si="91"/>
        <v>104396</v>
      </c>
      <c r="H2914" s="679">
        <v>19.489999999999998</v>
      </c>
      <c r="I2914" s="679">
        <v>20.62</v>
      </c>
    </row>
    <row r="2915" spans="2:9" ht="30">
      <c r="B2915" s="395">
        <v>104397</v>
      </c>
      <c r="C2915" s="406" t="s">
        <v>7596</v>
      </c>
      <c r="D2915" s="395" t="s">
        <v>23</v>
      </c>
      <c r="E2915" s="407">
        <f t="shared" si="90"/>
        <v>23.3</v>
      </c>
      <c r="F2915">
        <f t="shared" si="91"/>
        <v>104397</v>
      </c>
      <c r="H2915" s="680">
        <v>23.3</v>
      </c>
      <c r="I2915" s="680">
        <v>24.59</v>
      </c>
    </row>
    <row r="2916" spans="2:9" ht="30">
      <c r="B2916" s="396">
        <v>104398</v>
      </c>
      <c r="C2916" s="401" t="s">
        <v>7597</v>
      </c>
      <c r="D2916" s="396" t="s">
        <v>23</v>
      </c>
      <c r="E2916" s="405">
        <f t="shared" si="90"/>
        <v>23.06</v>
      </c>
      <c r="F2916">
        <f t="shared" si="91"/>
        <v>104398</v>
      </c>
      <c r="H2916" s="679">
        <v>23.06</v>
      </c>
      <c r="I2916" s="679">
        <v>24.32</v>
      </c>
    </row>
    <row r="2917" spans="2:9" ht="30">
      <c r="B2917" s="395">
        <v>104399</v>
      </c>
      <c r="C2917" s="406" t="s">
        <v>7598</v>
      </c>
      <c r="D2917" s="395" t="s">
        <v>23</v>
      </c>
      <c r="E2917" s="407">
        <f t="shared" si="90"/>
        <v>24.88</v>
      </c>
      <c r="F2917">
        <f t="shared" si="91"/>
        <v>104399</v>
      </c>
      <c r="H2917" s="680">
        <v>24.88</v>
      </c>
      <c r="I2917" s="680">
        <v>26.5</v>
      </c>
    </row>
    <row r="2918" spans="2:9" ht="30">
      <c r="B2918" s="396">
        <v>104400</v>
      </c>
      <c r="C2918" s="401" t="s">
        <v>7599</v>
      </c>
      <c r="D2918" s="396" t="s">
        <v>23</v>
      </c>
      <c r="E2918" s="405">
        <f t="shared" si="90"/>
        <v>31.83</v>
      </c>
      <c r="F2918">
        <f t="shared" si="91"/>
        <v>104400</v>
      </c>
      <c r="H2918" s="679">
        <v>31.83</v>
      </c>
      <c r="I2918" s="679">
        <v>33.94</v>
      </c>
    </row>
    <row r="2919" spans="2:9" ht="30">
      <c r="B2919" s="395">
        <v>104401</v>
      </c>
      <c r="C2919" s="406" t="s">
        <v>7600</v>
      </c>
      <c r="D2919" s="395" t="s">
        <v>23</v>
      </c>
      <c r="E2919" s="407">
        <f t="shared" si="90"/>
        <v>21.92</v>
      </c>
      <c r="F2919">
        <f t="shared" si="91"/>
        <v>104401</v>
      </c>
      <c r="H2919" s="680">
        <v>21.92</v>
      </c>
      <c r="I2919" s="680">
        <v>23.05</v>
      </c>
    </row>
    <row r="2920" spans="2:9" ht="30">
      <c r="B2920" s="396">
        <v>104402</v>
      </c>
      <c r="C2920" s="401" t="s">
        <v>7601</v>
      </c>
      <c r="D2920" s="396" t="s">
        <v>23</v>
      </c>
      <c r="E2920" s="405">
        <f t="shared" si="90"/>
        <v>22.71</v>
      </c>
      <c r="F2920">
        <f t="shared" si="91"/>
        <v>104402</v>
      </c>
      <c r="H2920" s="679">
        <v>22.71</v>
      </c>
      <c r="I2920" s="679">
        <v>24.08</v>
      </c>
    </row>
    <row r="2921" spans="2:9" ht="30">
      <c r="B2921" s="395">
        <v>104403</v>
      </c>
      <c r="C2921" s="406" t="s">
        <v>7602</v>
      </c>
      <c r="D2921" s="395" t="s">
        <v>23</v>
      </c>
      <c r="E2921" s="407">
        <f t="shared" si="90"/>
        <v>28.22</v>
      </c>
      <c r="F2921">
        <f t="shared" si="91"/>
        <v>104403</v>
      </c>
      <c r="H2921" s="680">
        <v>28.22</v>
      </c>
      <c r="I2921" s="680">
        <v>29.92</v>
      </c>
    </row>
    <row r="2922" spans="2:9" ht="30">
      <c r="B2922" s="396">
        <v>104404</v>
      </c>
      <c r="C2922" s="401" t="s">
        <v>7603</v>
      </c>
      <c r="D2922" s="396" t="s">
        <v>23</v>
      </c>
      <c r="E2922" s="405">
        <f t="shared" si="90"/>
        <v>29.12</v>
      </c>
      <c r="F2922">
        <f t="shared" si="91"/>
        <v>104404</v>
      </c>
      <c r="H2922" s="679">
        <v>29.12</v>
      </c>
      <c r="I2922" s="679">
        <v>30.97</v>
      </c>
    </row>
    <row r="2923" spans="2:9" ht="30">
      <c r="B2923" s="395">
        <v>104405</v>
      </c>
      <c r="C2923" s="406" t="s">
        <v>7604</v>
      </c>
      <c r="D2923" s="395" t="s">
        <v>23</v>
      </c>
      <c r="E2923" s="407">
        <f t="shared" si="90"/>
        <v>39.33</v>
      </c>
      <c r="F2923">
        <f t="shared" si="91"/>
        <v>104405</v>
      </c>
      <c r="H2923" s="680">
        <v>39.33</v>
      </c>
      <c r="I2923" s="680">
        <v>41.85</v>
      </c>
    </row>
    <row r="2924" spans="2:9">
      <c r="B2924" s="396">
        <v>93653</v>
      </c>
      <c r="C2924" s="401" t="s">
        <v>4833</v>
      </c>
      <c r="D2924" s="396" t="s">
        <v>23</v>
      </c>
      <c r="E2924" s="405">
        <f t="shared" si="90"/>
        <v>12.65</v>
      </c>
      <c r="F2924">
        <f t="shared" si="91"/>
        <v>93653</v>
      </c>
      <c r="H2924" s="679">
        <v>12.65</v>
      </c>
      <c r="I2924" s="679">
        <v>12.82</v>
      </c>
    </row>
    <row r="2925" spans="2:9">
      <c r="B2925" s="395">
        <v>93654</v>
      </c>
      <c r="C2925" s="406" t="s">
        <v>4834</v>
      </c>
      <c r="D2925" s="395" t="s">
        <v>23</v>
      </c>
      <c r="E2925" s="407">
        <f t="shared" si="90"/>
        <v>13.16</v>
      </c>
      <c r="F2925">
        <f t="shared" si="91"/>
        <v>93654</v>
      </c>
      <c r="H2925" s="680">
        <v>13.16</v>
      </c>
      <c r="I2925" s="680">
        <v>13.39</v>
      </c>
    </row>
    <row r="2926" spans="2:9">
      <c r="B2926" s="396">
        <v>93655</v>
      </c>
      <c r="C2926" s="401" t="s">
        <v>4835</v>
      </c>
      <c r="D2926" s="396" t="s">
        <v>23</v>
      </c>
      <c r="E2926" s="405">
        <f t="shared" si="90"/>
        <v>14.23</v>
      </c>
      <c r="F2926">
        <f t="shared" si="91"/>
        <v>93655</v>
      </c>
      <c r="H2926" s="679">
        <v>14.23</v>
      </c>
      <c r="I2926" s="679">
        <v>14.54</v>
      </c>
    </row>
    <row r="2927" spans="2:9">
      <c r="B2927" s="395">
        <v>93656</v>
      </c>
      <c r="C2927" s="406" t="s">
        <v>4836</v>
      </c>
      <c r="D2927" s="395" t="s">
        <v>23</v>
      </c>
      <c r="E2927" s="407">
        <f t="shared" si="90"/>
        <v>14.23</v>
      </c>
      <c r="F2927">
        <f t="shared" si="91"/>
        <v>93656</v>
      </c>
      <c r="H2927" s="680">
        <v>14.23</v>
      </c>
      <c r="I2927" s="680">
        <v>14.54</v>
      </c>
    </row>
    <row r="2928" spans="2:9">
      <c r="B2928" s="396">
        <v>93657</v>
      </c>
      <c r="C2928" s="401" t="s">
        <v>4837</v>
      </c>
      <c r="D2928" s="396" t="s">
        <v>23</v>
      </c>
      <c r="E2928" s="405">
        <f t="shared" si="90"/>
        <v>15.5</v>
      </c>
      <c r="F2928">
        <f t="shared" si="91"/>
        <v>93657</v>
      </c>
      <c r="H2928" s="679">
        <v>15.5</v>
      </c>
      <c r="I2928" s="679">
        <v>15.93</v>
      </c>
    </row>
    <row r="2929" spans="2:9">
      <c r="B2929" s="395">
        <v>93658</v>
      </c>
      <c r="C2929" s="406" t="s">
        <v>4838</v>
      </c>
      <c r="D2929" s="395" t="s">
        <v>23</v>
      </c>
      <c r="E2929" s="407">
        <f t="shared" si="90"/>
        <v>22.39</v>
      </c>
      <c r="F2929">
        <f t="shared" si="91"/>
        <v>93658</v>
      </c>
      <c r="H2929" s="680">
        <v>22.39</v>
      </c>
      <c r="I2929" s="680">
        <v>23.03</v>
      </c>
    </row>
    <row r="2930" spans="2:9">
      <c r="B2930" s="396">
        <v>93659</v>
      </c>
      <c r="C2930" s="401" t="s">
        <v>4839</v>
      </c>
      <c r="D2930" s="396" t="s">
        <v>23</v>
      </c>
      <c r="E2930" s="405">
        <f t="shared" si="90"/>
        <v>24.92</v>
      </c>
      <c r="F2930">
        <f t="shared" si="91"/>
        <v>93659</v>
      </c>
      <c r="H2930" s="679">
        <v>24.92</v>
      </c>
      <c r="I2930" s="679">
        <v>25.81</v>
      </c>
    </row>
    <row r="2931" spans="2:9">
      <c r="B2931" s="395">
        <v>93660</v>
      </c>
      <c r="C2931" s="406" t="s">
        <v>4840</v>
      </c>
      <c r="D2931" s="395" t="s">
        <v>23</v>
      </c>
      <c r="E2931" s="407">
        <f t="shared" si="90"/>
        <v>63.49</v>
      </c>
      <c r="F2931">
        <f t="shared" si="91"/>
        <v>93660</v>
      </c>
      <c r="H2931" s="680">
        <v>63.49</v>
      </c>
      <c r="I2931" s="680">
        <v>63.81</v>
      </c>
    </row>
    <row r="2932" spans="2:9">
      <c r="B2932" s="396">
        <v>93661</v>
      </c>
      <c r="C2932" s="401" t="s">
        <v>4841</v>
      </c>
      <c r="D2932" s="396" t="s">
        <v>23</v>
      </c>
      <c r="E2932" s="405">
        <f t="shared" si="90"/>
        <v>64.52</v>
      </c>
      <c r="F2932">
        <f t="shared" si="91"/>
        <v>93661</v>
      </c>
      <c r="H2932" s="679">
        <v>64.52</v>
      </c>
      <c r="I2932" s="679">
        <v>64.959999999999994</v>
      </c>
    </row>
    <row r="2933" spans="2:9">
      <c r="B2933" s="395">
        <v>93662</v>
      </c>
      <c r="C2933" s="406" t="s">
        <v>4842</v>
      </c>
      <c r="D2933" s="395" t="s">
        <v>23</v>
      </c>
      <c r="E2933" s="407">
        <f t="shared" si="90"/>
        <v>66.650000000000006</v>
      </c>
      <c r="F2933">
        <f t="shared" si="91"/>
        <v>93662</v>
      </c>
      <c r="H2933" s="680">
        <v>66.650000000000006</v>
      </c>
      <c r="I2933" s="680">
        <v>67.27</v>
      </c>
    </row>
    <row r="2934" spans="2:9">
      <c r="B2934" s="396">
        <v>93663</v>
      </c>
      <c r="C2934" s="401" t="s">
        <v>4843</v>
      </c>
      <c r="D2934" s="396" t="s">
        <v>23</v>
      </c>
      <c r="E2934" s="405">
        <f t="shared" si="90"/>
        <v>66.650000000000006</v>
      </c>
      <c r="F2934">
        <f t="shared" si="91"/>
        <v>93663</v>
      </c>
      <c r="H2934" s="679">
        <v>66.650000000000006</v>
      </c>
      <c r="I2934" s="679">
        <v>67.27</v>
      </c>
    </row>
    <row r="2935" spans="2:9">
      <c r="B2935" s="395">
        <v>93664</v>
      </c>
      <c r="C2935" s="406" t="s">
        <v>4844</v>
      </c>
      <c r="D2935" s="395" t="s">
        <v>23</v>
      </c>
      <c r="E2935" s="407">
        <f t="shared" si="90"/>
        <v>69.19</v>
      </c>
      <c r="F2935">
        <f t="shared" si="91"/>
        <v>93664</v>
      </c>
      <c r="H2935" s="680">
        <v>69.19</v>
      </c>
      <c r="I2935" s="680">
        <v>70.05</v>
      </c>
    </row>
    <row r="2936" spans="2:9">
      <c r="B2936" s="396">
        <v>93665</v>
      </c>
      <c r="C2936" s="401" t="s">
        <v>4845</v>
      </c>
      <c r="D2936" s="396" t="s">
        <v>23</v>
      </c>
      <c r="E2936" s="405">
        <f t="shared" si="90"/>
        <v>72.19</v>
      </c>
      <c r="F2936">
        <f t="shared" si="91"/>
        <v>93665</v>
      </c>
      <c r="H2936" s="679">
        <v>72.19</v>
      </c>
      <c r="I2936" s="679">
        <v>73.459999999999994</v>
      </c>
    </row>
    <row r="2937" spans="2:9">
      <c r="B2937" s="395">
        <v>93666</v>
      </c>
      <c r="C2937" s="406" t="s">
        <v>4846</v>
      </c>
      <c r="D2937" s="395" t="s">
        <v>23</v>
      </c>
      <c r="E2937" s="407">
        <f t="shared" si="90"/>
        <v>77.260000000000005</v>
      </c>
      <c r="F2937">
        <f t="shared" si="91"/>
        <v>93666</v>
      </c>
      <c r="H2937" s="680">
        <v>77.260000000000005</v>
      </c>
      <c r="I2937" s="680">
        <v>79.040000000000006</v>
      </c>
    </row>
    <row r="2938" spans="2:9">
      <c r="B2938" s="396">
        <v>93667</v>
      </c>
      <c r="C2938" s="401" t="s">
        <v>4847</v>
      </c>
      <c r="D2938" s="396" t="s">
        <v>23</v>
      </c>
      <c r="E2938" s="405">
        <f t="shared" si="90"/>
        <v>79.13</v>
      </c>
      <c r="F2938">
        <f t="shared" si="91"/>
        <v>93667</v>
      </c>
      <c r="H2938" s="679">
        <v>79.13</v>
      </c>
      <c r="I2938" s="679">
        <v>79.62</v>
      </c>
    </row>
    <row r="2939" spans="2:9">
      <c r="B2939" s="395">
        <v>93668</v>
      </c>
      <c r="C2939" s="406" t="s">
        <v>4848</v>
      </c>
      <c r="D2939" s="395" t="s">
        <v>23</v>
      </c>
      <c r="E2939" s="407">
        <f t="shared" si="90"/>
        <v>80.67</v>
      </c>
      <c r="F2939">
        <f t="shared" si="91"/>
        <v>93668</v>
      </c>
      <c r="H2939" s="680">
        <v>80.67</v>
      </c>
      <c r="I2939" s="680">
        <v>81.349999999999994</v>
      </c>
    </row>
    <row r="2940" spans="2:9">
      <c r="B2940" s="396">
        <v>93669</v>
      </c>
      <c r="C2940" s="401" t="s">
        <v>4849</v>
      </c>
      <c r="D2940" s="396" t="s">
        <v>23</v>
      </c>
      <c r="E2940" s="405">
        <f t="shared" si="90"/>
        <v>83.86</v>
      </c>
      <c r="F2940">
        <f t="shared" si="91"/>
        <v>93669</v>
      </c>
      <c r="H2940" s="679">
        <v>83.86</v>
      </c>
      <c r="I2940" s="679">
        <v>84.79</v>
      </c>
    </row>
    <row r="2941" spans="2:9">
      <c r="B2941" s="395">
        <v>93670</v>
      </c>
      <c r="C2941" s="406" t="s">
        <v>4850</v>
      </c>
      <c r="D2941" s="395" t="s">
        <v>23</v>
      </c>
      <c r="E2941" s="407">
        <f t="shared" si="90"/>
        <v>83.86</v>
      </c>
      <c r="F2941">
        <f t="shared" si="91"/>
        <v>93670</v>
      </c>
      <c r="H2941" s="680">
        <v>83.86</v>
      </c>
      <c r="I2941" s="680">
        <v>84.79</v>
      </c>
    </row>
    <row r="2942" spans="2:9">
      <c r="B2942" s="396">
        <v>93671</v>
      </c>
      <c r="C2942" s="401" t="s">
        <v>4851</v>
      </c>
      <c r="D2942" s="396" t="s">
        <v>23</v>
      </c>
      <c r="E2942" s="405">
        <f t="shared" si="90"/>
        <v>87.68</v>
      </c>
      <c r="F2942">
        <f t="shared" si="91"/>
        <v>93671</v>
      </c>
      <c r="H2942" s="679">
        <v>87.68</v>
      </c>
      <c r="I2942" s="679">
        <v>88.96</v>
      </c>
    </row>
    <row r="2943" spans="2:9">
      <c r="B2943" s="395">
        <v>93672</v>
      </c>
      <c r="C2943" s="406" t="s">
        <v>4852</v>
      </c>
      <c r="D2943" s="395" t="s">
        <v>23</v>
      </c>
      <c r="E2943" s="407">
        <f t="shared" si="90"/>
        <v>93.53</v>
      </c>
      <c r="F2943">
        <f t="shared" si="91"/>
        <v>93672</v>
      </c>
      <c r="H2943" s="680">
        <v>93.53</v>
      </c>
      <c r="I2943" s="680">
        <v>95.43</v>
      </c>
    </row>
    <row r="2944" spans="2:9">
      <c r="B2944" s="396">
        <v>93673</v>
      </c>
      <c r="C2944" s="401" t="s">
        <v>4853</v>
      </c>
      <c r="D2944" s="396" t="s">
        <v>23</v>
      </c>
      <c r="E2944" s="405">
        <f t="shared" si="90"/>
        <v>101.14</v>
      </c>
      <c r="F2944">
        <f t="shared" si="91"/>
        <v>93673</v>
      </c>
      <c r="H2944" s="679">
        <v>101.14</v>
      </c>
      <c r="I2944" s="679">
        <v>103.81</v>
      </c>
    </row>
    <row r="2945" spans="2:9">
      <c r="B2945" s="395">
        <v>97359</v>
      </c>
      <c r="C2945" s="406" t="s">
        <v>4854</v>
      </c>
      <c r="D2945" s="395" t="s">
        <v>23</v>
      </c>
      <c r="E2945" s="407">
        <f t="shared" si="90"/>
        <v>3928.39</v>
      </c>
      <c r="F2945">
        <f t="shared" si="91"/>
        <v>97359</v>
      </c>
      <c r="H2945" s="680">
        <v>3928.39</v>
      </c>
      <c r="I2945" s="680">
        <v>3945.56</v>
      </c>
    </row>
    <row r="2946" spans="2:9">
      <c r="B2946" s="396">
        <v>97360</v>
      </c>
      <c r="C2946" s="401" t="s">
        <v>4855</v>
      </c>
      <c r="D2946" s="396" t="s">
        <v>23</v>
      </c>
      <c r="E2946" s="405">
        <f t="shared" si="90"/>
        <v>7592.06</v>
      </c>
      <c r="F2946">
        <f t="shared" si="91"/>
        <v>97360</v>
      </c>
      <c r="H2946" s="679">
        <v>7592.06</v>
      </c>
      <c r="I2946" s="679">
        <v>7617.81</v>
      </c>
    </row>
    <row r="2947" spans="2:9">
      <c r="B2947" s="395">
        <v>97361</v>
      </c>
      <c r="C2947" s="406" t="s">
        <v>4856</v>
      </c>
      <c r="D2947" s="395" t="s">
        <v>23</v>
      </c>
      <c r="E2947" s="407">
        <f t="shared" ref="E2947:E3010" si="92">IF($K$2=$H$1,H2947,I2947)</f>
        <v>10122.75</v>
      </c>
      <c r="F2947">
        <f t="shared" ref="F2947:F3010" si="93">IF(LEN($B2947)=7,CONCATENATE(MID($B2947,1,6),"00",RIGHT($B2947,1)),IF(LEN($B2947)=8,CONCATENATE(MID($B2947,1,6),"0",RIGHT($B2947,2)),$B2947))</f>
        <v>97361</v>
      </c>
      <c r="H2947" s="680">
        <v>10122.75</v>
      </c>
      <c r="I2947" s="680">
        <v>10157.08</v>
      </c>
    </row>
    <row r="2948" spans="2:9" ht="30">
      <c r="B2948" s="396">
        <v>97362</v>
      </c>
      <c r="C2948" s="401" t="s">
        <v>4857</v>
      </c>
      <c r="D2948" s="396" t="s">
        <v>23</v>
      </c>
      <c r="E2948" s="405">
        <f t="shared" si="92"/>
        <v>1880.69</v>
      </c>
      <c r="F2948">
        <f t="shared" si="93"/>
        <v>97362</v>
      </c>
      <c r="H2948" s="679">
        <v>1880.69</v>
      </c>
      <c r="I2948" s="679">
        <v>1884.67</v>
      </c>
    </row>
    <row r="2949" spans="2:9" ht="30">
      <c r="B2949" s="395">
        <v>101875</v>
      </c>
      <c r="C2949" s="406" t="s">
        <v>4858</v>
      </c>
      <c r="D2949" s="395" t="s">
        <v>23</v>
      </c>
      <c r="E2949" s="407">
        <f t="shared" si="92"/>
        <v>401.96</v>
      </c>
      <c r="F2949">
        <f t="shared" si="93"/>
        <v>101875</v>
      </c>
      <c r="H2949" s="680">
        <v>401.96</v>
      </c>
      <c r="I2949" s="680">
        <v>404.47</v>
      </c>
    </row>
    <row r="2950" spans="2:9" ht="30">
      <c r="B2950" s="396">
        <v>101876</v>
      </c>
      <c r="C2950" s="401" t="s">
        <v>4859</v>
      </c>
      <c r="D2950" s="396" t="s">
        <v>23</v>
      </c>
      <c r="E2950" s="405">
        <f t="shared" si="92"/>
        <v>84.89</v>
      </c>
      <c r="F2950">
        <f t="shared" si="93"/>
        <v>101876</v>
      </c>
      <c r="H2950" s="679">
        <v>84.89</v>
      </c>
      <c r="I2950" s="679">
        <v>86.51</v>
      </c>
    </row>
    <row r="2951" spans="2:9" ht="30">
      <c r="B2951" s="395">
        <v>101877</v>
      </c>
      <c r="C2951" s="406" t="s">
        <v>4860</v>
      </c>
      <c r="D2951" s="395" t="s">
        <v>23</v>
      </c>
      <c r="E2951" s="407">
        <f t="shared" si="92"/>
        <v>57.68</v>
      </c>
      <c r="F2951">
        <f t="shared" si="93"/>
        <v>101877</v>
      </c>
      <c r="H2951" s="680">
        <v>57.68</v>
      </c>
      <c r="I2951" s="680">
        <v>59.12</v>
      </c>
    </row>
    <row r="2952" spans="2:9" ht="30">
      <c r="B2952" s="396">
        <v>101878</v>
      </c>
      <c r="C2952" s="401" t="s">
        <v>4861</v>
      </c>
      <c r="D2952" s="396" t="s">
        <v>23</v>
      </c>
      <c r="E2952" s="405">
        <f t="shared" si="92"/>
        <v>548.14</v>
      </c>
      <c r="F2952">
        <f t="shared" si="93"/>
        <v>101878</v>
      </c>
      <c r="H2952" s="679">
        <v>548.14</v>
      </c>
      <c r="I2952" s="679">
        <v>555.28</v>
      </c>
    </row>
    <row r="2953" spans="2:9" ht="30">
      <c r="B2953" s="395">
        <v>101879</v>
      </c>
      <c r="C2953" s="406" t="s">
        <v>4862</v>
      </c>
      <c r="D2953" s="395" t="s">
        <v>23</v>
      </c>
      <c r="E2953" s="407">
        <f t="shared" si="92"/>
        <v>582.79999999999995</v>
      </c>
      <c r="F2953">
        <f t="shared" si="93"/>
        <v>101879</v>
      </c>
      <c r="H2953" s="680">
        <v>582.79999999999995</v>
      </c>
      <c r="I2953" s="680">
        <v>585.61</v>
      </c>
    </row>
    <row r="2954" spans="2:9" ht="30">
      <c r="B2954" s="396">
        <v>101880</v>
      </c>
      <c r="C2954" s="401" t="s">
        <v>4863</v>
      </c>
      <c r="D2954" s="396" t="s">
        <v>23</v>
      </c>
      <c r="E2954" s="405">
        <f t="shared" si="92"/>
        <v>671.07</v>
      </c>
      <c r="F2954">
        <f t="shared" si="93"/>
        <v>101880</v>
      </c>
      <c r="H2954" s="679">
        <v>671.07</v>
      </c>
      <c r="I2954" s="679">
        <v>674.46</v>
      </c>
    </row>
    <row r="2955" spans="2:9" ht="30">
      <c r="B2955" s="395">
        <v>101881</v>
      </c>
      <c r="C2955" s="406" t="s">
        <v>4864</v>
      </c>
      <c r="D2955" s="395" t="s">
        <v>23</v>
      </c>
      <c r="E2955" s="407">
        <f t="shared" si="92"/>
        <v>966.2</v>
      </c>
      <c r="F2955">
        <f t="shared" si="93"/>
        <v>101881</v>
      </c>
      <c r="H2955" s="680">
        <v>966.2</v>
      </c>
      <c r="I2955" s="680">
        <v>969.59</v>
      </c>
    </row>
    <row r="2956" spans="2:9" ht="30">
      <c r="B2956" s="396">
        <v>101882</v>
      </c>
      <c r="C2956" s="401" t="s">
        <v>4865</v>
      </c>
      <c r="D2956" s="396" t="s">
        <v>23</v>
      </c>
      <c r="E2956" s="405">
        <f t="shared" si="92"/>
        <v>1373.04</v>
      </c>
      <c r="F2956">
        <f t="shared" si="93"/>
        <v>101882</v>
      </c>
      <c r="H2956" s="679">
        <v>1373.04</v>
      </c>
      <c r="I2956" s="679">
        <v>1376.43</v>
      </c>
    </row>
    <row r="2957" spans="2:9" ht="30">
      <c r="B2957" s="395">
        <v>101883</v>
      </c>
      <c r="C2957" s="406" t="s">
        <v>4866</v>
      </c>
      <c r="D2957" s="395" t="s">
        <v>23</v>
      </c>
      <c r="E2957" s="407">
        <f t="shared" si="92"/>
        <v>555.39</v>
      </c>
      <c r="F2957">
        <f t="shared" si="93"/>
        <v>101883</v>
      </c>
      <c r="H2957" s="680">
        <v>555.39</v>
      </c>
      <c r="I2957" s="680">
        <v>558.17999999999995</v>
      </c>
    </row>
    <row r="2958" spans="2:9">
      <c r="B2958" s="396">
        <v>101890</v>
      </c>
      <c r="C2958" s="401" t="s">
        <v>4867</v>
      </c>
      <c r="D2958" s="396" t="s">
        <v>23</v>
      </c>
      <c r="E2958" s="405">
        <f t="shared" si="92"/>
        <v>17.25</v>
      </c>
      <c r="F2958">
        <f t="shared" si="93"/>
        <v>101890</v>
      </c>
      <c r="H2958" s="679">
        <v>17.25</v>
      </c>
      <c r="I2958" s="679">
        <v>17.559999999999999</v>
      </c>
    </row>
    <row r="2959" spans="2:9">
      <c r="B2959" s="395">
        <v>101891</v>
      </c>
      <c r="C2959" s="406" t="s">
        <v>4868</v>
      </c>
      <c r="D2959" s="395" t="s">
        <v>23</v>
      </c>
      <c r="E2959" s="407">
        <f t="shared" si="92"/>
        <v>29.45</v>
      </c>
      <c r="F2959">
        <f t="shared" si="93"/>
        <v>101891</v>
      </c>
      <c r="H2959" s="680">
        <v>29.45</v>
      </c>
      <c r="I2959" s="680">
        <v>30.09</v>
      </c>
    </row>
    <row r="2960" spans="2:9">
      <c r="B2960" s="396">
        <v>101892</v>
      </c>
      <c r="C2960" s="401" t="s">
        <v>4869</v>
      </c>
      <c r="D2960" s="396" t="s">
        <v>23</v>
      </c>
      <c r="E2960" s="405">
        <f t="shared" si="92"/>
        <v>79.319999999999993</v>
      </c>
      <c r="F2960">
        <f t="shared" si="93"/>
        <v>101892</v>
      </c>
      <c r="H2960" s="679">
        <v>79.319999999999993</v>
      </c>
      <c r="I2960" s="679">
        <v>79.94</v>
      </c>
    </row>
    <row r="2961" spans="2:9">
      <c r="B2961" s="395">
        <v>101893</v>
      </c>
      <c r="C2961" s="406" t="s">
        <v>4870</v>
      </c>
      <c r="D2961" s="395" t="s">
        <v>23</v>
      </c>
      <c r="E2961" s="407">
        <f t="shared" si="92"/>
        <v>100.95</v>
      </c>
      <c r="F2961">
        <f t="shared" si="93"/>
        <v>101893</v>
      </c>
      <c r="H2961" s="680">
        <v>100.95</v>
      </c>
      <c r="I2961" s="680">
        <v>101.88</v>
      </c>
    </row>
    <row r="2962" spans="2:9">
      <c r="B2962" s="396">
        <v>101894</v>
      </c>
      <c r="C2962" s="401" t="s">
        <v>4871</v>
      </c>
      <c r="D2962" s="396" t="s">
        <v>23</v>
      </c>
      <c r="E2962" s="405">
        <f t="shared" si="92"/>
        <v>165.79</v>
      </c>
      <c r="F2962">
        <f t="shared" si="93"/>
        <v>101894</v>
      </c>
      <c r="H2962" s="679">
        <v>165.79</v>
      </c>
      <c r="I2962" s="679">
        <v>169.46</v>
      </c>
    </row>
    <row r="2963" spans="2:9">
      <c r="B2963" s="395">
        <v>101895</v>
      </c>
      <c r="C2963" s="406" t="s">
        <v>4872</v>
      </c>
      <c r="D2963" s="395" t="s">
        <v>23</v>
      </c>
      <c r="E2963" s="407">
        <f t="shared" si="92"/>
        <v>462.4</v>
      </c>
      <c r="F2963">
        <f t="shared" si="93"/>
        <v>101895</v>
      </c>
      <c r="H2963" s="680">
        <v>462.4</v>
      </c>
      <c r="I2963" s="680">
        <v>468.61</v>
      </c>
    </row>
    <row r="2964" spans="2:9">
      <c r="B2964" s="396">
        <v>101896</v>
      </c>
      <c r="C2964" s="401" t="s">
        <v>4873</v>
      </c>
      <c r="D2964" s="396" t="s">
        <v>23</v>
      </c>
      <c r="E2964" s="405">
        <f t="shared" si="92"/>
        <v>702.85</v>
      </c>
      <c r="F2964">
        <f t="shared" si="93"/>
        <v>101896</v>
      </c>
      <c r="H2964" s="679">
        <v>702.85</v>
      </c>
      <c r="I2964" s="679">
        <v>709.06</v>
      </c>
    </row>
    <row r="2965" spans="2:9">
      <c r="B2965" s="395">
        <v>101897</v>
      </c>
      <c r="C2965" s="406" t="s">
        <v>4874</v>
      </c>
      <c r="D2965" s="395" t="s">
        <v>23</v>
      </c>
      <c r="E2965" s="407">
        <f t="shared" si="92"/>
        <v>1133.54</v>
      </c>
      <c r="F2965">
        <f t="shared" si="93"/>
        <v>101897</v>
      </c>
      <c r="H2965" s="680">
        <v>1133.54</v>
      </c>
      <c r="I2965" s="680">
        <v>1139.75</v>
      </c>
    </row>
    <row r="2966" spans="2:9">
      <c r="B2966" s="396">
        <v>101898</v>
      </c>
      <c r="C2966" s="401" t="s">
        <v>4875</v>
      </c>
      <c r="D2966" s="396" t="s">
        <v>23</v>
      </c>
      <c r="E2966" s="405">
        <f t="shared" si="92"/>
        <v>1523.95</v>
      </c>
      <c r="F2966">
        <f t="shared" si="93"/>
        <v>101898</v>
      </c>
      <c r="H2966" s="679">
        <v>1523.95</v>
      </c>
      <c r="I2966" s="679">
        <v>1530.16</v>
      </c>
    </row>
    <row r="2967" spans="2:9">
      <c r="B2967" s="395">
        <v>101899</v>
      </c>
      <c r="C2967" s="406" t="s">
        <v>4876</v>
      </c>
      <c r="D2967" s="395" t="s">
        <v>23</v>
      </c>
      <c r="E2967" s="407">
        <f t="shared" si="92"/>
        <v>2452.58</v>
      </c>
      <c r="F2967">
        <f t="shared" si="93"/>
        <v>101899</v>
      </c>
      <c r="H2967" s="680">
        <v>2452.58</v>
      </c>
      <c r="I2967" s="680">
        <v>2458.79</v>
      </c>
    </row>
    <row r="2968" spans="2:9">
      <c r="B2968" s="396">
        <v>101900</v>
      </c>
      <c r="C2968" s="401" t="s">
        <v>4877</v>
      </c>
      <c r="D2968" s="396" t="s">
        <v>23</v>
      </c>
      <c r="E2968" s="405">
        <f t="shared" si="92"/>
        <v>5142.3</v>
      </c>
      <c r="F2968">
        <f t="shared" si="93"/>
        <v>101900</v>
      </c>
      <c r="H2968" s="679">
        <v>5142.3</v>
      </c>
      <c r="I2968" s="679">
        <v>5148.51</v>
      </c>
    </row>
    <row r="2969" spans="2:9">
      <c r="B2969" s="395">
        <v>101901</v>
      </c>
      <c r="C2969" s="406" t="s">
        <v>4878</v>
      </c>
      <c r="D2969" s="395" t="s">
        <v>23</v>
      </c>
      <c r="E2969" s="407">
        <f t="shared" si="92"/>
        <v>95.89</v>
      </c>
      <c r="F2969">
        <f t="shared" si="93"/>
        <v>101901</v>
      </c>
      <c r="H2969" s="680">
        <v>95.89</v>
      </c>
      <c r="I2969" s="680">
        <v>96.57</v>
      </c>
    </row>
    <row r="2970" spans="2:9">
      <c r="B2970" s="396">
        <v>101902</v>
      </c>
      <c r="C2970" s="401" t="s">
        <v>4879</v>
      </c>
      <c r="D2970" s="396" t="s">
        <v>23</v>
      </c>
      <c r="E2970" s="405">
        <f t="shared" si="92"/>
        <v>118.78</v>
      </c>
      <c r="F2970">
        <f t="shared" si="93"/>
        <v>101902</v>
      </c>
      <c r="H2970" s="679">
        <v>118.78</v>
      </c>
      <c r="I2970" s="679">
        <v>119.71</v>
      </c>
    </row>
    <row r="2971" spans="2:9">
      <c r="B2971" s="395">
        <v>101903</v>
      </c>
      <c r="C2971" s="406" t="s">
        <v>4880</v>
      </c>
      <c r="D2971" s="395" t="s">
        <v>23</v>
      </c>
      <c r="E2971" s="407">
        <f t="shared" si="92"/>
        <v>246.59</v>
      </c>
      <c r="F2971">
        <f t="shared" si="93"/>
        <v>101903</v>
      </c>
      <c r="H2971" s="680">
        <v>246.59</v>
      </c>
      <c r="I2971" s="680">
        <v>248.49</v>
      </c>
    </row>
    <row r="2972" spans="2:9">
      <c r="B2972" s="396">
        <v>101904</v>
      </c>
      <c r="C2972" s="401" t="s">
        <v>4881</v>
      </c>
      <c r="D2972" s="396" t="s">
        <v>23</v>
      </c>
      <c r="E2972" s="405">
        <f t="shared" si="92"/>
        <v>896</v>
      </c>
      <c r="F2972">
        <f t="shared" si="93"/>
        <v>101904</v>
      </c>
      <c r="H2972" s="679">
        <v>896</v>
      </c>
      <c r="I2972" s="679">
        <v>899.67</v>
      </c>
    </row>
    <row r="2973" spans="2:9">
      <c r="B2973" s="395">
        <v>101938</v>
      </c>
      <c r="C2973" s="406" t="s">
        <v>4882</v>
      </c>
      <c r="D2973" s="395" t="s">
        <v>23</v>
      </c>
      <c r="E2973" s="407">
        <f t="shared" si="92"/>
        <v>114.37</v>
      </c>
      <c r="F2973">
        <f t="shared" si="93"/>
        <v>101938</v>
      </c>
      <c r="H2973" s="680">
        <v>114.37</v>
      </c>
      <c r="I2973" s="680">
        <v>116.4</v>
      </c>
    </row>
    <row r="2974" spans="2:9">
      <c r="B2974" s="396">
        <v>101946</v>
      </c>
      <c r="C2974" s="401" t="s">
        <v>4883</v>
      </c>
      <c r="D2974" s="396" t="s">
        <v>23</v>
      </c>
      <c r="E2974" s="405">
        <f t="shared" si="92"/>
        <v>156.11000000000001</v>
      </c>
      <c r="F2974">
        <f t="shared" si="93"/>
        <v>101946</v>
      </c>
      <c r="H2974" s="679">
        <v>156.11000000000001</v>
      </c>
      <c r="I2974" s="679">
        <v>163.25</v>
      </c>
    </row>
    <row r="2975" spans="2:9" ht="30">
      <c r="B2975" s="395">
        <v>91945</v>
      </c>
      <c r="C2975" s="406" t="s">
        <v>344</v>
      </c>
      <c r="D2975" s="395" t="s">
        <v>23</v>
      </c>
      <c r="E2975" s="407">
        <f t="shared" si="92"/>
        <v>8.1999999999999993</v>
      </c>
      <c r="F2975">
        <f t="shared" si="93"/>
        <v>91945</v>
      </c>
      <c r="H2975" s="680">
        <v>8.1999999999999993</v>
      </c>
      <c r="I2975" s="680">
        <v>8.68</v>
      </c>
    </row>
    <row r="2976" spans="2:9" ht="30">
      <c r="B2976" s="396">
        <v>91946</v>
      </c>
      <c r="C2976" s="401" t="s">
        <v>345</v>
      </c>
      <c r="D2976" s="396" t="s">
        <v>23</v>
      </c>
      <c r="E2976" s="405">
        <f t="shared" si="92"/>
        <v>6.89</v>
      </c>
      <c r="F2976">
        <f t="shared" si="93"/>
        <v>91946</v>
      </c>
      <c r="H2976" s="679">
        <v>6.89</v>
      </c>
      <c r="I2976" s="679">
        <v>7.21</v>
      </c>
    </row>
    <row r="2977" spans="2:9" ht="30">
      <c r="B2977" s="395">
        <v>91947</v>
      </c>
      <c r="C2977" s="406" t="s">
        <v>346</v>
      </c>
      <c r="D2977" s="395" t="s">
        <v>23</v>
      </c>
      <c r="E2977" s="407">
        <f t="shared" si="92"/>
        <v>6.07</v>
      </c>
      <c r="F2977">
        <f t="shared" si="93"/>
        <v>91947</v>
      </c>
      <c r="H2977" s="680">
        <v>6.07</v>
      </c>
      <c r="I2977" s="680">
        <v>6.3</v>
      </c>
    </row>
    <row r="2978" spans="2:9" ht="30">
      <c r="B2978" s="396">
        <v>91949</v>
      </c>
      <c r="C2978" s="401" t="s">
        <v>347</v>
      </c>
      <c r="D2978" s="396" t="s">
        <v>23</v>
      </c>
      <c r="E2978" s="405">
        <f t="shared" si="92"/>
        <v>12.63</v>
      </c>
      <c r="F2978">
        <f t="shared" si="93"/>
        <v>91949</v>
      </c>
      <c r="H2978" s="679">
        <v>12.63</v>
      </c>
      <c r="I2978" s="679">
        <v>13.2</v>
      </c>
    </row>
    <row r="2979" spans="2:9" ht="30">
      <c r="B2979" s="395">
        <v>91950</v>
      </c>
      <c r="C2979" s="406" t="s">
        <v>348</v>
      </c>
      <c r="D2979" s="395" t="s">
        <v>23</v>
      </c>
      <c r="E2979" s="407">
        <f t="shared" si="92"/>
        <v>11.04</v>
      </c>
      <c r="F2979">
        <f t="shared" si="93"/>
        <v>91950</v>
      </c>
      <c r="H2979" s="680">
        <v>11.04</v>
      </c>
      <c r="I2979" s="680">
        <v>11.43</v>
      </c>
    </row>
    <row r="2980" spans="2:9" ht="30">
      <c r="B2980" s="396">
        <v>91951</v>
      </c>
      <c r="C2980" s="401" t="s">
        <v>349</v>
      </c>
      <c r="D2980" s="396" t="s">
        <v>23</v>
      </c>
      <c r="E2980" s="405">
        <f t="shared" si="92"/>
        <v>10.09</v>
      </c>
      <c r="F2980">
        <f t="shared" si="93"/>
        <v>91951</v>
      </c>
      <c r="H2980" s="679">
        <v>10.09</v>
      </c>
      <c r="I2980" s="679">
        <v>10.37</v>
      </c>
    </row>
    <row r="2981" spans="2:9">
      <c r="B2981" s="395">
        <v>91952</v>
      </c>
      <c r="C2981" s="406" t="s">
        <v>1499</v>
      </c>
      <c r="D2981" s="395" t="s">
        <v>23</v>
      </c>
      <c r="E2981" s="407">
        <f t="shared" si="92"/>
        <v>15.68</v>
      </c>
      <c r="F2981">
        <f t="shared" si="93"/>
        <v>91952</v>
      </c>
      <c r="H2981" s="680">
        <v>15.68</v>
      </c>
      <c r="I2981" s="680">
        <v>16.73</v>
      </c>
    </row>
    <row r="2982" spans="2:9">
      <c r="B2982" s="396">
        <v>91953</v>
      </c>
      <c r="C2982" s="401" t="s">
        <v>350</v>
      </c>
      <c r="D2982" s="396" t="s">
        <v>23</v>
      </c>
      <c r="E2982" s="405">
        <f t="shared" si="92"/>
        <v>22.57</v>
      </c>
      <c r="F2982">
        <f t="shared" si="93"/>
        <v>91953</v>
      </c>
      <c r="H2982" s="679">
        <v>22.57</v>
      </c>
      <c r="I2982" s="679">
        <v>23.94</v>
      </c>
    </row>
    <row r="2983" spans="2:9">
      <c r="B2983" s="395">
        <v>91954</v>
      </c>
      <c r="C2983" s="406" t="s">
        <v>1500</v>
      </c>
      <c r="D2983" s="395" t="s">
        <v>23</v>
      </c>
      <c r="E2983" s="407">
        <f t="shared" si="92"/>
        <v>21.04</v>
      </c>
      <c r="F2983">
        <f t="shared" si="93"/>
        <v>91954</v>
      </c>
      <c r="H2983" s="680">
        <v>21.04</v>
      </c>
      <c r="I2983" s="680">
        <v>22.48</v>
      </c>
    </row>
    <row r="2984" spans="2:9">
      <c r="B2984" s="396">
        <v>91955</v>
      </c>
      <c r="C2984" s="401" t="s">
        <v>351</v>
      </c>
      <c r="D2984" s="396" t="s">
        <v>23</v>
      </c>
      <c r="E2984" s="405">
        <f t="shared" si="92"/>
        <v>27.93</v>
      </c>
      <c r="F2984">
        <f t="shared" si="93"/>
        <v>91955</v>
      </c>
      <c r="H2984" s="679">
        <v>27.93</v>
      </c>
      <c r="I2984" s="679">
        <v>29.69</v>
      </c>
    </row>
    <row r="2985" spans="2:9" ht="30">
      <c r="B2985" s="395">
        <v>91956</v>
      </c>
      <c r="C2985" s="406" t="s">
        <v>1501</v>
      </c>
      <c r="D2985" s="395" t="s">
        <v>23</v>
      </c>
      <c r="E2985" s="407">
        <f t="shared" si="92"/>
        <v>34.19</v>
      </c>
      <c r="F2985">
        <f t="shared" si="93"/>
        <v>91956</v>
      </c>
      <c r="H2985" s="680">
        <v>34.19</v>
      </c>
      <c r="I2985" s="680">
        <v>36.409999999999997</v>
      </c>
    </row>
    <row r="2986" spans="2:9" ht="30">
      <c r="B2986" s="396">
        <v>91957</v>
      </c>
      <c r="C2986" s="401" t="s">
        <v>1502</v>
      </c>
      <c r="D2986" s="396" t="s">
        <v>23</v>
      </c>
      <c r="E2986" s="405">
        <f t="shared" si="92"/>
        <v>41.08</v>
      </c>
      <c r="F2986">
        <f t="shared" si="93"/>
        <v>91957</v>
      </c>
      <c r="H2986" s="679">
        <v>41.08</v>
      </c>
      <c r="I2986" s="679">
        <v>43.62</v>
      </c>
    </row>
    <row r="2987" spans="2:9">
      <c r="B2987" s="395">
        <v>91958</v>
      </c>
      <c r="C2987" s="406" t="s">
        <v>1503</v>
      </c>
      <c r="D2987" s="395" t="s">
        <v>23</v>
      </c>
      <c r="E2987" s="407">
        <f t="shared" si="92"/>
        <v>28.87</v>
      </c>
      <c r="F2987">
        <f t="shared" si="93"/>
        <v>91958</v>
      </c>
      <c r="H2987" s="680">
        <v>28.87</v>
      </c>
      <c r="I2987" s="680">
        <v>30.69</v>
      </c>
    </row>
    <row r="2988" spans="2:9">
      <c r="B2988" s="396">
        <v>91959</v>
      </c>
      <c r="C2988" s="401" t="s">
        <v>352</v>
      </c>
      <c r="D2988" s="396" t="s">
        <v>23</v>
      </c>
      <c r="E2988" s="405">
        <f t="shared" si="92"/>
        <v>35.76</v>
      </c>
      <c r="F2988">
        <f t="shared" si="93"/>
        <v>91959</v>
      </c>
      <c r="H2988" s="679">
        <v>35.76</v>
      </c>
      <c r="I2988" s="679">
        <v>37.9</v>
      </c>
    </row>
    <row r="2989" spans="2:9">
      <c r="B2989" s="395">
        <v>91960</v>
      </c>
      <c r="C2989" s="406" t="s">
        <v>353</v>
      </c>
      <c r="D2989" s="395" t="s">
        <v>23</v>
      </c>
      <c r="E2989" s="407">
        <f t="shared" si="92"/>
        <v>39.549999999999997</v>
      </c>
      <c r="F2989">
        <f t="shared" si="93"/>
        <v>91960</v>
      </c>
      <c r="H2989" s="680">
        <v>39.549999999999997</v>
      </c>
      <c r="I2989" s="680">
        <v>42.16</v>
      </c>
    </row>
    <row r="2990" spans="2:9">
      <c r="B2990" s="396">
        <v>91961</v>
      </c>
      <c r="C2990" s="401" t="s">
        <v>354</v>
      </c>
      <c r="D2990" s="396" t="s">
        <v>23</v>
      </c>
      <c r="E2990" s="405">
        <f t="shared" si="92"/>
        <v>46.44</v>
      </c>
      <c r="F2990">
        <f t="shared" si="93"/>
        <v>91961</v>
      </c>
      <c r="H2990" s="679">
        <v>46.44</v>
      </c>
      <c r="I2990" s="679">
        <v>49.37</v>
      </c>
    </row>
    <row r="2991" spans="2:9" ht="30">
      <c r="B2991" s="395">
        <v>91962</v>
      </c>
      <c r="C2991" s="406" t="s">
        <v>1504</v>
      </c>
      <c r="D2991" s="395" t="s">
        <v>23</v>
      </c>
      <c r="E2991" s="407">
        <f t="shared" si="92"/>
        <v>52.75</v>
      </c>
      <c r="F2991">
        <f t="shared" si="93"/>
        <v>91962</v>
      </c>
      <c r="H2991" s="680">
        <v>52.75</v>
      </c>
      <c r="I2991" s="680">
        <v>56.12</v>
      </c>
    </row>
    <row r="2992" spans="2:9" ht="30">
      <c r="B2992" s="396">
        <v>91963</v>
      </c>
      <c r="C2992" s="401" t="s">
        <v>1505</v>
      </c>
      <c r="D2992" s="396" t="s">
        <v>23</v>
      </c>
      <c r="E2992" s="405">
        <f t="shared" si="92"/>
        <v>59.64</v>
      </c>
      <c r="F2992">
        <f t="shared" si="93"/>
        <v>91963</v>
      </c>
      <c r="H2992" s="679">
        <v>59.64</v>
      </c>
      <c r="I2992" s="679">
        <v>63.33</v>
      </c>
    </row>
    <row r="2993" spans="2:9" ht="30">
      <c r="B2993" s="395">
        <v>91964</v>
      </c>
      <c r="C2993" s="406" t="s">
        <v>1506</v>
      </c>
      <c r="D2993" s="395" t="s">
        <v>23</v>
      </c>
      <c r="E2993" s="407">
        <f t="shared" si="92"/>
        <v>47.39</v>
      </c>
      <c r="F2993">
        <f t="shared" si="93"/>
        <v>91964</v>
      </c>
      <c r="H2993" s="680">
        <v>47.39</v>
      </c>
      <c r="I2993" s="680">
        <v>50.37</v>
      </c>
    </row>
    <row r="2994" spans="2:9" ht="30">
      <c r="B2994" s="396">
        <v>91965</v>
      </c>
      <c r="C2994" s="401" t="s">
        <v>1507</v>
      </c>
      <c r="D2994" s="396" t="s">
        <v>23</v>
      </c>
      <c r="E2994" s="405">
        <f t="shared" si="92"/>
        <v>54.28</v>
      </c>
      <c r="F2994">
        <f t="shared" si="93"/>
        <v>91965</v>
      </c>
      <c r="H2994" s="679">
        <v>54.28</v>
      </c>
      <c r="I2994" s="679">
        <v>57.58</v>
      </c>
    </row>
    <row r="2995" spans="2:9">
      <c r="B2995" s="395">
        <v>91966</v>
      </c>
      <c r="C2995" s="406" t="s">
        <v>1508</v>
      </c>
      <c r="D2995" s="395" t="s">
        <v>23</v>
      </c>
      <c r="E2995" s="407">
        <f t="shared" si="92"/>
        <v>42.06</v>
      </c>
      <c r="F2995">
        <f t="shared" si="93"/>
        <v>91966</v>
      </c>
      <c r="H2995" s="680">
        <v>42.06</v>
      </c>
      <c r="I2995" s="680">
        <v>44.67</v>
      </c>
    </row>
    <row r="2996" spans="2:9">
      <c r="B2996" s="396">
        <v>91967</v>
      </c>
      <c r="C2996" s="401" t="s">
        <v>355</v>
      </c>
      <c r="D2996" s="396" t="s">
        <v>23</v>
      </c>
      <c r="E2996" s="405">
        <f t="shared" si="92"/>
        <v>48.95</v>
      </c>
      <c r="F2996">
        <f t="shared" si="93"/>
        <v>91967</v>
      </c>
      <c r="H2996" s="679">
        <v>48.95</v>
      </c>
      <c r="I2996" s="679">
        <v>51.88</v>
      </c>
    </row>
    <row r="2997" spans="2:9">
      <c r="B2997" s="395">
        <v>91968</v>
      </c>
      <c r="C2997" s="406" t="s">
        <v>356</v>
      </c>
      <c r="D2997" s="395" t="s">
        <v>23</v>
      </c>
      <c r="E2997" s="407">
        <f t="shared" si="92"/>
        <v>58.07</v>
      </c>
      <c r="F2997">
        <f t="shared" si="93"/>
        <v>91968</v>
      </c>
      <c r="H2997" s="680">
        <v>58.07</v>
      </c>
      <c r="I2997" s="680">
        <v>61.83</v>
      </c>
    </row>
    <row r="2998" spans="2:9">
      <c r="B2998" s="396">
        <v>91969</v>
      </c>
      <c r="C2998" s="401" t="s">
        <v>357</v>
      </c>
      <c r="D2998" s="396" t="s">
        <v>23</v>
      </c>
      <c r="E2998" s="405">
        <f t="shared" si="92"/>
        <v>64.959999999999994</v>
      </c>
      <c r="F2998">
        <f t="shared" si="93"/>
        <v>91969</v>
      </c>
      <c r="H2998" s="679">
        <v>64.959999999999994</v>
      </c>
      <c r="I2998" s="679">
        <v>69.040000000000006</v>
      </c>
    </row>
    <row r="2999" spans="2:9" ht="30">
      <c r="B2999" s="395">
        <v>91970</v>
      </c>
      <c r="C2999" s="406" t="s">
        <v>1509</v>
      </c>
      <c r="D2999" s="395" t="s">
        <v>23</v>
      </c>
      <c r="E2999" s="407">
        <f t="shared" si="92"/>
        <v>60.87</v>
      </c>
      <c r="F2999">
        <f t="shared" si="93"/>
        <v>91970</v>
      </c>
      <c r="H2999" s="680">
        <v>60.87</v>
      </c>
      <c r="I2999" s="680">
        <v>64.66</v>
      </c>
    </row>
    <row r="3000" spans="2:9" ht="30">
      <c r="B3000" s="396">
        <v>91971</v>
      </c>
      <c r="C3000" s="401" t="s">
        <v>1510</v>
      </c>
      <c r="D3000" s="396" t="s">
        <v>23</v>
      </c>
      <c r="E3000" s="405">
        <f t="shared" si="92"/>
        <v>71.91</v>
      </c>
      <c r="F3000">
        <f t="shared" si="93"/>
        <v>91971</v>
      </c>
      <c r="H3000" s="679">
        <v>71.91</v>
      </c>
      <c r="I3000" s="679">
        <v>76.09</v>
      </c>
    </row>
    <row r="3001" spans="2:9" ht="30">
      <c r="B3001" s="395">
        <v>91972</v>
      </c>
      <c r="C3001" s="406" t="s">
        <v>1511</v>
      </c>
      <c r="D3001" s="395" t="s">
        <v>23</v>
      </c>
      <c r="E3001" s="407">
        <f t="shared" si="92"/>
        <v>66.23</v>
      </c>
      <c r="F3001">
        <f t="shared" si="93"/>
        <v>91972</v>
      </c>
      <c r="H3001" s="680">
        <v>66.23</v>
      </c>
      <c r="I3001" s="680">
        <v>70.41</v>
      </c>
    </row>
    <row r="3002" spans="2:9" ht="30">
      <c r="B3002" s="396">
        <v>91973</v>
      </c>
      <c r="C3002" s="401" t="s">
        <v>1512</v>
      </c>
      <c r="D3002" s="396" t="s">
        <v>23</v>
      </c>
      <c r="E3002" s="405">
        <f t="shared" si="92"/>
        <v>77.27</v>
      </c>
      <c r="F3002">
        <f t="shared" si="93"/>
        <v>91973</v>
      </c>
      <c r="H3002" s="679">
        <v>77.27</v>
      </c>
      <c r="I3002" s="679">
        <v>81.84</v>
      </c>
    </row>
    <row r="3003" spans="2:9">
      <c r="B3003" s="395">
        <v>91974</v>
      </c>
      <c r="C3003" s="406" t="s">
        <v>1513</v>
      </c>
      <c r="D3003" s="395" t="s">
        <v>23</v>
      </c>
      <c r="E3003" s="407">
        <f t="shared" si="92"/>
        <v>55.5</v>
      </c>
      <c r="F3003">
        <f t="shared" si="93"/>
        <v>91974</v>
      </c>
      <c r="H3003" s="680">
        <v>55.5</v>
      </c>
      <c r="I3003" s="680">
        <v>58.91</v>
      </c>
    </row>
    <row r="3004" spans="2:9">
      <c r="B3004" s="396">
        <v>91975</v>
      </c>
      <c r="C3004" s="401" t="s">
        <v>358</v>
      </c>
      <c r="D3004" s="396" t="s">
        <v>23</v>
      </c>
      <c r="E3004" s="405">
        <f t="shared" si="92"/>
        <v>66.540000000000006</v>
      </c>
      <c r="F3004">
        <f t="shared" si="93"/>
        <v>91975</v>
      </c>
      <c r="H3004" s="679">
        <v>66.540000000000006</v>
      </c>
      <c r="I3004" s="679">
        <v>70.34</v>
      </c>
    </row>
    <row r="3005" spans="2:9">
      <c r="B3005" s="395">
        <v>91976</v>
      </c>
      <c r="C3005" s="406" t="s">
        <v>1514</v>
      </c>
      <c r="D3005" s="395" t="s">
        <v>23</v>
      </c>
      <c r="E3005" s="407">
        <f t="shared" si="92"/>
        <v>81.98</v>
      </c>
      <c r="F3005">
        <f t="shared" si="93"/>
        <v>91976</v>
      </c>
      <c r="H3005" s="680">
        <v>81.98</v>
      </c>
      <c r="I3005" s="680">
        <v>86.94</v>
      </c>
    </row>
    <row r="3006" spans="2:9">
      <c r="B3006" s="396">
        <v>91977</v>
      </c>
      <c r="C3006" s="401" t="s">
        <v>359</v>
      </c>
      <c r="D3006" s="396" t="s">
        <v>23</v>
      </c>
      <c r="E3006" s="405">
        <f t="shared" si="92"/>
        <v>93.02</v>
      </c>
      <c r="F3006">
        <f t="shared" si="93"/>
        <v>91977</v>
      </c>
      <c r="H3006" s="679">
        <v>93.02</v>
      </c>
      <c r="I3006" s="679">
        <v>98.37</v>
      </c>
    </row>
    <row r="3007" spans="2:9">
      <c r="B3007" s="395">
        <v>91978</v>
      </c>
      <c r="C3007" s="406" t="s">
        <v>2231</v>
      </c>
      <c r="D3007" s="395" t="s">
        <v>23</v>
      </c>
      <c r="E3007" s="407">
        <f t="shared" si="92"/>
        <v>33.729999999999997</v>
      </c>
      <c r="F3007">
        <f t="shared" si="93"/>
        <v>91978</v>
      </c>
      <c r="H3007" s="680">
        <v>33.729999999999997</v>
      </c>
      <c r="I3007" s="680">
        <v>35.549999999999997</v>
      </c>
    </row>
    <row r="3008" spans="2:9">
      <c r="B3008" s="396">
        <v>91979</v>
      </c>
      <c r="C3008" s="401" t="s">
        <v>2232</v>
      </c>
      <c r="D3008" s="396" t="s">
        <v>23</v>
      </c>
      <c r="E3008" s="405">
        <f t="shared" si="92"/>
        <v>40.619999999999997</v>
      </c>
      <c r="F3008">
        <f t="shared" si="93"/>
        <v>91979</v>
      </c>
      <c r="H3008" s="679">
        <v>40.619999999999997</v>
      </c>
      <c r="I3008" s="679">
        <v>42.76</v>
      </c>
    </row>
    <row r="3009" spans="2:9">
      <c r="B3009" s="395">
        <v>91980</v>
      </c>
      <c r="C3009" s="406" t="s">
        <v>2233</v>
      </c>
      <c r="D3009" s="395" t="s">
        <v>23</v>
      </c>
      <c r="E3009" s="407">
        <f t="shared" si="92"/>
        <v>32.619999999999997</v>
      </c>
      <c r="F3009">
        <f t="shared" si="93"/>
        <v>91980</v>
      </c>
      <c r="H3009" s="680">
        <v>32.619999999999997</v>
      </c>
      <c r="I3009" s="680">
        <v>34.44</v>
      </c>
    </row>
    <row r="3010" spans="2:9">
      <c r="B3010" s="396">
        <v>91981</v>
      </c>
      <c r="C3010" s="401" t="s">
        <v>2234</v>
      </c>
      <c r="D3010" s="396" t="s">
        <v>23</v>
      </c>
      <c r="E3010" s="405">
        <f t="shared" si="92"/>
        <v>39.51</v>
      </c>
      <c r="F3010">
        <f t="shared" si="93"/>
        <v>91981</v>
      </c>
      <c r="H3010" s="679">
        <v>39.51</v>
      </c>
      <c r="I3010" s="679">
        <v>41.65</v>
      </c>
    </row>
    <row r="3011" spans="2:9">
      <c r="B3011" s="395">
        <v>91982</v>
      </c>
      <c r="C3011" s="406" t="s">
        <v>2235</v>
      </c>
      <c r="D3011" s="395" t="s">
        <v>23</v>
      </c>
      <c r="E3011" s="407">
        <f t="shared" ref="E3011:E3074" si="94">IF($K$2=$H$1,H3011,I3011)</f>
        <v>79.989999999999995</v>
      </c>
      <c r="F3011">
        <f t="shared" ref="F3011:F3074" si="95">IF(LEN($B3011)=7,CONCATENATE(MID($B3011,1,6),"00",RIGHT($B3011,1)),IF(LEN($B3011)=8,CONCATENATE(MID($B3011,1,6),"0",RIGHT($B3011,2)),$B3011))</f>
        <v>91982</v>
      </c>
      <c r="H3011" s="680">
        <v>79.989999999999995</v>
      </c>
      <c r="I3011" s="680">
        <v>81.040000000000006</v>
      </c>
    </row>
    <row r="3012" spans="2:9">
      <c r="B3012" s="396">
        <v>91983</v>
      </c>
      <c r="C3012" s="401" t="s">
        <v>2236</v>
      </c>
      <c r="D3012" s="396" t="s">
        <v>23</v>
      </c>
      <c r="E3012" s="405">
        <f t="shared" si="94"/>
        <v>86.88</v>
      </c>
      <c r="F3012">
        <f t="shared" si="95"/>
        <v>91983</v>
      </c>
      <c r="H3012" s="679">
        <v>86.88</v>
      </c>
      <c r="I3012" s="679">
        <v>88.25</v>
      </c>
    </row>
    <row r="3013" spans="2:9" ht="30">
      <c r="B3013" s="395">
        <v>91984</v>
      </c>
      <c r="C3013" s="406" t="s">
        <v>2237</v>
      </c>
      <c r="D3013" s="395" t="s">
        <v>23</v>
      </c>
      <c r="E3013" s="407">
        <f t="shared" si="94"/>
        <v>14.65</v>
      </c>
      <c r="F3013">
        <f t="shared" si="95"/>
        <v>91984</v>
      </c>
      <c r="H3013" s="680">
        <v>14.65</v>
      </c>
      <c r="I3013" s="680">
        <v>15.7</v>
      </c>
    </row>
    <row r="3014" spans="2:9" ht="30">
      <c r="B3014" s="396">
        <v>91985</v>
      </c>
      <c r="C3014" s="401" t="s">
        <v>2238</v>
      </c>
      <c r="D3014" s="396" t="s">
        <v>23</v>
      </c>
      <c r="E3014" s="405">
        <f t="shared" si="94"/>
        <v>21.54</v>
      </c>
      <c r="F3014">
        <f t="shared" si="95"/>
        <v>91985</v>
      </c>
      <c r="H3014" s="679">
        <v>21.54</v>
      </c>
      <c r="I3014" s="679">
        <v>22.91</v>
      </c>
    </row>
    <row r="3015" spans="2:9">
      <c r="B3015" s="395">
        <v>91986</v>
      </c>
      <c r="C3015" s="406" t="s">
        <v>2239</v>
      </c>
      <c r="D3015" s="395" t="s">
        <v>23</v>
      </c>
      <c r="E3015" s="407">
        <f t="shared" si="94"/>
        <v>31.56</v>
      </c>
      <c r="F3015">
        <f t="shared" si="95"/>
        <v>91986</v>
      </c>
      <c r="H3015" s="680">
        <v>31.56</v>
      </c>
      <c r="I3015" s="680">
        <v>33.21</v>
      </c>
    </row>
    <row r="3016" spans="2:9">
      <c r="B3016" s="396">
        <v>91987</v>
      </c>
      <c r="C3016" s="401" t="s">
        <v>2240</v>
      </c>
      <c r="D3016" s="396" t="s">
        <v>23</v>
      </c>
      <c r="E3016" s="405">
        <f t="shared" si="94"/>
        <v>38.450000000000003</v>
      </c>
      <c r="F3016">
        <f t="shared" si="95"/>
        <v>91987</v>
      </c>
      <c r="H3016" s="679">
        <v>38.450000000000003</v>
      </c>
      <c r="I3016" s="679">
        <v>40.42</v>
      </c>
    </row>
    <row r="3017" spans="2:9" ht="30">
      <c r="B3017" s="395">
        <v>91988</v>
      </c>
      <c r="C3017" s="406" t="s">
        <v>2241</v>
      </c>
      <c r="D3017" s="395" t="s">
        <v>23</v>
      </c>
      <c r="E3017" s="407">
        <f t="shared" si="94"/>
        <v>18.39</v>
      </c>
      <c r="F3017">
        <f t="shared" si="95"/>
        <v>91988</v>
      </c>
      <c r="H3017" s="680">
        <v>18.39</v>
      </c>
      <c r="I3017" s="680">
        <v>19.440000000000001</v>
      </c>
    </row>
    <row r="3018" spans="2:9" ht="30">
      <c r="B3018" s="396">
        <v>91989</v>
      </c>
      <c r="C3018" s="401" t="s">
        <v>2242</v>
      </c>
      <c r="D3018" s="396" t="s">
        <v>23</v>
      </c>
      <c r="E3018" s="405">
        <f t="shared" si="94"/>
        <v>25.28</v>
      </c>
      <c r="F3018">
        <f t="shared" si="95"/>
        <v>91989</v>
      </c>
      <c r="H3018" s="679">
        <v>25.28</v>
      </c>
      <c r="I3018" s="679">
        <v>26.65</v>
      </c>
    </row>
    <row r="3019" spans="2:9">
      <c r="B3019" s="395">
        <v>91990</v>
      </c>
      <c r="C3019" s="406" t="s">
        <v>360</v>
      </c>
      <c r="D3019" s="395" t="s">
        <v>23</v>
      </c>
      <c r="E3019" s="407">
        <f t="shared" si="94"/>
        <v>27.78</v>
      </c>
      <c r="F3019">
        <f t="shared" si="95"/>
        <v>91990</v>
      </c>
      <c r="H3019" s="680">
        <v>27.78</v>
      </c>
      <c r="I3019" s="680">
        <v>30.11</v>
      </c>
    </row>
    <row r="3020" spans="2:9">
      <c r="B3020" s="396">
        <v>91991</v>
      </c>
      <c r="C3020" s="401" t="s">
        <v>361</v>
      </c>
      <c r="D3020" s="396" t="s">
        <v>23</v>
      </c>
      <c r="E3020" s="405">
        <f t="shared" si="94"/>
        <v>29.8</v>
      </c>
      <c r="F3020">
        <f t="shared" si="95"/>
        <v>91991</v>
      </c>
      <c r="H3020" s="679">
        <v>29.8</v>
      </c>
      <c r="I3020" s="679">
        <v>32.130000000000003</v>
      </c>
    </row>
    <row r="3021" spans="2:9">
      <c r="B3021" s="395">
        <v>91992</v>
      </c>
      <c r="C3021" s="406" t="s">
        <v>1515</v>
      </c>
      <c r="D3021" s="395" t="s">
        <v>23</v>
      </c>
      <c r="E3021" s="407">
        <f t="shared" si="94"/>
        <v>34.67</v>
      </c>
      <c r="F3021">
        <f t="shared" si="95"/>
        <v>91992</v>
      </c>
      <c r="H3021" s="680">
        <v>34.67</v>
      </c>
      <c r="I3021" s="680">
        <v>37.32</v>
      </c>
    </row>
    <row r="3022" spans="2:9">
      <c r="B3022" s="396">
        <v>91993</v>
      </c>
      <c r="C3022" s="401" t="s">
        <v>1516</v>
      </c>
      <c r="D3022" s="396" t="s">
        <v>23</v>
      </c>
      <c r="E3022" s="405">
        <f t="shared" si="94"/>
        <v>36.69</v>
      </c>
      <c r="F3022">
        <f t="shared" si="95"/>
        <v>91993</v>
      </c>
      <c r="H3022" s="679">
        <v>36.69</v>
      </c>
      <c r="I3022" s="679">
        <v>39.340000000000003</v>
      </c>
    </row>
    <row r="3023" spans="2:9">
      <c r="B3023" s="395">
        <v>91994</v>
      </c>
      <c r="C3023" s="406" t="s">
        <v>362</v>
      </c>
      <c r="D3023" s="395" t="s">
        <v>23</v>
      </c>
      <c r="E3023" s="407">
        <f t="shared" si="94"/>
        <v>19.989999999999998</v>
      </c>
      <c r="F3023">
        <f t="shared" si="95"/>
        <v>91994</v>
      </c>
      <c r="H3023" s="680">
        <v>19.989999999999998</v>
      </c>
      <c r="I3023" s="680">
        <v>21.43</v>
      </c>
    </row>
    <row r="3024" spans="2:9">
      <c r="B3024" s="396">
        <v>91995</v>
      </c>
      <c r="C3024" s="401" t="s">
        <v>363</v>
      </c>
      <c r="D3024" s="396" t="s">
        <v>23</v>
      </c>
      <c r="E3024" s="405">
        <f t="shared" si="94"/>
        <v>22.01</v>
      </c>
      <c r="F3024">
        <f t="shared" si="95"/>
        <v>91995</v>
      </c>
      <c r="H3024" s="679">
        <v>22.01</v>
      </c>
      <c r="I3024" s="679">
        <v>23.45</v>
      </c>
    </row>
    <row r="3025" spans="2:9">
      <c r="B3025" s="395">
        <v>91996</v>
      </c>
      <c r="C3025" s="406" t="s">
        <v>1517</v>
      </c>
      <c r="D3025" s="395" t="s">
        <v>23</v>
      </c>
      <c r="E3025" s="407">
        <f t="shared" si="94"/>
        <v>26.88</v>
      </c>
      <c r="F3025">
        <f t="shared" si="95"/>
        <v>91996</v>
      </c>
      <c r="H3025" s="680">
        <v>26.88</v>
      </c>
      <c r="I3025" s="680">
        <v>28.64</v>
      </c>
    </row>
    <row r="3026" spans="2:9">
      <c r="B3026" s="396">
        <v>91997</v>
      </c>
      <c r="C3026" s="401" t="s">
        <v>1518</v>
      </c>
      <c r="D3026" s="396" t="s">
        <v>23</v>
      </c>
      <c r="E3026" s="405">
        <f t="shared" si="94"/>
        <v>28.9</v>
      </c>
      <c r="F3026">
        <f t="shared" si="95"/>
        <v>91997</v>
      </c>
      <c r="H3026" s="679">
        <v>28.9</v>
      </c>
      <c r="I3026" s="679">
        <v>30.66</v>
      </c>
    </row>
    <row r="3027" spans="2:9">
      <c r="B3027" s="395">
        <v>91998</v>
      </c>
      <c r="C3027" s="406" t="s">
        <v>364</v>
      </c>
      <c r="D3027" s="395" t="s">
        <v>23</v>
      </c>
      <c r="E3027" s="407">
        <f t="shared" si="94"/>
        <v>16.96</v>
      </c>
      <c r="F3027">
        <f t="shared" si="95"/>
        <v>91998</v>
      </c>
      <c r="H3027" s="680">
        <v>16.96</v>
      </c>
      <c r="I3027" s="680">
        <v>18.059999999999999</v>
      </c>
    </row>
    <row r="3028" spans="2:9">
      <c r="B3028" s="396">
        <v>91999</v>
      </c>
      <c r="C3028" s="401" t="s">
        <v>365</v>
      </c>
      <c r="D3028" s="396" t="s">
        <v>23</v>
      </c>
      <c r="E3028" s="405">
        <f t="shared" si="94"/>
        <v>18.98</v>
      </c>
      <c r="F3028">
        <f t="shared" si="95"/>
        <v>91999</v>
      </c>
      <c r="H3028" s="679">
        <v>18.98</v>
      </c>
      <c r="I3028" s="679">
        <v>20.079999999999998</v>
      </c>
    </row>
    <row r="3029" spans="2:9">
      <c r="B3029" s="395">
        <v>92000</v>
      </c>
      <c r="C3029" s="406" t="s">
        <v>1519</v>
      </c>
      <c r="D3029" s="395" t="s">
        <v>23</v>
      </c>
      <c r="E3029" s="407">
        <f t="shared" si="94"/>
        <v>23.85</v>
      </c>
      <c r="F3029">
        <f t="shared" si="95"/>
        <v>92000</v>
      </c>
      <c r="H3029" s="680">
        <v>23.85</v>
      </c>
      <c r="I3029" s="680">
        <v>25.27</v>
      </c>
    </row>
    <row r="3030" spans="2:9">
      <c r="B3030" s="396">
        <v>92001</v>
      </c>
      <c r="C3030" s="401" t="s">
        <v>1520</v>
      </c>
      <c r="D3030" s="396" t="s">
        <v>23</v>
      </c>
      <c r="E3030" s="405">
        <f t="shared" si="94"/>
        <v>25.87</v>
      </c>
      <c r="F3030">
        <f t="shared" si="95"/>
        <v>92001</v>
      </c>
      <c r="H3030" s="679">
        <v>25.87</v>
      </c>
      <c r="I3030" s="679">
        <v>27.29</v>
      </c>
    </row>
    <row r="3031" spans="2:9">
      <c r="B3031" s="395">
        <v>92002</v>
      </c>
      <c r="C3031" s="406" t="s">
        <v>1521</v>
      </c>
      <c r="D3031" s="395" t="s">
        <v>23</v>
      </c>
      <c r="E3031" s="407">
        <f t="shared" si="94"/>
        <v>37.450000000000003</v>
      </c>
      <c r="F3031">
        <f t="shared" si="95"/>
        <v>92002</v>
      </c>
      <c r="H3031" s="680">
        <v>37.450000000000003</v>
      </c>
      <c r="I3031" s="680">
        <v>40.06</v>
      </c>
    </row>
    <row r="3032" spans="2:9">
      <c r="B3032" s="396">
        <v>92003</v>
      </c>
      <c r="C3032" s="401" t="s">
        <v>1522</v>
      </c>
      <c r="D3032" s="396" t="s">
        <v>23</v>
      </c>
      <c r="E3032" s="405">
        <f t="shared" si="94"/>
        <v>41.49</v>
      </c>
      <c r="F3032">
        <f t="shared" si="95"/>
        <v>92003</v>
      </c>
      <c r="H3032" s="679">
        <v>41.49</v>
      </c>
      <c r="I3032" s="679">
        <v>44.1</v>
      </c>
    </row>
    <row r="3033" spans="2:9">
      <c r="B3033" s="395">
        <v>92004</v>
      </c>
      <c r="C3033" s="406" t="s">
        <v>1523</v>
      </c>
      <c r="D3033" s="395" t="s">
        <v>23</v>
      </c>
      <c r="E3033" s="407">
        <f t="shared" si="94"/>
        <v>44.34</v>
      </c>
      <c r="F3033">
        <f t="shared" si="95"/>
        <v>92004</v>
      </c>
      <c r="H3033" s="680">
        <v>44.34</v>
      </c>
      <c r="I3033" s="680">
        <v>47.27</v>
      </c>
    </row>
    <row r="3034" spans="2:9">
      <c r="B3034" s="396">
        <v>92005</v>
      </c>
      <c r="C3034" s="401" t="s">
        <v>1524</v>
      </c>
      <c r="D3034" s="396" t="s">
        <v>23</v>
      </c>
      <c r="E3034" s="405">
        <f t="shared" si="94"/>
        <v>48.38</v>
      </c>
      <c r="F3034">
        <f t="shared" si="95"/>
        <v>92005</v>
      </c>
      <c r="H3034" s="679">
        <v>48.38</v>
      </c>
      <c r="I3034" s="679">
        <v>51.31</v>
      </c>
    </row>
    <row r="3035" spans="2:9">
      <c r="B3035" s="395">
        <v>92006</v>
      </c>
      <c r="C3035" s="406" t="s">
        <v>1525</v>
      </c>
      <c r="D3035" s="395" t="s">
        <v>23</v>
      </c>
      <c r="E3035" s="407">
        <f t="shared" si="94"/>
        <v>31.4</v>
      </c>
      <c r="F3035">
        <f t="shared" si="95"/>
        <v>92006</v>
      </c>
      <c r="H3035" s="680">
        <v>31.4</v>
      </c>
      <c r="I3035" s="680">
        <v>33.31</v>
      </c>
    </row>
    <row r="3036" spans="2:9">
      <c r="B3036" s="396">
        <v>92007</v>
      </c>
      <c r="C3036" s="401" t="s">
        <v>1526</v>
      </c>
      <c r="D3036" s="396" t="s">
        <v>23</v>
      </c>
      <c r="E3036" s="405">
        <f t="shared" si="94"/>
        <v>35.44</v>
      </c>
      <c r="F3036">
        <f t="shared" si="95"/>
        <v>92007</v>
      </c>
      <c r="H3036" s="679">
        <v>35.44</v>
      </c>
      <c r="I3036" s="679">
        <v>37.35</v>
      </c>
    </row>
    <row r="3037" spans="2:9">
      <c r="B3037" s="395">
        <v>92008</v>
      </c>
      <c r="C3037" s="406" t="s">
        <v>1527</v>
      </c>
      <c r="D3037" s="395" t="s">
        <v>23</v>
      </c>
      <c r="E3037" s="407">
        <f t="shared" si="94"/>
        <v>38.29</v>
      </c>
      <c r="F3037">
        <f t="shared" si="95"/>
        <v>92008</v>
      </c>
      <c r="H3037" s="680">
        <v>38.29</v>
      </c>
      <c r="I3037" s="680">
        <v>40.520000000000003</v>
      </c>
    </row>
    <row r="3038" spans="2:9">
      <c r="B3038" s="396">
        <v>92009</v>
      </c>
      <c r="C3038" s="401" t="s">
        <v>1528</v>
      </c>
      <c r="D3038" s="396" t="s">
        <v>23</v>
      </c>
      <c r="E3038" s="405">
        <f t="shared" si="94"/>
        <v>42.33</v>
      </c>
      <c r="F3038">
        <f t="shared" si="95"/>
        <v>92009</v>
      </c>
      <c r="H3038" s="679">
        <v>42.33</v>
      </c>
      <c r="I3038" s="679">
        <v>44.56</v>
      </c>
    </row>
    <row r="3039" spans="2:9">
      <c r="B3039" s="395">
        <v>92010</v>
      </c>
      <c r="C3039" s="406" t="s">
        <v>1529</v>
      </c>
      <c r="D3039" s="395" t="s">
        <v>23</v>
      </c>
      <c r="E3039" s="407">
        <f t="shared" si="94"/>
        <v>54.92</v>
      </c>
      <c r="F3039">
        <f t="shared" si="95"/>
        <v>92010</v>
      </c>
      <c r="H3039" s="680">
        <v>54.92</v>
      </c>
      <c r="I3039" s="680">
        <v>58.68</v>
      </c>
    </row>
    <row r="3040" spans="2:9">
      <c r="B3040" s="396">
        <v>92011</v>
      </c>
      <c r="C3040" s="401" t="s">
        <v>1530</v>
      </c>
      <c r="D3040" s="396" t="s">
        <v>23</v>
      </c>
      <c r="E3040" s="405">
        <f t="shared" si="94"/>
        <v>60.98</v>
      </c>
      <c r="F3040">
        <f t="shared" si="95"/>
        <v>92011</v>
      </c>
      <c r="H3040" s="679">
        <v>60.98</v>
      </c>
      <c r="I3040" s="679">
        <v>64.739999999999995</v>
      </c>
    </row>
    <row r="3041" spans="2:9">
      <c r="B3041" s="395">
        <v>92012</v>
      </c>
      <c r="C3041" s="406" t="s">
        <v>1531</v>
      </c>
      <c r="D3041" s="395" t="s">
        <v>23</v>
      </c>
      <c r="E3041" s="407">
        <f t="shared" si="94"/>
        <v>61.81</v>
      </c>
      <c r="F3041">
        <f t="shared" si="95"/>
        <v>92012</v>
      </c>
      <c r="H3041" s="680">
        <v>61.81</v>
      </c>
      <c r="I3041" s="680">
        <v>65.89</v>
      </c>
    </row>
    <row r="3042" spans="2:9">
      <c r="B3042" s="396">
        <v>92013</v>
      </c>
      <c r="C3042" s="401" t="s">
        <v>1532</v>
      </c>
      <c r="D3042" s="396" t="s">
        <v>23</v>
      </c>
      <c r="E3042" s="405">
        <f t="shared" si="94"/>
        <v>67.87</v>
      </c>
      <c r="F3042">
        <f t="shared" si="95"/>
        <v>92013</v>
      </c>
      <c r="H3042" s="679">
        <v>67.87</v>
      </c>
      <c r="I3042" s="679">
        <v>71.95</v>
      </c>
    </row>
    <row r="3043" spans="2:9">
      <c r="B3043" s="395">
        <v>92014</v>
      </c>
      <c r="C3043" s="406" t="s">
        <v>1533</v>
      </c>
      <c r="D3043" s="395" t="s">
        <v>23</v>
      </c>
      <c r="E3043" s="407">
        <f t="shared" si="94"/>
        <v>45.83</v>
      </c>
      <c r="F3043">
        <f t="shared" si="95"/>
        <v>92014</v>
      </c>
      <c r="H3043" s="680">
        <v>45.83</v>
      </c>
      <c r="I3043" s="680">
        <v>48.56</v>
      </c>
    </row>
    <row r="3044" spans="2:9">
      <c r="B3044" s="396">
        <v>92015</v>
      </c>
      <c r="C3044" s="401" t="s">
        <v>1534</v>
      </c>
      <c r="D3044" s="396" t="s">
        <v>23</v>
      </c>
      <c r="E3044" s="405">
        <f t="shared" si="94"/>
        <v>51.89</v>
      </c>
      <c r="F3044">
        <f t="shared" si="95"/>
        <v>92015</v>
      </c>
      <c r="H3044" s="679">
        <v>51.89</v>
      </c>
      <c r="I3044" s="679">
        <v>54.62</v>
      </c>
    </row>
    <row r="3045" spans="2:9">
      <c r="B3045" s="395">
        <v>92016</v>
      </c>
      <c r="C3045" s="406" t="s">
        <v>1535</v>
      </c>
      <c r="D3045" s="395" t="s">
        <v>23</v>
      </c>
      <c r="E3045" s="407">
        <f t="shared" si="94"/>
        <v>52.72</v>
      </c>
      <c r="F3045">
        <f t="shared" si="95"/>
        <v>92016</v>
      </c>
      <c r="H3045" s="680">
        <v>52.72</v>
      </c>
      <c r="I3045" s="680">
        <v>55.77</v>
      </c>
    </row>
    <row r="3046" spans="2:9">
      <c r="B3046" s="396">
        <v>92017</v>
      </c>
      <c r="C3046" s="401" t="s">
        <v>1536</v>
      </c>
      <c r="D3046" s="396" t="s">
        <v>23</v>
      </c>
      <c r="E3046" s="405">
        <f t="shared" si="94"/>
        <v>58.78</v>
      </c>
      <c r="F3046">
        <f t="shared" si="95"/>
        <v>92017</v>
      </c>
      <c r="H3046" s="679">
        <v>58.78</v>
      </c>
      <c r="I3046" s="679">
        <v>61.83</v>
      </c>
    </row>
    <row r="3047" spans="2:9">
      <c r="B3047" s="395">
        <v>92018</v>
      </c>
      <c r="C3047" s="406" t="s">
        <v>1537</v>
      </c>
      <c r="D3047" s="395" t="s">
        <v>23</v>
      </c>
      <c r="E3047" s="407">
        <f t="shared" si="94"/>
        <v>60.68</v>
      </c>
      <c r="F3047">
        <f t="shared" si="95"/>
        <v>92018</v>
      </c>
      <c r="H3047" s="680">
        <v>60.68</v>
      </c>
      <c r="I3047" s="680">
        <v>64.28</v>
      </c>
    </row>
    <row r="3048" spans="2:9">
      <c r="B3048" s="396">
        <v>92019</v>
      </c>
      <c r="C3048" s="401" t="s">
        <v>1538</v>
      </c>
      <c r="D3048" s="396" t="s">
        <v>23</v>
      </c>
      <c r="E3048" s="405">
        <f t="shared" si="94"/>
        <v>71.72</v>
      </c>
      <c r="F3048">
        <f t="shared" si="95"/>
        <v>92019</v>
      </c>
      <c r="H3048" s="679">
        <v>71.72</v>
      </c>
      <c r="I3048" s="679">
        <v>75.709999999999994</v>
      </c>
    </row>
    <row r="3049" spans="2:9">
      <c r="B3049" s="395">
        <v>92020</v>
      </c>
      <c r="C3049" s="406" t="s">
        <v>1539</v>
      </c>
      <c r="D3049" s="395" t="s">
        <v>23</v>
      </c>
      <c r="E3049" s="407">
        <f t="shared" si="94"/>
        <v>89.77</v>
      </c>
      <c r="F3049">
        <f t="shared" si="95"/>
        <v>92020</v>
      </c>
      <c r="H3049" s="680">
        <v>89.77</v>
      </c>
      <c r="I3049" s="680">
        <v>95.02</v>
      </c>
    </row>
    <row r="3050" spans="2:9">
      <c r="B3050" s="396">
        <v>92021</v>
      </c>
      <c r="C3050" s="401" t="s">
        <v>1540</v>
      </c>
      <c r="D3050" s="396" t="s">
        <v>23</v>
      </c>
      <c r="E3050" s="405">
        <f t="shared" si="94"/>
        <v>100.81</v>
      </c>
      <c r="F3050">
        <f t="shared" si="95"/>
        <v>92021</v>
      </c>
      <c r="H3050" s="679">
        <v>100.81</v>
      </c>
      <c r="I3050" s="679">
        <v>106.45</v>
      </c>
    </row>
    <row r="3051" spans="2:9" ht="30">
      <c r="B3051" s="395">
        <v>92022</v>
      </c>
      <c r="C3051" s="406" t="s">
        <v>366</v>
      </c>
      <c r="D3051" s="395" t="s">
        <v>23</v>
      </c>
      <c r="E3051" s="407">
        <f t="shared" si="94"/>
        <v>33.14</v>
      </c>
      <c r="F3051">
        <f t="shared" si="95"/>
        <v>92022</v>
      </c>
      <c r="H3051" s="680">
        <v>33.14</v>
      </c>
      <c r="I3051" s="680">
        <v>35.36</v>
      </c>
    </row>
    <row r="3052" spans="2:9" ht="30">
      <c r="B3052" s="396">
        <v>92023</v>
      </c>
      <c r="C3052" s="401" t="s">
        <v>1541</v>
      </c>
      <c r="D3052" s="396" t="s">
        <v>23</v>
      </c>
      <c r="E3052" s="405">
        <f t="shared" si="94"/>
        <v>40.03</v>
      </c>
      <c r="F3052">
        <f t="shared" si="95"/>
        <v>92023</v>
      </c>
      <c r="H3052" s="679">
        <v>40.03</v>
      </c>
      <c r="I3052" s="679">
        <v>42.57</v>
      </c>
    </row>
    <row r="3053" spans="2:9" ht="30">
      <c r="B3053" s="395">
        <v>92024</v>
      </c>
      <c r="C3053" s="406" t="s">
        <v>1542</v>
      </c>
      <c r="D3053" s="395" t="s">
        <v>23</v>
      </c>
      <c r="E3053" s="407">
        <f t="shared" si="94"/>
        <v>50.65</v>
      </c>
      <c r="F3053">
        <f t="shared" si="95"/>
        <v>92024</v>
      </c>
      <c r="H3053" s="680">
        <v>50.65</v>
      </c>
      <c r="I3053" s="680">
        <v>54.02</v>
      </c>
    </row>
    <row r="3054" spans="2:9" ht="30">
      <c r="B3054" s="396">
        <v>92025</v>
      </c>
      <c r="C3054" s="401" t="s">
        <v>1543</v>
      </c>
      <c r="D3054" s="396" t="s">
        <v>23</v>
      </c>
      <c r="E3054" s="405">
        <f t="shared" si="94"/>
        <v>57.54</v>
      </c>
      <c r="F3054">
        <f t="shared" si="95"/>
        <v>92025</v>
      </c>
      <c r="H3054" s="679">
        <v>57.54</v>
      </c>
      <c r="I3054" s="679">
        <v>61.23</v>
      </c>
    </row>
    <row r="3055" spans="2:9" ht="30">
      <c r="B3055" s="395">
        <v>92026</v>
      </c>
      <c r="C3055" s="406" t="s">
        <v>1544</v>
      </c>
      <c r="D3055" s="395" t="s">
        <v>23</v>
      </c>
      <c r="E3055" s="407">
        <f t="shared" si="94"/>
        <v>46.34</v>
      </c>
      <c r="F3055">
        <f t="shared" si="95"/>
        <v>92026</v>
      </c>
      <c r="H3055" s="680">
        <v>46.34</v>
      </c>
      <c r="I3055" s="680">
        <v>49.32</v>
      </c>
    </row>
    <row r="3056" spans="2:9" ht="30">
      <c r="B3056" s="396">
        <v>92027</v>
      </c>
      <c r="C3056" s="401" t="s">
        <v>1545</v>
      </c>
      <c r="D3056" s="396" t="s">
        <v>23</v>
      </c>
      <c r="E3056" s="405">
        <f t="shared" si="94"/>
        <v>53.23</v>
      </c>
      <c r="F3056">
        <f t="shared" si="95"/>
        <v>92027</v>
      </c>
      <c r="H3056" s="679">
        <v>53.23</v>
      </c>
      <c r="I3056" s="679">
        <v>56.53</v>
      </c>
    </row>
    <row r="3057" spans="2:9" ht="30">
      <c r="B3057" s="395">
        <v>92028</v>
      </c>
      <c r="C3057" s="406" t="s">
        <v>1546</v>
      </c>
      <c r="D3057" s="395" t="s">
        <v>23</v>
      </c>
      <c r="E3057" s="407">
        <f t="shared" si="94"/>
        <v>38.5</v>
      </c>
      <c r="F3057">
        <f t="shared" si="95"/>
        <v>92028</v>
      </c>
      <c r="H3057" s="680">
        <v>38.5</v>
      </c>
      <c r="I3057" s="680">
        <v>41.11</v>
      </c>
    </row>
    <row r="3058" spans="2:9" ht="30">
      <c r="B3058" s="396">
        <v>92029</v>
      </c>
      <c r="C3058" s="401" t="s">
        <v>1547</v>
      </c>
      <c r="D3058" s="396" t="s">
        <v>23</v>
      </c>
      <c r="E3058" s="405">
        <f t="shared" si="94"/>
        <v>45.39</v>
      </c>
      <c r="F3058">
        <f t="shared" si="95"/>
        <v>92029</v>
      </c>
      <c r="H3058" s="679">
        <v>45.39</v>
      </c>
      <c r="I3058" s="679">
        <v>48.32</v>
      </c>
    </row>
    <row r="3059" spans="2:9" ht="30">
      <c r="B3059" s="395">
        <v>92030</v>
      </c>
      <c r="C3059" s="406" t="s">
        <v>1548</v>
      </c>
      <c r="D3059" s="395" t="s">
        <v>23</v>
      </c>
      <c r="E3059" s="407">
        <f t="shared" si="94"/>
        <v>55.97</v>
      </c>
      <c r="F3059">
        <f t="shared" si="95"/>
        <v>92030</v>
      </c>
      <c r="H3059" s="680">
        <v>55.97</v>
      </c>
      <c r="I3059" s="680">
        <v>59.73</v>
      </c>
    </row>
    <row r="3060" spans="2:9" ht="30">
      <c r="B3060" s="396">
        <v>92031</v>
      </c>
      <c r="C3060" s="401" t="s">
        <v>1549</v>
      </c>
      <c r="D3060" s="396" t="s">
        <v>23</v>
      </c>
      <c r="E3060" s="405">
        <f t="shared" si="94"/>
        <v>62.86</v>
      </c>
      <c r="F3060">
        <f t="shared" si="95"/>
        <v>92031</v>
      </c>
      <c r="H3060" s="679">
        <v>62.86</v>
      </c>
      <c r="I3060" s="679">
        <v>66.94</v>
      </c>
    </row>
    <row r="3061" spans="2:9" ht="30">
      <c r="B3061" s="395">
        <v>92032</v>
      </c>
      <c r="C3061" s="406" t="s">
        <v>1550</v>
      </c>
      <c r="D3061" s="395" t="s">
        <v>23</v>
      </c>
      <c r="E3061" s="407">
        <f t="shared" si="94"/>
        <v>57.02</v>
      </c>
      <c r="F3061">
        <f t="shared" si="95"/>
        <v>92032</v>
      </c>
      <c r="H3061" s="680">
        <v>57.02</v>
      </c>
      <c r="I3061" s="680">
        <v>60.78</v>
      </c>
    </row>
    <row r="3062" spans="2:9" ht="30">
      <c r="B3062" s="396">
        <v>92033</v>
      </c>
      <c r="C3062" s="401" t="s">
        <v>1551</v>
      </c>
      <c r="D3062" s="396" t="s">
        <v>23</v>
      </c>
      <c r="E3062" s="405">
        <f t="shared" si="94"/>
        <v>63.91</v>
      </c>
      <c r="F3062">
        <f t="shared" si="95"/>
        <v>92033</v>
      </c>
      <c r="H3062" s="679">
        <v>63.91</v>
      </c>
      <c r="I3062" s="679">
        <v>67.989999999999995</v>
      </c>
    </row>
    <row r="3063" spans="2:9" ht="30">
      <c r="B3063" s="395">
        <v>92034</v>
      </c>
      <c r="C3063" s="406" t="s">
        <v>1552</v>
      </c>
      <c r="D3063" s="395" t="s">
        <v>23</v>
      </c>
      <c r="E3063" s="407">
        <f t="shared" si="94"/>
        <v>51.7</v>
      </c>
      <c r="F3063">
        <f t="shared" si="95"/>
        <v>92034</v>
      </c>
      <c r="H3063" s="680">
        <v>51.7</v>
      </c>
      <c r="I3063" s="680">
        <v>55.07</v>
      </c>
    </row>
    <row r="3064" spans="2:9" ht="30">
      <c r="B3064" s="396">
        <v>92035</v>
      </c>
      <c r="C3064" s="401" t="s">
        <v>1553</v>
      </c>
      <c r="D3064" s="396" t="s">
        <v>23</v>
      </c>
      <c r="E3064" s="405">
        <f t="shared" si="94"/>
        <v>58.59</v>
      </c>
      <c r="F3064">
        <f t="shared" si="95"/>
        <v>92035</v>
      </c>
      <c r="H3064" s="679">
        <v>58.59</v>
      </c>
      <c r="I3064" s="679">
        <v>62.28</v>
      </c>
    </row>
    <row r="3065" spans="2:9" ht="30">
      <c r="B3065" s="395">
        <v>97583</v>
      </c>
      <c r="C3065" s="406" t="s">
        <v>3958</v>
      </c>
      <c r="D3065" s="395" t="s">
        <v>23</v>
      </c>
      <c r="E3065" s="407">
        <f t="shared" si="94"/>
        <v>82.11</v>
      </c>
      <c r="F3065">
        <f t="shared" si="95"/>
        <v>97583</v>
      </c>
      <c r="H3065" s="680">
        <v>82.11</v>
      </c>
      <c r="I3065" s="680">
        <v>83.39</v>
      </c>
    </row>
    <row r="3066" spans="2:9" ht="30">
      <c r="B3066" s="396">
        <v>97584</v>
      </c>
      <c r="C3066" s="401" t="s">
        <v>3959</v>
      </c>
      <c r="D3066" s="396" t="s">
        <v>23</v>
      </c>
      <c r="E3066" s="405">
        <f t="shared" si="94"/>
        <v>115.86</v>
      </c>
      <c r="F3066">
        <f t="shared" si="95"/>
        <v>97584</v>
      </c>
      <c r="H3066" s="679">
        <v>115.86</v>
      </c>
      <c r="I3066" s="679">
        <v>117.14</v>
      </c>
    </row>
    <row r="3067" spans="2:9" ht="30">
      <c r="B3067" s="395">
        <v>97585</v>
      </c>
      <c r="C3067" s="406" t="s">
        <v>3960</v>
      </c>
      <c r="D3067" s="395" t="s">
        <v>23</v>
      </c>
      <c r="E3067" s="407">
        <f t="shared" si="94"/>
        <v>111.02</v>
      </c>
      <c r="F3067">
        <f t="shared" si="95"/>
        <v>97585</v>
      </c>
      <c r="H3067" s="680">
        <v>111.02</v>
      </c>
      <c r="I3067" s="680">
        <v>112.47</v>
      </c>
    </row>
    <row r="3068" spans="2:9" ht="30">
      <c r="B3068" s="396">
        <v>97586</v>
      </c>
      <c r="C3068" s="401" t="s">
        <v>3961</v>
      </c>
      <c r="D3068" s="396" t="s">
        <v>23</v>
      </c>
      <c r="E3068" s="405">
        <f t="shared" si="94"/>
        <v>151.78</v>
      </c>
      <c r="F3068">
        <f t="shared" si="95"/>
        <v>97586</v>
      </c>
      <c r="H3068" s="679">
        <v>151.78</v>
      </c>
      <c r="I3068" s="679">
        <v>153.22999999999999</v>
      </c>
    </row>
    <row r="3069" spans="2:9" ht="30">
      <c r="B3069" s="395">
        <v>97587</v>
      </c>
      <c r="C3069" s="406" t="s">
        <v>3962</v>
      </c>
      <c r="D3069" s="395" t="s">
        <v>23</v>
      </c>
      <c r="E3069" s="407">
        <f t="shared" si="94"/>
        <v>279.72000000000003</v>
      </c>
      <c r="F3069">
        <f t="shared" si="95"/>
        <v>97587</v>
      </c>
      <c r="H3069" s="680">
        <v>279.72000000000003</v>
      </c>
      <c r="I3069" s="680">
        <v>280.95</v>
      </c>
    </row>
    <row r="3070" spans="2:9" ht="30">
      <c r="B3070" s="396">
        <v>97589</v>
      </c>
      <c r="C3070" s="401" t="s">
        <v>3963</v>
      </c>
      <c r="D3070" s="396" t="s">
        <v>23</v>
      </c>
      <c r="E3070" s="405">
        <f t="shared" si="94"/>
        <v>32.72</v>
      </c>
      <c r="F3070">
        <f t="shared" si="95"/>
        <v>97589</v>
      </c>
      <c r="H3070" s="679">
        <v>32.72</v>
      </c>
      <c r="I3070" s="679">
        <v>34.590000000000003</v>
      </c>
    </row>
    <row r="3071" spans="2:9" ht="30">
      <c r="B3071" s="395">
        <v>97590</v>
      </c>
      <c r="C3071" s="406" t="s">
        <v>3964</v>
      </c>
      <c r="D3071" s="395" t="s">
        <v>23</v>
      </c>
      <c r="E3071" s="407">
        <f t="shared" si="94"/>
        <v>89.04</v>
      </c>
      <c r="F3071">
        <f t="shared" si="95"/>
        <v>97590</v>
      </c>
      <c r="H3071" s="680">
        <v>89.04</v>
      </c>
      <c r="I3071" s="680">
        <v>90.91</v>
      </c>
    </row>
    <row r="3072" spans="2:9" ht="30">
      <c r="B3072" s="396">
        <v>97591</v>
      </c>
      <c r="C3072" s="401" t="s">
        <v>3965</v>
      </c>
      <c r="D3072" s="396" t="s">
        <v>23</v>
      </c>
      <c r="E3072" s="405">
        <f t="shared" si="94"/>
        <v>113.49</v>
      </c>
      <c r="F3072">
        <f t="shared" si="95"/>
        <v>97591</v>
      </c>
      <c r="H3072" s="679">
        <v>113.49</v>
      </c>
      <c r="I3072" s="679">
        <v>115.9</v>
      </c>
    </row>
    <row r="3073" spans="2:9" ht="30">
      <c r="B3073" s="395">
        <v>97593</v>
      </c>
      <c r="C3073" s="406" t="s">
        <v>3966</v>
      </c>
      <c r="D3073" s="395" t="s">
        <v>23</v>
      </c>
      <c r="E3073" s="407">
        <f t="shared" si="94"/>
        <v>132.81</v>
      </c>
      <c r="F3073">
        <f t="shared" si="95"/>
        <v>97593</v>
      </c>
      <c r="H3073" s="680">
        <v>132.81</v>
      </c>
      <c r="I3073" s="680">
        <v>134.38</v>
      </c>
    </row>
    <row r="3074" spans="2:9" ht="30">
      <c r="B3074" s="396">
        <v>97594</v>
      </c>
      <c r="C3074" s="401" t="s">
        <v>3967</v>
      </c>
      <c r="D3074" s="396" t="s">
        <v>23</v>
      </c>
      <c r="E3074" s="405">
        <f t="shared" si="94"/>
        <v>114.81</v>
      </c>
      <c r="F3074">
        <f t="shared" si="95"/>
        <v>97594</v>
      </c>
      <c r="H3074" s="679">
        <v>114.81</v>
      </c>
      <c r="I3074" s="679">
        <v>116.85</v>
      </c>
    </row>
    <row r="3075" spans="2:9">
      <c r="B3075" s="395">
        <v>97595</v>
      </c>
      <c r="C3075" s="406" t="s">
        <v>3968</v>
      </c>
      <c r="D3075" s="395" t="s">
        <v>23</v>
      </c>
      <c r="E3075" s="407">
        <f t="shared" ref="E3075:E3138" si="96">IF($K$2=$H$1,H3075,I3075)</f>
        <v>96.95</v>
      </c>
      <c r="F3075">
        <f t="shared" ref="F3075:F3138" si="97">IF(LEN($B3075)=7,CONCATENATE(MID($B3075,1,6),"00",RIGHT($B3075,1)),IF(LEN($B3075)=8,CONCATENATE(MID($B3075,1,6),"0",RIGHT($B3075,2)),$B3075))</f>
        <v>97595</v>
      </c>
      <c r="H3075" s="680">
        <v>96.95</v>
      </c>
      <c r="I3075" s="680">
        <v>98.91</v>
      </c>
    </row>
    <row r="3076" spans="2:9">
      <c r="B3076" s="396">
        <v>97596</v>
      </c>
      <c r="C3076" s="401" t="s">
        <v>3969</v>
      </c>
      <c r="D3076" s="396" t="s">
        <v>23</v>
      </c>
      <c r="E3076" s="405">
        <f t="shared" si="96"/>
        <v>66.52</v>
      </c>
      <c r="F3076">
        <f t="shared" si="97"/>
        <v>97596</v>
      </c>
      <c r="H3076" s="679">
        <v>66.52</v>
      </c>
      <c r="I3076" s="679">
        <v>68.48</v>
      </c>
    </row>
    <row r="3077" spans="2:9">
      <c r="B3077" s="395">
        <v>97597</v>
      </c>
      <c r="C3077" s="406" t="s">
        <v>3970</v>
      </c>
      <c r="D3077" s="395" t="s">
        <v>23</v>
      </c>
      <c r="E3077" s="407">
        <f t="shared" si="96"/>
        <v>66.95</v>
      </c>
      <c r="F3077">
        <f t="shared" si="97"/>
        <v>97597</v>
      </c>
      <c r="H3077" s="680">
        <v>66.95</v>
      </c>
      <c r="I3077" s="680">
        <v>68.260000000000005</v>
      </c>
    </row>
    <row r="3078" spans="2:9">
      <c r="B3078" s="396">
        <v>97598</v>
      </c>
      <c r="C3078" s="401" t="s">
        <v>3971</v>
      </c>
      <c r="D3078" s="396" t="s">
        <v>23</v>
      </c>
      <c r="E3078" s="405">
        <f t="shared" si="96"/>
        <v>63.06</v>
      </c>
      <c r="F3078">
        <f t="shared" si="97"/>
        <v>97598</v>
      </c>
      <c r="H3078" s="679">
        <v>63.06</v>
      </c>
      <c r="I3078" s="679">
        <v>64.37</v>
      </c>
    </row>
    <row r="3079" spans="2:9">
      <c r="B3079" s="395">
        <v>97599</v>
      </c>
      <c r="C3079" s="406" t="s">
        <v>3972</v>
      </c>
      <c r="D3079" s="395" t="s">
        <v>23</v>
      </c>
      <c r="E3079" s="407">
        <f t="shared" si="96"/>
        <v>22.06</v>
      </c>
      <c r="F3079">
        <f t="shared" si="97"/>
        <v>97599</v>
      </c>
      <c r="H3079" s="680">
        <v>22.06</v>
      </c>
      <c r="I3079" s="680">
        <v>22.7</v>
      </c>
    </row>
    <row r="3080" spans="2:9">
      <c r="B3080" s="396">
        <v>97609</v>
      </c>
      <c r="C3080" s="401" t="s">
        <v>3973</v>
      </c>
      <c r="D3080" s="396" t="s">
        <v>23</v>
      </c>
      <c r="E3080" s="405">
        <f t="shared" si="96"/>
        <v>14.17</v>
      </c>
      <c r="F3080">
        <f t="shared" si="97"/>
        <v>97609</v>
      </c>
      <c r="H3080" s="679">
        <v>14.17</v>
      </c>
      <c r="I3080" s="679">
        <v>14.75</v>
      </c>
    </row>
    <row r="3081" spans="2:9">
      <c r="B3081" s="395">
        <v>97610</v>
      </c>
      <c r="C3081" s="406" t="s">
        <v>3974</v>
      </c>
      <c r="D3081" s="395" t="s">
        <v>23</v>
      </c>
      <c r="E3081" s="407">
        <f t="shared" si="96"/>
        <v>15.04</v>
      </c>
      <c r="F3081">
        <f t="shared" si="97"/>
        <v>97610</v>
      </c>
      <c r="H3081" s="680">
        <v>15.04</v>
      </c>
      <c r="I3081" s="680">
        <v>15.62</v>
      </c>
    </row>
    <row r="3082" spans="2:9">
      <c r="B3082" s="396">
        <v>97611</v>
      </c>
      <c r="C3082" s="401" t="s">
        <v>3975</v>
      </c>
      <c r="D3082" s="396" t="s">
        <v>23</v>
      </c>
      <c r="E3082" s="405">
        <f t="shared" si="96"/>
        <v>18.149999999999999</v>
      </c>
      <c r="F3082">
        <f t="shared" si="97"/>
        <v>97611</v>
      </c>
      <c r="H3082" s="679">
        <v>18.149999999999999</v>
      </c>
      <c r="I3082" s="679">
        <v>18.73</v>
      </c>
    </row>
    <row r="3083" spans="2:9">
      <c r="B3083" s="395">
        <v>97612</v>
      </c>
      <c r="C3083" s="406" t="s">
        <v>3976</v>
      </c>
      <c r="D3083" s="395" t="s">
        <v>23</v>
      </c>
      <c r="E3083" s="407">
        <f t="shared" si="96"/>
        <v>19.53</v>
      </c>
      <c r="F3083">
        <f t="shared" si="97"/>
        <v>97612</v>
      </c>
      <c r="H3083" s="680">
        <v>19.53</v>
      </c>
      <c r="I3083" s="680">
        <v>20.11</v>
      </c>
    </row>
    <row r="3084" spans="2:9">
      <c r="B3084" s="396">
        <v>97613</v>
      </c>
      <c r="C3084" s="401" t="s">
        <v>3977</v>
      </c>
      <c r="D3084" s="396" t="s">
        <v>23</v>
      </c>
      <c r="E3084" s="405">
        <f t="shared" si="96"/>
        <v>24.08</v>
      </c>
      <c r="F3084">
        <f t="shared" si="97"/>
        <v>97613</v>
      </c>
      <c r="H3084" s="679">
        <v>24.08</v>
      </c>
      <c r="I3084" s="679">
        <v>24.66</v>
      </c>
    </row>
    <row r="3085" spans="2:9">
      <c r="B3085" s="395">
        <v>97614</v>
      </c>
      <c r="C3085" s="406" t="s">
        <v>3978</v>
      </c>
      <c r="D3085" s="395" t="s">
        <v>23</v>
      </c>
      <c r="E3085" s="407">
        <f t="shared" si="96"/>
        <v>40.53</v>
      </c>
      <c r="F3085">
        <f t="shared" si="97"/>
        <v>97614</v>
      </c>
      <c r="H3085" s="680">
        <v>40.53</v>
      </c>
      <c r="I3085" s="680">
        <v>41.11</v>
      </c>
    </row>
    <row r="3086" spans="2:9">
      <c r="B3086" s="396">
        <v>97615</v>
      </c>
      <c r="C3086" s="401" t="s">
        <v>7605</v>
      </c>
      <c r="D3086" s="396" t="s">
        <v>23</v>
      </c>
      <c r="E3086" s="405">
        <f t="shared" si="96"/>
        <v>49.34</v>
      </c>
      <c r="F3086">
        <f t="shared" si="97"/>
        <v>97615</v>
      </c>
      <c r="H3086" s="679">
        <v>49.34</v>
      </c>
      <c r="I3086" s="679">
        <v>50.2</v>
      </c>
    </row>
    <row r="3087" spans="2:9">
      <c r="B3087" s="395">
        <v>97616</v>
      </c>
      <c r="C3087" s="406" t="s">
        <v>7606</v>
      </c>
      <c r="D3087" s="395" t="s">
        <v>23</v>
      </c>
      <c r="E3087" s="407">
        <f t="shared" si="96"/>
        <v>56.96</v>
      </c>
      <c r="F3087">
        <f t="shared" si="97"/>
        <v>97616</v>
      </c>
      <c r="H3087" s="680">
        <v>56.96</v>
      </c>
      <c r="I3087" s="680">
        <v>57.82</v>
      </c>
    </row>
    <row r="3088" spans="2:9">
      <c r="B3088" s="396">
        <v>97617</v>
      </c>
      <c r="C3088" s="401" t="s">
        <v>7607</v>
      </c>
      <c r="D3088" s="396" t="s">
        <v>23</v>
      </c>
      <c r="E3088" s="405">
        <f t="shared" si="96"/>
        <v>56.74</v>
      </c>
      <c r="F3088">
        <f t="shared" si="97"/>
        <v>97617</v>
      </c>
      <c r="H3088" s="679">
        <v>56.74</v>
      </c>
      <c r="I3088" s="679">
        <v>57.6</v>
      </c>
    </row>
    <row r="3089" spans="2:9">
      <c r="B3089" s="395">
        <v>97618</v>
      </c>
      <c r="C3089" s="406" t="s">
        <v>7608</v>
      </c>
      <c r="D3089" s="395" t="s">
        <v>23</v>
      </c>
      <c r="E3089" s="407">
        <f t="shared" si="96"/>
        <v>51.26</v>
      </c>
      <c r="F3089">
        <f t="shared" si="97"/>
        <v>97618</v>
      </c>
      <c r="H3089" s="680">
        <v>51.26</v>
      </c>
      <c r="I3089" s="680">
        <v>52.12</v>
      </c>
    </row>
    <row r="3090" spans="2:9">
      <c r="B3090" s="396">
        <v>100902</v>
      </c>
      <c r="C3090" s="401" t="s">
        <v>7609</v>
      </c>
      <c r="D3090" s="396" t="s">
        <v>23</v>
      </c>
      <c r="E3090" s="405">
        <f t="shared" si="96"/>
        <v>23.16</v>
      </c>
      <c r="F3090">
        <f t="shared" si="97"/>
        <v>100902</v>
      </c>
      <c r="H3090" s="679">
        <v>23.16</v>
      </c>
      <c r="I3090" s="679">
        <v>24.02</v>
      </c>
    </row>
    <row r="3091" spans="2:9">
      <c r="B3091" s="395">
        <v>100903</v>
      </c>
      <c r="C3091" s="406" t="s">
        <v>7610</v>
      </c>
      <c r="D3091" s="395" t="s">
        <v>23</v>
      </c>
      <c r="E3091" s="407">
        <f t="shared" si="96"/>
        <v>27</v>
      </c>
      <c r="F3091">
        <f t="shared" si="97"/>
        <v>100903</v>
      </c>
      <c r="H3091" s="680">
        <v>27</v>
      </c>
      <c r="I3091" s="680">
        <v>27.86</v>
      </c>
    </row>
    <row r="3092" spans="2:9" ht="30">
      <c r="B3092" s="396">
        <v>100904</v>
      </c>
      <c r="C3092" s="401" t="s">
        <v>3979</v>
      </c>
      <c r="D3092" s="396" t="s">
        <v>23</v>
      </c>
      <c r="E3092" s="405">
        <f t="shared" si="96"/>
        <v>82.11</v>
      </c>
      <c r="F3092">
        <f t="shared" si="97"/>
        <v>100904</v>
      </c>
      <c r="H3092" s="679">
        <v>82.11</v>
      </c>
      <c r="I3092" s="679">
        <v>83.39</v>
      </c>
    </row>
    <row r="3093" spans="2:9" ht="30">
      <c r="B3093" s="395">
        <v>100905</v>
      </c>
      <c r="C3093" s="406" t="s">
        <v>3980</v>
      </c>
      <c r="D3093" s="395" t="s">
        <v>23</v>
      </c>
      <c r="E3093" s="407">
        <f t="shared" si="96"/>
        <v>222.05</v>
      </c>
      <c r="F3093">
        <f t="shared" si="97"/>
        <v>100905</v>
      </c>
      <c r="H3093" s="680">
        <v>222.05</v>
      </c>
      <c r="I3093" s="680">
        <v>224.94</v>
      </c>
    </row>
    <row r="3094" spans="2:9" ht="30">
      <c r="B3094" s="396">
        <v>100906</v>
      </c>
      <c r="C3094" s="401" t="s">
        <v>3981</v>
      </c>
      <c r="D3094" s="396" t="s">
        <v>23</v>
      </c>
      <c r="E3094" s="405">
        <f t="shared" si="96"/>
        <v>303.57</v>
      </c>
      <c r="F3094">
        <f t="shared" si="97"/>
        <v>100906</v>
      </c>
      <c r="H3094" s="679">
        <v>303.57</v>
      </c>
      <c r="I3094" s="679">
        <v>306.45999999999998</v>
      </c>
    </row>
    <row r="3095" spans="2:9">
      <c r="B3095" s="395">
        <v>100919</v>
      </c>
      <c r="C3095" s="406" t="s">
        <v>3982</v>
      </c>
      <c r="D3095" s="395" t="s">
        <v>23</v>
      </c>
      <c r="E3095" s="407">
        <f t="shared" si="96"/>
        <v>45.9</v>
      </c>
      <c r="F3095">
        <f t="shared" si="97"/>
        <v>100919</v>
      </c>
      <c r="H3095" s="680">
        <v>45.9</v>
      </c>
      <c r="I3095" s="680">
        <v>46.48</v>
      </c>
    </row>
    <row r="3096" spans="2:9">
      <c r="B3096" s="396">
        <v>100920</v>
      </c>
      <c r="C3096" s="401" t="s">
        <v>3983</v>
      </c>
      <c r="D3096" s="396" t="s">
        <v>23</v>
      </c>
      <c r="E3096" s="405">
        <f t="shared" si="96"/>
        <v>76.23</v>
      </c>
      <c r="F3096">
        <f t="shared" si="97"/>
        <v>100920</v>
      </c>
      <c r="H3096" s="679">
        <v>76.23</v>
      </c>
      <c r="I3096" s="679">
        <v>76.81</v>
      </c>
    </row>
    <row r="3097" spans="2:9">
      <c r="B3097" s="395">
        <v>100921</v>
      </c>
      <c r="C3097" s="406" t="s">
        <v>3984</v>
      </c>
      <c r="D3097" s="395" t="s">
        <v>23</v>
      </c>
      <c r="E3097" s="407">
        <f t="shared" si="96"/>
        <v>60.66</v>
      </c>
      <c r="F3097">
        <f t="shared" si="97"/>
        <v>100921</v>
      </c>
      <c r="H3097" s="680">
        <v>60.66</v>
      </c>
      <c r="I3097" s="680">
        <v>63.06</v>
      </c>
    </row>
    <row r="3098" spans="2:9">
      <c r="B3098" s="396">
        <v>100922</v>
      </c>
      <c r="C3098" s="401" t="s">
        <v>3985</v>
      </c>
      <c r="D3098" s="396" t="s">
        <v>23</v>
      </c>
      <c r="E3098" s="405">
        <f t="shared" si="96"/>
        <v>43.67</v>
      </c>
      <c r="F3098">
        <f t="shared" si="97"/>
        <v>100922</v>
      </c>
      <c r="H3098" s="679">
        <v>43.67</v>
      </c>
      <c r="I3098" s="679">
        <v>45.33</v>
      </c>
    </row>
    <row r="3099" spans="2:9">
      <c r="B3099" s="395">
        <v>100923</v>
      </c>
      <c r="C3099" s="406" t="s">
        <v>3986</v>
      </c>
      <c r="D3099" s="395" t="s">
        <v>23</v>
      </c>
      <c r="E3099" s="407">
        <f t="shared" si="96"/>
        <v>50.94</v>
      </c>
      <c r="F3099">
        <f t="shared" si="97"/>
        <v>100923</v>
      </c>
      <c r="H3099" s="680">
        <v>50.94</v>
      </c>
      <c r="I3099" s="680">
        <v>52.6</v>
      </c>
    </row>
    <row r="3100" spans="2:9">
      <c r="B3100" s="396">
        <v>103782</v>
      </c>
      <c r="C3100" s="401" t="s">
        <v>6487</v>
      </c>
      <c r="D3100" s="396" t="s">
        <v>23</v>
      </c>
      <c r="E3100" s="405">
        <f t="shared" si="96"/>
        <v>30.51</v>
      </c>
      <c r="F3100">
        <f t="shared" si="97"/>
        <v>103782</v>
      </c>
      <c r="H3100" s="679">
        <v>30.51</v>
      </c>
      <c r="I3100" s="679">
        <v>32.26</v>
      </c>
    </row>
    <row r="3101" spans="2:9" ht="30">
      <c r="B3101" s="395">
        <v>101489</v>
      </c>
      <c r="C3101" s="406" t="s">
        <v>7611</v>
      </c>
      <c r="D3101" s="395" t="s">
        <v>23</v>
      </c>
      <c r="E3101" s="407">
        <f t="shared" si="96"/>
        <v>1356.35</v>
      </c>
      <c r="F3101">
        <f t="shared" si="97"/>
        <v>101489</v>
      </c>
      <c r="H3101" s="680">
        <v>1356.35</v>
      </c>
      <c r="I3101" s="680">
        <v>1395.58</v>
      </c>
    </row>
    <row r="3102" spans="2:9" ht="30">
      <c r="B3102" s="396">
        <v>101490</v>
      </c>
      <c r="C3102" s="401" t="s">
        <v>7612</v>
      </c>
      <c r="D3102" s="396" t="s">
        <v>23</v>
      </c>
      <c r="E3102" s="405">
        <f t="shared" si="96"/>
        <v>1446.33</v>
      </c>
      <c r="F3102">
        <f t="shared" si="97"/>
        <v>101490</v>
      </c>
      <c r="H3102" s="679">
        <v>1446.33</v>
      </c>
      <c r="I3102" s="679">
        <v>1487.54</v>
      </c>
    </row>
    <row r="3103" spans="2:9" ht="30">
      <c r="B3103" s="395">
        <v>101491</v>
      </c>
      <c r="C3103" s="406" t="s">
        <v>7613</v>
      </c>
      <c r="D3103" s="395" t="s">
        <v>23</v>
      </c>
      <c r="E3103" s="407">
        <f t="shared" si="96"/>
        <v>1484.61</v>
      </c>
      <c r="F3103">
        <f t="shared" si="97"/>
        <v>101491</v>
      </c>
      <c r="H3103" s="680">
        <v>1484.61</v>
      </c>
      <c r="I3103" s="680">
        <v>1522.96</v>
      </c>
    </row>
    <row r="3104" spans="2:9" ht="30">
      <c r="B3104" s="396">
        <v>101492</v>
      </c>
      <c r="C3104" s="401" t="s">
        <v>7614</v>
      </c>
      <c r="D3104" s="396" t="s">
        <v>23</v>
      </c>
      <c r="E3104" s="405">
        <f t="shared" si="96"/>
        <v>1626.27</v>
      </c>
      <c r="F3104">
        <f t="shared" si="97"/>
        <v>101492</v>
      </c>
      <c r="H3104" s="679">
        <v>1626.27</v>
      </c>
      <c r="I3104" s="679">
        <v>1666.35</v>
      </c>
    </row>
    <row r="3105" spans="2:9" ht="30">
      <c r="B3105" s="395">
        <v>101493</v>
      </c>
      <c r="C3105" s="406" t="s">
        <v>7615</v>
      </c>
      <c r="D3105" s="395" t="s">
        <v>23</v>
      </c>
      <c r="E3105" s="407">
        <f t="shared" si="96"/>
        <v>1344.62</v>
      </c>
      <c r="F3105">
        <f t="shared" si="97"/>
        <v>101493</v>
      </c>
      <c r="H3105" s="680">
        <v>1344.62</v>
      </c>
      <c r="I3105" s="680">
        <v>1382.14</v>
      </c>
    </row>
    <row r="3106" spans="2:9" ht="30">
      <c r="B3106" s="396">
        <v>101494</v>
      </c>
      <c r="C3106" s="401" t="s">
        <v>7616</v>
      </c>
      <c r="D3106" s="396" t="s">
        <v>23</v>
      </c>
      <c r="E3106" s="405">
        <f t="shared" si="96"/>
        <v>1434.6</v>
      </c>
      <c r="F3106">
        <f t="shared" si="97"/>
        <v>101494</v>
      </c>
      <c r="H3106" s="679">
        <v>1434.6</v>
      </c>
      <c r="I3106" s="679">
        <v>1474.1</v>
      </c>
    </row>
    <row r="3107" spans="2:9" ht="30">
      <c r="B3107" s="395">
        <v>101495</v>
      </c>
      <c r="C3107" s="406" t="s">
        <v>7617</v>
      </c>
      <c r="D3107" s="395" t="s">
        <v>23</v>
      </c>
      <c r="E3107" s="407">
        <f t="shared" si="96"/>
        <v>1472.88</v>
      </c>
      <c r="F3107">
        <f t="shared" si="97"/>
        <v>101495</v>
      </c>
      <c r="H3107" s="680">
        <v>1472.88</v>
      </c>
      <c r="I3107" s="680">
        <v>1509.52</v>
      </c>
    </row>
    <row r="3108" spans="2:9" ht="30">
      <c r="B3108" s="396">
        <v>101496</v>
      </c>
      <c r="C3108" s="401" t="s">
        <v>7618</v>
      </c>
      <c r="D3108" s="396" t="s">
        <v>23</v>
      </c>
      <c r="E3108" s="405">
        <f t="shared" si="96"/>
        <v>1614.54</v>
      </c>
      <c r="F3108">
        <f t="shared" si="97"/>
        <v>101496</v>
      </c>
      <c r="H3108" s="679">
        <v>1614.54</v>
      </c>
      <c r="I3108" s="679">
        <v>1652.91</v>
      </c>
    </row>
    <row r="3109" spans="2:9" ht="30">
      <c r="B3109" s="395">
        <v>101497</v>
      </c>
      <c r="C3109" s="406" t="s">
        <v>7619</v>
      </c>
      <c r="D3109" s="395" t="s">
        <v>23</v>
      </c>
      <c r="E3109" s="407">
        <f t="shared" si="96"/>
        <v>1616.16</v>
      </c>
      <c r="F3109">
        <f t="shared" si="97"/>
        <v>101497</v>
      </c>
      <c r="H3109" s="680">
        <v>1616.16</v>
      </c>
      <c r="I3109" s="680">
        <v>1658.31</v>
      </c>
    </row>
    <row r="3110" spans="2:9" ht="30">
      <c r="B3110" s="396">
        <v>101498</v>
      </c>
      <c r="C3110" s="401" t="s">
        <v>7620</v>
      </c>
      <c r="D3110" s="396" t="s">
        <v>23</v>
      </c>
      <c r="E3110" s="405">
        <f t="shared" si="96"/>
        <v>1752.35</v>
      </c>
      <c r="F3110">
        <f t="shared" si="97"/>
        <v>101498</v>
      </c>
      <c r="H3110" s="679">
        <v>1752.35</v>
      </c>
      <c r="I3110" s="679">
        <v>1797.5</v>
      </c>
    </row>
    <row r="3111" spans="2:9" ht="30">
      <c r="B3111" s="395">
        <v>101499</v>
      </c>
      <c r="C3111" s="406" t="s">
        <v>7621</v>
      </c>
      <c r="D3111" s="395" t="s">
        <v>23</v>
      </c>
      <c r="E3111" s="407">
        <f t="shared" si="96"/>
        <v>1810.29</v>
      </c>
      <c r="F3111">
        <f t="shared" si="97"/>
        <v>101499</v>
      </c>
      <c r="H3111" s="680">
        <v>1810.29</v>
      </c>
      <c r="I3111" s="680">
        <v>1851.12</v>
      </c>
    </row>
    <row r="3112" spans="2:9" ht="30">
      <c r="B3112" s="396">
        <v>101500</v>
      </c>
      <c r="C3112" s="401" t="s">
        <v>7622</v>
      </c>
      <c r="D3112" s="396" t="s">
        <v>23</v>
      </c>
      <c r="E3112" s="405">
        <f t="shared" si="96"/>
        <v>2009.02</v>
      </c>
      <c r="F3112">
        <f t="shared" si="97"/>
        <v>101500</v>
      </c>
      <c r="H3112" s="679">
        <v>2009.02</v>
      </c>
      <c r="I3112" s="679">
        <v>2051.8000000000002</v>
      </c>
    </row>
    <row r="3113" spans="2:9" ht="30">
      <c r="B3113" s="395">
        <v>101501</v>
      </c>
      <c r="C3113" s="406" t="s">
        <v>7623</v>
      </c>
      <c r="D3113" s="395" t="s">
        <v>23</v>
      </c>
      <c r="E3113" s="407">
        <f t="shared" si="96"/>
        <v>1611.98</v>
      </c>
      <c r="F3113">
        <f t="shared" si="97"/>
        <v>101501</v>
      </c>
      <c r="H3113" s="680">
        <v>1611.98</v>
      </c>
      <c r="I3113" s="680">
        <v>1652.77</v>
      </c>
    </row>
    <row r="3114" spans="2:9" ht="30">
      <c r="B3114" s="396">
        <v>101502</v>
      </c>
      <c r="C3114" s="401" t="s">
        <v>7624</v>
      </c>
      <c r="D3114" s="396" t="s">
        <v>23</v>
      </c>
      <c r="E3114" s="405">
        <f t="shared" si="96"/>
        <v>1748.17</v>
      </c>
      <c r="F3114">
        <f t="shared" si="97"/>
        <v>101502</v>
      </c>
      <c r="H3114" s="679">
        <v>1748.17</v>
      </c>
      <c r="I3114" s="679">
        <v>1791.96</v>
      </c>
    </row>
    <row r="3115" spans="2:9" ht="30">
      <c r="B3115" s="395">
        <v>101503</v>
      </c>
      <c r="C3115" s="406" t="s">
        <v>7625</v>
      </c>
      <c r="D3115" s="395" t="s">
        <v>23</v>
      </c>
      <c r="E3115" s="407">
        <f t="shared" si="96"/>
        <v>1806.11</v>
      </c>
      <c r="F3115">
        <f t="shared" si="97"/>
        <v>101503</v>
      </c>
      <c r="H3115" s="680">
        <v>1806.11</v>
      </c>
      <c r="I3115" s="680">
        <v>1845.58</v>
      </c>
    </row>
    <row r="3116" spans="2:9" ht="30">
      <c r="B3116" s="396">
        <v>101504</v>
      </c>
      <c r="C3116" s="401" t="s">
        <v>7626</v>
      </c>
      <c r="D3116" s="396" t="s">
        <v>23</v>
      </c>
      <c r="E3116" s="405">
        <f t="shared" si="96"/>
        <v>2004.84</v>
      </c>
      <c r="F3116">
        <f t="shared" si="97"/>
        <v>101504</v>
      </c>
      <c r="H3116" s="679">
        <v>2004.84</v>
      </c>
      <c r="I3116" s="679">
        <v>2046.26</v>
      </c>
    </row>
    <row r="3117" spans="2:9" ht="30">
      <c r="B3117" s="395">
        <v>101505</v>
      </c>
      <c r="C3117" s="406" t="s">
        <v>7627</v>
      </c>
      <c r="D3117" s="395" t="s">
        <v>23</v>
      </c>
      <c r="E3117" s="407">
        <f t="shared" si="96"/>
        <v>1719.79</v>
      </c>
      <c r="F3117">
        <f t="shared" si="97"/>
        <v>101505</v>
      </c>
      <c r="H3117" s="680">
        <v>1719.79</v>
      </c>
      <c r="I3117" s="680">
        <v>1764.83</v>
      </c>
    </row>
    <row r="3118" spans="2:9" ht="30">
      <c r="B3118" s="396">
        <v>101506</v>
      </c>
      <c r="C3118" s="401" t="s">
        <v>7628</v>
      </c>
      <c r="D3118" s="396" t="s">
        <v>23</v>
      </c>
      <c r="E3118" s="405">
        <f t="shared" si="96"/>
        <v>1901.39</v>
      </c>
      <c r="F3118">
        <f t="shared" si="97"/>
        <v>101506</v>
      </c>
      <c r="H3118" s="679">
        <v>1901.39</v>
      </c>
      <c r="I3118" s="679">
        <v>1950.42</v>
      </c>
    </row>
    <row r="3119" spans="2:9" ht="30">
      <c r="B3119" s="395">
        <v>101507</v>
      </c>
      <c r="C3119" s="406" t="s">
        <v>7629</v>
      </c>
      <c r="D3119" s="395" t="s">
        <v>23</v>
      </c>
      <c r="E3119" s="407">
        <f t="shared" si="96"/>
        <v>1978.64</v>
      </c>
      <c r="F3119">
        <f t="shared" si="97"/>
        <v>101507</v>
      </c>
      <c r="H3119" s="680">
        <v>1978.64</v>
      </c>
      <c r="I3119" s="680">
        <v>2021.91</v>
      </c>
    </row>
    <row r="3120" spans="2:9" ht="30">
      <c r="B3120" s="396">
        <v>101508</v>
      </c>
      <c r="C3120" s="401" t="s">
        <v>7630</v>
      </c>
      <c r="D3120" s="396" t="s">
        <v>23</v>
      </c>
      <c r="E3120" s="405">
        <f t="shared" si="96"/>
        <v>2233.42</v>
      </c>
      <c r="F3120">
        <f t="shared" si="97"/>
        <v>101508</v>
      </c>
      <c r="H3120" s="679">
        <v>2233.42</v>
      </c>
      <c r="I3120" s="679">
        <v>2278.87</v>
      </c>
    </row>
    <row r="3121" spans="2:9" ht="30">
      <c r="B3121" s="395">
        <v>101509</v>
      </c>
      <c r="C3121" s="406" t="s">
        <v>7631</v>
      </c>
      <c r="D3121" s="395" t="s">
        <v>23</v>
      </c>
      <c r="E3121" s="407">
        <f t="shared" si="96"/>
        <v>1779.01</v>
      </c>
      <c r="F3121">
        <f t="shared" si="97"/>
        <v>101509</v>
      </c>
      <c r="H3121" s="680">
        <v>1779.01</v>
      </c>
      <c r="I3121" s="680">
        <v>1822.75</v>
      </c>
    </row>
    <row r="3122" spans="2:9" ht="30">
      <c r="B3122" s="396">
        <v>101510</v>
      </c>
      <c r="C3122" s="401" t="s">
        <v>7632</v>
      </c>
      <c r="D3122" s="396" t="s">
        <v>23</v>
      </c>
      <c r="E3122" s="405">
        <f t="shared" si="96"/>
        <v>1960.61</v>
      </c>
      <c r="F3122">
        <f t="shared" si="97"/>
        <v>101510</v>
      </c>
      <c r="H3122" s="679">
        <v>1960.61</v>
      </c>
      <c r="I3122" s="679">
        <v>2008.34</v>
      </c>
    </row>
    <row r="3123" spans="2:9" ht="30">
      <c r="B3123" s="395">
        <v>101511</v>
      </c>
      <c r="C3123" s="406" t="s">
        <v>7633</v>
      </c>
      <c r="D3123" s="395" t="s">
        <v>23</v>
      </c>
      <c r="E3123" s="407">
        <f t="shared" si="96"/>
        <v>2037.86</v>
      </c>
      <c r="F3123">
        <f t="shared" si="97"/>
        <v>101511</v>
      </c>
      <c r="H3123" s="680">
        <v>2037.86</v>
      </c>
      <c r="I3123" s="680">
        <v>2079.83</v>
      </c>
    </row>
    <row r="3124" spans="2:9" ht="30">
      <c r="B3124" s="396">
        <v>101512</v>
      </c>
      <c r="C3124" s="401" t="s">
        <v>7634</v>
      </c>
      <c r="D3124" s="396" t="s">
        <v>23</v>
      </c>
      <c r="E3124" s="405">
        <f t="shared" si="96"/>
        <v>2292.64</v>
      </c>
      <c r="F3124">
        <f t="shared" si="97"/>
        <v>101512</v>
      </c>
      <c r="H3124" s="679">
        <v>2292.64</v>
      </c>
      <c r="I3124" s="679">
        <v>2336.79</v>
      </c>
    </row>
    <row r="3125" spans="2:9" ht="30">
      <c r="B3125" s="395">
        <v>101513</v>
      </c>
      <c r="C3125" s="406" t="s">
        <v>7635</v>
      </c>
      <c r="D3125" s="395" t="s">
        <v>23</v>
      </c>
      <c r="E3125" s="407">
        <f t="shared" si="96"/>
        <v>772.7</v>
      </c>
      <c r="F3125">
        <f t="shared" si="97"/>
        <v>101513</v>
      </c>
      <c r="H3125" s="680">
        <v>772.7</v>
      </c>
      <c r="I3125" s="680">
        <v>790.06</v>
      </c>
    </row>
    <row r="3126" spans="2:9" ht="30">
      <c r="B3126" s="396">
        <v>101514</v>
      </c>
      <c r="C3126" s="401" t="s">
        <v>7636</v>
      </c>
      <c r="D3126" s="396" t="s">
        <v>23</v>
      </c>
      <c r="E3126" s="405">
        <f t="shared" si="96"/>
        <v>880.68</v>
      </c>
      <c r="F3126">
        <f t="shared" si="97"/>
        <v>101514</v>
      </c>
      <c r="H3126" s="679">
        <v>880.68</v>
      </c>
      <c r="I3126" s="679">
        <v>900.41</v>
      </c>
    </row>
    <row r="3127" spans="2:9" ht="30">
      <c r="B3127" s="395">
        <v>101515</v>
      </c>
      <c r="C3127" s="406" t="s">
        <v>7637</v>
      </c>
      <c r="D3127" s="395" t="s">
        <v>23</v>
      </c>
      <c r="E3127" s="407">
        <f t="shared" si="96"/>
        <v>926.61</v>
      </c>
      <c r="F3127">
        <f t="shared" si="97"/>
        <v>101515</v>
      </c>
      <c r="H3127" s="680">
        <v>926.61</v>
      </c>
      <c r="I3127" s="680">
        <v>942.92</v>
      </c>
    </row>
    <row r="3128" spans="2:9" ht="30">
      <c r="B3128" s="396">
        <v>101516</v>
      </c>
      <c r="C3128" s="401" t="s">
        <v>7638</v>
      </c>
      <c r="D3128" s="396" t="s">
        <v>23</v>
      </c>
      <c r="E3128" s="405">
        <f t="shared" si="96"/>
        <v>1059.93</v>
      </c>
      <c r="F3128">
        <f t="shared" si="97"/>
        <v>101516</v>
      </c>
      <c r="H3128" s="679">
        <v>1059.93</v>
      </c>
      <c r="I3128" s="679">
        <v>1076.77</v>
      </c>
    </row>
    <row r="3129" spans="2:9" ht="30">
      <c r="B3129" s="395">
        <v>101517</v>
      </c>
      <c r="C3129" s="406" t="s">
        <v>7639</v>
      </c>
      <c r="D3129" s="395" t="s">
        <v>23</v>
      </c>
      <c r="E3129" s="407">
        <f t="shared" si="96"/>
        <v>760.98</v>
      </c>
      <c r="F3129">
        <f t="shared" si="97"/>
        <v>101517</v>
      </c>
      <c r="H3129" s="680">
        <v>760.98</v>
      </c>
      <c r="I3129" s="680">
        <v>776.62</v>
      </c>
    </row>
    <row r="3130" spans="2:9" ht="30">
      <c r="B3130" s="396">
        <v>101518</v>
      </c>
      <c r="C3130" s="401" t="s">
        <v>7640</v>
      </c>
      <c r="D3130" s="396" t="s">
        <v>23</v>
      </c>
      <c r="E3130" s="405">
        <f t="shared" si="96"/>
        <v>868.96</v>
      </c>
      <c r="F3130">
        <f t="shared" si="97"/>
        <v>101518</v>
      </c>
      <c r="H3130" s="679">
        <v>868.96</v>
      </c>
      <c r="I3130" s="679">
        <v>886.97</v>
      </c>
    </row>
    <row r="3131" spans="2:9" ht="30">
      <c r="B3131" s="395">
        <v>101519</v>
      </c>
      <c r="C3131" s="406" t="s">
        <v>7641</v>
      </c>
      <c r="D3131" s="395" t="s">
        <v>23</v>
      </c>
      <c r="E3131" s="407">
        <f t="shared" si="96"/>
        <v>914.89</v>
      </c>
      <c r="F3131">
        <f t="shared" si="97"/>
        <v>101519</v>
      </c>
      <c r="H3131" s="680">
        <v>914.89</v>
      </c>
      <c r="I3131" s="680">
        <v>929.48</v>
      </c>
    </row>
    <row r="3132" spans="2:9" ht="30">
      <c r="B3132" s="396">
        <v>101520</v>
      </c>
      <c r="C3132" s="401" t="s">
        <v>7642</v>
      </c>
      <c r="D3132" s="396" t="s">
        <v>23</v>
      </c>
      <c r="E3132" s="405">
        <f t="shared" si="96"/>
        <v>1048.21</v>
      </c>
      <c r="F3132">
        <f t="shared" si="97"/>
        <v>101520</v>
      </c>
      <c r="H3132" s="679">
        <v>1048.21</v>
      </c>
      <c r="I3132" s="679">
        <v>1063.33</v>
      </c>
    </row>
    <row r="3133" spans="2:9" ht="30">
      <c r="B3133" s="395">
        <v>101521</v>
      </c>
      <c r="C3133" s="406" t="s">
        <v>7643</v>
      </c>
      <c r="D3133" s="395" t="s">
        <v>23</v>
      </c>
      <c r="E3133" s="407">
        <f t="shared" si="96"/>
        <v>1046.1600000000001</v>
      </c>
      <c r="F3133">
        <f t="shared" si="97"/>
        <v>101521</v>
      </c>
      <c r="H3133" s="680">
        <v>1046.1600000000001</v>
      </c>
      <c r="I3133" s="680">
        <v>1066.79</v>
      </c>
    </row>
    <row r="3134" spans="2:9" ht="30">
      <c r="B3134" s="396">
        <v>101522</v>
      </c>
      <c r="C3134" s="401" t="s">
        <v>7644</v>
      </c>
      <c r="D3134" s="396" t="s">
        <v>23</v>
      </c>
      <c r="E3134" s="405">
        <f t="shared" si="96"/>
        <v>1208.1300000000001</v>
      </c>
      <c r="F3134">
        <f t="shared" si="97"/>
        <v>101522</v>
      </c>
      <c r="H3134" s="679">
        <v>1208.1300000000001</v>
      </c>
      <c r="I3134" s="679">
        <v>1232.32</v>
      </c>
    </row>
    <row r="3135" spans="2:9" ht="30">
      <c r="B3135" s="395">
        <v>101523</v>
      </c>
      <c r="C3135" s="406" t="s">
        <v>7645</v>
      </c>
      <c r="D3135" s="395" t="s">
        <v>23</v>
      </c>
      <c r="E3135" s="407">
        <f t="shared" si="96"/>
        <v>1277.03</v>
      </c>
      <c r="F3135">
        <f t="shared" si="97"/>
        <v>101523</v>
      </c>
      <c r="H3135" s="680">
        <v>1277.03</v>
      </c>
      <c r="I3135" s="680">
        <v>1296.07</v>
      </c>
    </row>
    <row r="3136" spans="2:9" ht="30">
      <c r="B3136" s="396">
        <v>101524</v>
      </c>
      <c r="C3136" s="401" t="s">
        <v>7646</v>
      </c>
      <c r="D3136" s="396" t="s">
        <v>23</v>
      </c>
      <c r="E3136" s="405">
        <f t="shared" si="96"/>
        <v>1477.01</v>
      </c>
      <c r="F3136">
        <f t="shared" si="97"/>
        <v>101524</v>
      </c>
      <c r="H3136" s="679">
        <v>1477.01</v>
      </c>
      <c r="I3136" s="679">
        <v>1496.85</v>
      </c>
    </row>
    <row r="3137" spans="2:9" ht="30">
      <c r="B3137" s="395">
        <v>101525</v>
      </c>
      <c r="C3137" s="406" t="s">
        <v>7647</v>
      </c>
      <c r="D3137" s="395" t="s">
        <v>23</v>
      </c>
      <c r="E3137" s="407">
        <f t="shared" si="96"/>
        <v>1041.99</v>
      </c>
      <c r="F3137">
        <f t="shared" si="97"/>
        <v>101525</v>
      </c>
      <c r="H3137" s="680">
        <v>1041.99</v>
      </c>
      <c r="I3137" s="680">
        <v>1061.26</v>
      </c>
    </row>
    <row r="3138" spans="2:9" ht="30">
      <c r="B3138" s="396">
        <v>101526</v>
      </c>
      <c r="C3138" s="401" t="s">
        <v>7648</v>
      </c>
      <c r="D3138" s="396" t="s">
        <v>23</v>
      </c>
      <c r="E3138" s="405">
        <f t="shared" si="96"/>
        <v>1203.96</v>
      </c>
      <c r="F3138">
        <f t="shared" si="97"/>
        <v>101526</v>
      </c>
      <c r="H3138" s="679">
        <v>1203.96</v>
      </c>
      <c r="I3138" s="679">
        <v>1226.79</v>
      </c>
    </row>
    <row r="3139" spans="2:9" ht="30">
      <c r="B3139" s="395">
        <v>101527</v>
      </c>
      <c r="C3139" s="406" t="s">
        <v>7649</v>
      </c>
      <c r="D3139" s="395" t="s">
        <v>23</v>
      </c>
      <c r="E3139" s="407">
        <f t="shared" ref="E3139:E3202" si="98">IF($K$2=$H$1,H3139,I3139)</f>
        <v>1272.8599999999999</v>
      </c>
      <c r="F3139">
        <f t="shared" ref="F3139:F3202" si="99">IF(LEN($B3139)=7,CONCATENATE(MID($B3139,1,6),"00",RIGHT($B3139,1)),IF(LEN($B3139)=8,CONCATENATE(MID($B3139,1,6),"0",RIGHT($B3139,2)),$B3139))</f>
        <v>101527</v>
      </c>
      <c r="H3139" s="680">
        <v>1272.8599999999999</v>
      </c>
      <c r="I3139" s="680">
        <v>1290.54</v>
      </c>
    </row>
    <row r="3140" spans="2:9" ht="30">
      <c r="B3140" s="396">
        <v>101528</v>
      </c>
      <c r="C3140" s="401" t="s">
        <v>7650</v>
      </c>
      <c r="D3140" s="396" t="s">
        <v>23</v>
      </c>
      <c r="E3140" s="405">
        <f t="shared" si="98"/>
        <v>1472.84</v>
      </c>
      <c r="F3140">
        <f t="shared" si="99"/>
        <v>101528</v>
      </c>
      <c r="H3140" s="679">
        <v>1472.84</v>
      </c>
      <c r="I3140" s="679">
        <v>1491.32</v>
      </c>
    </row>
    <row r="3141" spans="2:9" ht="30">
      <c r="B3141" s="395">
        <v>101529</v>
      </c>
      <c r="C3141" s="406" t="s">
        <v>7651</v>
      </c>
      <c r="D3141" s="395" t="s">
        <v>23</v>
      </c>
      <c r="E3141" s="407">
        <f t="shared" si="98"/>
        <v>1164.8800000000001</v>
      </c>
      <c r="F3141">
        <f t="shared" si="99"/>
        <v>101529</v>
      </c>
      <c r="H3141" s="680">
        <v>1164.8800000000001</v>
      </c>
      <c r="I3141" s="680">
        <v>1188.78</v>
      </c>
    </row>
    <row r="3142" spans="2:9" ht="30">
      <c r="B3142" s="396">
        <v>101530</v>
      </c>
      <c r="C3142" s="401" t="s">
        <v>7652</v>
      </c>
      <c r="D3142" s="396" t="s">
        <v>23</v>
      </c>
      <c r="E3142" s="405">
        <f t="shared" si="98"/>
        <v>1380.84</v>
      </c>
      <c r="F3142">
        <f t="shared" si="99"/>
        <v>101530</v>
      </c>
      <c r="H3142" s="679">
        <v>1380.84</v>
      </c>
      <c r="I3142" s="679">
        <v>1409.48</v>
      </c>
    </row>
    <row r="3143" spans="2:9" ht="30">
      <c r="B3143" s="395">
        <v>101531</v>
      </c>
      <c r="C3143" s="406" t="s">
        <v>7653</v>
      </c>
      <c r="D3143" s="395" t="s">
        <v>23</v>
      </c>
      <c r="E3143" s="407">
        <f t="shared" si="98"/>
        <v>1472.71</v>
      </c>
      <c r="F3143">
        <f t="shared" si="99"/>
        <v>101531</v>
      </c>
      <c r="H3143" s="680">
        <v>1472.71</v>
      </c>
      <c r="I3143" s="680">
        <v>1494.49</v>
      </c>
    </row>
    <row r="3144" spans="2:9" ht="30">
      <c r="B3144" s="396">
        <v>101532</v>
      </c>
      <c r="C3144" s="401" t="s">
        <v>7654</v>
      </c>
      <c r="D3144" s="396" t="s">
        <v>23</v>
      </c>
      <c r="E3144" s="405">
        <f t="shared" si="98"/>
        <v>1739.35</v>
      </c>
      <c r="F3144">
        <f t="shared" si="99"/>
        <v>101532</v>
      </c>
      <c r="H3144" s="679">
        <v>1739.35</v>
      </c>
      <c r="I3144" s="679">
        <v>1762.19</v>
      </c>
    </row>
    <row r="3145" spans="2:9" ht="30">
      <c r="B3145" s="395">
        <v>101533</v>
      </c>
      <c r="C3145" s="406" t="s">
        <v>7655</v>
      </c>
      <c r="D3145" s="395" t="s">
        <v>23</v>
      </c>
      <c r="E3145" s="407">
        <f t="shared" si="98"/>
        <v>1224.1099999999999</v>
      </c>
      <c r="F3145">
        <f t="shared" si="99"/>
        <v>101533</v>
      </c>
      <c r="H3145" s="680">
        <v>1224.1099999999999</v>
      </c>
      <c r="I3145" s="680">
        <v>1246.71</v>
      </c>
    </row>
    <row r="3146" spans="2:9" ht="30">
      <c r="B3146" s="396">
        <v>101534</v>
      </c>
      <c r="C3146" s="401" t="s">
        <v>7656</v>
      </c>
      <c r="D3146" s="396" t="s">
        <v>23</v>
      </c>
      <c r="E3146" s="405">
        <f t="shared" si="98"/>
        <v>1440.07</v>
      </c>
      <c r="F3146">
        <f t="shared" si="99"/>
        <v>101534</v>
      </c>
      <c r="H3146" s="679">
        <v>1440.07</v>
      </c>
      <c r="I3146" s="679">
        <v>1467.41</v>
      </c>
    </row>
    <row r="3147" spans="2:9" ht="30">
      <c r="B3147" s="395">
        <v>101535</v>
      </c>
      <c r="C3147" s="406" t="s">
        <v>7657</v>
      </c>
      <c r="D3147" s="395" t="s">
        <v>23</v>
      </c>
      <c r="E3147" s="407">
        <f t="shared" si="98"/>
        <v>1531.94</v>
      </c>
      <c r="F3147">
        <f t="shared" si="99"/>
        <v>101535</v>
      </c>
      <c r="H3147" s="680">
        <v>1531.94</v>
      </c>
      <c r="I3147" s="680">
        <v>1552.42</v>
      </c>
    </row>
    <row r="3148" spans="2:9" ht="30">
      <c r="B3148" s="396">
        <v>101536</v>
      </c>
      <c r="C3148" s="401" t="s">
        <v>7658</v>
      </c>
      <c r="D3148" s="396" t="s">
        <v>23</v>
      </c>
      <c r="E3148" s="405">
        <f t="shared" si="98"/>
        <v>1798.58</v>
      </c>
      <c r="F3148">
        <f t="shared" si="99"/>
        <v>101536</v>
      </c>
      <c r="H3148" s="679">
        <v>1798.58</v>
      </c>
      <c r="I3148" s="679">
        <v>1820.12</v>
      </c>
    </row>
    <row r="3149" spans="2:9">
      <c r="B3149" s="395">
        <v>101537</v>
      </c>
      <c r="C3149" s="406" t="s">
        <v>4302</v>
      </c>
      <c r="D3149" s="395" t="s">
        <v>23</v>
      </c>
      <c r="E3149" s="407">
        <f t="shared" si="98"/>
        <v>106.04</v>
      </c>
      <c r="F3149">
        <f t="shared" si="99"/>
        <v>101537</v>
      </c>
      <c r="H3149" s="680">
        <v>106.04</v>
      </c>
      <c r="I3149" s="680">
        <v>109.85</v>
      </c>
    </row>
    <row r="3150" spans="2:9">
      <c r="B3150" s="396">
        <v>101538</v>
      </c>
      <c r="C3150" s="401" t="s">
        <v>4303</v>
      </c>
      <c r="D3150" s="396" t="s">
        <v>23</v>
      </c>
      <c r="E3150" s="405">
        <f t="shared" si="98"/>
        <v>56.66</v>
      </c>
      <c r="F3150">
        <f t="shared" si="99"/>
        <v>101538</v>
      </c>
      <c r="H3150" s="679">
        <v>56.66</v>
      </c>
      <c r="I3150" s="679">
        <v>57.72</v>
      </c>
    </row>
    <row r="3151" spans="2:9">
      <c r="B3151" s="395">
        <v>101539</v>
      </c>
      <c r="C3151" s="406" t="s">
        <v>4304</v>
      </c>
      <c r="D3151" s="395" t="s">
        <v>23</v>
      </c>
      <c r="E3151" s="407">
        <f t="shared" si="98"/>
        <v>91.21</v>
      </c>
      <c r="F3151">
        <f t="shared" si="99"/>
        <v>101539</v>
      </c>
      <c r="H3151" s="680">
        <v>91.21</v>
      </c>
      <c r="I3151" s="680">
        <v>93.35</v>
      </c>
    </row>
    <row r="3152" spans="2:9">
      <c r="B3152" s="396">
        <v>101540</v>
      </c>
      <c r="C3152" s="401" t="s">
        <v>4305</v>
      </c>
      <c r="D3152" s="396" t="s">
        <v>23</v>
      </c>
      <c r="E3152" s="405">
        <f t="shared" si="98"/>
        <v>156.47999999999999</v>
      </c>
      <c r="F3152">
        <f t="shared" si="99"/>
        <v>101540</v>
      </c>
      <c r="H3152" s="679">
        <v>156.47999999999999</v>
      </c>
      <c r="I3152" s="679">
        <v>159.68</v>
      </c>
    </row>
    <row r="3153" spans="2:9">
      <c r="B3153" s="395">
        <v>101541</v>
      </c>
      <c r="C3153" s="406" t="s">
        <v>4306</v>
      </c>
      <c r="D3153" s="395" t="s">
        <v>23</v>
      </c>
      <c r="E3153" s="407">
        <f t="shared" si="98"/>
        <v>203.45</v>
      </c>
      <c r="F3153">
        <f t="shared" si="99"/>
        <v>101541</v>
      </c>
      <c r="H3153" s="680">
        <v>203.45</v>
      </c>
      <c r="I3153" s="680">
        <v>207.72</v>
      </c>
    </row>
    <row r="3154" spans="2:9">
      <c r="B3154" s="396">
        <v>101542</v>
      </c>
      <c r="C3154" s="401" t="s">
        <v>4307</v>
      </c>
      <c r="D3154" s="396" t="s">
        <v>23</v>
      </c>
      <c r="E3154" s="405">
        <f t="shared" si="98"/>
        <v>42.19</v>
      </c>
      <c r="F3154">
        <f t="shared" si="99"/>
        <v>101542</v>
      </c>
      <c r="H3154" s="679">
        <v>42.19</v>
      </c>
      <c r="I3154" s="679">
        <v>43.08</v>
      </c>
    </row>
    <row r="3155" spans="2:9">
      <c r="B3155" s="395">
        <v>101543</v>
      </c>
      <c r="C3155" s="406" t="s">
        <v>4308</v>
      </c>
      <c r="D3155" s="395" t="s">
        <v>23</v>
      </c>
      <c r="E3155" s="407">
        <f t="shared" si="98"/>
        <v>73.680000000000007</v>
      </c>
      <c r="F3155">
        <f t="shared" si="99"/>
        <v>101543</v>
      </c>
      <c r="H3155" s="680">
        <v>73.680000000000007</v>
      </c>
      <c r="I3155" s="680">
        <v>75.459999999999994</v>
      </c>
    </row>
    <row r="3156" spans="2:9">
      <c r="B3156" s="396">
        <v>101544</v>
      </c>
      <c r="C3156" s="401" t="s">
        <v>4309</v>
      </c>
      <c r="D3156" s="396" t="s">
        <v>23</v>
      </c>
      <c r="E3156" s="405">
        <f t="shared" si="98"/>
        <v>119.05</v>
      </c>
      <c r="F3156">
        <f t="shared" si="99"/>
        <v>101544</v>
      </c>
      <c r="H3156" s="679">
        <v>119.05</v>
      </c>
      <c r="I3156" s="679">
        <v>121.72</v>
      </c>
    </row>
    <row r="3157" spans="2:9">
      <c r="B3157" s="395">
        <v>101545</v>
      </c>
      <c r="C3157" s="406" t="s">
        <v>4310</v>
      </c>
      <c r="D3157" s="395" t="s">
        <v>23</v>
      </c>
      <c r="E3157" s="407">
        <f t="shared" si="98"/>
        <v>174.81</v>
      </c>
      <c r="F3157">
        <f t="shared" si="99"/>
        <v>101545</v>
      </c>
      <c r="H3157" s="680">
        <v>174.81</v>
      </c>
      <c r="I3157" s="680">
        <v>178.37</v>
      </c>
    </row>
    <row r="3158" spans="2:9">
      <c r="B3158" s="396">
        <v>101546</v>
      </c>
      <c r="C3158" s="401" t="s">
        <v>4311</v>
      </c>
      <c r="D3158" s="396" t="s">
        <v>23</v>
      </c>
      <c r="E3158" s="405">
        <f t="shared" si="98"/>
        <v>27.65</v>
      </c>
      <c r="F3158">
        <f t="shared" si="99"/>
        <v>101546</v>
      </c>
      <c r="H3158" s="679">
        <v>27.65</v>
      </c>
      <c r="I3158" s="679">
        <v>27.83</v>
      </c>
    </row>
    <row r="3159" spans="2:9">
      <c r="B3159" s="395">
        <v>101547</v>
      </c>
      <c r="C3159" s="406" t="s">
        <v>4312</v>
      </c>
      <c r="D3159" s="395" t="s">
        <v>23</v>
      </c>
      <c r="E3159" s="407">
        <f t="shared" si="98"/>
        <v>86.88</v>
      </c>
      <c r="F3159">
        <f t="shared" si="99"/>
        <v>101547</v>
      </c>
      <c r="H3159" s="680">
        <v>86.88</v>
      </c>
      <c r="I3159" s="680">
        <v>87.06</v>
      </c>
    </row>
    <row r="3160" spans="2:9">
      <c r="B3160" s="396">
        <v>101548</v>
      </c>
      <c r="C3160" s="401" t="s">
        <v>4313</v>
      </c>
      <c r="D3160" s="396" t="s">
        <v>23</v>
      </c>
      <c r="E3160" s="405">
        <f t="shared" si="98"/>
        <v>6.76</v>
      </c>
      <c r="F3160">
        <f t="shared" si="99"/>
        <v>101548</v>
      </c>
      <c r="H3160" s="679">
        <v>6.76</v>
      </c>
      <c r="I3160" s="679">
        <v>6.94</v>
      </c>
    </row>
    <row r="3161" spans="2:9" ht="30">
      <c r="B3161" s="395">
        <v>101549</v>
      </c>
      <c r="C3161" s="406" t="s">
        <v>4314</v>
      </c>
      <c r="D3161" s="395" t="s">
        <v>23</v>
      </c>
      <c r="E3161" s="407">
        <f t="shared" si="98"/>
        <v>19.02</v>
      </c>
      <c r="F3161">
        <f t="shared" si="99"/>
        <v>101549</v>
      </c>
      <c r="H3161" s="680">
        <v>19.02</v>
      </c>
      <c r="I3161" s="680">
        <v>19.600000000000001</v>
      </c>
    </row>
    <row r="3162" spans="2:9">
      <c r="B3162" s="396">
        <v>101553</v>
      </c>
      <c r="C3162" s="401" t="s">
        <v>4315</v>
      </c>
      <c r="D3162" s="396" t="s">
        <v>23</v>
      </c>
      <c r="E3162" s="405">
        <f t="shared" si="98"/>
        <v>19.670000000000002</v>
      </c>
      <c r="F3162">
        <f t="shared" si="99"/>
        <v>101553</v>
      </c>
      <c r="H3162" s="679">
        <v>19.670000000000002</v>
      </c>
      <c r="I3162" s="679">
        <v>20.13</v>
      </c>
    </row>
    <row r="3163" spans="2:9">
      <c r="B3163" s="395">
        <v>101554</v>
      </c>
      <c r="C3163" s="406" t="s">
        <v>4316</v>
      </c>
      <c r="D3163" s="395" t="s">
        <v>23</v>
      </c>
      <c r="E3163" s="407">
        <f t="shared" si="98"/>
        <v>13.41</v>
      </c>
      <c r="F3163">
        <f t="shared" si="99"/>
        <v>101554</v>
      </c>
      <c r="H3163" s="680">
        <v>13.41</v>
      </c>
      <c r="I3163" s="680">
        <v>13.87</v>
      </c>
    </row>
    <row r="3164" spans="2:9">
      <c r="B3164" s="396">
        <v>101555</v>
      </c>
      <c r="C3164" s="401" t="s">
        <v>4317</v>
      </c>
      <c r="D3164" s="396" t="s">
        <v>23</v>
      </c>
      <c r="E3164" s="405">
        <f t="shared" si="98"/>
        <v>7.7</v>
      </c>
      <c r="F3164">
        <f t="shared" si="99"/>
        <v>101555</v>
      </c>
      <c r="H3164" s="679">
        <v>7.7</v>
      </c>
      <c r="I3164" s="679">
        <v>8.16</v>
      </c>
    </row>
    <row r="3165" spans="2:9">
      <c r="B3165" s="395">
        <v>101556</v>
      </c>
      <c r="C3165" s="406" t="s">
        <v>4318</v>
      </c>
      <c r="D3165" s="395" t="s">
        <v>23</v>
      </c>
      <c r="E3165" s="407">
        <f t="shared" si="98"/>
        <v>6.79</v>
      </c>
      <c r="F3165">
        <f t="shared" si="99"/>
        <v>101556</v>
      </c>
      <c r="H3165" s="680">
        <v>6.79</v>
      </c>
      <c r="I3165" s="680">
        <v>7.25</v>
      </c>
    </row>
    <row r="3166" spans="2:9" ht="30">
      <c r="B3166" s="396">
        <v>101560</v>
      </c>
      <c r="C3166" s="401" t="s">
        <v>4319</v>
      </c>
      <c r="D3166" s="396" t="s">
        <v>22</v>
      </c>
      <c r="E3166" s="405">
        <f t="shared" si="98"/>
        <v>9.81</v>
      </c>
      <c r="F3166">
        <f t="shared" si="99"/>
        <v>101560</v>
      </c>
      <c r="H3166" s="679">
        <v>9.81</v>
      </c>
      <c r="I3166" s="679">
        <v>9.82</v>
      </c>
    </row>
    <row r="3167" spans="2:9" ht="30">
      <c r="B3167" s="395">
        <v>101561</v>
      </c>
      <c r="C3167" s="406" t="s">
        <v>4320</v>
      </c>
      <c r="D3167" s="395" t="s">
        <v>22</v>
      </c>
      <c r="E3167" s="407">
        <f t="shared" si="98"/>
        <v>15.58</v>
      </c>
      <c r="F3167">
        <f t="shared" si="99"/>
        <v>101561</v>
      </c>
      <c r="H3167" s="680">
        <v>15.58</v>
      </c>
      <c r="I3167" s="680">
        <v>15.59</v>
      </c>
    </row>
    <row r="3168" spans="2:9" ht="30">
      <c r="B3168" s="396">
        <v>101562</v>
      </c>
      <c r="C3168" s="401" t="s">
        <v>4321</v>
      </c>
      <c r="D3168" s="396" t="s">
        <v>22</v>
      </c>
      <c r="E3168" s="405">
        <f t="shared" si="98"/>
        <v>24.13</v>
      </c>
      <c r="F3168">
        <f t="shared" si="99"/>
        <v>101562</v>
      </c>
      <c r="H3168" s="679">
        <v>24.13</v>
      </c>
      <c r="I3168" s="679">
        <v>24.14</v>
      </c>
    </row>
    <row r="3169" spans="2:9" ht="30">
      <c r="B3169" s="395">
        <v>101563</v>
      </c>
      <c r="C3169" s="406" t="s">
        <v>4322</v>
      </c>
      <c r="D3169" s="395" t="s">
        <v>22</v>
      </c>
      <c r="E3169" s="407">
        <f t="shared" si="98"/>
        <v>34.090000000000003</v>
      </c>
      <c r="F3169">
        <f t="shared" si="99"/>
        <v>101563</v>
      </c>
      <c r="H3169" s="680">
        <v>34.090000000000003</v>
      </c>
      <c r="I3169" s="680">
        <v>34.1</v>
      </c>
    </row>
    <row r="3170" spans="2:9" ht="30">
      <c r="B3170" s="396">
        <v>101564</v>
      </c>
      <c r="C3170" s="401" t="s">
        <v>4323</v>
      </c>
      <c r="D3170" s="396" t="s">
        <v>22</v>
      </c>
      <c r="E3170" s="405">
        <f t="shared" si="98"/>
        <v>50.39</v>
      </c>
      <c r="F3170">
        <f t="shared" si="99"/>
        <v>101564</v>
      </c>
      <c r="H3170" s="679">
        <v>50.39</v>
      </c>
      <c r="I3170" s="679">
        <v>50.4</v>
      </c>
    </row>
    <row r="3171" spans="2:9" ht="30">
      <c r="B3171" s="395">
        <v>101565</v>
      </c>
      <c r="C3171" s="406" t="s">
        <v>4324</v>
      </c>
      <c r="D3171" s="395" t="s">
        <v>22</v>
      </c>
      <c r="E3171" s="407">
        <f t="shared" si="98"/>
        <v>70.47</v>
      </c>
      <c r="F3171">
        <f t="shared" si="99"/>
        <v>101565</v>
      </c>
      <c r="H3171" s="680">
        <v>70.47</v>
      </c>
      <c r="I3171" s="680">
        <v>70.47</v>
      </c>
    </row>
    <row r="3172" spans="2:9" ht="30">
      <c r="B3172" s="396">
        <v>101567</v>
      </c>
      <c r="C3172" s="401" t="s">
        <v>4325</v>
      </c>
      <c r="D3172" s="396" t="s">
        <v>22</v>
      </c>
      <c r="E3172" s="405">
        <f t="shared" si="98"/>
        <v>91.48</v>
      </c>
      <c r="F3172">
        <f t="shared" si="99"/>
        <v>101567</v>
      </c>
      <c r="H3172" s="679">
        <v>91.48</v>
      </c>
      <c r="I3172" s="679">
        <v>91.49</v>
      </c>
    </row>
    <row r="3173" spans="2:9" ht="30">
      <c r="B3173" s="395">
        <v>101568</v>
      </c>
      <c r="C3173" s="406" t="s">
        <v>4326</v>
      </c>
      <c r="D3173" s="395" t="s">
        <v>22</v>
      </c>
      <c r="E3173" s="407">
        <f t="shared" si="98"/>
        <v>119.6</v>
      </c>
      <c r="F3173">
        <f t="shared" si="99"/>
        <v>101568</v>
      </c>
      <c r="H3173" s="680">
        <v>119.6</v>
      </c>
      <c r="I3173" s="680">
        <v>119.61</v>
      </c>
    </row>
    <row r="3174" spans="2:9">
      <c r="B3174" s="396">
        <v>101626</v>
      </c>
      <c r="C3174" s="401" t="s">
        <v>4640</v>
      </c>
      <c r="D3174" s="396" t="s">
        <v>23</v>
      </c>
      <c r="E3174" s="405">
        <f t="shared" si="98"/>
        <v>165.07</v>
      </c>
      <c r="F3174">
        <f t="shared" si="99"/>
        <v>101626</v>
      </c>
      <c r="H3174" s="679">
        <v>165.07</v>
      </c>
      <c r="I3174" s="679">
        <v>165.98</v>
      </c>
    </row>
    <row r="3175" spans="2:9">
      <c r="B3175" s="395">
        <v>101627</v>
      </c>
      <c r="C3175" s="406" t="s">
        <v>4641</v>
      </c>
      <c r="D3175" s="395" t="s">
        <v>23</v>
      </c>
      <c r="E3175" s="407">
        <f t="shared" si="98"/>
        <v>257.36</v>
      </c>
      <c r="F3175">
        <f t="shared" si="99"/>
        <v>101627</v>
      </c>
      <c r="H3175" s="680">
        <v>257.36</v>
      </c>
      <c r="I3175" s="680">
        <v>258.27</v>
      </c>
    </row>
    <row r="3176" spans="2:9">
      <c r="B3176" s="396">
        <v>101628</v>
      </c>
      <c r="C3176" s="401" t="s">
        <v>4642</v>
      </c>
      <c r="D3176" s="396" t="s">
        <v>23</v>
      </c>
      <c r="E3176" s="405">
        <f t="shared" si="98"/>
        <v>122.37</v>
      </c>
      <c r="F3176">
        <f t="shared" si="99"/>
        <v>101628</v>
      </c>
      <c r="H3176" s="679">
        <v>122.37</v>
      </c>
      <c r="I3176" s="679">
        <v>123.28</v>
      </c>
    </row>
    <row r="3177" spans="2:9">
      <c r="B3177" s="395">
        <v>101629</v>
      </c>
      <c r="C3177" s="406" t="s">
        <v>4643</v>
      </c>
      <c r="D3177" s="395" t="s">
        <v>23</v>
      </c>
      <c r="E3177" s="407">
        <f t="shared" si="98"/>
        <v>144.36000000000001</v>
      </c>
      <c r="F3177">
        <f t="shared" si="99"/>
        <v>101629</v>
      </c>
      <c r="H3177" s="680">
        <v>144.36000000000001</v>
      </c>
      <c r="I3177" s="680">
        <v>145.27000000000001</v>
      </c>
    </row>
    <row r="3178" spans="2:9">
      <c r="B3178" s="396">
        <v>101630</v>
      </c>
      <c r="C3178" s="401" t="s">
        <v>4644</v>
      </c>
      <c r="D3178" s="396" t="s">
        <v>23</v>
      </c>
      <c r="E3178" s="405">
        <f t="shared" si="98"/>
        <v>75.64</v>
      </c>
      <c r="F3178">
        <f t="shared" si="99"/>
        <v>101630</v>
      </c>
      <c r="H3178" s="679">
        <v>75.64</v>
      </c>
      <c r="I3178" s="679">
        <v>77.510000000000005</v>
      </c>
    </row>
    <row r="3179" spans="2:9">
      <c r="B3179" s="395">
        <v>101631</v>
      </c>
      <c r="C3179" s="406" t="s">
        <v>4645</v>
      </c>
      <c r="D3179" s="395" t="s">
        <v>23</v>
      </c>
      <c r="E3179" s="407">
        <f t="shared" si="98"/>
        <v>29.31</v>
      </c>
      <c r="F3179">
        <f t="shared" si="99"/>
        <v>101631</v>
      </c>
      <c r="H3179" s="680">
        <v>29.31</v>
      </c>
      <c r="I3179" s="680">
        <v>30.22</v>
      </c>
    </row>
    <row r="3180" spans="2:9">
      <c r="B3180" s="396">
        <v>101632</v>
      </c>
      <c r="C3180" s="401" t="s">
        <v>4646</v>
      </c>
      <c r="D3180" s="396" t="s">
        <v>23</v>
      </c>
      <c r="E3180" s="405">
        <f t="shared" si="98"/>
        <v>36.869999999999997</v>
      </c>
      <c r="F3180">
        <f t="shared" si="99"/>
        <v>101632</v>
      </c>
      <c r="H3180" s="679">
        <v>36.869999999999997</v>
      </c>
      <c r="I3180" s="679">
        <v>36.950000000000003</v>
      </c>
    </row>
    <row r="3181" spans="2:9" ht="30">
      <c r="B3181" s="395">
        <v>101633</v>
      </c>
      <c r="C3181" s="406" t="s">
        <v>4647</v>
      </c>
      <c r="D3181" s="395" t="s">
        <v>23</v>
      </c>
      <c r="E3181" s="407">
        <f t="shared" si="98"/>
        <v>101.69</v>
      </c>
      <c r="F3181">
        <f t="shared" si="99"/>
        <v>101633</v>
      </c>
      <c r="H3181" s="680">
        <v>101.69</v>
      </c>
      <c r="I3181" s="680">
        <v>102.41</v>
      </c>
    </row>
    <row r="3182" spans="2:9" ht="30">
      <c r="B3182" s="396">
        <v>101636</v>
      </c>
      <c r="C3182" s="401" t="s">
        <v>4648</v>
      </c>
      <c r="D3182" s="396" t="s">
        <v>23</v>
      </c>
      <c r="E3182" s="405">
        <f t="shared" si="98"/>
        <v>144.53</v>
      </c>
      <c r="F3182">
        <f t="shared" si="99"/>
        <v>101636</v>
      </c>
      <c r="H3182" s="679">
        <v>144.53</v>
      </c>
      <c r="I3182" s="679">
        <v>148.26</v>
      </c>
    </row>
    <row r="3183" spans="2:9" ht="30">
      <c r="B3183" s="395">
        <v>101637</v>
      </c>
      <c r="C3183" s="406" t="s">
        <v>4649</v>
      </c>
      <c r="D3183" s="395" t="s">
        <v>23</v>
      </c>
      <c r="E3183" s="407">
        <f t="shared" si="98"/>
        <v>139.41</v>
      </c>
      <c r="F3183">
        <f t="shared" si="99"/>
        <v>101637</v>
      </c>
      <c r="H3183" s="680">
        <v>139.41</v>
      </c>
      <c r="I3183" s="680">
        <v>143.13999999999999</v>
      </c>
    </row>
    <row r="3184" spans="2:9">
      <c r="B3184" s="396">
        <v>101640</v>
      </c>
      <c r="C3184" s="401" t="s">
        <v>4650</v>
      </c>
      <c r="D3184" s="396" t="s">
        <v>23</v>
      </c>
      <c r="E3184" s="405">
        <f t="shared" si="98"/>
        <v>63.94</v>
      </c>
      <c r="F3184">
        <f t="shared" si="99"/>
        <v>101640</v>
      </c>
      <c r="H3184" s="679">
        <v>63.94</v>
      </c>
      <c r="I3184" s="679">
        <v>64.069999999999993</v>
      </c>
    </row>
    <row r="3185" spans="2:9">
      <c r="B3185" s="395">
        <v>101641</v>
      </c>
      <c r="C3185" s="406" t="s">
        <v>4651</v>
      </c>
      <c r="D3185" s="395" t="s">
        <v>23</v>
      </c>
      <c r="E3185" s="407">
        <f t="shared" si="98"/>
        <v>33.229999999999997</v>
      </c>
      <c r="F3185">
        <f t="shared" si="99"/>
        <v>101641</v>
      </c>
      <c r="H3185" s="680">
        <v>33.229999999999997</v>
      </c>
      <c r="I3185" s="680">
        <v>33.36</v>
      </c>
    </row>
    <row r="3186" spans="2:9">
      <c r="B3186" s="396">
        <v>101642</v>
      </c>
      <c r="C3186" s="401" t="s">
        <v>4652</v>
      </c>
      <c r="D3186" s="396" t="s">
        <v>23</v>
      </c>
      <c r="E3186" s="405">
        <f t="shared" si="98"/>
        <v>16.78</v>
      </c>
      <c r="F3186">
        <f t="shared" si="99"/>
        <v>101642</v>
      </c>
      <c r="H3186" s="679">
        <v>16.78</v>
      </c>
      <c r="I3186" s="679">
        <v>16.91</v>
      </c>
    </row>
    <row r="3187" spans="2:9">
      <c r="B3187" s="395">
        <v>101643</v>
      </c>
      <c r="C3187" s="406" t="s">
        <v>4653</v>
      </c>
      <c r="D3187" s="395" t="s">
        <v>23</v>
      </c>
      <c r="E3187" s="407">
        <f t="shared" si="98"/>
        <v>29.03</v>
      </c>
      <c r="F3187">
        <f t="shared" si="99"/>
        <v>101643</v>
      </c>
      <c r="H3187" s="680">
        <v>29.03</v>
      </c>
      <c r="I3187" s="680">
        <v>29.16</v>
      </c>
    </row>
    <row r="3188" spans="2:9">
      <c r="B3188" s="396">
        <v>101644</v>
      </c>
      <c r="C3188" s="401" t="s">
        <v>4654</v>
      </c>
      <c r="D3188" s="396" t="s">
        <v>23</v>
      </c>
      <c r="E3188" s="405">
        <f t="shared" si="98"/>
        <v>39.200000000000003</v>
      </c>
      <c r="F3188">
        <f t="shared" si="99"/>
        <v>101644</v>
      </c>
      <c r="H3188" s="679">
        <v>39.200000000000003</v>
      </c>
      <c r="I3188" s="679">
        <v>39.33</v>
      </c>
    </row>
    <row r="3189" spans="2:9">
      <c r="B3189" s="395">
        <v>101645</v>
      </c>
      <c r="C3189" s="406" t="s">
        <v>4655</v>
      </c>
      <c r="D3189" s="395" t="s">
        <v>23</v>
      </c>
      <c r="E3189" s="407">
        <f t="shared" si="98"/>
        <v>18.68</v>
      </c>
      <c r="F3189">
        <f t="shared" si="99"/>
        <v>101645</v>
      </c>
      <c r="H3189" s="680">
        <v>18.68</v>
      </c>
      <c r="I3189" s="680">
        <v>18.809999999999999</v>
      </c>
    </row>
    <row r="3190" spans="2:9">
      <c r="B3190" s="396">
        <v>101646</v>
      </c>
      <c r="C3190" s="401" t="s">
        <v>4656</v>
      </c>
      <c r="D3190" s="396" t="s">
        <v>23</v>
      </c>
      <c r="E3190" s="405">
        <f t="shared" si="98"/>
        <v>24.73</v>
      </c>
      <c r="F3190">
        <f t="shared" si="99"/>
        <v>101646</v>
      </c>
      <c r="H3190" s="679">
        <v>24.73</v>
      </c>
      <c r="I3190" s="679">
        <v>24.86</v>
      </c>
    </row>
    <row r="3191" spans="2:9">
      <c r="B3191" s="395">
        <v>101647</v>
      </c>
      <c r="C3191" s="406" t="s">
        <v>4657</v>
      </c>
      <c r="D3191" s="395" t="s">
        <v>23</v>
      </c>
      <c r="E3191" s="407">
        <f t="shared" si="98"/>
        <v>45.23</v>
      </c>
      <c r="F3191">
        <f t="shared" si="99"/>
        <v>101647</v>
      </c>
      <c r="H3191" s="680">
        <v>45.23</v>
      </c>
      <c r="I3191" s="680">
        <v>45.36</v>
      </c>
    </row>
    <row r="3192" spans="2:9">
      <c r="B3192" s="396">
        <v>101648</v>
      </c>
      <c r="C3192" s="401" t="s">
        <v>4658</v>
      </c>
      <c r="D3192" s="396" t="s">
        <v>23</v>
      </c>
      <c r="E3192" s="405">
        <f t="shared" si="98"/>
        <v>35.04</v>
      </c>
      <c r="F3192">
        <f t="shared" si="99"/>
        <v>101648</v>
      </c>
      <c r="H3192" s="679">
        <v>35.04</v>
      </c>
      <c r="I3192" s="679">
        <v>35.17</v>
      </c>
    </row>
    <row r="3193" spans="2:9">
      <c r="B3193" s="395">
        <v>101649</v>
      </c>
      <c r="C3193" s="406" t="s">
        <v>4659</v>
      </c>
      <c r="D3193" s="395" t="s">
        <v>23</v>
      </c>
      <c r="E3193" s="407">
        <f t="shared" si="98"/>
        <v>40.33</v>
      </c>
      <c r="F3193">
        <f t="shared" si="99"/>
        <v>101649</v>
      </c>
      <c r="H3193" s="680">
        <v>40.33</v>
      </c>
      <c r="I3193" s="680">
        <v>40.46</v>
      </c>
    </row>
    <row r="3194" spans="2:9">
      <c r="B3194" s="396">
        <v>101650</v>
      </c>
      <c r="C3194" s="401" t="s">
        <v>4660</v>
      </c>
      <c r="D3194" s="396" t="s">
        <v>23</v>
      </c>
      <c r="E3194" s="405">
        <f t="shared" si="98"/>
        <v>46.84</v>
      </c>
      <c r="F3194">
        <f t="shared" si="99"/>
        <v>101650</v>
      </c>
      <c r="H3194" s="679">
        <v>46.84</v>
      </c>
      <c r="I3194" s="679">
        <v>46.97</v>
      </c>
    </row>
    <row r="3195" spans="2:9">
      <c r="B3195" s="395">
        <v>101651</v>
      </c>
      <c r="C3195" s="406" t="s">
        <v>4661</v>
      </c>
      <c r="D3195" s="395" t="s">
        <v>23</v>
      </c>
      <c r="E3195" s="407">
        <f t="shared" si="98"/>
        <v>66.540000000000006</v>
      </c>
      <c r="F3195">
        <f t="shared" si="99"/>
        <v>101651</v>
      </c>
      <c r="H3195" s="680">
        <v>66.540000000000006</v>
      </c>
      <c r="I3195" s="680">
        <v>67.38</v>
      </c>
    </row>
    <row r="3196" spans="2:9" ht="30">
      <c r="B3196" s="396">
        <v>101652</v>
      </c>
      <c r="C3196" s="401" t="s">
        <v>4662</v>
      </c>
      <c r="D3196" s="396" t="s">
        <v>23</v>
      </c>
      <c r="E3196" s="405">
        <f t="shared" si="98"/>
        <v>494.8</v>
      </c>
      <c r="F3196">
        <f t="shared" si="99"/>
        <v>101652</v>
      </c>
      <c r="H3196" s="679">
        <v>494.8</v>
      </c>
      <c r="I3196" s="679">
        <v>499.17</v>
      </c>
    </row>
    <row r="3197" spans="2:9" ht="45">
      <c r="B3197" s="395">
        <v>101653</v>
      </c>
      <c r="C3197" s="406" t="s">
        <v>4663</v>
      </c>
      <c r="D3197" s="395" t="s">
        <v>23</v>
      </c>
      <c r="E3197" s="407">
        <f t="shared" si="98"/>
        <v>263.29000000000002</v>
      </c>
      <c r="F3197">
        <f t="shared" si="99"/>
        <v>101653</v>
      </c>
      <c r="H3197" s="680">
        <v>263.29000000000002</v>
      </c>
      <c r="I3197" s="680">
        <v>270.82</v>
      </c>
    </row>
    <row r="3198" spans="2:9">
      <c r="B3198" s="396">
        <v>101654</v>
      </c>
      <c r="C3198" s="401" t="s">
        <v>4664</v>
      </c>
      <c r="D3198" s="396" t="s">
        <v>23</v>
      </c>
      <c r="E3198" s="405">
        <f t="shared" si="98"/>
        <v>244.37</v>
      </c>
      <c r="F3198">
        <f t="shared" si="99"/>
        <v>101654</v>
      </c>
      <c r="H3198" s="679">
        <v>244.37</v>
      </c>
      <c r="I3198" s="679">
        <v>246.06</v>
      </c>
    </row>
    <row r="3199" spans="2:9">
      <c r="B3199" s="395">
        <v>101655</v>
      </c>
      <c r="C3199" s="406" t="s">
        <v>4665</v>
      </c>
      <c r="D3199" s="395" t="s">
        <v>23</v>
      </c>
      <c r="E3199" s="407">
        <f t="shared" si="98"/>
        <v>388.36</v>
      </c>
      <c r="F3199">
        <f t="shared" si="99"/>
        <v>101655</v>
      </c>
      <c r="H3199" s="680">
        <v>388.36</v>
      </c>
      <c r="I3199" s="680">
        <v>390.05</v>
      </c>
    </row>
    <row r="3200" spans="2:9">
      <c r="B3200" s="396">
        <v>101656</v>
      </c>
      <c r="C3200" s="401" t="s">
        <v>4666</v>
      </c>
      <c r="D3200" s="396" t="s">
        <v>23</v>
      </c>
      <c r="E3200" s="405">
        <f t="shared" si="98"/>
        <v>421.98</v>
      </c>
      <c r="F3200">
        <f t="shared" si="99"/>
        <v>101656</v>
      </c>
      <c r="H3200" s="679">
        <v>421.98</v>
      </c>
      <c r="I3200" s="679">
        <v>423.67</v>
      </c>
    </row>
    <row r="3201" spans="2:9">
      <c r="B3201" s="395">
        <v>101657</v>
      </c>
      <c r="C3201" s="406" t="s">
        <v>4667</v>
      </c>
      <c r="D3201" s="395" t="s">
        <v>23</v>
      </c>
      <c r="E3201" s="407">
        <f t="shared" si="98"/>
        <v>493.59</v>
      </c>
      <c r="F3201">
        <f t="shared" si="99"/>
        <v>101657</v>
      </c>
      <c r="H3201" s="680">
        <v>493.59</v>
      </c>
      <c r="I3201" s="680">
        <v>495.28</v>
      </c>
    </row>
    <row r="3202" spans="2:9">
      <c r="B3202" s="396">
        <v>101658</v>
      </c>
      <c r="C3202" s="401" t="s">
        <v>4668</v>
      </c>
      <c r="D3202" s="396" t="s">
        <v>23</v>
      </c>
      <c r="E3202" s="405">
        <f t="shared" si="98"/>
        <v>640.84</v>
      </c>
      <c r="F3202">
        <f t="shared" si="99"/>
        <v>101658</v>
      </c>
      <c r="H3202" s="679">
        <v>640.84</v>
      </c>
      <c r="I3202" s="679">
        <v>642.53</v>
      </c>
    </row>
    <row r="3203" spans="2:9">
      <c r="B3203" s="395">
        <v>101659</v>
      </c>
      <c r="C3203" s="406" t="s">
        <v>4669</v>
      </c>
      <c r="D3203" s="395" t="s">
        <v>23</v>
      </c>
      <c r="E3203" s="407">
        <f t="shared" ref="E3203:E3266" si="100">IF($K$2=$H$1,H3203,I3203)</f>
        <v>732.42</v>
      </c>
      <c r="F3203">
        <f t="shared" ref="F3203:F3266" si="101">IF(LEN($B3203)=7,CONCATENATE(MID($B3203,1,6),"00",RIGHT($B3203,1)),IF(LEN($B3203)=8,CONCATENATE(MID($B3203,1,6),"0",RIGHT($B3203,2)),$B3203))</f>
        <v>101659</v>
      </c>
      <c r="H3203" s="680">
        <v>732.42</v>
      </c>
      <c r="I3203" s="680">
        <v>734.11</v>
      </c>
    </row>
    <row r="3204" spans="2:9">
      <c r="B3204" s="396">
        <v>101660</v>
      </c>
      <c r="C3204" s="401" t="s">
        <v>4670</v>
      </c>
      <c r="D3204" s="396" t="s">
        <v>23</v>
      </c>
      <c r="E3204" s="405">
        <f t="shared" si="100"/>
        <v>1164.74</v>
      </c>
      <c r="F3204">
        <f t="shared" si="101"/>
        <v>101660</v>
      </c>
      <c r="H3204" s="679">
        <v>1164.74</v>
      </c>
      <c r="I3204" s="679">
        <v>1166.43</v>
      </c>
    </row>
    <row r="3205" spans="2:9" ht="30">
      <c r="B3205" s="395">
        <v>101661</v>
      </c>
      <c r="C3205" s="406" t="s">
        <v>4671</v>
      </c>
      <c r="D3205" s="395" t="s">
        <v>23</v>
      </c>
      <c r="E3205" s="407">
        <f t="shared" si="100"/>
        <v>107.62</v>
      </c>
      <c r="F3205">
        <f t="shared" si="101"/>
        <v>101661</v>
      </c>
      <c r="H3205" s="680">
        <v>107.62</v>
      </c>
      <c r="I3205" s="680">
        <v>113.11</v>
      </c>
    </row>
    <row r="3206" spans="2:9" ht="30">
      <c r="B3206" s="396">
        <v>101662</v>
      </c>
      <c r="C3206" s="401" t="s">
        <v>4672</v>
      </c>
      <c r="D3206" s="396" t="s">
        <v>23</v>
      </c>
      <c r="E3206" s="405">
        <f t="shared" si="100"/>
        <v>668.22</v>
      </c>
      <c r="F3206">
        <f t="shared" si="101"/>
        <v>101662</v>
      </c>
      <c r="H3206" s="679">
        <v>668.22</v>
      </c>
      <c r="I3206" s="679">
        <v>673.63</v>
      </c>
    </row>
    <row r="3207" spans="2:9">
      <c r="B3207" s="395">
        <v>101663</v>
      </c>
      <c r="C3207" s="406" t="s">
        <v>4673</v>
      </c>
      <c r="D3207" s="395" t="s">
        <v>23</v>
      </c>
      <c r="E3207" s="407">
        <f t="shared" si="100"/>
        <v>23.48</v>
      </c>
      <c r="F3207">
        <f t="shared" si="101"/>
        <v>101663</v>
      </c>
      <c r="H3207" s="680">
        <v>23.48</v>
      </c>
      <c r="I3207" s="680">
        <v>25.19</v>
      </c>
    </row>
    <row r="3208" spans="2:9">
      <c r="B3208" s="396">
        <v>101664</v>
      </c>
      <c r="C3208" s="401" t="s">
        <v>4674</v>
      </c>
      <c r="D3208" s="396" t="s">
        <v>23</v>
      </c>
      <c r="E3208" s="405">
        <f t="shared" si="100"/>
        <v>24.67</v>
      </c>
      <c r="F3208">
        <f t="shared" si="101"/>
        <v>101664</v>
      </c>
      <c r="H3208" s="679">
        <v>24.67</v>
      </c>
      <c r="I3208" s="679">
        <v>26.38</v>
      </c>
    </row>
    <row r="3209" spans="2:9">
      <c r="B3209" s="395">
        <v>101665</v>
      </c>
      <c r="C3209" s="406" t="s">
        <v>4675</v>
      </c>
      <c r="D3209" s="395" t="s">
        <v>23</v>
      </c>
      <c r="E3209" s="407">
        <f t="shared" si="100"/>
        <v>29.84</v>
      </c>
      <c r="F3209">
        <f t="shared" si="101"/>
        <v>101665</v>
      </c>
      <c r="H3209" s="680">
        <v>29.84</v>
      </c>
      <c r="I3209" s="680">
        <v>31.55</v>
      </c>
    </row>
    <row r="3210" spans="2:9">
      <c r="B3210" s="396">
        <v>101666</v>
      </c>
      <c r="C3210" s="401" t="s">
        <v>4676</v>
      </c>
      <c r="D3210" s="396" t="s">
        <v>23</v>
      </c>
      <c r="E3210" s="405">
        <f t="shared" si="100"/>
        <v>354.24</v>
      </c>
      <c r="F3210">
        <f t="shared" si="101"/>
        <v>101666</v>
      </c>
      <c r="H3210" s="679">
        <v>354.24</v>
      </c>
      <c r="I3210" s="679">
        <v>357</v>
      </c>
    </row>
    <row r="3211" spans="2:9">
      <c r="B3211" s="395">
        <v>102085</v>
      </c>
      <c r="C3211" s="406" t="s">
        <v>4884</v>
      </c>
      <c r="D3211" s="395" t="s">
        <v>23</v>
      </c>
      <c r="E3211" s="407">
        <f t="shared" si="100"/>
        <v>189.4</v>
      </c>
      <c r="F3211">
        <f t="shared" si="101"/>
        <v>102085</v>
      </c>
      <c r="H3211" s="680">
        <v>189.4</v>
      </c>
      <c r="I3211" s="680">
        <v>192.54</v>
      </c>
    </row>
    <row r="3212" spans="2:9" ht="30">
      <c r="B3212" s="396">
        <v>100578</v>
      </c>
      <c r="C3212" s="401" t="s">
        <v>3550</v>
      </c>
      <c r="D3212" s="396" t="s">
        <v>23</v>
      </c>
      <c r="E3212" s="405">
        <f t="shared" si="100"/>
        <v>456.11</v>
      </c>
      <c r="F3212">
        <f t="shared" si="101"/>
        <v>100578</v>
      </c>
      <c r="H3212" s="679">
        <v>456.11</v>
      </c>
      <c r="I3212" s="679">
        <v>469.38</v>
      </c>
    </row>
    <row r="3213" spans="2:9" ht="30">
      <c r="B3213" s="395">
        <v>100579</v>
      </c>
      <c r="C3213" s="406" t="s">
        <v>3551</v>
      </c>
      <c r="D3213" s="395" t="s">
        <v>23</v>
      </c>
      <c r="E3213" s="407">
        <f t="shared" si="100"/>
        <v>500.75</v>
      </c>
      <c r="F3213">
        <f t="shared" si="101"/>
        <v>100579</v>
      </c>
      <c r="H3213" s="680">
        <v>500.75</v>
      </c>
      <c r="I3213" s="680">
        <v>515.01</v>
      </c>
    </row>
    <row r="3214" spans="2:9" ht="30">
      <c r="B3214" s="396">
        <v>100580</v>
      </c>
      <c r="C3214" s="401" t="s">
        <v>3552</v>
      </c>
      <c r="D3214" s="396" t="s">
        <v>23</v>
      </c>
      <c r="E3214" s="405">
        <f t="shared" si="100"/>
        <v>540.97</v>
      </c>
      <c r="F3214">
        <f t="shared" si="101"/>
        <v>100580</v>
      </c>
      <c r="H3214" s="679">
        <v>540.97</v>
      </c>
      <c r="I3214" s="679">
        <v>559.55999999999995</v>
      </c>
    </row>
    <row r="3215" spans="2:9" ht="30">
      <c r="B3215" s="395">
        <v>100581</v>
      </c>
      <c r="C3215" s="406" t="s">
        <v>3553</v>
      </c>
      <c r="D3215" s="395" t="s">
        <v>23</v>
      </c>
      <c r="E3215" s="407">
        <f t="shared" si="100"/>
        <v>522.86</v>
      </c>
      <c r="F3215">
        <f t="shared" si="101"/>
        <v>100581</v>
      </c>
      <c r="H3215" s="680">
        <v>522.86</v>
      </c>
      <c r="I3215" s="680">
        <v>537.61</v>
      </c>
    </row>
    <row r="3216" spans="2:9" ht="30">
      <c r="B3216" s="396">
        <v>100582</v>
      </c>
      <c r="C3216" s="401" t="s">
        <v>3554</v>
      </c>
      <c r="D3216" s="396" t="s">
        <v>23</v>
      </c>
      <c r="E3216" s="405">
        <f t="shared" si="100"/>
        <v>595.24</v>
      </c>
      <c r="F3216">
        <f t="shared" si="101"/>
        <v>100582</v>
      </c>
      <c r="H3216" s="679">
        <v>595.24</v>
      </c>
      <c r="I3216" s="679">
        <v>617.83000000000004</v>
      </c>
    </row>
    <row r="3217" spans="2:9" ht="30">
      <c r="B3217" s="395">
        <v>100583</v>
      </c>
      <c r="C3217" s="406" t="s">
        <v>3555</v>
      </c>
      <c r="D3217" s="395" t="s">
        <v>23</v>
      </c>
      <c r="E3217" s="407">
        <f t="shared" si="100"/>
        <v>546.34</v>
      </c>
      <c r="F3217">
        <f t="shared" si="101"/>
        <v>100583</v>
      </c>
      <c r="H3217" s="680">
        <v>546.34</v>
      </c>
      <c r="I3217" s="680">
        <v>561.71</v>
      </c>
    </row>
    <row r="3218" spans="2:9" ht="30">
      <c r="B3218" s="396">
        <v>100584</v>
      </c>
      <c r="C3218" s="401" t="s">
        <v>3556</v>
      </c>
      <c r="D3218" s="396" t="s">
        <v>23</v>
      </c>
      <c r="E3218" s="405">
        <f t="shared" si="100"/>
        <v>589.96</v>
      </c>
      <c r="F3218">
        <f t="shared" si="101"/>
        <v>100584</v>
      </c>
      <c r="H3218" s="679">
        <v>589.96</v>
      </c>
      <c r="I3218" s="679">
        <v>610</v>
      </c>
    </row>
    <row r="3219" spans="2:9" ht="30">
      <c r="B3219" s="395">
        <v>100585</v>
      </c>
      <c r="C3219" s="406" t="s">
        <v>3557</v>
      </c>
      <c r="D3219" s="395" t="s">
        <v>23</v>
      </c>
      <c r="E3219" s="407">
        <f t="shared" si="100"/>
        <v>592.14</v>
      </c>
      <c r="F3219">
        <f t="shared" si="101"/>
        <v>100585</v>
      </c>
      <c r="H3219" s="680">
        <v>592.14</v>
      </c>
      <c r="I3219" s="680">
        <v>608.63</v>
      </c>
    </row>
    <row r="3220" spans="2:9" ht="30">
      <c r="B3220" s="396">
        <v>100586</v>
      </c>
      <c r="C3220" s="401" t="s">
        <v>3558</v>
      </c>
      <c r="D3220" s="396" t="s">
        <v>23</v>
      </c>
      <c r="E3220" s="405">
        <f t="shared" si="100"/>
        <v>661.72</v>
      </c>
      <c r="F3220">
        <f t="shared" si="101"/>
        <v>100586</v>
      </c>
      <c r="H3220" s="679">
        <v>661.72</v>
      </c>
      <c r="I3220" s="679">
        <v>685.66</v>
      </c>
    </row>
    <row r="3221" spans="2:9" ht="30">
      <c r="B3221" s="395">
        <v>100587</v>
      </c>
      <c r="C3221" s="406" t="s">
        <v>3559</v>
      </c>
      <c r="D3221" s="395" t="s">
        <v>23</v>
      </c>
      <c r="E3221" s="407">
        <f t="shared" si="100"/>
        <v>639.28</v>
      </c>
      <c r="F3221">
        <f t="shared" si="101"/>
        <v>100587</v>
      </c>
      <c r="H3221" s="680">
        <v>639.28</v>
      </c>
      <c r="I3221" s="680">
        <v>657.06</v>
      </c>
    </row>
    <row r="3222" spans="2:9" ht="30">
      <c r="B3222" s="396">
        <v>100588</v>
      </c>
      <c r="C3222" s="401" t="s">
        <v>3560</v>
      </c>
      <c r="D3222" s="396" t="s">
        <v>23</v>
      </c>
      <c r="E3222" s="405">
        <f t="shared" si="100"/>
        <v>693.39</v>
      </c>
      <c r="F3222">
        <f t="shared" si="101"/>
        <v>100588</v>
      </c>
      <c r="H3222" s="679">
        <v>693.39</v>
      </c>
      <c r="I3222" s="679">
        <v>716.94</v>
      </c>
    </row>
    <row r="3223" spans="2:9" ht="30">
      <c r="B3223" s="395">
        <v>100589</v>
      </c>
      <c r="C3223" s="406" t="s">
        <v>3561</v>
      </c>
      <c r="D3223" s="395" t="s">
        <v>23</v>
      </c>
      <c r="E3223" s="407">
        <f t="shared" si="100"/>
        <v>700.05</v>
      </c>
      <c r="F3223">
        <f t="shared" si="101"/>
        <v>100589</v>
      </c>
      <c r="H3223" s="680">
        <v>700.05</v>
      </c>
      <c r="I3223" s="680">
        <v>722.58</v>
      </c>
    </row>
    <row r="3224" spans="2:9" ht="30">
      <c r="B3224" s="396">
        <v>100590</v>
      </c>
      <c r="C3224" s="401" t="s">
        <v>3562</v>
      </c>
      <c r="D3224" s="396" t="s">
        <v>23</v>
      </c>
      <c r="E3224" s="405">
        <f t="shared" si="100"/>
        <v>753.26</v>
      </c>
      <c r="F3224">
        <f t="shared" si="101"/>
        <v>100590</v>
      </c>
      <c r="H3224" s="679">
        <v>753.26</v>
      </c>
      <c r="I3224" s="679">
        <v>781.59</v>
      </c>
    </row>
    <row r="3225" spans="2:9" ht="30">
      <c r="B3225" s="395">
        <v>100591</v>
      </c>
      <c r="C3225" s="406" t="s">
        <v>3563</v>
      </c>
      <c r="D3225" s="395" t="s">
        <v>23</v>
      </c>
      <c r="E3225" s="407">
        <f t="shared" si="100"/>
        <v>700.74</v>
      </c>
      <c r="F3225">
        <f t="shared" si="101"/>
        <v>100591</v>
      </c>
      <c r="H3225" s="680">
        <v>700.74</v>
      </c>
      <c r="I3225" s="680">
        <v>721.27</v>
      </c>
    </row>
    <row r="3226" spans="2:9" ht="30">
      <c r="B3226" s="396">
        <v>100592</v>
      </c>
      <c r="C3226" s="401" t="s">
        <v>3564</v>
      </c>
      <c r="D3226" s="396" t="s">
        <v>23</v>
      </c>
      <c r="E3226" s="405">
        <f t="shared" si="100"/>
        <v>744.9</v>
      </c>
      <c r="F3226">
        <f t="shared" si="101"/>
        <v>100592</v>
      </c>
      <c r="H3226" s="679">
        <v>744.9</v>
      </c>
      <c r="I3226" s="679">
        <v>770.22</v>
      </c>
    </row>
    <row r="3227" spans="2:9" ht="30">
      <c r="B3227" s="395">
        <v>100593</v>
      </c>
      <c r="C3227" s="406" t="s">
        <v>3565</v>
      </c>
      <c r="D3227" s="395" t="s">
        <v>23</v>
      </c>
      <c r="E3227" s="407">
        <f t="shared" si="100"/>
        <v>750.33</v>
      </c>
      <c r="F3227">
        <f t="shared" si="101"/>
        <v>100593</v>
      </c>
      <c r="H3227" s="680">
        <v>750.33</v>
      </c>
      <c r="I3227" s="680">
        <v>772.4</v>
      </c>
    </row>
    <row r="3228" spans="2:9" ht="30">
      <c r="B3228" s="396">
        <v>100594</v>
      </c>
      <c r="C3228" s="401" t="s">
        <v>3566</v>
      </c>
      <c r="D3228" s="396" t="s">
        <v>23</v>
      </c>
      <c r="E3228" s="405">
        <f t="shared" si="100"/>
        <v>825.41</v>
      </c>
      <c r="F3228">
        <f t="shared" si="101"/>
        <v>100594</v>
      </c>
      <c r="H3228" s="679">
        <v>825.41</v>
      </c>
      <c r="I3228" s="679">
        <v>855.51</v>
      </c>
    </row>
    <row r="3229" spans="2:9" ht="30">
      <c r="B3229" s="395">
        <v>100595</v>
      </c>
      <c r="C3229" s="406" t="s">
        <v>3567</v>
      </c>
      <c r="D3229" s="395" t="s">
        <v>23</v>
      </c>
      <c r="E3229" s="407">
        <f t="shared" si="100"/>
        <v>898.96</v>
      </c>
      <c r="F3229">
        <f t="shared" si="101"/>
        <v>100595</v>
      </c>
      <c r="H3229" s="680">
        <v>898.96</v>
      </c>
      <c r="I3229" s="680">
        <v>925.69</v>
      </c>
    </row>
    <row r="3230" spans="2:9" ht="30">
      <c r="B3230" s="396">
        <v>100596</v>
      </c>
      <c r="C3230" s="401" t="s">
        <v>3568</v>
      </c>
      <c r="D3230" s="396" t="s">
        <v>23</v>
      </c>
      <c r="E3230" s="405">
        <f t="shared" si="100"/>
        <v>1000.45</v>
      </c>
      <c r="F3230">
        <f t="shared" si="101"/>
        <v>100596</v>
      </c>
      <c r="H3230" s="679">
        <v>1000.45</v>
      </c>
      <c r="I3230" s="679">
        <v>1037.95</v>
      </c>
    </row>
    <row r="3231" spans="2:9" ht="30">
      <c r="B3231" s="395">
        <v>100597</v>
      </c>
      <c r="C3231" s="406" t="s">
        <v>3569</v>
      </c>
      <c r="D3231" s="395" t="s">
        <v>23</v>
      </c>
      <c r="E3231" s="407">
        <f t="shared" si="100"/>
        <v>1032.52</v>
      </c>
      <c r="F3231">
        <f t="shared" si="101"/>
        <v>100597</v>
      </c>
      <c r="H3231" s="680">
        <v>1032.52</v>
      </c>
      <c r="I3231" s="680">
        <v>1066.02</v>
      </c>
    </row>
    <row r="3232" spans="2:9" ht="30">
      <c r="B3232" s="396">
        <v>100598</v>
      </c>
      <c r="C3232" s="401" t="s">
        <v>3570</v>
      </c>
      <c r="D3232" s="396" t="s">
        <v>23</v>
      </c>
      <c r="E3232" s="405">
        <f t="shared" si="100"/>
        <v>1116.21</v>
      </c>
      <c r="F3232">
        <f t="shared" si="101"/>
        <v>100598</v>
      </c>
      <c r="H3232" s="679">
        <v>1116.21</v>
      </c>
      <c r="I3232" s="679">
        <v>1158.5999999999999</v>
      </c>
    </row>
    <row r="3233" spans="2:9" ht="30">
      <c r="B3233" s="395">
        <v>100599</v>
      </c>
      <c r="C3233" s="406" t="s">
        <v>3571</v>
      </c>
      <c r="D3233" s="395" t="s">
        <v>23</v>
      </c>
      <c r="E3233" s="407">
        <f t="shared" si="100"/>
        <v>489.38</v>
      </c>
      <c r="F3233">
        <f t="shared" si="101"/>
        <v>100599</v>
      </c>
      <c r="H3233" s="680">
        <v>489.38</v>
      </c>
      <c r="I3233" s="680">
        <v>500.38</v>
      </c>
    </row>
    <row r="3234" spans="2:9" ht="30">
      <c r="B3234" s="396">
        <v>100600</v>
      </c>
      <c r="C3234" s="401" t="s">
        <v>3572</v>
      </c>
      <c r="D3234" s="396" t="s">
        <v>23</v>
      </c>
      <c r="E3234" s="405">
        <f t="shared" si="100"/>
        <v>580.09</v>
      </c>
      <c r="F3234">
        <f t="shared" si="101"/>
        <v>100600</v>
      </c>
      <c r="H3234" s="679">
        <v>580.09</v>
      </c>
      <c r="I3234" s="679">
        <v>596.14</v>
      </c>
    </row>
    <row r="3235" spans="2:9" ht="30">
      <c r="B3235" s="395">
        <v>100601</v>
      </c>
      <c r="C3235" s="406" t="s">
        <v>3573</v>
      </c>
      <c r="D3235" s="395" t="s">
        <v>23</v>
      </c>
      <c r="E3235" s="407">
        <f t="shared" si="100"/>
        <v>738.96</v>
      </c>
      <c r="F3235">
        <f t="shared" si="101"/>
        <v>100601</v>
      </c>
      <c r="H3235" s="680">
        <v>738.96</v>
      </c>
      <c r="I3235" s="680">
        <v>762.52</v>
      </c>
    </row>
    <row r="3236" spans="2:9" ht="30">
      <c r="B3236" s="396">
        <v>100602</v>
      </c>
      <c r="C3236" s="401" t="s">
        <v>3574</v>
      </c>
      <c r="D3236" s="396" t="s">
        <v>23</v>
      </c>
      <c r="E3236" s="405">
        <f t="shared" si="100"/>
        <v>937.07</v>
      </c>
      <c r="F3236">
        <f t="shared" si="101"/>
        <v>100602</v>
      </c>
      <c r="H3236" s="679">
        <v>937.07</v>
      </c>
      <c r="I3236" s="679">
        <v>970.04</v>
      </c>
    </row>
    <row r="3237" spans="2:9" ht="30">
      <c r="B3237" s="395">
        <v>100603</v>
      </c>
      <c r="C3237" s="406" t="s">
        <v>3575</v>
      </c>
      <c r="D3237" s="395" t="s">
        <v>23</v>
      </c>
      <c r="E3237" s="407">
        <f t="shared" si="100"/>
        <v>1444.72</v>
      </c>
      <c r="F3237">
        <f t="shared" si="101"/>
        <v>100603</v>
      </c>
      <c r="H3237" s="680">
        <v>1444.72</v>
      </c>
      <c r="I3237" s="680">
        <v>1502.21</v>
      </c>
    </row>
    <row r="3238" spans="2:9" ht="30">
      <c r="B3238" s="396">
        <v>100604</v>
      </c>
      <c r="C3238" s="401" t="s">
        <v>3576</v>
      </c>
      <c r="D3238" s="396" t="s">
        <v>23</v>
      </c>
      <c r="E3238" s="405">
        <f t="shared" si="100"/>
        <v>615.25</v>
      </c>
      <c r="F3238">
        <f t="shared" si="101"/>
        <v>100604</v>
      </c>
      <c r="H3238" s="679">
        <v>615.25</v>
      </c>
      <c r="I3238" s="679">
        <v>631.80999999999995</v>
      </c>
    </row>
    <row r="3239" spans="2:9" ht="30">
      <c r="B3239" s="395">
        <v>100605</v>
      </c>
      <c r="C3239" s="406" t="s">
        <v>3577</v>
      </c>
      <c r="D3239" s="395" t="s">
        <v>23</v>
      </c>
      <c r="E3239" s="407">
        <f t="shared" si="100"/>
        <v>979.31</v>
      </c>
      <c r="F3239">
        <f t="shared" si="101"/>
        <v>100605</v>
      </c>
      <c r="H3239" s="680">
        <v>979.31</v>
      </c>
      <c r="I3239" s="680">
        <v>1013.65</v>
      </c>
    </row>
    <row r="3240" spans="2:9" ht="30">
      <c r="B3240" s="396">
        <v>100606</v>
      </c>
      <c r="C3240" s="401" t="s">
        <v>3578</v>
      </c>
      <c r="D3240" s="396" t="s">
        <v>23</v>
      </c>
      <c r="E3240" s="405">
        <f t="shared" si="100"/>
        <v>1495.95</v>
      </c>
      <c r="F3240">
        <f t="shared" si="101"/>
        <v>100606</v>
      </c>
      <c r="H3240" s="679">
        <v>1495.95</v>
      </c>
      <c r="I3240" s="679">
        <v>1555.94</v>
      </c>
    </row>
    <row r="3241" spans="2:9" ht="30">
      <c r="B3241" s="395">
        <v>100607</v>
      </c>
      <c r="C3241" s="406" t="s">
        <v>3579</v>
      </c>
      <c r="D3241" s="395" t="s">
        <v>23</v>
      </c>
      <c r="E3241" s="407">
        <f t="shared" si="100"/>
        <v>631.84</v>
      </c>
      <c r="F3241">
        <f t="shared" si="101"/>
        <v>100607</v>
      </c>
      <c r="H3241" s="680">
        <v>631.84</v>
      </c>
      <c r="I3241" s="680">
        <v>648.66</v>
      </c>
    </row>
    <row r="3242" spans="2:9" ht="30">
      <c r="B3242" s="396">
        <v>100608</v>
      </c>
      <c r="C3242" s="401" t="s">
        <v>3580</v>
      </c>
      <c r="D3242" s="396" t="s">
        <v>23</v>
      </c>
      <c r="E3242" s="405">
        <f t="shared" si="100"/>
        <v>1000.1</v>
      </c>
      <c r="F3242">
        <f t="shared" si="101"/>
        <v>100608</v>
      </c>
      <c r="H3242" s="679">
        <v>1000.1</v>
      </c>
      <c r="I3242" s="679">
        <v>1035.1199999999999</v>
      </c>
    </row>
    <row r="3243" spans="2:9" ht="30">
      <c r="B3243" s="395">
        <v>100609</v>
      </c>
      <c r="C3243" s="406" t="s">
        <v>3581</v>
      </c>
      <c r="D3243" s="395" t="s">
        <v>23</v>
      </c>
      <c r="E3243" s="407">
        <f t="shared" si="100"/>
        <v>1523.23</v>
      </c>
      <c r="F3243">
        <f t="shared" si="101"/>
        <v>100609</v>
      </c>
      <c r="H3243" s="680">
        <v>1523.23</v>
      </c>
      <c r="I3243" s="680">
        <v>1584.63</v>
      </c>
    </row>
    <row r="3244" spans="2:9" ht="30">
      <c r="B3244" s="396">
        <v>100610</v>
      </c>
      <c r="C3244" s="401" t="s">
        <v>3582</v>
      </c>
      <c r="D3244" s="396" t="s">
        <v>23</v>
      </c>
      <c r="E3244" s="405">
        <f t="shared" si="100"/>
        <v>648.47</v>
      </c>
      <c r="F3244">
        <f t="shared" si="101"/>
        <v>100610</v>
      </c>
      <c r="H3244" s="679">
        <v>648.47</v>
      </c>
      <c r="I3244" s="679">
        <v>665.48</v>
      </c>
    </row>
    <row r="3245" spans="2:9" ht="30">
      <c r="B3245" s="395">
        <v>100611</v>
      </c>
      <c r="C3245" s="406" t="s">
        <v>3583</v>
      </c>
      <c r="D3245" s="395" t="s">
        <v>23</v>
      </c>
      <c r="E3245" s="407">
        <f t="shared" si="100"/>
        <v>813.58</v>
      </c>
      <c r="F3245">
        <f t="shared" si="101"/>
        <v>100611</v>
      </c>
      <c r="H3245" s="680">
        <v>813.58</v>
      </c>
      <c r="I3245" s="680">
        <v>838.88</v>
      </c>
    </row>
    <row r="3246" spans="2:9" ht="30">
      <c r="B3246" s="396">
        <v>100612</v>
      </c>
      <c r="C3246" s="401" t="s">
        <v>3584</v>
      </c>
      <c r="D3246" s="396" t="s">
        <v>23</v>
      </c>
      <c r="E3246" s="405">
        <f t="shared" si="100"/>
        <v>1020.52</v>
      </c>
      <c r="F3246">
        <f t="shared" si="101"/>
        <v>100612</v>
      </c>
      <c r="H3246" s="679">
        <v>1020.52</v>
      </c>
      <c r="I3246" s="679">
        <v>1056.17</v>
      </c>
    </row>
    <row r="3247" spans="2:9" ht="30">
      <c r="B3247" s="395">
        <v>100613</v>
      </c>
      <c r="C3247" s="406" t="s">
        <v>3585</v>
      </c>
      <c r="D3247" s="395" t="s">
        <v>23</v>
      </c>
      <c r="E3247" s="407">
        <f t="shared" si="100"/>
        <v>1549.76</v>
      </c>
      <c r="F3247">
        <f t="shared" si="101"/>
        <v>100613</v>
      </c>
      <c r="H3247" s="680">
        <v>1549.76</v>
      </c>
      <c r="I3247" s="680">
        <v>1612.55</v>
      </c>
    </row>
    <row r="3248" spans="2:9" ht="30">
      <c r="B3248" s="396">
        <v>100614</v>
      </c>
      <c r="C3248" s="401" t="s">
        <v>3586</v>
      </c>
      <c r="D3248" s="396" t="s">
        <v>23</v>
      </c>
      <c r="E3248" s="405">
        <f t="shared" si="100"/>
        <v>850.23</v>
      </c>
      <c r="F3248">
        <f t="shared" si="101"/>
        <v>100614</v>
      </c>
      <c r="H3248" s="679">
        <v>850.23</v>
      </c>
      <c r="I3248" s="679">
        <v>876.34</v>
      </c>
    </row>
    <row r="3249" spans="2:9" ht="30">
      <c r="B3249" s="395">
        <v>100615</v>
      </c>
      <c r="C3249" s="406" t="s">
        <v>3587</v>
      </c>
      <c r="D3249" s="395" t="s">
        <v>23</v>
      </c>
      <c r="E3249" s="407">
        <f t="shared" si="100"/>
        <v>1060.92</v>
      </c>
      <c r="F3249">
        <f t="shared" si="101"/>
        <v>100615</v>
      </c>
      <c r="H3249" s="680">
        <v>1060.92</v>
      </c>
      <c r="I3249" s="680">
        <v>1097.8599999999999</v>
      </c>
    </row>
    <row r="3250" spans="2:9" ht="30">
      <c r="B3250" s="396">
        <v>100616</v>
      </c>
      <c r="C3250" s="401" t="s">
        <v>3588</v>
      </c>
      <c r="D3250" s="396" t="s">
        <v>23</v>
      </c>
      <c r="E3250" s="405">
        <f t="shared" si="100"/>
        <v>1605.29</v>
      </c>
      <c r="F3250">
        <f t="shared" si="101"/>
        <v>100616</v>
      </c>
      <c r="H3250" s="679">
        <v>1605.29</v>
      </c>
      <c r="I3250" s="679">
        <v>1671.11</v>
      </c>
    </row>
    <row r="3251" spans="2:9" ht="30">
      <c r="B3251" s="395">
        <v>100617</v>
      </c>
      <c r="C3251" s="406" t="s">
        <v>3589</v>
      </c>
      <c r="D3251" s="395" t="s">
        <v>23</v>
      </c>
      <c r="E3251" s="407">
        <f t="shared" si="100"/>
        <v>1101.04</v>
      </c>
      <c r="F3251">
        <f t="shared" si="101"/>
        <v>100617</v>
      </c>
      <c r="H3251" s="680">
        <v>1101.04</v>
      </c>
      <c r="I3251" s="680">
        <v>1139.28</v>
      </c>
    </row>
    <row r="3252" spans="2:9" ht="30">
      <c r="B3252" s="396">
        <v>100618</v>
      </c>
      <c r="C3252" s="401" t="s">
        <v>3590</v>
      </c>
      <c r="D3252" s="396" t="s">
        <v>23</v>
      </c>
      <c r="E3252" s="405">
        <f t="shared" si="100"/>
        <v>1668.5</v>
      </c>
      <c r="F3252">
        <f t="shared" si="101"/>
        <v>100618</v>
      </c>
      <c r="H3252" s="679">
        <v>1668.5</v>
      </c>
      <c r="I3252" s="679">
        <v>1737.1</v>
      </c>
    </row>
    <row r="3253" spans="2:9">
      <c r="B3253" s="395">
        <v>100619</v>
      </c>
      <c r="C3253" s="406" t="s">
        <v>3591</v>
      </c>
      <c r="D3253" s="395" t="s">
        <v>23</v>
      </c>
      <c r="E3253" s="407">
        <f t="shared" si="100"/>
        <v>570.11</v>
      </c>
      <c r="F3253">
        <f t="shared" si="101"/>
        <v>100619</v>
      </c>
      <c r="H3253" s="680">
        <v>570.11</v>
      </c>
      <c r="I3253" s="680">
        <v>581.33000000000004</v>
      </c>
    </row>
    <row r="3254" spans="2:9" ht="30">
      <c r="B3254" s="396">
        <v>100620</v>
      </c>
      <c r="C3254" s="401" t="s">
        <v>3592</v>
      </c>
      <c r="D3254" s="396" t="s">
        <v>23</v>
      </c>
      <c r="E3254" s="405">
        <f t="shared" si="100"/>
        <v>3599.39</v>
      </c>
      <c r="F3254">
        <f t="shared" si="101"/>
        <v>100620</v>
      </c>
      <c r="H3254" s="679">
        <v>3599.39</v>
      </c>
      <c r="I3254" s="679">
        <v>3606.62</v>
      </c>
    </row>
    <row r="3255" spans="2:9" ht="30">
      <c r="B3255" s="395">
        <v>100621</v>
      </c>
      <c r="C3255" s="406" t="s">
        <v>3593</v>
      </c>
      <c r="D3255" s="395" t="s">
        <v>23</v>
      </c>
      <c r="E3255" s="407">
        <f t="shared" si="100"/>
        <v>4061.57</v>
      </c>
      <c r="F3255">
        <f t="shared" si="101"/>
        <v>100621</v>
      </c>
      <c r="H3255" s="680">
        <v>4061.57</v>
      </c>
      <c r="I3255" s="680">
        <v>4071.87</v>
      </c>
    </row>
    <row r="3256" spans="2:9" ht="30">
      <c r="B3256" s="396">
        <v>100622</v>
      </c>
      <c r="C3256" s="401" t="s">
        <v>3594</v>
      </c>
      <c r="D3256" s="396" t="s">
        <v>23</v>
      </c>
      <c r="E3256" s="405">
        <f t="shared" si="100"/>
        <v>2516.59</v>
      </c>
      <c r="F3256">
        <f t="shared" si="101"/>
        <v>100622</v>
      </c>
      <c r="H3256" s="679">
        <v>2516.59</v>
      </c>
      <c r="I3256" s="679">
        <v>2528.77</v>
      </c>
    </row>
    <row r="3257" spans="2:9" ht="30">
      <c r="B3257" s="395">
        <v>100623</v>
      </c>
      <c r="C3257" s="406" t="s">
        <v>3595</v>
      </c>
      <c r="D3257" s="395" t="s">
        <v>23</v>
      </c>
      <c r="E3257" s="407">
        <f t="shared" si="100"/>
        <v>2696.63</v>
      </c>
      <c r="F3257">
        <f t="shared" si="101"/>
        <v>100623</v>
      </c>
      <c r="H3257" s="680">
        <v>2696.63</v>
      </c>
      <c r="I3257" s="680">
        <v>2711.88</v>
      </c>
    </row>
    <row r="3258" spans="2:9" ht="30">
      <c r="B3258" s="396">
        <v>97600</v>
      </c>
      <c r="C3258" s="401" t="s">
        <v>3987</v>
      </c>
      <c r="D3258" s="396" t="s">
        <v>23</v>
      </c>
      <c r="E3258" s="405">
        <f t="shared" si="100"/>
        <v>332.4</v>
      </c>
      <c r="F3258">
        <f t="shared" si="101"/>
        <v>97600</v>
      </c>
      <c r="H3258" s="679">
        <v>332.4</v>
      </c>
      <c r="I3258" s="679">
        <v>333.85</v>
      </c>
    </row>
    <row r="3259" spans="2:9" ht="30">
      <c r="B3259" s="395">
        <v>97601</v>
      </c>
      <c r="C3259" s="406" t="s">
        <v>3988</v>
      </c>
      <c r="D3259" s="395" t="s">
        <v>23</v>
      </c>
      <c r="E3259" s="407">
        <f t="shared" si="100"/>
        <v>344.65</v>
      </c>
      <c r="F3259">
        <f t="shared" si="101"/>
        <v>97601</v>
      </c>
      <c r="H3259" s="680">
        <v>344.65</v>
      </c>
      <c r="I3259" s="680">
        <v>346.1</v>
      </c>
    </row>
    <row r="3260" spans="2:9" ht="30">
      <c r="B3260" s="396">
        <v>97605</v>
      </c>
      <c r="C3260" s="401" t="s">
        <v>3989</v>
      </c>
      <c r="D3260" s="396" t="s">
        <v>23</v>
      </c>
      <c r="E3260" s="405">
        <f t="shared" si="100"/>
        <v>86.6</v>
      </c>
      <c r="F3260">
        <f t="shared" si="101"/>
        <v>97605</v>
      </c>
      <c r="H3260" s="679">
        <v>86.6</v>
      </c>
      <c r="I3260" s="679">
        <v>88.26</v>
      </c>
    </row>
    <row r="3261" spans="2:9" ht="30">
      <c r="B3261" s="395">
        <v>97606</v>
      </c>
      <c r="C3261" s="406" t="s">
        <v>3990</v>
      </c>
      <c r="D3261" s="395" t="s">
        <v>23</v>
      </c>
      <c r="E3261" s="407">
        <f t="shared" si="100"/>
        <v>90.58</v>
      </c>
      <c r="F3261">
        <f t="shared" si="101"/>
        <v>97606</v>
      </c>
      <c r="H3261" s="680">
        <v>90.58</v>
      </c>
      <c r="I3261" s="680">
        <v>92.24</v>
      </c>
    </row>
    <row r="3262" spans="2:9" ht="30">
      <c r="B3262" s="396">
        <v>97607</v>
      </c>
      <c r="C3262" s="401" t="s">
        <v>3991</v>
      </c>
      <c r="D3262" s="396" t="s">
        <v>23</v>
      </c>
      <c r="E3262" s="405">
        <f t="shared" si="100"/>
        <v>104.8</v>
      </c>
      <c r="F3262">
        <f t="shared" si="101"/>
        <v>97607</v>
      </c>
      <c r="H3262" s="679">
        <v>104.8</v>
      </c>
      <c r="I3262" s="679">
        <v>106.73</v>
      </c>
    </row>
    <row r="3263" spans="2:9" ht="30">
      <c r="B3263" s="395">
        <v>97608</v>
      </c>
      <c r="C3263" s="406" t="s">
        <v>3992</v>
      </c>
      <c r="D3263" s="395" t="s">
        <v>23</v>
      </c>
      <c r="E3263" s="407">
        <f t="shared" si="100"/>
        <v>108.78</v>
      </c>
      <c r="F3263">
        <f t="shared" si="101"/>
        <v>97608</v>
      </c>
      <c r="H3263" s="680">
        <v>108.78</v>
      </c>
      <c r="I3263" s="680">
        <v>110.71</v>
      </c>
    </row>
    <row r="3264" spans="2:9" ht="30">
      <c r="B3264" s="396">
        <v>102102</v>
      </c>
      <c r="C3264" s="401" t="s">
        <v>5329</v>
      </c>
      <c r="D3264" s="396" t="s">
        <v>23</v>
      </c>
      <c r="E3264" s="405">
        <f t="shared" si="100"/>
        <v>19116.28</v>
      </c>
      <c r="F3264">
        <f t="shared" si="101"/>
        <v>102102</v>
      </c>
      <c r="H3264" s="679">
        <v>19116.28</v>
      </c>
      <c r="I3264" s="679">
        <v>19157.55</v>
      </c>
    </row>
    <row r="3265" spans="2:9" ht="30">
      <c r="B3265" s="395">
        <v>102103</v>
      </c>
      <c r="C3265" s="406" t="s">
        <v>5330</v>
      </c>
      <c r="D3265" s="395" t="s">
        <v>23</v>
      </c>
      <c r="E3265" s="407">
        <f t="shared" si="100"/>
        <v>21316.77</v>
      </c>
      <c r="F3265">
        <f t="shared" si="101"/>
        <v>102103</v>
      </c>
      <c r="H3265" s="680">
        <v>21316.77</v>
      </c>
      <c r="I3265" s="680">
        <v>21358.74</v>
      </c>
    </row>
    <row r="3266" spans="2:9" ht="30">
      <c r="B3266" s="396">
        <v>102104</v>
      </c>
      <c r="C3266" s="401" t="s">
        <v>5331</v>
      </c>
      <c r="D3266" s="396" t="s">
        <v>23</v>
      </c>
      <c r="E3266" s="405">
        <f t="shared" si="100"/>
        <v>27465.29</v>
      </c>
      <c r="F3266">
        <f t="shared" si="101"/>
        <v>102104</v>
      </c>
      <c r="H3266" s="679">
        <v>27465.29</v>
      </c>
      <c r="I3266" s="679">
        <v>27508.46</v>
      </c>
    </row>
    <row r="3267" spans="2:9" ht="30">
      <c r="B3267" s="395">
        <v>102105</v>
      </c>
      <c r="C3267" s="406" t="s">
        <v>5332</v>
      </c>
      <c r="D3267" s="395" t="s">
        <v>23</v>
      </c>
      <c r="E3267" s="407">
        <f t="shared" ref="E3267:E3330" si="102">IF($K$2=$H$1,H3267,I3267)</f>
        <v>33854.61</v>
      </c>
      <c r="F3267">
        <f t="shared" ref="F3267:F3330" si="103">IF(LEN($B3267)=7,CONCATENATE(MID($B3267,1,6),"00",RIGHT($B3267,1)),IF(LEN($B3267)=8,CONCATENATE(MID($B3267,1,6),"0",RIGHT($B3267,2)),$B3267))</f>
        <v>102105</v>
      </c>
      <c r="H3267" s="680">
        <v>33854.61</v>
      </c>
      <c r="I3267" s="680">
        <v>33898.980000000003</v>
      </c>
    </row>
    <row r="3268" spans="2:9" ht="30">
      <c r="B3268" s="396">
        <v>102106</v>
      </c>
      <c r="C3268" s="401" t="s">
        <v>5333</v>
      </c>
      <c r="D3268" s="396" t="s">
        <v>23</v>
      </c>
      <c r="E3268" s="405">
        <f t="shared" si="102"/>
        <v>42591.6</v>
      </c>
      <c r="F3268">
        <f t="shared" si="103"/>
        <v>102106</v>
      </c>
      <c r="H3268" s="679">
        <v>42591.6</v>
      </c>
      <c r="I3268" s="679">
        <v>42636.68</v>
      </c>
    </row>
    <row r="3269" spans="2:9" ht="30">
      <c r="B3269" s="395">
        <v>102107</v>
      </c>
      <c r="C3269" s="406" t="s">
        <v>5334</v>
      </c>
      <c r="D3269" s="395" t="s">
        <v>23</v>
      </c>
      <c r="E3269" s="407">
        <f t="shared" si="102"/>
        <v>59605.38</v>
      </c>
      <c r="F3269">
        <f t="shared" si="103"/>
        <v>102107</v>
      </c>
      <c r="H3269" s="680">
        <v>59605.38</v>
      </c>
      <c r="I3269" s="680">
        <v>59653.09</v>
      </c>
    </row>
    <row r="3270" spans="2:9" ht="30">
      <c r="B3270" s="396">
        <v>102108</v>
      </c>
      <c r="C3270" s="401" t="s">
        <v>5335</v>
      </c>
      <c r="D3270" s="396" t="s">
        <v>23</v>
      </c>
      <c r="E3270" s="405">
        <f t="shared" si="102"/>
        <v>69481.429999999993</v>
      </c>
      <c r="F3270">
        <f t="shared" si="103"/>
        <v>102108</v>
      </c>
      <c r="H3270" s="679">
        <v>69481.429999999993</v>
      </c>
      <c r="I3270" s="679">
        <v>69530.740000000005</v>
      </c>
    </row>
    <row r="3271" spans="2:9">
      <c r="B3271" s="395">
        <v>102109</v>
      </c>
      <c r="C3271" s="406" t="s">
        <v>5336</v>
      </c>
      <c r="D3271" s="395" t="s">
        <v>23</v>
      </c>
      <c r="E3271" s="407">
        <f t="shared" si="102"/>
        <v>71.86</v>
      </c>
      <c r="F3271">
        <f t="shared" si="103"/>
        <v>102109</v>
      </c>
      <c r="H3271" s="680">
        <v>71.86</v>
      </c>
      <c r="I3271" s="680">
        <v>73.94</v>
      </c>
    </row>
    <row r="3272" spans="2:9">
      <c r="B3272" s="396">
        <v>102110</v>
      </c>
      <c r="C3272" s="401" t="s">
        <v>5337</v>
      </c>
      <c r="D3272" s="396" t="s">
        <v>23</v>
      </c>
      <c r="E3272" s="405">
        <f t="shared" si="102"/>
        <v>251.54</v>
      </c>
      <c r="F3272">
        <f t="shared" si="103"/>
        <v>102110</v>
      </c>
      <c r="H3272" s="679">
        <v>251.54</v>
      </c>
      <c r="I3272" s="679">
        <v>253.62</v>
      </c>
    </row>
    <row r="3273" spans="2:9" ht="30">
      <c r="B3273" s="395">
        <v>103654</v>
      </c>
      <c r="C3273" s="406" t="s">
        <v>6469</v>
      </c>
      <c r="D3273" s="395" t="s">
        <v>23</v>
      </c>
      <c r="E3273" s="407">
        <f t="shared" si="102"/>
        <v>112979.95</v>
      </c>
      <c r="F3273">
        <f t="shared" si="103"/>
        <v>103654</v>
      </c>
      <c r="H3273" s="680">
        <v>112979.95</v>
      </c>
      <c r="I3273" s="680">
        <v>113029.49</v>
      </c>
    </row>
    <row r="3274" spans="2:9" ht="30">
      <c r="B3274" s="396">
        <v>103655</v>
      </c>
      <c r="C3274" s="401" t="s">
        <v>6470</v>
      </c>
      <c r="D3274" s="396" t="s">
        <v>23</v>
      </c>
      <c r="E3274" s="405">
        <f t="shared" si="102"/>
        <v>154878.72</v>
      </c>
      <c r="F3274">
        <f t="shared" si="103"/>
        <v>103655</v>
      </c>
      <c r="H3274" s="679">
        <v>154878.72</v>
      </c>
      <c r="I3274" s="679">
        <v>154936.70000000001</v>
      </c>
    </row>
    <row r="3275" spans="2:9" ht="30">
      <c r="B3275" s="395">
        <v>103656</v>
      </c>
      <c r="C3275" s="406" t="s">
        <v>6471</v>
      </c>
      <c r="D3275" s="395" t="s">
        <v>23</v>
      </c>
      <c r="E3275" s="407">
        <f t="shared" si="102"/>
        <v>216709.34</v>
      </c>
      <c r="F3275">
        <f t="shared" si="103"/>
        <v>103656</v>
      </c>
      <c r="H3275" s="680">
        <v>216709.34</v>
      </c>
      <c r="I3275" s="680">
        <v>216775.74</v>
      </c>
    </row>
    <row r="3276" spans="2:9" ht="45">
      <c r="B3276" s="396">
        <v>104473</v>
      </c>
      <c r="C3276" s="401" t="s">
        <v>7659</v>
      </c>
      <c r="D3276" s="396" t="s">
        <v>23</v>
      </c>
      <c r="E3276" s="405">
        <f t="shared" si="102"/>
        <v>136.35</v>
      </c>
      <c r="F3276">
        <f t="shared" si="103"/>
        <v>104473</v>
      </c>
      <c r="H3276" s="679">
        <v>136.35</v>
      </c>
      <c r="I3276" s="679">
        <v>145.34</v>
      </c>
    </row>
    <row r="3277" spans="2:9" ht="45">
      <c r="B3277" s="395">
        <v>104474</v>
      </c>
      <c r="C3277" s="406" t="s">
        <v>7660</v>
      </c>
      <c r="D3277" s="395" t="s">
        <v>23</v>
      </c>
      <c r="E3277" s="407">
        <f t="shared" si="102"/>
        <v>297.81</v>
      </c>
      <c r="F3277">
        <f t="shared" si="103"/>
        <v>104474</v>
      </c>
      <c r="H3277" s="680">
        <v>297.81</v>
      </c>
      <c r="I3277" s="680">
        <v>316.66000000000003</v>
      </c>
    </row>
    <row r="3278" spans="2:9" ht="45">
      <c r="B3278" s="396">
        <v>104475</v>
      </c>
      <c r="C3278" s="401" t="s">
        <v>7661</v>
      </c>
      <c r="D3278" s="396" t="s">
        <v>23</v>
      </c>
      <c r="E3278" s="405">
        <f t="shared" si="102"/>
        <v>118.99</v>
      </c>
      <c r="F3278">
        <f t="shared" si="103"/>
        <v>104475</v>
      </c>
      <c r="H3278" s="679">
        <v>118.99</v>
      </c>
      <c r="I3278" s="679">
        <v>126.23</v>
      </c>
    </row>
    <row r="3279" spans="2:9" ht="45">
      <c r="B3279" s="395">
        <v>104476</v>
      </c>
      <c r="C3279" s="406" t="s">
        <v>7662</v>
      </c>
      <c r="D3279" s="395" t="s">
        <v>23</v>
      </c>
      <c r="E3279" s="407">
        <f t="shared" si="102"/>
        <v>151.37</v>
      </c>
      <c r="F3279">
        <f t="shared" si="103"/>
        <v>104476</v>
      </c>
      <c r="H3279" s="680">
        <v>151.37</v>
      </c>
      <c r="I3279" s="680">
        <v>161.47999999999999</v>
      </c>
    </row>
    <row r="3280" spans="2:9" ht="45">
      <c r="B3280" s="396">
        <v>104477</v>
      </c>
      <c r="C3280" s="401" t="s">
        <v>7663</v>
      </c>
      <c r="D3280" s="396" t="s">
        <v>23</v>
      </c>
      <c r="E3280" s="405">
        <f t="shared" si="102"/>
        <v>115.04</v>
      </c>
      <c r="F3280">
        <f t="shared" si="103"/>
        <v>104477</v>
      </c>
      <c r="H3280" s="679">
        <v>115.04</v>
      </c>
      <c r="I3280" s="679">
        <v>121.8</v>
      </c>
    </row>
    <row r="3281" spans="2:9" ht="45">
      <c r="B3281" s="395">
        <v>104478</v>
      </c>
      <c r="C3281" s="406" t="s">
        <v>7664</v>
      </c>
      <c r="D3281" s="395" t="s">
        <v>23</v>
      </c>
      <c r="E3281" s="407">
        <f t="shared" si="102"/>
        <v>260.08999999999997</v>
      </c>
      <c r="F3281">
        <f t="shared" si="103"/>
        <v>104478</v>
      </c>
      <c r="H3281" s="680">
        <v>260.08999999999997</v>
      </c>
      <c r="I3281" s="680">
        <v>274.98</v>
      </c>
    </row>
    <row r="3282" spans="2:9" ht="30">
      <c r="B3282" s="396">
        <v>104479</v>
      </c>
      <c r="C3282" s="401" t="s">
        <v>7665</v>
      </c>
      <c r="D3282" s="396" t="s">
        <v>23</v>
      </c>
      <c r="E3282" s="405">
        <f t="shared" si="102"/>
        <v>103.82</v>
      </c>
      <c r="F3282">
        <f t="shared" si="103"/>
        <v>104479</v>
      </c>
      <c r="H3282" s="679">
        <v>103.82</v>
      </c>
      <c r="I3282" s="679">
        <v>109.47</v>
      </c>
    </row>
    <row r="3283" spans="2:9" ht="45">
      <c r="B3283" s="395">
        <v>104480</v>
      </c>
      <c r="C3283" s="406" t="s">
        <v>7666</v>
      </c>
      <c r="D3283" s="395" t="s">
        <v>23</v>
      </c>
      <c r="E3283" s="407">
        <f t="shared" si="102"/>
        <v>118.18</v>
      </c>
      <c r="F3283">
        <f t="shared" si="103"/>
        <v>104480</v>
      </c>
      <c r="H3283" s="680">
        <v>118.18</v>
      </c>
      <c r="I3283" s="680">
        <v>124.81</v>
      </c>
    </row>
    <row r="3284" spans="2:9" ht="45">
      <c r="B3284" s="396">
        <v>104481</v>
      </c>
      <c r="C3284" s="401" t="s">
        <v>7667</v>
      </c>
      <c r="D3284" s="396" t="s">
        <v>23</v>
      </c>
      <c r="E3284" s="405">
        <f t="shared" si="102"/>
        <v>288.55</v>
      </c>
      <c r="F3284">
        <f t="shared" si="103"/>
        <v>104481</v>
      </c>
      <c r="H3284" s="679">
        <v>288.55</v>
      </c>
      <c r="I3284" s="679">
        <v>303.89999999999998</v>
      </c>
    </row>
    <row r="3285" spans="2:9">
      <c r="B3285" s="395">
        <v>96971</v>
      </c>
      <c r="C3285" s="406" t="s">
        <v>2563</v>
      </c>
      <c r="D3285" s="395" t="s">
        <v>22</v>
      </c>
      <c r="E3285" s="407">
        <f t="shared" si="102"/>
        <v>32.950000000000003</v>
      </c>
      <c r="F3285">
        <f t="shared" si="103"/>
        <v>96971</v>
      </c>
      <c r="H3285" s="680">
        <v>32.950000000000003</v>
      </c>
      <c r="I3285" s="680">
        <v>34.14</v>
      </c>
    </row>
    <row r="3286" spans="2:9">
      <c r="B3286" s="396">
        <v>96972</v>
      </c>
      <c r="C3286" s="401" t="s">
        <v>2564</v>
      </c>
      <c r="D3286" s="396" t="s">
        <v>22</v>
      </c>
      <c r="E3286" s="405">
        <f t="shared" si="102"/>
        <v>44.27</v>
      </c>
      <c r="F3286">
        <f t="shared" si="103"/>
        <v>96972</v>
      </c>
      <c r="H3286" s="679">
        <v>44.27</v>
      </c>
      <c r="I3286" s="679">
        <v>45.89</v>
      </c>
    </row>
    <row r="3287" spans="2:9">
      <c r="B3287" s="395">
        <v>96973</v>
      </c>
      <c r="C3287" s="406" t="s">
        <v>2565</v>
      </c>
      <c r="D3287" s="395" t="s">
        <v>22</v>
      </c>
      <c r="E3287" s="407">
        <f t="shared" si="102"/>
        <v>59.12</v>
      </c>
      <c r="F3287">
        <f t="shared" si="103"/>
        <v>96973</v>
      </c>
      <c r="H3287" s="680">
        <v>59.12</v>
      </c>
      <c r="I3287" s="680">
        <v>61.04</v>
      </c>
    </row>
    <row r="3288" spans="2:9">
      <c r="B3288" s="396">
        <v>96974</v>
      </c>
      <c r="C3288" s="401" t="s">
        <v>2566</v>
      </c>
      <c r="D3288" s="396" t="s">
        <v>22</v>
      </c>
      <c r="E3288" s="405">
        <f t="shared" si="102"/>
        <v>78.02</v>
      </c>
      <c r="F3288">
        <f t="shared" si="103"/>
        <v>96974</v>
      </c>
      <c r="H3288" s="679">
        <v>78.02</v>
      </c>
      <c r="I3288" s="679">
        <v>80.28</v>
      </c>
    </row>
    <row r="3289" spans="2:9">
      <c r="B3289" s="395">
        <v>96975</v>
      </c>
      <c r="C3289" s="406" t="s">
        <v>2567</v>
      </c>
      <c r="D3289" s="395" t="s">
        <v>22</v>
      </c>
      <c r="E3289" s="407">
        <f t="shared" si="102"/>
        <v>97.97</v>
      </c>
      <c r="F3289">
        <f t="shared" si="103"/>
        <v>96975</v>
      </c>
      <c r="H3289" s="680">
        <v>97.97</v>
      </c>
      <c r="I3289" s="680">
        <v>100.55</v>
      </c>
    </row>
    <row r="3290" spans="2:9">
      <c r="B3290" s="396">
        <v>96976</v>
      </c>
      <c r="C3290" s="401" t="s">
        <v>2568</v>
      </c>
      <c r="D3290" s="396" t="s">
        <v>22</v>
      </c>
      <c r="E3290" s="405">
        <f t="shared" si="102"/>
        <v>131.44999999999999</v>
      </c>
      <c r="F3290">
        <f t="shared" si="103"/>
        <v>96976</v>
      </c>
      <c r="H3290" s="679">
        <v>131.44999999999999</v>
      </c>
      <c r="I3290" s="679">
        <v>134.33000000000001</v>
      </c>
    </row>
    <row r="3291" spans="2:9">
      <c r="B3291" s="395">
        <v>96977</v>
      </c>
      <c r="C3291" s="406" t="s">
        <v>2569</v>
      </c>
      <c r="D3291" s="395" t="s">
        <v>22</v>
      </c>
      <c r="E3291" s="407">
        <f t="shared" si="102"/>
        <v>57.34</v>
      </c>
      <c r="F3291">
        <f t="shared" si="103"/>
        <v>96977</v>
      </c>
      <c r="H3291" s="680">
        <v>57.34</v>
      </c>
      <c r="I3291" s="680">
        <v>57.5</v>
      </c>
    </row>
    <row r="3292" spans="2:9">
      <c r="B3292" s="396">
        <v>96978</v>
      </c>
      <c r="C3292" s="401" t="s">
        <v>2570</v>
      </c>
      <c r="D3292" s="396" t="s">
        <v>22</v>
      </c>
      <c r="E3292" s="405">
        <f t="shared" si="102"/>
        <v>75.599999999999994</v>
      </c>
      <c r="F3292">
        <f t="shared" si="103"/>
        <v>96978</v>
      </c>
      <c r="H3292" s="679">
        <v>75.599999999999994</v>
      </c>
      <c r="I3292" s="679">
        <v>75.78</v>
      </c>
    </row>
    <row r="3293" spans="2:9">
      <c r="B3293" s="395">
        <v>96979</v>
      </c>
      <c r="C3293" s="406" t="s">
        <v>2571</v>
      </c>
      <c r="D3293" s="395" t="s">
        <v>22</v>
      </c>
      <c r="E3293" s="407">
        <f t="shared" si="102"/>
        <v>108.26</v>
      </c>
      <c r="F3293">
        <f t="shared" si="103"/>
        <v>96979</v>
      </c>
      <c r="H3293" s="680">
        <v>108.26</v>
      </c>
      <c r="I3293" s="680">
        <v>108.49</v>
      </c>
    </row>
    <row r="3294" spans="2:9">
      <c r="B3294" s="396">
        <v>96984</v>
      </c>
      <c r="C3294" s="401" t="s">
        <v>2573</v>
      </c>
      <c r="D3294" s="396" t="s">
        <v>23</v>
      </c>
      <c r="E3294" s="405">
        <f t="shared" si="102"/>
        <v>56.43</v>
      </c>
      <c r="F3294">
        <f t="shared" si="103"/>
        <v>96984</v>
      </c>
      <c r="H3294" s="679">
        <v>56.43</v>
      </c>
      <c r="I3294" s="679">
        <v>60.3</v>
      </c>
    </row>
    <row r="3295" spans="2:9">
      <c r="B3295" s="395">
        <v>96985</v>
      </c>
      <c r="C3295" s="406" t="s">
        <v>2574</v>
      </c>
      <c r="D3295" s="395" t="s">
        <v>23</v>
      </c>
      <c r="E3295" s="407">
        <f t="shared" si="102"/>
        <v>82.76</v>
      </c>
      <c r="F3295">
        <f t="shared" si="103"/>
        <v>96985</v>
      </c>
      <c r="H3295" s="680">
        <v>82.76</v>
      </c>
      <c r="I3295" s="680">
        <v>83.95</v>
      </c>
    </row>
    <row r="3296" spans="2:9">
      <c r="B3296" s="396">
        <v>96986</v>
      </c>
      <c r="C3296" s="401" t="s">
        <v>2575</v>
      </c>
      <c r="D3296" s="396" t="s">
        <v>23</v>
      </c>
      <c r="E3296" s="405">
        <f t="shared" si="102"/>
        <v>123.33</v>
      </c>
      <c r="F3296">
        <f t="shared" si="103"/>
        <v>96986</v>
      </c>
      <c r="H3296" s="679">
        <v>123.33</v>
      </c>
      <c r="I3296" s="679">
        <v>125.19</v>
      </c>
    </row>
    <row r="3297" spans="2:9">
      <c r="B3297" s="395">
        <v>96987</v>
      </c>
      <c r="C3297" s="406" t="s">
        <v>2576</v>
      </c>
      <c r="D3297" s="395" t="s">
        <v>23</v>
      </c>
      <c r="E3297" s="407">
        <f t="shared" si="102"/>
        <v>106.51</v>
      </c>
      <c r="F3297">
        <f t="shared" si="103"/>
        <v>96987</v>
      </c>
      <c r="H3297" s="680">
        <v>106.51</v>
      </c>
      <c r="I3297" s="680">
        <v>111.82</v>
      </c>
    </row>
    <row r="3298" spans="2:9">
      <c r="B3298" s="396">
        <v>96988</v>
      </c>
      <c r="C3298" s="401" t="s">
        <v>2577</v>
      </c>
      <c r="D3298" s="396" t="s">
        <v>23</v>
      </c>
      <c r="E3298" s="405">
        <f t="shared" si="102"/>
        <v>182.44</v>
      </c>
      <c r="F3298">
        <f t="shared" si="103"/>
        <v>96988</v>
      </c>
      <c r="H3298" s="679">
        <v>182.44</v>
      </c>
      <c r="I3298" s="679">
        <v>183.19</v>
      </c>
    </row>
    <row r="3299" spans="2:9">
      <c r="B3299" s="395">
        <v>96989</v>
      </c>
      <c r="C3299" s="406" t="s">
        <v>2578</v>
      </c>
      <c r="D3299" s="395" t="s">
        <v>23</v>
      </c>
      <c r="E3299" s="407">
        <f t="shared" si="102"/>
        <v>152.75</v>
      </c>
      <c r="F3299">
        <f t="shared" si="103"/>
        <v>96989</v>
      </c>
      <c r="H3299" s="680">
        <v>152.75</v>
      </c>
      <c r="I3299" s="680">
        <v>153.34</v>
      </c>
    </row>
    <row r="3300" spans="2:9">
      <c r="B3300" s="396">
        <v>98463</v>
      </c>
      <c r="C3300" s="401" t="s">
        <v>2572</v>
      </c>
      <c r="D3300" s="396" t="s">
        <v>23</v>
      </c>
      <c r="E3300" s="405">
        <f t="shared" si="102"/>
        <v>22.26</v>
      </c>
      <c r="F3300">
        <f t="shared" si="103"/>
        <v>98463</v>
      </c>
      <c r="H3300" s="679">
        <v>22.26</v>
      </c>
      <c r="I3300" s="679">
        <v>23.74</v>
      </c>
    </row>
    <row r="3301" spans="2:9" ht="30">
      <c r="B3301" s="395">
        <v>103490</v>
      </c>
      <c r="C3301" s="406" t="s">
        <v>6403</v>
      </c>
      <c r="D3301" s="395" t="s">
        <v>20</v>
      </c>
      <c r="E3301" s="407">
        <f t="shared" si="102"/>
        <v>2878.01</v>
      </c>
      <c r="F3301">
        <f t="shared" si="103"/>
        <v>103490</v>
      </c>
      <c r="H3301" s="680">
        <v>2878.01</v>
      </c>
      <c r="I3301" s="680">
        <v>3071.56</v>
      </c>
    </row>
    <row r="3302" spans="2:9" ht="30">
      <c r="B3302" s="396">
        <v>103491</v>
      </c>
      <c r="C3302" s="401" t="s">
        <v>6404</v>
      </c>
      <c r="D3302" s="396" t="s">
        <v>20</v>
      </c>
      <c r="E3302" s="405">
        <f t="shared" si="102"/>
        <v>774.81</v>
      </c>
      <c r="F3302">
        <f t="shared" si="103"/>
        <v>103491</v>
      </c>
      <c r="H3302" s="679">
        <v>774.81</v>
      </c>
      <c r="I3302" s="679">
        <v>819.17</v>
      </c>
    </row>
    <row r="3303" spans="2:9" ht="30">
      <c r="B3303" s="395">
        <v>96765</v>
      </c>
      <c r="C3303" s="406" t="s">
        <v>4885</v>
      </c>
      <c r="D3303" s="395" t="s">
        <v>23</v>
      </c>
      <c r="E3303" s="407">
        <f t="shared" si="102"/>
        <v>1591.62</v>
      </c>
      <c r="F3303">
        <f t="shared" si="103"/>
        <v>96765</v>
      </c>
      <c r="H3303" s="680">
        <v>1591.62</v>
      </c>
      <c r="I3303" s="680">
        <v>1605.58</v>
      </c>
    </row>
    <row r="3304" spans="2:9" ht="30">
      <c r="B3304" s="396">
        <v>101905</v>
      </c>
      <c r="C3304" s="401" t="s">
        <v>7668</v>
      </c>
      <c r="D3304" s="396" t="s">
        <v>23</v>
      </c>
      <c r="E3304" s="405">
        <f t="shared" si="102"/>
        <v>219.8</v>
      </c>
      <c r="F3304">
        <f t="shared" si="103"/>
        <v>101905</v>
      </c>
      <c r="H3304" s="679">
        <v>219.8</v>
      </c>
      <c r="I3304" s="679">
        <v>221.9</v>
      </c>
    </row>
    <row r="3305" spans="2:9">
      <c r="B3305" s="395">
        <v>101906</v>
      </c>
      <c r="C3305" s="406" t="s">
        <v>7669</v>
      </c>
      <c r="D3305" s="395" t="s">
        <v>23</v>
      </c>
      <c r="E3305" s="407">
        <f t="shared" si="102"/>
        <v>653.58000000000004</v>
      </c>
      <c r="F3305">
        <f t="shared" si="103"/>
        <v>101906</v>
      </c>
      <c r="H3305" s="680">
        <v>653.58000000000004</v>
      </c>
      <c r="I3305" s="680">
        <v>655.68</v>
      </c>
    </row>
    <row r="3306" spans="2:9">
      <c r="B3306" s="396">
        <v>101907</v>
      </c>
      <c r="C3306" s="401" t="s">
        <v>7670</v>
      </c>
      <c r="D3306" s="396" t="s">
        <v>23</v>
      </c>
      <c r="E3306" s="405">
        <f t="shared" si="102"/>
        <v>706.43</v>
      </c>
      <c r="F3306">
        <f t="shared" si="103"/>
        <v>101907</v>
      </c>
      <c r="H3306" s="679">
        <v>706.43</v>
      </c>
      <c r="I3306" s="679">
        <v>708.53</v>
      </c>
    </row>
    <row r="3307" spans="2:9">
      <c r="B3307" s="395">
        <v>101908</v>
      </c>
      <c r="C3307" s="406" t="s">
        <v>7671</v>
      </c>
      <c r="D3307" s="395" t="s">
        <v>23</v>
      </c>
      <c r="E3307" s="407">
        <f t="shared" si="102"/>
        <v>213.19</v>
      </c>
      <c r="F3307">
        <f t="shared" si="103"/>
        <v>101908</v>
      </c>
      <c r="H3307" s="680">
        <v>213.19</v>
      </c>
      <c r="I3307" s="680">
        <v>215.29</v>
      </c>
    </row>
    <row r="3308" spans="2:9">
      <c r="B3308" s="396">
        <v>101909</v>
      </c>
      <c r="C3308" s="401" t="s">
        <v>7672</v>
      </c>
      <c r="D3308" s="396" t="s">
        <v>23</v>
      </c>
      <c r="E3308" s="405">
        <f t="shared" si="102"/>
        <v>248.43</v>
      </c>
      <c r="F3308">
        <f t="shared" si="103"/>
        <v>101909</v>
      </c>
      <c r="H3308" s="679">
        <v>248.43</v>
      </c>
      <c r="I3308" s="679">
        <v>250.53</v>
      </c>
    </row>
    <row r="3309" spans="2:9">
      <c r="B3309" s="395">
        <v>101910</v>
      </c>
      <c r="C3309" s="406" t="s">
        <v>7673</v>
      </c>
      <c r="D3309" s="395" t="s">
        <v>23</v>
      </c>
      <c r="E3309" s="407">
        <f t="shared" si="102"/>
        <v>292.45999999999998</v>
      </c>
      <c r="F3309">
        <f t="shared" si="103"/>
        <v>101910</v>
      </c>
      <c r="H3309" s="680">
        <v>292.45999999999998</v>
      </c>
      <c r="I3309" s="680">
        <v>294.56</v>
      </c>
    </row>
    <row r="3310" spans="2:9">
      <c r="B3310" s="396">
        <v>101911</v>
      </c>
      <c r="C3310" s="401" t="s">
        <v>7674</v>
      </c>
      <c r="D3310" s="396" t="s">
        <v>23</v>
      </c>
      <c r="E3310" s="405">
        <f t="shared" si="102"/>
        <v>336.5</v>
      </c>
      <c r="F3310">
        <f t="shared" si="103"/>
        <v>101911</v>
      </c>
      <c r="H3310" s="679">
        <v>336.5</v>
      </c>
      <c r="I3310" s="679">
        <v>338.6</v>
      </c>
    </row>
    <row r="3311" spans="2:9" ht="30">
      <c r="B3311" s="395">
        <v>101912</v>
      </c>
      <c r="C3311" s="406" t="s">
        <v>4886</v>
      </c>
      <c r="D3311" s="395" t="s">
        <v>23</v>
      </c>
      <c r="E3311" s="407">
        <f t="shared" si="102"/>
        <v>2098.4</v>
      </c>
      <c r="F3311">
        <f t="shared" si="103"/>
        <v>101912</v>
      </c>
      <c r="H3311" s="680">
        <v>2098.4</v>
      </c>
      <c r="I3311" s="680">
        <v>2113.35</v>
      </c>
    </row>
    <row r="3312" spans="2:9">
      <c r="B3312" s="396">
        <v>101913</v>
      </c>
      <c r="C3312" s="401" t="s">
        <v>4887</v>
      </c>
      <c r="D3312" s="396" t="s">
        <v>23</v>
      </c>
      <c r="E3312" s="405">
        <f t="shared" si="102"/>
        <v>361.41</v>
      </c>
      <c r="F3312">
        <f t="shared" si="103"/>
        <v>101913</v>
      </c>
      <c r="H3312" s="679">
        <v>361.41</v>
      </c>
      <c r="I3312" s="679">
        <v>366.39</v>
      </c>
    </row>
    <row r="3313" spans="2:9">
      <c r="B3313" s="395">
        <v>101914</v>
      </c>
      <c r="C3313" s="406" t="s">
        <v>4888</v>
      </c>
      <c r="D3313" s="395" t="s">
        <v>23</v>
      </c>
      <c r="E3313" s="407">
        <f t="shared" si="102"/>
        <v>460.48</v>
      </c>
      <c r="F3313">
        <f t="shared" si="103"/>
        <v>101914</v>
      </c>
      <c r="H3313" s="680">
        <v>460.48</v>
      </c>
      <c r="I3313" s="680">
        <v>466.72</v>
      </c>
    </row>
    <row r="3314" spans="2:9" ht="30">
      <c r="B3314" s="396">
        <v>101915</v>
      </c>
      <c r="C3314" s="401" t="s">
        <v>4889</v>
      </c>
      <c r="D3314" s="396" t="s">
        <v>23</v>
      </c>
      <c r="E3314" s="405">
        <f t="shared" si="102"/>
        <v>500.59</v>
      </c>
      <c r="F3314">
        <f t="shared" si="103"/>
        <v>101915</v>
      </c>
      <c r="H3314" s="679">
        <v>500.59</v>
      </c>
      <c r="I3314" s="679">
        <v>501.24</v>
      </c>
    </row>
    <row r="3315" spans="2:9">
      <c r="B3315" s="395">
        <v>101916</v>
      </c>
      <c r="C3315" s="406" t="s">
        <v>4890</v>
      </c>
      <c r="D3315" s="395" t="s">
        <v>23</v>
      </c>
      <c r="E3315" s="407">
        <f t="shared" si="102"/>
        <v>3542.96</v>
      </c>
      <c r="F3315">
        <f t="shared" si="103"/>
        <v>101916</v>
      </c>
      <c r="H3315" s="680">
        <v>3542.96</v>
      </c>
      <c r="I3315" s="680">
        <v>3563.38</v>
      </c>
    </row>
    <row r="3316" spans="2:9">
      <c r="B3316" s="396">
        <v>101917</v>
      </c>
      <c r="C3316" s="401" t="s">
        <v>4891</v>
      </c>
      <c r="D3316" s="396" t="s">
        <v>23</v>
      </c>
      <c r="E3316" s="405">
        <f t="shared" si="102"/>
        <v>147.91</v>
      </c>
      <c r="F3316">
        <f t="shared" si="103"/>
        <v>101917</v>
      </c>
      <c r="H3316" s="679">
        <v>147.91</v>
      </c>
      <c r="I3316" s="679">
        <v>151.79</v>
      </c>
    </row>
    <row r="3317" spans="2:9">
      <c r="B3317" s="395">
        <v>98261</v>
      </c>
      <c r="C3317" s="406" t="s">
        <v>3596</v>
      </c>
      <c r="D3317" s="395" t="s">
        <v>22</v>
      </c>
      <c r="E3317" s="407">
        <f t="shared" si="102"/>
        <v>3.14</v>
      </c>
      <c r="F3317">
        <f t="shared" si="103"/>
        <v>98261</v>
      </c>
      <c r="H3317" s="680">
        <v>3.14</v>
      </c>
      <c r="I3317" s="680">
        <v>3.43</v>
      </c>
    </row>
    <row r="3318" spans="2:9" ht="30">
      <c r="B3318" s="396">
        <v>98262</v>
      </c>
      <c r="C3318" s="401" t="s">
        <v>3597</v>
      </c>
      <c r="D3318" s="396" t="s">
        <v>22</v>
      </c>
      <c r="E3318" s="405">
        <f t="shared" si="102"/>
        <v>3.84</v>
      </c>
      <c r="F3318">
        <f t="shared" si="103"/>
        <v>98262</v>
      </c>
      <c r="H3318" s="679">
        <v>3.84</v>
      </c>
      <c r="I3318" s="679">
        <v>4.1399999999999997</v>
      </c>
    </row>
    <row r="3319" spans="2:9" ht="30">
      <c r="B3319" s="395">
        <v>98263</v>
      </c>
      <c r="C3319" s="406" t="s">
        <v>3598</v>
      </c>
      <c r="D3319" s="395" t="s">
        <v>22</v>
      </c>
      <c r="E3319" s="407">
        <f t="shared" si="102"/>
        <v>4.01</v>
      </c>
      <c r="F3319">
        <f t="shared" si="103"/>
        <v>98263</v>
      </c>
      <c r="H3319" s="680">
        <v>4.01</v>
      </c>
      <c r="I3319" s="680">
        <v>4.32</v>
      </c>
    </row>
    <row r="3320" spans="2:9" ht="30">
      <c r="B3320" s="396">
        <v>98264</v>
      </c>
      <c r="C3320" s="401" t="s">
        <v>3599</v>
      </c>
      <c r="D3320" s="396" t="s">
        <v>22</v>
      </c>
      <c r="E3320" s="405">
        <f t="shared" si="102"/>
        <v>4.76</v>
      </c>
      <c r="F3320">
        <f t="shared" si="103"/>
        <v>98264</v>
      </c>
      <c r="H3320" s="679">
        <v>4.76</v>
      </c>
      <c r="I3320" s="679">
        <v>5.08</v>
      </c>
    </row>
    <row r="3321" spans="2:9" ht="30">
      <c r="B3321" s="395">
        <v>98265</v>
      </c>
      <c r="C3321" s="406" t="s">
        <v>3600</v>
      </c>
      <c r="D3321" s="395" t="s">
        <v>22</v>
      </c>
      <c r="E3321" s="407">
        <f t="shared" si="102"/>
        <v>5.25</v>
      </c>
      <c r="F3321">
        <f t="shared" si="103"/>
        <v>98265</v>
      </c>
      <c r="H3321" s="680">
        <v>5.25</v>
      </c>
      <c r="I3321" s="680">
        <v>5.57</v>
      </c>
    </row>
    <row r="3322" spans="2:9" ht="30">
      <c r="B3322" s="396">
        <v>98266</v>
      </c>
      <c r="C3322" s="401" t="s">
        <v>3601</v>
      </c>
      <c r="D3322" s="396" t="s">
        <v>22</v>
      </c>
      <c r="E3322" s="405">
        <f t="shared" si="102"/>
        <v>5.92</v>
      </c>
      <c r="F3322">
        <f t="shared" si="103"/>
        <v>98266</v>
      </c>
      <c r="H3322" s="679">
        <v>5.92</v>
      </c>
      <c r="I3322" s="679">
        <v>6.25</v>
      </c>
    </row>
    <row r="3323" spans="2:9">
      <c r="B3323" s="395">
        <v>98267</v>
      </c>
      <c r="C3323" s="406" t="s">
        <v>3602</v>
      </c>
      <c r="D3323" s="395" t="s">
        <v>22</v>
      </c>
      <c r="E3323" s="407">
        <f t="shared" si="102"/>
        <v>9.26</v>
      </c>
      <c r="F3323">
        <f t="shared" si="103"/>
        <v>98267</v>
      </c>
      <c r="H3323" s="680">
        <v>9.26</v>
      </c>
      <c r="I3323" s="680">
        <v>9.69</v>
      </c>
    </row>
    <row r="3324" spans="2:9">
      <c r="B3324" s="396">
        <v>98268</v>
      </c>
      <c r="C3324" s="401" t="s">
        <v>3603</v>
      </c>
      <c r="D3324" s="396" t="s">
        <v>22</v>
      </c>
      <c r="E3324" s="405">
        <f t="shared" si="102"/>
        <v>14.67</v>
      </c>
      <c r="F3324">
        <f t="shared" si="103"/>
        <v>98268</v>
      </c>
      <c r="H3324" s="679">
        <v>14.67</v>
      </c>
      <c r="I3324" s="679">
        <v>15.17</v>
      </c>
    </row>
    <row r="3325" spans="2:9">
      <c r="B3325" s="395">
        <v>98269</v>
      </c>
      <c r="C3325" s="406" t="s">
        <v>3604</v>
      </c>
      <c r="D3325" s="395" t="s">
        <v>22</v>
      </c>
      <c r="E3325" s="407">
        <f t="shared" si="102"/>
        <v>19.91</v>
      </c>
      <c r="F3325">
        <f t="shared" si="103"/>
        <v>98269</v>
      </c>
      <c r="H3325" s="680">
        <v>19.91</v>
      </c>
      <c r="I3325" s="680">
        <v>20.45</v>
      </c>
    </row>
    <row r="3326" spans="2:9">
      <c r="B3326" s="396">
        <v>98270</v>
      </c>
      <c r="C3326" s="401" t="s">
        <v>3605</v>
      </c>
      <c r="D3326" s="396" t="s">
        <v>22</v>
      </c>
      <c r="E3326" s="405">
        <f t="shared" si="102"/>
        <v>29.79</v>
      </c>
      <c r="F3326">
        <f t="shared" si="103"/>
        <v>98270</v>
      </c>
      <c r="H3326" s="679">
        <v>29.79</v>
      </c>
      <c r="I3326" s="679">
        <v>30.38</v>
      </c>
    </row>
    <row r="3327" spans="2:9">
      <c r="B3327" s="395">
        <v>98271</v>
      </c>
      <c r="C3327" s="406" t="s">
        <v>3606</v>
      </c>
      <c r="D3327" s="395" t="s">
        <v>22</v>
      </c>
      <c r="E3327" s="407">
        <f t="shared" si="102"/>
        <v>41.69</v>
      </c>
      <c r="F3327">
        <f t="shared" si="103"/>
        <v>98271</v>
      </c>
      <c r="H3327" s="680">
        <v>41.69</v>
      </c>
      <c r="I3327" s="680">
        <v>42.34</v>
      </c>
    </row>
    <row r="3328" spans="2:9">
      <c r="B3328" s="396">
        <v>98272</v>
      </c>
      <c r="C3328" s="401" t="s">
        <v>3607</v>
      </c>
      <c r="D3328" s="396" t="s">
        <v>22</v>
      </c>
      <c r="E3328" s="405">
        <f t="shared" si="102"/>
        <v>94.98</v>
      </c>
      <c r="F3328">
        <f t="shared" si="103"/>
        <v>98272</v>
      </c>
      <c r="H3328" s="679">
        <v>94.98</v>
      </c>
      <c r="I3328" s="679">
        <v>95.87</v>
      </c>
    </row>
    <row r="3329" spans="2:9">
      <c r="B3329" s="395">
        <v>98273</v>
      </c>
      <c r="C3329" s="406" t="s">
        <v>3608</v>
      </c>
      <c r="D3329" s="395" t="s">
        <v>22</v>
      </c>
      <c r="E3329" s="407">
        <f t="shared" si="102"/>
        <v>2.2599999999999998</v>
      </c>
      <c r="F3329">
        <f t="shared" si="103"/>
        <v>98273</v>
      </c>
      <c r="H3329" s="680">
        <v>2.2599999999999998</v>
      </c>
      <c r="I3329" s="680">
        <v>2.2999999999999998</v>
      </c>
    </row>
    <row r="3330" spans="2:9">
      <c r="B3330" s="396">
        <v>98274</v>
      </c>
      <c r="C3330" s="401" t="s">
        <v>3609</v>
      </c>
      <c r="D3330" s="396" t="s">
        <v>22</v>
      </c>
      <c r="E3330" s="405">
        <f t="shared" si="102"/>
        <v>2.74</v>
      </c>
      <c r="F3330">
        <f t="shared" si="103"/>
        <v>98274</v>
      </c>
      <c r="H3330" s="679">
        <v>2.74</v>
      </c>
      <c r="I3330" s="679">
        <v>2.79</v>
      </c>
    </row>
    <row r="3331" spans="2:9">
      <c r="B3331" s="395">
        <v>98275</v>
      </c>
      <c r="C3331" s="406" t="s">
        <v>3610</v>
      </c>
      <c r="D3331" s="395" t="s">
        <v>22</v>
      </c>
      <c r="E3331" s="407">
        <f t="shared" ref="E3331:E3394" si="104">IF($K$2=$H$1,H3331,I3331)</f>
        <v>3.42</v>
      </c>
      <c r="F3331">
        <f t="shared" ref="F3331:F3394" si="105">IF(LEN($B3331)=7,CONCATENATE(MID($B3331,1,6),"00",RIGHT($B3331,1)),IF(LEN($B3331)=8,CONCATENATE(MID($B3331,1,6),"0",RIGHT($B3331,2)),$B3331))</f>
        <v>98275</v>
      </c>
      <c r="H3331" s="680">
        <v>3.42</v>
      </c>
      <c r="I3331" s="680">
        <v>3.47</v>
      </c>
    </row>
    <row r="3332" spans="2:9">
      <c r="B3332" s="396">
        <v>98276</v>
      </c>
      <c r="C3332" s="401" t="s">
        <v>3611</v>
      </c>
      <c r="D3332" s="396" t="s">
        <v>22</v>
      </c>
      <c r="E3332" s="405">
        <f t="shared" si="104"/>
        <v>6.76</v>
      </c>
      <c r="F3332">
        <f t="shared" si="105"/>
        <v>98276</v>
      </c>
      <c r="H3332" s="679">
        <v>6.76</v>
      </c>
      <c r="I3332" s="679">
        <v>6.9</v>
      </c>
    </row>
    <row r="3333" spans="2:9">
      <c r="B3333" s="395">
        <v>98277</v>
      </c>
      <c r="C3333" s="406" t="s">
        <v>3612</v>
      </c>
      <c r="D3333" s="395" t="s">
        <v>22</v>
      </c>
      <c r="E3333" s="407">
        <f t="shared" si="104"/>
        <v>12.18</v>
      </c>
      <c r="F3333">
        <f t="shared" si="105"/>
        <v>98277</v>
      </c>
      <c r="H3333" s="680">
        <v>12.18</v>
      </c>
      <c r="I3333" s="680">
        <v>12.39</v>
      </c>
    </row>
    <row r="3334" spans="2:9">
      <c r="B3334" s="396">
        <v>98278</v>
      </c>
      <c r="C3334" s="401" t="s">
        <v>3613</v>
      </c>
      <c r="D3334" s="396" t="s">
        <v>22</v>
      </c>
      <c r="E3334" s="405">
        <f t="shared" si="104"/>
        <v>17.41</v>
      </c>
      <c r="F3334">
        <f t="shared" si="105"/>
        <v>98278</v>
      </c>
      <c r="H3334" s="679">
        <v>17.41</v>
      </c>
      <c r="I3334" s="679">
        <v>17.66</v>
      </c>
    </row>
    <row r="3335" spans="2:9">
      <c r="B3335" s="395">
        <v>98279</v>
      </c>
      <c r="C3335" s="406" t="s">
        <v>3614</v>
      </c>
      <c r="D3335" s="395" t="s">
        <v>22</v>
      </c>
      <c r="E3335" s="407">
        <f t="shared" si="104"/>
        <v>27.28</v>
      </c>
      <c r="F3335">
        <f t="shared" si="105"/>
        <v>98279</v>
      </c>
      <c r="H3335" s="680">
        <v>27.28</v>
      </c>
      <c r="I3335" s="680">
        <v>27.59</v>
      </c>
    </row>
    <row r="3336" spans="2:9" ht="30">
      <c r="B3336" s="396">
        <v>98280</v>
      </c>
      <c r="C3336" s="401" t="s">
        <v>3615</v>
      </c>
      <c r="D3336" s="396" t="s">
        <v>22</v>
      </c>
      <c r="E3336" s="405">
        <f t="shared" si="104"/>
        <v>6.36</v>
      </c>
      <c r="F3336">
        <f t="shared" si="105"/>
        <v>98280</v>
      </c>
      <c r="H3336" s="679">
        <v>6.36</v>
      </c>
      <c r="I3336" s="679">
        <v>7.01</v>
      </c>
    </row>
    <row r="3337" spans="2:9" ht="30">
      <c r="B3337" s="395">
        <v>98281</v>
      </c>
      <c r="C3337" s="406" t="s">
        <v>3616</v>
      </c>
      <c r="D3337" s="395" t="s">
        <v>22</v>
      </c>
      <c r="E3337" s="407">
        <f t="shared" si="104"/>
        <v>7.06</v>
      </c>
      <c r="F3337">
        <f t="shared" si="105"/>
        <v>98281</v>
      </c>
      <c r="H3337" s="680">
        <v>7.06</v>
      </c>
      <c r="I3337" s="680">
        <v>7.72</v>
      </c>
    </row>
    <row r="3338" spans="2:9" ht="30">
      <c r="B3338" s="396">
        <v>98282</v>
      </c>
      <c r="C3338" s="401" t="s">
        <v>3617</v>
      </c>
      <c r="D3338" s="396" t="s">
        <v>22</v>
      </c>
      <c r="E3338" s="405">
        <f t="shared" si="104"/>
        <v>7.23</v>
      </c>
      <c r="F3338">
        <f t="shared" si="105"/>
        <v>98282</v>
      </c>
      <c r="H3338" s="679">
        <v>7.23</v>
      </c>
      <c r="I3338" s="679">
        <v>7.9</v>
      </c>
    </row>
    <row r="3339" spans="2:9" ht="30">
      <c r="B3339" s="395">
        <v>98283</v>
      </c>
      <c r="C3339" s="406" t="s">
        <v>3618</v>
      </c>
      <c r="D3339" s="395" t="s">
        <v>22</v>
      </c>
      <c r="E3339" s="407">
        <f t="shared" si="104"/>
        <v>7.97</v>
      </c>
      <c r="F3339">
        <f t="shared" si="105"/>
        <v>98283</v>
      </c>
      <c r="H3339" s="680">
        <v>7.97</v>
      </c>
      <c r="I3339" s="680">
        <v>8.65</v>
      </c>
    </row>
    <row r="3340" spans="2:9" ht="30">
      <c r="B3340" s="396">
        <v>98284</v>
      </c>
      <c r="C3340" s="401" t="s">
        <v>3619</v>
      </c>
      <c r="D3340" s="396" t="s">
        <v>22</v>
      </c>
      <c r="E3340" s="405">
        <f t="shared" si="104"/>
        <v>8.4499999999999993</v>
      </c>
      <c r="F3340">
        <f t="shared" si="105"/>
        <v>98284</v>
      </c>
      <c r="H3340" s="679">
        <v>8.4499999999999993</v>
      </c>
      <c r="I3340" s="679">
        <v>9.15</v>
      </c>
    </row>
    <row r="3341" spans="2:9" ht="30">
      <c r="B3341" s="395">
        <v>98285</v>
      </c>
      <c r="C3341" s="406" t="s">
        <v>3620</v>
      </c>
      <c r="D3341" s="395" t="s">
        <v>22</v>
      </c>
      <c r="E3341" s="407">
        <f t="shared" si="104"/>
        <v>9.1300000000000008</v>
      </c>
      <c r="F3341">
        <f t="shared" si="105"/>
        <v>98285</v>
      </c>
      <c r="H3341" s="680">
        <v>9.1300000000000008</v>
      </c>
      <c r="I3341" s="680">
        <v>9.83</v>
      </c>
    </row>
    <row r="3342" spans="2:9" ht="30">
      <c r="B3342" s="396">
        <v>98286</v>
      </c>
      <c r="C3342" s="401" t="s">
        <v>3621</v>
      </c>
      <c r="D3342" s="396" t="s">
        <v>22</v>
      </c>
      <c r="E3342" s="405">
        <f t="shared" si="104"/>
        <v>12.48</v>
      </c>
      <c r="F3342">
        <f t="shared" si="105"/>
        <v>98286</v>
      </c>
      <c r="H3342" s="679">
        <v>12.48</v>
      </c>
      <c r="I3342" s="679">
        <v>13.27</v>
      </c>
    </row>
    <row r="3343" spans="2:9" ht="30">
      <c r="B3343" s="395">
        <v>98287</v>
      </c>
      <c r="C3343" s="406" t="s">
        <v>3622</v>
      </c>
      <c r="D3343" s="395" t="s">
        <v>22</v>
      </c>
      <c r="E3343" s="407">
        <f t="shared" si="104"/>
        <v>1.21</v>
      </c>
      <c r="F3343">
        <f t="shared" si="105"/>
        <v>98287</v>
      </c>
      <c r="H3343" s="680">
        <v>1.21</v>
      </c>
      <c r="I3343" s="680">
        <v>1.28</v>
      </c>
    </row>
    <row r="3344" spans="2:9" ht="30">
      <c r="B3344" s="396">
        <v>98288</v>
      </c>
      <c r="C3344" s="401" t="s">
        <v>3623</v>
      </c>
      <c r="D3344" s="396" t="s">
        <v>22</v>
      </c>
      <c r="E3344" s="405">
        <f t="shared" si="104"/>
        <v>1.91</v>
      </c>
      <c r="F3344">
        <f t="shared" si="105"/>
        <v>98288</v>
      </c>
      <c r="H3344" s="679">
        <v>1.91</v>
      </c>
      <c r="I3344" s="679">
        <v>1.99</v>
      </c>
    </row>
    <row r="3345" spans="2:9" ht="30">
      <c r="B3345" s="395">
        <v>98289</v>
      </c>
      <c r="C3345" s="406" t="s">
        <v>3624</v>
      </c>
      <c r="D3345" s="395" t="s">
        <v>22</v>
      </c>
      <c r="E3345" s="407">
        <f t="shared" si="104"/>
        <v>2.08</v>
      </c>
      <c r="F3345">
        <f t="shared" si="105"/>
        <v>98289</v>
      </c>
      <c r="H3345" s="680">
        <v>2.08</v>
      </c>
      <c r="I3345" s="680">
        <v>2.17</v>
      </c>
    </row>
    <row r="3346" spans="2:9" ht="30">
      <c r="B3346" s="396">
        <v>98290</v>
      </c>
      <c r="C3346" s="401" t="s">
        <v>3625</v>
      </c>
      <c r="D3346" s="396" t="s">
        <v>22</v>
      </c>
      <c r="E3346" s="405">
        <f t="shared" si="104"/>
        <v>2.83</v>
      </c>
      <c r="F3346">
        <f t="shared" si="105"/>
        <v>98290</v>
      </c>
      <c r="H3346" s="679">
        <v>2.83</v>
      </c>
      <c r="I3346" s="679">
        <v>2.93</v>
      </c>
    </row>
    <row r="3347" spans="2:9" ht="30">
      <c r="B3347" s="395">
        <v>98291</v>
      </c>
      <c r="C3347" s="406" t="s">
        <v>3626</v>
      </c>
      <c r="D3347" s="395" t="s">
        <v>22</v>
      </c>
      <c r="E3347" s="407">
        <f t="shared" si="104"/>
        <v>3.31</v>
      </c>
      <c r="F3347">
        <f t="shared" si="105"/>
        <v>98291</v>
      </c>
      <c r="H3347" s="680">
        <v>3.31</v>
      </c>
      <c r="I3347" s="680">
        <v>3.43</v>
      </c>
    </row>
    <row r="3348" spans="2:9" ht="30">
      <c r="B3348" s="396">
        <v>98292</v>
      </c>
      <c r="C3348" s="401" t="s">
        <v>3627</v>
      </c>
      <c r="D3348" s="396" t="s">
        <v>22</v>
      </c>
      <c r="E3348" s="405">
        <f t="shared" si="104"/>
        <v>3.99</v>
      </c>
      <c r="F3348">
        <f t="shared" si="105"/>
        <v>98292</v>
      </c>
      <c r="H3348" s="679">
        <v>3.99</v>
      </c>
      <c r="I3348" s="679">
        <v>4.1100000000000003</v>
      </c>
    </row>
    <row r="3349" spans="2:9" ht="30">
      <c r="B3349" s="395">
        <v>98293</v>
      </c>
      <c r="C3349" s="406" t="s">
        <v>3628</v>
      </c>
      <c r="D3349" s="395" t="s">
        <v>22</v>
      </c>
      <c r="E3349" s="407">
        <f t="shared" si="104"/>
        <v>7.33</v>
      </c>
      <c r="F3349">
        <f t="shared" si="105"/>
        <v>98293</v>
      </c>
      <c r="H3349" s="680">
        <v>7.33</v>
      </c>
      <c r="I3349" s="680">
        <v>7.54</v>
      </c>
    </row>
    <row r="3350" spans="2:9">
      <c r="B3350" s="396">
        <v>98400</v>
      </c>
      <c r="C3350" s="401" t="s">
        <v>3629</v>
      </c>
      <c r="D3350" s="396" t="s">
        <v>22</v>
      </c>
      <c r="E3350" s="405">
        <f t="shared" si="104"/>
        <v>11.27</v>
      </c>
      <c r="F3350">
        <f t="shared" si="105"/>
        <v>98400</v>
      </c>
      <c r="H3350" s="679">
        <v>11.27</v>
      </c>
      <c r="I3350" s="679">
        <v>11.7</v>
      </c>
    </row>
    <row r="3351" spans="2:9">
      <c r="B3351" s="395">
        <v>98401</v>
      </c>
      <c r="C3351" s="406" t="s">
        <v>3630</v>
      </c>
      <c r="D3351" s="395" t="s">
        <v>22</v>
      </c>
      <c r="E3351" s="407">
        <f t="shared" si="104"/>
        <v>17.46</v>
      </c>
      <c r="F3351">
        <f t="shared" si="105"/>
        <v>98401</v>
      </c>
      <c r="H3351" s="680">
        <v>17.46</v>
      </c>
      <c r="I3351" s="680">
        <v>17.96</v>
      </c>
    </row>
    <row r="3352" spans="2:9">
      <c r="B3352" s="396">
        <v>98402</v>
      </c>
      <c r="C3352" s="401" t="s">
        <v>3631</v>
      </c>
      <c r="D3352" s="396" t="s">
        <v>22</v>
      </c>
      <c r="E3352" s="405">
        <f t="shared" si="104"/>
        <v>20.34</v>
      </c>
      <c r="F3352">
        <f t="shared" si="105"/>
        <v>98402</v>
      </c>
      <c r="H3352" s="679">
        <v>20.34</v>
      </c>
      <c r="I3352" s="679">
        <v>20.88</v>
      </c>
    </row>
    <row r="3353" spans="2:9">
      <c r="B3353" s="395">
        <v>100556</v>
      </c>
      <c r="C3353" s="406" t="s">
        <v>3632</v>
      </c>
      <c r="D3353" s="395" t="s">
        <v>23</v>
      </c>
      <c r="E3353" s="407">
        <f t="shared" si="104"/>
        <v>37.85</v>
      </c>
      <c r="F3353">
        <f t="shared" si="105"/>
        <v>100556</v>
      </c>
      <c r="H3353" s="680">
        <v>37.85</v>
      </c>
      <c r="I3353" s="680">
        <v>39.479999999999997</v>
      </c>
    </row>
    <row r="3354" spans="2:9">
      <c r="B3354" s="396">
        <v>100557</v>
      </c>
      <c r="C3354" s="401" t="s">
        <v>3633</v>
      </c>
      <c r="D3354" s="396" t="s">
        <v>23</v>
      </c>
      <c r="E3354" s="405">
        <f t="shared" si="104"/>
        <v>482.19</v>
      </c>
      <c r="F3354">
        <f t="shared" si="105"/>
        <v>100557</v>
      </c>
      <c r="H3354" s="679">
        <v>482.19</v>
      </c>
      <c r="I3354" s="679">
        <v>487.04</v>
      </c>
    </row>
    <row r="3355" spans="2:9" ht="30">
      <c r="B3355" s="395">
        <v>100560</v>
      </c>
      <c r="C3355" s="406" t="s">
        <v>3634</v>
      </c>
      <c r="D3355" s="395" t="s">
        <v>23</v>
      </c>
      <c r="E3355" s="407">
        <f t="shared" si="104"/>
        <v>103.38</v>
      </c>
      <c r="F3355">
        <f t="shared" si="105"/>
        <v>100560</v>
      </c>
      <c r="H3355" s="680">
        <v>103.38</v>
      </c>
      <c r="I3355" s="680">
        <v>107.6</v>
      </c>
    </row>
    <row r="3356" spans="2:9" ht="30">
      <c r="B3356" s="396">
        <v>100561</v>
      </c>
      <c r="C3356" s="401" t="s">
        <v>3635</v>
      </c>
      <c r="D3356" s="396" t="s">
        <v>23</v>
      </c>
      <c r="E3356" s="405">
        <f t="shared" si="104"/>
        <v>191.29</v>
      </c>
      <c r="F3356">
        <f t="shared" si="105"/>
        <v>100561</v>
      </c>
      <c r="H3356" s="679">
        <v>191.29</v>
      </c>
      <c r="I3356" s="679">
        <v>196.1</v>
      </c>
    </row>
    <row r="3357" spans="2:9" ht="30">
      <c r="B3357" s="395">
        <v>100562</v>
      </c>
      <c r="C3357" s="406" t="s">
        <v>3636</v>
      </c>
      <c r="D3357" s="395" t="s">
        <v>23</v>
      </c>
      <c r="E3357" s="407">
        <f t="shared" si="104"/>
        <v>298.02</v>
      </c>
      <c r="F3357">
        <f t="shared" si="105"/>
        <v>100562</v>
      </c>
      <c r="H3357" s="680">
        <v>298.02</v>
      </c>
      <c r="I3357" s="680">
        <v>303.52</v>
      </c>
    </row>
    <row r="3358" spans="2:9" ht="30">
      <c r="B3358" s="396">
        <v>100563</v>
      </c>
      <c r="C3358" s="401" t="s">
        <v>3637</v>
      </c>
      <c r="D3358" s="396" t="s">
        <v>23</v>
      </c>
      <c r="E3358" s="405">
        <f t="shared" si="104"/>
        <v>431.31</v>
      </c>
      <c r="F3358">
        <f t="shared" si="105"/>
        <v>100563</v>
      </c>
      <c r="H3358" s="679">
        <v>431.31</v>
      </c>
      <c r="I3358" s="679">
        <v>437.59</v>
      </c>
    </row>
    <row r="3359" spans="2:9" ht="30">
      <c r="B3359" s="395">
        <v>101795</v>
      </c>
      <c r="C3359" s="406" t="s">
        <v>5338</v>
      </c>
      <c r="D3359" s="395" t="s">
        <v>23</v>
      </c>
      <c r="E3359" s="407">
        <f t="shared" si="104"/>
        <v>565.96</v>
      </c>
      <c r="F3359">
        <f t="shared" si="105"/>
        <v>101795</v>
      </c>
      <c r="H3359" s="680">
        <v>565.96</v>
      </c>
      <c r="I3359" s="680">
        <v>590.29</v>
      </c>
    </row>
    <row r="3360" spans="2:9" ht="30">
      <c r="B3360" s="396">
        <v>101798</v>
      </c>
      <c r="C3360" s="401" t="s">
        <v>5339</v>
      </c>
      <c r="D3360" s="396" t="s">
        <v>23</v>
      </c>
      <c r="E3360" s="405">
        <f t="shared" si="104"/>
        <v>356.03</v>
      </c>
      <c r="F3360">
        <f t="shared" si="105"/>
        <v>101798</v>
      </c>
      <c r="H3360" s="679">
        <v>356.03</v>
      </c>
      <c r="I3360" s="679">
        <v>360.07</v>
      </c>
    </row>
    <row r="3361" spans="2:9" ht="30">
      <c r="B3361" s="395">
        <v>101799</v>
      </c>
      <c r="C3361" s="406" t="s">
        <v>5340</v>
      </c>
      <c r="D3361" s="395" t="s">
        <v>23</v>
      </c>
      <c r="E3361" s="407">
        <f t="shared" si="104"/>
        <v>869.04</v>
      </c>
      <c r="F3361">
        <f t="shared" si="105"/>
        <v>101799</v>
      </c>
      <c r="H3361" s="680">
        <v>869.04</v>
      </c>
      <c r="I3361" s="680">
        <v>875.7</v>
      </c>
    </row>
    <row r="3362" spans="2:9">
      <c r="B3362" s="396">
        <v>98397</v>
      </c>
      <c r="C3362" s="401" t="s">
        <v>2710</v>
      </c>
      <c r="D3362" s="396" t="s">
        <v>0</v>
      </c>
      <c r="E3362" s="405">
        <f t="shared" si="104"/>
        <v>11.23</v>
      </c>
      <c r="F3362">
        <f t="shared" si="105"/>
        <v>98397</v>
      </c>
      <c r="H3362" s="679">
        <v>11.23</v>
      </c>
      <c r="I3362" s="679">
        <v>11.86</v>
      </c>
    </row>
    <row r="3363" spans="2:9">
      <c r="B3363" s="395">
        <v>103244</v>
      </c>
      <c r="C3363" s="406" t="s">
        <v>7675</v>
      </c>
      <c r="D3363" s="395" t="s">
        <v>23</v>
      </c>
      <c r="E3363" s="407">
        <f t="shared" si="104"/>
        <v>2343.9899999999998</v>
      </c>
      <c r="F3363">
        <f t="shared" si="105"/>
        <v>103244</v>
      </c>
      <c r="H3363" s="680">
        <v>2343.9899999999998</v>
      </c>
      <c r="I3363" s="680">
        <v>2355.14</v>
      </c>
    </row>
    <row r="3364" spans="2:9">
      <c r="B3364" s="396">
        <v>103245</v>
      </c>
      <c r="C3364" s="401" t="s">
        <v>7676</v>
      </c>
      <c r="D3364" s="396" t="s">
        <v>23</v>
      </c>
      <c r="E3364" s="405">
        <f t="shared" si="104"/>
        <v>1845.25</v>
      </c>
      <c r="F3364">
        <f t="shared" si="105"/>
        <v>103245</v>
      </c>
      <c r="H3364" s="679">
        <v>1845.25</v>
      </c>
      <c r="I3364" s="679">
        <v>1856.4</v>
      </c>
    </row>
    <row r="3365" spans="2:9" ht="30">
      <c r="B3365" s="395">
        <v>103246</v>
      </c>
      <c r="C3365" s="406" t="s">
        <v>7677</v>
      </c>
      <c r="D3365" s="395" t="s">
        <v>23</v>
      </c>
      <c r="E3365" s="407">
        <f t="shared" si="104"/>
        <v>2013.92</v>
      </c>
      <c r="F3365">
        <f t="shared" si="105"/>
        <v>103246</v>
      </c>
      <c r="H3365" s="680">
        <v>2013.92</v>
      </c>
      <c r="I3365" s="680">
        <v>2025.07</v>
      </c>
    </row>
    <row r="3366" spans="2:9">
      <c r="B3366" s="396">
        <v>103247</v>
      </c>
      <c r="C3366" s="401" t="s">
        <v>7678</v>
      </c>
      <c r="D3366" s="396" t="s">
        <v>23</v>
      </c>
      <c r="E3366" s="405">
        <f t="shared" si="104"/>
        <v>2603.4</v>
      </c>
      <c r="F3366">
        <f t="shared" si="105"/>
        <v>103247</v>
      </c>
      <c r="H3366" s="679">
        <v>2603.4</v>
      </c>
      <c r="I3366" s="679">
        <v>2614.5500000000002</v>
      </c>
    </row>
    <row r="3367" spans="2:9">
      <c r="B3367" s="395">
        <v>103248</v>
      </c>
      <c r="C3367" s="406" t="s">
        <v>7679</v>
      </c>
      <c r="D3367" s="395" t="s">
        <v>23</v>
      </c>
      <c r="E3367" s="407">
        <f t="shared" si="104"/>
        <v>2124.35</v>
      </c>
      <c r="F3367">
        <f t="shared" si="105"/>
        <v>103248</v>
      </c>
      <c r="H3367" s="680">
        <v>2124.35</v>
      </c>
      <c r="I3367" s="680">
        <v>2135.5</v>
      </c>
    </row>
    <row r="3368" spans="2:9" ht="30">
      <c r="B3368" s="396">
        <v>103249</v>
      </c>
      <c r="C3368" s="401" t="s">
        <v>7680</v>
      </c>
      <c r="D3368" s="396" t="s">
        <v>23</v>
      </c>
      <c r="E3368" s="405">
        <f t="shared" si="104"/>
        <v>2283.5300000000002</v>
      </c>
      <c r="F3368">
        <f t="shared" si="105"/>
        <v>103249</v>
      </c>
      <c r="H3368" s="679">
        <v>2283.5300000000002</v>
      </c>
      <c r="I3368" s="679">
        <v>2294.6799999999998</v>
      </c>
    </row>
    <row r="3369" spans="2:9">
      <c r="B3369" s="395">
        <v>103250</v>
      </c>
      <c r="C3369" s="406" t="s">
        <v>7681</v>
      </c>
      <c r="D3369" s="395" t="s">
        <v>23</v>
      </c>
      <c r="E3369" s="407">
        <f t="shared" si="104"/>
        <v>3787</v>
      </c>
      <c r="F3369">
        <f t="shared" si="105"/>
        <v>103250</v>
      </c>
      <c r="H3369" s="680">
        <v>3787</v>
      </c>
      <c r="I3369" s="680">
        <v>3799.06</v>
      </c>
    </row>
    <row r="3370" spans="2:9">
      <c r="B3370" s="396">
        <v>103251</v>
      </c>
      <c r="C3370" s="401" t="s">
        <v>7682</v>
      </c>
      <c r="D3370" s="396" t="s">
        <v>23</v>
      </c>
      <c r="E3370" s="405">
        <f t="shared" si="104"/>
        <v>2986.91</v>
      </c>
      <c r="F3370">
        <f t="shared" si="105"/>
        <v>103251</v>
      </c>
      <c r="H3370" s="679">
        <v>2986.91</v>
      </c>
      <c r="I3370" s="679">
        <v>2998.97</v>
      </c>
    </row>
    <row r="3371" spans="2:9" ht="30">
      <c r="B3371" s="395">
        <v>103252</v>
      </c>
      <c r="C3371" s="406" t="s">
        <v>7683</v>
      </c>
      <c r="D3371" s="395" t="s">
        <v>23</v>
      </c>
      <c r="E3371" s="407">
        <f t="shared" si="104"/>
        <v>3309.57</v>
      </c>
      <c r="F3371">
        <f t="shared" si="105"/>
        <v>103252</v>
      </c>
      <c r="H3371" s="680">
        <v>3309.57</v>
      </c>
      <c r="I3371" s="680">
        <v>3321.63</v>
      </c>
    </row>
    <row r="3372" spans="2:9">
      <c r="B3372" s="396">
        <v>103253</v>
      </c>
      <c r="C3372" s="401" t="s">
        <v>7684</v>
      </c>
      <c r="D3372" s="396" t="s">
        <v>23</v>
      </c>
      <c r="E3372" s="405">
        <f t="shared" si="104"/>
        <v>5167.9399999999996</v>
      </c>
      <c r="F3372">
        <f t="shared" si="105"/>
        <v>103253</v>
      </c>
      <c r="H3372" s="679">
        <v>5167.9399999999996</v>
      </c>
      <c r="I3372" s="679">
        <v>5180.53</v>
      </c>
    </row>
    <row r="3373" spans="2:9">
      <c r="B3373" s="395">
        <v>103254</v>
      </c>
      <c r="C3373" s="406" t="s">
        <v>7685</v>
      </c>
      <c r="D3373" s="395" t="s">
        <v>23</v>
      </c>
      <c r="E3373" s="407">
        <f t="shared" si="104"/>
        <v>3859.89</v>
      </c>
      <c r="F3373">
        <f t="shared" si="105"/>
        <v>103254</v>
      </c>
      <c r="H3373" s="680">
        <v>3859.89</v>
      </c>
      <c r="I3373" s="680">
        <v>3872.48</v>
      </c>
    </row>
    <row r="3374" spans="2:9" ht="30">
      <c r="B3374" s="396">
        <v>103255</v>
      </c>
      <c r="C3374" s="401" t="s">
        <v>7686</v>
      </c>
      <c r="D3374" s="396" t="s">
        <v>23</v>
      </c>
      <c r="E3374" s="405">
        <f t="shared" si="104"/>
        <v>4321.3999999999996</v>
      </c>
      <c r="F3374">
        <f t="shared" si="105"/>
        <v>103255</v>
      </c>
      <c r="H3374" s="679">
        <v>4321.3999999999996</v>
      </c>
      <c r="I3374" s="679">
        <v>4333.99</v>
      </c>
    </row>
    <row r="3375" spans="2:9">
      <c r="B3375" s="395">
        <v>103256</v>
      </c>
      <c r="C3375" s="406" t="s">
        <v>7687</v>
      </c>
      <c r="D3375" s="395" t="s">
        <v>23</v>
      </c>
      <c r="E3375" s="407">
        <f t="shared" si="104"/>
        <v>9600.98</v>
      </c>
      <c r="F3375">
        <f t="shared" si="105"/>
        <v>103256</v>
      </c>
      <c r="H3375" s="680">
        <v>9600.98</v>
      </c>
      <c r="I3375" s="680">
        <v>9619.48</v>
      </c>
    </row>
    <row r="3376" spans="2:9">
      <c r="B3376" s="396">
        <v>103257</v>
      </c>
      <c r="C3376" s="401" t="s">
        <v>7688</v>
      </c>
      <c r="D3376" s="396" t="s">
        <v>23</v>
      </c>
      <c r="E3376" s="405">
        <f t="shared" si="104"/>
        <v>5471.58</v>
      </c>
      <c r="F3376">
        <f t="shared" si="105"/>
        <v>103257</v>
      </c>
      <c r="H3376" s="679">
        <v>5471.58</v>
      </c>
      <c r="I3376" s="679">
        <v>5490.08</v>
      </c>
    </row>
    <row r="3377" spans="2:9">
      <c r="B3377" s="395">
        <v>103258</v>
      </c>
      <c r="C3377" s="406" t="s">
        <v>7689</v>
      </c>
      <c r="D3377" s="395" t="s">
        <v>23</v>
      </c>
      <c r="E3377" s="407">
        <f t="shared" si="104"/>
        <v>10736.37</v>
      </c>
      <c r="F3377">
        <f t="shared" si="105"/>
        <v>103258</v>
      </c>
      <c r="H3377" s="680">
        <v>10736.37</v>
      </c>
      <c r="I3377" s="680">
        <v>10755.36</v>
      </c>
    </row>
    <row r="3378" spans="2:9">
      <c r="B3378" s="396">
        <v>103259</v>
      </c>
      <c r="C3378" s="401" t="s">
        <v>7690</v>
      </c>
      <c r="D3378" s="396" t="s">
        <v>23</v>
      </c>
      <c r="E3378" s="405">
        <f t="shared" si="104"/>
        <v>5769.94</v>
      </c>
      <c r="F3378">
        <f t="shared" si="105"/>
        <v>103259</v>
      </c>
      <c r="H3378" s="679">
        <v>5769.94</v>
      </c>
      <c r="I3378" s="679">
        <v>5788.93</v>
      </c>
    </row>
    <row r="3379" spans="2:9">
      <c r="B3379" s="395">
        <v>103260</v>
      </c>
      <c r="C3379" s="406" t="s">
        <v>7691</v>
      </c>
      <c r="D3379" s="395" t="s">
        <v>23</v>
      </c>
      <c r="E3379" s="407">
        <f t="shared" si="104"/>
        <v>5927.99</v>
      </c>
      <c r="F3379">
        <f t="shared" si="105"/>
        <v>103260</v>
      </c>
      <c r="H3379" s="680">
        <v>5927.99</v>
      </c>
      <c r="I3379" s="680">
        <v>5946.98</v>
      </c>
    </row>
    <row r="3380" spans="2:9">
      <c r="B3380" s="396">
        <v>103261</v>
      </c>
      <c r="C3380" s="401" t="s">
        <v>7692</v>
      </c>
      <c r="D3380" s="396" t="s">
        <v>23</v>
      </c>
      <c r="E3380" s="405">
        <f t="shared" si="104"/>
        <v>12111.88</v>
      </c>
      <c r="F3380">
        <f t="shared" si="105"/>
        <v>103261</v>
      </c>
      <c r="H3380" s="679">
        <v>12111.88</v>
      </c>
      <c r="I3380" s="679">
        <v>12132.74</v>
      </c>
    </row>
    <row r="3381" spans="2:9">
      <c r="B3381" s="395">
        <v>103262</v>
      </c>
      <c r="C3381" s="406" t="s">
        <v>7693</v>
      </c>
      <c r="D3381" s="395" t="s">
        <v>23</v>
      </c>
      <c r="E3381" s="407">
        <f t="shared" si="104"/>
        <v>7586.79</v>
      </c>
      <c r="F3381">
        <f t="shared" si="105"/>
        <v>103262</v>
      </c>
      <c r="H3381" s="680">
        <v>7586.79</v>
      </c>
      <c r="I3381" s="680">
        <v>7607.65</v>
      </c>
    </row>
    <row r="3382" spans="2:9">
      <c r="B3382" s="396">
        <v>103263</v>
      </c>
      <c r="C3382" s="401" t="s">
        <v>7694</v>
      </c>
      <c r="D3382" s="396" t="s">
        <v>23</v>
      </c>
      <c r="E3382" s="405">
        <f t="shared" si="104"/>
        <v>16770.189999999999</v>
      </c>
      <c r="F3382">
        <f t="shared" si="105"/>
        <v>103263</v>
      </c>
      <c r="H3382" s="679">
        <v>16770.189999999999</v>
      </c>
      <c r="I3382" s="679">
        <v>16795.169999999998</v>
      </c>
    </row>
    <row r="3383" spans="2:9">
      <c r="B3383" s="395">
        <v>103264</v>
      </c>
      <c r="C3383" s="406" t="s">
        <v>7695</v>
      </c>
      <c r="D3383" s="395" t="s">
        <v>23</v>
      </c>
      <c r="E3383" s="407">
        <f t="shared" si="104"/>
        <v>9361.32</v>
      </c>
      <c r="F3383">
        <f t="shared" si="105"/>
        <v>103264</v>
      </c>
      <c r="H3383" s="680">
        <v>9361.32</v>
      </c>
      <c r="I3383" s="680">
        <v>9386.2999999999993</v>
      </c>
    </row>
    <row r="3384" spans="2:9" ht="30">
      <c r="B3384" s="396">
        <v>103265</v>
      </c>
      <c r="C3384" s="401" t="s">
        <v>7696</v>
      </c>
      <c r="D3384" s="396" t="s">
        <v>23</v>
      </c>
      <c r="E3384" s="405">
        <f t="shared" si="104"/>
        <v>20238.14</v>
      </c>
      <c r="F3384">
        <f t="shared" si="105"/>
        <v>103265</v>
      </c>
      <c r="H3384" s="679">
        <v>20238.14</v>
      </c>
      <c r="I3384" s="679">
        <v>20263.12</v>
      </c>
    </row>
    <row r="3385" spans="2:9">
      <c r="B3385" s="395">
        <v>103266</v>
      </c>
      <c r="C3385" s="406" t="s">
        <v>7697</v>
      </c>
      <c r="D3385" s="395" t="s">
        <v>23</v>
      </c>
      <c r="E3385" s="407">
        <f t="shared" si="104"/>
        <v>10466.469999999999</v>
      </c>
      <c r="F3385">
        <f t="shared" si="105"/>
        <v>103266</v>
      </c>
      <c r="H3385" s="680">
        <v>10466.469999999999</v>
      </c>
      <c r="I3385" s="680">
        <v>10491.45</v>
      </c>
    </row>
    <row r="3386" spans="2:9">
      <c r="B3386" s="396">
        <v>103267</v>
      </c>
      <c r="C3386" s="401" t="s">
        <v>7698</v>
      </c>
      <c r="D3386" s="396" t="s">
        <v>23</v>
      </c>
      <c r="E3386" s="405">
        <f t="shared" si="104"/>
        <v>5985.99</v>
      </c>
      <c r="F3386">
        <f t="shared" si="105"/>
        <v>103267</v>
      </c>
      <c r="H3386" s="679">
        <v>5985.99</v>
      </c>
      <c r="I3386" s="679">
        <v>6004.97</v>
      </c>
    </row>
    <row r="3387" spans="2:9" ht="30">
      <c r="B3387" s="395">
        <v>103268</v>
      </c>
      <c r="C3387" s="406" t="s">
        <v>7699</v>
      </c>
      <c r="D3387" s="395" t="s">
        <v>23</v>
      </c>
      <c r="E3387" s="407">
        <f t="shared" si="104"/>
        <v>7111.68</v>
      </c>
      <c r="F3387">
        <f t="shared" si="105"/>
        <v>103268</v>
      </c>
      <c r="H3387" s="680">
        <v>7111.68</v>
      </c>
      <c r="I3387" s="680">
        <v>7130.66</v>
      </c>
    </row>
    <row r="3388" spans="2:9">
      <c r="B3388" s="396">
        <v>103269</v>
      </c>
      <c r="C3388" s="401" t="s">
        <v>7700</v>
      </c>
      <c r="D3388" s="396" t="s">
        <v>23</v>
      </c>
      <c r="E3388" s="405">
        <f t="shared" si="104"/>
        <v>7363.15</v>
      </c>
      <c r="F3388">
        <f t="shared" si="105"/>
        <v>103269</v>
      </c>
      <c r="H3388" s="679">
        <v>7363.15</v>
      </c>
      <c r="I3388" s="679">
        <v>7382.89</v>
      </c>
    </row>
    <row r="3389" spans="2:9" ht="30">
      <c r="B3389" s="395">
        <v>103270</v>
      </c>
      <c r="C3389" s="406" t="s">
        <v>7701</v>
      </c>
      <c r="D3389" s="395" t="s">
        <v>23</v>
      </c>
      <c r="E3389" s="407">
        <f t="shared" si="104"/>
        <v>7644.37</v>
      </c>
      <c r="F3389">
        <f t="shared" si="105"/>
        <v>103270</v>
      </c>
      <c r="H3389" s="680">
        <v>7644.37</v>
      </c>
      <c r="I3389" s="680">
        <v>7664.11</v>
      </c>
    </row>
    <row r="3390" spans="2:9">
      <c r="B3390" s="396">
        <v>103271</v>
      </c>
      <c r="C3390" s="401" t="s">
        <v>7702</v>
      </c>
      <c r="D3390" s="396" t="s">
        <v>23</v>
      </c>
      <c r="E3390" s="405">
        <f t="shared" si="104"/>
        <v>10838.07</v>
      </c>
      <c r="F3390">
        <f t="shared" si="105"/>
        <v>103271</v>
      </c>
      <c r="H3390" s="679">
        <v>10838.07</v>
      </c>
      <c r="I3390" s="679">
        <v>10860.79</v>
      </c>
    </row>
    <row r="3391" spans="2:9" ht="30">
      <c r="B3391" s="395">
        <v>103272</v>
      </c>
      <c r="C3391" s="406" t="s">
        <v>7703</v>
      </c>
      <c r="D3391" s="395" t="s">
        <v>23</v>
      </c>
      <c r="E3391" s="407">
        <f t="shared" si="104"/>
        <v>11195.68</v>
      </c>
      <c r="F3391">
        <f t="shared" si="105"/>
        <v>103272</v>
      </c>
      <c r="H3391" s="680">
        <v>11195.68</v>
      </c>
      <c r="I3391" s="680">
        <v>11218.4</v>
      </c>
    </row>
    <row r="3392" spans="2:9">
      <c r="B3392" s="396">
        <v>103273</v>
      </c>
      <c r="C3392" s="401" t="s">
        <v>7704</v>
      </c>
      <c r="D3392" s="396" t="s">
        <v>23</v>
      </c>
      <c r="E3392" s="405">
        <f t="shared" si="104"/>
        <v>11454.52</v>
      </c>
      <c r="F3392">
        <f t="shared" si="105"/>
        <v>103273</v>
      </c>
      <c r="H3392" s="679">
        <v>11454.52</v>
      </c>
      <c r="I3392" s="679">
        <v>11481.57</v>
      </c>
    </row>
    <row r="3393" spans="2:9" ht="30">
      <c r="B3393" s="395">
        <v>103274</v>
      </c>
      <c r="C3393" s="406" t="s">
        <v>7705</v>
      </c>
      <c r="D3393" s="395" t="s">
        <v>23</v>
      </c>
      <c r="E3393" s="407">
        <f t="shared" si="104"/>
        <v>13136.41</v>
      </c>
      <c r="F3393">
        <f t="shared" si="105"/>
        <v>103274</v>
      </c>
      <c r="H3393" s="680">
        <v>13136.41</v>
      </c>
      <c r="I3393" s="680">
        <v>13163.46</v>
      </c>
    </row>
    <row r="3394" spans="2:9">
      <c r="B3394" s="396">
        <v>103275</v>
      </c>
      <c r="C3394" s="401" t="s">
        <v>7706</v>
      </c>
      <c r="D3394" s="396" t="s">
        <v>23</v>
      </c>
      <c r="E3394" s="405">
        <f t="shared" si="104"/>
        <v>13067.75</v>
      </c>
      <c r="F3394">
        <f t="shared" si="105"/>
        <v>103275</v>
      </c>
      <c r="H3394" s="679">
        <v>13067.75</v>
      </c>
      <c r="I3394" s="679">
        <v>13094.8</v>
      </c>
    </row>
    <row r="3395" spans="2:9" ht="30">
      <c r="B3395" s="395">
        <v>103276</v>
      </c>
      <c r="C3395" s="406" t="s">
        <v>7707</v>
      </c>
      <c r="D3395" s="395" t="s">
        <v>23</v>
      </c>
      <c r="E3395" s="407">
        <f t="shared" ref="E3395:E3458" si="106">IF($K$2=$H$1,H3395,I3395)</f>
        <v>13718.25</v>
      </c>
      <c r="F3395">
        <f t="shared" ref="F3395:F3458" si="107">IF(LEN($B3395)=7,CONCATENATE(MID($B3395,1,6),"00",RIGHT($B3395,1)),IF(LEN($B3395)=8,CONCATENATE(MID($B3395,1,6),"0",RIGHT($B3395,2)),$B3395))</f>
        <v>103276</v>
      </c>
      <c r="H3395" s="680">
        <v>13718.25</v>
      </c>
      <c r="I3395" s="680">
        <v>13745.3</v>
      </c>
    </row>
    <row r="3396" spans="2:9">
      <c r="B3396" s="396">
        <v>103277</v>
      </c>
      <c r="C3396" s="401" t="s">
        <v>7708</v>
      </c>
      <c r="D3396" s="396" t="s">
        <v>23</v>
      </c>
      <c r="E3396" s="405">
        <f t="shared" si="106"/>
        <v>25362.15</v>
      </c>
      <c r="F3396">
        <f t="shared" si="107"/>
        <v>103277</v>
      </c>
      <c r="H3396" s="679">
        <v>25362.15</v>
      </c>
      <c r="I3396" s="679">
        <v>25393.97</v>
      </c>
    </row>
    <row r="3397" spans="2:9">
      <c r="B3397" s="395">
        <v>103278</v>
      </c>
      <c r="C3397" s="406" t="s">
        <v>7709</v>
      </c>
      <c r="D3397" s="395" t="s">
        <v>23</v>
      </c>
      <c r="E3397" s="407">
        <f t="shared" si="106"/>
        <v>32506.57</v>
      </c>
      <c r="F3397">
        <f t="shared" si="107"/>
        <v>103278</v>
      </c>
      <c r="H3397" s="680">
        <v>32506.57</v>
      </c>
      <c r="I3397" s="680">
        <v>32539.37</v>
      </c>
    </row>
    <row r="3398" spans="2:9">
      <c r="B3398" s="396">
        <v>103288</v>
      </c>
      <c r="C3398" s="401" t="s">
        <v>6282</v>
      </c>
      <c r="D3398" s="396" t="s">
        <v>23</v>
      </c>
      <c r="E3398" s="405">
        <f t="shared" si="106"/>
        <v>14.68</v>
      </c>
      <c r="F3398">
        <f t="shared" si="107"/>
        <v>103288</v>
      </c>
      <c r="H3398" s="679">
        <v>14.68</v>
      </c>
      <c r="I3398" s="679">
        <v>16.28</v>
      </c>
    </row>
    <row r="3399" spans="2:9" ht="30">
      <c r="B3399" s="395">
        <v>103289</v>
      </c>
      <c r="C3399" s="406" t="s">
        <v>6283</v>
      </c>
      <c r="D3399" s="395" t="s">
        <v>22</v>
      </c>
      <c r="E3399" s="407">
        <f t="shared" si="106"/>
        <v>33.840000000000003</v>
      </c>
      <c r="F3399">
        <f t="shared" si="107"/>
        <v>103289</v>
      </c>
      <c r="H3399" s="680">
        <v>33.840000000000003</v>
      </c>
      <c r="I3399" s="680">
        <v>34.32</v>
      </c>
    </row>
    <row r="3400" spans="2:9" ht="30">
      <c r="B3400" s="396">
        <v>103290</v>
      </c>
      <c r="C3400" s="401" t="s">
        <v>6284</v>
      </c>
      <c r="D3400" s="396" t="s">
        <v>22</v>
      </c>
      <c r="E3400" s="405">
        <f t="shared" si="106"/>
        <v>57.35</v>
      </c>
      <c r="F3400">
        <f t="shared" si="107"/>
        <v>103290</v>
      </c>
      <c r="H3400" s="679">
        <v>57.35</v>
      </c>
      <c r="I3400" s="679">
        <v>57.85</v>
      </c>
    </row>
    <row r="3401" spans="2:9" ht="30">
      <c r="B3401" s="395">
        <v>103291</v>
      </c>
      <c r="C3401" s="406" t="s">
        <v>6285</v>
      </c>
      <c r="D3401" s="395" t="s">
        <v>22</v>
      </c>
      <c r="E3401" s="407">
        <f t="shared" si="106"/>
        <v>70.19</v>
      </c>
      <c r="F3401">
        <f t="shared" si="107"/>
        <v>103291</v>
      </c>
      <c r="H3401" s="680">
        <v>70.19</v>
      </c>
      <c r="I3401" s="680">
        <v>70.73</v>
      </c>
    </row>
    <row r="3402" spans="2:9" ht="30">
      <c r="B3402" s="396">
        <v>103292</v>
      </c>
      <c r="C3402" s="401" t="s">
        <v>6286</v>
      </c>
      <c r="D3402" s="396" t="s">
        <v>22</v>
      </c>
      <c r="E3402" s="405">
        <f t="shared" si="106"/>
        <v>84.68</v>
      </c>
      <c r="F3402">
        <f t="shared" si="107"/>
        <v>103292</v>
      </c>
      <c r="H3402" s="679">
        <v>84.68</v>
      </c>
      <c r="I3402" s="679">
        <v>85.22</v>
      </c>
    </row>
    <row r="3403" spans="2:9" ht="30">
      <c r="B3403" s="395">
        <v>101936</v>
      </c>
      <c r="C3403" s="406" t="s">
        <v>4892</v>
      </c>
      <c r="D3403" s="395" t="s">
        <v>23</v>
      </c>
      <c r="E3403" s="407">
        <f t="shared" si="106"/>
        <v>6388.58</v>
      </c>
      <c r="F3403">
        <f t="shared" si="107"/>
        <v>101936</v>
      </c>
      <c r="H3403" s="680">
        <v>6388.58</v>
      </c>
      <c r="I3403" s="680">
        <v>6728.29</v>
      </c>
    </row>
    <row r="3404" spans="2:9" ht="30">
      <c r="B3404" s="396">
        <v>101937</v>
      </c>
      <c r="C3404" s="401" t="s">
        <v>4893</v>
      </c>
      <c r="D3404" s="396" t="s">
        <v>23</v>
      </c>
      <c r="E3404" s="405">
        <f t="shared" si="106"/>
        <v>11599.96</v>
      </c>
      <c r="F3404">
        <f t="shared" si="107"/>
        <v>101937</v>
      </c>
      <c r="H3404" s="679">
        <v>11599.96</v>
      </c>
      <c r="I3404" s="679">
        <v>12334.62</v>
      </c>
    </row>
    <row r="3405" spans="2:9">
      <c r="B3405" s="395">
        <v>98294</v>
      </c>
      <c r="C3405" s="406" t="s">
        <v>3638</v>
      </c>
      <c r="D3405" s="395" t="s">
        <v>22</v>
      </c>
      <c r="E3405" s="407">
        <f t="shared" si="106"/>
        <v>5.52</v>
      </c>
      <c r="F3405">
        <f t="shared" si="107"/>
        <v>98294</v>
      </c>
      <c r="H3405" s="680">
        <v>5.52</v>
      </c>
      <c r="I3405" s="680">
        <v>5.6</v>
      </c>
    </row>
    <row r="3406" spans="2:9">
      <c r="B3406" s="396">
        <v>98295</v>
      </c>
      <c r="C3406" s="401" t="s">
        <v>3639</v>
      </c>
      <c r="D3406" s="396" t="s">
        <v>22</v>
      </c>
      <c r="E3406" s="405">
        <f t="shared" si="106"/>
        <v>4.9400000000000004</v>
      </c>
      <c r="F3406">
        <f t="shared" si="107"/>
        <v>98295</v>
      </c>
      <c r="H3406" s="679">
        <v>4.9400000000000004</v>
      </c>
      <c r="I3406" s="679">
        <v>4.95</v>
      </c>
    </row>
    <row r="3407" spans="2:9">
      <c r="B3407" s="395">
        <v>98296</v>
      </c>
      <c r="C3407" s="406" t="s">
        <v>3640</v>
      </c>
      <c r="D3407" s="395" t="s">
        <v>22</v>
      </c>
      <c r="E3407" s="407">
        <f t="shared" si="106"/>
        <v>8.0399999999999991</v>
      </c>
      <c r="F3407">
        <f t="shared" si="107"/>
        <v>98296</v>
      </c>
      <c r="H3407" s="680">
        <v>8.0399999999999991</v>
      </c>
      <c r="I3407" s="680">
        <v>8.18</v>
      </c>
    </row>
    <row r="3408" spans="2:9">
      <c r="B3408" s="396">
        <v>98297</v>
      </c>
      <c r="C3408" s="401" t="s">
        <v>3641</v>
      </c>
      <c r="D3408" s="396" t="s">
        <v>22</v>
      </c>
      <c r="E3408" s="405">
        <f t="shared" si="106"/>
        <v>7.12</v>
      </c>
      <c r="F3408">
        <f t="shared" si="107"/>
        <v>98297</v>
      </c>
      <c r="H3408" s="679">
        <v>7.12</v>
      </c>
      <c r="I3408" s="679">
        <v>7.14</v>
      </c>
    </row>
    <row r="3409" spans="2:9">
      <c r="B3409" s="395">
        <v>98298</v>
      </c>
      <c r="C3409" s="406" t="s">
        <v>7710</v>
      </c>
      <c r="D3409" s="395" t="s">
        <v>22</v>
      </c>
      <c r="E3409" s="407">
        <f t="shared" si="106"/>
        <v>19.66</v>
      </c>
      <c r="F3409">
        <f t="shared" si="107"/>
        <v>98298</v>
      </c>
      <c r="H3409" s="680">
        <v>19.66</v>
      </c>
      <c r="I3409" s="680">
        <v>19.809999999999999</v>
      </c>
    </row>
    <row r="3410" spans="2:9">
      <c r="B3410" s="396">
        <v>98299</v>
      </c>
      <c r="C3410" s="401" t="s">
        <v>7711</v>
      </c>
      <c r="D3410" s="396" t="s">
        <v>22</v>
      </c>
      <c r="E3410" s="405">
        <f t="shared" si="106"/>
        <v>18.510000000000002</v>
      </c>
      <c r="F3410">
        <f t="shared" si="107"/>
        <v>98299</v>
      </c>
      <c r="H3410" s="679">
        <v>18.510000000000002</v>
      </c>
      <c r="I3410" s="679">
        <v>18.53</v>
      </c>
    </row>
    <row r="3411" spans="2:9">
      <c r="B3411" s="395">
        <v>98300</v>
      </c>
      <c r="C3411" s="406" t="s">
        <v>7712</v>
      </c>
      <c r="D3411" s="395" t="s">
        <v>22</v>
      </c>
      <c r="E3411" s="407">
        <f t="shared" si="106"/>
        <v>4.74</v>
      </c>
      <c r="F3411">
        <f t="shared" si="107"/>
        <v>98300</v>
      </c>
      <c r="H3411" s="680">
        <v>4.74</v>
      </c>
      <c r="I3411" s="680">
        <v>5.0999999999999996</v>
      </c>
    </row>
    <row r="3412" spans="2:9">
      <c r="B3412" s="396">
        <v>98301</v>
      </c>
      <c r="C3412" s="401" t="s">
        <v>3642</v>
      </c>
      <c r="D3412" s="396" t="s">
        <v>23</v>
      </c>
      <c r="E3412" s="405">
        <f t="shared" si="106"/>
        <v>544.21</v>
      </c>
      <c r="F3412">
        <f t="shared" si="107"/>
        <v>98301</v>
      </c>
      <c r="H3412" s="679">
        <v>544.21</v>
      </c>
      <c r="I3412" s="679">
        <v>573.29</v>
      </c>
    </row>
    <row r="3413" spans="2:9">
      <c r="B3413" s="395">
        <v>98302</v>
      </c>
      <c r="C3413" s="406" t="s">
        <v>3643</v>
      </c>
      <c r="D3413" s="395" t="s">
        <v>23</v>
      </c>
      <c r="E3413" s="407">
        <f t="shared" si="106"/>
        <v>1025.8499999999999</v>
      </c>
      <c r="F3413">
        <f t="shared" si="107"/>
        <v>98302</v>
      </c>
      <c r="H3413" s="680">
        <v>1025.8499999999999</v>
      </c>
      <c r="I3413" s="680">
        <v>1054.93</v>
      </c>
    </row>
    <row r="3414" spans="2:9">
      <c r="B3414" s="396">
        <v>98304</v>
      </c>
      <c r="C3414" s="401" t="s">
        <v>3644</v>
      </c>
      <c r="D3414" s="396" t="s">
        <v>23</v>
      </c>
      <c r="E3414" s="405">
        <f t="shared" si="106"/>
        <v>3220.32</v>
      </c>
      <c r="F3414">
        <f t="shared" si="107"/>
        <v>98304</v>
      </c>
      <c r="H3414" s="679">
        <v>3220.32</v>
      </c>
      <c r="I3414" s="679">
        <v>3278.12</v>
      </c>
    </row>
    <row r="3415" spans="2:9">
      <c r="B3415" s="395">
        <v>98305</v>
      </c>
      <c r="C3415" s="406" t="s">
        <v>7713</v>
      </c>
      <c r="D3415" s="395" t="s">
        <v>23</v>
      </c>
      <c r="E3415" s="407">
        <f t="shared" si="106"/>
        <v>2378.2600000000002</v>
      </c>
      <c r="F3415">
        <f t="shared" si="107"/>
        <v>98305</v>
      </c>
      <c r="H3415" s="680">
        <v>2378.2600000000002</v>
      </c>
      <c r="I3415" s="680">
        <v>2383.08</v>
      </c>
    </row>
    <row r="3416" spans="2:9">
      <c r="B3416" s="396">
        <v>98306</v>
      </c>
      <c r="C3416" s="401" t="s">
        <v>7714</v>
      </c>
      <c r="D3416" s="396" t="s">
        <v>23</v>
      </c>
      <c r="E3416" s="405">
        <f t="shared" si="106"/>
        <v>53.69</v>
      </c>
      <c r="F3416">
        <f t="shared" si="107"/>
        <v>98306</v>
      </c>
      <c r="H3416" s="679">
        <v>53.69</v>
      </c>
      <c r="I3416" s="679">
        <v>56.88</v>
      </c>
    </row>
    <row r="3417" spans="2:9">
      <c r="B3417" s="395">
        <v>98307</v>
      </c>
      <c r="C3417" s="406" t="s">
        <v>3645</v>
      </c>
      <c r="D3417" s="395" t="s">
        <v>23</v>
      </c>
      <c r="E3417" s="407">
        <f t="shared" si="106"/>
        <v>41.56</v>
      </c>
      <c r="F3417">
        <f t="shared" si="107"/>
        <v>98307</v>
      </c>
      <c r="H3417" s="680">
        <v>41.56</v>
      </c>
      <c r="I3417" s="680">
        <v>42.53</v>
      </c>
    </row>
    <row r="3418" spans="2:9">
      <c r="B3418" s="396">
        <v>98308</v>
      </c>
      <c r="C3418" s="401" t="s">
        <v>3646</v>
      </c>
      <c r="D3418" s="396" t="s">
        <v>23</v>
      </c>
      <c r="E3418" s="405">
        <f t="shared" si="106"/>
        <v>27.25</v>
      </c>
      <c r="F3418">
        <f t="shared" si="107"/>
        <v>98308</v>
      </c>
      <c r="H3418" s="679">
        <v>27.25</v>
      </c>
      <c r="I3418" s="679">
        <v>28.22</v>
      </c>
    </row>
    <row r="3419" spans="2:9">
      <c r="B3419" s="395">
        <v>98593</v>
      </c>
      <c r="C3419" s="406" t="s">
        <v>3647</v>
      </c>
      <c r="D3419" s="395" t="s">
        <v>23</v>
      </c>
      <c r="E3419" s="407">
        <f t="shared" si="106"/>
        <v>2238.25</v>
      </c>
      <c r="F3419">
        <f t="shared" si="107"/>
        <v>98593</v>
      </c>
      <c r="H3419" s="680">
        <v>2238.25</v>
      </c>
      <c r="I3419" s="680">
        <v>2296.0500000000002</v>
      </c>
    </row>
    <row r="3420" spans="2:9">
      <c r="B3420" s="396">
        <v>100553</v>
      </c>
      <c r="C3420" s="401" t="s">
        <v>7715</v>
      </c>
      <c r="D3420" s="396" t="s">
        <v>22</v>
      </c>
      <c r="E3420" s="405">
        <f t="shared" si="106"/>
        <v>21</v>
      </c>
      <c r="F3420">
        <f t="shared" si="107"/>
        <v>100553</v>
      </c>
      <c r="H3420" s="679">
        <v>21</v>
      </c>
      <c r="I3420" s="679">
        <v>21.36</v>
      </c>
    </row>
    <row r="3421" spans="2:9">
      <c r="B3421" s="395">
        <v>100554</v>
      </c>
      <c r="C3421" s="406" t="s">
        <v>7716</v>
      </c>
      <c r="D3421" s="395" t="s">
        <v>22</v>
      </c>
      <c r="E3421" s="407">
        <f t="shared" si="106"/>
        <v>4.5199999999999996</v>
      </c>
      <c r="F3421">
        <f t="shared" si="107"/>
        <v>100554</v>
      </c>
      <c r="H3421" s="680">
        <v>4.5199999999999996</v>
      </c>
      <c r="I3421" s="680">
        <v>4.8600000000000003</v>
      </c>
    </row>
    <row r="3422" spans="2:9">
      <c r="B3422" s="396">
        <v>100555</v>
      </c>
      <c r="C3422" s="401" t="s">
        <v>7717</v>
      </c>
      <c r="D3422" s="396" t="s">
        <v>23</v>
      </c>
      <c r="E3422" s="405">
        <f t="shared" si="106"/>
        <v>1190.4100000000001</v>
      </c>
      <c r="F3422">
        <f t="shared" si="107"/>
        <v>100555</v>
      </c>
      <c r="H3422" s="679">
        <v>1190.4100000000001</v>
      </c>
      <c r="I3422" s="679">
        <v>1195.23</v>
      </c>
    </row>
    <row r="3423" spans="2:9">
      <c r="B3423" s="395">
        <v>89355</v>
      </c>
      <c r="C3423" s="406" t="s">
        <v>7718</v>
      </c>
      <c r="D3423" s="395" t="s">
        <v>22</v>
      </c>
      <c r="E3423" s="407">
        <f t="shared" si="106"/>
        <v>18</v>
      </c>
      <c r="F3423">
        <f t="shared" si="107"/>
        <v>89355</v>
      </c>
      <c r="H3423" s="680">
        <v>18</v>
      </c>
      <c r="I3423" s="680">
        <v>19.510000000000002</v>
      </c>
    </row>
    <row r="3424" spans="2:9">
      <c r="B3424" s="396">
        <v>89356</v>
      </c>
      <c r="C3424" s="401" t="s">
        <v>7719</v>
      </c>
      <c r="D3424" s="396" t="s">
        <v>22</v>
      </c>
      <c r="E3424" s="405">
        <f t="shared" si="106"/>
        <v>20.73</v>
      </c>
      <c r="F3424">
        <f t="shared" si="107"/>
        <v>89356</v>
      </c>
      <c r="H3424" s="679">
        <v>20.73</v>
      </c>
      <c r="I3424" s="679">
        <v>22.47</v>
      </c>
    </row>
    <row r="3425" spans="2:9">
      <c r="B3425" s="395">
        <v>89357</v>
      </c>
      <c r="C3425" s="406" t="s">
        <v>7720</v>
      </c>
      <c r="D3425" s="395" t="s">
        <v>22</v>
      </c>
      <c r="E3425" s="407">
        <f t="shared" si="106"/>
        <v>30.02</v>
      </c>
      <c r="F3425">
        <f t="shared" si="107"/>
        <v>89357</v>
      </c>
      <c r="H3425" s="680">
        <v>30.02</v>
      </c>
      <c r="I3425" s="680">
        <v>32.11</v>
      </c>
    </row>
    <row r="3426" spans="2:9">
      <c r="B3426" s="396">
        <v>89401</v>
      </c>
      <c r="C3426" s="401" t="s">
        <v>7721</v>
      </c>
      <c r="D3426" s="396" t="s">
        <v>22</v>
      </c>
      <c r="E3426" s="405">
        <f t="shared" si="106"/>
        <v>10.33</v>
      </c>
      <c r="F3426">
        <f t="shared" si="107"/>
        <v>89401</v>
      </c>
      <c r="H3426" s="679">
        <v>10.33</v>
      </c>
      <c r="I3426" s="679">
        <v>10.95</v>
      </c>
    </row>
    <row r="3427" spans="2:9">
      <c r="B3427" s="395">
        <v>89402</v>
      </c>
      <c r="C3427" s="406" t="s">
        <v>7722</v>
      </c>
      <c r="D3427" s="395" t="s">
        <v>22</v>
      </c>
      <c r="E3427" s="407">
        <f t="shared" si="106"/>
        <v>11.83</v>
      </c>
      <c r="F3427">
        <f t="shared" si="107"/>
        <v>89402</v>
      </c>
      <c r="H3427" s="680">
        <v>11.83</v>
      </c>
      <c r="I3427" s="680">
        <v>12.56</v>
      </c>
    </row>
    <row r="3428" spans="2:9">
      <c r="B3428" s="396">
        <v>89403</v>
      </c>
      <c r="C3428" s="401" t="s">
        <v>7723</v>
      </c>
      <c r="D3428" s="396" t="s">
        <v>22</v>
      </c>
      <c r="E3428" s="405">
        <f t="shared" si="106"/>
        <v>19.41</v>
      </c>
      <c r="F3428">
        <f t="shared" si="107"/>
        <v>89403</v>
      </c>
      <c r="H3428" s="679">
        <v>19.41</v>
      </c>
      <c r="I3428" s="679">
        <v>20.29</v>
      </c>
    </row>
    <row r="3429" spans="2:9">
      <c r="B3429" s="395">
        <v>89446</v>
      </c>
      <c r="C3429" s="406" t="s">
        <v>7724</v>
      </c>
      <c r="D3429" s="395" t="s">
        <v>22</v>
      </c>
      <c r="E3429" s="407">
        <f t="shared" si="106"/>
        <v>6.25</v>
      </c>
      <c r="F3429">
        <f t="shared" si="107"/>
        <v>89446</v>
      </c>
      <c r="H3429" s="680">
        <v>6.25</v>
      </c>
      <c r="I3429" s="680">
        <v>6.34</v>
      </c>
    </row>
    <row r="3430" spans="2:9">
      <c r="B3430" s="396">
        <v>89447</v>
      </c>
      <c r="C3430" s="401" t="s">
        <v>7725</v>
      </c>
      <c r="D3430" s="396" t="s">
        <v>22</v>
      </c>
      <c r="E3430" s="405">
        <f t="shared" si="106"/>
        <v>12.76</v>
      </c>
      <c r="F3430">
        <f t="shared" si="107"/>
        <v>89447</v>
      </c>
      <c r="H3430" s="679">
        <v>12.76</v>
      </c>
      <c r="I3430" s="679">
        <v>12.87</v>
      </c>
    </row>
    <row r="3431" spans="2:9">
      <c r="B3431" s="395">
        <v>89448</v>
      </c>
      <c r="C3431" s="406" t="s">
        <v>7726</v>
      </c>
      <c r="D3431" s="395" t="s">
        <v>22</v>
      </c>
      <c r="E3431" s="407">
        <f t="shared" si="106"/>
        <v>19.71</v>
      </c>
      <c r="F3431">
        <f t="shared" si="107"/>
        <v>89448</v>
      </c>
      <c r="H3431" s="680">
        <v>19.71</v>
      </c>
      <c r="I3431" s="680">
        <v>19.84</v>
      </c>
    </row>
    <row r="3432" spans="2:9">
      <c r="B3432" s="396">
        <v>89449</v>
      </c>
      <c r="C3432" s="401" t="s">
        <v>7727</v>
      </c>
      <c r="D3432" s="396" t="s">
        <v>22</v>
      </c>
      <c r="E3432" s="405">
        <f t="shared" si="106"/>
        <v>21.74</v>
      </c>
      <c r="F3432">
        <f t="shared" si="107"/>
        <v>89449</v>
      </c>
      <c r="H3432" s="679">
        <v>21.74</v>
      </c>
      <c r="I3432" s="679">
        <v>21.9</v>
      </c>
    </row>
    <row r="3433" spans="2:9">
      <c r="B3433" s="395">
        <v>89450</v>
      </c>
      <c r="C3433" s="406" t="s">
        <v>7728</v>
      </c>
      <c r="D3433" s="395" t="s">
        <v>22</v>
      </c>
      <c r="E3433" s="407">
        <f t="shared" si="106"/>
        <v>35.14</v>
      </c>
      <c r="F3433">
        <f t="shared" si="107"/>
        <v>89450</v>
      </c>
      <c r="H3433" s="680">
        <v>35.14</v>
      </c>
      <c r="I3433" s="680">
        <v>35.32</v>
      </c>
    </row>
    <row r="3434" spans="2:9">
      <c r="B3434" s="396">
        <v>89451</v>
      </c>
      <c r="C3434" s="401" t="s">
        <v>7729</v>
      </c>
      <c r="D3434" s="396" t="s">
        <v>22</v>
      </c>
      <c r="E3434" s="405">
        <f t="shared" si="106"/>
        <v>57.59</v>
      </c>
      <c r="F3434">
        <f t="shared" si="107"/>
        <v>89451</v>
      </c>
      <c r="H3434" s="679">
        <v>57.59</v>
      </c>
      <c r="I3434" s="679">
        <v>57.81</v>
      </c>
    </row>
    <row r="3435" spans="2:9">
      <c r="B3435" s="395">
        <v>89452</v>
      </c>
      <c r="C3435" s="406" t="s">
        <v>7730</v>
      </c>
      <c r="D3435" s="395" t="s">
        <v>22</v>
      </c>
      <c r="E3435" s="407">
        <f t="shared" si="106"/>
        <v>79.56</v>
      </c>
      <c r="F3435">
        <f t="shared" si="107"/>
        <v>89452</v>
      </c>
      <c r="H3435" s="680">
        <v>79.56</v>
      </c>
      <c r="I3435" s="680">
        <v>79.819999999999993</v>
      </c>
    </row>
    <row r="3436" spans="2:9">
      <c r="B3436" s="396">
        <v>89508</v>
      </c>
      <c r="C3436" s="401" t="s">
        <v>7731</v>
      </c>
      <c r="D3436" s="396" t="s">
        <v>22</v>
      </c>
      <c r="E3436" s="405">
        <f t="shared" si="106"/>
        <v>17.46</v>
      </c>
      <c r="F3436">
        <f t="shared" si="107"/>
        <v>89508</v>
      </c>
      <c r="H3436" s="679">
        <v>17.46</v>
      </c>
      <c r="I3436" s="679">
        <v>18.13</v>
      </c>
    </row>
    <row r="3437" spans="2:9">
      <c r="B3437" s="395">
        <v>89509</v>
      </c>
      <c r="C3437" s="406" t="s">
        <v>7732</v>
      </c>
      <c r="D3437" s="395" t="s">
        <v>22</v>
      </c>
      <c r="E3437" s="407">
        <f t="shared" si="106"/>
        <v>23.81</v>
      </c>
      <c r="F3437">
        <f t="shared" si="107"/>
        <v>89509</v>
      </c>
      <c r="H3437" s="680">
        <v>23.81</v>
      </c>
      <c r="I3437" s="680">
        <v>24.69</v>
      </c>
    </row>
    <row r="3438" spans="2:9">
      <c r="B3438" s="396">
        <v>89511</v>
      </c>
      <c r="C3438" s="401" t="s">
        <v>7733</v>
      </c>
      <c r="D3438" s="396" t="s">
        <v>22</v>
      </c>
      <c r="E3438" s="405">
        <f t="shared" si="106"/>
        <v>41.23</v>
      </c>
      <c r="F3438">
        <f t="shared" si="107"/>
        <v>89511</v>
      </c>
      <c r="H3438" s="679">
        <v>41.23</v>
      </c>
      <c r="I3438" s="679">
        <v>42.58</v>
      </c>
    </row>
    <row r="3439" spans="2:9">
      <c r="B3439" s="395">
        <v>89512</v>
      </c>
      <c r="C3439" s="406" t="s">
        <v>7734</v>
      </c>
      <c r="D3439" s="395" t="s">
        <v>22</v>
      </c>
      <c r="E3439" s="407">
        <f t="shared" si="106"/>
        <v>51.67</v>
      </c>
      <c r="F3439">
        <f t="shared" si="107"/>
        <v>89512</v>
      </c>
      <c r="H3439" s="680">
        <v>51.67</v>
      </c>
      <c r="I3439" s="680">
        <v>53.52</v>
      </c>
    </row>
    <row r="3440" spans="2:9" ht="30">
      <c r="B3440" s="396">
        <v>89576</v>
      </c>
      <c r="C3440" s="401" t="s">
        <v>7735</v>
      </c>
      <c r="D3440" s="396" t="s">
        <v>22</v>
      </c>
      <c r="E3440" s="405">
        <f t="shared" si="106"/>
        <v>31.55</v>
      </c>
      <c r="F3440">
        <f t="shared" si="107"/>
        <v>89576</v>
      </c>
      <c r="H3440" s="679">
        <v>31.55</v>
      </c>
      <c r="I3440" s="679">
        <v>31.76</v>
      </c>
    </row>
    <row r="3441" spans="2:9" ht="30">
      <c r="B3441" s="395">
        <v>89578</v>
      </c>
      <c r="C3441" s="406" t="s">
        <v>7736</v>
      </c>
      <c r="D3441" s="395" t="s">
        <v>22</v>
      </c>
      <c r="E3441" s="407">
        <f t="shared" si="106"/>
        <v>38.81</v>
      </c>
      <c r="F3441">
        <f t="shared" si="107"/>
        <v>89578</v>
      </c>
      <c r="H3441" s="680">
        <v>38.81</v>
      </c>
      <c r="I3441" s="680">
        <v>39.15</v>
      </c>
    </row>
    <row r="3442" spans="2:9" ht="30">
      <c r="B3442" s="396">
        <v>89580</v>
      </c>
      <c r="C3442" s="401" t="s">
        <v>7737</v>
      </c>
      <c r="D3442" s="396" t="s">
        <v>22</v>
      </c>
      <c r="E3442" s="405">
        <f t="shared" si="106"/>
        <v>80.8</v>
      </c>
      <c r="F3442">
        <f t="shared" si="107"/>
        <v>89580</v>
      </c>
      <c r="H3442" s="679">
        <v>80.8</v>
      </c>
      <c r="I3442" s="679">
        <v>81.41</v>
      </c>
    </row>
    <row r="3443" spans="2:9">
      <c r="B3443" s="395">
        <v>89633</v>
      </c>
      <c r="C3443" s="406" t="s">
        <v>7738</v>
      </c>
      <c r="D3443" s="395" t="s">
        <v>22</v>
      </c>
      <c r="E3443" s="407">
        <f t="shared" si="106"/>
        <v>22.74</v>
      </c>
      <c r="F3443">
        <f t="shared" si="107"/>
        <v>89633</v>
      </c>
      <c r="H3443" s="680">
        <v>22.74</v>
      </c>
      <c r="I3443" s="680">
        <v>24.01</v>
      </c>
    </row>
    <row r="3444" spans="2:9">
      <c r="B3444" s="396">
        <v>89634</v>
      </c>
      <c r="C3444" s="401" t="s">
        <v>7739</v>
      </c>
      <c r="D3444" s="396" t="s">
        <v>22</v>
      </c>
      <c r="E3444" s="405">
        <f t="shared" si="106"/>
        <v>32.71</v>
      </c>
      <c r="F3444">
        <f t="shared" si="107"/>
        <v>89634</v>
      </c>
      <c r="H3444" s="679">
        <v>32.71</v>
      </c>
      <c r="I3444" s="679">
        <v>34.31</v>
      </c>
    </row>
    <row r="3445" spans="2:9">
      <c r="B3445" s="395">
        <v>89635</v>
      </c>
      <c r="C3445" s="406" t="s">
        <v>7740</v>
      </c>
      <c r="D3445" s="395" t="s">
        <v>22</v>
      </c>
      <c r="E3445" s="407">
        <f t="shared" si="106"/>
        <v>48.86</v>
      </c>
      <c r="F3445">
        <f t="shared" si="107"/>
        <v>89635</v>
      </c>
      <c r="H3445" s="680">
        <v>48.86</v>
      </c>
      <c r="I3445" s="680">
        <v>50.76</v>
      </c>
    </row>
    <row r="3446" spans="2:9">
      <c r="B3446" s="396">
        <v>89636</v>
      </c>
      <c r="C3446" s="401" t="s">
        <v>7741</v>
      </c>
      <c r="D3446" s="396" t="s">
        <v>22</v>
      </c>
      <c r="E3446" s="405">
        <f t="shared" si="106"/>
        <v>61.73</v>
      </c>
      <c r="F3446">
        <f t="shared" si="107"/>
        <v>89636</v>
      </c>
      <c r="H3446" s="679">
        <v>61.73</v>
      </c>
      <c r="I3446" s="679">
        <v>63.96</v>
      </c>
    </row>
    <row r="3447" spans="2:9" ht="30">
      <c r="B3447" s="395">
        <v>89711</v>
      </c>
      <c r="C3447" s="406" t="s">
        <v>7742</v>
      </c>
      <c r="D3447" s="395" t="s">
        <v>22</v>
      </c>
      <c r="E3447" s="407">
        <f t="shared" si="106"/>
        <v>20.04</v>
      </c>
      <c r="F3447">
        <f t="shared" si="107"/>
        <v>89711</v>
      </c>
      <c r="H3447" s="680">
        <v>20.04</v>
      </c>
      <c r="I3447" s="680">
        <v>21.39</v>
      </c>
    </row>
    <row r="3448" spans="2:9" ht="30">
      <c r="B3448" s="396">
        <v>89712</v>
      </c>
      <c r="C3448" s="401" t="s">
        <v>7743</v>
      </c>
      <c r="D3448" s="396" t="s">
        <v>22</v>
      </c>
      <c r="E3448" s="405">
        <f t="shared" si="106"/>
        <v>26.55</v>
      </c>
      <c r="F3448">
        <f t="shared" si="107"/>
        <v>89712</v>
      </c>
      <c r="H3448" s="679">
        <v>26.55</v>
      </c>
      <c r="I3448" s="679">
        <v>28.01</v>
      </c>
    </row>
    <row r="3449" spans="2:9" ht="30">
      <c r="B3449" s="395">
        <v>89713</v>
      </c>
      <c r="C3449" s="406" t="s">
        <v>7744</v>
      </c>
      <c r="D3449" s="395" t="s">
        <v>22</v>
      </c>
      <c r="E3449" s="407">
        <f t="shared" si="106"/>
        <v>33.4</v>
      </c>
      <c r="F3449">
        <f t="shared" si="107"/>
        <v>89713</v>
      </c>
      <c r="H3449" s="680">
        <v>33.4</v>
      </c>
      <c r="I3449" s="680">
        <v>35.159999999999997</v>
      </c>
    </row>
    <row r="3450" spans="2:9" ht="30">
      <c r="B3450" s="396">
        <v>89714</v>
      </c>
      <c r="C3450" s="401" t="s">
        <v>7745</v>
      </c>
      <c r="D3450" s="396" t="s">
        <v>22</v>
      </c>
      <c r="E3450" s="405">
        <f t="shared" si="106"/>
        <v>36.94</v>
      </c>
      <c r="F3450">
        <f t="shared" si="107"/>
        <v>89714</v>
      </c>
      <c r="H3450" s="679">
        <v>36.94</v>
      </c>
      <c r="I3450" s="679">
        <v>38.979999999999997</v>
      </c>
    </row>
    <row r="3451" spans="2:9">
      <c r="B3451" s="395">
        <v>89716</v>
      </c>
      <c r="C3451" s="406" t="s">
        <v>7746</v>
      </c>
      <c r="D3451" s="395" t="s">
        <v>22</v>
      </c>
      <c r="E3451" s="407">
        <f t="shared" si="106"/>
        <v>24.68</v>
      </c>
      <c r="F3451">
        <f t="shared" si="107"/>
        <v>89716</v>
      </c>
      <c r="H3451" s="680">
        <v>24.68</v>
      </c>
      <c r="I3451" s="680">
        <v>25.34</v>
      </c>
    </row>
    <row r="3452" spans="2:9">
      <c r="B3452" s="396">
        <v>89717</v>
      </c>
      <c r="C3452" s="401" t="s">
        <v>7747</v>
      </c>
      <c r="D3452" s="396" t="s">
        <v>22</v>
      </c>
      <c r="E3452" s="405">
        <f t="shared" si="106"/>
        <v>39.39</v>
      </c>
      <c r="F3452">
        <f t="shared" si="107"/>
        <v>89717</v>
      </c>
      <c r="H3452" s="679">
        <v>39.39</v>
      </c>
      <c r="I3452" s="679">
        <v>40.18</v>
      </c>
    </row>
    <row r="3453" spans="2:9">
      <c r="B3453" s="395">
        <v>89770</v>
      </c>
      <c r="C3453" s="406" t="s">
        <v>7748</v>
      </c>
      <c r="D3453" s="395" t="s">
        <v>22</v>
      </c>
      <c r="E3453" s="407">
        <f t="shared" si="106"/>
        <v>43.57</v>
      </c>
      <c r="F3453">
        <f t="shared" si="107"/>
        <v>89770</v>
      </c>
      <c r="H3453" s="680">
        <v>43.57</v>
      </c>
      <c r="I3453" s="680">
        <v>43.68</v>
      </c>
    </row>
    <row r="3454" spans="2:9">
      <c r="B3454" s="396">
        <v>89771</v>
      </c>
      <c r="C3454" s="401" t="s">
        <v>7749</v>
      </c>
      <c r="D3454" s="396" t="s">
        <v>22</v>
      </c>
      <c r="E3454" s="405">
        <f t="shared" si="106"/>
        <v>58.18</v>
      </c>
      <c r="F3454">
        <f t="shared" si="107"/>
        <v>89771</v>
      </c>
      <c r="H3454" s="679">
        <v>58.18</v>
      </c>
      <c r="I3454" s="679">
        <v>58.32</v>
      </c>
    </row>
    <row r="3455" spans="2:9">
      <c r="B3455" s="395">
        <v>89773</v>
      </c>
      <c r="C3455" s="406" t="s">
        <v>7750</v>
      </c>
      <c r="D3455" s="395" t="s">
        <v>22</v>
      </c>
      <c r="E3455" s="407">
        <f t="shared" si="106"/>
        <v>136.9</v>
      </c>
      <c r="F3455">
        <f t="shared" si="107"/>
        <v>89773</v>
      </c>
      <c r="H3455" s="680">
        <v>136.9</v>
      </c>
      <c r="I3455" s="680">
        <v>137.11000000000001</v>
      </c>
    </row>
    <row r="3456" spans="2:9">
      <c r="B3456" s="396">
        <v>89775</v>
      </c>
      <c r="C3456" s="401" t="s">
        <v>7751</v>
      </c>
      <c r="D3456" s="396" t="s">
        <v>22</v>
      </c>
      <c r="E3456" s="405">
        <f t="shared" si="106"/>
        <v>214.16</v>
      </c>
      <c r="F3456">
        <f t="shared" si="107"/>
        <v>89775</v>
      </c>
      <c r="H3456" s="679">
        <v>214.16</v>
      </c>
      <c r="I3456" s="679">
        <v>214.42</v>
      </c>
    </row>
    <row r="3457" spans="2:9" ht="30">
      <c r="B3457" s="395">
        <v>89798</v>
      </c>
      <c r="C3457" s="406" t="s">
        <v>7752</v>
      </c>
      <c r="D3457" s="395" t="s">
        <v>22</v>
      </c>
      <c r="E3457" s="407">
        <f t="shared" si="106"/>
        <v>15.63</v>
      </c>
      <c r="F3457">
        <f t="shared" si="107"/>
        <v>89798</v>
      </c>
      <c r="H3457" s="680">
        <v>15.63</v>
      </c>
      <c r="I3457" s="680">
        <v>15.82</v>
      </c>
    </row>
    <row r="3458" spans="2:9" ht="30">
      <c r="B3458" s="396">
        <v>89799</v>
      </c>
      <c r="C3458" s="401" t="s">
        <v>7753</v>
      </c>
      <c r="D3458" s="396" t="s">
        <v>22</v>
      </c>
      <c r="E3458" s="405">
        <f t="shared" si="106"/>
        <v>24.33</v>
      </c>
      <c r="F3458">
        <f t="shared" si="107"/>
        <v>89799</v>
      </c>
      <c r="H3458" s="679">
        <v>24.33</v>
      </c>
      <c r="I3458" s="679">
        <v>25.03</v>
      </c>
    </row>
    <row r="3459" spans="2:9" ht="30">
      <c r="B3459" s="395">
        <v>89800</v>
      </c>
      <c r="C3459" s="406" t="s">
        <v>7754</v>
      </c>
      <c r="D3459" s="395" t="s">
        <v>22</v>
      </c>
      <c r="E3459" s="407">
        <f t="shared" ref="E3459:E3522" si="108">IF($K$2=$H$1,H3459,I3459)</f>
        <v>29.75</v>
      </c>
      <c r="F3459">
        <f t="shared" ref="F3459:F3522" si="109">IF(LEN($B3459)=7,CONCATENATE(MID($B3459,1,6),"00",RIGHT($B3459,1)),IF(LEN($B3459)=8,CONCATENATE(MID($B3459,1,6),"0",RIGHT($B3459,2)),$B3459))</f>
        <v>89800</v>
      </c>
      <c r="H3459" s="680">
        <v>29.75</v>
      </c>
      <c r="I3459" s="680">
        <v>30.95</v>
      </c>
    </row>
    <row r="3460" spans="2:9" ht="30">
      <c r="B3460" s="396">
        <v>89848</v>
      </c>
      <c r="C3460" s="401" t="s">
        <v>7755</v>
      </c>
      <c r="D3460" s="396" t="s">
        <v>22</v>
      </c>
      <c r="E3460" s="405">
        <f t="shared" si="108"/>
        <v>28.81</v>
      </c>
      <c r="F3460">
        <f t="shared" si="109"/>
        <v>89848</v>
      </c>
      <c r="H3460" s="679">
        <v>28.81</v>
      </c>
      <c r="I3460" s="679">
        <v>29.91</v>
      </c>
    </row>
    <row r="3461" spans="2:9" ht="30">
      <c r="B3461" s="395">
        <v>89849</v>
      </c>
      <c r="C3461" s="406" t="s">
        <v>7756</v>
      </c>
      <c r="D3461" s="395" t="s">
        <v>22</v>
      </c>
      <c r="E3461" s="407">
        <f t="shared" si="108"/>
        <v>62.85</v>
      </c>
      <c r="F3461">
        <f t="shared" si="109"/>
        <v>89849</v>
      </c>
      <c r="H3461" s="680">
        <v>62.85</v>
      </c>
      <c r="I3461" s="680">
        <v>64.28</v>
      </c>
    </row>
    <row r="3462" spans="2:9">
      <c r="B3462" s="396">
        <v>89865</v>
      </c>
      <c r="C3462" s="401" t="s">
        <v>7757</v>
      </c>
      <c r="D3462" s="396" t="s">
        <v>22</v>
      </c>
      <c r="E3462" s="405">
        <f t="shared" si="108"/>
        <v>15.62</v>
      </c>
      <c r="F3462">
        <f t="shared" si="109"/>
        <v>89865</v>
      </c>
      <c r="H3462" s="679">
        <v>15.62</v>
      </c>
      <c r="I3462" s="679">
        <v>16.79</v>
      </c>
    </row>
    <row r="3463" spans="2:9" ht="30">
      <c r="B3463" s="395">
        <v>91784</v>
      </c>
      <c r="C3463" s="406" t="s">
        <v>559</v>
      </c>
      <c r="D3463" s="395" t="s">
        <v>22</v>
      </c>
      <c r="E3463" s="407">
        <f t="shared" si="108"/>
        <v>41.98</v>
      </c>
      <c r="F3463">
        <f t="shared" si="109"/>
        <v>91784</v>
      </c>
      <c r="H3463" s="680">
        <v>41.98</v>
      </c>
      <c r="I3463" s="680">
        <v>45.34</v>
      </c>
    </row>
    <row r="3464" spans="2:9" ht="45">
      <c r="B3464" s="396">
        <v>91785</v>
      </c>
      <c r="C3464" s="401" t="s">
        <v>560</v>
      </c>
      <c r="D3464" s="396" t="s">
        <v>22</v>
      </c>
      <c r="E3464" s="405">
        <f t="shared" si="108"/>
        <v>41.09</v>
      </c>
      <c r="F3464">
        <f t="shared" si="109"/>
        <v>91785</v>
      </c>
      <c r="H3464" s="679">
        <v>41.09</v>
      </c>
      <c r="I3464" s="679">
        <v>44.3</v>
      </c>
    </row>
    <row r="3465" spans="2:9" ht="45">
      <c r="B3465" s="395">
        <v>91786</v>
      </c>
      <c r="C3465" s="406" t="s">
        <v>1554</v>
      </c>
      <c r="D3465" s="395" t="s">
        <v>22</v>
      </c>
      <c r="E3465" s="407">
        <f t="shared" si="108"/>
        <v>32.11</v>
      </c>
      <c r="F3465">
        <f t="shared" si="109"/>
        <v>91786</v>
      </c>
      <c r="H3465" s="680">
        <v>32.11</v>
      </c>
      <c r="I3465" s="680">
        <v>33.54</v>
      </c>
    </row>
    <row r="3466" spans="2:9" ht="30">
      <c r="B3466" s="396">
        <v>91787</v>
      </c>
      <c r="C3466" s="401" t="s">
        <v>1555</v>
      </c>
      <c r="D3466" s="396" t="s">
        <v>22</v>
      </c>
      <c r="E3466" s="405">
        <f t="shared" si="108"/>
        <v>38.78</v>
      </c>
      <c r="F3466">
        <f t="shared" si="109"/>
        <v>91787</v>
      </c>
      <c r="H3466" s="679">
        <v>38.78</v>
      </c>
      <c r="I3466" s="679">
        <v>39.43</v>
      </c>
    </row>
    <row r="3467" spans="2:9" ht="30">
      <c r="B3467" s="395">
        <v>91788</v>
      </c>
      <c r="C3467" s="406" t="s">
        <v>1556</v>
      </c>
      <c r="D3467" s="395" t="s">
        <v>22</v>
      </c>
      <c r="E3467" s="407">
        <f t="shared" si="108"/>
        <v>46.35</v>
      </c>
      <c r="F3467">
        <f t="shared" si="109"/>
        <v>91788</v>
      </c>
      <c r="H3467" s="680">
        <v>46.35</v>
      </c>
      <c r="I3467" s="680">
        <v>47.42</v>
      </c>
    </row>
    <row r="3468" spans="2:9" ht="45">
      <c r="B3468" s="396">
        <v>91789</v>
      </c>
      <c r="C3468" s="401" t="s">
        <v>561</v>
      </c>
      <c r="D3468" s="396" t="s">
        <v>22</v>
      </c>
      <c r="E3468" s="405">
        <f t="shared" si="108"/>
        <v>57.15</v>
      </c>
      <c r="F3468">
        <f t="shared" si="109"/>
        <v>91789</v>
      </c>
      <c r="H3468" s="679">
        <v>57.15</v>
      </c>
      <c r="I3468" s="679">
        <v>58.07</v>
      </c>
    </row>
    <row r="3469" spans="2:9" ht="45">
      <c r="B3469" s="395">
        <v>91790</v>
      </c>
      <c r="C3469" s="406" t="s">
        <v>1557</v>
      </c>
      <c r="D3469" s="395" t="s">
        <v>22</v>
      </c>
      <c r="E3469" s="407">
        <f t="shared" si="108"/>
        <v>63.98</v>
      </c>
      <c r="F3469">
        <f t="shared" si="109"/>
        <v>91790</v>
      </c>
      <c r="H3469" s="680">
        <v>63.98</v>
      </c>
      <c r="I3469" s="680">
        <v>65.569999999999993</v>
      </c>
    </row>
    <row r="3470" spans="2:9" ht="30">
      <c r="B3470" s="396">
        <v>91791</v>
      </c>
      <c r="C3470" s="401" t="s">
        <v>562</v>
      </c>
      <c r="D3470" s="396" t="s">
        <v>22</v>
      </c>
      <c r="E3470" s="405">
        <f t="shared" si="108"/>
        <v>87.9</v>
      </c>
      <c r="F3470">
        <f t="shared" si="109"/>
        <v>91791</v>
      </c>
      <c r="H3470" s="679">
        <v>87.9</v>
      </c>
      <c r="I3470" s="679">
        <v>88.65</v>
      </c>
    </row>
    <row r="3471" spans="2:9" ht="45">
      <c r="B3471" s="395">
        <v>91792</v>
      </c>
      <c r="C3471" s="406" t="s">
        <v>1558</v>
      </c>
      <c r="D3471" s="395" t="s">
        <v>22</v>
      </c>
      <c r="E3471" s="407">
        <f t="shared" si="108"/>
        <v>58.43</v>
      </c>
      <c r="F3471">
        <f t="shared" si="109"/>
        <v>91792</v>
      </c>
      <c r="H3471" s="680">
        <v>58.43</v>
      </c>
      <c r="I3471" s="680">
        <v>62.72</v>
      </c>
    </row>
    <row r="3472" spans="2:9" ht="45">
      <c r="B3472" s="396">
        <v>91793</v>
      </c>
      <c r="C3472" s="401" t="s">
        <v>1559</v>
      </c>
      <c r="D3472" s="396" t="s">
        <v>22</v>
      </c>
      <c r="E3472" s="405">
        <f t="shared" si="108"/>
        <v>95.96</v>
      </c>
      <c r="F3472">
        <f t="shared" si="109"/>
        <v>91793</v>
      </c>
      <c r="H3472" s="679">
        <v>95.96</v>
      </c>
      <c r="I3472" s="679">
        <v>100.94</v>
      </c>
    </row>
    <row r="3473" spans="2:9" ht="45">
      <c r="B3473" s="395">
        <v>91794</v>
      </c>
      <c r="C3473" s="406" t="s">
        <v>1560</v>
      </c>
      <c r="D3473" s="395" t="s">
        <v>22</v>
      </c>
      <c r="E3473" s="407">
        <f t="shared" si="108"/>
        <v>47.24</v>
      </c>
      <c r="F3473">
        <f t="shared" si="109"/>
        <v>91794</v>
      </c>
      <c r="H3473" s="680">
        <v>47.24</v>
      </c>
      <c r="I3473" s="680">
        <v>48.9</v>
      </c>
    </row>
    <row r="3474" spans="2:9" ht="45">
      <c r="B3474" s="396">
        <v>91795</v>
      </c>
      <c r="C3474" s="401" t="s">
        <v>1561</v>
      </c>
      <c r="D3474" s="396" t="s">
        <v>22</v>
      </c>
      <c r="E3474" s="405">
        <f t="shared" si="108"/>
        <v>72.900000000000006</v>
      </c>
      <c r="F3474">
        <f t="shared" si="109"/>
        <v>91795</v>
      </c>
      <c r="H3474" s="679">
        <v>72.900000000000006</v>
      </c>
      <c r="I3474" s="679">
        <v>75.87</v>
      </c>
    </row>
    <row r="3475" spans="2:9" ht="30">
      <c r="B3475" s="395">
        <v>91796</v>
      </c>
      <c r="C3475" s="406" t="s">
        <v>1562</v>
      </c>
      <c r="D3475" s="395" t="s">
        <v>22</v>
      </c>
      <c r="E3475" s="407">
        <f t="shared" si="108"/>
        <v>78.2</v>
      </c>
      <c r="F3475">
        <f t="shared" si="109"/>
        <v>91796</v>
      </c>
      <c r="H3475" s="680">
        <v>78.2</v>
      </c>
      <c r="I3475" s="680">
        <v>80.58</v>
      </c>
    </row>
    <row r="3476" spans="2:9" ht="30">
      <c r="B3476" s="396">
        <v>92275</v>
      </c>
      <c r="C3476" s="401" t="s">
        <v>6495</v>
      </c>
      <c r="D3476" s="396" t="s">
        <v>22</v>
      </c>
      <c r="E3476" s="405">
        <f t="shared" si="108"/>
        <v>53.75</v>
      </c>
      <c r="F3476">
        <f t="shared" si="109"/>
        <v>92275</v>
      </c>
      <c r="H3476" s="679">
        <v>53.75</v>
      </c>
      <c r="I3476" s="679">
        <v>53.95</v>
      </c>
    </row>
    <row r="3477" spans="2:9" ht="30">
      <c r="B3477" s="395">
        <v>92276</v>
      </c>
      <c r="C3477" s="406" t="s">
        <v>6496</v>
      </c>
      <c r="D3477" s="395" t="s">
        <v>22</v>
      </c>
      <c r="E3477" s="407">
        <f t="shared" si="108"/>
        <v>68.260000000000005</v>
      </c>
      <c r="F3477">
        <f t="shared" si="109"/>
        <v>92276</v>
      </c>
      <c r="H3477" s="680">
        <v>68.260000000000005</v>
      </c>
      <c r="I3477" s="680">
        <v>68.52</v>
      </c>
    </row>
    <row r="3478" spans="2:9" ht="30">
      <c r="B3478" s="396">
        <v>92277</v>
      </c>
      <c r="C3478" s="401" t="s">
        <v>6497</v>
      </c>
      <c r="D3478" s="396" t="s">
        <v>22</v>
      </c>
      <c r="E3478" s="405">
        <f t="shared" si="108"/>
        <v>98.7</v>
      </c>
      <c r="F3478">
        <f t="shared" si="109"/>
        <v>92277</v>
      </c>
      <c r="H3478" s="679">
        <v>98.7</v>
      </c>
      <c r="I3478" s="679">
        <v>99.04</v>
      </c>
    </row>
    <row r="3479" spans="2:9" ht="30">
      <c r="B3479" s="395">
        <v>92278</v>
      </c>
      <c r="C3479" s="406" t="s">
        <v>6498</v>
      </c>
      <c r="D3479" s="395" t="s">
        <v>22</v>
      </c>
      <c r="E3479" s="407">
        <f t="shared" si="108"/>
        <v>132.88999999999999</v>
      </c>
      <c r="F3479">
        <f t="shared" si="109"/>
        <v>92278</v>
      </c>
      <c r="H3479" s="680">
        <v>132.88999999999999</v>
      </c>
      <c r="I3479" s="680">
        <v>133.28</v>
      </c>
    </row>
    <row r="3480" spans="2:9" ht="30">
      <c r="B3480" s="396">
        <v>92279</v>
      </c>
      <c r="C3480" s="401" t="s">
        <v>6499</v>
      </c>
      <c r="D3480" s="396" t="s">
        <v>22</v>
      </c>
      <c r="E3480" s="405">
        <f t="shared" si="108"/>
        <v>192.2</v>
      </c>
      <c r="F3480">
        <f t="shared" si="109"/>
        <v>92279</v>
      </c>
      <c r="H3480" s="679">
        <v>192.2</v>
      </c>
      <c r="I3480" s="679">
        <v>192.72</v>
      </c>
    </row>
    <row r="3481" spans="2:9" ht="30">
      <c r="B3481" s="395">
        <v>92280</v>
      </c>
      <c r="C3481" s="406" t="s">
        <v>6500</v>
      </c>
      <c r="D3481" s="395" t="s">
        <v>22</v>
      </c>
      <c r="E3481" s="407">
        <f t="shared" si="108"/>
        <v>269.98</v>
      </c>
      <c r="F3481">
        <f t="shared" si="109"/>
        <v>92280</v>
      </c>
      <c r="H3481" s="680">
        <v>269.98</v>
      </c>
      <c r="I3481" s="680">
        <v>270.61</v>
      </c>
    </row>
    <row r="3482" spans="2:9" ht="30">
      <c r="B3482" s="396">
        <v>92281</v>
      </c>
      <c r="C3482" s="401" t="s">
        <v>6501</v>
      </c>
      <c r="D3482" s="396" t="s">
        <v>22</v>
      </c>
      <c r="E3482" s="405">
        <f t="shared" si="108"/>
        <v>171.94</v>
      </c>
      <c r="F3482">
        <f t="shared" si="109"/>
        <v>92281</v>
      </c>
      <c r="H3482" s="679">
        <v>171.94</v>
      </c>
      <c r="I3482" s="679">
        <v>172.23</v>
      </c>
    </row>
    <row r="3483" spans="2:9" ht="30">
      <c r="B3483" s="395">
        <v>92282</v>
      </c>
      <c r="C3483" s="406" t="s">
        <v>6502</v>
      </c>
      <c r="D3483" s="395" t="s">
        <v>22</v>
      </c>
      <c r="E3483" s="407">
        <f t="shared" si="108"/>
        <v>191.3</v>
      </c>
      <c r="F3483">
        <f t="shared" si="109"/>
        <v>92282</v>
      </c>
      <c r="H3483" s="680">
        <v>191.3</v>
      </c>
      <c r="I3483" s="680">
        <v>191.65</v>
      </c>
    </row>
    <row r="3484" spans="2:9" ht="30">
      <c r="B3484" s="396">
        <v>92283</v>
      </c>
      <c r="C3484" s="401" t="s">
        <v>6503</v>
      </c>
      <c r="D3484" s="396" t="s">
        <v>22</v>
      </c>
      <c r="E3484" s="405">
        <f t="shared" si="108"/>
        <v>254.38</v>
      </c>
      <c r="F3484">
        <f t="shared" si="109"/>
        <v>92283</v>
      </c>
      <c r="H3484" s="679">
        <v>254.38</v>
      </c>
      <c r="I3484" s="679">
        <v>254.81</v>
      </c>
    </row>
    <row r="3485" spans="2:9" ht="30">
      <c r="B3485" s="395">
        <v>92284</v>
      </c>
      <c r="C3485" s="406" t="s">
        <v>6504</v>
      </c>
      <c r="D3485" s="395" t="s">
        <v>22</v>
      </c>
      <c r="E3485" s="407">
        <f t="shared" si="108"/>
        <v>310.44</v>
      </c>
      <c r="F3485">
        <f t="shared" si="109"/>
        <v>92284</v>
      </c>
      <c r="H3485" s="680">
        <v>310.44</v>
      </c>
      <c r="I3485" s="680">
        <v>310.94</v>
      </c>
    </row>
    <row r="3486" spans="2:9" ht="30">
      <c r="B3486" s="396">
        <v>92285</v>
      </c>
      <c r="C3486" s="401" t="s">
        <v>6505</v>
      </c>
      <c r="D3486" s="396" t="s">
        <v>22</v>
      </c>
      <c r="E3486" s="405">
        <f t="shared" si="108"/>
        <v>404.53</v>
      </c>
      <c r="F3486">
        <f t="shared" si="109"/>
        <v>92285</v>
      </c>
      <c r="H3486" s="679">
        <v>404.53</v>
      </c>
      <c r="I3486" s="679">
        <v>405.14</v>
      </c>
    </row>
    <row r="3487" spans="2:9" ht="30">
      <c r="B3487" s="395">
        <v>92286</v>
      </c>
      <c r="C3487" s="406" t="s">
        <v>6506</v>
      </c>
      <c r="D3487" s="395" t="s">
        <v>22</v>
      </c>
      <c r="E3487" s="407">
        <f t="shared" si="108"/>
        <v>485.31</v>
      </c>
      <c r="F3487">
        <f t="shared" si="109"/>
        <v>92286</v>
      </c>
      <c r="H3487" s="680">
        <v>485.31</v>
      </c>
      <c r="I3487" s="680">
        <v>486.03</v>
      </c>
    </row>
    <row r="3488" spans="2:9" ht="30">
      <c r="B3488" s="396">
        <v>92305</v>
      </c>
      <c r="C3488" s="401" t="s">
        <v>6507</v>
      </c>
      <c r="D3488" s="396" t="s">
        <v>22</v>
      </c>
      <c r="E3488" s="405">
        <f t="shared" si="108"/>
        <v>35.6</v>
      </c>
      <c r="F3488">
        <f t="shared" si="109"/>
        <v>92305</v>
      </c>
      <c r="H3488" s="679">
        <v>35.6</v>
      </c>
      <c r="I3488" s="679">
        <v>36.229999999999997</v>
      </c>
    </row>
    <row r="3489" spans="2:9" ht="30">
      <c r="B3489" s="395">
        <v>92306</v>
      </c>
      <c r="C3489" s="406" t="s">
        <v>6508</v>
      </c>
      <c r="D3489" s="395" t="s">
        <v>22</v>
      </c>
      <c r="E3489" s="407">
        <f t="shared" si="108"/>
        <v>58.21</v>
      </c>
      <c r="F3489">
        <f t="shared" si="109"/>
        <v>92306</v>
      </c>
      <c r="H3489" s="680">
        <v>58.21</v>
      </c>
      <c r="I3489" s="680">
        <v>58.92</v>
      </c>
    </row>
    <row r="3490" spans="2:9" ht="30">
      <c r="B3490" s="396">
        <v>92307</v>
      </c>
      <c r="C3490" s="401" t="s">
        <v>6509</v>
      </c>
      <c r="D3490" s="396" t="s">
        <v>22</v>
      </c>
      <c r="E3490" s="405">
        <f t="shared" si="108"/>
        <v>72.930000000000007</v>
      </c>
      <c r="F3490">
        <f t="shared" si="109"/>
        <v>92307</v>
      </c>
      <c r="H3490" s="679">
        <v>72.930000000000007</v>
      </c>
      <c r="I3490" s="679">
        <v>73.73</v>
      </c>
    </row>
    <row r="3491" spans="2:9" ht="30">
      <c r="B3491" s="395">
        <v>92308</v>
      </c>
      <c r="C3491" s="406" t="s">
        <v>6510</v>
      </c>
      <c r="D3491" s="395" t="s">
        <v>22</v>
      </c>
      <c r="E3491" s="407">
        <f t="shared" si="108"/>
        <v>62.41</v>
      </c>
      <c r="F3491">
        <f t="shared" si="109"/>
        <v>92308</v>
      </c>
      <c r="H3491" s="680">
        <v>62.41</v>
      </c>
      <c r="I3491" s="680">
        <v>63.39</v>
      </c>
    </row>
    <row r="3492" spans="2:9" ht="30">
      <c r="B3492" s="396">
        <v>92309</v>
      </c>
      <c r="C3492" s="401" t="s">
        <v>6511</v>
      </c>
      <c r="D3492" s="396" t="s">
        <v>22</v>
      </c>
      <c r="E3492" s="405">
        <f t="shared" si="108"/>
        <v>178.62</v>
      </c>
      <c r="F3492">
        <f t="shared" si="109"/>
        <v>92309</v>
      </c>
      <c r="H3492" s="679">
        <v>178.62</v>
      </c>
      <c r="I3492" s="679">
        <v>179.69</v>
      </c>
    </row>
    <row r="3493" spans="2:9" ht="30">
      <c r="B3493" s="395">
        <v>92310</v>
      </c>
      <c r="C3493" s="406" t="s">
        <v>6512</v>
      </c>
      <c r="D3493" s="395" t="s">
        <v>22</v>
      </c>
      <c r="E3493" s="407">
        <f t="shared" si="108"/>
        <v>198.18</v>
      </c>
      <c r="F3493">
        <f t="shared" si="109"/>
        <v>92310</v>
      </c>
      <c r="H3493" s="680">
        <v>198.18</v>
      </c>
      <c r="I3493" s="680">
        <v>199.34</v>
      </c>
    </row>
    <row r="3494" spans="2:9" ht="30">
      <c r="B3494" s="396">
        <v>92320</v>
      </c>
      <c r="C3494" s="401" t="s">
        <v>6513</v>
      </c>
      <c r="D3494" s="396" t="s">
        <v>22</v>
      </c>
      <c r="E3494" s="405">
        <f t="shared" si="108"/>
        <v>44.76</v>
      </c>
      <c r="F3494">
        <f t="shared" si="109"/>
        <v>92320</v>
      </c>
      <c r="H3494" s="679">
        <v>44.76</v>
      </c>
      <c r="I3494" s="679">
        <v>46.46</v>
      </c>
    </row>
    <row r="3495" spans="2:9" ht="30">
      <c r="B3495" s="395">
        <v>92321</v>
      </c>
      <c r="C3495" s="406" t="s">
        <v>6514</v>
      </c>
      <c r="D3495" s="395" t="s">
        <v>22</v>
      </c>
      <c r="E3495" s="407">
        <f t="shared" si="108"/>
        <v>73.989999999999995</v>
      </c>
      <c r="F3495">
        <f t="shared" si="109"/>
        <v>92321</v>
      </c>
      <c r="H3495" s="680">
        <v>73.989999999999995</v>
      </c>
      <c r="I3495" s="680">
        <v>76.540000000000006</v>
      </c>
    </row>
    <row r="3496" spans="2:9" ht="30">
      <c r="B3496" s="396">
        <v>92322</v>
      </c>
      <c r="C3496" s="401" t="s">
        <v>6515</v>
      </c>
      <c r="D3496" s="396" t="s">
        <v>22</v>
      </c>
      <c r="E3496" s="405">
        <f t="shared" si="108"/>
        <v>94.37</v>
      </c>
      <c r="F3496">
        <f t="shared" si="109"/>
        <v>92322</v>
      </c>
      <c r="H3496" s="679">
        <v>94.37</v>
      </c>
      <c r="I3496" s="679">
        <v>97.67</v>
      </c>
    </row>
    <row r="3497" spans="2:9" ht="30">
      <c r="B3497" s="395">
        <v>92323</v>
      </c>
      <c r="C3497" s="406" t="s">
        <v>6516</v>
      </c>
      <c r="D3497" s="395" t="s">
        <v>22</v>
      </c>
      <c r="E3497" s="407">
        <f t="shared" si="108"/>
        <v>69.37</v>
      </c>
      <c r="F3497">
        <f t="shared" si="109"/>
        <v>92323</v>
      </c>
      <c r="H3497" s="680">
        <v>69.37</v>
      </c>
      <c r="I3497" s="680">
        <v>71.16</v>
      </c>
    </row>
    <row r="3498" spans="2:9" ht="30">
      <c r="B3498" s="396">
        <v>92324</v>
      </c>
      <c r="C3498" s="401" t="s">
        <v>6517</v>
      </c>
      <c r="D3498" s="396" t="s">
        <v>22</v>
      </c>
      <c r="E3498" s="405">
        <f t="shared" si="108"/>
        <v>192.2</v>
      </c>
      <c r="F3498">
        <f t="shared" si="109"/>
        <v>92324</v>
      </c>
      <c r="H3498" s="679">
        <v>192.2</v>
      </c>
      <c r="I3498" s="679">
        <v>194.86</v>
      </c>
    </row>
    <row r="3499" spans="2:9" ht="30">
      <c r="B3499" s="395">
        <v>92325</v>
      </c>
      <c r="C3499" s="406" t="s">
        <v>6518</v>
      </c>
      <c r="D3499" s="395" t="s">
        <v>22</v>
      </c>
      <c r="E3499" s="407">
        <f t="shared" si="108"/>
        <v>217.43</v>
      </c>
      <c r="F3499">
        <f t="shared" si="109"/>
        <v>92325</v>
      </c>
      <c r="H3499" s="680">
        <v>217.43</v>
      </c>
      <c r="I3499" s="680">
        <v>220.84</v>
      </c>
    </row>
    <row r="3500" spans="2:9" ht="30">
      <c r="B3500" s="396">
        <v>92335</v>
      </c>
      <c r="C3500" s="401" t="s">
        <v>4894</v>
      </c>
      <c r="D3500" s="396" t="s">
        <v>22</v>
      </c>
      <c r="E3500" s="405">
        <f t="shared" si="108"/>
        <v>96.89</v>
      </c>
      <c r="F3500">
        <f t="shared" si="109"/>
        <v>92335</v>
      </c>
      <c r="H3500" s="679">
        <v>96.89</v>
      </c>
      <c r="I3500" s="679">
        <v>98.11</v>
      </c>
    </row>
    <row r="3501" spans="2:9" ht="30">
      <c r="B3501" s="395">
        <v>92336</v>
      </c>
      <c r="C3501" s="406" t="s">
        <v>4895</v>
      </c>
      <c r="D3501" s="395" t="s">
        <v>22</v>
      </c>
      <c r="E3501" s="407">
        <f t="shared" si="108"/>
        <v>119.3</v>
      </c>
      <c r="F3501">
        <f t="shared" si="109"/>
        <v>92336</v>
      </c>
      <c r="H3501" s="680">
        <v>119.3</v>
      </c>
      <c r="I3501" s="680">
        <v>120.71</v>
      </c>
    </row>
    <row r="3502" spans="2:9" ht="30">
      <c r="B3502" s="396">
        <v>92337</v>
      </c>
      <c r="C3502" s="401" t="s">
        <v>4896</v>
      </c>
      <c r="D3502" s="396" t="s">
        <v>22</v>
      </c>
      <c r="E3502" s="405">
        <f t="shared" si="108"/>
        <v>157.96</v>
      </c>
      <c r="F3502">
        <f t="shared" si="109"/>
        <v>92337</v>
      </c>
      <c r="H3502" s="679">
        <v>157.96</v>
      </c>
      <c r="I3502" s="679">
        <v>159.55000000000001</v>
      </c>
    </row>
    <row r="3503" spans="2:9" ht="30">
      <c r="B3503" s="395">
        <v>92338</v>
      </c>
      <c r="C3503" s="406" t="s">
        <v>4897</v>
      </c>
      <c r="D3503" s="395" t="s">
        <v>22</v>
      </c>
      <c r="E3503" s="407">
        <f t="shared" si="108"/>
        <v>142.91999999999999</v>
      </c>
      <c r="F3503">
        <f t="shared" si="109"/>
        <v>92338</v>
      </c>
      <c r="H3503" s="680">
        <v>142.91999999999999</v>
      </c>
      <c r="I3503" s="680">
        <v>145.6</v>
      </c>
    </row>
    <row r="3504" spans="2:9" ht="30">
      <c r="B3504" s="396">
        <v>92339</v>
      </c>
      <c r="C3504" s="401" t="s">
        <v>4898</v>
      </c>
      <c r="D3504" s="396" t="s">
        <v>22</v>
      </c>
      <c r="E3504" s="405">
        <f t="shared" si="108"/>
        <v>219.57</v>
      </c>
      <c r="F3504">
        <f t="shared" si="109"/>
        <v>92339</v>
      </c>
      <c r="H3504" s="679">
        <v>219.57</v>
      </c>
      <c r="I3504" s="679">
        <v>222.54</v>
      </c>
    </row>
    <row r="3505" spans="2:9" ht="30">
      <c r="B3505" s="395">
        <v>92341</v>
      </c>
      <c r="C3505" s="406" t="s">
        <v>4899</v>
      </c>
      <c r="D3505" s="395" t="s">
        <v>22</v>
      </c>
      <c r="E3505" s="407">
        <f t="shared" si="108"/>
        <v>105.29</v>
      </c>
      <c r="F3505">
        <f t="shared" si="109"/>
        <v>92341</v>
      </c>
      <c r="H3505" s="680">
        <v>105.29</v>
      </c>
      <c r="I3505" s="680">
        <v>107.48</v>
      </c>
    </row>
    <row r="3506" spans="2:9" ht="30">
      <c r="B3506" s="396">
        <v>92342</v>
      </c>
      <c r="C3506" s="401" t="s">
        <v>4900</v>
      </c>
      <c r="D3506" s="396" t="s">
        <v>22</v>
      </c>
      <c r="E3506" s="405">
        <f t="shared" si="108"/>
        <v>127.77</v>
      </c>
      <c r="F3506">
        <f t="shared" si="109"/>
        <v>92342</v>
      </c>
      <c r="H3506" s="679">
        <v>127.77</v>
      </c>
      <c r="I3506" s="679">
        <v>130.16</v>
      </c>
    </row>
    <row r="3507" spans="2:9" ht="30">
      <c r="B3507" s="395">
        <v>92343</v>
      </c>
      <c r="C3507" s="406" t="s">
        <v>4901</v>
      </c>
      <c r="D3507" s="395" t="s">
        <v>22</v>
      </c>
      <c r="E3507" s="407">
        <f t="shared" si="108"/>
        <v>166.5</v>
      </c>
      <c r="F3507">
        <f t="shared" si="109"/>
        <v>92343</v>
      </c>
      <c r="H3507" s="680">
        <v>166.5</v>
      </c>
      <c r="I3507" s="680">
        <v>169.08</v>
      </c>
    </row>
    <row r="3508" spans="2:9" ht="30">
      <c r="B3508" s="396">
        <v>92359</v>
      </c>
      <c r="C3508" s="401" t="s">
        <v>4902</v>
      </c>
      <c r="D3508" s="396" t="s">
        <v>22</v>
      </c>
      <c r="E3508" s="405">
        <f t="shared" si="108"/>
        <v>69.77</v>
      </c>
      <c r="F3508">
        <f t="shared" si="109"/>
        <v>92359</v>
      </c>
      <c r="H3508" s="679">
        <v>69.77</v>
      </c>
      <c r="I3508" s="679">
        <v>70.12</v>
      </c>
    </row>
    <row r="3509" spans="2:9" ht="30">
      <c r="B3509" s="395">
        <v>92360</v>
      </c>
      <c r="C3509" s="406" t="s">
        <v>4903</v>
      </c>
      <c r="D3509" s="395" t="s">
        <v>22</v>
      </c>
      <c r="E3509" s="407">
        <f t="shared" si="108"/>
        <v>93.31</v>
      </c>
      <c r="F3509">
        <f t="shared" si="109"/>
        <v>92360</v>
      </c>
      <c r="H3509" s="680">
        <v>93.31</v>
      </c>
      <c r="I3509" s="680">
        <v>93.76</v>
      </c>
    </row>
    <row r="3510" spans="2:9" ht="30">
      <c r="B3510" s="396">
        <v>92361</v>
      </c>
      <c r="C3510" s="401" t="s">
        <v>4904</v>
      </c>
      <c r="D3510" s="396" t="s">
        <v>22</v>
      </c>
      <c r="E3510" s="405">
        <f t="shared" si="108"/>
        <v>125.68</v>
      </c>
      <c r="F3510">
        <f t="shared" si="109"/>
        <v>92361</v>
      </c>
      <c r="H3510" s="679">
        <v>125.68</v>
      </c>
      <c r="I3510" s="679">
        <v>126.38</v>
      </c>
    </row>
    <row r="3511" spans="2:9" ht="30">
      <c r="B3511" s="395">
        <v>92362</v>
      </c>
      <c r="C3511" s="406" t="s">
        <v>4905</v>
      </c>
      <c r="D3511" s="395" t="s">
        <v>22</v>
      </c>
      <c r="E3511" s="407">
        <f t="shared" si="108"/>
        <v>201.65</v>
      </c>
      <c r="F3511">
        <f t="shared" si="109"/>
        <v>92362</v>
      </c>
      <c r="H3511" s="680">
        <v>201.65</v>
      </c>
      <c r="I3511" s="680">
        <v>202.57</v>
      </c>
    </row>
    <row r="3512" spans="2:9" ht="30">
      <c r="B3512" s="396">
        <v>92364</v>
      </c>
      <c r="C3512" s="401" t="s">
        <v>4906</v>
      </c>
      <c r="D3512" s="396" t="s">
        <v>22</v>
      </c>
      <c r="E3512" s="405">
        <f t="shared" si="108"/>
        <v>58.6</v>
      </c>
      <c r="F3512">
        <f t="shared" si="109"/>
        <v>92364</v>
      </c>
      <c r="H3512" s="679">
        <v>58.6</v>
      </c>
      <c r="I3512" s="679">
        <v>59.42</v>
      </c>
    </row>
    <row r="3513" spans="2:9" ht="30">
      <c r="B3513" s="395">
        <v>92365</v>
      </c>
      <c r="C3513" s="406" t="s">
        <v>4907</v>
      </c>
      <c r="D3513" s="395" t="s">
        <v>22</v>
      </c>
      <c r="E3513" s="407">
        <f t="shared" si="108"/>
        <v>67.569999999999993</v>
      </c>
      <c r="F3513">
        <f t="shared" si="109"/>
        <v>92365</v>
      </c>
      <c r="H3513" s="680">
        <v>67.569999999999993</v>
      </c>
      <c r="I3513" s="680">
        <v>68.459999999999994</v>
      </c>
    </row>
    <row r="3514" spans="2:9" ht="30">
      <c r="B3514" s="396">
        <v>92366</v>
      </c>
      <c r="C3514" s="401" t="s">
        <v>4908</v>
      </c>
      <c r="D3514" s="396" t="s">
        <v>22</v>
      </c>
      <c r="E3514" s="405">
        <f t="shared" si="108"/>
        <v>94.89</v>
      </c>
      <c r="F3514">
        <f t="shared" si="109"/>
        <v>92366</v>
      </c>
      <c r="H3514" s="679">
        <v>94.89</v>
      </c>
      <c r="I3514" s="679">
        <v>95.88</v>
      </c>
    </row>
    <row r="3515" spans="2:9" ht="30">
      <c r="B3515" s="395">
        <v>92367</v>
      </c>
      <c r="C3515" s="406" t="s">
        <v>4909</v>
      </c>
      <c r="D3515" s="395" t="s">
        <v>22</v>
      </c>
      <c r="E3515" s="407">
        <f t="shared" si="108"/>
        <v>116.89</v>
      </c>
      <c r="F3515">
        <f t="shared" si="109"/>
        <v>92367</v>
      </c>
      <c r="H3515" s="680">
        <v>116.89</v>
      </c>
      <c r="I3515" s="680">
        <v>118.02</v>
      </c>
    </row>
    <row r="3516" spans="2:9" ht="30">
      <c r="B3516" s="396">
        <v>92368</v>
      </c>
      <c r="C3516" s="401" t="s">
        <v>4910</v>
      </c>
      <c r="D3516" s="396" t="s">
        <v>22</v>
      </c>
      <c r="E3516" s="405">
        <f t="shared" si="108"/>
        <v>155.19</v>
      </c>
      <c r="F3516">
        <f t="shared" si="109"/>
        <v>92368</v>
      </c>
      <c r="H3516" s="679">
        <v>155.19</v>
      </c>
      <c r="I3516" s="679">
        <v>156.46</v>
      </c>
    </row>
    <row r="3517" spans="2:9" ht="30">
      <c r="B3517" s="395">
        <v>92645</v>
      </c>
      <c r="C3517" s="406" t="s">
        <v>4911</v>
      </c>
      <c r="D3517" s="395" t="s">
        <v>22</v>
      </c>
      <c r="E3517" s="407">
        <f t="shared" si="108"/>
        <v>72.87</v>
      </c>
      <c r="F3517">
        <f t="shared" si="109"/>
        <v>92645</v>
      </c>
      <c r="H3517" s="680">
        <v>72.87</v>
      </c>
      <c r="I3517" s="680">
        <v>73.569999999999993</v>
      </c>
    </row>
    <row r="3518" spans="2:9" ht="30">
      <c r="B3518" s="396">
        <v>92646</v>
      </c>
      <c r="C3518" s="401" t="s">
        <v>4912</v>
      </c>
      <c r="D3518" s="396" t="s">
        <v>22</v>
      </c>
      <c r="E3518" s="405">
        <f t="shared" si="108"/>
        <v>96.4</v>
      </c>
      <c r="F3518">
        <f t="shared" si="109"/>
        <v>92646</v>
      </c>
      <c r="H3518" s="679">
        <v>96.4</v>
      </c>
      <c r="I3518" s="679">
        <v>97.21</v>
      </c>
    </row>
    <row r="3519" spans="2:9" ht="30">
      <c r="B3519" s="395">
        <v>92648</v>
      </c>
      <c r="C3519" s="406" t="s">
        <v>4913</v>
      </c>
      <c r="D3519" s="395" t="s">
        <v>22</v>
      </c>
      <c r="E3519" s="407">
        <f t="shared" si="108"/>
        <v>105.42</v>
      </c>
      <c r="F3519">
        <f t="shared" si="109"/>
        <v>92648</v>
      </c>
      <c r="H3519" s="680">
        <v>105.42</v>
      </c>
      <c r="I3519" s="680">
        <v>106.34</v>
      </c>
    </row>
    <row r="3520" spans="2:9" ht="30">
      <c r="B3520" s="396">
        <v>92649</v>
      </c>
      <c r="C3520" s="401" t="s">
        <v>4914</v>
      </c>
      <c r="D3520" s="396" t="s">
        <v>22</v>
      </c>
      <c r="E3520" s="405">
        <f t="shared" si="108"/>
        <v>128.78</v>
      </c>
      <c r="F3520">
        <f t="shared" si="109"/>
        <v>92649</v>
      </c>
      <c r="H3520" s="679">
        <v>128.78</v>
      </c>
      <c r="I3520" s="679">
        <v>129.84</v>
      </c>
    </row>
    <row r="3521" spans="2:9" ht="30">
      <c r="B3521" s="395">
        <v>92650</v>
      </c>
      <c r="C3521" s="406" t="s">
        <v>4915</v>
      </c>
      <c r="D3521" s="395" t="s">
        <v>22</v>
      </c>
      <c r="E3521" s="407">
        <f t="shared" si="108"/>
        <v>204.75</v>
      </c>
      <c r="F3521">
        <f t="shared" si="109"/>
        <v>92650</v>
      </c>
      <c r="H3521" s="680">
        <v>204.75</v>
      </c>
      <c r="I3521" s="680">
        <v>206.03</v>
      </c>
    </row>
    <row r="3522" spans="2:9" ht="30">
      <c r="B3522" s="396">
        <v>92652</v>
      </c>
      <c r="C3522" s="401" t="s">
        <v>4916</v>
      </c>
      <c r="D3522" s="396" t="s">
        <v>22</v>
      </c>
      <c r="E3522" s="405">
        <f t="shared" si="108"/>
        <v>62.43</v>
      </c>
      <c r="F3522">
        <f t="shared" si="109"/>
        <v>92652</v>
      </c>
      <c r="H3522" s="679">
        <v>62.43</v>
      </c>
      <c r="I3522" s="679">
        <v>63.69</v>
      </c>
    </row>
    <row r="3523" spans="2:9" ht="30">
      <c r="B3523" s="395">
        <v>92653</v>
      </c>
      <c r="C3523" s="406" t="s">
        <v>4917</v>
      </c>
      <c r="D3523" s="395" t="s">
        <v>22</v>
      </c>
      <c r="E3523" s="407">
        <f t="shared" ref="E3523:E3586" si="110">IF($K$2=$H$1,H3523,I3523)</f>
        <v>71.44</v>
      </c>
      <c r="F3523">
        <f t="shared" ref="F3523:F3586" si="111">IF(LEN($B3523)=7,CONCATENATE(MID($B3523,1,6),"00",RIGHT($B3523,1)),IF(LEN($B3523)=8,CONCATENATE(MID($B3523,1,6),"0",RIGHT($B3523,2)),$B3523))</f>
        <v>92653</v>
      </c>
      <c r="H3523" s="680">
        <v>71.44</v>
      </c>
      <c r="I3523" s="680">
        <v>72.78</v>
      </c>
    </row>
    <row r="3524" spans="2:9" ht="30">
      <c r="B3524" s="396">
        <v>92654</v>
      </c>
      <c r="C3524" s="401" t="s">
        <v>4918</v>
      </c>
      <c r="D3524" s="396" t="s">
        <v>22</v>
      </c>
      <c r="E3524" s="405">
        <f t="shared" si="110"/>
        <v>98.76</v>
      </c>
      <c r="F3524">
        <f t="shared" si="111"/>
        <v>92654</v>
      </c>
      <c r="H3524" s="679">
        <v>98.76</v>
      </c>
      <c r="I3524" s="679">
        <v>100.2</v>
      </c>
    </row>
    <row r="3525" spans="2:9" ht="30">
      <c r="B3525" s="395">
        <v>92655</v>
      </c>
      <c r="C3525" s="406" t="s">
        <v>4919</v>
      </c>
      <c r="D3525" s="395" t="s">
        <v>22</v>
      </c>
      <c r="E3525" s="407">
        <f t="shared" si="110"/>
        <v>120.85</v>
      </c>
      <c r="F3525">
        <f t="shared" si="111"/>
        <v>92655</v>
      </c>
      <c r="H3525" s="680">
        <v>120.85</v>
      </c>
      <c r="I3525" s="680">
        <v>122.44</v>
      </c>
    </row>
    <row r="3526" spans="2:9" ht="30">
      <c r="B3526" s="396">
        <v>92656</v>
      </c>
      <c r="C3526" s="401" t="s">
        <v>4920</v>
      </c>
      <c r="D3526" s="396" t="s">
        <v>22</v>
      </c>
      <c r="E3526" s="405">
        <f t="shared" si="110"/>
        <v>159.13999999999999</v>
      </c>
      <c r="F3526">
        <f t="shared" si="111"/>
        <v>92656</v>
      </c>
      <c r="H3526" s="679">
        <v>159.13999999999999</v>
      </c>
      <c r="I3526" s="679">
        <v>160.87</v>
      </c>
    </row>
    <row r="3527" spans="2:9" ht="30">
      <c r="B3527" s="395">
        <v>92687</v>
      </c>
      <c r="C3527" s="406" t="s">
        <v>4921</v>
      </c>
      <c r="D3527" s="395" t="s">
        <v>22</v>
      </c>
      <c r="E3527" s="407">
        <f t="shared" si="110"/>
        <v>28.61</v>
      </c>
      <c r="F3527">
        <f t="shared" si="111"/>
        <v>92687</v>
      </c>
      <c r="H3527" s="680">
        <v>28.61</v>
      </c>
      <c r="I3527" s="680">
        <v>29.41</v>
      </c>
    </row>
    <row r="3528" spans="2:9" ht="30">
      <c r="B3528" s="396">
        <v>92688</v>
      </c>
      <c r="C3528" s="401" t="s">
        <v>4922</v>
      </c>
      <c r="D3528" s="396" t="s">
        <v>22</v>
      </c>
      <c r="E3528" s="405">
        <f t="shared" si="110"/>
        <v>39.29</v>
      </c>
      <c r="F3528">
        <f t="shared" si="111"/>
        <v>92688</v>
      </c>
      <c r="H3528" s="679">
        <v>39.29</v>
      </c>
      <c r="I3528" s="679">
        <v>40.65</v>
      </c>
    </row>
    <row r="3529" spans="2:9" ht="30">
      <c r="B3529" s="395">
        <v>92689</v>
      </c>
      <c r="C3529" s="406" t="s">
        <v>4923</v>
      </c>
      <c r="D3529" s="395" t="s">
        <v>22</v>
      </c>
      <c r="E3529" s="407">
        <f t="shared" si="110"/>
        <v>50.48</v>
      </c>
      <c r="F3529">
        <f t="shared" si="111"/>
        <v>92689</v>
      </c>
      <c r="H3529" s="680">
        <v>50.48</v>
      </c>
      <c r="I3529" s="680">
        <v>51.29</v>
      </c>
    </row>
    <row r="3530" spans="2:9" ht="30">
      <c r="B3530" s="396">
        <v>92690</v>
      </c>
      <c r="C3530" s="401" t="s">
        <v>4924</v>
      </c>
      <c r="D3530" s="396" t="s">
        <v>22</v>
      </c>
      <c r="E3530" s="405">
        <f t="shared" si="110"/>
        <v>71.400000000000006</v>
      </c>
      <c r="F3530">
        <f t="shared" si="111"/>
        <v>92690</v>
      </c>
      <c r="H3530" s="679">
        <v>71.400000000000006</v>
      </c>
      <c r="I3530" s="679">
        <v>72.78</v>
      </c>
    </row>
    <row r="3531" spans="2:9" ht="30">
      <c r="B3531" s="395">
        <v>92691</v>
      </c>
      <c r="C3531" s="406" t="s">
        <v>4925</v>
      </c>
      <c r="D3531" s="395" t="s">
        <v>22</v>
      </c>
      <c r="E3531" s="407">
        <f t="shared" si="110"/>
        <v>90.36</v>
      </c>
      <c r="F3531">
        <f t="shared" si="111"/>
        <v>92691</v>
      </c>
      <c r="H3531" s="680">
        <v>90.36</v>
      </c>
      <c r="I3531" s="680">
        <v>93.06</v>
      </c>
    </row>
    <row r="3532" spans="2:9" ht="30">
      <c r="B3532" s="396">
        <v>94462</v>
      </c>
      <c r="C3532" s="401" t="s">
        <v>1563</v>
      </c>
      <c r="D3532" s="396" t="s">
        <v>22</v>
      </c>
      <c r="E3532" s="405">
        <f t="shared" si="110"/>
        <v>102.58</v>
      </c>
      <c r="F3532">
        <f t="shared" si="111"/>
        <v>94462</v>
      </c>
      <c r="H3532" s="679">
        <v>102.58</v>
      </c>
      <c r="I3532" s="679">
        <v>105.24</v>
      </c>
    </row>
    <row r="3533" spans="2:9" ht="30">
      <c r="B3533" s="395">
        <v>94463</v>
      </c>
      <c r="C3533" s="406" t="s">
        <v>1564</v>
      </c>
      <c r="D3533" s="395" t="s">
        <v>22</v>
      </c>
      <c r="E3533" s="407">
        <f t="shared" si="110"/>
        <v>121.78</v>
      </c>
      <c r="F3533">
        <f t="shared" si="111"/>
        <v>94463</v>
      </c>
      <c r="H3533" s="680">
        <v>121.78</v>
      </c>
      <c r="I3533" s="680">
        <v>124.44</v>
      </c>
    </row>
    <row r="3534" spans="2:9" ht="30">
      <c r="B3534" s="396">
        <v>94464</v>
      </c>
      <c r="C3534" s="401" t="s">
        <v>1565</v>
      </c>
      <c r="D3534" s="396" t="s">
        <v>22</v>
      </c>
      <c r="E3534" s="405">
        <f t="shared" si="110"/>
        <v>172.94</v>
      </c>
      <c r="F3534">
        <f t="shared" si="111"/>
        <v>94464</v>
      </c>
      <c r="H3534" s="679">
        <v>172.94</v>
      </c>
      <c r="I3534" s="679">
        <v>176.28</v>
      </c>
    </row>
    <row r="3535" spans="2:9" ht="30">
      <c r="B3535" s="395">
        <v>94602</v>
      </c>
      <c r="C3535" s="406" t="s">
        <v>2819</v>
      </c>
      <c r="D3535" s="395" t="s">
        <v>22</v>
      </c>
      <c r="E3535" s="407">
        <f t="shared" si="110"/>
        <v>201.79</v>
      </c>
      <c r="F3535">
        <f t="shared" si="111"/>
        <v>94602</v>
      </c>
      <c r="H3535" s="680">
        <v>201.79</v>
      </c>
      <c r="I3535" s="680">
        <v>204.93</v>
      </c>
    </row>
    <row r="3536" spans="2:9" ht="30">
      <c r="B3536" s="396">
        <v>94603</v>
      </c>
      <c r="C3536" s="401" t="s">
        <v>2820</v>
      </c>
      <c r="D3536" s="396" t="s">
        <v>22</v>
      </c>
      <c r="E3536" s="405">
        <f t="shared" si="110"/>
        <v>273.27</v>
      </c>
      <c r="F3536">
        <f t="shared" si="111"/>
        <v>94603</v>
      </c>
      <c r="H3536" s="679">
        <v>273.27</v>
      </c>
      <c r="I3536" s="679">
        <v>276.41000000000003</v>
      </c>
    </row>
    <row r="3537" spans="2:9" ht="30">
      <c r="B3537" s="395">
        <v>94604</v>
      </c>
      <c r="C3537" s="406" t="s">
        <v>2821</v>
      </c>
      <c r="D3537" s="395" t="s">
        <v>22</v>
      </c>
      <c r="E3537" s="407">
        <f t="shared" si="110"/>
        <v>375.07</v>
      </c>
      <c r="F3537">
        <f t="shared" si="111"/>
        <v>94604</v>
      </c>
      <c r="H3537" s="680">
        <v>375.07</v>
      </c>
      <c r="I3537" s="680">
        <v>378.49</v>
      </c>
    </row>
    <row r="3538" spans="2:9" ht="30">
      <c r="B3538" s="396">
        <v>94605</v>
      </c>
      <c r="C3538" s="401" t="s">
        <v>2822</v>
      </c>
      <c r="D3538" s="396" t="s">
        <v>22</v>
      </c>
      <c r="E3538" s="405">
        <f t="shared" si="110"/>
        <v>539.12</v>
      </c>
      <c r="F3538">
        <f t="shared" si="111"/>
        <v>94605</v>
      </c>
      <c r="H3538" s="679">
        <v>539.12</v>
      </c>
      <c r="I3538" s="679">
        <v>542.54</v>
      </c>
    </row>
    <row r="3539" spans="2:9" ht="30">
      <c r="B3539" s="395">
        <v>94648</v>
      </c>
      <c r="C3539" s="406" t="s">
        <v>1566</v>
      </c>
      <c r="D3539" s="395" t="s">
        <v>22</v>
      </c>
      <c r="E3539" s="407">
        <f t="shared" si="110"/>
        <v>10.7</v>
      </c>
      <c r="F3539">
        <f t="shared" si="111"/>
        <v>94648</v>
      </c>
      <c r="H3539" s="680">
        <v>10.7</v>
      </c>
      <c r="I3539" s="680">
        <v>11.31</v>
      </c>
    </row>
    <row r="3540" spans="2:9" ht="30">
      <c r="B3540" s="396">
        <v>94649</v>
      </c>
      <c r="C3540" s="401" t="s">
        <v>1567</v>
      </c>
      <c r="D3540" s="396" t="s">
        <v>22</v>
      </c>
      <c r="E3540" s="405">
        <f t="shared" si="110"/>
        <v>17.02</v>
      </c>
      <c r="F3540">
        <f t="shared" si="111"/>
        <v>94649</v>
      </c>
      <c r="H3540" s="679">
        <v>17.02</v>
      </c>
      <c r="I3540" s="679">
        <v>17.63</v>
      </c>
    </row>
    <row r="3541" spans="2:9" ht="30">
      <c r="B3541" s="395">
        <v>94650</v>
      </c>
      <c r="C3541" s="406" t="s">
        <v>1568</v>
      </c>
      <c r="D3541" s="395" t="s">
        <v>22</v>
      </c>
      <c r="E3541" s="407">
        <f t="shared" si="110"/>
        <v>25.67</v>
      </c>
      <c r="F3541">
        <f t="shared" si="111"/>
        <v>94650</v>
      </c>
      <c r="H3541" s="680">
        <v>25.67</v>
      </c>
      <c r="I3541" s="680">
        <v>26.54</v>
      </c>
    </row>
    <row r="3542" spans="2:9" ht="30">
      <c r="B3542" s="396">
        <v>94651</v>
      </c>
      <c r="C3542" s="401" t="s">
        <v>1569</v>
      </c>
      <c r="D3542" s="396" t="s">
        <v>22</v>
      </c>
      <c r="E3542" s="405">
        <f t="shared" si="110"/>
        <v>27.44</v>
      </c>
      <c r="F3542">
        <f t="shared" si="111"/>
        <v>94651</v>
      </c>
      <c r="H3542" s="679">
        <v>27.44</v>
      </c>
      <c r="I3542" s="679">
        <v>28.31</v>
      </c>
    </row>
    <row r="3543" spans="2:9" ht="30">
      <c r="B3543" s="395">
        <v>94652</v>
      </c>
      <c r="C3543" s="406" t="s">
        <v>1570</v>
      </c>
      <c r="D3543" s="395" t="s">
        <v>22</v>
      </c>
      <c r="E3543" s="407">
        <f t="shared" si="110"/>
        <v>43.85</v>
      </c>
      <c r="F3543">
        <f t="shared" si="111"/>
        <v>94652</v>
      </c>
      <c r="H3543" s="680">
        <v>43.85</v>
      </c>
      <c r="I3543" s="680">
        <v>45.27</v>
      </c>
    </row>
    <row r="3544" spans="2:9" ht="30">
      <c r="B3544" s="396">
        <v>94653</v>
      </c>
      <c r="C3544" s="401" t="s">
        <v>1571</v>
      </c>
      <c r="D3544" s="396" t="s">
        <v>22</v>
      </c>
      <c r="E3544" s="405">
        <f t="shared" si="110"/>
        <v>64.680000000000007</v>
      </c>
      <c r="F3544">
        <f t="shared" si="111"/>
        <v>94653</v>
      </c>
      <c r="H3544" s="679">
        <v>64.680000000000007</v>
      </c>
      <c r="I3544" s="679">
        <v>66.099999999999994</v>
      </c>
    </row>
    <row r="3545" spans="2:9" ht="30">
      <c r="B3545" s="395">
        <v>94654</v>
      </c>
      <c r="C3545" s="406" t="s">
        <v>1572</v>
      </c>
      <c r="D3545" s="395" t="s">
        <v>22</v>
      </c>
      <c r="E3545" s="407">
        <f t="shared" si="110"/>
        <v>90.79</v>
      </c>
      <c r="F3545">
        <f t="shared" si="111"/>
        <v>94654</v>
      </c>
      <c r="H3545" s="680">
        <v>90.79</v>
      </c>
      <c r="I3545" s="680">
        <v>93.27</v>
      </c>
    </row>
    <row r="3546" spans="2:9" ht="30">
      <c r="B3546" s="396">
        <v>94655</v>
      </c>
      <c r="C3546" s="401" t="s">
        <v>1573</v>
      </c>
      <c r="D3546" s="396" t="s">
        <v>22</v>
      </c>
      <c r="E3546" s="405">
        <f t="shared" si="110"/>
        <v>130.02000000000001</v>
      </c>
      <c r="F3546">
        <f t="shared" si="111"/>
        <v>94655</v>
      </c>
      <c r="H3546" s="679">
        <v>130.02000000000001</v>
      </c>
      <c r="I3546" s="679">
        <v>132.5</v>
      </c>
    </row>
    <row r="3547" spans="2:9" ht="30">
      <c r="B3547" s="395">
        <v>94716</v>
      </c>
      <c r="C3547" s="406" t="s">
        <v>1574</v>
      </c>
      <c r="D3547" s="395" t="s">
        <v>22</v>
      </c>
      <c r="E3547" s="407">
        <f t="shared" si="110"/>
        <v>23.42</v>
      </c>
      <c r="F3547">
        <f t="shared" si="111"/>
        <v>94716</v>
      </c>
      <c r="H3547" s="680">
        <v>23.42</v>
      </c>
      <c r="I3547" s="680">
        <v>23.99</v>
      </c>
    </row>
    <row r="3548" spans="2:9" ht="30">
      <c r="B3548" s="396">
        <v>94717</v>
      </c>
      <c r="C3548" s="401" t="s">
        <v>1575</v>
      </c>
      <c r="D3548" s="396" t="s">
        <v>22</v>
      </c>
      <c r="E3548" s="405">
        <f t="shared" si="110"/>
        <v>36.81</v>
      </c>
      <c r="F3548">
        <f t="shared" si="111"/>
        <v>94717</v>
      </c>
      <c r="H3548" s="679">
        <v>36.81</v>
      </c>
      <c r="I3548" s="679">
        <v>37.380000000000003</v>
      </c>
    </row>
    <row r="3549" spans="2:9" ht="30">
      <c r="B3549" s="395">
        <v>94718</v>
      </c>
      <c r="C3549" s="406" t="s">
        <v>1576</v>
      </c>
      <c r="D3549" s="395" t="s">
        <v>22</v>
      </c>
      <c r="E3549" s="407">
        <f t="shared" si="110"/>
        <v>47.6</v>
      </c>
      <c r="F3549">
        <f t="shared" si="111"/>
        <v>94718</v>
      </c>
      <c r="H3549" s="680">
        <v>47.6</v>
      </c>
      <c r="I3549" s="680">
        <v>48.35</v>
      </c>
    </row>
    <row r="3550" spans="2:9" ht="30">
      <c r="B3550" s="396">
        <v>94719</v>
      </c>
      <c r="C3550" s="401" t="s">
        <v>1577</v>
      </c>
      <c r="D3550" s="396" t="s">
        <v>22</v>
      </c>
      <c r="E3550" s="405">
        <f t="shared" si="110"/>
        <v>61.54</v>
      </c>
      <c r="F3550">
        <f t="shared" si="111"/>
        <v>94719</v>
      </c>
      <c r="H3550" s="679">
        <v>61.54</v>
      </c>
      <c r="I3550" s="679">
        <v>62.29</v>
      </c>
    </row>
    <row r="3551" spans="2:9" ht="30">
      <c r="B3551" s="395">
        <v>94720</v>
      </c>
      <c r="C3551" s="406" t="s">
        <v>1578</v>
      </c>
      <c r="D3551" s="395" t="s">
        <v>22</v>
      </c>
      <c r="E3551" s="407">
        <f t="shared" si="110"/>
        <v>89.34</v>
      </c>
      <c r="F3551">
        <f t="shared" si="111"/>
        <v>94720</v>
      </c>
      <c r="H3551" s="680">
        <v>89.34</v>
      </c>
      <c r="I3551" s="680">
        <v>90.64</v>
      </c>
    </row>
    <row r="3552" spans="2:9" ht="30">
      <c r="B3552" s="396">
        <v>94721</v>
      </c>
      <c r="C3552" s="401" t="s">
        <v>1579</v>
      </c>
      <c r="D3552" s="396" t="s">
        <v>22</v>
      </c>
      <c r="E3552" s="405">
        <f t="shared" si="110"/>
        <v>137.56</v>
      </c>
      <c r="F3552">
        <f t="shared" si="111"/>
        <v>94721</v>
      </c>
      <c r="H3552" s="679">
        <v>137.56</v>
      </c>
      <c r="I3552" s="679">
        <v>138.86000000000001</v>
      </c>
    </row>
    <row r="3553" spans="2:9" ht="30">
      <c r="B3553" s="395">
        <v>94722</v>
      </c>
      <c r="C3553" s="406" t="s">
        <v>1580</v>
      </c>
      <c r="D3553" s="395" t="s">
        <v>22</v>
      </c>
      <c r="E3553" s="407">
        <f t="shared" si="110"/>
        <v>236.97</v>
      </c>
      <c r="F3553">
        <f t="shared" si="111"/>
        <v>94722</v>
      </c>
      <c r="H3553" s="680">
        <v>236.97</v>
      </c>
      <c r="I3553" s="680">
        <v>239.61</v>
      </c>
    </row>
    <row r="3554" spans="2:9" ht="30">
      <c r="B3554" s="396">
        <v>94723</v>
      </c>
      <c r="C3554" s="401" t="s">
        <v>7758</v>
      </c>
      <c r="D3554" s="396" t="s">
        <v>22</v>
      </c>
      <c r="E3554" s="405">
        <f t="shared" si="110"/>
        <v>430.48</v>
      </c>
      <c r="F3554">
        <f t="shared" si="111"/>
        <v>94723</v>
      </c>
      <c r="H3554" s="679">
        <v>430.48</v>
      </c>
      <c r="I3554" s="679">
        <v>433.12</v>
      </c>
    </row>
    <row r="3555" spans="2:9" ht="30">
      <c r="B3555" s="395">
        <v>95697</v>
      </c>
      <c r="C3555" s="406" t="s">
        <v>4926</v>
      </c>
      <c r="D3555" s="395" t="s">
        <v>22</v>
      </c>
      <c r="E3555" s="407">
        <f t="shared" si="110"/>
        <v>102.32</v>
      </c>
      <c r="F3555">
        <f t="shared" si="111"/>
        <v>95697</v>
      </c>
      <c r="H3555" s="680">
        <v>102.32</v>
      </c>
      <c r="I3555" s="680">
        <v>102.88</v>
      </c>
    </row>
    <row r="3556" spans="2:9">
      <c r="B3556" s="396">
        <v>96635</v>
      </c>
      <c r="C3556" s="401" t="s">
        <v>7759</v>
      </c>
      <c r="D3556" s="396" t="s">
        <v>22</v>
      </c>
      <c r="E3556" s="405">
        <f t="shared" si="110"/>
        <v>35.07</v>
      </c>
      <c r="F3556">
        <f t="shared" si="111"/>
        <v>96635</v>
      </c>
      <c r="H3556" s="679">
        <v>35.07</v>
      </c>
      <c r="I3556" s="679">
        <v>37.549999999999997</v>
      </c>
    </row>
    <row r="3557" spans="2:9">
      <c r="B3557" s="395">
        <v>96636</v>
      </c>
      <c r="C3557" s="406" t="s">
        <v>7760</v>
      </c>
      <c r="D3557" s="395" t="s">
        <v>22</v>
      </c>
      <c r="E3557" s="407">
        <f t="shared" si="110"/>
        <v>37.32</v>
      </c>
      <c r="F3557">
        <f t="shared" si="111"/>
        <v>96636</v>
      </c>
      <c r="H3557" s="680">
        <v>37.32</v>
      </c>
      <c r="I3557" s="680">
        <v>39.869999999999997</v>
      </c>
    </row>
    <row r="3558" spans="2:9">
      <c r="B3558" s="396">
        <v>96644</v>
      </c>
      <c r="C3558" s="401" t="s">
        <v>7761</v>
      </c>
      <c r="D3558" s="396" t="s">
        <v>22</v>
      </c>
      <c r="E3558" s="405">
        <f t="shared" si="110"/>
        <v>20.3</v>
      </c>
      <c r="F3558">
        <f t="shared" si="111"/>
        <v>96644</v>
      </c>
      <c r="H3558" s="679">
        <v>20.3</v>
      </c>
      <c r="I3558" s="679">
        <v>21.09</v>
      </c>
    </row>
    <row r="3559" spans="2:9">
      <c r="B3559" s="395">
        <v>96645</v>
      </c>
      <c r="C3559" s="406" t="s">
        <v>7762</v>
      </c>
      <c r="D3559" s="395" t="s">
        <v>22</v>
      </c>
      <c r="E3559" s="407">
        <f t="shared" si="110"/>
        <v>17.809999999999999</v>
      </c>
      <c r="F3559">
        <f t="shared" si="111"/>
        <v>96645</v>
      </c>
      <c r="H3559" s="680">
        <v>17.809999999999999</v>
      </c>
      <c r="I3559" s="680">
        <v>18.59</v>
      </c>
    </row>
    <row r="3560" spans="2:9">
      <c r="B3560" s="396">
        <v>96646</v>
      </c>
      <c r="C3560" s="401" t="s">
        <v>7763</v>
      </c>
      <c r="D3560" s="396" t="s">
        <v>22</v>
      </c>
      <c r="E3560" s="405">
        <f t="shared" si="110"/>
        <v>22.03</v>
      </c>
      <c r="F3560">
        <f t="shared" si="111"/>
        <v>96646</v>
      </c>
      <c r="H3560" s="679">
        <v>22.03</v>
      </c>
      <c r="I3560" s="679">
        <v>22.85</v>
      </c>
    </row>
    <row r="3561" spans="2:9">
      <c r="B3561" s="395">
        <v>96647</v>
      </c>
      <c r="C3561" s="406" t="s">
        <v>7764</v>
      </c>
      <c r="D3561" s="395" t="s">
        <v>22</v>
      </c>
      <c r="E3561" s="407">
        <f t="shared" si="110"/>
        <v>22.12</v>
      </c>
      <c r="F3561">
        <f t="shared" si="111"/>
        <v>96647</v>
      </c>
      <c r="H3561" s="680">
        <v>22.12</v>
      </c>
      <c r="I3561" s="680">
        <v>22.93</v>
      </c>
    </row>
    <row r="3562" spans="2:9">
      <c r="B3562" s="396">
        <v>96648</v>
      </c>
      <c r="C3562" s="401" t="s">
        <v>7765</v>
      </c>
      <c r="D3562" s="396" t="s">
        <v>22</v>
      </c>
      <c r="E3562" s="405">
        <f t="shared" si="110"/>
        <v>27.59</v>
      </c>
      <c r="F3562">
        <f t="shared" si="111"/>
        <v>96648</v>
      </c>
      <c r="H3562" s="679">
        <v>27.59</v>
      </c>
      <c r="I3562" s="679">
        <v>28.44</v>
      </c>
    </row>
    <row r="3563" spans="2:9">
      <c r="B3563" s="395">
        <v>96649</v>
      </c>
      <c r="C3563" s="406" t="s">
        <v>7766</v>
      </c>
      <c r="D3563" s="395" t="s">
        <v>22</v>
      </c>
      <c r="E3563" s="407">
        <f t="shared" si="110"/>
        <v>36.92</v>
      </c>
      <c r="F3563">
        <f t="shared" si="111"/>
        <v>96649</v>
      </c>
      <c r="H3563" s="680">
        <v>36.92</v>
      </c>
      <c r="I3563" s="680">
        <v>37.83</v>
      </c>
    </row>
    <row r="3564" spans="2:9">
      <c r="B3564" s="396">
        <v>96668</v>
      </c>
      <c r="C3564" s="401" t="s">
        <v>7767</v>
      </c>
      <c r="D3564" s="396" t="s">
        <v>22</v>
      </c>
      <c r="E3564" s="405">
        <f t="shared" si="110"/>
        <v>16.36</v>
      </c>
      <c r="F3564">
        <f t="shared" si="111"/>
        <v>96668</v>
      </c>
      <c r="H3564" s="679">
        <v>16.36</v>
      </c>
      <c r="I3564" s="679">
        <v>16.7</v>
      </c>
    </row>
    <row r="3565" spans="2:9">
      <c r="B3565" s="395">
        <v>96669</v>
      </c>
      <c r="C3565" s="406" t="s">
        <v>7768</v>
      </c>
      <c r="D3565" s="395" t="s">
        <v>22</v>
      </c>
      <c r="E3565" s="407">
        <f t="shared" si="110"/>
        <v>15.72</v>
      </c>
      <c r="F3565">
        <f t="shared" si="111"/>
        <v>96669</v>
      </c>
      <c r="H3565" s="680">
        <v>15.72</v>
      </c>
      <c r="I3565" s="680">
        <v>16.260000000000002</v>
      </c>
    </row>
    <row r="3566" spans="2:9">
      <c r="B3566" s="396">
        <v>96670</v>
      </c>
      <c r="C3566" s="401" t="s">
        <v>7769</v>
      </c>
      <c r="D3566" s="396" t="s">
        <v>22</v>
      </c>
      <c r="E3566" s="405">
        <f t="shared" si="110"/>
        <v>20.53</v>
      </c>
      <c r="F3566">
        <f t="shared" si="111"/>
        <v>96670</v>
      </c>
      <c r="H3566" s="679">
        <v>20.53</v>
      </c>
      <c r="I3566" s="679">
        <v>21.18</v>
      </c>
    </row>
    <row r="3567" spans="2:9">
      <c r="B3567" s="395">
        <v>96671</v>
      </c>
      <c r="C3567" s="406" t="s">
        <v>7770</v>
      </c>
      <c r="D3567" s="395" t="s">
        <v>22</v>
      </c>
      <c r="E3567" s="407">
        <f t="shared" si="110"/>
        <v>31.45</v>
      </c>
      <c r="F3567">
        <f t="shared" si="111"/>
        <v>96671</v>
      </c>
      <c r="H3567" s="680">
        <v>31.45</v>
      </c>
      <c r="I3567" s="680">
        <v>32.24</v>
      </c>
    </row>
    <row r="3568" spans="2:9">
      <c r="B3568" s="396">
        <v>96672</v>
      </c>
      <c r="C3568" s="401" t="s">
        <v>7771</v>
      </c>
      <c r="D3568" s="396" t="s">
        <v>22</v>
      </c>
      <c r="E3568" s="405">
        <f t="shared" si="110"/>
        <v>48.36</v>
      </c>
      <c r="F3568">
        <f t="shared" si="111"/>
        <v>96672</v>
      </c>
      <c r="H3568" s="679">
        <v>48.36</v>
      </c>
      <c r="I3568" s="679">
        <v>49.33</v>
      </c>
    </row>
    <row r="3569" spans="2:9">
      <c r="B3569" s="395">
        <v>96673</v>
      </c>
      <c r="C3569" s="406" t="s">
        <v>7772</v>
      </c>
      <c r="D3569" s="395" t="s">
        <v>22</v>
      </c>
      <c r="E3569" s="407">
        <f t="shared" si="110"/>
        <v>61.16</v>
      </c>
      <c r="F3569">
        <f t="shared" si="111"/>
        <v>96673</v>
      </c>
      <c r="H3569" s="680">
        <v>61.16</v>
      </c>
      <c r="I3569" s="680">
        <v>62.3</v>
      </c>
    </row>
    <row r="3570" spans="2:9">
      <c r="B3570" s="396">
        <v>96674</v>
      </c>
      <c r="C3570" s="401" t="s">
        <v>7773</v>
      </c>
      <c r="D3570" s="396" t="s">
        <v>22</v>
      </c>
      <c r="E3570" s="405">
        <f t="shared" si="110"/>
        <v>99.8</v>
      </c>
      <c r="F3570">
        <f t="shared" si="111"/>
        <v>96674</v>
      </c>
      <c r="H3570" s="679">
        <v>99.8</v>
      </c>
      <c r="I3570" s="679">
        <v>101.15</v>
      </c>
    </row>
    <row r="3571" spans="2:9">
      <c r="B3571" s="395">
        <v>96675</v>
      </c>
      <c r="C3571" s="406" t="s">
        <v>7774</v>
      </c>
      <c r="D3571" s="395" t="s">
        <v>22</v>
      </c>
      <c r="E3571" s="407">
        <f t="shared" si="110"/>
        <v>145.72</v>
      </c>
      <c r="F3571">
        <f t="shared" si="111"/>
        <v>96675</v>
      </c>
      <c r="H3571" s="680">
        <v>145.72</v>
      </c>
      <c r="I3571" s="680">
        <v>147.34</v>
      </c>
    </row>
    <row r="3572" spans="2:9">
      <c r="B3572" s="396">
        <v>96676</v>
      </c>
      <c r="C3572" s="401" t="s">
        <v>7775</v>
      </c>
      <c r="D3572" s="396" t="s">
        <v>22</v>
      </c>
      <c r="E3572" s="405">
        <f t="shared" si="110"/>
        <v>20.32</v>
      </c>
      <c r="F3572">
        <f t="shared" si="111"/>
        <v>96676</v>
      </c>
      <c r="H3572" s="679">
        <v>20.32</v>
      </c>
      <c r="I3572" s="679">
        <v>20.93</v>
      </c>
    </row>
    <row r="3573" spans="2:9">
      <c r="B3573" s="395">
        <v>96677</v>
      </c>
      <c r="C3573" s="406" t="s">
        <v>7776</v>
      </c>
      <c r="D3573" s="395" t="s">
        <v>22</v>
      </c>
      <c r="E3573" s="407">
        <f t="shared" si="110"/>
        <v>26.58</v>
      </c>
      <c r="F3573">
        <f t="shared" si="111"/>
        <v>96677</v>
      </c>
      <c r="H3573" s="680">
        <v>26.58</v>
      </c>
      <c r="I3573" s="680">
        <v>27.32</v>
      </c>
    </row>
    <row r="3574" spans="2:9">
      <c r="B3574" s="396">
        <v>96678</v>
      </c>
      <c r="C3574" s="401" t="s">
        <v>7777</v>
      </c>
      <c r="D3574" s="396" t="s">
        <v>22</v>
      </c>
      <c r="E3574" s="405">
        <f t="shared" si="110"/>
        <v>36.82</v>
      </c>
      <c r="F3574">
        <f t="shared" si="111"/>
        <v>96678</v>
      </c>
      <c r="H3574" s="679">
        <v>36.82</v>
      </c>
      <c r="I3574" s="679">
        <v>37.700000000000003</v>
      </c>
    </row>
    <row r="3575" spans="2:9">
      <c r="B3575" s="395">
        <v>96679</v>
      </c>
      <c r="C3575" s="406" t="s">
        <v>7778</v>
      </c>
      <c r="D3575" s="395" t="s">
        <v>22</v>
      </c>
      <c r="E3575" s="407">
        <f t="shared" si="110"/>
        <v>55.36</v>
      </c>
      <c r="F3575">
        <f t="shared" si="111"/>
        <v>96679</v>
      </c>
      <c r="H3575" s="680">
        <v>55.36</v>
      </c>
      <c r="I3575" s="680">
        <v>56.43</v>
      </c>
    </row>
    <row r="3576" spans="2:9">
      <c r="B3576" s="396">
        <v>96680</v>
      </c>
      <c r="C3576" s="401" t="s">
        <v>7779</v>
      </c>
      <c r="D3576" s="396" t="s">
        <v>22</v>
      </c>
      <c r="E3576" s="405">
        <f t="shared" si="110"/>
        <v>92.4</v>
      </c>
      <c r="F3576">
        <f t="shared" si="111"/>
        <v>96680</v>
      </c>
      <c r="H3576" s="679">
        <v>92.4</v>
      </c>
      <c r="I3576" s="679">
        <v>93.74</v>
      </c>
    </row>
    <row r="3577" spans="2:9">
      <c r="B3577" s="395">
        <v>96681</v>
      </c>
      <c r="C3577" s="406" t="s">
        <v>7780</v>
      </c>
      <c r="D3577" s="395" t="s">
        <v>22</v>
      </c>
      <c r="E3577" s="407">
        <f t="shared" si="110"/>
        <v>124.8</v>
      </c>
      <c r="F3577">
        <f t="shared" si="111"/>
        <v>96681</v>
      </c>
      <c r="H3577" s="680">
        <v>124.8</v>
      </c>
      <c r="I3577" s="680">
        <v>126.35</v>
      </c>
    </row>
    <row r="3578" spans="2:9">
      <c r="B3578" s="396">
        <v>96682</v>
      </c>
      <c r="C3578" s="401" t="s">
        <v>7781</v>
      </c>
      <c r="D3578" s="396" t="s">
        <v>22</v>
      </c>
      <c r="E3578" s="405">
        <f t="shared" si="110"/>
        <v>207.27</v>
      </c>
      <c r="F3578">
        <f t="shared" si="111"/>
        <v>96682</v>
      </c>
      <c r="H3578" s="679">
        <v>207.27</v>
      </c>
      <c r="I3578" s="679">
        <v>209.1</v>
      </c>
    </row>
    <row r="3579" spans="2:9">
      <c r="B3579" s="395">
        <v>96683</v>
      </c>
      <c r="C3579" s="406" t="s">
        <v>7782</v>
      </c>
      <c r="D3579" s="395" t="s">
        <v>22</v>
      </c>
      <c r="E3579" s="407">
        <f t="shared" si="110"/>
        <v>285.06</v>
      </c>
      <c r="F3579">
        <f t="shared" si="111"/>
        <v>96683</v>
      </c>
      <c r="H3579" s="680">
        <v>285.06</v>
      </c>
      <c r="I3579" s="680">
        <v>287.27</v>
      </c>
    </row>
    <row r="3580" spans="2:9" ht="30">
      <c r="B3580" s="396">
        <v>96718</v>
      </c>
      <c r="C3580" s="401" t="s">
        <v>2183</v>
      </c>
      <c r="D3580" s="396" t="s">
        <v>22</v>
      </c>
      <c r="E3580" s="405">
        <f t="shared" si="110"/>
        <v>9.82</v>
      </c>
      <c r="F3580">
        <f t="shared" si="111"/>
        <v>96718</v>
      </c>
      <c r="H3580" s="679">
        <v>9.82</v>
      </c>
      <c r="I3580" s="679">
        <v>9.84</v>
      </c>
    </row>
    <row r="3581" spans="2:9" ht="30">
      <c r="B3581" s="395">
        <v>96719</v>
      </c>
      <c r="C3581" s="406" t="s">
        <v>2184</v>
      </c>
      <c r="D3581" s="395" t="s">
        <v>22</v>
      </c>
      <c r="E3581" s="407">
        <f t="shared" si="110"/>
        <v>18.12</v>
      </c>
      <c r="F3581">
        <f t="shared" si="111"/>
        <v>96719</v>
      </c>
      <c r="H3581" s="680">
        <v>18.12</v>
      </c>
      <c r="I3581" s="680">
        <v>18.72</v>
      </c>
    </row>
    <row r="3582" spans="2:9" ht="30">
      <c r="B3582" s="396">
        <v>96720</v>
      </c>
      <c r="C3582" s="401" t="s">
        <v>2185</v>
      </c>
      <c r="D3582" s="396" t="s">
        <v>22</v>
      </c>
      <c r="E3582" s="405">
        <f t="shared" si="110"/>
        <v>16.559999999999999</v>
      </c>
      <c r="F3582">
        <f t="shared" si="111"/>
        <v>96720</v>
      </c>
      <c r="H3582" s="679">
        <v>16.559999999999999</v>
      </c>
      <c r="I3582" s="679">
        <v>17.260000000000002</v>
      </c>
    </row>
    <row r="3583" spans="2:9" ht="30">
      <c r="B3583" s="395">
        <v>96721</v>
      </c>
      <c r="C3583" s="406" t="s">
        <v>2186</v>
      </c>
      <c r="D3583" s="395" t="s">
        <v>22</v>
      </c>
      <c r="E3583" s="407">
        <f t="shared" si="110"/>
        <v>20.23</v>
      </c>
      <c r="F3583">
        <f t="shared" si="111"/>
        <v>96721</v>
      </c>
      <c r="H3583" s="680">
        <v>20.23</v>
      </c>
      <c r="I3583" s="680">
        <v>20.93</v>
      </c>
    </row>
    <row r="3584" spans="2:9" ht="30">
      <c r="B3584" s="396">
        <v>96722</v>
      </c>
      <c r="C3584" s="401" t="s">
        <v>2187</v>
      </c>
      <c r="D3584" s="396" t="s">
        <v>22</v>
      </c>
      <c r="E3584" s="405">
        <f t="shared" si="110"/>
        <v>32.44</v>
      </c>
      <c r="F3584">
        <f t="shared" si="111"/>
        <v>96722</v>
      </c>
      <c r="H3584" s="679">
        <v>32.44</v>
      </c>
      <c r="I3584" s="679">
        <v>33.51</v>
      </c>
    </row>
    <row r="3585" spans="2:9" ht="30">
      <c r="B3585" s="395">
        <v>96723</v>
      </c>
      <c r="C3585" s="406" t="s">
        <v>2188</v>
      </c>
      <c r="D3585" s="395" t="s">
        <v>22</v>
      </c>
      <c r="E3585" s="407">
        <f t="shared" si="110"/>
        <v>46.95</v>
      </c>
      <c r="F3585">
        <f t="shared" si="111"/>
        <v>96723</v>
      </c>
      <c r="H3585" s="680">
        <v>46.95</v>
      </c>
      <c r="I3585" s="680">
        <v>48.02</v>
      </c>
    </row>
    <row r="3586" spans="2:9" ht="30">
      <c r="B3586" s="396">
        <v>96724</v>
      </c>
      <c r="C3586" s="401" t="s">
        <v>2189</v>
      </c>
      <c r="D3586" s="396" t="s">
        <v>22</v>
      </c>
      <c r="E3586" s="405">
        <f t="shared" si="110"/>
        <v>62.47</v>
      </c>
      <c r="F3586">
        <f t="shared" si="111"/>
        <v>96724</v>
      </c>
      <c r="H3586" s="679">
        <v>62.47</v>
      </c>
      <c r="I3586" s="679">
        <v>64.23</v>
      </c>
    </row>
    <row r="3587" spans="2:9" ht="30">
      <c r="B3587" s="395">
        <v>96725</v>
      </c>
      <c r="C3587" s="406" t="s">
        <v>2190</v>
      </c>
      <c r="D3587" s="395" t="s">
        <v>22</v>
      </c>
      <c r="E3587" s="407">
        <f t="shared" ref="E3587:E3650" si="112">IF($K$2=$H$1,H3587,I3587)</f>
        <v>96.5</v>
      </c>
      <c r="F3587">
        <f t="shared" ref="F3587:F3650" si="113">IF(LEN($B3587)=7,CONCATENATE(MID($B3587,1,6),"00",RIGHT($B3587,1)),IF(LEN($B3587)=8,CONCATENATE(MID($B3587,1,6),"0",RIGHT($B3587,2)),$B3587))</f>
        <v>96725</v>
      </c>
      <c r="H3587" s="680">
        <v>96.5</v>
      </c>
      <c r="I3587" s="680">
        <v>98.26</v>
      </c>
    </row>
    <row r="3588" spans="2:9" ht="30">
      <c r="B3588" s="396">
        <v>96726</v>
      </c>
      <c r="C3588" s="401" t="s">
        <v>2191</v>
      </c>
      <c r="D3588" s="396" t="s">
        <v>22</v>
      </c>
      <c r="E3588" s="405">
        <f t="shared" si="112"/>
        <v>136.71</v>
      </c>
      <c r="F3588">
        <f t="shared" si="113"/>
        <v>96726</v>
      </c>
      <c r="H3588" s="679">
        <v>136.71</v>
      </c>
      <c r="I3588" s="679">
        <v>139.47999999999999</v>
      </c>
    </row>
    <row r="3589" spans="2:9" ht="30">
      <c r="B3589" s="395">
        <v>96727</v>
      </c>
      <c r="C3589" s="406" t="s">
        <v>2192</v>
      </c>
      <c r="D3589" s="395" t="s">
        <v>22</v>
      </c>
      <c r="E3589" s="407">
        <f t="shared" si="112"/>
        <v>16.13</v>
      </c>
      <c r="F3589">
        <f t="shared" si="113"/>
        <v>96727</v>
      </c>
      <c r="H3589" s="680">
        <v>16.13</v>
      </c>
      <c r="I3589" s="680">
        <v>16.79</v>
      </c>
    </row>
    <row r="3590" spans="2:9" ht="30">
      <c r="B3590" s="396">
        <v>96728</v>
      </c>
      <c r="C3590" s="401" t="s">
        <v>2193</v>
      </c>
      <c r="D3590" s="396" t="s">
        <v>22</v>
      </c>
      <c r="E3590" s="405">
        <f t="shared" si="112"/>
        <v>20.149999999999999</v>
      </c>
      <c r="F3590">
        <f t="shared" si="113"/>
        <v>96728</v>
      </c>
      <c r="H3590" s="679">
        <v>20.149999999999999</v>
      </c>
      <c r="I3590" s="679">
        <v>20.81</v>
      </c>
    </row>
    <row r="3591" spans="2:9" ht="30">
      <c r="B3591" s="395">
        <v>96729</v>
      </c>
      <c r="C3591" s="406" t="s">
        <v>2194</v>
      </c>
      <c r="D3591" s="395" t="s">
        <v>22</v>
      </c>
      <c r="E3591" s="407">
        <f t="shared" si="112"/>
        <v>26.47</v>
      </c>
      <c r="F3591">
        <f t="shared" si="113"/>
        <v>96729</v>
      </c>
      <c r="H3591" s="680">
        <v>26.47</v>
      </c>
      <c r="I3591" s="680">
        <v>27.3</v>
      </c>
    </row>
    <row r="3592" spans="2:9" ht="30">
      <c r="B3592" s="396">
        <v>96730</v>
      </c>
      <c r="C3592" s="401" t="s">
        <v>2195</v>
      </c>
      <c r="D3592" s="396" t="s">
        <v>22</v>
      </c>
      <c r="E3592" s="405">
        <f t="shared" si="112"/>
        <v>34.99</v>
      </c>
      <c r="F3592">
        <f t="shared" si="113"/>
        <v>96730</v>
      </c>
      <c r="H3592" s="679">
        <v>34.99</v>
      </c>
      <c r="I3592" s="679">
        <v>35.82</v>
      </c>
    </row>
    <row r="3593" spans="2:9" ht="30">
      <c r="B3593" s="395">
        <v>96731</v>
      </c>
      <c r="C3593" s="406" t="s">
        <v>2196</v>
      </c>
      <c r="D3593" s="395" t="s">
        <v>22</v>
      </c>
      <c r="E3593" s="407">
        <f t="shared" si="112"/>
        <v>54.49</v>
      </c>
      <c r="F3593">
        <f t="shared" si="113"/>
        <v>96731</v>
      </c>
      <c r="H3593" s="680">
        <v>54.49</v>
      </c>
      <c r="I3593" s="680">
        <v>55.77</v>
      </c>
    </row>
    <row r="3594" spans="2:9" ht="30">
      <c r="B3594" s="396">
        <v>96732</v>
      </c>
      <c r="C3594" s="401" t="s">
        <v>2197</v>
      </c>
      <c r="D3594" s="396" t="s">
        <v>22</v>
      </c>
      <c r="E3594" s="405">
        <f t="shared" si="112"/>
        <v>87.52</v>
      </c>
      <c r="F3594">
        <f t="shared" si="113"/>
        <v>96732</v>
      </c>
      <c r="H3594" s="679">
        <v>87.52</v>
      </c>
      <c r="I3594" s="679">
        <v>88.8</v>
      </c>
    </row>
    <row r="3595" spans="2:9" ht="30">
      <c r="B3595" s="395">
        <v>96733</v>
      </c>
      <c r="C3595" s="406" t="s">
        <v>2198</v>
      </c>
      <c r="D3595" s="395" t="s">
        <v>22</v>
      </c>
      <c r="E3595" s="407">
        <f t="shared" si="112"/>
        <v>120.97</v>
      </c>
      <c r="F3595">
        <f t="shared" si="113"/>
        <v>96733</v>
      </c>
      <c r="H3595" s="680">
        <v>120.97</v>
      </c>
      <c r="I3595" s="680">
        <v>123.09</v>
      </c>
    </row>
    <row r="3596" spans="2:9" ht="30">
      <c r="B3596" s="396">
        <v>96734</v>
      </c>
      <c r="C3596" s="401" t="s">
        <v>2199</v>
      </c>
      <c r="D3596" s="396" t="s">
        <v>22</v>
      </c>
      <c r="E3596" s="405">
        <f t="shared" si="112"/>
        <v>194.89</v>
      </c>
      <c r="F3596">
        <f t="shared" si="113"/>
        <v>96734</v>
      </c>
      <c r="H3596" s="679">
        <v>194.89</v>
      </c>
      <c r="I3596" s="679">
        <v>197.01</v>
      </c>
    </row>
    <row r="3597" spans="2:9" ht="30">
      <c r="B3597" s="395">
        <v>96735</v>
      </c>
      <c r="C3597" s="406" t="s">
        <v>2200</v>
      </c>
      <c r="D3597" s="395" t="s">
        <v>22</v>
      </c>
      <c r="E3597" s="407">
        <f t="shared" si="112"/>
        <v>256.66000000000003</v>
      </c>
      <c r="F3597">
        <f t="shared" si="113"/>
        <v>96735</v>
      </c>
      <c r="H3597" s="680">
        <v>256.66000000000003</v>
      </c>
      <c r="I3597" s="680">
        <v>259.98</v>
      </c>
    </row>
    <row r="3598" spans="2:9">
      <c r="B3598" s="396">
        <v>96798</v>
      </c>
      <c r="C3598" s="401" t="s">
        <v>13758</v>
      </c>
      <c r="D3598" s="396" t="s">
        <v>22</v>
      </c>
      <c r="E3598" s="405">
        <f t="shared" si="112"/>
        <v>8.51</v>
      </c>
      <c r="F3598">
        <f t="shared" si="113"/>
        <v>96798</v>
      </c>
      <c r="H3598" s="679">
        <v>8.51</v>
      </c>
      <c r="I3598" s="679">
        <v>8.81</v>
      </c>
    </row>
    <row r="3599" spans="2:9">
      <c r="B3599" s="395">
        <v>96799</v>
      </c>
      <c r="C3599" s="406" t="s">
        <v>13759</v>
      </c>
      <c r="D3599" s="395" t="s">
        <v>22</v>
      </c>
      <c r="E3599" s="407">
        <f t="shared" si="112"/>
        <v>11.26</v>
      </c>
      <c r="F3599">
        <f t="shared" si="113"/>
        <v>96799</v>
      </c>
      <c r="H3599" s="680">
        <v>11.26</v>
      </c>
      <c r="I3599" s="680">
        <v>11.68</v>
      </c>
    </row>
    <row r="3600" spans="2:9">
      <c r="B3600" s="396">
        <v>96800</v>
      </c>
      <c r="C3600" s="401" t="s">
        <v>13760</v>
      </c>
      <c r="D3600" s="396" t="s">
        <v>22</v>
      </c>
      <c r="E3600" s="405">
        <f t="shared" si="112"/>
        <v>15.84</v>
      </c>
      <c r="F3600">
        <f t="shared" si="113"/>
        <v>96800</v>
      </c>
      <c r="H3600" s="679">
        <v>15.84</v>
      </c>
      <c r="I3600" s="679">
        <v>16.41</v>
      </c>
    </row>
    <row r="3601" spans="2:9">
      <c r="B3601" s="395">
        <v>96801</v>
      </c>
      <c r="C3601" s="406" t="s">
        <v>13761</v>
      </c>
      <c r="D3601" s="395" t="s">
        <v>22</v>
      </c>
      <c r="E3601" s="407">
        <f t="shared" si="112"/>
        <v>24.6</v>
      </c>
      <c r="F3601">
        <f t="shared" si="113"/>
        <v>96801</v>
      </c>
      <c r="H3601" s="680">
        <v>24.6</v>
      </c>
      <c r="I3601" s="680">
        <v>25.39</v>
      </c>
    </row>
    <row r="3602" spans="2:9" ht="30">
      <c r="B3602" s="396">
        <v>97327</v>
      </c>
      <c r="C3602" s="401" t="s">
        <v>2871</v>
      </c>
      <c r="D3602" s="396" t="s">
        <v>22</v>
      </c>
      <c r="E3602" s="405">
        <f t="shared" si="112"/>
        <v>29.69</v>
      </c>
      <c r="F3602">
        <f t="shared" si="113"/>
        <v>97327</v>
      </c>
      <c r="H3602" s="679">
        <v>29.69</v>
      </c>
      <c r="I3602" s="679">
        <v>29.94</v>
      </c>
    </row>
    <row r="3603" spans="2:9" ht="30">
      <c r="B3603" s="395">
        <v>97328</v>
      </c>
      <c r="C3603" s="406" t="s">
        <v>2823</v>
      </c>
      <c r="D3603" s="395" t="s">
        <v>22</v>
      </c>
      <c r="E3603" s="407">
        <f t="shared" si="112"/>
        <v>53.16</v>
      </c>
      <c r="F3603">
        <f t="shared" si="113"/>
        <v>97328</v>
      </c>
      <c r="H3603" s="680">
        <v>53.16</v>
      </c>
      <c r="I3603" s="680">
        <v>53.43</v>
      </c>
    </row>
    <row r="3604" spans="2:9" ht="30">
      <c r="B3604" s="396">
        <v>97329</v>
      </c>
      <c r="C3604" s="401" t="s">
        <v>2824</v>
      </c>
      <c r="D3604" s="396" t="s">
        <v>22</v>
      </c>
      <c r="E3604" s="405">
        <f t="shared" si="112"/>
        <v>65.94</v>
      </c>
      <c r="F3604">
        <f t="shared" si="113"/>
        <v>97329</v>
      </c>
      <c r="H3604" s="679">
        <v>65.94</v>
      </c>
      <c r="I3604" s="679">
        <v>66.209999999999994</v>
      </c>
    </row>
    <row r="3605" spans="2:9" ht="30">
      <c r="B3605" s="395">
        <v>97330</v>
      </c>
      <c r="C3605" s="406" t="s">
        <v>2825</v>
      </c>
      <c r="D3605" s="395" t="s">
        <v>22</v>
      </c>
      <c r="E3605" s="407">
        <f t="shared" si="112"/>
        <v>80.37</v>
      </c>
      <c r="F3605">
        <f t="shared" si="113"/>
        <v>97330</v>
      </c>
      <c r="H3605" s="680">
        <v>80.37</v>
      </c>
      <c r="I3605" s="680">
        <v>80.67</v>
      </c>
    </row>
    <row r="3606" spans="2:9" ht="30">
      <c r="B3606" s="396">
        <v>97331</v>
      </c>
      <c r="C3606" s="401" t="s">
        <v>2826</v>
      </c>
      <c r="D3606" s="396" t="s">
        <v>22</v>
      </c>
      <c r="E3606" s="405">
        <f t="shared" si="112"/>
        <v>29.97</v>
      </c>
      <c r="F3606">
        <f t="shared" si="113"/>
        <v>97331</v>
      </c>
      <c r="H3606" s="679">
        <v>29.97</v>
      </c>
      <c r="I3606" s="679">
        <v>30.25</v>
      </c>
    </row>
    <row r="3607" spans="2:9" ht="30">
      <c r="B3607" s="395">
        <v>97332</v>
      </c>
      <c r="C3607" s="406" t="s">
        <v>2827</v>
      </c>
      <c r="D3607" s="395" t="s">
        <v>22</v>
      </c>
      <c r="E3607" s="407">
        <f t="shared" si="112"/>
        <v>53.48</v>
      </c>
      <c r="F3607">
        <f t="shared" si="113"/>
        <v>97332</v>
      </c>
      <c r="H3607" s="680">
        <v>53.48</v>
      </c>
      <c r="I3607" s="680">
        <v>53.78</v>
      </c>
    </row>
    <row r="3608" spans="2:9" ht="30">
      <c r="B3608" s="396">
        <v>97333</v>
      </c>
      <c r="C3608" s="401" t="s">
        <v>2828</v>
      </c>
      <c r="D3608" s="396" t="s">
        <v>22</v>
      </c>
      <c r="E3608" s="405">
        <f t="shared" si="112"/>
        <v>66.319999999999993</v>
      </c>
      <c r="F3608">
        <f t="shared" si="113"/>
        <v>97333</v>
      </c>
      <c r="H3608" s="679">
        <v>66.319999999999993</v>
      </c>
      <c r="I3608" s="679">
        <v>66.66</v>
      </c>
    </row>
    <row r="3609" spans="2:9" ht="30">
      <c r="B3609" s="395">
        <v>97334</v>
      </c>
      <c r="C3609" s="406" t="s">
        <v>2872</v>
      </c>
      <c r="D3609" s="395" t="s">
        <v>22</v>
      </c>
      <c r="E3609" s="407">
        <f t="shared" si="112"/>
        <v>80.81</v>
      </c>
      <c r="F3609">
        <f t="shared" si="113"/>
        <v>97334</v>
      </c>
      <c r="H3609" s="680">
        <v>80.81</v>
      </c>
      <c r="I3609" s="680">
        <v>81.150000000000006</v>
      </c>
    </row>
    <row r="3610" spans="2:9" ht="30">
      <c r="B3610" s="396">
        <v>97335</v>
      </c>
      <c r="C3610" s="401" t="s">
        <v>6519</v>
      </c>
      <c r="D3610" s="396" t="s">
        <v>22</v>
      </c>
      <c r="E3610" s="405">
        <f t="shared" si="112"/>
        <v>77.489999999999995</v>
      </c>
      <c r="F3610">
        <f t="shared" si="113"/>
        <v>97335</v>
      </c>
      <c r="H3610" s="679">
        <v>77.489999999999995</v>
      </c>
      <c r="I3610" s="679">
        <v>77.69</v>
      </c>
    </row>
    <row r="3611" spans="2:9" ht="30">
      <c r="B3611" s="395">
        <v>97336</v>
      </c>
      <c r="C3611" s="406" t="s">
        <v>6520</v>
      </c>
      <c r="D3611" s="395" t="s">
        <v>22</v>
      </c>
      <c r="E3611" s="407">
        <f t="shared" si="112"/>
        <v>98.62</v>
      </c>
      <c r="F3611">
        <f t="shared" si="113"/>
        <v>97336</v>
      </c>
      <c r="H3611" s="680">
        <v>98.62</v>
      </c>
      <c r="I3611" s="680">
        <v>98.88</v>
      </c>
    </row>
    <row r="3612" spans="2:9" ht="30">
      <c r="B3612" s="396">
        <v>97337</v>
      </c>
      <c r="C3612" s="401" t="s">
        <v>6521</v>
      </c>
      <c r="D3612" s="396" t="s">
        <v>22</v>
      </c>
      <c r="E3612" s="405">
        <f t="shared" si="112"/>
        <v>148.38999999999999</v>
      </c>
      <c r="F3612">
        <f t="shared" si="113"/>
        <v>97337</v>
      </c>
      <c r="H3612" s="679">
        <v>148.38999999999999</v>
      </c>
      <c r="I3612" s="679">
        <v>148.72999999999999</v>
      </c>
    </row>
    <row r="3613" spans="2:9" ht="30">
      <c r="B3613" s="395">
        <v>97338</v>
      </c>
      <c r="C3613" s="406" t="s">
        <v>6522</v>
      </c>
      <c r="D3613" s="395" t="s">
        <v>22</v>
      </c>
      <c r="E3613" s="407">
        <f t="shared" si="112"/>
        <v>178.56</v>
      </c>
      <c r="F3613">
        <f t="shared" si="113"/>
        <v>97338</v>
      </c>
      <c r="H3613" s="680">
        <v>178.56</v>
      </c>
      <c r="I3613" s="680">
        <v>178.95</v>
      </c>
    </row>
    <row r="3614" spans="2:9" ht="30">
      <c r="B3614" s="396">
        <v>97339</v>
      </c>
      <c r="C3614" s="401" t="s">
        <v>6523</v>
      </c>
      <c r="D3614" s="396" t="s">
        <v>22</v>
      </c>
      <c r="E3614" s="405">
        <f t="shared" si="112"/>
        <v>192.2</v>
      </c>
      <c r="F3614">
        <f t="shared" si="113"/>
        <v>97339</v>
      </c>
      <c r="H3614" s="679">
        <v>192.2</v>
      </c>
      <c r="I3614" s="679">
        <v>192.72</v>
      </c>
    </row>
    <row r="3615" spans="2:9" ht="30">
      <c r="B3615" s="395">
        <v>97340</v>
      </c>
      <c r="C3615" s="406" t="s">
        <v>6524</v>
      </c>
      <c r="D3615" s="395" t="s">
        <v>22</v>
      </c>
      <c r="E3615" s="407">
        <f t="shared" si="112"/>
        <v>193.21</v>
      </c>
      <c r="F3615">
        <f t="shared" si="113"/>
        <v>97340</v>
      </c>
      <c r="H3615" s="680">
        <v>193.21</v>
      </c>
      <c r="I3615" s="680">
        <v>193.84</v>
      </c>
    </row>
    <row r="3616" spans="2:9" ht="30">
      <c r="B3616" s="396">
        <v>97347</v>
      </c>
      <c r="C3616" s="401" t="s">
        <v>2829</v>
      </c>
      <c r="D3616" s="396" t="s">
        <v>22</v>
      </c>
      <c r="E3616" s="405">
        <f t="shared" si="112"/>
        <v>93.4</v>
      </c>
      <c r="F3616">
        <f t="shared" si="113"/>
        <v>97347</v>
      </c>
      <c r="H3616" s="679">
        <v>93.4</v>
      </c>
      <c r="I3616" s="679">
        <v>93.62</v>
      </c>
    </row>
    <row r="3617" spans="2:9" ht="30">
      <c r="B3617" s="395">
        <v>97348</v>
      </c>
      <c r="C3617" s="406" t="s">
        <v>2830</v>
      </c>
      <c r="D3617" s="395" t="s">
        <v>22</v>
      </c>
      <c r="E3617" s="407">
        <f t="shared" si="112"/>
        <v>129.06</v>
      </c>
      <c r="F3617">
        <f t="shared" si="113"/>
        <v>97348</v>
      </c>
      <c r="H3617" s="680">
        <v>129.06</v>
      </c>
      <c r="I3617" s="680">
        <v>129.31</v>
      </c>
    </row>
    <row r="3618" spans="2:9" ht="30">
      <c r="B3618" s="396">
        <v>97349</v>
      </c>
      <c r="C3618" s="401" t="s">
        <v>2831</v>
      </c>
      <c r="D3618" s="396" t="s">
        <v>22</v>
      </c>
      <c r="E3618" s="405">
        <f t="shared" si="112"/>
        <v>186.06</v>
      </c>
      <c r="F3618">
        <f t="shared" si="113"/>
        <v>97349</v>
      </c>
      <c r="H3618" s="679">
        <v>186.06</v>
      </c>
      <c r="I3618" s="679">
        <v>186.37</v>
      </c>
    </row>
    <row r="3619" spans="2:9" ht="30">
      <c r="B3619" s="395">
        <v>97350</v>
      </c>
      <c r="C3619" s="406" t="s">
        <v>2832</v>
      </c>
      <c r="D3619" s="395" t="s">
        <v>22</v>
      </c>
      <c r="E3619" s="407">
        <f t="shared" si="112"/>
        <v>225.93</v>
      </c>
      <c r="F3619">
        <f t="shared" si="113"/>
        <v>97350</v>
      </c>
      <c r="H3619" s="680">
        <v>225.93</v>
      </c>
      <c r="I3619" s="680">
        <v>226.29</v>
      </c>
    </row>
    <row r="3620" spans="2:9" ht="30">
      <c r="B3620" s="396">
        <v>97351</v>
      </c>
      <c r="C3620" s="401" t="s">
        <v>2833</v>
      </c>
      <c r="D3620" s="396" t="s">
        <v>22</v>
      </c>
      <c r="E3620" s="405">
        <f t="shared" si="112"/>
        <v>312.45</v>
      </c>
      <c r="F3620">
        <f t="shared" si="113"/>
        <v>97351</v>
      </c>
      <c r="H3620" s="679">
        <v>312.45</v>
      </c>
      <c r="I3620" s="679">
        <v>312.88</v>
      </c>
    </row>
    <row r="3621" spans="2:9" ht="30">
      <c r="B3621" s="395">
        <v>97352</v>
      </c>
      <c r="C3621" s="406" t="s">
        <v>2834</v>
      </c>
      <c r="D3621" s="395" t="s">
        <v>22</v>
      </c>
      <c r="E3621" s="407">
        <f t="shared" si="112"/>
        <v>404.96</v>
      </c>
      <c r="F3621">
        <f t="shared" si="113"/>
        <v>97352</v>
      </c>
      <c r="H3621" s="680">
        <v>404.96</v>
      </c>
      <c r="I3621" s="680">
        <v>405.47</v>
      </c>
    </row>
    <row r="3622" spans="2:9" ht="30">
      <c r="B3622" s="396">
        <v>97353</v>
      </c>
      <c r="C3622" s="401" t="s">
        <v>2835</v>
      </c>
      <c r="D3622" s="396" t="s">
        <v>22</v>
      </c>
      <c r="E3622" s="405">
        <f t="shared" si="112"/>
        <v>61.1</v>
      </c>
      <c r="F3622">
        <f t="shared" si="113"/>
        <v>97353</v>
      </c>
      <c r="H3622" s="679">
        <v>61.1</v>
      </c>
      <c r="I3622" s="679">
        <v>61.68</v>
      </c>
    </row>
    <row r="3623" spans="2:9" ht="30">
      <c r="B3623" s="395">
        <v>97354</v>
      </c>
      <c r="C3623" s="406" t="s">
        <v>2836</v>
      </c>
      <c r="D3623" s="395" t="s">
        <v>22</v>
      </c>
      <c r="E3623" s="407">
        <f t="shared" si="112"/>
        <v>97.24</v>
      </c>
      <c r="F3623">
        <f t="shared" si="113"/>
        <v>97354</v>
      </c>
      <c r="H3623" s="680">
        <v>97.24</v>
      </c>
      <c r="I3623" s="680">
        <v>97.91</v>
      </c>
    </row>
    <row r="3624" spans="2:9" ht="30">
      <c r="B3624" s="396">
        <v>97355</v>
      </c>
      <c r="C3624" s="401" t="s">
        <v>2837</v>
      </c>
      <c r="D3624" s="396" t="s">
        <v>22</v>
      </c>
      <c r="E3624" s="405">
        <f t="shared" si="112"/>
        <v>133.16</v>
      </c>
      <c r="F3624">
        <f t="shared" si="113"/>
        <v>97355</v>
      </c>
      <c r="H3624" s="679">
        <v>133.16</v>
      </c>
      <c r="I3624" s="679">
        <v>133.9</v>
      </c>
    </row>
    <row r="3625" spans="2:9" ht="30">
      <c r="B3625" s="395">
        <v>97356</v>
      </c>
      <c r="C3625" s="406" t="s">
        <v>2838</v>
      </c>
      <c r="D3625" s="395" t="s">
        <v>22</v>
      </c>
      <c r="E3625" s="407">
        <f t="shared" si="112"/>
        <v>69.53</v>
      </c>
      <c r="F3625">
        <f t="shared" si="113"/>
        <v>97356</v>
      </c>
      <c r="H3625" s="680">
        <v>69.53</v>
      </c>
      <c r="I3625" s="680">
        <v>71.08</v>
      </c>
    </row>
    <row r="3626" spans="2:9" ht="30">
      <c r="B3626" s="396">
        <v>97357</v>
      </c>
      <c r="C3626" s="401" t="s">
        <v>2839</v>
      </c>
      <c r="D3626" s="396" t="s">
        <v>22</v>
      </c>
      <c r="E3626" s="405">
        <f t="shared" si="112"/>
        <v>111.71</v>
      </c>
      <c r="F3626">
        <f t="shared" si="113"/>
        <v>97357</v>
      </c>
      <c r="H3626" s="679">
        <v>111.71</v>
      </c>
      <c r="I3626" s="679">
        <v>114.06</v>
      </c>
    </row>
    <row r="3627" spans="2:9" ht="30">
      <c r="B3627" s="395">
        <v>97358</v>
      </c>
      <c r="C3627" s="406" t="s">
        <v>2840</v>
      </c>
      <c r="D3627" s="395" t="s">
        <v>22</v>
      </c>
      <c r="E3627" s="407">
        <f t="shared" si="112"/>
        <v>152.88999999999999</v>
      </c>
      <c r="F3627">
        <f t="shared" si="113"/>
        <v>97358</v>
      </c>
      <c r="H3627" s="680">
        <v>152.88999999999999</v>
      </c>
      <c r="I3627" s="680">
        <v>155.91999999999999</v>
      </c>
    </row>
    <row r="3628" spans="2:9" ht="30">
      <c r="B3628" s="396">
        <v>97498</v>
      </c>
      <c r="C3628" s="401" t="s">
        <v>4927</v>
      </c>
      <c r="D3628" s="396" t="s">
        <v>22</v>
      </c>
      <c r="E3628" s="405">
        <f t="shared" si="112"/>
        <v>47.33</v>
      </c>
      <c r="F3628">
        <f t="shared" si="113"/>
        <v>97498</v>
      </c>
      <c r="H3628" s="679">
        <v>47.33</v>
      </c>
      <c r="I3628" s="679">
        <v>48.08</v>
      </c>
    </row>
    <row r="3629" spans="2:9" ht="30">
      <c r="B3629" s="395">
        <v>97535</v>
      </c>
      <c r="C3629" s="406" t="s">
        <v>4928</v>
      </c>
      <c r="D3629" s="395" t="s">
        <v>22</v>
      </c>
      <c r="E3629" s="407">
        <f t="shared" si="112"/>
        <v>51.16</v>
      </c>
      <c r="F3629">
        <f t="shared" si="113"/>
        <v>97535</v>
      </c>
      <c r="H3629" s="680">
        <v>51.16</v>
      </c>
      <c r="I3629" s="680">
        <v>52.36</v>
      </c>
    </row>
    <row r="3630" spans="2:9" ht="30">
      <c r="B3630" s="396">
        <v>97536</v>
      </c>
      <c r="C3630" s="401" t="s">
        <v>4929</v>
      </c>
      <c r="D3630" s="396" t="s">
        <v>22</v>
      </c>
      <c r="E3630" s="405">
        <f t="shared" si="112"/>
        <v>59.98</v>
      </c>
      <c r="F3630">
        <f t="shared" si="113"/>
        <v>97536</v>
      </c>
      <c r="H3630" s="679">
        <v>59.98</v>
      </c>
      <c r="I3630" s="679">
        <v>62.19</v>
      </c>
    </row>
    <row r="3631" spans="2:9" ht="30">
      <c r="B3631" s="395">
        <v>100788</v>
      </c>
      <c r="C3631" s="406" t="s">
        <v>3829</v>
      </c>
      <c r="D3631" s="395" t="s">
        <v>23</v>
      </c>
      <c r="E3631" s="407">
        <f t="shared" si="112"/>
        <v>534.54999999999995</v>
      </c>
      <c r="F3631">
        <f t="shared" si="113"/>
        <v>100788</v>
      </c>
      <c r="H3631" s="680">
        <v>534.54999999999995</v>
      </c>
      <c r="I3631" s="680">
        <v>551.9</v>
      </c>
    </row>
    <row r="3632" spans="2:9" ht="30">
      <c r="B3632" s="396">
        <v>100791</v>
      </c>
      <c r="C3632" s="401" t="s">
        <v>3830</v>
      </c>
      <c r="D3632" s="396" t="s">
        <v>22</v>
      </c>
      <c r="E3632" s="405">
        <f t="shared" si="112"/>
        <v>17.34</v>
      </c>
      <c r="F3632">
        <f t="shared" si="113"/>
        <v>100791</v>
      </c>
      <c r="H3632" s="679">
        <v>17.34</v>
      </c>
      <c r="I3632" s="679">
        <v>18.07</v>
      </c>
    </row>
    <row r="3633" spans="2:9" ht="30">
      <c r="B3633" s="395">
        <v>100792</v>
      </c>
      <c r="C3633" s="406" t="s">
        <v>3831</v>
      </c>
      <c r="D3633" s="395" t="s">
        <v>22</v>
      </c>
      <c r="E3633" s="407">
        <f t="shared" si="112"/>
        <v>25.63</v>
      </c>
      <c r="F3633">
        <f t="shared" si="113"/>
        <v>100792</v>
      </c>
      <c r="H3633" s="680">
        <v>25.63</v>
      </c>
      <c r="I3633" s="680">
        <v>26.49</v>
      </c>
    </row>
    <row r="3634" spans="2:9" ht="30">
      <c r="B3634" s="396">
        <v>100793</v>
      </c>
      <c r="C3634" s="401" t="s">
        <v>3832</v>
      </c>
      <c r="D3634" s="396" t="s">
        <v>22</v>
      </c>
      <c r="E3634" s="405">
        <f t="shared" si="112"/>
        <v>34.11</v>
      </c>
      <c r="F3634">
        <f t="shared" si="113"/>
        <v>100793</v>
      </c>
      <c r="H3634" s="679">
        <v>34.11</v>
      </c>
      <c r="I3634" s="679">
        <v>35.14</v>
      </c>
    </row>
    <row r="3635" spans="2:9" ht="30">
      <c r="B3635" s="395">
        <v>100794</v>
      </c>
      <c r="C3635" s="406" t="s">
        <v>3833</v>
      </c>
      <c r="D3635" s="395" t="s">
        <v>22</v>
      </c>
      <c r="E3635" s="407">
        <f t="shared" si="112"/>
        <v>46.14</v>
      </c>
      <c r="F3635">
        <f t="shared" si="113"/>
        <v>100794</v>
      </c>
      <c r="H3635" s="680">
        <v>46.14</v>
      </c>
      <c r="I3635" s="680">
        <v>47.41</v>
      </c>
    </row>
    <row r="3636" spans="2:9" ht="30">
      <c r="B3636" s="396">
        <v>100799</v>
      </c>
      <c r="C3636" s="401" t="s">
        <v>5536</v>
      </c>
      <c r="D3636" s="396" t="s">
        <v>22</v>
      </c>
      <c r="E3636" s="405">
        <f t="shared" si="112"/>
        <v>17.739999999999998</v>
      </c>
      <c r="F3636">
        <f t="shared" si="113"/>
        <v>100799</v>
      </c>
      <c r="H3636" s="679">
        <v>17.739999999999998</v>
      </c>
      <c r="I3636" s="679">
        <v>18.5</v>
      </c>
    </row>
    <row r="3637" spans="2:9" ht="30">
      <c r="B3637" s="395">
        <v>100800</v>
      </c>
      <c r="C3637" s="406" t="s">
        <v>5537</v>
      </c>
      <c r="D3637" s="395" t="s">
        <v>22</v>
      </c>
      <c r="E3637" s="407">
        <f t="shared" si="112"/>
        <v>26.03</v>
      </c>
      <c r="F3637">
        <f t="shared" si="113"/>
        <v>100800</v>
      </c>
      <c r="H3637" s="680">
        <v>26.03</v>
      </c>
      <c r="I3637" s="680">
        <v>26.93</v>
      </c>
    </row>
    <row r="3638" spans="2:9" ht="30">
      <c r="B3638" s="396">
        <v>100801</v>
      </c>
      <c r="C3638" s="401" t="s">
        <v>5538</v>
      </c>
      <c r="D3638" s="396" t="s">
        <v>22</v>
      </c>
      <c r="E3638" s="405">
        <f t="shared" si="112"/>
        <v>34.5</v>
      </c>
      <c r="F3638">
        <f t="shared" si="113"/>
        <v>100801</v>
      </c>
      <c r="H3638" s="679">
        <v>34.5</v>
      </c>
      <c r="I3638" s="679">
        <v>35.58</v>
      </c>
    </row>
    <row r="3639" spans="2:9" ht="30">
      <c r="B3639" s="395">
        <v>100802</v>
      </c>
      <c r="C3639" s="406" t="s">
        <v>5539</v>
      </c>
      <c r="D3639" s="395" t="s">
        <v>22</v>
      </c>
      <c r="E3639" s="407">
        <f t="shared" si="112"/>
        <v>46.53</v>
      </c>
      <c r="F3639">
        <f t="shared" si="113"/>
        <v>100802</v>
      </c>
      <c r="H3639" s="680">
        <v>46.53</v>
      </c>
      <c r="I3639" s="680">
        <v>47.85</v>
      </c>
    </row>
    <row r="3640" spans="2:9" ht="30">
      <c r="B3640" s="396">
        <v>100803</v>
      </c>
      <c r="C3640" s="401" t="s">
        <v>3834</v>
      </c>
      <c r="D3640" s="396" t="s">
        <v>22</v>
      </c>
      <c r="E3640" s="405">
        <f t="shared" si="112"/>
        <v>16.54</v>
      </c>
      <c r="F3640">
        <f t="shared" si="113"/>
        <v>100803</v>
      </c>
      <c r="H3640" s="679">
        <v>16.54</v>
      </c>
      <c r="I3640" s="679">
        <v>17.170000000000002</v>
      </c>
    </row>
    <row r="3641" spans="2:9" ht="30">
      <c r="B3641" s="395">
        <v>100804</v>
      </c>
      <c r="C3641" s="406" t="s">
        <v>3835</v>
      </c>
      <c r="D3641" s="395" t="s">
        <v>22</v>
      </c>
      <c r="E3641" s="407">
        <f t="shared" si="112"/>
        <v>24.68</v>
      </c>
      <c r="F3641">
        <f t="shared" si="113"/>
        <v>100804</v>
      </c>
      <c r="H3641" s="680">
        <v>24.68</v>
      </c>
      <c r="I3641" s="680">
        <v>25.43</v>
      </c>
    </row>
    <row r="3642" spans="2:9" ht="30">
      <c r="B3642" s="396">
        <v>100805</v>
      </c>
      <c r="C3642" s="401" t="s">
        <v>3836</v>
      </c>
      <c r="D3642" s="396" t="s">
        <v>22</v>
      </c>
      <c r="E3642" s="405">
        <f t="shared" si="112"/>
        <v>32.979999999999997</v>
      </c>
      <c r="F3642">
        <f t="shared" si="113"/>
        <v>100805</v>
      </c>
      <c r="H3642" s="679">
        <v>32.979999999999997</v>
      </c>
      <c r="I3642" s="679">
        <v>33.880000000000003</v>
      </c>
    </row>
    <row r="3643" spans="2:9" ht="30">
      <c r="B3643" s="395">
        <v>100806</v>
      </c>
      <c r="C3643" s="406" t="s">
        <v>3837</v>
      </c>
      <c r="D3643" s="395" t="s">
        <v>22</v>
      </c>
      <c r="E3643" s="407">
        <f t="shared" si="112"/>
        <v>44.75</v>
      </c>
      <c r="F3643">
        <f t="shared" si="113"/>
        <v>100806</v>
      </c>
      <c r="H3643" s="680">
        <v>44.75</v>
      </c>
      <c r="I3643" s="680">
        <v>45.85</v>
      </c>
    </row>
    <row r="3644" spans="2:9" ht="30">
      <c r="B3644" s="396">
        <v>100807</v>
      </c>
      <c r="C3644" s="401" t="s">
        <v>5540</v>
      </c>
      <c r="D3644" s="396" t="s">
        <v>22</v>
      </c>
      <c r="E3644" s="405">
        <f t="shared" si="112"/>
        <v>22.29</v>
      </c>
      <c r="F3644">
        <f t="shared" si="113"/>
        <v>100807</v>
      </c>
      <c r="H3644" s="679">
        <v>22.29</v>
      </c>
      <c r="I3644" s="679">
        <v>23.6</v>
      </c>
    </row>
    <row r="3645" spans="2:9" ht="30">
      <c r="B3645" s="395">
        <v>100808</v>
      </c>
      <c r="C3645" s="406" t="s">
        <v>5541</v>
      </c>
      <c r="D3645" s="395" t="s">
        <v>22</v>
      </c>
      <c r="E3645" s="407">
        <f t="shared" si="112"/>
        <v>31.43</v>
      </c>
      <c r="F3645">
        <f t="shared" si="113"/>
        <v>100808</v>
      </c>
      <c r="H3645" s="680">
        <v>31.43</v>
      </c>
      <c r="I3645" s="680">
        <v>32.97</v>
      </c>
    </row>
    <row r="3646" spans="2:9" ht="30">
      <c r="B3646" s="396">
        <v>100809</v>
      </c>
      <c r="C3646" s="401" t="s">
        <v>5542</v>
      </c>
      <c r="D3646" s="396" t="s">
        <v>22</v>
      </c>
      <c r="E3646" s="405">
        <f t="shared" si="112"/>
        <v>40.98</v>
      </c>
      <c r="F3646">
        <f t="shared" si="113"/>
        <v>100809</v>
      </c>
      <c r="H3646" s="679">
        <v>40.98</v>
      </c>
      <c r="I3646" s="679">
        <v>42.82</v>
      </c>
    </row>
    <row r="3647" spans="2:9" ht="30">
      <c r="B3647" s="395">
        <v>100810</v>
      </c>
      <c r="C3647" s="406" t="s">
        <v>5543</v>
      </c>
      <c r="D3647" s="395" t="s">
        <v>22</v>
      </c>
      <c r="E3647" s="407">
        <f t="shared" si="112"/>
        <v>54.49</v>
      </c>
      <c r="F3647">
        <f t="shared" si="113"/>
        <v>100810</v>
      </c>
      <c r="H3647" s="680">
        <v>54.49</v>
      </c>
      <c r="I3647" s="680">
        <v>56.74</v>
      </c>
    </row>
    <row r="3648" spans="2:9" ht="30">
      <c r="B3648" s="396">
        <v>101918</v>
      </c>
      <c r="C3648" s="401" t="s">
        <v>4930</v>
      </c>
      <c r="D3648" s="396" t="s">
        <v>22</v>
      </c>
      <c r="E3648" s="405">
        <f t="shared" si="112"/>
        <v>223.28</v>
      </c>
      <c r="F3648">
        <f t="shared" si="113"/>
        <v>101918</v>
      </c>
      <c r="H3648" s="679">
        <v>223.28</v>
      </c>
      <c r="I3648" s="679">
        <v>226.14</v>
      </c>
    </row>
    <row r="3649" spans="2:9" ht="30">
      <c r="B3649" s="395">
        <v>101919</v>
      </c>
      <c r="C3649" s="406" t="s">
        <v>4931</v>
      </c>
      <c r="D3649" s="395" t="s">
        <v>23</v>
      </c>
      <c r="E3649" s="407">
        <f t="shared" si="112"/>
        <v>300.57</v>
      </c>
      <c r="F3649">
        <f t="shared" si="113"/>
        <v>101919</v>
      </c>
      <c r="H3649" s="680">
        <v>300.57</v>
      </c>
      <c r="I3649" s="680">
        <v>304.44</v>
      </c>
    </row>
    <row r="3650" spans="2:9" ht="30">
      <c r="B3650" s="396">
        <v>101920</v>
      </c>
      <c r="C3650" s="401" t="s">
        <v>4932</v>
      </c>
      <c r="D3650" s="396" t="s">
        <v>23</v>
      </c>
      <c r="E3650" s="405">
        <f t="shared" si="112"/>
        <v>145.03</v>
      </c>
      <c r="F3650">
        <f t="shared" si="113"/>
        <v>101920</v>
      </c>
      <c r="H3650" s="679">
        <v>145.03</v>
      </c>
      <c r="I3650" s="679">
        <v>148.9</v>
      </c>
    </row>
    <row r="3651" spans="2:9" ht="30">
      <c r="B3651" s="395">
        <v>101921</v>
      </c>
      <c r="C3651" s="406" t="s">
        <v>4933</v>
      </c>
      <c r="D3651" s="395" t="s">
        <v>23</v>
      </c>
      <c r="E3651" s="407">
        <f t="shared" ref="E3651:E3714" si="114">IF($K$2=$H$1,H3651,I3651)</f>
        <v>165.06</v>
      </c>
      <c r="F3651">
        <f t="shared" ref="F3651:F3714" si="115">IF(LEN($B3651)=7,CONCATENATE(MID($B3651,1,6),"00",RIGHT($B3651,1)),IF(LEN($B3651)=8,CONCATENATE(MID($B3651,1,6),"0",RIGHT($B3651,2)),$B3651))</f>
        <v>101921</v>
      </c>
      <c r="H3651" s="680">
        <v>165.06</v>
      </c>
      <c r="I3651" s="680">
        <v>168.93</v>
      </c>
    </row>
    <row r="3652" spans="2:9" ht="30">
      <c r="B3652" s="396">
        <v>101922</v>
      </c>
      <c r="C3652" s="401" t="s">
        <v>4934</v>
      </c>
      <c r="D3652" s="396" t="s">
        <v>23</v>
      </c>
      <c r="E3652" s="405">
        <f t="shared" si="114"/>
        <v>165.06</v>
      </c>
      <c r="F3652">
        <f t="shared" si="115"/>
        <v>101922</v>
      </c>
      <c r="H3652" s="679">
        <v>165.06</v>
      </c>
      <c r="I3652" s="679">
        <v>168.93</v>
      </c>
    </row>
    <row r="3653" spans="2:9" ht="30">
      <c r="B3653" s="395">
        <v>101923</v>
      </c>
      <c r="C3653" s="406" t="s">
        <v>4935</v>
      </c>
      <c r="D3653" s="395" t="s">
        <v>23</v>
      </c>
      <c r="E3653" s="407">
        <f t="shared" si="114"/>
        <v>165.06</v>
      </c>
      <c r="F3653">
        <f t="shared" si="115"/>
        <v>101923</v>
      </c>
      <c r="H3653" s="680">
        <v>165.06</v>
      </c>
      <c r="I3653" s="680">
        <v>168.93</v>
      </c>
    </row>
    <row r="3654" spans="2:9" ht="30">
      <c r="B3654" s="396">
        <v>101924</v>
      </c>
      <c r="C3654" s="401" t="s">
        <v>4936</v>
      </c>
      <c r="D3654" s="396" t="s">
        <v>23</v>
      </c>
      <c r="E3654" s="405">
        <f t="shared" si="114"/>
        <v>136.65</v>
      </c>
      <c r="F3654">
        <f t="shared" si="115"/>
        <v>101924</v>
      </c>
      <c r="H3654" s="679">
        <v>136.65</v>
      </c>
      <c r="I3654" s="679">
        <v>140.52000000000001</v>
      </c>
    </row>
    <row r="3655" spans="2:9" ht="30">
      <c r="B3655" s="395">
        <v>101925</v>
      </c>
      <c r="C3655" s="406" t="s">
        <v>4937</v>
      </c>
      <c r="D3655" s="395" t="s">
        <v>23</v>
      </c>
      <c r="E3655" s="407">
        <f t="shared" si="114"/>
        <v>227.84</v>
      </c>
      <c r="F3655">
        <f t="shared" si="115"/>
        <v>101925</v>
      </c>
      <c r="H3655" s="680">
        <v>227.84</v>
      </c>
      <c r="I3655" s="680">
        <v>233.63</v>
      </c>
    </row>
    <row r="3656" spans="2:9">
      <c r="B3656" s="396">
        <v>101926</v>
      </c>
      <c r="C3656" s="401" t="s">
        <v>4938</v>
      </c>
      <c r="D3656" s="396" t="s">
        <v>23</v>
      </c>
      <c r="E3656" s="405">
        <f t="shared" si="114"/>
        <v>294.02</v>
      </c>
      <c r="F3656">
        <f t="shared" si="115"/>
        <v>101926</v>
      </c>
      <c r="H3656" s="679">
        <v>294.02</v>
      </c>
      <c r="I3656" s="679">
        <v>301.73</v>
      </c>
    </row>
    <row r="3657" spans="2:9" ht="30">
      <c r="B3657" s="395">
        <v>101927</v>
      </c>
      <c r="C3657" s="406" t="s">
        <v>4939</v>
      </c>
      <c r="D3657" s="395" t="s">
        <v>22</v>
      </c>
      <c r="E3657" s="407">
        <f t="shared" si="114"/>
        <v>211.32</v>
      </c>
      <c r="F3657">
        <f t="shared" si="115"/>
        <v>101927</v>
      </c>
      <c r="H3657" s="680">
        <v>211.32</v>
      </c>
      <c r="I3657" s="680">
        <v>212.79</v>
      </c>
    </row>
    <row r="3658" spans="2:9" ht="30">
      <c r="B3658" s="396">
        <v>101928</v>
      </c>
      <c r="C3658" s="401" t="s">
        <v>4940</v>
      </c>
      <c r="D3658" s="396" t="s">
        <v>23</v>
      </c>
      <c r="E3658" s="405">
        <f t="shared" si="114"/>
        <v>305.14999999999998</v>
      </c>
      <c r="F3658">
        <f t="shared" si="115"/>
        <v>101928</v>
      </c>
      <c r="H3658" s="679">
        <v>305.14999999999998</v>
      </c>
      <c r="I3658" s="679">
        <v>309.54000000000002</v>
      </c>
    </row>
    <row r="3659" spans="2:9" ht="30">
      <c r="B3659" s="395">
        <v>101929</v>
      </c>
      <c r="C3659" s="406" t="s">
        <v>4941</v>
      </c>
      <c r="D3659" s="395" t="s">
        <v>23</v>
      </c>
      <c r="E3659" s="407">
        <f t="shared" si="114"/>
        <v>149.61000000000001</v>
      </c>
      <c r="F3659">
        <f t="shared" si="115"/>
        <v>101929</v>
      </c>
      <c r="H3659" s="680">
        <v>149.61000000000001</v>
      </c>
      <c r="I3659" s="680">
        <v>154</v>
      </c>
    </row>
    <row r="3660" spans="2:9" ht="30">
      <c r="B3660" s="396">
        <v>101930</v>
      </c>
      <c r="C3660" s="401" t="s">
        <v>4942</v>
      </c>
      <c r="D3660" s="396" t="s">
        <v>23</v>
      </c>
      <c r="E3660" s="405">
        <f t="shared" si="114"/>
        <v>169.64</v>
      </c>
      <c r="F3660">
        <f t="shared" si="115"/>
        <v>101930</v>
      </c>
      <c r="H3660" s="679">
        <v>169.64</v>
      </c>
      <c r="I3660" s="679">
        <v>174.03</v>
      </c>
    </row>
    <row r="3661" spans="2:9" ht="30">
      <c r="B3661" s="395">
        <v>101931</v>
      </c>
      <c r="C3661" s="406" t="s">
        <v>4943</v>
      </c>
      <c r="D3661" s="395" t="s">
        <v>23</v>
      </c>
      <c r="E3661" s="407">
        <f t="shared" si="114"/>
        <v>169.64</v>
      </c>
      <c r="F3661">
        <f t="shared" si="115"/>
        <v>101931</v>
      </c>
      <c r="H3661" s="680">
        <v>169.64</v>
      </c>
      <c r="I3661" s="680">
        <v>174.03</v>
      </c>
    </row>
    <row r="3662" spans="2:9" ht="30">
      <c r="B3662" s="396">
        <v>101932</v>
      </c>
      <c r="C3662" s="401" t="s">
        <v>4944</v>
      </c>
      <c r="D3662" s="396" t="s">
        <v>23</v>
      </c>
      <c r="E3662" s="405">
        <f t="shared" si="114"/>
        <v>169.64</v>
      </c>
      <c r="F3662">
        <f t="shared" si="115"/>
        <v>101932</v>
      </c>
      <c r="H3662" s="679">
        <v>169.64</v>
      </c>
      <c r="I3662" s="679">
        <v>174.03</v>
      </c>
    </row>
    <row r="3663" spans="2:9" ht="30">
      <c r="B3663" s="395">
        <v>101933</v>
      </c>
      <c r="C3663" s="406" t="s">
        <v>4945</v>
      </c>
      <c r="D3663" s="395" t="s">
        <v>23</v>
      </c>
      <c r="E3663" s="407">
        <f t="shared" si="114"/>
        <v>141.22999999999999</v>
      </c>
      <c r="F3663">
        <f t="shared" si="115"/>
        <v>101933</v>
      </c>
      <c r="H3663" s="680">
        <v>141.22999999999999</v>
      </c>
      <c r="I3663" s="680">
        <v>145.62</v>
      </c>
    </row>
    <row r="3664" spans="2:9" ht="30">
      <c r="B3664" s="396">
        <v>101934</v>
      </c>
      <c r="C3664" s="401" t="s">
        <v>4946</v>
      </c>
      <c r="D3664" s="396" t="s">
        <v>23</v>
      </c>
      <c r="E3664" s="405">
        <f t="shared" si="114"/>
        <v>234.71</v>
      </c>
      <c r="F3664">
        <f t="shared" si="115"/>
        <v>101934</v>
      </c>
      <c r="H3664" s="679">
        <v>234.71</v>
      </c>
      <c r="I3664" s="679">
        <v>241.29</v>
      </c>
    </row>
    <row r="3665" spans="2:9" ht="30">
      <c r="B3665" s="395">
        <v>101935</v>
      </c>
      <c r="C3665" s="406" t="s">
        <v>4947</v>
      </c>
      <c r="D3665" s="395" t="s">
        <v>23</v>
      </c>
      <c r="E3665" s="407">
        <f t="shared" si="114"/>
        <v>303.17</v>
      </c>
      <c r="F3665">
        <f t="shared" si="115"/>
        <v>101935</v>
      </c>
      <c r="H3665" s="680">
        <v>303.17</v>
      </c>
      <c r="I3665" s="680">
        <v>311.95999999999998</v>
      </c>
    </row>
    <row r="3666" spans="2:9" ht="30">
      <c r="B3666" s="396">
        <v>103802</v>
      </c>
      <c r="C3666" s="401" t="s">
        <v>6525</v>
      </c>
      <c r="D3666" s="396" t="s">
        <v>22</v>
      </c>
      <c r="E3666" s="405">
        <f t="shared" si="114"/>
        <v>37.36</v>
      </c>
      <c r="F3666">
        <f t="shared" si="115"/>
        <v>103802</v>
      </c>
      <c r="H3666" s="679">
        <v>37.36</v>
      </c>
      <c r="I3666" s="679">
        <v>38.19</v>
      </c>
    </row>
    <row r="3667" spans="2:9" ht="30">
      <c r="B3667" s="395">
        <v>103803</v>
      </c>
      <c r="C3667" s="406" t="s">
        <v>6526</v>
      </c>
      <c r="D3667" s="395" t="s">
        <v>22</v>
      </c>
      <c r="E3667" s="407">
        <f t="shared" si="114"/>
        <v>64.23</v>
      </c>
      <c r="F3667">
        <f t="shared" si="115"/>
        <v>103803</v>
      </c>
      <c r="H3667" s="680">
        <v>64.23</v>
      </c>
      <c r="I3667" s="680">
        <v>65.650000000000006</v>
      </c>
    </row>
    <row r="3668" spans="2:9" ht="30">
      <c r="B3668" s="396">
        <v>103804</v>
      </c>
      <c r="C3668" s="401" t="s">
        <v>6527</v>
      </c>
      <c r="D3668" s="396" t="s">
        <v>22</v>
      </c>
      <c r="E3668" s="405">
        <f t="shared" si="114"/>
        <v>78.239999999999995</v>
      </c>
      <c r="F3668">
        <f t="shared" si="115"/>
        <v>103804</v>
      </c>
      <c r="H3668" s="679">
        <v>78.239999999999995</v>
      </c>
      <c r="I3668" s="679">
        <v>79.66</v>
      </c>
    </row>
    <row r="3669" spans="2:9" ht="30">
      <c r="B3669" s="395">
        <v>103835</v>
      </c>
      <c r="C3669" s="406" t="s">
        <v>6528</v>
      </c>
      <c r="D3669" s="395" t="s">
        <v>22</v>
      </c>
      <c r="E3669" s="407">
        <f t="shared" si="114"/>
        <v>58.32</v>
      </c>
      <c r="F3669">
        <f t="shared" si="115"/>
        <v>103835</v>
      </c>
      <c r="H3669" s="680">
        <v>58.32</v>
      </c>
      <c r="I3669" s="680">
        <v>59.66</v>
      </c>
    </row>
    <row r="3670" spans="2:9" ht="30">
      <c r="B3670" s="396">
        <v>103836</v>
      </c>
      <c r="C3670" s="401" t="s">
        <v>6529</v>
      </c>
      <c r="D3670" s="396" t="s">
        <v>22</v>
      </c>
      <c r="E3670" s="405">
        <f t="shared" si="114"/>
        <v>91.07</v>
      </c>
      <c r="F3670">
        <f t="shared" si="115"/>
        <v>103836</v>
      </c>
      <c r="H3670" s="679">
        <v>91.07</v>
      </c>
      <c r="I3670" s="679">
        <v>92.85</v>
      </c>
    </row>
    <row r="3671" spans="2:9" ht="30">
      <c r="B3671" s="395">
        <v>103837</v>
      </c>
      <c r="C3671" s="406" t="s">
        <v>6530</v>
      </c>
      <c r="D3671" s="395" t="s">
        <v>22</v>
      </c>
      <c r="E3671" s="407">
        <f t="shared" si="114"/>
        <v>114.98</v>
      </c>
      <c r="F3671">
        <f t="shared" si="115"/>
        <v>103837</v>
      </c>
      <c r="H3671" s="680">
        <v>114.98</v>
      </c>
      <c r="I3671" s="680">
        <v>117.15</v>
      </c>
    </row>
    <row r="3672" spans="2:9" ht="30">
      <c r="B3672" s="396">
        <v>103868</v>
      </c>
      <c r="C3672" s="401" t="s">
        <v>6531</v>
      </c>
      <c r="D3672" s="396" t="s">
        <v>22</v>
      </c>
      <c r="E3672" s="405">
        <f t="shared" si="114"/>
        <v>45.26</v>
      </c>
      <c r="F3672">
        <f t="shared" si="115"/>
        <v>103868</v>
      </c>
      <c r="H3672" s="679">
        <v>45.26</v>
      </c>
      <c r="I3672" s="679">
        <v>47.01</v>
      </c>
    </row>
    <row r="3673" spans="2:9" ht="30">
      <c r="B3673" s="395">
        <v>103869</v>
      </c>
      <c r="C3673" s="406" t="s">
        <v>6532</v>
      </c>
      <c r="D3673" s="395" t="s">
        <v>22</v>
      </c>
      <c r="E3673" s="407">
        <f t="shared" si="114"/>
        <v>69.760000000000005</v>
      </c>
      <c r="F3673">
        <f t="shared" si="115"/>
        <v>103869</v>
      </c>
      <c r="H3673" s="680">
        <v>69.760000000000005</v>
      </c>
      <c r="I3673" s="680">
        <v>71.83</v>
      </c>
    </row>
    <row r="3674" spans="2:9" ht="30">
      <c r="B3674" s="396">
        <v>103870</v>
      </c>
      <c r="C3674" s="401" t="s">
        <v>6533</v>
      </c>
      <c r="D3674" s="396" t="s">
        <v>22</v>
      </c>
      <c r="E3674" s="405">
        <f t="shared" si="114"/>
        <v>86.1</v>
      </c>
      <c r="F3674">
        <f t="shared" si="115"/>
        <v>103870</v>
      </c>
      <c r="H3674" s="679">
        <v>86.1</v>
      </c>
      <c r="I3674" s="679">
        <v>88.44</v>
      </c>
    </row>
    <row r="3675" spans="2:9" ht="30">
      <c r="B3675" s="395">
        <v>103871</v>
      </c>
      <c r="C3675" s="406" t="s">
        <v>6534</v>
      </c>
      <c r="D3675" s="395" t="s">
        <v>22</v>
      </c>
      <c r="E3675" s="407">
        <f t="shared" si="114"/>
        <v>69.78</v>
      </c>
      <c r="F3675">
        <f t="shared" si="115"/>
        <v>103871</v>
      </c>
      <c r="H3675" s="680">
        <v>69.78</v>
      </c>
      <c r="I3675" s="680">
        <v>71.62</v>
      </c>
    </row>
    <row r="3676" spans="2:9" ht="30">
      <c r="B3676" s="396">
        <v>103872</v>
      </c>
      <c r="C3676" s="401" t="s">
        <v>6535</v>
      </c>
      <c r="D3676" s="396" t="s">
        <v>22</v>
      </c>
      <c r="E3676" s="405">
        <f t="shared" si="114"/>
        <v>187.88</v>
      </c>
      <c r="F3676">
        <f t="shared" si="115"/>
        <v>103872</v>
      </c>
      <c r="H3676" s="679">
        <v>187.88</v>
      </c>
      <c r="I3676" s="679">
        <v>190.03</v>
      </c>
    </row>
    <row r="3677" spans="2:9" ht="30">
      <c r="B3677" s="395">
        <v>103873</v>
      </c>
      <c r="C3677" s="406" t="s">
        <v>6536</v>
      </c>
      <c r="D3677" s="395" t="s">
        <v>22</v>
      </c>
      <c r="E3677" s="407">
        <f t="shared" si="114"/>
        <v>209.07</v>
      </c>
      <c r="F3677">
        <f t="shared" si="115"/>
        <v>103873</v>
      </c>
      <c r="H3677" s="680">
        <v>209.07</v>
      </c>
      <c r="I3677" s="680">
        <v>211.5</v>
      </c>
    </row>
    <row r="3678" spans="2:9">
      <c r="B3678" s="396">
        <v>103978</v>
      </c>
      <c r="C3678" s="401" t="s">
        <v>7783</v>
      </c>
      <c r="D3678" s="396" t="s">
        <v>22</v>
      </c>
      <c r="E3678" s="405">
        <f t="shared" si="114"/>
        <v>27.51</v>
      </c>
      <c r="F3678">
        <f t="shared" si="115"/>
        <v>103978</v>
      </c>
      <c r="H3678" s="679">
        <v>27.51</v>
      </c>
      <c r="I3678" s="679">
        <v>28.53</v>
      </c>
    </row>
    <row r="3679" spans="2:9">
      <c r="B3679" s="395">
        <v>103979</v>
      </c>
      <c r="C3679" s="406" t="s">
        <v>7784</v>
      </c>
      <c r="D3679" s="395" t="s">
        <v>22</v>
      </c>
      <c r="E3679" s="407">
        <f t="shared" si="114"/>
        <v>31.04</v>
      </c>
      <c r="F3679">
        <f t="shared" si="115"/>
        <v>103979</v>
      </c>
      <c r="H3679" s="680">
        <v>31.04</v>
      </c>
      <c r="I3679" s="680">
        <v>32.270000000000003</v>
      </c>
    </row>
    <row r="3680" spans="2:9">
      <c r="B3680" s="396">
        <v>104021</v>
      </c>
      <c r="C3680" s="401" t="s">
        <v>7785</v>
      </c>
      <c r="D3680" s="396" t="s">
        <v>22</v>
      </c>
      <c r="E3680" s="405">
        <f t="shared" si="114"/>
        <v>66.23</v>
      </c>
      <c r="F3680">
        <f t="shared" si="115"/>
        <v>104021</v>
      </c>
      <c r="H3680" s="679">
        <v>66.23</v>
      </c>
      <c r="I3680" s="679">
        <v>67.3</v>
      </c>
    </row>
    <row r="3681" spans="2:9">
      <c r="B3681" s="395">
        <v>104166</v>
      </c>
      <c r="C3681" s="406" t="s">
        <v>7786</v>
      </c>
      <c r="D3681" s="395" t="s">
        <v>22</v>
      </c>
      <c r="E3681" s="407">
        <f t="shared" si="114"/>
        <v>85.48</v>
      </c>
      <c r="F3681">
        <f t="shared" si="115"/>
        <v>104166</v>
      </c>
      <c r="H3681" s="680">
        <v>85.48</v>
      </c>
      <c r="I3681" s="680">
        <v>86.64</v>
      </c>
    </row>
    <row r="3682" spans="2:9">
      <c r="B3682" s="396">
        <v>104194</v>
      </c>
      <c r="C3682" s="401" t="s">
        <v>7787</v>
      </c>
      <c r="D3682" s="396" t="s">
        <v>22</v>
      </c>
      <c r="E3682" s="405">
        <f t="shared" si="114"/>
        <v>18.96</v>
      </c>
      <c r="F3682">
        <f t="shared" si="115"/>
        <v>104194</v>
      </c>
      <c r="H3682" s="679">
        <v>18.96</v>
      </c>
      <c r="I3682" s="679">
        <v>20</v>
      </c>
    </row>
    <row r="3683" spans="2:9">
      <c r="B3683" s="395">
        <v>104195</v>
      </c>
      <c r="C3683" s="406" t="s">
        <v>7788</v>
      </c>
      <c r="D3683" s="395" t="s">
        <v>22</v>
      </c>
      <c r="E3683" s="407">
        <f t="shared" si="114"/>
        <v>20.22</v>
      </c>
      <c r="F3683">
        <f t="shared" si="115"/>
        <v>104195</v>
      </c>
      <c r="H3683" s="680">
        <v>20.22</v>
      </c>
      <c r="I3683" s="680">
        <v>21.29</v>
      </c>
    </row>
    <row r="3684" spans="2:9">
      <c r="B3684" s="396">
        <v>104315</v>
      </c>
      <c r="C3684" s="401" t="s">
        <v>7789</v>
      </c>
      <c r="D3684" s="396" t="s">
        <v>22</v>
      </c>
      <c r="E3684" s="405">
        <f t="shared" si="114"/>
        <v>14.49</v>
      </c>
      <c r="F3684">
        <f t="shared" si="115"/>
        <v>104315</v>
      </c>
      <c r="H3684" s="679">
        <v>14.49</v>
      </c>
      <c r="I3684" s="679">
        <v>15.6</v>
      </c>
    </row>
    <row r="3685" spans="2:9">
      <c r="B3685" s="395">
        <v>104316</v>
      </c>
      <c r="C3685" s="406" t="s">
        <v>7790</v>
      </c>
      <c r="D3685" s="395" t="s">
        <v>22</v>
      </c>
      <c r="E3685" s="407">
        <f t="shared" si="114"/>
        <v>22.71</v>
      </c>
      <c r="F3685">
        <f t="shared" si="115"/>
        <v>104316</v>
      </c>
      <c r="H3685" s="680">
        <v>22.71</v>
      </c>
      <c r="I3685" s="680">
        <v>23.97</v>
      </c>
    </row>
    <row r="3686" spans="2:9" ht="30">
      <c r="B3686" s="396">
        <v>89358</v>
      </c>
      <c r="C3686" s="401" t="s">
        <v>7791</v>
      </c>
      <c r="D3686" s="396" t="s">
        <v>23</v>
      </c>
      <c r="E3686" s="405">
        <f t="shared" si="114"/>
        <v>6.85</v>
      </c>
      <c r="F3686">
        <f t="shared" si="115"/>
        <v>89358</v>
      </c>
      <c r="H3686" s="679">
        <v>6.85</v>
      </c>
      <c r="I3686" s="679">
        <v>7.45</v>
      </c>
    </row>
    <row r="3687" spans="2:9" ht="30">
      <c r="B3687" s="395">
        <v>89359</v>
      </c>
      <c r="C3687" s="406" t="s">
        <v>7792</v>
      </c>
      <c r="D3687" s="395" t="s">
        <v>23</v>
      </c>
      <c r="E3687" s="407">
        <f t="shared" si="114"/>
        <v>7.53</v>
      </c>
      <c r="F3687">
        <f t="shared" si="115"/>
        <v>89359</v>
      </c>
      <c r="H3687" s="680">
        <v>7.53</v>
      </c>
      <c r="I3687" s="680">
        <v>8.1300000000000008</v>
      </c>
    </row>
    <row r="3688" spans="2:9" ht="30">
      <c r="B3688" s="396">
        <v>89360</v>
      </c>
      <c r="C3688" s="401" t="s">
        <v>7793</v>
      </c>
      <c r="D3688" s="396" t="s">
        <v>23</v>
      </c>
      <c r="E3688" s="405">
        <f t="shared" si="114"/>
        <v>8.76</v>
      </c>
      <c r="F3688">
        <f t="shared" si="115"/>
        <v>89360</v>
      </c>
      <c r="H3688" s="679">
        <v>8.76</v>
      </c>
      <c r="I3688" s="679">
        <v>9.36</v>
      </c>
    </row>
    <row r="3689" spans="2:9" ht="30">
      <c r="B3689" s="395">
        <v>89361</v>
      </c>
      <c r="C3689" s="406" t="s">
        <v>7794</v>
      </c>
      <c r="D3689" s="395" t="s">
        <v>23</v>
      </c>
      <c r="E3689" s="407">
        <f t="shared" si="114"/>
        <v>8.85</v>
      </c>
      <c r="F3689">
        <f t="shared" si="115"/>
        <v>89361</v>
      </c>
      <c r="H3689" s="680">
        <v>8.85</v>
      </c>
      <c r="I3689" s="680">
        <v>9.4499999999999993</v>
      </c>
    </row>
    <row r="3690" spans="2:9" ht="30">
      <c r="B3690" s="396">
        <v>89362</v>
      </c>
      <c r="C3690" s="401" t="s">
        <v>7795</v>
      </c>
      <c r="D3690" s="396" t="s">
        <v>23</v>
      </c>
      <c r="E3690" s="405">
        <f t="shared" si="114"/>
        <v>8.24</v>
      </c>
      <c r="F3690">
        <f t="shared" si="115"/>
        <v>89362</v>
      </c>
      <c r="H3690" s="679">
        <v>8.24</v>
      </c>
      <c r="I3690" s="679">
        <v>8.94</v>
      </c>
    </row>
    <row r="3691" spans="2:9" ht="30">
      <c r="B3691" s="395">
        <v>89363</v>
      </c>
      <c r="C3691" s="406" t="s">
        <v>7796</v>
      </c>
      <c r="D3691" s="395" t="s">
        <v>23</v>
      </c>
      <c r="E3691" s="407">
        <f t="shared" si="114"/>
        <v>9.2100000000000009</v>
      </c>
      <c r="F3691">
        <f t="shared" si="115"/>
        <v>89363</v>
      </c>
      <c r="H3691" s="680">
        <v>9.2100000000000009</v>
      </c>
      <c r="I3691" s="680">
        <v>9.91</v>
      </c>
    </row>
    <row r="3692" spans="2:9" ht="30">
      <c r="B3692" s="396">
        <v>89364</v>
      </c>
      <c r="C3692" s="401" t="s">
        <v>7797</v>
      </c>
      <c r="D3692" s="396" t="s">
        <v>23</v>
      </c>
      <c r="E3692" s="405">
        <f t="shared" si="114"/>
        <v>11.08</v>
      </c>
      <c r="F3692">
        <f t="shared" si="115"/>
        <v>89364</v>
      </c>
      <c r="H3692" s="679">
        <v>11.08</v>
      </c>
      <c r="I3692" s="679">
        <v>11.78</v>
      </c>
    </row>
    <row r="3693" spans="2:9" ht="30">
      <c r="B3693" s="395">
        <v>89365</v>
      </c>
      <c r="C3693" s="406" t="s">
        <v>7798</v>
      </c>
      <c r="D3693" s="395" t="s">
        <v>23</v>
      </c>
      <c r="E3693" s="407">
        <f t="shared" si="114"/>
        <v>10.41</v>
      </c>
      <c r="F3693">
        <f t="shared" si="115"/>
        <v>89365</v>
      </c>
      <c r="H3693" s="680">
        <v>10.41</v>
      </c>
      <c r="I3693" s="680">
        <v>11.11</v>
      </c>
    </row>
    <row r="3694" spans="2:9" ht="30">
      <c r="B3694" s="396">
        <v>89366</v>
      </c>
      <c r="C3694" s="401" t="s">
        <v>7799</v>
      </c>
      <c r="D3694" s="396" t="s">
        <v>23</v>
      </c>
      <c r="E3694" s="405">
        <f t="shared" si="114"/>
        <v>16.87</v>
      </c>
      <c r="F3694">
        <f t="shared" si="115"/>
        <v>89366</v>
      </c>
      <c r="H3694" s="679">
        <v>16.87</v>
      </c>
      <c r="I3694" s="679">
        <v>17.52</v>
      </c>
    </row>
    <row r="3695" spans="2:9" ht="30">
      <c r="B3695" s="395">
        <v>89367</v>
      </c>
      <c r="C3695" s="406" t="s">
        <v>7800</v>
      </c>
      <c r="D3695" s="395" t="s">
        <v>23</v>
      </c>
      <c r="E3695" s="407">
        <f t="shared" si="114"/>
        <v>11.95</v>
      </c>
      <c r="F3695">
        <f t="shared" si="115"/>
        <v>89367</v>
      </c>
      <c r="H3695" s="680">
        <v>11.95</v>
      </c>
      <c r="I3695" s="680">
        <v>12.79</v>
      </c>
    </row>
    <row r="3696" spans="2:9" ht="30">
      <c r="B3696" s="396">
        <v>89368</v>
      </c>
      <c r="C3696" s="401" t="s">
        <v>7801</v>
      </c>
      <c r="D3696" s="396" t="s">
        <v>23</v>
      </c>
      <c r="E3696" s="405">
        <f t="shared" si="114"/>
        <v>14.12</v>
      </c>
      <c r="F3696">
        <f t="shared" si="115"/>
        <v>89368</v>
      </c>
      <c r="H3696" s="679">
        <v>14.12</v>
      </c>
      <c r="I3696" s="679">
        <v>14.96</v>
      </c>
    </row>
    <row r="3697" spans="2:9" ht="30">
      <c r="B3697" s="395">
        <v>89369</v>
      </c>
      <c r="C3697" s="406" t="s">
        <v>7802</v>
      </c>
      <c r="D3697" s="395" t="s">
        <v>23</v>
      </c>
      <c r="E3697" s="407">
        <f t="shared" si="114"/>
        <v>17.03</v>
      </c>
      <c r="F3697">
        <f t="shared" si="115"/>
        <v>89369</v>
      </c>
      <c r="H3697" s="680">
        <v>17.03</v>
      </c>
      <c r="I3697" s="680">
        <v>17.87</v>
      </c>
    </row>
    <row r="3698" spans="2:9" ht="30">
      <c r="B3698" s="396">
        <v>89370</v>
      </c>
      <c r="C3698" s="401" t="s">
        <v>7803</v>
      </c>
      <c r="D3698" s="396" t="s">
        <v>23</v>
      </c>
      <c r="E3698" s="405">
        <f t="shared" si="114"/>
        <v>14.53</v>
      </c>
      <c r="F3698">
        <f t="shared" si="115"/>
        <v>89370</v>
      </c>
      <c r="H3698" s="679">
        <v>14.53</v>
      </c>
      <c r="I3698" s="679">
        <v>15.37</v>
      </c>
    </row>
    <row r="3699" spans="2:9">
      <c r="B3699" s="395">
        <v>89371</v>
      </c>
      <c r="C3699" s="406" t="s">
        <v>7804</v>
      </c>
      <c r="D3699" s="395" t="s">
        <v>23</v>
      </c>
      <c r="E3699" s="407">
        <f t="shared" si="114"/>
        <v>5.35</v>
      </c>
      <c r="F3699">
        <f t="shared" si="115"/>
        <v>89371</v>
      </c>
      <c r="H3699" s="680">
        <v>5.35</v>
      </c>
      <c r="I3699" s="680">
        <v>5.74</v>
      </c>
    </row>
    <row r="3700" spans="2:9" ht="30">
      <c r="B3700" s="396">
        <v>89372</v>
      </c>
      <c r="C3700" s="401" t="s">
        <v>7805</v>
      </c>
      <c r="D3700" s="396" t="s">
        <v>23</v>
      </c>
      <c r="E3700" s="405">
        <f t="shared" si="114"/>
        <v>17.73</v>
      </c>
      <c r="F3700">
        <f t="shared" si="115"/>
        <v>89372</v>
      </c>
      <c r="H3700" s="679">
        <v>17.73</v>
      </c>
      <c r="I3700" s="679">
        <v>18.12</v>
      </c>
    </row>
    <row r="3701" spans="2:9" ht="30">
      <c r="B3701" s="395">
        <v>89373</v>
      </c>
      <c r="C3701" s="406" t="s">
        <v>7806</v>
      </c>
      <c r="D3701" s="395" t="s">
        <v>23</v>
      </c>
      <c r="E3701" s="407">
        <f t="shared" si="114"/>
        <v>6.61</v>
      </c>
      <c r="F3701">
        <f t="shared" si="115"/>
        <v>89373</v>
      </c>
      <c r="H3701" s="680">
        <v>6.61</v>
      </c>
      <c r="I3701" s="680">
        <v>7.04</v>
      </c>
    </row>
    <row r="3702" spans="2:9" ht="30">
      <c r="B3702" s="396">
        <v>89374</v>
      </c>
      <c r="C3702" s="401" t="s">
        <v>7807</v>
      </c>
      <c r="D3702" s="396" t="s">
        <v>23</v>
      </c>
      <c r="E3702" s="405">
        <f t="shared" si="114"/>
        <v>10.6</v>
      </c>
      <c r="F3702">
        <f t="shared" si="115"/>
        <v>89374</v>
      </c>
      <c r="H3702" s="679">
        <v>10.6</v>
      </c>
      <c r="I3702" s="679">
        <v>10.98</v>
      </c>
    </row>
    <row r="3703" spans="2:9">
      <c r="B3703" s="395">
        <v>89375</v>
      </c>
      <c r="C3703" s="406" t="s">
        <v>7808</v>
      </c>
      <c r="D3703" s="395" t="s">
        <v>23</v>
      </c>
      <c r="E3703" s="407">
        <f t="shared" si="114"/>
        <v>12.73</v>
      </c>
      <c r="F3703">
        <f t="shared" si="115"/>
        <v>89375</v>
      </c>
      <c r="H3703" s="680">
        <v>12.73</v>
      </c>
      <c r="I3703" s="680">
        <v>13.12</v>
      </c>
    </row>
    <row r="3704" spans="2:9" ht="30">
      <c r="B3704" s="396">
        <v>89376</v>
      </c>
      <c r="C3704" s="401" t="s">
        <v>7809</v>
      </c>
      <c r="D3704" s="396" t="s">
        <v>23</v>
      </c>
      <c r="E3704" s="405">
        <f t="shared" si="114"/>
        <v>5.12</v>
      </c>
      <c r="F3704">
        <f t="shared" si="115"/>
        <v>89376</v>
      </c>
      <c r="H3704" s="679">
        <v>5.12</v>
      </c>
      <c r="I3704" s="679">
        <v>5.5</v>
      </c>
    </row>
    <row r="3705" spans="2:9" ht="30">
      <c r="B3705" s="395">
        <v>89377</v>
      </c>
      <c r="C3705" s="406" t="s">
        <v>7810</v>
      </c>
      <c r="D3705" s="395" t="s">
        <v>23</v>
      </c>
      <c r="E3705" s="407">
        <f t="shared" si="114"/>
        <v>10.58</v>
      </c>
      <c r="F3705">
        <f t="shared" si="115"/>
        <v>89377</v>
      </c>
      <c r="H3705" s="680">
        <v>10.58</v>
      </c>
      <c r="I3705" s="680">
        <v>10.97</v>
      </c>
    </row>
    <row r="3706" spans="2:9">
      <c r="B3706" s="396">
        <v>89378</v>
      </c>
      <c r="C3706" s="401" t="s">
        <v>7811</v>
      </c>
      <c r="D3706" s="396" t="s">
        <v>23</v>
      </c>
      <c r="E3706" s="405">
        <f t="shared" si="114"/>
        <v>6.35</v>
      </c>
      <c r="F3706">
        <f t="shared" si="115"/>
        <v>89378</v>
      </c>
      <c r="H3706" s="679">
        <v>6.35</v>
      </c>
      <c r="I3706" s="679">
        <v>6.81</v>
      </c>
    </row>
    <row r="3707" spans="2:9" ht="30">
      <c r="B3707" s="395">
        <v>89379</v>
      </c>
      <c r="C3707" s="406" t="s">
        <v>1581</v>
      </c>
      <c r="D3707" s="395" t="s">
        <v>23</v>
      </c>
      <c r="E3707" s="407">
        <f t="shared" si="114"/>
        <v>20.86</v>
      </c>
      <c r="F3707">
        <f t="shared" si="115"/>
        <v>89379</v>
      </c>
      <c r="H3707" s="680">
        <v>20.86</v>
      </c>
      <c r="I3707" s="680">
        <v>21.32</v>
      </c>
    </row>
    <row r="3708" spans="2:9" ht="30">
      <c r="B3708" s="396">
        <v>89380</v>
      </c>
      <c r="C3708" s="401" t="s">
        <v>7812</v>
      </c>
      <c r="D3708" s="396" t="s">
        <v>23</v>
      </c>
      <c r="E3708" s="405">
        <f t="shared" si="114"/>
        <v>9.82</v>
      </c>
      <c r="F3708">
        <f t="shared" si="115"/>
        <v>89380</v>
      </c>
      <c r="H3708" s="679">
        <v>9.82</v>
      </c>
      <c r="I3708" s="679">
        <v>10.33</v>
      </c>
    </row>
    <row r="3709" spans="2:9" ht="30">
      <c r="B3709" s="395">
        <v>89381</v>
      </c>
      <c r="C3709" s="406" t="s">
        <v>7813</v>
      </c>
      <c r="D3709" s="395" t="s">
        <v>23</v>
      </c>
      <c r="E3709" s="407">
        <f t="shared" si="114"/>
        <v>13.11</v>
      </c>
      <c r="F3709">
        <f t="shared" si="115"/>
        <v>89381</v>
      </c>
      <c r="H3709" s="680">
        <v>13.11</v>
      </c>
      <c r="I3709" s="680">
        <v>13.54</v>
      </c>
    </row>
    <row r="3710" spans="2:9">
      <c r="B3710" s="396">
        <v>89382</v>
      </c>
      <c r="C3710" s="401" t="s">
        <v>7814</v>
      </c>
      <c r="D3710" s="396" t="s">
        <v>23</v>
      </c>
      <c r="E3710" s="405">
        <f t="shared" si="114"/>
        <v>15.38</v>
      </c>
      <c r="F3710">
        <f t="shared" si="115"/>
        <v>89382</v>
      </c>
      <c r="H3710" s="679">
        <v>15.38</v>
      </c>
      <c r="I3710" s="679">
        <v>15.84</v>
      </c>
    </row>
    <row r="3711" spans="2:9" ht="30">
      <c r="B3711" s="395">
        <v>89383</v>
      </c>
      <c r="C3711" s="406" t="s">
        <v>7815</v>
      </c>
      <c r="D3711" s="395" t="s">
        <v>23</v>
      </c>
      <c r="E3711" s="407">
        <f t="shared" si="114"/>
        <v>5.96</v>
      </c>
      <c r="F3711">
        <f t="shared" si="115"/>
        <v>89383</v>
      </c>
      <c r="H3711" s="680">
        <v>5.96</v>
      </c>
      <c r="I3711" s="680">
        <v>6.39</v>
      </c>
    </row>
    <row r="3712" spans="2:9" ht="30">
      <c r="B3712" s="396">
        <v>89384</v>
      </c>
      <c r="C3712" s="401" t="s">
        <v>7816</v>
      </c>
      <c r="D3712" s="396" t="s">
        <v>23</v>
      </c>
      <c r="E3712" s="405">
        <f t="shared" si="114"/>
        <v>13.74</v>
      </c>
      <c r="F3712">
        <f t="shared" si="115"/>
        <v>89384</v>
      </c>
      <c r="H3712" s="679">
        <v>13.74</v>
      </c>
      <c r="I3712" s="679">
        <v>14.2</v>
      </c>
    </row>
    <row r="3713" spans="2:9" ht="30">
      <c r="B3713" s="395">
        <v>89385</v>
      </c>
      <c r="C3713" s="406" t="s">
        <v>7817</v>
      </c>
      <c r="D3713" s="395" t="s">
        <v>23</v>
      </c>
      <c r="E3713" s="407">
        <f t="shared" si="114"/>
        <v>6.75</v>
      </c>
      <c r="F3713">
        <f t="shared" si="115"/>
        <v>89385</v>
      </c>
      <c r="H3713" s="680">
        <v>6.75</v>
      </c>
      <c r="I3713" s="680">
        <v>7.18</v>
      </c>
    </row>
    <row r="3714" spans="2:9">
      <c r="B3714" s="396">
        <v>89386</v>
      </c>
      <c r="C3714" s="401" t="s">
        <v>7818</v>
      </c>
      <c r="D3714" s="396" t="s">
        <v>23</v>
      </c>
      <c r="E3714" s="405">
        <f t="shared" si="114"/>
        <v>9.0299999999999994</v>
      </c>
      <c r="F3714">
        <f t="shared" si="115"/>
        <v>89386</v>
      </c>
      <c r="H3714" s="679">
        <v>9.0299999999999994</v>
      </c>
      <c r="I3714" s="679">
        <v>9.59</v>
      </c>
    </row>
    <row r="3715" spans="2:9" ht="30">
      <c r="B3715" s="395">
        <v>89387</v>
      </c>
      <c r="C3715" s="406" t="s">
        <v>7819</v>
      </c>
      <c r="D3715" s="395" t="s">
        <v>23</v>
      </c>
      <c r="E3715" s="407">
        <f t="shared" ref="E3715:E3778" si="116">IF($K$2=$H$1,H3715,I3715)</f>
        <v>34.1</v>
      </c>
      <c r="F3715">
        <f t="shared" ref="F3715:F3778" si="117">IF(LEN($B3715)=7,CONCATENATE(MID($B3715,1,6),"00",RIGHT($B3715,1)),IF(LEN($B3715)=8,CONCATENATE(MID($B3715,1,6),"0",RIGHT($B3715,2)),$B3715))</f>
        <v>89387</v>
      </c>
      <c r="H3715" s="680">
        <v>34.1</v>
      </c>
      <c r="I3715" s="680">
        <v>34.659999999999997</v>
      </c>
    </row>
    <row r="3716" spans="2:9" ht="30">
      <c r="B3716" s="396">
        <v>89389</v>
      </c>
      <c r="C3716" s="401" t="s">
        <v>7820</v>
      </c>
      <c r="D3716" s="396" t="s">
        <v>23</v>
      </c>
      <c r="E3716" s="405">
        <f t="shared" si="116"/>
        <v>11.58</v>
      </c>
      <c r="F3716">
        <f t="shared" si="117"/>
        <v>89389</v>
      </c>
      <c r="H3716" s="679">
        <v>11.58</v>
      </c>
      <c r="I3716" s="679">
        <v>12.09</v>
      </c>
    </row>
    <row r="3717" spans="2:9">
      <c r="B3717" s="395">
        <v>89390</v>
      </c>
      <c r="C3717" s="406" t="s">
        <v>7821</v>
      </c>
      <c r="D3717" s="395" t="s">
        <v>23</v>
      </c>
      <c r="E3717" s="407">
        <f t="shared" si="116"/>
        <v>23.46</v>
      </c>
      <c r="F3717">
        <f t="shared" si="117"/>
        <v>89390</v>
      </c>
      <c r="H3717" s="680">
        <v>23.46</v>
      </c>
      <c r="I3717" s="680">
        <v>24.02</v>
      </c>
    </row>
    <row r="3718" spans="2:9" ht="30">
      <c r="B3718" s="396">
        <v>89391</v>
      </c>
      <c r="C3718" s="401" t="s">
        <v>7822</v>
      </c>
      <c r="D3718" s="396" t="s">
        <v>23</v>
      </c>
      <c r="E3718" s="405">
        <f t="shared" si="116"/>
        <v>8.17</v>
      </c>
      <c r="F3718">
        <f t="shared" si="117"/>
        <v>89391</v>
      </c>
      <c r="H3718" s="679">
        <v>8.17</v>
      </c>
      <c r="I3718" s="679">
        <v>8.68</v>
      </c>
    </row>
    <row r="3719" spans="2:9" ht="30">
      <c r="B3719" s="395">
        <v>89392</v>
      </c>
      <c r="C3719" s="406" t="s">
        <v>7823</v>
      </c>
      <c r="D3719" s="395" t="s">
        <v>23</v>
      </c>
      <c r="E3719" s="407">
        <f t="shared" si="116"/>
        <v>27.29</v>
      </c>
      <c r="F3719">
        <f t="shared" si="117"/>
        <v>89392</v>
      </c>
      <c r="H3719" s="680">
        <v>27.29</v>
      </c>
      <c r="I3719" s="680">
        <v>27.85</v>
      </c>
    </row>
    <row r="3720" spans="2:9">
      <c r="B3720" s="396">
        <v>89393</v>
      </c>
      <c r="C3720" s="401" t="s">
        <v>7824</v>
      </c>
      <c r="D3720" s="396" t="s">
        <v>23</v>
      </c>
      <c r="E3720" s="405">
        <f t="shared" si="116"/>
        <v>9.66</v>
      </c>
      <c r="F3720">
        <f t="shared" si="117"/>
        <v>89393</v>
      </c>
      <c r="H3720" s="679">
        <v>9.66</v>
      </c>
      <c r="I3720" s="679">
        <v>10.46</v>
      </c>
    </row>
    <row r="3721" spans="2:9" ht="30">
      <c r="B3721" s="395">
        <v>89394</v>
      </c>
      <c r="C3721" s="406" t="s">
        <v>7825</v>
      </c>
      <c r="D3721" s="395" t="s">
        <v>23</v>
      </c>
      <c r="E3721" s="407">
        <f t="shared" si="116"/>
        <v>19.309999999999999</v>
      </c>
      <c r="F3721">
        <f t="shared" si="117"/>
        <v>89394</v>
      </c>
      <c r="H3721" s="680">
        <v>19.309999999999999</v>
      </c>
      <c r="I3721" s="680">
        <v>20.059999999999999</v>
      </c>
    </row>
    <row r="3722" spans="2:9">
      <c r="B3722" s="396">
        <v>89395</v>
      </c>
      <c r="C3722" s="401" t="s">
        <v>7826</v>
      </c>
      <c r="D3722" s="396" t="s">
        <v>23</v>
      </c>
      <c r="E3722" s="405">
        <f t="shared" si="116"/>
        <v>11.47</v>
      </c>
      <c r="F3722">
        <f t="shared" si="117"/>
        <v>89395</v>
      </c>
      <c r="H3722" s="679">
        <v>11.47</v>
      </c>
      <c r="I3722" s="679">
        <v>12.4</v>
      </c>
    </row>
    <row r="3723" spans="2:9" ht="30">
      <c r="B3723" s="395">
        <v>89396</v>
      </c>
      <c r="C3723" s="406" t="s">
        <v>7827</v>
      </c>
      <c r="D3723" s="395" t="s">
        <v>23</v>
      </c>
      <c r="E3723" s="407">
        <f t="shared" si="116"/>
        <v>21.2</v>
      </c>
      <c r="F3723">
        <f t="shared" si="117"/>
        <v>89396</v>
      </c>
      <c r="H3723" s="680">
        <v>21.2</v>
      </c>
      <c r="I3723" s="680">
        <v>22</v>
      </c>
    </row>
    <row r="3724" spans="2:9" ht="30">
      <c r="B3724" s="396">
        <v>89397</v>
      </c>
      <c r="C3724" s="401" t="s">
        <v>7828</v>
      </c>
      <c r="D3724" s="396" t="s">
        <v>23</v>
      </c>
      <c r="E3724" s="405">
        <f t="shared" si="116"/>
        <v>13.98</v>
      </c>
      <c r="F3724">
        <f t="shared" si="117"/>
        <v>89397</v>
      </c>
      <c r="H3724" s="679">
        <v>13.98</v>
      </c>
      <c r="I3724" s="679">
        <v>14.85</v>
      </c>
    </row>
    <row r="3725" spans="2:9">
      <c r="B3725" s="395">
        <v>89398</v>
      </c>
      <c r="C3725" s="406" t="s">
        <v>7829</v>
      </c>
      <c r="D3725" s="395" t="s">
        <v>23</v>
      </c>
      <c r="E3725" s="407">
        <f t="shared" si="116"/>
        <v>16.940000000000001</v>
      </c>
      <c r="F3725">
        <f t="shared" si="117"/>
        <v>89398</v>
      </c>
      <c r="H3725" s="680">
        <v>16.940000000000001</v>
      </c>
      <c r="I3725" s="680">
        <v>18.05</v>
      </c>
    </row>
    <row r="3726" spans="2:9" ht="30">
      <c r="B3726" s="396">
        <v>89399</v>
      </c>
      <c r="C3726" s="401" t="s">
        <v>7830</v>
      </c>
      <c r="D3726" s="396" t="s">
        <v>23</v>
      </c>
      <c r="E3726" s="405">
        <f t="shared" si="116"/>
        <v>26</v>
      </c>
      <c r="F3726">
        <f t="shared" si="117"/>
        <v>89399</v>
      </c>
      <c r="H3726" s="679">
        <v>26</v>
      </c>
      <c r="I3726" s="679">
        <v>26.92</v>
      </c>
    </row>
    <row r="3727" spans="2:9" ht="30">
      <c r="B3727" s="395">
        <v>89400</v>
      </c>
      <c r="C3727" s="406" t="s">
        <v>7831</v>
      </c>
      <c r="D3727" s="395" t="s">
        <v>23</v>
      </c>
      <c r="E3727" s="407">
        <f t="shared" si="116"/>
        <v>19.510000000000002</v>
      </c>
      <c r="F3727">
        <f t="shared" si="117"/>
        <v>89400</v>
      </c>
      <c r="H3727" s="680">
        <v>19.510000000000002</v>
      </c>
      <c r="I3727" s="680">
        <v>20.53</v>
      </c>
    </row>
    <row r="3728" spans="2:9" ht="30">
      <c r="B3728" s="396">
        <v>89404</v>
      </c>
      <c r="C3728" s="401" t="s">
        <v>7832</v>
      </c>
      <c r="D3728" s="396" t="s">
        <v>23</v>
      </c>
      <c r="E3728" s="405">
        <f t="shared" si="116"/>
        <v>6.3</v>
      </c>
      <c r="F3728">
        <f t="shared" si="117"/>
        <v>89404</v>
      </c>
      <c r="H3728" s="679">
        <v>6.3</v>
      </c>
      <c r="I3728" s="679">
        <v>6.85</v>
      </c>
    </row>
    <row r="3729" spans="2:9" ht="30">
      <c r="B3729" s="395">
        <v>89405</v>
      </c>
      <c r="C3729" s="406" t="s">
        <v>7833</v>
      </c>
      <c r="D3729" s="395" t="s">
        <v>23</v>
      </c>
      <c r="E3729" s="407">
        <f t="shared" si="116"/>
        <v>6.98</v>
      </c>
      <c r="F3729">
        <f t="shared" si="117"/>
        <v>89405</v>
      </c>
      <c r="H3729" s="680">
        <v>6.98</v>
      </c>
      <c r="I3729" s="680">
        <v>7.53</v>
      </c>
    </row>
    <row r="3730" spans="2:9" ht="30">
      <c r="B3730" s="396">
        <v>89406</v>
      </c>
      <c r="C3730" s="401" t="s">
        <v>7834</v>
      </c>
      <c r="D3730" s="396" t="s">
        <v>23</v>
      </c>
      <c r="E3730" s="405">
        <f t="shared" si="116"/>
        <v>8.2100000000000009</v>
      </c>
      <c r="F3730">
        <f t="shared" si="117"/>
        <v>89406</v>
      </c>
      <c r="H3730" s="679">
        <v>8.2100000000000009</v>
      </c>
      <c r="I3730" s="679">
        <v>8.76</v>
      </c>
    </row>
    <row r="3731" spans="2:9" ht="30">
      <c r="B3731" s="395">
        <v>89407</v>
      </c>
      <c r="C3731" s="406" t="s">
        <v>7835</v>
      </c>
      <c r="D3731" s="395" t="s">
        <v>23</v>
      </c>
      <c r="E3731" s="407">
        <f t="shared" si="116"/>
        <v>8.3000000000000007</v>
      </c>
      <c r="F3731">
        <f t="shared" si="117"/>
        <v>89407</v>
      </c>
      <c r="H3731" s="680">
        <v>8.3000000000000007</v>
      </c>
      <c r="I3731" s="680">
        <v>8.85</v>
      </c>
    </row>
    <row r="3732" spans="2:9" ht="30">
      <c r="B3732" s="396">
        <v>89408</v>
      </c>
      <c r="C3732" s="401" t="s">
        <v>7836</v>
      </c>
      <c r="D3732" s="396" t="s">
        <v>23</v>
      </c>
      <c r="E3732" s="405">
        <f t="shared" si="116"/>
        <v>7.59</v>
      </c>
      <c r="F3732">
        <f t="shared" si="117"/>
        <v>89408</v>
      </c>
      <c r="H3732" s="679">
        <v>7.59</v>
      </c>
      <c r="I3732" s="679">
        <v>8.2200000000000006</v>
      </c>
    </row>
    <row r="3733" spans="2:9" ht="30">
      <c r="B3733" s="395">
        <v>89409</v>
      </c>
      <c r="C3733" s="406" t="s">
        <v>7837</v>
      </c>
      <c r="D3733" s="395" t="s">
        <v>23</v>
      </c>
      <c r="E3733" s="407">
        <f t="shared" si="116"/>
        <v>8.56</v>
      </c>
      <c r="F3733">
        <f t="shared" si="117"/>
        <v>89409</v>
      </c>
      <c r="H3733" s="680">
        <v>8.56</v>
      </c>
      <c r="I3733" s="680">
        <v>9.19</v>
      </c>
    </row>
    <row r="3734" spans="2:9" ht="30">
      <c r="B3734" s="396">
        <v>89410</v>
      </c>
      <c r="C3734" s="401" t="s">
        <v>7838</v>
      </c>
      <c r="D3734" s="396" t="s">
        <v>23</v>
      </c>
      <c r="E3734" s="405">
        <f t="shared" si="116"/>
        <v>10.43</v>
      </c>
      <c r="F3734">
        <f t="shared" si="117"/>
        <v>89410</v>
      </c>
      <c r="H3734" s="679">
        <v>10.43</v>
      </c>
      <c r="I3734" s="679">
        <v>11.06</v>
      </c>
    </row>
    <row r="3735" spans="2:9" ht="30">
      <c r="B3735" s="395">
        <v>89411</v>
      </c>
      <c r="C3735" s="406" t="s">
        <v>7839</v>
      </c>
      <c r="D3735" s="395" t="s">
        <v>23</v>
      </c>
      <c r="E3735" s="407">
        <f t="shared" si="116"/>
        <v>9.76</v>
      </c>
      <c r="F3735">
        <f t="shared" si="117"/>
        <v>89411</v>
      </c>
      <c r="H3735" s="680">
        <v>9.76</v>
      </c>
      <c r="I3735" s="680">
        <v>10.39</v>
      </c>
    </row>
    <row r="3736" spans="2:9" ht="30">
      <c r="B3736" s="396">
        <v>89412</v>
      </c>
      <c r="C3736" s="401" t="s">
        <v>7840</v>
      </c>
      <c r="D3736" s="396" t="s">
        <v>23</v>
      </c>
      <c r="E3736" s="405">
        <f t="shared" si="116"/>
        <v>9.17</v>
      </c>
      <c r="F3736">
        <f t="shared" si="117"/>
        <v>89412</v>
      </c>
      <c r="H3736" s="679">
        <v>9.17</v>
      </c>
      <c r="I3736" s="679">
        <v>9.74</v>
      </c>
    </row>
    <row r="3737" spans="2:9" ht="30">
      <c r="B3737" s="395">
        <v>89413</v>
      </c>
      <c r="C3737" s="406" t="s">
        <v>7841</v>
      </c>
      <c r="D3737" s="395" t="s">
        <v>23</v>
      </c>
      <c r="E3737" s="407">
        <f t="shared" si="116"/>
        <v>11.19</v>
      </c>
      <c r="F3737">
        <f t="shared" si="117"/>
        <v>89413</v>
      </c>
      <c r="H3737" s="680">
        <v>11.19</v>
      </c>
      <c r="I3737" s="680">
        <v>11.93</v>
      </c>
    </row>
    <row r="3738" spans="2:9" ht="30">
      <c r="B3738" s="396">
        <v>89414</v>
      </c>
      <c r="C3738" s="401" t="s">
        <v>7842</v>
      </c>
      <c r="D3738" s="396" t="s">
        <v>23</v>
      </c>
      <c r="E3738" s="405">
        <f t="shared" si="116"/>
        <v>13.36</v>
      </c>
      <c r="F3738">
        <f t="shared" si="117"/>
        <v>89414</v>
      </c>
      <c r="H3738" s="679">
        <v>13.36</v>
      </c>
      <c r="I3738" s="679">
        <v>14.1</v>
      </c>
    </row>
    <row r="3739" spans="2:9" ht="30">
      <c r="B3739" s="395">
        <v>89415</v>
      </c>
      <c r="C3739" s="406" t="s">
        <v>7843</v>
      </c>
      <c r="D3739" s="395" t="s">
        <v>23</v>
      </c>
      <c r="E3739" s="407">
        <f t="shared" si="116"/>
        <v>16.27</v>
      </c>
      <c r="F3739">
        <f t="shared" si="117"/>
        <v>89415</v>
      </c>
      <c r="H3739" s="680">
        <v>16.27</v>
      </c>
      <c r="I3739" s="680">
        <v>17.010000000000002</v>
      </c>
    </row>
    <row r="3740" spans="2:9" ht="30">
      <c r="B3740" s="396">
        <v>89416</v>
      </c>
      <c r="C3740" s="401" t="s">
        <v>7844</v>
      </c>
      <c r="D3740" s="396" t="s">
        <v>23</v>
      </c>
      <c r="E3740" s="405">
        <f t="shared" si="116"/>
        <v>13.77</v>
      </c>
      <c r="F3740">
        <f t="shared" si="117"/>
        <v>89416</v>
      </c>
      <c r="H3740" s="679">
        <v>13.77</v>
      </c>
      <c r="I3740" s="679">
        <v>14.51</v>
      </c>
    </row>
    <row r="3741" spans="2:9">
      <c r="B3741" s="395">
        <v>89417</v>
      </c>
      <c r="C3741" s="406" t="s">
        <v>7845</v>
      </c>
      <c r="D3741" s="395" t="s">
        <v>23</v>
      </c>
      <c r="E3741" s="407">
        <f t="shared" si="116"/>
        <v>4.9800000000000004</v>
      </c>
      <c r="F3741">
        <f t="shared" si="117"/>
        <v>89417</v>
      </c>
      <c r="H3741" s="680">
        <v>4.9800000000000004</v>
      </c>
      <c r="I3741" s="680">
        <v>5.34</v>
      </c>
    </row>
    <row r="3742" spans="2:9" ht="30">
      <c r="B3742" s="396">
        <v>89418</v>
      </c>
      <c r="C3742" s="401" t="s">
        <v>7846</v>
      </c>
      <c r="D3742" s="396" t="s">
        <v>23</v>
      </c>
      <c r="E3742" s="405">
        <f t="shared" si="116"/>
        <v>17.36</v>
      </c>
      <c r="F3742">
        <f t="shared" si="117"/>
        <v>89418</v>
      </c>
      <c r="H3742" s="679">
        <v>17.36</v>
      </c>
      <c r="I3742" s="679">
        <v>17.72</v>
      </c>
    </row>
    <row r="3743" spans="2:9" ht="30">
      <c r="B3743" s="395">
        <v>89419</v>
      </c>
      <c r="C3743" s="406" t="s">
        <v>7847</v>
      </c>
      <c r="D3743" s="395" t="s">
        <v>23</v>
      </c>
      <c r="E3743" s="407">
        <f t="shared" si="116"/>
        <v>6.2</v>
      </c>
      <c r="F3743">
        <f t="shared" si="117"/>
        <v>89419</v>
      </c>
      <c r="H3743" s="680">
        <v>6.2</v>
      </c>
      <c r="I3743" s="680">
        <v>6.59</v>
      </c>
    </row>
    <row r="3744" spans="2:9">
      <c r="B3744" s="396">
        <v>89421</v>
      </c>
      <c r="C3744" s="401" t="s">
        <v>7848</v>
      </c>
      <c r="D3744" s="396" t="s">
        <v>23</v>
      </c>
      <c r="E3744" s="405">
        <f t="shared" si="116"/>
        <v>12.36</v>
      </c>
      <c r="F3744">
        <f t="shared" si="117"/>
        <v>89421</v>
      </c>
      <c r="H3744" s="679">
        <v>12.36</v>
      </c>
      <c r="I3744" s="679">
        <v>12.72</v>
      </c>
    </row>
    <row r="3745" spans="2:9" ht="30">
      <c r="B3745" s="395">
        <v>89423</v>
      </c>
      <c r="C3745" s="406" t="s">
        <v>7849</v>
      </c>
      <c r="D3745" s="395" t="s">
        <v>23</v>
      </c>
      <c r="E3745" s="407">
        <f t="shared" si="116"/>
        <v>10.210000000000001</v>
      </c>
      <c r="F3745">
        <f t="shared" si="117"/>
        <v>89423</v>
      </c>
      <c r="H3745" s="680">
        <v>10.210000000000001</v>
      </c>
      <c r="I3745" s="680">
        <v>10.57</v>
      </c>
    </row>
    <row r="3746" spans="2:9">
      <c r="B3746" s="396">
        <v>89424</v>
      </c>
      <c r="C3746" s="401" t="s">
        <v>7850</v>
      </c>
      <c r="D3746" s="396" t="s">
        <v>23</v>
      </c>
      <c r="E3746" s="405">
        <f t="shared" si="116"/>
        <v>5.91</v>
      </c>
      <c r="F3746">
        <f t="shared" si="117"/>
        <v>89424</v>
      </c>
      <c r="H3746" s="679">
        <v>5.91</v>
      </c>
      <c r="I3746" s="679">
        <v>6.33</v>
      </c>
    </row>
    <row r="3747" spans="2:9" ht="30">
      <c r="B3747" s="395">
        <v>89425</v>
      </c>
      <c r="C3747" s="406" t="s">
        <v>7851</v>
      </c>
      <c r="D3747" s="395" t="s">
        <v>23</v>
      </c>
      <c r="E3747" s="407">
        <f t="shared" si="116"/>
        <v>20.420000000000002</v>
      </c>
      <c r="F3747">
        <f t="shared" si="117"/>
        <v>89425</v>
      </c>
      <c r="H3747" s="680">
        <v>20.420000000000002</v>
      </c>
      <c r="I3747" s="680">
        <v>20.84</v>
      </c>
    </row>
    <row r="3748" spans="2:9" ht="30">
      <c r="B3748" s="396">
        <v>89426</v>
      </c>
      <c r="C3748" s="401" t="s">
        <v>7852</v>
      </c>
      <c r="D3748" s="396" t="s">
        <v>23</v>
      </c>
      <c r="E3748" s="405">
        <f t="shared" si="116"/>
        <v>9.34</v>
      </c>
      <c r="F3748">
        <f t="shared" si="117"/>
        <v>89426</v>
      </c>
      <c r="H3748" s="679">
        <v>9.34</v>
      </c>
      <c r="I3748" s="679">
        <v>9.7899999999999991</v>
      </c>
    </row>
    <row r="3749" spans="2:9" ht="30">
      <c r="B3749" s="395">
        <v>89427</v>
      </c>
      <c r="C3749" s="406" t="s">
        <v>7853</v>
      </c>
      <c r="D3749" s="395" t="s">
        <v>23</v>
      </c>
      <c r="E3749" s="407">
        <f t="shared" si="116"/>
        <v>12.7</v>
      </c>
      <c r="F3749">
        <f t="shared" si="117"/>
        <v>89427</v>
      </c>
      <c r="H3749" s="680">
        <v>12.7</v>
      </c>
      <c r="I3749" s="680">
        <v>13.09</v>
      </c>
    </row>
    <row r="3750" spans="2:9">
      <c r="B3750" s="396">
        <v>89428</v>
      </c>
      <c r="C3750" s="401" t="s">
        <v>7854</v>
      </c>
      <c r="D3750" s="396" t="s">
        <v>23</v>
      </c>
      <c r="E3750" s="405">
        <f t="shared" si="116"/>
        <v>14.94</v>
      </c>
      <c r="F3750">
        <f t="shared" si="117"/>
        <v>89428</v>
      </c>
      <c r="H3750" s="679">
        <v>14.94</v>
      </c>
      <c r="I3750" s="679">
        <v>15.36</v>
      </c>
    </row>
    <row r="3751" spans="2:9" ht="30">
      <c r="B3751" s="395">
        <v>89429</v>
      </c>
      <c r="C3751" s="406" t="s">
        <v>7855</v>
      </c>
      <c r="D3751" s="395" t="s">
        <v>23</v>
      </c>
      <c r="E3751" s="407">
        <f t="shared" si="116"/>
        <v>5.55</v>
      </c>
      <c r="F3751">
        <f t="shared" si="117"/>
        <v>89429</v>
      </c>
      <c r="H3751" s="680">
        <v>5.55</v>
      </c>
      <c r="I3751" s="680">
        <v>5.94</v>
      </c>
    </row>
    <row r="3752" spans="2:9" ht="30">
      <c r="B3752" s="396">
        <v>89430</v>
      </c>
      <c r="C3752" s="401" t="s">
        <v>7856</v>
      </c>
      <c r="D3752" s="396" t="s">
        <v>23</v>
      </c>
      <c r="E3752" s="405">
        <f t="shared" si="116"/>
        <v>13.3</v>
      </c>
      <c r="F3752">
        <f t="shared" si="117"/>
        <v>89430</v>
      </c>
      <c r="H3752" s="679">
        <v>13.3</v>
      </c>
      <c r="I3752" s="679">
        <v>13.72</v>
      </c>
    </row>
    <row r="3753" spans="2:9">
      <c r="B3753" s="395">
        <v>89431</v>
      </c>
      <c r="C3753" s="406" t="s">
        <v>7857</v>
      </c>
      <c r="D3753" s="395" t="s">
        <v>23</v>
      </c>
      <c r="E3753" s="407">
        <f t="shared" si="116"/>
        <v>8.5299999999999994</v>
      </c>
      <c r="F3753">
        <f t="shared" si="117"/>
        <v>89431</v>
      </c>
      <c r="H3753" s="680">
        <v>8.5299999999999994</v>
      </c>
      <c r="I3753" s="680">
        <v>9.0299999999999994</v>
      </c>
    </row>
    <row r="3754" spans="2:9" ht="30">
      <c r="B3754" s="396">
        <v>89432</v>
      </c>
      <c r="C3754" s="401" t="s">
        <v>7858</v>
      </c>
      <c r="D3754" s="396" t="s">
        <v>23</v>
      </c>
      <c r="E3754" s="405">
        <f t="shared" si="116"/>
        <v>33.6</v>
      </c>
      <c r="F3754">
        <f t="shared" si="117"/>
        <v>89432</v>
      </c>
      <c r="H3754" s="679">
        <v>33.6</v>
      </c>
      <c r="I3754" s="679">
        <v>34.1</v>
      </c>
    </row>
    <row r="3755" spans="2:9" ht="30">
      <c r="B3755" s="395">
        <v>89433</v>
      </c>
      <c r="C3755" s="406" t="s">
        <v>7859</v>
      </c>
      <c r="D3755" s="395" t="s">
        <v>23</v>
      </c>
      <c r="E3755" s="407">
        <f t="shared" si="116"/>
        <v>13.3</v>
      </c>
      <c r="F3755">
        <f t="shared" si="117"/>
        <v>89433</v>
      </c>
      <c r="H3755" s="680">
        <v>13.3</v>
      </c>
      <c r="I3755" s="680">
        <v>13.84</v>
      </c>
    </row>
    <row r="3756" spans="2:9" ht="30">
      <c r="B3756" s="396">
        <v>89434</v>
      </c>
      <c r="C3756" s="401" t="s">
        <v>7860</v>
      </c>
      <c r="D3756" s="396" t="s">
        <v>23</v>
      </c>
      <c r="E3756" s="405">
        <f t="shared" si="116"/>
        <v>11.1</v>
      </c>
      <c r="F3756">
        <f t="shared" si="117"/>
        <v>89434</v>
      </c>
      <c r="H3756" s="679">
        <v>11.1</v>
      </c>
      <c r="I3756" s="679">
        <v>11.55</v>
      </c>
    </row>
    <row r="3757" spans="2:9">
      <c r="B3757" s="395">
        <v>89435</v>
      </c>
      <c r="C3757" s="406" t="s">
        <v>7861</v>
      </c>
      <c r="D3757" s="395" t="s">
        <v>23</v>
      </c>
      <c r="E3757" s="407">
        <f t="shared" si="116"/>
        <v>22.96</v>
      </c>
      <c r="F3757">
        <f t="shared" si="117"/>
        <v>89435</v>
      </c>
      <c r="H3757" s="680">
        <v>22.96</v>
      </c>
      <c r="I3757" s="680">
        <v>23.46</v>
      </c>
    </row>
    <row r="3758" spans="2:9" ht="30">
      <c r="B3758" s="396">
        <v>89436</v>
      </c>
      <c r="C3758" s="401" t="s">
        <v>7862</v>
      </c>
      <c r="D3758" s="396" t="s">
        <v>23</v>
      </c>
      <c r="E3758" s="405">
        <f t="shared" si="116"/>
        <v>7.69</v>
      </c>
      <c r="F3758">
        <f t="shared" si="117"/>
        <v>89436</v>
      </c>
      <c r="H3758" s="679">
        <v>7.69</v>
      </c>
      <c r="I3758" s="679">
        <v>8.14</v>
      </c>
    </row>
    <row r="3759" spans="2:9" ht="30">
      <c r="B3759" s="395">
        <v>89437</v>
      </c>
      <c r="C3759" s="406" t="s">
        <v>7863</v>
      </c>
      <c r="D3759" s="395" t="s">
        <v>23</v>
      </c>
      <c r="E3759" s="407">
        <f t="shared" si="116"/>
        <v>26.79</v>
      </c>
      <c r="F3759">
        <f t="shared" si="117"/>
        <v>89437</v>
      </c>
      <c r="H3759" s="680">
        <v>26.79</v>
      </c>
      <c r="I3759" s="680">
        <v>27.29</v>
      </c>
    </row>
    <row r="3760" spans="2:9">
      <c r="B3760" s="396">
        <v>89438</v>
      </c>
      <c r="C3760" s="401" t="s">
        <v>7864</v>
      </c>
      <c r="D3760" s="396" t="s">
        <v>23</v>
      </c>
      <c r="E3760" s="405">
        <f t="shared" si="116"/>
        <v>8.92</v>
      </c>
      <c r="F3760">
        <f t="shared" si="117"/>
        <v>89438</v>
      </c>
      <c r="H3760" s="679">
        <v>8.92</v>
      </c>
      <c r="I3760" s="679">
        <v>9.6300000000000008</v>
      </c>
    </row>
    <row r="3761" spans="2:9" ht="30">
      <c r="B3761" s="395">
        <v>89439</v>
      </c>
      <c r="C3761" s="406" t="s">
        <v>7865</v>
      </c>
      <c r="D3761" s="395" t="s">
        <v>23</v>
      </c>
      <c r="E3761" s="407">
        <f t="shared" si="116"/>
        <v>10.78</v>
      </c>
      <c r="F3761">
        <f t="shared" si="117"/>
        <v>89439</v>
      </c>
      <c r="H3761" s="680">
        <v>10.78</v>
      </c>
      <c r="I3761" s="680">
        <v>11.49</v>
      </c>
    </row>
    <row r="3762" spans="2:9">
      <c r="B3762" s="396">
        <v>89440</v>
      </c>
      <c r="C3762" s="401" t="s">
        <v>7866</v>
      </c>
      <c r="D3762" s="396" t="s">
        <v>23</v>
      </c>
      <c r="E3762" s="405">
        <f t="shared" si="116"/>
        <v>10.61</v>
      </c>
      <c r="F3762">
        <f t="shared" si="117"/>
        <v>89440</v>
      </c>
      <c r="H3762" s="679">
        <v>10.61</v>
      </c>
      <c r="I3762" s="679">
        <v>11.45</v>
      </c>
    </row>
    <row r="3763" spans="2:9" ht="30">
      <c r="B3763" s="395">
        <v>89442</v>
      </c>
      <c r="C3763" s="406" t="s">
        <v>7867</v>
      </c>
      <c r="D3763" s="395" t="s">
        <v>23</v>
      </c>
      <c r="E3763" s="407">
        <f t="shared" si="116"/>
        <v>13.17</v>
      </c>
      <c r="F3763">
        <f t="shared" si="117"/>
        <v>89442</v>
      </c>
      <c r="H3763" s="680">
        <v>13.17</v>
      </c>
      <c r="I3763" s="680">
        <v>13.95</v>
      </c>
    </row>
    <row r="3764" spans="2:9">
      <c r="B3764" s="396">
        <v>89443</v>
      </c>
      <c r="C3764" s="401" t="s">
        <v>7868</v>
      </c>
      <c r="D3764" s="396" t="s">
        <v>23</v>
      </c>
      <c r="E3764" s="405">
        <f t="shared" si="116"/>
        <v>15.92</v>
      </c>
      <c r="F3764">
        <f t="shared" si="117"/>
        <v>89443</v>
      </c>
      <c r="H3764" s="679">
        <v>15.92</v>
      </c>
      <c r="I3764" s="679">
        <v>16.899999999999999</v>
      </c>
    </row>
    <row r="3765" spans="2:9" ht="30">
      <c r="B3765" s="395">
        <v>89444</v>
      </c>
      <c r="C3765" s="406" t="s">
        <v>7869</v>
      </c>
      <c r="D3765" s="395" t="s">
        <v>23</v>
      </c>
      <c r="E3765" s="407">
        <f t="shared" si="116"/>
        <v>25.51</v>
      </c>
      <c r="F3765">
        <f t="shared" si="117"/>
        <v>89444</v>
      </c>
      <c r="H3765" s="680">
        <v>25.51</v>
      </c>
      <c r="I3765" s="680">
        <v>26.37</v>
      </c>
    </row>
    <row r="3766" spans="2:9" ht="30">
      <c r="B3766" s="396">
        <v>89445</v>
      </c>
      <c r="C3766" s="401" t="s">
        <v>7870</v>
      </c>
      <c r="D3766" s="396" t="s">
        <v>23</v>
      </c>
      <c r="E3766" s="405">
        <f t="shared" si="116"/>
        <v>18.57</v>
      </c>
      <c r="F3766">
        <f t="shared" si="117"/>
        <v>89445</v>
      </c>
      <c r="H3766" s="679">
        <v>18.57</v>
      </c>
      <c r="I3766" s="679">
        <v>19.48</v>
      </c>
    </row>
    <row r="3767" spans="2:9">
      <c r="B3767" s="395">
        <v>89481</v>
      </c>
      <c r="C3767" s="406" t="s">
        <v>7871</v>
      </c>
      <c r="D3767" s="395" t="s">
        <v>23</v>
      </c>
      <c r="E3767" s="407">
        <f t="shared" si="116"/>
        <v>4.95</v>
      </c>
      <c r="F3767">
        <f t="shared" si="117"/>
        <v>89481</v>
      </c>
      <c r="H3767" s="680">
        <v>4.95</v>
      </c>
      <c r="I3767" s="680">
        <v>5.28</v>
      </c>
    </row>
    <row r="3768" spans="2:9">
      <c r="B3768" s="396">
        <v>89485</v>
      </c>
      <c r="C3768" s="401" t="s">
        <v>7872</v>
      </c>
      <c r="D3768" s="396" t="s">
        <v>23</v>
      </c>
      <c r="E3768" s="405">
        <f t="shared" si="116"/>
        <v>5.92</v>
      </c>
      <c r="F3768">
        <f t="shared" si="117"/>
        <v>89485</v>
      </c>
      <c r="H3768" s="679">
        <v>5.92</v>
      </c>
      <c r="I3768" s="679">
        <v>6.25</v>
      </c>
    </row>
    <row r="3769" spans="2:9">
      <c r="B3769" s="395">
        <v>89489</v>
      </c>
      <c r="C3769" s="406" t="s">
        <v>7873</v>
      </c>
      <c r="D3769" s="395" t="s">
        <v>23</v>
      </c>
      <c r="E3769" s="407">
        <f t="shared" si="116"/>
        <v>7.79</v>
      </c>
      <c r="F3769">
        <f t="shared" si="117"/>
        <v>89489</v>
      </c>
      <c r="H3769" s="680">
        <v>7.79</v>
      </c>
      <c r="I3769" s="680">
        <v>8.1199999999999992</v>
      </c>
    </row>
    <row r="3770" spans="2:9">
      <c r="B3770" s="396">
        <v>89490</v>
      </c>
      <c r="C3770" s="401" t="s">
        <v>7874</v>
      </c>
      <c r="D3770" s="396" t="s">
        <v>23</v>
      </c>
      <c r="E3770" s="405">
        <f t="shared" si="116"/>
        <v>7.12</v>
      </c>
      <c r="F3770">
        <f t="shared" si="117"/>
        <v>89490</v>
      </c>
      <c r="H3770" s="679">
        <v>7.12</v>
      </c>
      <c r="I3770" s="679">
        <v>7.45</v>
      </c>
    </row>
    <row r="3771" spans="2:9">
      <c r="B3771" s="395">
        <v>89492</v>
      </c>
      <c r="C3771" s="406" t="s">
        <v>7875</v>
      </c>
      <c r="D3771" s="395" t="s">
        <v>23</v>
      </c>
      <c r="E3771" s="407">
        <f t="shared" si="116"/>
        <v>8.1199999999999992</v>
      </c>
      <c r="F3771">
        <f t="shared" si="117"/>
        <v>89492</v>
      </c>
      <c r="H3771" s="680">
        <v>8.1199999999999992</v>
      </c>
      <c r="I3771" s="680">
        <v>8.51</v>
      </c>
    </row>
    <row r="3772" spans="2:9">
      <c r="B3772" s="396">
        <v>89493</v>
      </c>
      <c r="C3772" s="401" t="s">
        <v>7876</v>
      </c>
      <c r="D3772" s="396" t="s">
        <v>23</v>
      </c>
      <c r="E3772" s="405">
        <f t="shared" si="116"/>
        <v>10.29</v>
      </c>
      <c r="F3772">
        <f t="shared" si="117"/>
        <v>89493</v>
      </c>
      <c r="H3772" s="679">
        <v>10.29</v>
      </c>
      <c r="I3772" s="679">
        <v>10.68</v>
      </c>
    </row>
    <row r="3773" spans="2:9">
      <c r="B3773" s="395">
        <v>89494</v>
      </c>
      <c r="C3773" s="406" t="s">
        <v>7877</v>
      </c>
      <c r="D3773" s="395" t="s">
        <v>23</v>
      </c>
      <c r="E3773" s="407">
        <f t="shared" si="116"/>
        <v>13.2</v>
      </c>
      <c r="F3773">
        <f t="shared" si="117"/>
        <v>89494</v>
      </c>
      <c r="H3773" s="680">
        <v>13.2</v>
      </c>
      <c r="I3773" s="680">
        <v>13.59</v>
      </c>
    </row>
    <row r="3774" spans="2:9">
      <c r="B3774" s="396">
        <v>89496</v>
      </c>
      <c r="C3774" s="401" t="s">
        <v>7878</v>
      </c>
      <c r="D3774" s="396" t="s">
        <v>23</v>
      </c>
      <c r="E3774" s="405">
        <f t="shared" si="116"/>
        <v>10.7</v>
      </c>
      <c r="F3774">
        <f t="shared" si="117"/>
        <v>89496</v>
      </c>
      <c r="H3774" s="679">
        <v>10.7</v>
      </c>
      <c r="I3774" s="679">
        <v>11.09</v>
      </c>
    </row>
    <row r="3775" spans="2:9">
      <c r="B3775" s="395">
        <v>89497</v>
      </c>
      <c r="C3775" s="406" t="s">
        <v>7879</v>
      </c>
      <c r="D3775" s="395" t="s">
        <v>23</v>
      </c>
      <c r="E3775" s="407">
        <f t="shared" si="116"/>
        <v>13.69</v>
      </c>
      <c r="F3775">
        <f t="shared" si="117"/>
        <v>89497</v>
      </c>
      <c r="H3775" s="680">
        <v>13.69</v>
      </c>
      <c r="I3775" s="680">
        <v>14.17</v>
      </c>
    </row>
    <row r="3776" spans="2:9">
      <c r="B3776" s="396">
        <v>89498</v>
      </c>
      <c r="C3776" s="401" t="s">
        <v>7880</v>
      </c>
      <c r="D3776" s="396" t="s">
        <v>23</v>
      </c>
      <c r="E3776" s="405">
        <f t="shared" si="116"/>
        <v>13.76</v>
      </c>
      <c r="F3776">
        <f t="shared" si="117"/>
        <v>89498</v>
      </c>
      <c r="H3776" s="679">
        <v>13.76</v>
      </c>
      <c r="I3776" s="679">
        <v>14.24</v>
      </c>
    </row>
    <row r="3777" spans="2:9">
      <c r="B3777" s="395">
        <v>89499</v>
      </c>
      <c r="C3777" s="406" t="s">
        <v>7881</v>
      </c>
      <c r="D3777" s="395" t="s">
        <v>23</v>
      </c>
      <c r="E3777" s="407">
        <f t="shared" si="116"/>
        <v>21.4</v>
      </c>
      <c r="F3777">
        <f t="shared" si="117"/>
        <v>89499</v>
      </c>
      <c r="H3777" s="680">
        <v>21.4</v>
      </c>
      <c r="I3777" s="680">
        <v>21.88</v>
      </c>
    </row>
    <row r="3778" spans="2:9">
      <c r="B3778" s="396">
        <v>89500</v>
      </c>
      <c r="C3778" s="401" t="s">
        <v>7882</v>
      </c>
      <c r="D3778" s="396" t="s">
        <v>23</v>
      </c>
      <c r="E3778" s="405">
        <f t="shared" si="116"/>
        <v>13.09</v>
      </c>
      <c r="F3778">
        <f t="shared" si="117"/>
        <v>89500</v>
      </c>
      <c r="H3778" s="679">
        <v>13.09</v>
      </c>
      <c r="I3778" s="679">
        <v>13.57</v>
      </c>
    </row>
    <row r="3779" spans="2:9">
      <c r="B3779" s="395">
        <v>89501</v>
      </c>
      <c r="C3779" s="406" t="s">
        <v>7883</v>
      </c>
      <c r="D3779" s="395" t="s">
        <v>23</v>
      </c>
      <c r="E3779" s="407">
        <f t="shared" ref="E3779:E3842" si="118">IF($K$2=$H$1,H3779,I3779)</f>
        <v>14.5</v>
      </c>
      <c r="F3779">
        <f t="shared" ref="F3779:F3842" si="119">IF(LEN($B3779)=7,CONCATENATE(MID($B3779,1,6),"00",RIGHT($B3779,1)),IF(LEN($B3779)=8,CONCATENATE(MID($B3779,1,6),"0",RIGHT($B3779,2)),$B3779))</f>
        <v>89501</v>
      </c>
      <c r="H3779" s="680">
        <v>14.5</v>
      </c>
      <c r="I3779" s="680">
        <v>15.08</v>
      </c>
    </row>
    <row r="3780" spans="2:9">
      <c r="B3780" s="396">
        <v>89502</v>
      </c>
      <c r="C3780" s="401" t="s">
        <v>7884</v>
      </c>
      <c r="D3780" s="396" t="s">
        <v>23</v>
      </c>
      <c r="E3780" s="405">
        <f t="shared" si="118"/>
        <v>17.64</v>
      </c>
      <c r="F3780">
        <f t="shared" si="119"/>
        <v>89502</v>
      </c>
      <c r="H3780" s="679">
        <v>17.64</v>
      </c>
      <c r="I3780" s="679">
        <v>18.22</v>
      </c>
    </row>
    <row r="3781" spans="2:9">
      <c r="B3781" s="395">
        <v>89503</v>
      </c>
      <c r="C3781" s="406" t="s">
        <v>7885</v>
      </c>
      <c r="D3781" s="395" t="s">
        <v>23</v>
      </c>
      <c r="E3781" s="407">
        <f t="shared" si="118"/>
        <v>24.64</v>
      </c>
      <c r="F3781">
        <f t="shared" si="119"/>
        <v>89503</v>
      </c>
      <c r="H3781" s="680">
        <v>24.64</v>
      </c>
      <c r="I3781" s="680">
        <v>25.22</v>
      </c>
    </row>
    <row r="3782" spans="2:9">
      <c r="B3782" s="396">
        <v>89504</v>
      </c>
      <c r="C3782" s="401" t="s">
        <v>7886</v>
      </c>
      <c r="D3782" s="396" t="s">
        <v>23</v>
      </c>
      <c r="E3782" s="405">
        <f t="shared" si="118"/>
        <v>19.89</v>
      </c>
      <c r="F3782">
        <f t="shared" si="119"/>
        <v>89504</v>
      </c>
      <c r="H3782" s="679">
        <v>19.89</v>
      </c>
      <c r="I3782" s="679">
        <v>20.47</v>
      </c>
    </row>
    <row r="3783" spans="2:9">
      <c r="B3783" s="395">
        <v>89505</v>
      </c>
      <c r="C3783" s="406" t="s">
        <v>7887</v>
      </c>
      <c r="D3783" s="395" t="s">
        <v>23</v>
      </c>
      <c r="E3783" s="407">
        <f t="shared" si="118"/>
        <v>46.64</v>
      </c>
      <c r="F3783">
        <f t="shared" si="119"/>
        <v>89505</v>
      </c>
      <c r="H3783" s="680">
        <v>46.64</v>
      </c>
      <c r="I3783" s="680">
        <v>47.33</v>
      </c>
    </row>
    <row r="3784" spans="2:9">
      <c r="B3784" s="396">
        <v>89506</v>
      </c>
      <c r="C3784" s="401" t="s">
        <v>7888</v>
      </c>
      <c r="D3784" s="396" t="s">
        <v>23</v>
      </c>
      <c r="E3784" s="405">
        <f t="shared" si="118"/>
        <v>44.44</v>
      </c>
      <c r="F3784">
        <f t="shared" si="119"/>
        <v>89506</v>
      </c>
      <c r="H3784" s="679">
        <v>44.44</v>
      </c>
      <c r="I3784" s="679">
        <v>45.13</v>
      </c>
    </row>
    <row r="3785" spans="2:9">
      <c r="B3785" s="395">
        <v>89507</v>
      </c>
      <c r="C3785" s="406" t="s">
        <v>7889</v>
      </c>
      <c r="D3785" s="395" t="s">
        <v>23</v>
      </c>
      <c r="E3785" s="407">
        <f t="shared" si="118"/>
        <v>53.12</v>
      </c>
      <c r="F3785">
        <f t="shared" si="119"/>
        <v>89507</v>
      </c>
      <c r="H3785" s="680">
        <v>53.12</v>
      </c>
      <c r="I3785" s="680">
        <v>53.81</v>
      </c>
    </row>
    <row r="3786" spans="2:9">
      <c r="B3786" s="396">
        <v>89510</v>
      </c>
      <c r="C3786" s="401" t="s">
        <v>7890</v>
      </c>
      <c r="D3786" s="396" t="s">
        <v>23</v>
      </c>
      <c r="E3786" s="405">
        <f t="shared" si="118"/>
        <v>29.04</v>
      </c>
      <c r="F3786">
        <f t="shared" si="119"/>
        <v>89510</v>
      </c>
      <c r="H3786" s="679">
        <v>29.04</v>
      </c>
      <c r="I3786" s="679">
        <v>29.73</v>
      </c>
    </row>
    <row r="3787" spans="2:9">
      <c r="B3787" s="395">
        <v>89513</v>
      </c>
      <c r="C3787" s="406" t="s">
        <v>7891</v>
      </c>
      <c r="D3787" s="395" t="s">
        <v>23</v>
      </c>
      <c r="E3787" s="407">
        <f t="shared" si="118"/>
        <v>121.16</v>
      </c>
      <c r="F3787">
        <f t="shared" si="119"/>
        <v>89513</v>
      </c>
      <c r="H3787" s="680">
        <v>121.16</v>
      </c>
      <c r="I3787" s="680">
        <v>122</v>
      </c>
    </row>
    <row r="3788" spans="2:9" ht="30">
      <c r="B3788" s="396">
        <v>89514</v>
      </c>
      <c r="C3788" s="401" t="s">
        <v>7892</v>
      </c>
      <c r="D3788" s="396" t="s">
        <v>23</v>
      </c>
      <c r="E3788" s="405">
        <f t="shared" si="118"/>
        <v>8.8000000000000007</v>
      </c>
      <c r="F3788">
        <f t="shared" si="119"/>
        <v>89514</v>
      </c>
      <c r="H3788" s="679">
        <v>8.8000000000000007</v>
      </c>
      <c r="I3788" s="679">
        <v>9.0299999999999994</v>
      </c>
    </row>
    <row r="3789" spans="2:9">
      <c r="B3789" s="395">
        <v>89515</v>
      </c>
      <c r="C3789" s="406" t="s">
        <v>7893</v>
      </c>
      <c r="D3789" s="395" t="s">
        <v>23</v>
      </c>
      <c r="E3789" s="407">
        <f t="shared" si="118"/>
        <v>95.78</v>
      </c>
      <c r="F3789">
        <f t="shared" si="119"/>
        <v>89515</v>
      </c>
      <c r="H3789" s="680">
        <v>95.78</v>
      </c>
      <c r="I3789" s="680">
        <v>96.62</v>
      </c>
    </row>
    <row r="3790" spans="2:9" ht="30">
      <c r="B3790" s="396">
        <v>89516</v>
      </c>
      <c r="C3790" s="401" t="s">
        <v>7894</v>
      </c>
      <c r="D3790" s="396" t="s">
        <v>23</v>
      </c>
      <c r="E3790" s="405">
        <f t="shared" si="118"/>
        <v>8.91</v>
      </c>
      <c r="F3790">
        <f t="shared" si="119"/>
        <v>89516</v>
      </c>
      <c r="H3790" s="679">
        <v>8.91</v>
      </c>
      <c r="I3790" s="679">
        <v>9.14</v>
      </c>
    </row>
    <row r="3791" spans="2:9">
      <c r="B3791" s="395">
        <v>89517</v>
      </c>
      <c r="C3791" s="406" t="s">
        <v>7895</v>
      </c>
      <c r="D3791" s="395" t="s">
        <v>23</v>
      </c>
      <c r="E3791" s="407">
        <f t="shared" si="118"/>
        <v>79.58</v>
      </c>
      <c r="F3791">
        <f t="shared" si="119"/>
        <v>89517</v>
      </c>
      <c r="H3791" s="680">
        <v>79.58</v>
      </c>
      <c r="I3791" s="680">
        <v>80.42</v>
      </c>
    </row>
    <row r="3792" spans="2:9" ht="30">
      <c r="B3792" s="396">
        <v>89518</v>
      </c>
      <c r="C3792" s="401" t="s">
        <v>7896</v>
      </c>
      <c r="D3792" s="396" t="s">
        <v>23</v>
      </c>
      <c r="E3792" s="405">
        <f t="shared" si="118"/>
        <v>17.260000000000002</v>
      </c>
      <c r="F3792">
        <f t="shared" si="119"/>
        <v>89518</v>
      </c>
      <c r="H3792" s="679">
        <v>17.260000000000002</v>
      </c>
      <c r="I3792" s="679">
        <v>17.54</v>
      </c>
    </row>
    <row r="3793" spans="2:9">
      <c r="B3793" s="395">
        <v>89519</v>
      </c>
      <c r="C3793" s="406" t="s">
        <v>7897</v>
      </c>
      <c r="D3793" s="395" t="s">
        <v>23</v>
      </c>
      <c r="E3793" s="407">
        <f t="shared" si="118"/>
        <v>52.63</v>
      </c>
      <c r="F3793">
        <f t="shared" si="119"/>
        <v>89519</v>
      </c>
      <c r="H3793" s="680">
        <v>52.63</v>
      </c>
      <c r="I3793" s="680">
        <v>53.47</v>
      </c>
    </row>
    <row r="3794" spans="2:9" ht="30">
      <c r="B3794" s="396">
        <v>89520</v>
      </c>
      <c r="C3794" s="401" t="s">
        <v>7898</v>
      </c>
      <c r="D3794" s="396" t="s">
        <v>23</v>
      </c>
      <c r="E3794" s="405">
        <f t="shared" si="118"/>
        <v>18.149999999999999</v>
      </c>
      <c r="F3794">
        <f t="shared" si="119"/>
        <v>89520</v>
      </c>
      <c r="H3794" s="679">
        <v>18.149999999999999</v>
      </c>
      <c r="I3794" s="679">
        <v>18.43</v>
      </c>
    </row>
    <row r="3795" spans="2:9">
      <c r="B3795" s="395">
        <v>89521</v>
      </c>
      <c r="C3795" s="406" t="s">
        <v>7899</v>
      </c>
      <c r="D3795" s="395" t="s">
        <v>23</v>
      </c>
      <c r="E3795" s="407">
        <f t="shared" si="118"/>
        <v>144.65</v>
      </c>
      <c r="F3795">
        <f t="shared" si="119"/>
        <v>89521</v>
      </c>
      <c r="H3795" s="680">
        <v>144.65</v>
      </c>
      <c r="I3795" s="680">
        <v>145.6</v>
      </c>
    </row>
    <row r="3796" spans="2:9" ht="30">
      <c r="B3796" s="396">
        <v>89522</v>
      </c>
      <c r="C3796" s="401" t="s">
        <v>7900</v>
      </c>
      <c r="D3796" s="396" t="s">
        <v>23</v>
      </c>
      <c r="E3796" s="405">
        <f t="shared" si="118"/>
        <v>33.97</v>
      </c>
      <c r="F3796">
        <f t="shared" si="119"/>
        <v>89522</v>
      </c>
      <c r="H3796" s="679">
        <v>33.97</v>
      </c>
      <c r="I3796" s="679">
        <v>34.409999999999997</v>
      </c>
    </row>
    <row r="3797" spans="2:9">
      <c r="B3797" s="395">
        <v>89523</v>
      </c>
      <c r="C3797" s="406" t="s">
        <v>7901</v>
      </c>
      <c r="D3797" s="395" t="s">
        <v>23</v>
      </c>
      <c r="E3797" s="407">
        <f t="shared" si="118"/>
        <v>117.47</v>
      </c>
      <c r="F3797">
        <f t="shared" si="119"/>
        <v>89523</v>
      </c>
      <c r="H3797" s="680">
        <v>117.47</v>
      </c>
      <c r="I3797" s="680">
        <v>118.42</v>
      </c>
    </row>
    <row r="3798" spans="2:9" ht="30">
      <c r="B3798" s="396">
        <v>89524</v>
      </c>
      <c r="C3798" s="401" t="s">
        <v>7902</v>
      </c>
      <c r="D3798" s="396" t="s">
        <v>23</v>
      </c>
      <c r="E3798" s="405">
        <f t="shared" si="118"/>
        <v>34.53</v>
      </c>
      <c r="F3798">
        <f t="shared" si="119"/>
        <v>89524</v>
      </c>
      <c r="H3798" s="679">
        <v>34.53</v>
      </c>
      <c r="I3798" s="679">
        <v>34.97</v>
      </c>
    </row>
    <row r="3799" spans="2:9">
      <c r="B3799" s="395">
        <v>89525</v>
      </c>
      <c r="C3799" s="406" t="s">
        <v>7903</v>
      </c>
      <c r="D3799" s="395" t="s">
        <v>23</v>
      </c>
      <c r="E3799" s="407">
        <f t="shared" si="118"/>
        <v>100.57</v>
      </c>
      <c r="F3799">
        <f t="shared" si="119"/>
        <v>89525</v>
      </c>
      <c r="H3799" s="680">
        <v>100.57</v>
      </c>
      <c r="I3799" s="680">
        <v>101.52</v>
      </c>
    </row>
    <row r="3800" spans="2:9" ht="30">
      <c r="B3800" s="396">
        <v>89526</v>
      </c>
      <c r="C3800" s="401" t="s">
        <v>7904</v>
      </c>
      <c r="D3800" s="396" t="s">
        <v>23</v>
      </c>
      <c r="E3800" s="405">
        <f t="shared" si="118"/>
        <v>44.88</v>
      </c>
      <c r="F3800">
        <f t="shared" si="119"/>
        <v>89526</v>
      </c>
      <c r="H3800" s="679">
        <v>44.88</v>
      </c>
      <c r="I3800" s="679">
        <v>45.32</v>
      </c>
    </row>
    <row r="3801" spans="2:9">
      <c r="B3801" s="395">
        <v>89527</v>
      </c>
      <c r="C3801" s="406" t="s">
        <v>7905</v>
      </c>
      <c r="D3801" s="395" t="s">
        <v>23</v>
      </c>
      <c r="E3801" s="407">
        <f t="shared" si="118"/>
        <v>63.7</v>
      </c>
      <c r="F3801">
        <f t="shared" si="119"/>
        <v>89527</v>
      </c>
      <c r="H3801" s="680">
        <v>63.7</v>
      </c>
      <c r="I3801" s="680">
        <v>64.650000000000006</v>
      </c>
    </row>
    <row r="3802" spans="2:9">
      <c r="B3802" s="396">
        <v>89528</v>
      </c>
      <c r="C3802" s="401" t="s">
        <v>7906</v>
      </c>
      <c r="D3802" s="396" t="s">
        <v>23</v>
      </c>
      <c r="E3802" s="405">
        <f t="shared" si="118"/>
        <v>4.1399999999999997</v>
      </c>
      <c r="F3802">
        <f t="shared" si="119"/>
        <v>89528</v>
      </c>
      <c r="H3802" s="679">
        <v>4.1399999999999997</v>
      </c>
      <c r="I3802" s="679">
        <v>4.3499999999999996</v>
      </c>
    </row>
    <row r="3803" spans="2:9" ht="30">
      <c r="B3803" s="395">
        <v>89529</v>
      </c>
      <c r="C3803" s="406" t="s">
        <v>7907</v>
      </c>
      <c r="D3803" s="395" t="s">
        <v>23</v>
      </c>
      <c r="E3803" s="407">
        <f t="shared" si="118"/>
        <v>41.93</v>
      </c>
      <c r="F3803">
        <f t="shared" si="119"/>
        <v>89529</v>
      </c>
      <c r="H3803" s="680">
        <v>41.93</v>
      </c>
      <c r="I3803" s="680">
        <v>42.53</v>
      </c>
    </row>
    <row r="3804" spans="2:9">
      <c r="B3804" s="396">
        <v>89530</v>
      </c>
      <c r="C3804" s="401" t="s">
        <v>7908</v>
      </c>
      <c r="D3804" s="396" t="s">
        <v>23</v>
      </c>
      <c r="E3804" s="405">
        <f t="shared" si="118"/>
        <v>18.649999999999999</v>
      </c>
      <c r="F3804">
        <f t="shared" si="119"/>
        <v>89530</v>
      </c>
      <c r="H3804" s="679">
        <v>18.649999999999999</v>
      </c>
      <c r="I3804" s="679">
        <v>18.86</v>
      </c>
    </row>
    <row r="3805" spans="2:9" ht="30">
      <c r="B3805" s="395">
        <v>89531</v>
      </c>
      <c r="C3805" s="406" t="s">
        <v>7909</v>
      </c>
      <c r="D3805" s="395" t="s">
        <v>23</v>
      </c>
      <c r="E3805" s="407">
        <f t="shared" si="118"/>
        <v>43.19</v>
      </c>
      <c r="F3805">
        <f t="shared" si="119"/>
        <v>89531</v>
      </c>
      <c r="H3805" s="680">
        <v>43.19</v>
      </c>
      <c r="I3805" s="680">
        <v>43.79</v>
      </c>
    </row>
    <row r="3806" spans="2:9" ht="30">
      <c r="B3806" s="396">
        <v>89532</v>
      </c>
      <c r="C3806" s="401" t="s">
        <v>7910</v>
      </c>
      <c r="D3806" s="396" t="s">
        <v>23</v>
      </c>
      <c r="E3806" s="405">
        <f t="shared" si="118"/>
        <v>7.43</v>
      </c>
      <c r="F3806">
        <f t="shared" si="119"/>
        <v>89532</v>
      </c>
      <c r="H3806" s="679">
        <v>7.43</v>
      </c>
      <c r="I3806" s="679">
        <v>7.68</v>
      </c>
    </row>
    <row r="3807" spans="2:9" ht="30">
      <c r="B3807" s="395">
        <v>89535</v>
      </c>
      <c r="C3807" s="406" t="s">
        <v>7911</v>
      </c>
      <c r="D3807" s="395" t="s">
        <v>23</v>
      </c>
      <c r="E3807" s="407">
        <f t="shared" si="118"/>
        <v>48.6</v>
      </c>
      <c r="F3807">
        <f t="shared" si="119"/>
        <v>89535</v>
      </c>
      <c r="H3807" s="680">
        <v>48.6</v>
      </c>
      <c r="I3807" s="680">
        <v>49.2</v>
      </c>
    </row>
    <row r="3808" spans="2:9">
      <c r="B3808" s="396">
        <v>89536</v>
      </c>
      <c r="C3808" s="401" t="s">
        <v>7912</v>
      </c>
      <c r="D3808" s="396" t="s">
        <v>23</v>
      </c>
      <c r="E3808" s="405">
        <f t="shared" si="118"/>
        <v>13.17</v>
      </c>
      <c r="F3808">
        <f t="shared" si="119"/>
        <v>89536</v>
      </c>
      <c r="H3808" s="679">
        <v>13.17</v>
      </c>
      <c r="I3808" s="679">
        <v>13.38</v>
      </c>
    </row>
    <row r="3809" spans="2:9" ht="30">
      <c r="B3809" s="395">
        <v>89540</v>
      </c>
      <c r="C3809" s="406" t="s">
        <v>7913</v>
      </c>
      <c r="D3809" s="395" t="s">
        <v>23</v>
      </c>
      <c r="E3809" s="407">
        <f t="shared" si="118"/>
        <v>11.53</v>
      </c>
      <c r="F3809">
        <f t="shared" si="119"/>
        <v>89540</v>
      </c>
      <c r="H3809" s="680">
        <v>11.53</v>
      </c>
      <c r="I3809" s="680">
        <v>11.74</v>
      </c>
    </row>
    <row r="3810" spans="2:9">
      <c r="B3810" s="396">
        <v>89541</v>
      </c>
      <c r="C3810" s="401" t="s">
        <v>7914</v>
      </c>
      <c r="D3810" s="396" t="s">
        <v>23</v>
      </c>
      <c r="E3810" s="405">
        <f t="shared" si="118"/>
        <v>6.47</v>
      </c>
      <c r="F3810">
        <f t="shared" si="119"/>
        <v>89541</v>
      </c>
      <c r="H3810" s="679">
        <v>6.47</v>
      </c>
      <c r="I3810" s="679">
        <v>6.73</v>
      </c>
    </row>
    <row r="3811" spans="2:9">
      <c r="B3811" s="395">
        <v>89542</v>
      </c>
      <c r="C3811" s="406" t="s">
        <v>7915</v>
      </c>
      <c r="D3811" s="395" t="s">
        <v>23</v>
      </c>
      <c r="E3811" s="407">
        <f t="shared" si="118"/>
        <v>31.54</v>
      </c>
      <c r="F3811">
        <f t="shared" si="119"/>
        <v>89542</v>
      </c>
      <c r="H3811" s="680">
        <v>31.54</v>
      </c>
      <c r="I3811" s="680">
        <v>31.8</v>
      </c>
    </row>
    <row r="3812" spans="2:9" ht="30">
      <c r="B3812" s="396">
        <v>89544</v>
      </c>
      <c r="C3812" s="401" t="s">
        <v>7916</v>
      </c>
      <c r="D3812" s="396" t="s">
        <v>23</v>
      </c>
      <c r="E3812" s="405">
        <f t="shared" si="118"/>
        <v>9.4</v>
      </c>
      <c r="F3812">
        <f t="shared" si="119"/>
        <v>89544</v>
      </c>
      <c r="H3812" s="679">
        <v>9.4</v>
      </c>
      <c r="I3812" s="679">
        <v>9.5399999999999991</v>
      </c>
    </row>
    <row r="3813" spans="2:9" ht="30">
      <c r="B3813" s="395">
        <v>89545</v>
      </c>
      <c r="C3813" s="406" t="s">
        <v>7917</v>
      </c>
      <c r="D3813" s="395" t="s">
        <v>23</v>
      </c>
      <c r="E3813" s="407">
        <f t="shared" si="118"/>
        <v>19.32</v>
      </c>
      <c r="F3813">
        <f t="shared" si="119"/>
        <v>89545</v>
      </c>
      <c r="H3813" s="680">
        <v>19.32</v>
      </c>
      <c r="I3813" s="680">
        <v>19.510000000000002</v>
      </c>
    </row>
    <row r="3814" spans="2:9" ht="30">
      <c r="B3814" s="396">
        <v>89546</v>
      </c>
      <c r="C3814" s="401" t="s">
        <v>7918</v>
      </c>
      <c r="D3814" s="396" t="s">
        <v>23</v>
      </c>
      <c r="E3814" s="405">
        <f t="shared" si="118"/>
        <v>12.73</v>
      </c>
      <c r="F3814">
        <f t="shared" si="119"/>
        <v>89546</v>
      </c>
      <c r="H3814" s="679">
        <v>12.73</v>
      </c>
      <c r="I3814" s="679">
        <v>12.89</v>
      </c>
    </row>
    <row r="3815" spans="2:9" ht="30">
      <c r="B3815" s="395">
        <v>89547</v>
      </c>
      <c r="C3815" s="406" t="s">
        <v>7919</v>
      </c>
      <c r="D3815" s="395" t="s">
        <v>23</v>
      </c>
      <c r="E3815" s="407">
        <f t="shared" si="118"/>
        <v>25.36</v>
      </c>
      <c r="F3815">
        <f t="shared" si="119"/>
        <v>89547</v>
      </c>
      <c r="H3815" s="680">
        <v>25.36</v>
      </c>
      <c r="I3815" s="680">
        <v>25.64</v>
      </c>
    </row>
    <row r="3816" spans="2:9" ht="30">
      <c r="B3816" s="396">
        <v>89548</v>
      </c>
      <c r="C3816" s="401" t="s">
        <v>7920</v>
      </c>
      <c r="D3816" s="396" t="s">
        <v>23</v>
      </c>
      <c r="E3816" s="405">
        <f t="shared" si="118"/>
        <v>26.51</v>
      </c>
      <c r="F3816">
        <f t="shared" si="119"/>
        <v>89548</v>
      </c>
      <c r="H3816" s="679">
        <v>26.51</v>
      </c>
      <c r="I3816" s="679">
        <v>26.79</v>
      </c>
    </row>
    <row r="3817" spans="2:9" ht="30">
      <c r="B3817" s="395">
        <v>89549</v>
      </c>
      <c r="C3817" s="406" t="s">
        <v>7921</v>
      </c>
      <c r="D3817" s="395" t="s">
        <v>23</v>
      </c>
      <c r="E3817" s="407">
        <f t="shared" si="118"/>
        <v>22.03</v>
      </c>
      <c r="F3817">
        <f t="shared" si="119"/>
        <v>89549</v>
      </c>
      <c r="H3817" s="680">
        <v>22.03</v>
      </c>
      <c r="I3817" s="680">
        <v>22.27</v>
      </c>
    </row>
    <row r="3818" spans="2:9" ht="30">
      <c r="B3818" s="396">
        <v>89550</v>
      </c>
      <c r="C3818" s="401" t="s">
        <v>7922</v>
      </c>
      <c r="D3818" s="396" t="s">
        <v>23</v>
      </c>
      <c r="E3818" s="405">
        <f t="shared" si="118"/>
        <v>48.18</v>
      </c>
      <c r="F3818">
        <f t="shared" si="119"/>
        <v>89550</v>
      </c>
      <c r="H3818" s="679">
        <v>48.18</v>
      </c>
      <c r="I3818" s="679">
        <v>48.46</v>
      </c>
    </row>
    <row r="3819" spans="2:9" ht="30">
      <c r="B3819" s="395">
        <v>89551</v>
      </c>
      <c r="C3819" s="406" t="s">
        <v>7923</v>
      </c>
      <c r="D3819" s="395" t="s">
        <v>23</v>
      </c>
      <c r="E3819" s="407">
        <f t="shared" si="118"/>
        <v>9.19</v>
      </c>
      <c r="F3819">
        <f t="shared" si="119"/>
        <v>89551</v>
      </c>
      <c r="H3819" s="680">
        <v>9.19</v>
      </c>
      <c r="I3819" s="680">
        <v>9.44</v>
      </c>
    </row>
    <row r="3820" spans="2:9">
      <c r="B3820" s="396">
        <v>89552</v>
      </c>
      <c r="C3820" s="401" t="s">
        <v>7924</v>
      </c>
      <c r="D3820" s="396" t="s">
        <v>23</v>
      </c>
      <c r="E3820" s="405">
        <f t="shared" si="118"/>
        <v>20.9</v>
      </c>
      <c r="F3820">
        <f t="shared" si="119"/>
        <v>89552</v>
      </c>
      <c r="H3820" s="679">
        <v>20.9</v>
      </c>
      <c r="I3820" s="679">
        <v>21.16</v>
      </c>
    </row>
    <row r="3821" spans="2:9" ht="30">
      <c r="B3821" s="395">
        <v>89553</v>
      </c>
      <c r="C3821" s="406" t="s">
        <v>7925</v>
      </c>
      <c r="D3821" s="395" t="s">
        <v>23</v>
      </c>
      <c r="E3821" s="407">
        <f t="shared" si="118"/>
        <v>5.78</v>
      </c>
      <c r="F3821">
        <f t="shared" si="119"/>
        <v>89553</v>
      </c>
      <c r="H3821" s="680">
        <v>5.78</v>
      </c>
      <c r="I3821" s="680">
        <v>6.03</v>
      </c>
    </row>
    <row r="3822" spans="2:9" ht="30">
      <c r="B3822" s="396">
        <v>89554</v>
      </c>
      <c r="C3822" s="401" t="s">
        <v>7926</v>
      </c>
      <c r="D3822" s="396" t="s">
        <v>23</v>
      </c>
      <c r="E3822" s="405">
        <f t="shared" si="118"/>
        <v>31.96</v>
      </c>
      <c r="F3822">
        <f t="shared" si="119"/>
        <v>89554</v>
      </c>
      <c r="H3822" s="679">
        <v>31.96</v>
      </c>
      <c r="I3822" s="679">
        <v>32.35</v>
      </c>
    </row>
    <row r="3823" spans="2:9" ht="30">
      <c r="B3823" s="395">
        <v>89555</v>
      </c>
      <c r="C3823" s="406" t="s">
        <v>7927</v>
      </c>
      <c r="D3823" s="395" t="s">
        <v>23</v>
      </c>
      <c r="E3823" s="407">
        <f t="shared" si="118"/>
        <v>24.73</v>
      </c>
      <c r="F3823">
        <f t="shared" si="119"/>
        <v>89555</v>
      </c>
      <c r="H3823" s="680">
        <v>24.73</v>
      </c>
      <c r="I3823" s="680">
        <v>24.99</v>
      </c>
    </row>
    <row r="3824" spans="2:9" ht="30">
      <c r="B3824" s="396">
        <v>89556</v>
      </c>
      <c r="C3824" s="401" t="s">
        <v>7928</v>
      </c>
      <c r="D3824" s="396" t="s">
        <v>23</v>
      </c>
      <c r="E3824" s="405">
        <f t="shared" si="118"/>
        <v>46.49</v>
      </c>
      <c r="F3824">
        <f t="shared" si="119"/>
        <v>89556</v>
      </c>
      <c r="H3824" s="679">
        <v>46.49</v>
      </c>
      <c r="I3824" s="679">
        <v>46.88</v>
      </c>
    </row>
    <row r="3825" spans="2:9" ht="30">
      <c r="B3825" s="395">
        <v>89557</v>
      </c>
      <c r="C3825" s="406" t="s">
        <v>7929</v>
      </c>
      <c r="D3825" s="395" t="s">
        <v>23</v>
      </c>
      <c r="E3825" s="407">
        <f t="shared" si="118"/>
        <v>36.85</v>
      </c>
      <c r="F3825">
        <f t="shared" si="119"/>
        <v>89557</v>
      </c>
      <c r="H3825" s="680">
        <v>36.85</v>
      </c>
      <c r="I3825" s="680">
        <v>37.200000000000003</v>
      </c>
    </row>
    <row r="3826" spans="2:9">
      <c r="B3826" s="396">
        <v>89558</v>
      </c>
      <c r="C3826" s="401" t="s">
        <v>7930</v>
      </c>
      <c r="D3826" s="396" t="s">
        <v>23</v>
      </c>
      <c r="E3826" s="405">
        <f t="shared" si="118"/>
        <v>10.23</v>
      </c>
      <c r="F3826">
        <f t="shared" si="119"/>
        <v>89558</v>
      </c>
      <c r="H3826" s="679">
        <v>10.23</v>
      </c>
      <c r="I3826" s="679">
        <v>10.55</v>
      </c>
    </row>
    <row r="3827" spans="2:9" ht="30">
      <c r="B3827" s="395">
        <v>89559</v>
      </c>
      <c r="C3827" s="406" t="s">
        <v>7931</v>
      </c>
      <c r="D3827" s="395" t="s">
        <v>23</v>
      </c>
      <c r="E3827" s="407">
        <f t="shared" si="118"/>
        <v>78.52</v>
      </c>
      <c r="F3827">
        <f t="shared" si="119"/>
        <v>89559</v>
      </c>
      <c r="H3827" s="680">
        <v>78.52</v>
      </c>
      <c r="I3827" s="680">
        <v>78.91</v>
      </c>
    </row>
    <row r="3828" spans="2:9">
      <c r="B3828" s="396">
        <v>89560</v>
      </c>
      <c r="C3828" s="401" t="s">
        <v>7932</v>
      </c>
      <c r="D3828" s="396" t="s">
        <v>23</v>
      </c>
      <c r="E3828" s="405">
        <f t="shared" si="118"/>
        <v>40.54</v>
      </c>
      <c r="F3828">
        <f t="shared" si="119"/>
        <v>89560</v>
      </c>
      <c r="H3828" s="679">
        <v>40.54</v>
      </c>
      <c r="I3828" s="679">
        <v>40.86</v>
      </c>
    </row>
    <row r="3829" spans="2:9" ht="30">
      <c r="B3829" s="395">
        <v>89561</v>
      </c>
      <c r="C3829" s="406" t="s">
        <v>7933</v>
      </c>
      <c r="D3829" s="395" t="s">
        <v>23</v>
      </c>
      <c r="E3829" s="407">
        <f t="shared" si="118"/>
        <v>16.2</v>
      </c>
      <c r="F3829">
        <f t="shared" si="119"/>
        <v>89561</v>
      </c>
      <c r="H3829" s="680">
        <v>16.2</v>
      </c>
      <c r="I3829" s="680">
        <v>16.48</v>
      </c>
    </row>
    <row r="3830" spans="2:9" ht="30">
      <c r="B3830" s="396">
        <v>89562</v>
      </c>
      <c r="C3830" s="401" t="s">
        <v>7934</v>
      </c>
      <c r="D3830" s="396" t="s">
        <v>23</v>
      </c>
      <c r="E3830" s="405">
        <f t="shared" si="118"/>
        <v>11.07</v>
      </c>
      <c r="F3830">
        <f t="shared" si="119"/>
        <v>89562</v>
      </c>
      <c r="H3830" s="679">
        <v>11.07</v>
      </c>
      <c r="I3830" s="679">
        <v>11.36</v>
      </c>
    </row>
    <row r="3831" spans="2:9" ht="30">
      <c r="B3831" s="395">
        <v>89563</v>
      </c>
      <c r="C3831" s="406" t="s">
        <v>7935</v>
      </c>
      <c r="D3831" s="395" t="s">
        <v>23</v>
      </c>
      <c r="E3831" s="407">
        <f t="shared" si="118"/>
        <v>40.26</v>
      </c>
      <c r="F3831">
        <f t="shared" si="119"/>
        <v>89563</v>
      </c>
      <c r="H3831" s="680">
        <v>40.26</v>
      </c>
      <c r="I3831" s="680">
        <v>40.630000000000003</v>
      </c>
    </row>
    <row r="3832" spans="2:9" ht="30">
      <c r="B3832" s="396">
        <v>89564</v>
      </c>
      <c r="C3832" s="401" t="s">
        <v>7936</v>
      </c>
      <c r="D3832" s="396" t="s">
        <v>23</v>
      </c>
      <c r="E3832" s="405">
        <f t="shared" si="118"/>
        <v>17.399999999999999</v>
      </c>
      <c r="F3832">
        <f t="shared" si="119"/>
        <v>89564</v>
      </c>
      <c r="H3832" s="679">
        <v>17.399999999999999</v>
      </c>
      <c r="I3832" s="679">
        <v>17.690000000000001</v>
      </c>
    </row>
    <row r="3833" spans="2:9" ht="30">
      <c r="B3833" s="395">
        <v>89565</v>
      </c>
      <c r="C3833" s="406" t="s">
        <v>7937</v>
      </c>
      <c r="D3833" s="395" t="s">
        <v>23</v>
      </c>
      <c r="E3833" s="407">
        <f t="shared" si="118"/>
        <v>64.72</v>
      </c>
      <c r="F3833">
        <f t="shared" si="119"/>
        <v>89565</v>
      </c>
      <c r="H3833" s="680">
        <v>64.72</v>
      </c>
      <c r="I3833" s="680">
        <v>65.290000000000006</v>
      </c>
    </row>
    <row r="3834" spans="2:9" ht="30">
      <c r="B3834" s="396">
        <v>89566</v>
      </c>
      <c r="C3834" s="401" t="s">
        <v>7938</v>
      </c>
      <c r="D3834" s="396" t="s">
        <v>23</v>
      </c>
      <c r="E3834" s="405">
        <f t="shared" si="118"/>
        <v>54.56</v>
      </c>
      <c r="F3834">
        <f t="shared" si="119"/>
        <v>89566</v>
      </c>
      <c r="H3834" s="679">
        <v>54.56</v>
      </c>
      <c r="I3834" s="679">
        <v>55.13</v>
      </c>
    </row>
    <row r="3835" spans="2:9" ht="30">
      <c r="B3835" s="395">
        <v>89567</v>
      </c>
      <c r="C3835" s="406" t="s">
        <v>7939</v>
      </c>
      <c r="D3835" s="395" t="s">
        <v>23</v>
      </c>
      <c r="E3835" s="407">
        <f t="shared" si="118"/>
        <v>92.85</v>
      </c>
      <c r="F3835">
        <f t="shared" si="119"/>
        <v>89567</v>
      </c>
      <c r="H3835" s="680">
        <v>92.85</v>
      </c>
      <c r="I3835" s="680">
        <v>93.65</v>
      </c>
    </row>
    <row r="3836" spans="2:9">
      <c r="B3836" s="396">
        <v>89568</v>
      </c>
      <c r="C3836" s="401" t="s">
        <v>7940</v>
      </c>
      <c r="D3836" s="396" t="s">
        <v>23</v>
      </c>
      <c r="E3836" s="405">
        <f t="shared" si="118"/>
        <v>37.46</v>
      </c>
      <c r="F3836">
        <f t="shared" si="119"/>
        <v>89568</v>
      </c>
      <c r="H3836" s="679">
        <v>37.46</v>
      </c>
      <c r="I3836" s="679">
        <v>37.78</v>
      </c>
    </row>
    <row r="3837" spans="2:9" ht="30">
      <c r="B3837" s="395">
        <v>89569</v>
      </c>
      <c r="C3837" s="406" t="s">
        <v>7941</v>
      </c>
      <c r="D3837" s="395" t="s">
        <v>23</v>
      </c>
      <c r="E3837" s="407">
        <f t="shared" si="118"/>
        <v>109.15</v>
      </c>
      <c r="F3837">
        <f t="shared" si="119"/>
        <v>89569</v>
      </c>
      <c r="H3837" s="680">
        <v>109.15</v>
      </c>
      <c r="I3837" s="680">
        <v>109.86</v>
      </c>
    </row>
    <row r="3838" spans="2:9" ht="30">
      <c r="B3838" s="396">
        <v>89570</v>
      </c>
      <c r="C3838" s="401" t="s">
        <v>7942</v>
      </c>
      <c r="D3838" s="396" t="s">
        <v>23</v>
      </c>
      <c r="E3838" s="405">
        <f t="shared" si="118"/>
        <v>12.34</v>
      </c>
      <c r="F3838">
        <f t="shared" si="119"/>
        <v>89570</v>
      </c>
      <c r="H3838" s="679">
        <v>12.34</v>
      </c>
      <c r="I3838" s="679">
        <v>12.65</v>
      </c>
    </row>
    <row r="3839" spans="2:9" ht="30">
      <c r="B3839" s="395">
        <v>89571</v>
      </c>
      <c r="C3839" s="406" t="s">
        <v>7943</v>
      </c>
      <c r="D3839" s="395" t="s">
        <v>23</v>
      </c>
      <c r="E3839" s="407">
        <f t="shared" si="118"/>
        <v>80.069999999999993</v>
      </c>
      <c r="F3839">
        <f t="shared" si="119"/>
        <v>89571</v>
      </c>
      <c r="H3839" s="680">
        <v>80.069999999999993</v>
      </c>
      <c r="I3839" s="680">
        <v>80.87</v>
      </c>
    </row>
    <row r="3840" spans="2:9" ht="30">
      <c r="B3840" s="396">
        <v>89572</v>
      </c>
      <c r="C3840" s="401" t="s">
        <v>7944</v>
      </c>
      <c r="D3840" s="396" t="s">
        <v>23</v>
      </c>
      <c r="E3840" s="405">
        <f t="shared" si="118"/>
        <v>9.07</v>
      </c>
      <c r="F3840">
        <f t="shared" si="119"/>
        <v>89572</v>
      </c>
      <c r="H3840" s="679">
        <v>9.07</v>
      </c>
      <c r="I3840" s="679">
        <v>9.36</v>
      </c>
    </row>
    <row r="3841" spans="2:9" ht="30">
      <c r="B3841" s="395">
        <v>89573</v>
      </c>
      <c r="C3841" s="406" t="s">
        <v>7945</v>
      </c>
      <c r="D3841" s="395" t="s">
        <v>23</v>
      </c>
      <c r="E3841" s="407">
        <f t="shared" si="118"/>
        <v>88.44</v>
      </c>
      <c r="F3841">
        <f t="shared" si="119"/>
        <v>89573</v>
      </c>
      <c r="H3841" s="680">
        <v>88.44</v>
      </c>
      <c r="I3841" s="680">
        <v>89.15</v>
      </c>
    </row>
    <row r="3842" spans="2:9" ht="30">
      <c r="B3842" s="396">
        <v>89574</v>
      </c>
      <c r="C3842" s="401" t="s">
        <v>7946</v>
      </c>
      <c r="D3842" s="396" t="s">
        <v>23</v>
      </c>
      <c r="E3842" s="405">
        <f t="shared" si="118"/>
        <v>180.29</v>
      </c>
      <c r="F3842">
        <f t="shared" si="119"/>
        <v>89574</v>
      </c>
      <c r="H3842" s="679">
        <v>180.29</v>
      </c>
      <c r="I3842" s="679">
        <v>181.48</v>
      </c>
    </row>
    <row r="3843" spans="2:9">
      <c r="B3843" s="395">
        <v>89575</v>
      </c>
      <c r="C3843" s="406" t="s">
        <v>7947</v>
      </c>
      <c r="D3843" s="395" t="s">
        <v>23</v>
      </c>
      <c r="E3843" s="407">
        <f t="shared" ref="E3843:E3906" si="120">IF($K$2=$H$1,H3843,I3843)</f>
        <v>12.02</v>
      </c>
      <c r="F3843">
        <f t="shared" ref="F3843:F3906" si="121">IF(LEN($B3843)=7,CONCATENATE(MID($B3843,1,6),"00",RIGHT($B3843,1)),IF(LEN($B3843)=8,CONCATENATE(MID($B3843,1,6),"0",RIGHT($B3843,2)),$B3843))</f>
        <v>89575</v>
      </c>
      <c r="H3843" s="680">
        <v>12.02</v>
      </c>
      <c r="I3843" s="680">
        <v>12.41</v>
      </c>
    </row>
    <row r="3844" spans="2:9">
      <c r="B3844" s="396">
        <v>89577</v>
      </c>
      <c r="C3844" s="401" t="s">
        <v>7948</v>
      </c>
      <c r="D3844" s="396" t="s">
        <v>23</v>
      </c>
      <c r="E3844" s="405">
        <f t="shared" si="120"/>
        <v>42.5</v>
      </c>
      <c r="F3844">
        <f t="shared" si="121"/>
        <v>89577</v>
      </c>
      <c r="H3844" s="679">
        <v>42.5</v>
      </c>
      <c r="I3844" s="679">
        <v>42.89</v>
      </c>
    </row>
    <row r="3845" spans="2:9" ht="30">
      <c r="B3845" s="395">
        <v>89579</v>
      </c>
      <c r="C3845" s="406" t="s">
        <v>7949</v>
      </c>
      <c r="D3845" s="395" t="s">
        <v>23</v>
      </c>
      <c r="E3845" s="407">
        <f t="shared" si="120"/>
        <v>12.65</v>
      </c>
      <c r="F3845">
        <f t="shared" si="121"/>
        <v>89579</v>
      </c>
      <c r="H3845" s="680">
        <v>12.65</v>
      </c>
      <c r="I3845" s="680">
        <v>12.96</v>
      </c>
    </row>
    <row r="3846" spans="2:9" ht="30">
      <c r="B3846" s="396">
        <v>89581</v>
      </c>
      <c r="C3846" s="401" t="s">
        <v>7950</v>
      </c>
      <c r="D3846" s="396" t="s">
        <v>23</v>
      </c>
      <c r="E3846" s="405">
        <f t="shared" si="120"/>
        <v>37.119999999999997</v>
      </c>
      <c r="F3846">
        <f t="shared" si="121"/>
        <v>89581</v>
      </c>
      <c r="H3846" s="679">
        <v>37.119999999999997</v>
      </c>
      <c r="I3846" s="679">
        <v>37.92</v>
      </c>
    </row>
    <row r="3847" spans="2:9" ht="30">
      <c r="B3847" s="395">
        <v>89582</v>
      </c>
      <c r="C3847" s="406" t="s">
        <v>7951</v>
      </c>
      <c r="D3847" s="395" t="s">
        <v>23</v>
      </c>
      <c r="E3847" s="407">
        <f t="shared" si="120"/>
        <v>37.68</v>
      </c>
      <c r="F3847">
        <f t="shared" si="121"/>
        <v>89582</v>
      </c>
      <c r="H3847" s="680">
        <v>37.68</v>
      </c>
      <c r="I3847" s="680">
        <v>38.479999999999997</v>
      </c>
    </row>
    <row r="3848" spans="2:9" ht="30">
      <c r="B3848" s="396">
        <v>89583</v>
      </c>
      <c r="C3848" s="401" t="s">
        <v>7952</v>
      </c>
      <c r="D3848" s="396" t="s">
        <v>23</v>
      </c>
      <c r="E3848" s="405">
        <f t="shared" si="120"/>
        <v>48.03</v>
      </c>
      <c r="F3848">
        <f t="shared" si="121"/>
        <v>89583</v>
      </c>
      <c r="H3848" s="679">
        <v>48.03</v>
      </c>
      <c r="I3848" s="679">
        <v>48.83</v>
      </c>
    </row>
    <row r="3849" spans="2:9" ht="30">
      <c r="B3849" s="395">
        <v>89584</v>
      </c>
      <c r="C3849" s="406" t="s">
        <v>7953</v>
      </c>
      <c r="D3849" s="395" t="s">
        <v>23</v>
      </c>
      <c r="E3849" s="407">
        <f t="shared" si="120"/>
        <v>47.63</v>
      </c>
      <c r="F3849">
        <f t="shared" si="121"/>
        <v>89584</v>
      </c>
      <c r="H3849" s="680">
        <v>47.63</v>
      </c>
      <c r="I3849" s="680">
        <v>48.88</v>
      </c>
    </row>
    <row r="3850" spans="2:9" ht="30">
      <c r="B3850" s="396">
        <v>89585</v>
      </c>
      <c r="C3850" s="401" t="s">
        <v>7954</v>
      </c>
      <c r="D3850" s="396" t="s">
        <v>23</v>
      </c>
      <c r="E3850" s="405">
        <f t="shared" si="120"/>
        <v>48.89</v>
      </c>
      <c r="F3850">
        <f t="shared" si="121"/>
        <v>89585</v>
      </c>
      <c r="H3850" s="679">
        <v>48.89</v>
      </c>
      <c r="I3850" s="679">
        <v>50.14</v>
      </c>
    </row>
    <row r="3851" spans="2:9" ht="30">
      <c r="B3851" s="395">
        <v>89587</v>
      </c>
      <c r="C3851" s="406" t="s">
        <v>7955</v>
      </c>
      <c r="D3851" s="395" t="s">
        <v>23</v>
      </c>
      <c r="E3851" s="407">
        <f t="shared" si="120"/>
        <v>54.3</v>
      </c>
      <c r="F3851">
        <f t="shared" si="121"/>
        <v>89587</v>
      </c>
      <c r="H3851" s="680">
        <v>54.3</v>
      </c>
      <c r="I3851" s="680">
        <v>55.55</v>
      </c>
    </row>
    <row r="3852" spans="2:9" ht="30">
      <c r="B3852" s="396">
        <v>89590</v>
      </c>
      <c r="C3852" s="401" t="s">
        <v>7956</v>
      </c>
      <c r="D3852" s="396" t="s">
        <v>23</v>
      </c>
      <c r="E3852" s="405">
        <f t="shared" si="120"/>
        <v>151.34</v>
      </c>
      <c r="F3852">
        <f t="shared" si="121"/>
        <v>89590</v>
      </c>
      <c r="H3852" s="679">
        <v>151.34</v>
      </c>
      <c r="I3852" s="679">
        <v>153.51</v>
      </c>
    </row>
    <row r="3853" spans="2:9" ht="30">
      <c r="B3853" s="395">
        <v>89591</v>
      </c>
      <c r="C3853" s="406" t="s">
        <v>7957</v>
      </c>
      <c r="D3853" s="395" t="s">
        <v>23</v>
      </c>
      <c r="E3853" s="407">
        <f t="shared" si="120"/>
        <v>147.47999999999999</v>
      </c>
      <c r="F3853">
        <f t="shared" si="121"/>
        <v>89591</v>
      </c>
      <c r="H3853" s="680">
        <v>147.47999999999999</v>
      </c>
      <c r="I3853" s="680">
        <v>149.65</v>
      </c>
    </row>
    <row r="3854" spans="2:9" ht="30">
      <c r="B3854" s="396">
        <v>89592</v>
      </c>
      <c r="C3854" s="401" t="s">
        <v>7958</v>
      </c>
      <c r="D3854" s="396" t="s">
        <v>23</v>
      </c>
      <c r="E3854" s="405">
        <f t="shared" si="120"/>
        <v>181.36</v>
      </c>
      <c r="F3854">
        <f t="shared" si="121"/>
        <v>89592</v>
      </c>
      <c r="H3854" s="679">
        <v>181.36</v>
      </c>
      <c r="I3854" s="679">
        <v>183.53</v>
      </c>
    </row>
    <row r="3855" spans="2:9" ht="30">
      <c r="B3855" s="395">
        <v>89593</v>
      </c>
      <c r="C3855" s="406" t="s">
        <v>7959</v>
      </c>
      <c r="D3855" s="395" t="s">
        <v>23</v>
      </c>
      <c r="E3855" s="407">
        <f t="shared" si="120"/>
        <v>28.35</v>
      </c>
      <c r="F3855">
        <f t="shared" si="121"/>
        <v>89593</v>
      </c>
      <c r="H3855" s="680">
        <v>28.35</v>
      </c>
      <c r="I3855" s="680">
        <v>28.69</v>
      </c>
    </row>
    <row r="3856" spans="2:9">
      <c r="B3856" s="396">
        <v>89594</v>
      </c>
      <c r="C3856" s="401" t="s">
        <v>7960</v>
      </c>
      <c r="D3856" s="396" t="s">
        <v>23</v>
      </c>
      <c r="E3856" s="405">
        <f t="shared" si="120"/>
        <v>41.33</v>
      </c>
      <c r="F3856">
        <f t="shared" si="121"/>
        <v>89594</v>
      </c>
      <c r="H3856" s="679">
        <v>41.33</v>
      </c>
      <c r="I3856" s="679">
        <v>41.72</v>
      </c>
    </row>
    <row r="3857" spans="2:9" ht="30">
      <c r="B3857" s="395">
        <v>89595</v>
      </c>
      <c r="C3857" s="406" t="s">
        <v>7961</v>
      </c>
      <c r="D3857" s="395" t="s">
        <v>23</v>
      </c>
      <c r="E3857" s="407">
        <f t="shared" si="120"/>
        <v>15.85</v>
      </c>
      <c r="F3857">
        <f t="shared" si="121"/>
        <v>89595</v>
      </c>
      <c r="H3857" s="680">
        <v>15.85</v>
      </c>
      <c r="I3857" s="680">
        <v>16.170000000000002</v>
      </c>
    </row>
    <row r="3858" spans="2:9" ht="30">
      <c r="B3858" s="396">
        <v>89596</v>
      </c>
      <c r="C3858" s="401" t="s">
        <v>7962</v>
      </c>
      <c r="D3858" s="396" t="s">
        <v>23</v>
      </c>
      <c r="E3858" s="405">
        <f t="shared" si="120"/>
        <v>10.96</v>
      </c>
      <c r="F3858">
        <f t="shared" si="121"/>
        <v>89596</v>
      </c>
      <c r="H3858" s="679">
        <v>10.96</v>
      </c>
      <c r="I3858" s="679">
        <v>11.3</v>
      </c>
    </row>
    <row r="3859" spans="2:9">
      <c r="B3859" s="395">
        <v>89597</v>
      </c>
      <c r="C3859" s="406" t="s">
        <v>7963</v>
      </c>
      <c r="D3859" s="395" t="s">
        <v>23</v>
      </c>
      <c r="E3859" s="407">
        <f t="shared" si="120"/>
        <v>25</v>
      </c>
      <c r="F3859">
        <f t="shared" si="121"/>
        <v>89597</v>
      </c>
      <c r="H3859" s="680">
        <v>25</v>
      </c>
      <c r="I3859" s="680">
        <v>25.46</v>
      </c>
    </row>
    <row r="3860" spans="2:9">
      <c r="B3860" s="396">
        <v>89598</v>
      </c>
      <c r="C3860" s="401" t="s">
        <v>7964</v>
      </c>
      <c r="D3860" s="396" t="s">
        <v>23</v>
      </c>
      <c r="E3860" s="405">
        <f t="shared" si="120"/>
        <v>57.61</v>
      </c>
      <c r="F3860">
        <f t="shared" si="121"/>
        <v>89598</v>
      </c>
      <c r="H3860" s="679">
        <v>57.61</v>
      </c>
      <c r="I3860" s="679">
        <v>58.07</v>
      </c>
    </row>
    <row r="3861" spans="2:9" ht="30">
      <c r="B3861" s="395">
        <v>89599</v>
      </c>
      <c r="C3861" s="406" t="s">
        <v>7965</v>
      </c>
      <c r="D3861" s="395" t="s">
        <v>23</v>
      </c>
      <c r="E3861" s="407">
        <f t="shared" si="120"/>
        <v>27.46</v>
      </c>
      <c r="F3861">
        <f t="shared" si="121"/>
        <v>89599</v>
      </c>
      <c r="H3861" s="680">
        <v>27.46</v>
      </c>
      <c r="I3861" s="680">
        <v>28</v>
      </c>
    </row>
    <row r="3862" spans="2:9" ht="30">
      <c r="B3862" s="396">
        <v>89600</v>
      </c>
      <c r="C3862" s="401" t="s">
        <v>7966</v>
      </c>
      <c r="D3862" s="396" t="s">
        <v>23</v>
      </c>
      <c r="E3862" s="405">
        <f t="shared" si="120"/>
        <v>28.6</v>
      </c>
      <c r="F3862">
        <f t="shared" si="121"/>
        <v>89600</v>
      </c>
      <c r="H3862" s="679">
        <v>28.6</v>
      </c>
      <c r="I3862" s="679">
        <v>29.14</v>
      </c>
    </row>
    <row r="3863" spans="2:9" ht="30">
      <c r="B3863" s="395">
        <v>89605</v>
      </c>
      <c r="C3863" s="406" t="s">
        <v>7967</v>
      </c>
      <c r="D3863" s="395" t="s">
        <v>23</v>
      </c>
      <c r="E3863" s="407">
        <f t="shared" si="120"/>
        <v>22.77</v>
      </c>
      <c r="F3863">
        <f t="shared" si="121"/>
        <v>89605</v>
      </c>
      <c r="H3863" s="680">
        <v>22.77</v>
      </c>
      <c r="I3863" s="680">
        <v>23.18</v>
      </c>
    </row>
    <row r="3864" spans="2:9">
      <c r="B3864" s="396">
        <v>89609</v>
      </c>
      <c r="C3864" s="401" t="s">
        <v>7968</v>
      </c>
      <c r="D3864" s="396" t="s">
        <v>23</v>
      </c>
      <c r="E3864" s="405">
        <f t="shared" si="120"/>
        <v>98.72</v>
      </c>
      <c r="F3864">
        <f t="shared" si="121"/>
        <v>89609</v>
      </c>
      <c r="H3864" s="679">
        <v>98.72</v>
      </c>
      <c r="I3864" s="679">
        <v>99.18</v>
      </c>
    </row>
    <row r="3865" spans="2:9" ht="30">
      <c r="B3865" s="395">
        <v>89610</v>
      </c>
      <c r="C3865" s="406" t="s">
        <v>7969</v>
      </c>
      <c r="D3865" s="395" t="s">
        <v>23</v>
      </c>
      <c r="E3865" s="407">
        <f t="shared" si="120"/>
        <v>21.44</v>
      </c>
      <c r="F3865">
        <f t="shared" si="121"/>
        <v>89610</v>
      </c>
      <c r="H3865" s="680">
        <v>21.44</v>
      </c>
      <c r="I3865" s="680">
        <v>21.85</v>
      </c>
    </row>
    <row r="3866" spans="2:9">
      <c r="B3866" s="396">
        <v>89611</v>
      </c>
      <c r="C3866" s="401" t="s">
        <v>7970</v>
      </c>
      <c r="D3866" s="396" t="s">
        <v>23</v>
      </c>
      <c r="E3866" s="405">
        <f t="shared" si="120"/>
        <v>35.78</v>
      </c>
      <c r="F3866">
        <f t="shared" si="121"/>
        <v>89611</v>
      </c>
      <c r="H3866" s="679">
        <v>35.78</v>
      </c>
      <c r="I3866" s="679">
        <v>36.340000000000003</v>
      </c>
    </row>
    <row r="3867" spans="2:9">
      <c r="B3867" s="395">
        <v>89612</v>
      </c>
      <c r="C3867" s="406" t="s">
        <v>7971</v>
      </c>
      <c r="D3867" s="395" t="s">
        <v>23</v>
      </c>
      <c r="E3867" s="407">
        <f t="shared" si="120"/>
        <v>195.57</v>
      </c>
      <c r="F3867">
        <f t="shared" si="121"/>
        <v>89612</v>
      </c>
      <c r="H3867" s="680">
        <v>195.57</v>
      </c>
      <c r="I3867" s="680">
        <v>196.13</v>
      </c>
    </row>
    <row r="3868" spans="2:9" ht="30">
      <c r="B3868" s="396">
        <v>89613</v>
      </c>
      <c r="C3868" s="401" t="s">
        <v>1582</v>
      </c>
      <c r="D3868" s="396" t="s">
        <v>23</v>
      </c>
      <c r="E3868" s="405">
        <f t="shared" si="120"/>
        <v>34.15</v>
      </c>
      <c r="F3868">
        <f t="shared" si="121"/>
        <v>89613</v>
      </c>
      <c r="H3868" s="679">
        <v>34.15</v>
      </c>
      <c r="I3868" s="679">
        <v>34.67</v>
      </c>
    </row>
    <row r="3869" spans="2:9">
      <c r="B3869" s="395">
        <v>89614</v>
      </c>
      <c r="C3869" s="406" t="s">
        <v>7972</v>
      </c>
      <c r="D3869" s="395" t="s">
        <v>23</v>
      </c>
      <c r="E3869" s="407">
        <f t="shared" si="120"/>
        <v>68.599999999999994</v>
      </c>
      <c r="F3869">
        <f t="shared" si="121"/>
        <v>89614</v>
      </c>
      <c r="H3869" s="680">
        <v>68.599999999999994</v>
      </c>
      <c r="I3869" s="680">
        <v>69.22</v>
      </c>
    </row>
    <row r="3870" spans="2:9">
      <c r="B3870" s="396">
        <v>89615</v>
      </c>
      <c r="C3870" s="401" t="s">
        <v>7973</v>
      </c>
      <c r="D3870" s="396" t="s">
        <v>23</v>
      </c>
      <c r="E3870" s="405">
        <f t="shared" si="120"/>
        <v>231.08</v>
      </c>
      <c r="F3870">
        <f t="shared" si="121"/>
        <v>89615</v>
      </c>
      <c r="H3870" s="679">
        <v>231.08</v>
      </c>
      <c r="I3870" s="679">
        <v>231.7</v>
      </c>
    </row>
    <row r="3871" spans="2:9" ht="30">
      <c r="B3871" s="395">
        <v>89616</v>
      </c>
      <c r="C3871" s="406" t="s">
        <v>7974</v>
      </c>
      <c r="D3871" s="395" t="s">
        <v>23</v>
      </c>
      <c r="E3871" s="407">
        <f t="shared" si="120"/>
        <v>46.02</v>
      </c>
      <c r="F3871">
        <f t="shared" si="121"/>
        <v>89616</v>
      </c>
      <c r="H3871" s="680">
        <v>46.02</v>
      </c>
      <c r="I3871" s="680">
        <v>46.62</v>
      </c>
    </row>
    <row r="3872" spans="2:9">
      <c r="B3872" s="396">
        <v>89617</v>
      </c>
      <c r="C3872" s="401" t="s">
        <v>7975</v>
      </c>
      <c r="D3872" s="396" t="s">
        <v>23</v>
      </c>
      <c r="E3872" s="405">
        <f t="shared" si="120"/>
        <v>7.09</v>
      </c>
      <c r="F3872">
        <f t="shared" si="121"/>
        <v>89617</v>
      </c>
      <c r="H3872" s="679">
        <v>7.09</v>
      </c>
      <c r="I3872" s="679">
        <v>7.53</v>
      </c>
    </row>
    <row r="3873" spans="2:9">
      <c r="B3873" s="395">
        <v>89620</v>
      </c>
      <c r="C3873" s="406" t="s">
        <v>7976</v>
      </c>
      <c r="D3873" s="395" t="s">
        <v>23</v>
      </c>
      <c r="E3873" s="407">
        <f t="shared" si="120"/>
        <v>11.84</v>
      </c>
      <c r="F3873">
        <f t="shared" si="121"/>
        <v>89620</v>
      </c>
      <c r="H3873" s="680">
        <v>11.84</v>
      </c>
      <c r="I3873" s="680">
        <v>12.37</v>
      </c>
    </row>
    <row r="3874" spans="2:9" ht="30">
      <c r="B3874" s="396">
        <v>89622</v>
      </c>
      <c r="C3874" s="401" t="s">
        <v>7977</v>
      </c>
      <c r="D3874" s="396" t="s">
        <v>23</v>
      </c>
      <c r="E3874" s="405">
        <f t="shared" si="120"/>
        <v>14.76</v>
      </c>
      <c r="F3874">
        <f t="shared" si="121"/>
        <v>89622</v>
      </c>
      <c r="H3874" s="679">
        <v>14.76</v>
      </c>
      <c r="I3874" s="679">
        <v>15.24</v>
      </c>
    </row>
    <row r="3875" spans="2:9">
      <c r="B3875" s="395">
        <v>89623</v>
      </c>
      <c r="C3875" s="406" t="s">
        <v>7978</v>
      </c>
      <c r="D3875" s="395" t="s">
        <v>23</v>
      </c>
      <c r="E3875" s="407">
        <f t="shared" si="120"/>
        <v>20.36</v>
      </c>
      <c r="F3875">
        <f t="shared" si="121"/>
        <v>89623</v>
      </c>
      <c r="H3875" s="680">
        <v>20.36</v>
      </c>
      <c r="I3875" s="680">
        <v>21</v>
      </c>
    </row>
    <row r="3876" spans="2:9" ht="30">
      <c r="B3876" s="396">
        <v>89624</v>
      </c>
      <c r="C3876" s="401" t="s">
        <v>7979</v>
      </c>
      <c r="D3876" s="396" t="s">
        <v>23</v>
      </c>
      <c r="E3876" s="405">
        <f t="shared" si="120"/>
        <v>18.850000000000001</v>
      </c>
      <c r="F3876">
        <f t="shared" si="121"/>
        <v>89624</v>
      </c>
      <c r="H3876" s="679">
        <v>18.850000000000001</v>
      </c>
      <c r="I3876" s="679">
        <v>19.43</v>
      </c>
    </row>
    <row r="3877" spans="2:9">
      <c r="B3877" s="395">
        <v>89625</v>
      </c>
      <c r="C3877" s="406" t="s">
        <v>7980</v>
      </c>
      <c r="D3877" s="395" t="s">
        <v>23</v>
      </c>
      <c r="E3877" s="407">
        <f t="shared" si="120"/>
        <v>23.61</v>
      </c>
      <c r="F3877">
        <f t="shared" si="121"/>
        <v>89625</v>
      </c>
      <c r="H3877" s="680">
        <v>23.61</v>
      </c>
      <c r="I3877" s="680">
        <v>24.39</v>
      </c>
    </row>
    <row r="3878" spans="2:9" ht="30">
      <c r="B3878" s="396">
        <v>89626</v>
      </c>
      <c r="C3878" s="401" t="s">
        <v>7981</v>
      </c>
      <c r="D3878" s="396" t="s">
        <v>23</v>
      </c>
      <c r="E3878" s="405">
        <f t="shared" si="120"/>
        <v>32.9</v>
      </c>
      <c r="F3878">
        <f t="shared" si="121"/>
        <v>89626</v>
      </c>
      <c r="H3878" s="679">
        <v>32.9</v>
      </c>
      <c r="I3878" s="679">
        <v>33.6</v>
      </c>
    </row>
    <row r="3879" spans="2:9" ht="30">
      <c r="B3879" s="395">
        <v>89627</v>
      </c>
      <c r="C3879" s="406" t="s">
        <v>7982</v>
      </c>
      <c r="D3879" s="395" t="s">
        <v>23</v>
      </c>
      <c r="E3879" s="407">
        <f t="shared" si="120"/>
        <v>21.36</v>
      </c>
      <c r="F3879">
        <f t="shared" si="121"/>
        <v>89627</v>
      </c>
      <c r="H3879" s="680">
        <v>21.36</v>
      </c>
      <c r="I3879" s="680">
        <v>21.97</v>
      </c>
    </row>
    <row r="3880" spans="2:9">
      <c r="B3880" s="396">
        <v>89628</v>
      </c>
      <c r="C3880" s="401" t="s">
        <v>7983</v>
      </c>
      <c r="D3880" s="396" t="s">
        <v>23</v>
      </c>
      <c r="E3880" s="405">
        <f t="shared" si="120"/>
        <v>53.26</v>
      </c>
      <c r="F3880">
        <f t="shared" si="121"/>
        <v>89628</v>
      </c>
      <c r="H3880" s="679">
        <v>53.26</v>
      </c>
      <c r="I3880" s="679">
        <v>54.17</v>
      </c>
    </row>
    <row r="3881" spans="2:9">
      <c r="B3881" s="395">
        <v>89629</v>
      </c>
      <c r="C3881" s="406" t="s">
        <v>7984</v>
      </c>
      <c r="D3881" s="395" t="s">
        <v>23</v>
      </c>
      <c r="E3881" s="407">
        <f t="shared" si="120"/>
        <v>91.56</v>
      </c>
      <c r="F3881">
        <f t="shared" si="121"/>
        <v>89629</v>
      </c>
      <c r="H3881" s="680">
        <v>91.56</v>
      </c>
      <c r="I3881" s="680">
        <v>92.7</v>
      </c>
    </row>
    <row r="3882" spans="2:9" ht="30">
      <c r="B3882" s="396">
        <v>89630</v>
      </c>
      <c r="C3882" s="401" t="s">
        <v>7985</v>
      </c>
      <c r="D3882" s="396" t="s">
        <v>23</v>
      </c>
      <c r="E3882" s="405">
        <f t="shared" si="120"/>
        <v>69.010000000000005</v>
      </c>
      <c r="F3882">
        <f t="shared" si="121"/>
        <v>89630</v>
      </c>
      <c r="H3882" s="679">
        <v>69.010000000000005</v>
      </c>
      <c r="I3882" s="679">
        <v>69.97</v>
      </c>
    </row>
    <row r="3883" spans="2:9">
      <c r="B3883" s="395">
        <v>89631</v>
      </c>
      <c r="C3883" s="406" t="s">
        <v>7986</v>
      </c>
      <c r="D3883" s="395" t="s">
        <v>23</v>
      </c>
      <c r="E3883" s="407">
        <f t="shared" si="120"/>
        <v>121.16</v>
      </c>
      <c r="F3883">
        <f t="shared" si="121"/>
        <v>89631</v>
      </c>
      <c r="H3883" s="680">
        <v>121.16</v>
      </c>
      <c r="I3883" s="680">
        <v>122.43</v>
      </c>
    </row>
    <row r="3884" spans="2:9" ht="30">
      <c r="B3884" s="396">
        <v>89632</v>
      </c>
      <c r="C3884" s="401" t="s">
        <v>7987</v>
      </c>
      <c r="D3884" s="396" t="s">
        <v>23</v>
      </c>
      <c r="E3884" s="405">
        <f t="shared" si="120"/>
        <v>142.5</v>
      </c>
      <c r="F3884">
        <f t="shared" si="121"/>
        <v>89632</v>
      </c>
      <c r="H3884" s="679">
        <v>142.5</v>
      </c>
      <c r="I3884" s="679">
        <v>143.59</v>
      </c>
    </row>
    <row r="3885" spans="2:9" ht="30">
      <c r="B3885" s="395">
        <v>89637</v>
      </c>
      <c r="C3885" s="406" t="s">
        <v>7988</v>
      </c>
      <c r="D3885" s="395" t="s">
        <v>23</v>
      </c>
      <c r="E3885" s="407">
        <f t="shared" si="120"/>
        <v>9.7899999999999991</v>
      </c>
      <c r="F3885">
        <f t="shared" si="121"/>
        <v>89637</v>
      </c>
      <c r="H3885" s="680">
        <v>9.7899999999999991</v>
      </c>
      <c r="I3885" s="680">
        <v>10.3</v>
      </c>
    </row>
    <row r="3886" spans="2:9" ht="30">
      <c r="B3886" s="396">
        <v>89638</v>
      </c>
      <c r="C3886" s="401" t="s">
        <v>7989</v>
      </c>
      <c r="D3886" s="396" t="s">
        <v>23</v>
      </c>
      <c r="E3886" s="405">
        <f t="shared" si="120"/>
        <v>10.66</v>
      </c>
      <c r="F3886">
        <f t="shared" si="121"/>
        <v>89638</v>
      </c>
      <c r="H3886" s="679">
        <v>10.66</v>
      </c>
      <c r="I3886" s="679">
        <v>11.17</v>
      </c>
    </row>
    <row r="3887" spans="2:9" ht="30">
      <c r="B3887" s="395">
        <v>89639</v>
      </c>
      <c r="C3887" s="406" t="s">
        <v>7990</v>
      </c>
      <c r="D3887" s="395" t="s">
        <v>23</v>
      </c>
      <c r="E3887" s="407">
        <f t="shared" si="120"/>
        <v>11.27</v>
      </c>
      <c r="F3887">
        <f t="shared" si="121"/>
        <v>89639</v>
      </c>
      <c r="H3887" s="680">
        <v>11.27</v>
      </c>
      <c r="I3887" s="680">
        <v>11.78</v>
      </c>
    </row>
    <row r="3888" spans="2:9" ht="30">
      <c r="B3888" s="396">
        <v>89640</v>
      </c>
      <c r="C3888" s="401" t="s">
        <v>7991</v>
      </c>
      <c r="D3888" s="396" t="s">
        <v>23</v>
      </c>
      <c r="E3888" s="405">
        <f t="shared" si="120"/>
        <v>17.87</v>
      </c>
      <c r="F3888">
        <f t="shared" si="121"/>
        <v>89640</v>
      </c>
      <c r="H3888" s="679">
        <v>17.87</v>
      </c>
      <c r="I3888" s="679">
        <v>18.38</v>
      </c>
    </row>
    <row r="3889" spans="2:9" ht="30">
      <c r="B3889" s="395">
        <v>89641</v>
      </c>
      <c r="C3889" s="406" t="s">
        <v>7992</v>
      </c>
      <c r="D3889" s="395" t="s">
        <v>23</v>
      </c>
      <c r="E3889" s="407">
        <f t="shared" si="120"/>
        <v>12.76</v>
      </c>
      <c r="F3889">
        <f t="shared" si="121"/>
        <v>89641</v>
      </c>
      <c r="H3889" s="680">
        <v>12.76</v>
      </c>
      <c r="I3889" s="680">
        <v>13.4</v>
      </c>
    </row>
    <row r="3890" spans="2:9" ht="30">
      <c r="B3890" s="396">
        <v>89642</v>
      </c>
      <c r="C3890" s="401" t="s">
        <v>7993</v>
      </c>
      <c r="D3890" s="396" t="s">
        <v>23</v>
      </c>
      <c r="E3890" s="405">
        <f t="shared" si="120"/>
        <v>14.29</v>
      </c>
      <c r="F3890">
        <f t="shared" si="121"/>
        <v>89642</v>
      </c>
      <c r="H3890" s="679">
        <v>14.29</v>
      </c>
      <c r="I3890" s="679">
        <v>14.93</v>
      </c>
    </row>
    <row r="3891" spans="2:9" ht="30">
      <c r="B3891" s="395">
        <v>89643</v>
      </c>
      <c r="C3891" s="406" t="s">
        <v>7994</v>
      </c>
      <c r="D3891" s="395" t="s">
        <v>23</v>
      </c>
      <c r="E3891" s="407">
        <f t="shared" si="120"/>
        <v>15.5</v>
      </c>
      <c r="F3891">
        <f t="shared" si="121"/>
        <v>89643</v>
      </c>
      <c r="H3891" s="680">
        <v>15.5</v>
      </c>
      <c r="I3891" s="680">
        <v>16.14</v>
      </c>
    </row>
    <row r="3892" spans="2:9" ht="30">
      <c r="B3892" s="396">
        <v>89644</v>
      </c>
      <c r="C3892" s="401" t="s">
        <v>7995</v>
      </c>
      <c r="D3892" s="396" t="s">
        <v>23</v>
      </c>
      <c r="E3892" s="405">
        <f t="shared" si="120"/>
        <v>21.88</v>
      </c>
      <c r="F3892">
        <f t="shared" si="121"/>
        <v>89644</v>
      </c>
      <c r="H3892" s="679">
        <v>21.88</v>
      </c>
      <c r="I3892" s="679">
        <v>22.45</v>
      </c>
    </row>
    <row r="3893" spans="2:9" ht="30">
      <c r="B3893" s="395">
        <v>89645</v>
      </c>
      <c r="C3893" s="406" t="s">
        <v>7996</v>
      </c>
      <c r="D3893" s="395" t="s">
        <v>23</v>
      </c>
      <c r="E3893" s="407">
        <f t="shared" si="120"/>
        <v>30.71</v>
      </c>
      <c r="F3893">
        <f t="shared" si="121"/>
        <v>89645</v>
      </c>
      <c r="H3893" s="680">
        <v>30.71</v>
      </c>
      <c r="I3893" s="680">
        <v>31.33</v>
      </c>
    </row>
    <row r="3894" spans="2:9" ht="30">
      <c r="B3894" s="396">
        <v>89646</v>
      </c>
      <c r="C3894" s="401" t="s">
        <v>7997</v>
      </c>
      <c r="D3894" s="396" t="s">
        <v>23</v>
      </c>
      <c r="E3894" s="405">
        <f t="shared" si="120"/>
        <v>19.440000000000001</v>
      </c>
      <c r="F3894">
        <f t="shared" si="121"/>
        <v>89646</v>
      </c>
      <c r="H3894" s="679">
        <v>19.440000000000001</v>
      </c>
      <c r="I3894" s="679">
        <v>20.2</v>
      </c>
    </row>
    <row r="3895" spans="2:9" ht="30">
      <c r="B3895" s="395">
        <v>89647</v>
      </c>
      <c r="C3895" s="406" t="s">
        <v>7998</v>
      </c>
      <c r="D3895" s="395" t="s">
        <v>23</v>
      </c>
      <c r="E3895" s="407">
        <f t="shared" si="120"/>
        <v>18.809999999999999</v>
      </c>
      <c r="F3895">
        <f t="shared" si="121"/>
        <v>89647</v>
      </c>
      <c r="H3895" s="680">
        <v>18.809999999999999</v>
      </c>
      <c r="I3895" s="680">
        <v>19.57</v>
      </c>
    </row>
    <row r="3896" spans="2:9" ht="30">
      <c r="B3896" s="396">
        <v>89648</v>
      </c>
      <c r="C3896" s="401" t="s">
        <v>7999</v>
      </c>
      <c r="D3896" s="396" t="s">
        <v>23</v>
      </c>
      <c r="E3896" s="405">
        <f t="shared" si="120"/>
        <v>23.57</v>
      </c>
      <c r="F3896">
        <f t="shared" si="121"/>
        <v>89648</v>
      </c>
      <c r="H3896" s="679">
        <v>23.57</v>
      </c>
      <c r="I3896" s="679">
        <v>24.33</v>
      </c>
    </row>
    <row r="3897" spans="2:9" ht="30">
      <c r="B3897" s="395">
        <v>89649</v>
      </c>
      <c r="C3897" s="406" t="s">
        <v>8000</v>
      </c>
      <c r="D3897" s="395" t="s">
        <v>23</v>
      </c>
      <c r="E3897" s="407">
        <f t="shared" si="120"/>
        <v>28.74</v>
      </c>
      <c r="F3897">
        <f t="shared" si="121"/>
        <v>89649</v>
      </c>
      <c r="H3897" s="680">
        <v>28.74</v>
      </c>
      <c r="I3897" s="680">
        <v>29.63</v>
      </c>
    </row>
    <row r="3898" spans="2:9" ht="30">
      <c r="B3898" s="396">
        <v>89650</v>
      </c>
      <c r="C3898" s="401" t="s">
        <v>8001</v>
      </c>
      <c r="D3898" s="396" t="s">
        <v>23</v>
      </c>
      <c r="E3898" s="405">
        <f t="shared" si="120"/>
        <v>27.18</v>
      </c>
      <c r="F3898">
        <f t="shared" si="121"/>
        <v>89650</v>
      </c>
      <c r="H3898" s="679">
        <v>27.18</v>
      </c>
      <c r="I3898" s="679">
        <v>28.07</v>
      </c>
    </row>
    <row r="3899" spans="2:9">
      <c r="B3899" s="395">
        <v>89651</v>
      </c>
      <c r="C3899" s="406" t="s">
        <v>8002</v>
      </c>
      <c r="D3899" s="395" t="s">
        <v>23</v>
      </c>
      <c r="E3899" s="407">
        <f t="shared" si="120"/>
        <v>6.75</v>
      </c>
      <c r="F3899">
        <f t="shared" si="121"/>
        <v>89651</v>
      </c>
      <c r="H3899" s="680">
        <v>6.75</v>
      </c>
      <c r="I3899" s="680">
        <v>7.09</v>
      </c>
    </row>
    <row r="3900" spans="2:9" ht="30">
      <c r="B3900" s="396">
        <v>89652</v>
      </c>
      <c r="C3900" s="401" t="s">
        <v>8003</v>
      </c>
      <c r="D3900" s="396" t="s">
        <v>23</v>
      </c>
      <c r="E3900" s="405">
        <f t="shared" si="120"/>
        <v>11.6</v>
      </c>
      <c r="F3900">
        <f t="shared" si="121"/>
        <v>89652</v>
      </c>
      <c r="H3900" s="679">
        <v>11.6</v>
      </c>
      <c r="I3900" s="679">
        <v>11.94</v>
      </c>
    </row>
    <row r="3901" spans="2:9" ht="30">
      <c r="B3901" s="395">
        <v>89653</v>
      </c>
      <c r="C3901" s="406" t="s">
        <v>8004</v>
      </c>
      <c r="D3901" s="395" t="s">
        <v>23</v>
      </c>
      <c r="E3901" s="407">
        <f t="shared" si="120"/>
        <v>16.510000000000002</v>
      </c>
      <c r="F3901">
        <f t="shared" si="121"/>
        <v>89653</v>
      </c>
      <c r="H3901" s="680">
        <v>16.510000000000002</v>
      </c>
      <c r="I3901" s="680">
        <v>16.850000000000001</v>
      </c>
    </row>
    <row r="3902" spans="2:9">
      <c r="B3902" s="396">
        <v>89654</v>
      </c>
      <c r="C3902" s="401" t="s">
        <v>8005</v>
      </c>
      <c r="D3902" s="396" t="s">
        <v>23</v>
      </c>
      <c r="E3902" s="405">
        <f t="shared" si="120"/>
        <v>19.13</v>
      </c>
      <c r="F3902">
        <f t="shared" si="121"/>
        <v>89654</v>
      </c>
      <c r="H3902" s="679">
        <v>19.13</v>
      </c>
      <c r="I3902" s="679">
        <v>19.47</v>
      </c>
    </row>
    <row r="3903" spans="2:9" ht="30">
      <c r="B3903" s="395">
        <v>89655</v>
      </c>
      <c r="C3903" s="406" t="s">
        <v>8006</v>
      </c>
      <c r="D3903" s="395" t="s">
        <v>23</v>
      </c>
      <c r="E3903" s="407">
        <f t="shared" si="120"/>
        <v>22.81</v>
      </c>
      <c r="F3903">
        <f t="shared" si="121"/>
        <v>89655</v>
      </c>
      <c r="H3903" s="680">
        <v>22.81</v>
      </c>
      <c r="I3903" s="680">
        <v>23.15</v>
      </c>
    </row>
    <row r="3904" spans="2:9" ht="30">
      <c r="B3904" s="396">
        <v>89656</v>
      </c>
      <c r="C3904" s="401" t="s">
        <v>8007</v>
      </c>
      <c r="D3904" s="396" t="s">
        <v>23</v>
      </c>
      <c r="E3904" s="405">
        <f t="shared" si="120"/>
        <v>21.25</v>
      </c>
      <c r="F3904">
        <f t="shared" si="121"/>
        <v>89656</v>
      </c>
      <c r="H3904" s="679">
        <v>21.25</v>
      </c>
      <c r="I3904" s="679">
        <v>21.59</v>
      </c>
    </row>
    <row r="3905" spans="2:9" ht="30">
      <c r="B3905" s="395">
        <v>89657</v>
      </c>
      <c r="C3905" s="406" t="s">
        <v>8008</v>
      </c>
      <c r="D3905" s="395" t="s">
        <v>23</v>
      </c>
      <c r="E3905" s="407">
        <f t="shared" si="120"/>
        <v>13.15</v>
      </c>
      <c r="F3905">
        <f t="shared" si="121"/>
        <v>89657</v>
      </c>
      <c r="H3905" s="680">
        <v>13.15</v>
      </c>
      <c r="I3905" s="680">
        <v>13.49</v>
      </c>
    </row>
    <row r="3906" spans="2:9">
      <c r="B3906" s="396">
        <v>89658</v>
      </c>
      <c r="C3906" s="401" t="s">
        <v>8009</v>
      </c>
      <c r="D3906" s="396" t="s">
        <v>23</v>
      </c>
      <c r="E3906" s="405">
        <f t="shared" si="120"/>
        <v>9.08</v>
      </c>
      <c r="F3906">
        <f t="shared" si="121"/>
        <v>89658</v>
      </c>
      <c r="H3906" s="679">
        <v>9.08</v>
      </c>
      <c r="I3906" s="679">
        <v>9.5</v>
      </c>
    </row>
    <row r="3907" spans="2:9" ht="30">
      <c r="B3907" s="395">
        <v>89659</v>
      </c>
      <c r="C3907" s="406" t="s">
        <v>8010</v>
      </c>
      <c r="D3907" s="395" t="s">
        <v>23</v>
      </c>
      <c r="E3907" s="407">
        <f t="shared" ref="E3907:E3970" si="122">IF($K$2=$H$1,H3907,I3907)</f>
        <v>16.39</v>
      </c>
      <c r="F3907">
        <f t="shared" ref="F3907:F3970" si="123">IF(LEN($B3907)=7,CONCATENATE(MID($B3907,1,6),"00",RIGHT($B3907,1)),IF(LEN($B3907)=8,CONCATENATE(MID($B3907,1,6),"0",RIGHT($B3907,2)),$B3907))</f>
        <v>89659</v>
      </c>
      <c r="H3907" s="680">
        <v>16.39</v>
      </c>
      <c r="I3907" s="680">
        <v>16.809999999999999</v>
      </c>
    </row>
    <row r="3908" spans="2:9" ht="30">
      <c r="B3908" s="396">
        <v>89660</v>
      </c>
      <c r="C3908" s="401" t="s">
        <v>8011</v>
      </c>
      <c r="D3908" s="396" t="s">
        <v>23</v>
      </c>
      <c r="E3908" s="405">
        <f t="shared" si="122"/>
        <v>9.2100000000000009</v>
      </c>
      <c r="F3908">
        <f t="shared" si="123"/>
        <v>89660</v>
      </c>
      <c r="H3908" s="679">
        <v>9.2100000000000009</v>
      </c>
      <c r="I3908" s="679">
        <v>9.66</v>
      </c>
    </row>
    <row r="3909" spans="2:9">
      <c r="B3909" s="395">
        <v>89661</v>
      </c>
      <c r="C3909" s="406" t="s">
        <v>8012</v>
      </c>
      <c r="D3909" s="395" t="s">
        <v>23</v>
      </c>
      <c r="E3909" s="407">
        <f t="shared" si="122"/>
        <v>22.4</v>
      </c>
      <c r="F3909">
        <f t="shared" si="123"/>
        <v>89661</v>
      </c>
      <c r="H3909" s="680">
        <v>22.4</v>
      </c>
      <c r="I3909" s="680">
        <v>22.82</v>
      </c>
    </row>
    <row r="3910" spans="2:9" ht="30">
      <c r="B3910" s="396">
        <v>89662</v>
      </c>
      <c r="C3910" s="401" t="s">
        <v>8013</v>
      </c>
      <c r="D3910" s="396" t="s">
        <v>23</v>
      </c>
      <c r="E3910" s="405">
        <f t="shared" si="122"/>
        <v>29.58</v>
      </c>
      <c r="F3910">
        <f t="shared" si="123"/>
        <v>89662</v>
      </c>
      <c r="H3910" s="679">
        <v>29.58</v>
      </c>
      <c r="I3910" s="679">
        <v>29.96</v>
      </c>
    </row>
    <row r="3911" spans="2:9" ht="30">
      <c r="B3911" s="395">
        <v>89663</v>
      </c>
      <c r="C3911" s="406" t="s">
        <v>8014</v>
      </c>
      <c r="D3911" s="395" t="s">
        <v>23</v>
      </c>
      <c r="E3911" s="407">
        <f t="shared" si="122"/>
        <v>28.57</v>
      </c>
      <c r="F3911">
        <f t="shared" si="123"/>
        <v>89663</v>
      </c>
      <c r="H3911" s="680">
        <v>28.57</v>
      </c>
      <c r="I3911" s="680">
        <v>28.99</v>
      </c>
    </row>
    <row r="3912" spans="2:9" ht="30">
      <c r="B3912" s="396">
        <v>89664</v>
      </c>
      <c r="C3912" s="401" t="s">
        <v>8015</v>
      </c>
      <c r="D3912" s="396" t="s">
        <v>23</v>
      </c>
      <c r="E3912" s="405">
        <f t="shared" si="122"/>
        <v>16.329999999999998</v>
      </c>
      <c r="F3912">
        <f t="shared" si="123"/>
        <v>89664</v>
      </c>
      <c r="H3912" s="679">
        <v>16.329999999999998</v>
      </c>
      <c r="I3912" s="679">
        <v>16.75</v>
      </c>
    </row>
    <row r="3913" spans="2:9" ht="30">
      <c r="B3913" s="395">
        <v>89666</v>
      </c>
      <c r="C3913" s="406" t="s">
        <v>8016</v>
      </c>
      <c r="D3913" s="395" t="s">
        <v>23</v>
      </c>
      <c r="E3913" s="407">
        <f t="shared" si="122"/>
        <v>7</v>
      </c>
      <c r="F3913">
        <f t="shared" si="123"/>
        <v>89666</v>
      </c>
      <c r="H3913" s="680">
        <v>7</v>
      </c>
      <c r="I3913" s="680">
        <v>7.38</v>
      </c>
    </row>
    <row r="3914" spans="2:9" ht="30">
      <c r="B3914" s="396">
        <v>89667</v>
      </c>
      <c r="C3914" s="401" t="s">
        <v>8017</v>
      </c>
      <c r="D3914" s="396" t="s">
        <v>23</v>
      </c>
      <c r="E3914" s="405">
        <f t="shared" si="122"/>
        <v>50.27</v>
      </c>
      <c r="F3914">
        <f t="shared" si="123"/>
        <v>89667</v>
      </c>
      <c r="H3914" s="679">
        <v>50.27</v>
      </c>
      <c r="I3914" s="679">
        <v>50.81</v>
      </c>
    </row>
    <row r="3915" spans="2:9" ht="30">
      <c r="B3915" s="395">
        <v>89668</v>
      </c>
      <c r="C3915" s="406" t="s">
        <v>8018</v>
      </c>
      <c r="D3915" s="395" t="s">
        <v>23</v>
      </c>
      <c r="E3915" s="407">
        <f t="shared" si="122"/>
        <v>27.9</v>
      </c>
      <c r="F3915">
        <f t="shared" si="123"/>
        <v>89668</v>
      </c>
      <c r="H3915" s="680">
        <v>27.9</v>
      </c>
      <c r="I3915" s="680">
        <v>28.31</v>
      </c>
    </row>
    <row r="3916" spans="2:9" ht="30">
      <c r="B3916" s="396">
        <v>89669</v>
      </c>
      <c r="C3916" s="401" t="s">
        <v>8019</v>
      </c>
      <c r="D3916" s="396" t="s">
        <v>23</v>
      </c>
      <c r="E3916" s="405">
        <f t="shared" si="122"/>
        <v>35.799999999999997</v>
      </c>
      <c r="F3916">
        <f t="shared" si="123"/>
        <v>89669</v>
      </c>
      <c r="H3916" s="679">
        <v>35.799999999999997</v>
      </c>
      <c r="I3916" s="679">
        <v>36.630000000000003</v>
      </c>
    </row>
    <row r="3917" spans="2:9">
      <c r="B3917" s="395">
        <v>89670</v>
      </c>
      <c r="C3917" s="406" t="s">
        <v>8020</v>
      </c>
      <c r="D3917" s="395" t="s">
        <v>23</v>
      </c>
      <c r="E3917" s="407">
        <f t="shared" si="122"/>
        <v>13.59</v>
      </c>
      <c r="F3917">
        <f t="shared" si="123"/>
        <v>89670</v>
      </c>
      <c r="H3917" s="680">
        <v>13.59</v>
      </c>
      <c r="I3917" s="680">
        <v>14.09</v>
      </c>
    </row>
    <row r="3918" spans="2:9" ht="30">
      <c r="B3918" s="396">
        <v>89671</v>
      </c>
      <c r="C3918" s="401" t="s">
        <v>8021</v>
      </c>
      <c r="D3918" s="396" t="s">
        <v>23</v>
      </c>
      <c r="E3918" s="405">
        <f t="shared" si="122"/>
        <v>50.29</v>
      </c>
      <c r="F3918">
        <f t="shared" si="123"/>
        <v>89671</v>
      </c>
      <c r="H3918" s="679">
        <v>50.29</v>
      </c>
      <c r="I3918" s="679">
        <v>51.12</v>
      </c>
    </row>
    <row r="3919" spans="2:9" ht="30">
      <c r="B3919" s="395">
        <v>89672</v>
      </c>
      <c r="C3919" s="406" t="s">
        <v>8022</v>
      </c>
      <c r="D3919" s="395" t="s">
        <v>23</v>
      </c>
      <c r="E3919" s="407">
        <f t="shared" si="122"/>
        <v>22.69</v>
      </c>
      <c r="F3919">
        <f t="shared" si="123"/>
        <v>89672</v>
      </c>
      <c r="H3919" s="680">
        <v>22.69</v>
      </c>
      <c r="I3919" s="680">
        <v>23.19</v>
      </c>
    </row>
    <row r="3920" spans="2:9" ht="30">
      <c r="B3920" s="396">
        <v>89673</v>
      </c>
      <c r="C3920" s="401" t="s">
        <v>8023</v>
      </c>
      <c r="D3920" s="396" t="s">
        <v>23</v>
      </c>
      <c r="E3920" s="405">
        <f t="shared" si="122"/>
        <v>39.81</v>
      </c>
      <c r="F3920">
        <f t="shared" si="123"/>
        <v>89673</v>
      </c>
      <c r="H3920" s="679">
        <v>39.81</v>
      </c>
      <c r="I3920" s="679">
        <v>40.49</v>
      </c>
    </row>
    <row r="3921" spans="2:9">
      <c r="B3921" s="395">
        <v>89674</v>
      </c>
      <c r="C3921" s="406" t="s">
        <v>8024</v>
      </c>
      <c r="D3921" s="395" t="s">
        <v>23</v>
      </c>
      <c r="E3921" s="407">
        <f t="shared" si="122"/>
        <v>29.26</v>
      </c>
      <c r="F3921">
        <f t="shared" si="123"/>
        <v>89674</v>
      </c>
      <c r="H3921" s="680">
        <v>29.26</v>
      </c>
      <c r="I3921" s="680">
        <v>29.76</v>
      </c>
    </row>
    <row r="3922" spans="2:9" ht="30">
      <c r="B3922" s="396">
        <v>89675</v>
      </c>
      <c r="C3922" s="401" t="s">
        <v>8025</v>
      </c>
      <c r="D3922" s="396" t="s">
        <v>23</v>
      </c>
      <c r="E3922" s="405">
        <f t="shared" si="122"/>
        <v>82.32</v>
      </c>
      <c r="F3922">
        <f t="shared" si="123"/>
        <v>89675</v>
      </c>
      <c r="H3922" s="679">
        <v>82.32</v>
      </c>
      <c r="I3922" s="679">
        <v>83.15</v>
      </c>
    </row>
    <row r="3923" spans="2:9" ht="30">
      <c r="B3923" s="395">
        <v>89676</v>
      </c>
      <c r="C3923" s="406" t="s">
        <v>8026</v>
      </c>
      <c r="D3923" s="395" t="s">
        <v>23</v>
      </c>
      <c r="E3923" s="407">
        <f t="shared" si="122"/>
        <v>35.14</v>
      </c>
      <c r="F3923">
        <f t="shared" si="123"/>
        <v>89676</v>
      </c>
      <c r="H3923" s="680">
        <v>35.14</v>
      </c>
      <c r="I3923" s="680">
        <v>35.619999999999997</v>
      </c>
    </row>
    <row r="3924" spans="2:9" ht="30">
      <c r="B3924" s="396">
        <v>89677</v>
      </c>
      <c r="C3924" s="401" t="s">
        <v>8027</v>
      </c>
      <c r="D3924" s="396" t="s">
        <v>23</v>
      </c>
      <c r="E3924" s="405">
        <f t="shared" si="122"/>
        <v>86.38</v>
      </c>
      <c r="F3924">
        <f t="shared" si="123"/>
        <v>89677</v>
      </c>
      <c r="H3924" s="679">
        <v>86.38</v>
      </c>
      <c r="I3924" s="679">
        <v>87.82</v>
      </c>
    </row>
    <row r="3925" spans="2:9" ht="30">
      <c r="B3925" s="395">
        <v>89678</v>
      </c>
      <c r="C3925" s="406" t="s">
        <v>8028</v>
      </c>
      <c r="D3925" s="395" t="s">
        <v>23</v>
      </c>
      <c r="E3925" s="407">
        <f t="shared" si="122"/>
        <v>11.53</v>
      </c>
      <c r="F3925">
        <f t="shared" si="123"/>
        <v>89678</v>
      </c>
      <c r="H3925" s="680">
        <v>11.53</v>
      </c>
      <c r="I3925" s="680">
        <v>11.99</v>
      </c>
    </row>
    <row r="3926" spans="2:9" ht="30">
      <c r="B3926" s="396">
        <v>89679</v>
      </c>
      <c r="C3926" s="401" t="s">
        <v>8029</v>
      </c>
      <c r="D3926" s="396" t="s">
        <v>23</v>
      </c>
      <c r="E3926" s="405">
        <f t="shared" si="122"/>
        <v>142.38999999999999</v>
      </c>
      <c r="F3926">
        <f t="shared" si="123"/>
        <v>89679</v>
      </c>
      <c r="H3926" s="679">
        <v>142.38999999999999</v>
      </c>
      <c r="I3926" s="679">
        <v>143.83000000000001</v>
      </c>
    </row>
    <row r="3927" spans="2:9">
      <c r="B3927" s="395">
        <v>89680</v>
      </c>
      <c r="C3927" s="406" t="s">
        <v>8030</v>
      </c>
      <c r="D3927" s="395" t="s">
        <v>23</v>
      </c>
      <c r="E3927" s="407">
        <f t="shared" si="122"/>
        <v>21.65</v>
      </c>
      <c r="F3927">
        <f t="shared" si="123"/>
        <v>89680</v>
      </c>
      <c r="H3927" s="680">
        <v>21.65</v>
      </c>
      <c r="I3927" s="680">
        <v>22.24</v>
      </c>
    </row>
    <row r="3928" spans="2:9" ht="30">
      <c r="B3928" s="396">
        <v>89681</v>
      </c>
      <c r="C3928" s="401" t="s">
        <v>8031</v>
      </c>
      <c r="D3928" s="396" t="s">
        <v>23</v>
      </c>
      <c r="E3928" s="405">
        <f t="shared" si="122"/>
        <v>103.2</v>
      </c>
      <c r="F3928">
        <f t="shared" si="123"/>
        <v>89681</v>
      </c>
      <c r="H3928" s="679">
        <v>103.2</v>
      </c>
      <c r="I3928" s="679">
        <v>104.34</v>
      </c>
    </row>
    <row r="3929" spans="2:9" ht="30">
      <c r="B3929" s="395">
        <v>89682</v>
      </c>
      <c r="C3929" s="406" t="s">
        <v>8032</v>
      </c>
      <c r="D3929" s="395" t="s">
        <v>23</v>
      </c>
      <c r="E3929" s="407">
        <f t="shared" si="122"/>
        <v>30.23</v>
      </c>
      <c r="F3929">
        <f t="shared" si="123"/>
        <v>89682</v>
      </c>
      <c r="H3929" s="680">
        <v>30.23</v>
      </c>
      <c r="I3929" s="680">
        <v>30.82</v>
      </c>
    </row>
    <row r="3930" spans="2:9" ht="30">
      <c r="B3930" s="396">
        <v>89683</v>
      </c>
      <c r="C3930" s="401" t="s">
        <v>8033</v>
      </c>
      <c r="D3930" s="396" t="s">
        <v>23</v>
      </c>
      <c r="E3930" s="405">
        <f t="shared" si="122"/>
        <v>332.42</v>
      </c>
      <c r="F3930">
        <f t="shared" si="123"/>
        <v>89683</v>
      </c>
      <c r="H3930" s="679">
        <v>332.42</v>
      </c>
      <c r="I3930" s="679">
        <v>333.86</v>
      </c>
    </row>
    <row r="3931" spans="2:9">
      <c r="B3931" s="395">
        <v>89684</v>
      </c>
      <c r="C3931" s="406" t="s">
        <v>8034</v>
      </c>
      <c r="D3931" s="395" t="s">
        <v>23</v>
      </c>
      <c r="E3931" s="407">
        <f t="shared" si="122"/>
        <v>42.52</v>
      </c>
      <c r="F3931">
        <f t="shared" si="123"/>
        <v>89684</v>
      </c>
      <c r="H3931" s="680">
        <v>42.52</v>
      </c>
      <c r="I3931" s="680">
        <v>43.11</v>
      </c>
    </row>
    <row r="3932" spans="2:9" ht="30">
      <c r="B3932" s="396">
        <v>89685</v>
      </c>
      <c r="C3932" s="401" t="s">
        <v>8035</v>
      </c>
      <c r="D3932" s="396" t="s">
        <v>23</v>
      </c>
      <c r="E3932" s="405">
        <f t="shared" si="122"/>
        <v>68.91</v>
      </c>
      <c r="F3932">
        <f t="shared" si="123"/>
        <v>89685</v>
      </c>
      <c r="H3932" s="679">
        <v>68.91</v>
      </c>
      <c r="I3932" s="679">
        <v>69.98</v>
      </c>
    </row>
    <row r="3933" spans="2:9" ht="30">
      <c r="B3933" s="395">
        <v>89686</v>
      </c>
      <c r="C3933" s="406" t="s">
        <v>8036</v>
      </c>
      <c r="D3933" s="395" t="s">
        <v>23</v>
      </c>
      <c r="E3933" s="407">
        <f t="shared" si="122"/>
        <v>53.88</v>
      </c>
      <c r="F3933">
        <f t="shared" si="123"/>
        <v>89686</v>
      </c>
      <c r="H3933" s="680">
        <v>53.88</v>
      </c>
      <c r="I3933" s="680">
        <v>54.46</v>
      </c>
    </row>
    <row r="3934" spans="2:9" ht="30">
      <c r="B3934" s="396">
        <v>89687</v>
      </c>
      <c r="C3934" s="401" t="s">
        <v>8037</v>
      </c>
      <c r="D3934" s="396" t="s">
        <v>23</v>
      </c>
      <c r="E3934" s="405">
        <f t="shared" si="122"/>
        <v>58.75</v>
      </c>
      <c r="F3934">
        <f t="shared" si="123"/>
        <v>89687</v>
      </c>
      <c r="H3934" s="679">
        <v>58.75</v>
      </c>
      <c r="I3934" s="679">
        <v>59.82</v>
      </c>
    </row>
    <row r="3935" spans="2:9" ht="30">
      <c r="B3935" s="395">
        <v>89689</v>
      </c>
      <c r="C3935" s="406" t="s">
        <v>8038</v>
      </c>
      <c r="D3935" s="395" t="s">
        <v>23</v>
      </c>
      <c r="E3935" s="407">
        <f t="shared" si="122"/>
        <v>35.979999999999997</v>
      </c>
      <c r="F3935">
        <f t="shared" si="123"/>
        <v>89689</v>
      </c>
      <c r="H3935" s="680">
        <v>35.979999999999997</v>
      </c>
      <c r="I3935" s="680">
        <v>36.53</v>
      </c>
    </row>
    <row r="3936" spans="2:9" ht="30">
      <c r="B3936" s="396">
        <v>89690</v>
      </c>
      <c r="C3936" s="401" t="s">
        <v>8039</v>
      </c>
      <c r="D3936" s="396" t="s">
        <v>23</v>
      </c>
      <c r="E3936" s="405">
        <f t="shared" si="122"/>
        <v>100.45</v>
      </c>
      <c r="F3936">
        <f t="shared" si="123"/>
        <v>89690</v>
      </c>
      <c r="H3936" s="679">
        <v>100.45</v>
      </c>
      <c r="I3936" s="679">
        <v>102.12</v>
      </c>
    </row>
    <row r="3937" spans="2:9">
      <c r="B3937" s="395">
        <v>89691</v>
      </c>
      <c r="C3937" s="406" t="s">
        <v>8040</v>
      </c>
      <c r="D3937" s="395" t="s">
        <v>23</v>
      </c>
      <c r="E3937" s="407">
        <f t="shared" si="122"/>
        <v>12.66</v>
      </c>
      <c r="F3937">
        <f t="shared" si="123"/>
        <v>89691</v>
      </c>
      <c r="H3937" s="680">
        <v>12.66</v>
      </c>
      <c r="I3937" s="680">
        <v>13.34</v>
      </c>
    </row>
    <row r="3938" spans="2:9" ht="30">
      <c r="B3938" s="396">
        <v>89692</v>
      </c>
      <c r="C3938" s="401" t="s">
        <v>8041</v>
      </c>
      <c r="D3938" s="396" t="s">
        <v>23</v>
      </c>
      <c r="E3938" s="405">
        <f t="shared" si="122"/>
        <v>115.61</v>
      </c>
      <c r="F3938">
        <f t="shared" si="123"/>
        <v>89692</v>
      </c>
      <c r="H3938" s="679">
        <v>115.61</v>
      </c>
      <c r="I3938" s="679">
        <v>117.07</v>
      </c>
    </row>
    <row r="3939" spans="2:9" ht="30">
      <c r="B3939" s="395">
        <v>89693</v>
      </c>
      <c r="C3939" s="406" t="s">
        <v>8042</v>
      </c>
      <c r="D3939" s="395" t="s">
        <v>23</v>
      </c>
      <c r="E3939" s="407">
        <f t="shared" si="122"/>
        <v>87.67</v>
      </c>
      <c r="F3939">
        <f t="shared" si="123"/>
        <v>89693</v>
      </c>
      <c r="H3939" s="680">
        <v>87.67</v>
      </c>
      <c r="I3939" s="680">
        <v>89.34</v>
      </c>
    </row>
    <row r="3940" spans="2:9" ht="30">
      <c r="B3940" s="396">
        <v>89694</v>
      </c>
      <c r="C3940" s="401" t="s">
        <v>8043</v>
      </c>
      <c r="D3940" s="396" t="s">
        <v>23</v>
      </c>
      <c r="E3940" s="405">
        <f t="shared" si="122"/>
        <v>18.88</v>
      </c>
      <c r="F3940">
        <f t="shared" si="123"/>
        <v>89694</v>
      </c>
      <c r="H3940" s="679">
        <v>18.88</v>
      </c>
      <c r="I3940" s="679">
        <v>19.559999999999999</v>
      </c>
    </row>
    <row r="3941" spans="2:9" ht="30">
      <c r="B3941" s="395">
        <v>89695</v>
      </c>
      <c r="C3941" s="406" t="s">
        <v>8044</v>
      </c>
      <c r="D3941" s="395" t="s">
        <v>23</v>
      </c>
      <c r="E3941" s="407">
        <f t="shared" si="122"/>
        <v>16.010000000000002</v>
      </c>
      <c r="F3941">
        <f t="shared" si="123"/>
        <v>89695</v>
      </c>
      <c r="H3941" s="680">
        <v>16.010000000000002</v>
      </c>
      <c r="I3941" s="680">
        <v>16.690000000000001</v>
      </c>
    </row>
    <row r="3942" spans="2:9" ht="30">
      <c r="B3942" s="396">
        <v>89696</v>
      </c>
      <c r="C3942" s="401" t="s">
        <v>8045</v>
      </c>
      <c r="D3942" s="396" t="s">
        <v>23</v>
      </c>
      <c r="E3942" s="405">
        <f t="shared" si="122"/>
        <v>94.9</v>
      </c>
      <c r="F3942">
        <f t="shared" si="123"/>
        <v>89696</v>
      </c>
      <c r="H3942" s="679">
        <v>94.9</v>
      </c>
      <c r="I3942" s="679">
        <v>96.36</v>
      </c>
    </row>
    <row r="3943" spans="2:9">
      <c r="B3943" s="395">
        <v>89697</v>
      </c>
      <c r="C3943" s="406" t="s">
        <v>8046</v>
      </c>
      <c r="D3943" s="395" t="s">
        <v>23</v>
      </c>
      <c r="E3943" s="407">
        <f t="shared" si="122"/>
        <v>16.68</v>
      </c>
      <c r="F3943">
        <f t="shared" si="123"/>
        <v>89697</v>
      </c>
      <c r="H3943" s="680">
        <v>16.68</v>
      </c>
      <c r="I3943" s="680">
        <v>17.53</v>
      </c>
    </row>
    <row r="3944" spans="2:9" ht="30">
      <c r="B3944" s="396">
        <v>89698</v>
      </c>
      <c r="C3944" s="401" t="s">
        <v>8047</v>
      </c>
      <c r="D3944" s="396" t="s">
        <v>23</v>
      </c>
      <c r="E3944" s="405">
        <f t="shared" si="122"/>
        <v>306.45999999999998</v>
      </c>
      <c r="F3944">
        <f t="shared" si="123"/>
        <v>89698</v>
      </c>
      <c r="H3944" s="679">
        <v>306.45999999999998</v>
      </c>
      <c r="I3944" s="679">
        <v>309.35000000000002</v>
      </c>
    </row>
    <row r="3945" spans="2:9" ht="30">
      <c r="B3945" s="395">
        <v>89699</v>
      </c>
      <c r="C3945" s="406" t="s">
        <v>8048</v>
      </c>
      <c r="D3945" s="395" t="s">
        <v>23</v>
      </c>
      <c r="E3945" s="407">
        <f t="shared" si="122"/>
        <v>230.17</v>
      </c>
      <c r="F3945">
        <f t="shared" si="123"/>
        <v>89699</v>
      </c>
      <c r="H3945" s="680">
        <v>230.17</v>
      </c>
      <c r="I3945" s="680">
        <v>232.65</v>
      </c>
    </row>
    <row r="3946" spans="2:9" ht="30">
      <c r="B3946" s="396">
        <v>89700</v>
      </c>
      <c r="C3946" s="401" t="s">
        <v>8049</v>
      </c>
      <c r="D3946" s="396" t="s">
        <v>23</v>
      </c>
      <c r="E3946" s="405">
        <f t="shared" si="122"/>
        <v>21.67</v>
      </c>
      <c r="F3946">
        <f t="shared" si="123"/>
        <v>89700</v>
      </c>
      <c r="H3946" s="679">
        <v>21.67</v>
      </c>
      <c r="I3946" s="679">
        <v>22.44</v>
      </c>
    </row>
    <row r="3947" spans="2:9" ht="30">
      <c r="B3947" s="395">
        <v>89701</v>
      </c>
      <c r="C3947" s="406" t="s">
        <v>8050</v>
      </c>
      <c r="D3947" s="395" t="s">
        <v>23</v>
      </c>
      <c r="E3947" s="407">
        <f t="shared" si="122"/>
        <v>224.32</v>
      </c>
      <c r="F3947">
        <f t="shared" si="123"/>
        <v>89701</v>
      </c>
      <c r="H3947" s="680">
        <v>224.32</v>
      </c>
      <c r="I3947" s="680">
        <v>227.21</v>
      </c>
    </row>
    <row r="3948" spans="2:9" ht="30">
      <c r="B3948" s="396">
        <v>89702</v>
      </c>
      <c r="C3948" s="401" t="s">
        <v>8051</v>
      </c>
      <c r="D3948" s="396" t="s">
        <v>23</v>
      </c>
      <c r="E3948" s="405">
        <f t="shared" si="122"/>
        <v>20.75</v>
      </c>
      <c r="F3948">
        <f t="shared" si="123"/>
        <v>89702</v>
      </c>
      <c r="H3948" s="679">
        <v>20.75</v>
      </c>
      <c r="I3948" s="679">
        <v>21.6</v>
      </c>
    </row>
    <row r="3949" spans="2:9" ht="30">
      <c r="B3949" s="395">
        <v>89703</v>
      </c>
      <c r="C3949" s="406" t="s">
        <v>8052</v>
      </c>
      <c r="D3949" s="395" t="s">
        <v>23</v>
      </c>
      <c r="E3949" s="407">
        <f t="shared" si="122"/>
        <v>45.32</v>
      </c>
      <c r="F3949">
        <f t="shared" si="123"/>
        <v>89703</v>
      </c>
      <c r="H3949" s="680">
        <v>45.32</v>
      </c>
      <c r="I3949" s="680">
        <v>46.15</v>
      </c>
    </row>
    <row r="3950" spans="2:9" ht="30">
      <c r="B3950" s="396">
        <v>89704</v>
      </c>
      <c r="C3950" s="401" t="s">
        <v>8053</v>
      </c>
      <c r="D3950" s="396" t="s">
        <v>23</v>
      </c>
      <c r="E3950" s="405">
        <f t="shared" si="122"/>
        <v>172.26</v>
      </c>
      <c r="F3950">
        <f t="shared" si="123"/>
        <v>89704</v>
      </c>
      <c r="H3950" s="679">
        <v>172.26</v>
      </c>
      <c r="I3950" s="679">
        <v>174.74</v>
      </c>
    </row>
    <row r="3951" spans="2:9">
      <c r="B3951" s="395">
        <v>89705</v>
      </c>
      <c r="C3951" s="406" t="s">
        <v>8054</v>
      </c>
      <c r="D3951" s="395" t="s">
        <v>23</v>
      </c>
      <c r="E3951" s="407">
        <f t="shared" si="122"/>
        <v>24.24</v>
      </c>
      <c r="F3951">
        <f t="shared" si="123"/>
        <v>89705</v>
      </c>
      <c r="H3951" s="680">
        <v>24.24</v>
      </c>
      <c r="I3951" s="680">
        <v>25.25</v>
      </c>
    </row>
    <row r="3952" spans="2:9">
      <c r="B3952" s="396">
        <v>89706</v>
      </c>
      <c r="C3952" s="401" t="s">
        <v>8055</v>
      </c>
      <c r="D3952" s="396" t="s">
        <v>23</v>
      </c>
      <c r="E3952" s="405">
        <f t="shared" si="122"/>
        <v>53.64</v>
      </c>
      <c r="F3952">
        <f t="shared" si="123"/>
        <v>89706</v>
      </c>
      <c r="H3952" s="679">
        <v>53.64</v>
      </c>
      <c r="I3952" s="679">
        <v>54.83</v>
      </c>
    </row>
    <row r="3953" spans="2:9">
      <c r="B3953" s="395">
        <v>89718</v>
      </c>
      <c r="C3953" s="406" t="s">
        <v>8056</v>
      </c>
      <c r="D3953" s="395" t="s">
        <v>22</v>
      </c>
      <c r="E3953" s="407">
        <f t="shared" si="122"/>
        <v>50.58</v>
      </c>
      <c r="F3953">
        <f t="shared" si="123"/>
        <v>89718</v>
      </c>
      <c r="H3953" s="680">
        <v>50.58</v>
      </c>
      <c r="I3953" s="680">
        <v>51.52</v>
      </c>
    </row>
    <row r="3954" spans="2:9" ht="30">
      <c r="B3954" s="396">
        <v>89719</v>
      </c>
      <c r="C3954" s="401" t="s">
        <v>8057</v>
      </c>
      <c r="D3954" s="396" t="s">
        <v>23</v>
      </c>
      <c r="E3954" s="405">
        <f t="shared" si="122"/>
        <v>12.17</v>
      </c>
      <c r="F3954">
        <f t="shared" si="123"/>
        <v>89719</v>
      </c>
      <c r="H3954" s="679">
        <v>12.17</v>
      </c>
      <c r="I3954" s="679">
        <v>12.75</v>
      </c>
    </row>
    <row r="3955" spans="2:9" ht="30">
      <c r="B3955" s="395">
        <v>89720</v>
      </c>
      <c r="C3955" s="406" t="s">
        <v>8058</v>
      </c>
      <c r="D3955" s="395" t="s">
        <v>23</v>
      </c>
      <c r="E3955" s="407">
        <f t="shared" si="122"/>
        <v>13.7</v>
      </c>
      <c r="F3955">
        <f t="shared" si="123"/>
        <v>89720</v>
      </c>
      <c r="H3955" s="680">
        <v>13.7</v>
      </c>
      <c r="I3955" s="680">
        <v>14.28</v>
      </c>
    </row>
    <row r="3956" spans="2:9" ht="30">
      <c r="B3956" s="396">
        <v>89721</v>
      </c>
      <c r="C3956" s="401" t="s">
        <v>8059</v>
      </c>
      <c r="D3956" s="396" t="s">
        <v>23</v>
      </c>
      <c r="E3956" s="405">
        <f t="shared" si="122"/>
        <v>14.91</v>
      </c>
      <c r="F3956">
        <f t="shared" si="123"/>
        <v>89721</v>
      </c>
      <c r="H3956" s="679">
        <v>14.91</v>
      </c>
      <c r="I3956" s="679">
        <v>15.49</v>
      </c>
    </row>
    <row r="3957" spans="2:9" ht="30">
      <c r="B3957" s="395">
        <v>89723</v>
      </c>
      <c r="C3957" s="406" t="s">
        <v>8060</v>
      </c>
      <c r="D3957" s="395" t="s">
        <v>23</v>
      </c>
      <c r="E3957" s="407">
        <f t="shared" si="122"/>
        <v>18.75</v>
      </c>
      <c r="F3957">
        <f t="shared" si="123"/>
        <v>89723</v>
      </c>
      <c r="H3957" s="680">
        <v>18.75</v>
      </c>
      <c r="I3957" s="680">
        <v>19.43</v>
      </c>
    </row>
    <row r="3958" spans="2:9" ht="30">
      <c r="B3958" s="396">
        <v>89724</v>
      </c>
      <c r="C3958" s="401" t="s">
        <v>8061</v>
      </c>
      <c r="D3958" s="396" t="s">
        <v>23</v>
      </c>
      <c r="E3958" s="405">
        <f t="shared" si="122"/>
        <v>9.66</v>
      </c>
      <c r="F3958">
        <f t="shared" si="123"/>
        <v>89724</v>
      </c>
      <c r="H3958" s="679">
        <v>9.66</v>
      </c>
      <c r="I3958" s="679">
        <v>10.24</v>
      </c>
    </row>
    <row r="3959" spans="2:9" ht="30">
      <c r="B3959" s="395">
        <v>89725</v>
      </c>
      <c r="C3959" s="406" t="s">
        <v>8062</v>
      </c>
      <c r="D3959" s="395" t="s">
        <v>23</v>
      </c>
      <c r="E3959" s="407">
        <f t="shared" si="122"/>
        <v>18.12</v>
      </c>
      <c r="F3959">
        <f t="shared" si="123"/>
        <v>89725</v>
      </c>
      <c r="H3959" s="680">
        <v>18.12</v>
      </c>
      <c r="I3959" s="680">
        <v>18.8</v>
      </c>
    </row>
    <row r="3960" spans="2:9" ht="30">
      <c r="B3960" s="396">
        <v>89726</v>
      </c>
      <c r="C3960" s="401" t="s">
        <v>8063</v>
      </c>
      <c r="D3960" s="396" t="s">
        <v>23</v>
      </c>
      <c r="E3960" s="405">
        <f t="shared" si="122"/>
        <v>9.94</v>
      </c>
      <c r="F3960">
        <f t="shared" si="123"/>
        <v>89726</v>
      </c>
      <c r="H3960" s="679">
        <v>9.94</v>
      </c>
      <c r="I3960" s="679">
        <v>10.52</v>
      </c>
    </row>
    <row r="3961" spans="2:9" ht="30">
      <c r="B3961" s="395">
        <v>89727</v>
      </c>
      <c r="C3961" s="406" t="s">
        <v>8064</v>
      </c>
      <c r="D3961" s="395" t="s">
        <v>23</v>
      </c>
      <c r="E3961" s="407">
        <f t="shared" si="122"/>
        <v>22.88</v>
      </c>
      <c r="F3961">
        <f t="shared" si="123"/>
        <v>89727</v>
      </c>
      <c r="H3961" s="680">
        <v>22.88</v>
      </c>
      <c r="I3961" s="680">
        <v>23.56</v>
      </c>
    </row>
    <row r="3962" spans="2:9" ht="30">
      <c r="B3962" s="396">
        <v>89728</v>
      </c>
      <c r="C3962" s="401" t="s">
        <v>8065</v>
      </c>
      <c r="D3962" s="396" t="s">
        <v>23</v>
      </c>
      <c r="E3962" s="405">
        <f t="shared" si="122"/>
        <v>13.24</v>
      </c>
      <c r="F3962">
        <f t="shared" si="123"/>
        <v>89728</v>
      </c>
      <c r="H3962" s="679">
        <v>13.24</v>
      </c>
      <c r="I3962" s="679">
        <v>13.82</v>
      </c>
    </row>
    <row r="3963" spans="2:9" ht="30">
      <c r="B3963" s="395">
        <v>89729</v>
      </c>
      <c r="C3963" s="406" t="s">
        <v>8066</v>
      </c>
      <c r="D3963" s="395" t="s">
        <v>23</v>
      </c>
      <c r="E3963" s="407">
        <f t="shared" si="122"/>
        <v>27.93</v>
      </c>
      <c r="F3963">
        <f t="shared" si="123"/>
        <v>89729</v>
      </c>
      <c r="H3963" s="680">
        <v>27.93</v>
      </c>
      <c r="I3963" s="680">
        <v>28.73</v>
      </c>
    </row>
    <row r="3964" spans="2:9" ht="30">
      <c r="B3964" s="396">
        <v>89730</v>
      </c>
      <c r="C3964" s="401" t="s">
        <v>8067</v>
      </c>
      <c r="D3964" s="396" t="s">
        <v>23</v>
      </c>
      <c r="E3964" s="405">
        <f t="shared" si="122"/>
        <v>15.57</v>
      </c>
      <c r="F3964">
        <f t="shared" si="123"/>
        <v>89730</v>
      </c>
      <c r="H3964" s="679">
        <v>15.57</v>
      </c>
      <c r="I3964" s="679">
        <v>16.149999999999999</v>
      </c>
    </row>
    <row r="3965" spans="2:9" ht="30">
      <c r="B3965" s="395">
        <v>89731</v>
      </c>
      <c r="C3965" s="406" t="s">
        <v>8068</v>
      </c>
      <c r="D3965" s="395" t="s">
        <v>23</v>
      </c>
      <c r="E3965" s="407">
        <f t="shared" si="122"/>
        <v>15.29</v>
      </c>
      <c r="F3965">
        <f t="shared" si="123"/>
        <v>89731</v>
      </c>
      <c r="H3965" s="680">
        <v>15.29</v>
      </c>
      <c r="I3965" s="680">
        <v>15.93</v>
      </c>
    </row>
    <row r="3966" spans="2:9" ht="30">
      <c r="B3966" s="396">
        <v>89732</v>
      </c>
      <c r="C3966" s="401" t="s">
        <v>8069</v>
      </c>
      <c r="D3966" s="396" t="s">
        <v>23</v>
      </c>
      <c r="E3966" s="405">
        <f t="shared" si="122"/>
        <v>16.190000000000001</v>
      </c>
      <c r="F3966">
        <f t="shared" si="123"/>
        <v>89732</v>
      </c>
      <c r="H3966" s="679">
        <v>16.190000000000001</v>
      </c>
      <c r="I3966" s="679">
        <v>16.829999999999998</v>
      </c>
    </row>
    <row r="3967" spans="2:9" ht="30">
      <c r="B3967" s="395">
        <v>89733</v>
      </c>
      <c r="C3967" s="406" t="s">
        <v>8070</v>
      </c>
      <c r="D3967" s="395" t="s">
        <v>23</v>
      </c>
      <c r="E3967" s="407">
        <f t="shared" si="122"/>
        <v>25.67</v>
      </c>
      <c r="F3967">
        <f t="shared" si="123"/>
        <v>89733</v>
      </c>
      <c r="H3967" s="680">
        <v>25.67</v>
      </c>
      <c r="I3967" s="680">
        <v>26.31</v>
      </c>
    </row>
    <row r="3968" spans="2:9" ht="30">
      <c r="B3968" s="396">
        <v>89734</v>
      </c>
      <c r="C3968" s="401" t="s">
        <v>8071</v>
      </c>
      <c r="D3968" s="396" t="s">
        <v>23</v>
      </c>
      <c r="E3968" s="405">
        <f t="shared" si="122"/>
        <v>26.37</v>
      </c>
      <c r="F3968">
        <f t="shared" si="123"/>
        <v>89734</v>
      </c>
      <c r="H3968" s="679">
        <v>26.37</v>
      </c>
      <c r="I3968" s="679">
        <v>27.17</v>
      </c>
    </row>
    <row r="3969" spans="2:9" ht="30">
      <c r="B3969" s="395">
        <v>89735</v>
      </c>
      <c r="C3969" s="406" t="s">
        <v>8072</v>
      </c>
      <c r="D3969" s="395" t="s">
        <v>23</v>
      </c>
      <c r="E3969" s="407">
        <f t="shared" si="122"/>
        <v>28.35</v>
      </c>
      <c r="F3969">
        <f t="shared" si="123"/>
        <v>89735</v>
      </c>
      <c r="H3969" s="680">
        <v>28.35</v>
      </c>
      <c r="I3969" s="680">
        <v>28.99</v>
      </c>
    </row>
    <row r="3970" spans="2:9">
      <c r="B3970" s="396">
        <v>89736</v>
      </c>
      <c r="C3970" s="401" t="s">
        <v>8073</v>
      </c>
      <c r="D3970" s="396" t="s">
        <v>23</v>
      </c>
      <c r="E3970" s="405">
        <f t="shared" si="122"/>
        <v>8.68</v>
      </c>
      <c r="F3970">
        <f t="shared" si="123"/>
        <v>89736</v>
      </c>
      <c r="H3970" s="679">
        <v>8.68</v>
      </c>
      <c r="I3970" s="679">
        <v>9.07</v>
      </c>
    </row>
    <row r="3971" spans="2:9" ht="30">
      <c r="B3971" s="395">
        <v>89737</v>
      </c>
      <c r="C3971" s="406" t="s">
        <v>8074</v>
      </c>
      <c r="D3971" s="395" t="s">
        <v>23</v>
      </c>
      <c r="E3971" s="407">
        <f t="shared" ref="E3971:E4034" si="124">IF($K$2=$H$1,H3971,I3971)</f>
        <v>24.06</v>
      </c>
      <c r="F3971">
        <f t="shared" ref="F3971:F4034" si="125">IF(LEN($B3971)=7,CONCATENATE(MID($B3971,1,6),"00",RIGHT($B3971,1)),IF(LEN($B3971)=8,CONCATENATE(MID($B3971,1,6),"0",RIGHT($B3971,2)),$B3971))</f>
        <v>89737</v>
      </c>
      <c r="H3971" s="680">
        <v>24.06</v>
      </c>
      <c r="I3971" s="680">
        <v>24.82</v>
      </c>
    </row>
    <row r="3972" spans="2:9" ht="30">
      <c r="B3972" s="396">
        <v>89738</v>
      </c>
      <c r="C3972" s="401" t="s">
        <v>1583</v>
      </c>
      <c r="D3972" s="396" t="s">
        <v>23</v>
      </c>
      <c r="E3972" s="405">
        <f t="shared" si="124"/>
        <v>15.99</v>
      </c>
      <c r="F3972">
        <f t="shared" si="125"/>
        <v>89738</v>
      </c>
      <c r="H3972" s="679">
        <v>15.99</v>
      </c>
      <c r="I3972" s="679">
        <v>16.38</v>
      </c>
    </row>
    <row r="3973" spans="2:9" ht="30">
      <c r="B3973" s="395">
        <v>89739</v>
      </c>
      <c r="C3973" s="406" t="s">
        <v>8075</v>
      </c>
      <c r="D3973" s="395" t="s">
        <v>23</v>
      </c>
      <c r="E3973" s="407">
        <f t="shared" si="124"/>
        <v>25.26</v>
      </c>
      <c r="F3973">
        <f t="shared" si="125"/>
        <v>89739</v>
      </c>
      <c r="H3973" s="680">
        <v>25.26</v>
      </c>
      <c r="I3973" s="680">
        <v>26.02</v>
      </c>
    </row>
    <row r="3974" spans="2:9" ht="30">
      <c r="B3974" s="396">
        <v>89740</v>
      </c>
      <c r="C3974" s="401" t="s">
        <v>8076</v>
      </c>
      <c r="D3974" s="396" t="s">
        <v>23</v>
      </c>
      <c r="E3974" s="405">
        <f t="shared" si="124"/>
        <v>8.81</v>
      </c>
      <c r="F3974">
        <f t="shared" si="125"/>
        <v>89740</v>
      </c>
      <c r="H3974" s="679">
        <v>8.81</v>
      </c>
      <c r="I3974" s="679">
        <v>9.1999999999999993</v>
      </c>
    </row>
    <row r="3975" spans="2:9">
      <c r="B3975" s="395">
        <v>89741</v>
      </c>
      <c r="C3975" s="406" t="s">
        <v>8077</v>
      </c>
      <c r="D3975" s="395" t="s">
        <v>23</v>
      </c>
      <c r="E3975" s="407">
        <f t="shared" si="124"/>
        <v>22</v>
      </c>
      <c r="F3975">
        <f t="shared" si="125"/>
        <v>89741</v>
      </c>
      <c r="H3975" s="680">
        <v>22</v>
      </c>
      <c r="I3975" s="680">
        <v>22.39</v>
      </c>
    </row>
    <row r="3976" spans="2:9" ht="30">
      <c r="B3976" s="396">
        <v>89742</v>
      </c>
      <c r="C3976" s="401" t="s">
        <v>8078</v>
      </c>
      <c r="D3976" s="396" t="s">
        <v>23</v>
      </c>
      <c r="E3976" s="405">
        <f t="shared" si="124"/>
        <v>45</v>
      </c>
      <c r="F3976">
        <f t="shared" si="125"/>
        <v>89742</v>
      </c>
      <c r="H3976" s="679">
        <v>45</v>
      </c>
      <c r="I3976" s="679">
        <v>45.76</v>
      </c>
    </row>
    <row r="3977" spans="2:9" ht="30">
      <c r="B3977" s="395">
        <v>89743</v>
      </c>
      <c r="C3977" s="406" t="s">
        <v>8079</v>
      </c>
      <c r="D3977" s="395" t="s">
        <v>23</v>
      </c>
      <c r="E3977" s="407">
        <f t="shared" si="124"/>
        <v>70.25</v>
      </c>
      <c r="F3977">
        <f t="shared" si="125"/>
        <v>89743</v>
      </c>
      <c r="H3977" s="680">
        <v>70.25</v>
      </c>
      <c r="I3977" s="680">
        <v>71.010000000000005</v>
      </c>
    </row>
    <row r="3978" spans="2:9" ht="30">
      <c r="B3978" s="396">
        <v>89744</v>
      </c>
      <c r="C3978" s="401" t="s">
        <v>8080</v>
      </c>
      <c r="D3978" s="396" t="s">
        <v>23</v>
      </c>
      <c r="E3978" s="405">
        <f t="shared" si="124"/>
        <v>29.43</v>
      </c>
      <c r="F3978">
        <f t="shared" si="125"/>
        <v>89744</v>
      </c>
      <c r="H3978" s="679">
        <v>29.43</v>
      </c>
      <c r="I3978" s="679">
        <v>30.31</v>
      </c>
    </row>
    <row r="3979" spans="2:9" ht="30">
      <c r="B3979" s="395">
        <v>89746</v>
      </c>
      <c r="C3979" s="406" t="s">
        <v>8081</v>
      </c>
      <c r="D3979" s="395" t="s">
        <v>23</v>
      </c>
      <c r="E3979" s="407">
        <f t="shared" si="124"/>
        <v>30.46</v>
      </c>
      <c r="F3979">
        <f t="shared" si="125"/>
        <v>89746</v>
      </c>
      <c r="H3979" s="680">
        <v>30.46</v>
      </c>
      <c r="I3979" s="680">
        <v>31.34</v>
      </c>
    </row>
    <row r="3980" spans="2:9" ht="30">
      <c r="B3980" s="396">
        <v>89747</v>
      </c>
      <c r="C3980" s="401" t="s">
        <v>8082</v>
      </c>
      <c r="D3980" s="396" t="s">
        <v>23</v>
      </c>
      <c r="E3980" s="405">
        <f t="shared" si="124"/>
        <v>28.17</v>
      </c>
      <c r="F3980">
        <f t="shared" si="125"/>
        <v>89747</v>
      </c>
      <c r="H3980" s="679">
        <v>28.17</v>
      </c>
      <c r="I3980" s="679">
        <v>28.56</v>
      </c>
    </row>
    <row r="3981" spans="2:9" ht="30">
      <c r="B3981" s="395">
        <v>89748</v>
      </c>
      <c r="C3981" s="406" t="s">
        <v>8083</v>
      </c>
      <c r="D3981" s="395" t="s">
        <v>23</v>
      </c>
      <c r="E3981" s="407">
        <f t="shared" si="124"/>
        <v>47.88</v>
      </c>
      <c r="F3981">
        <f t="shared" si="125"/>
        <v>89748</v>
      </c>
      <c r="H3981" s="680">
        <v>47.88</v>
      </c>
      <c r="I3981" s="680">
        <v>48.76</v>
      </c>
    </row>
    <row r="3982" spans="2:9" ht="30">
      <c r="B3982" s="396">
        <v>89749</v>
      </c>
      <c r="C3982" s="401" t="s">
        <v>8084</v>
      </c>
      <c r="D3982" s="396" t="s">
        <v>23</v>
      </c>
      <c r="E3982" s="405">
        <f t="shared" si="124"/>
        <v>15.93</v>
      </c>
      <c r="F3982">
        <f t="shared" si="125"/>
        <v>89749</v>
      </c>
      <c r="H3982" s="679">
        <v>15.93</v>
      </c>
      <c r="I3982" s="679">
        <v>16.32</v>
      </c>
    </row>
    <row r="3983" spans="2:9" ht="30">
      <c r="B3983" s="395">
        <v>89750</v>
      </c>
      <c r="C3983" s="406" t="s">
        <v>8085</v>
      </c>
      <c r="D3983" s="395" t="s">
        <v>23</v>
      </c>
      <c r="E3983" s="407">
        <f t="shared" si="124"/>
        <v>90.87</v>
      </c>
      <c r="F3983">
        <f t="shared" si="125"/>
        <v>89750</v>
      </c>
      <c r="H3983" s="680">
        <v>90.87</v>
      </c>
      <c r="I3983" s="680">
        <v>91.75</v>
      </c>
    </row>
    <row r="3984" spans="2:9" ht="30">
      <c r="B3984" s="396">
        <v>89752</v>
      </c>
      <c r="C3984" s="401" t="s">
        <v>8086</v>
      </c>
      <c r="D3984" s="396" t="s">
        <v>23</v>
      </c>
      <c r="E3984" s="405">
        <f t="shared" si="124"/>
        <v>7.36</v>
      </c>
      <c r="F3984">
        <f t="shared" si="125"/>
        <v>89752</v>
      </c>
      <c r="H3984" s="679">
        <v>7.36</v>
      </c>
      <c r="I3984" s="679">
        <v>7.75</v>
      </c>
    </row>
    <row r="3985" spans="2:9" ht="30">
      <c r="B3985" s="395">
        <v>89753</v>
      </c>
      <c r="C3985" s="406" t="s">
        <v>8087</v>
      </c>
      <c r="D3985" s="395" t="s">
        <v>23</v>
      </c>
      <c r="E3985" s="407">
        <f t="shared" si="124"/>
        <v>9.2799999999999994</v>
      </c>
      <c r="F3985">
        <f t="shared" si="125"/>
        <v>89753</v>
      </c>
      <c r="H3985" s="680">
        <v>9.2799999999999994</v>
      </c>
      <c r="I3985" s="680">
        <v>9.69</v>
      </c>
    </row>
    <row r="3986" spans="2:9" ht="30">
      <c r="B3986" s="396">
        <v>89754</v>
      </c>
      <c r="C3986" s="401" t="s">
        <v>8088</v>
      </c>
      <c r="D3986" s="396" t="s">
        <v>23</v>
      </c>
      <c r="E3986" s="405">
        <f t="shared" si="124"/>
        <v>23.55</v>
      </c>
      <c r="F3986">
        <f t="shared" si="125"/>
        <v>89754</v>
      </c>
      <c r="H3986" s="679">
        <v>23.55</v>
      </c>
      <c r="I3986" s="679">
        <v>23.96</v>
      </c>
    </row>
    <row r="3987" spans="2:9">
      <c r="B3987" s="395">
        <v>89755</v>
      </c>
      <c r="C3987" s="406" t="s">
        <v>8089</v>
      </c>
      <c r="D3987" s="395" t="s">
        <v>23</v>
      </c>
      <c r="E3987" s="407">
        <f t="shared" si="124"/>
        <v>13.13</v>
      </c>
      <c r="F3987">
        <f t="shared" si="125"/>
        <v>89755</v>
      </c>
      <c r="H3987" s="680">
        <v>13.13</v>
      </c>
      <c r="I3987" s="680">
        <v>13.58</v>
      </c>
    </row>
    <row r="3988" spans="2:9" ht="30">
      <c r="B3988" s="396">
        <v>89756</v>
      </c>
      <c r="C3988" s="401" t="s">
        <v>8090</v>
      </c>
      <c r="D3988" s="396" t="s">
        <v>23</v>
      </c>
      <c r="E3988" s="405">
        <f t="shared" si="124"/>
        <v>22.23</v>
      </c>
      <c r="F3988">
        <f t="shared" si="125"/>
        <v>89756</v>
      </c>
      <c r="H3988" s="679">
        <v>22.23</v>
      </c>
      <c r="I3988" s="679">
        <v>22.68</v>
      </c>
    </row>
    <row r="3989" spans="2:9">
      <c r="B3989" s="395">
        <v>89757</v>
      </c>
      <c r="C3989" s="406" t="s">
        <v>8091</v>
      </c>
      <c r="D3989" s="395" t="s">
        <v>23</v>
      </c>
      <c r="E3989" s="407">
        <f t="shared" si="124"/>
        <v>28.8</v>
      </c>
      <c r="F3989">
        <f t="shared" si="125"/>
        <v>89757</v>
      </c>
      <c r="H3989" s="680">
        <v>28.8</v>
      </c>
      <c r="I3989" s="680">
        <v>29.25</v>
      </c>
    </row>
    <row r="3990" spans="2:9" ht="30">
      <c r="B3990" s="396">
        <v>89758</v>
      </c>
      <c r="C3990" s="401" t="s">
        <v>8092</v>
      </c>
      <c r="D3990" s="396" t="s">
        <v>23</v>
      </c>
      <c r="E3990" s="405">
        <f t="shared" si="124"/>
        <v>35.22</v>
      </c>
      <c r="F3990">
        <f t="shared" si="125"/>
        <v>89758</v>
      </c>
      <c r="H3990" s="679">
        <v>35.22</v>
      </c>
      <c r="I3990" s="679">
        <v>35.65</v>
      </c>
    </row>
    <row r="3991" spans="2:9" ht="30">
      <c r="B3991" s="395">
        <v>89759</v>
      </c>
      <c r="C3991" s="406" t="s">
        <v>8093</v>
      </c>
      <c r="D3991" s="395" t="s">
        <v>23</v>
      </c>
      <c r="E3991" s="407">
        <f t="shared" si="124"/>
        <v>11.1</v>
      </c>
      <c r="F3991">
        <f t="shared" si="125"/>
        <v>89759</v>
      </c>
      <c r="H3991" s="680">
        <v>11.1</v>
      </c>
      <c r="I3991" s="680">
        <v>11.52</v>
      </c>
    </row>
    <row r="3992" spans="2:9">
      <c r="B3992" s="396">
        <v>89760</v>
      </c>
      <c r="C3992" s="401" t="s">
        <v>8094</v>
      </c>
      <c r="D3992" s="396" t="s">
        <v>23</v>
      </c>
      <c r="E3992" s="405">
        <f t="shared" si="124"/>
        <v>21.12</v>
      </c>
      <c r="F3992">
        <f t="shared" si="125"/>
        <v>89760</v>
      </c>
      <c r="H3992" s="679">
        <v>21.12</v>
      </c>
      <c r="I3992" s="679">
        <v>21.64</v>
      </c>
    </row>
    <row r="3993" spans="2:9" ht="30">
      <c r="B3993" s="395">
        <v>89761</v>
      </c>
      <c r="C3993" s="406" t="s">
        <v>8095</v>
      </c>
      <c r="D3993" s="395" t="s">
        <v>23</v>
      </c>
      <c r="E3993" s="407">
        <f t="shared" si="124"/>
        <v>29.7</v>
      </c>
      <c r="F3993">
        <f t="shared" si="125"/>
        <v>89761</v>
      </c>
      <c r="H3993" s="680">
        <v>29.7</v>
      </c>
      <c r="I3993" s="680">
        <v>30.22</v>
      </c>
    </row>
    <row r="3994" spans="2:9">
      <c r="B3994" s="396">
        <v>89762</v>
      </c>
      <c r="C3994" s="401" t="s">
        <v>8096</v>
      </c>
      <c r="D3994" s="396" t="s">
        <v>23</v>
      </c>
      <c r="E3994" s="405">
        <f t="shared" si="124"/>
        <v>41.99</v>
      </c>
      <c r="F3994">
        <f t="shared" si="125"/>
        <v>89762</v>
      </c>
      <c r="H3994" s="679">
        <v>41.99</v>
      </c>
      <c r="I3994" s="679">
        <v>42.51</v>
      </c>
    </row>
    <row r="3995" spans="2:9" ht="30">
      <c r="B3995" s="395">
        <v>89763</v>
      </c>
      <c r="C3995" s="406" t="s">
        <v>8097</v>
      </c>
      <c r="D3995" s="395" t="s">
        <v>23</v>
      </c>
      <c r="E3995" s="407">
        <f t="shared" si="124"/>
        <v>53.36</v>
      </c>
      <c r="F3995">
        <f t="shared" si="125"/>
        <v>89763</v>
      </c>
      <c r="H3995" s="680">
        <v>53.36</v>
      </c>
      <c r="I3995" s="680">
        <v>53.88</v>
      </c>
    </row>
    <row r="3996" spans="2:9" ht="30">
      <c r="B3996" s="396">
        <v>89764</v>
      </c>
      <c r="C3996" s="401" t="s">
        <v>8098</v>
      </c>
      <c r="D3996" s="396" t="s">
        <v>23</v>
      </c>
      <c r="E3996" s="405">
        <f t="shared" si="124"/>
        <v>35.479999999999997</v>
      </c>
      <c r="F3996">
        <f t="shared" si="125"/>
        <v>89764</v>
      </c>
      <c r="H3996" s="679">
        <v>35.479999999999997</v>
      </c>
      <c r="I3996" s="679">
        <v>35.97</v>
      </c>
    </row>
    <row r="3997" spans="2:9">
      <c r="B3997" s="395">
        <v>89765</v>
      </c>
      <c r="C3997" s="406" t="s">
        <v>8099</v>
      </c>
      <c r="D3997" s="395" t="s">
        <v>23</v>
      </c>
      <c r="E3997" s="407">
        <f t="shared" si="124"/>
        <v>15.89</v>
      </c>
      <c r="F3997">
        <f t="shared" si="125"/>
        <v>89765</v>
      </c>
      <c r="H3997" s="680">
        <v>15.89</v>
      </c>
      <c r="I3997" s="680">
        <v>16.66</v>
      </c>
    </row>
    <row r="3998" spans="2:9" ht="30">
      <c r="B3998" s="396">
        <v>89767</v>
      </c>
      <c r="C3998" s="401" t="s">
        <v>8100</v>
      </c>
      <c r="D3998" s="396" t="s">
        <v>23</v>
      </c>
      <c r="E3998" s="405">
        <f t="shared" si="124"/>
        <v>19.96</v>
      </c>
      <c r="F3998">
        <f t="shared" si="125"/>
        <v>89767</v>
      </c>
      <c r="H3998" s="679">
        <v>19.96</v>
      </c>
      <c r="I3998" s="679">
        <v>20.73</v>
      </c>
    </row>
    <row r="3999" spans="2:9">
      <c r="B3999" s="395">
        <v>89768</v>
      </c>
      <c r="C3999" s="406" t="s">
        <v>8101</v>
      </c>
      <c r="D3999" s="395" t="s">
        <v>23</v>
      </c>
      <c r="E3999" s="407">
        <f t="shared" si="124"/>
        <v>23.32</v>
      </c>
      <c r="F3999">
        <f t="shared" si="125"/>
        <v>89768</v>
      </c>
      <c r="H3999" s="680">
        <v>23.32</v>
      </c>
      <c r="I3999" s="680">
        <v>24.23</v>
      </c>
    </row>
    <row r="4000" spans="2:9">
      <c r="B4000" s="396">
        <v>89769</v>
      </c>
      <c r="C4000" s="401" t="s">
        <v>8102</v>
      </c>
      <c r="D4000" s="396" t="s">
        <v>23</v>
      </c>
      <c r="E4000" s="405">
        <f t="shared" si="124"/>
        <v>52.56</v>
      </c>
      <c r="F4000">
        <f t="shared" si="125"/>
        <v>89769</v>
      </c>
      <c r="H4000" s="679">
        <v>52.56</v>
      </c>
      <c r="I4000" s="679">
        <v>53.63</v>
      </c>
    </row>
    <row r="4001" spans="2:9">
      <c r="B4001" s="395">
        <v>89772</v>
      </c>
      <c r="C4001" s="406" t="s">
        <v>8103</v>
      </c>
      <c r="D4001" s="395" t="s">
        <v>22</v>
      </c>
      <c r="E4001" s="407">
        <f t="shared" si="124"/>
        <v>84.92</v>
      </c>
      <c r="F4001">
        <f t="shared" si="125"/>
        <v>89772</v>
      </c>
      <c r="H4001" s="680">
        <v>84.92</v>
      </c>
      <c r="I4001" s="680">
        <v>85.08</v>
      </c>
    </row>
    <row r="4002" spans="2:9" ht="30">
      <c r="B4002" s="396">
        <v>89774</v>
      </c>
      <c r="C4002" s="401" t="s">
        <v>8104</v>
      </c>
      <c r="D4002" s="396" t="s">
        <v>23</v>
      </c>
      <c r="E4002" s="405">
        <f t="shared" si="124"/>
        <v>16.22</v>
      </c>
      <c r="F4002">
        <f t="shared" si="125"/>
        <v>89774</v>
      </c>
      <c r="H4002" s="679">
        <v>16.22</v>
      </c>
      <c r="I4002" s="679">
        <v>16.739999999999998</v>
      </c>
    </row>
    <row r="4003" spans="2:9" ht="30">
      <c r="B4003" s="395">
        <v>89776</v>
      </c>
      <c r="C4003" s="406" t="s">
        <v>8105</v>
      </c>
      <c r="D4003" s="395" t="s">
        <v>23</v>
      </c>
      <c r="E4003" s="407">
        <f t="shared" si="124"/>
        <v>28.69</v>
      </c>
      <c r="F4003">
        <f t="shared" si="125"/>
        <v>89776</v>
      </c>
      <c r="H4003" s="680">
        <v>28.69</v>
      </c>
      <c r="I4003" s="680">
        <v>29.21</v>
      </c>
    </row>
    <row r="4004" spans="2:9">
      <c r="B4004" s="396">
        <v>89777</v>
      </c>
      <c r="C4004" s="401" t="s">
        <v>8106</v>
      </c>
      <c r="D4004" s="396" t="s">
        <v>23</v>
      </c>
      <c r="E4004" s="405">
        <f t="shared" si="124"/>
        <v>24.76</v>
      </c>
      <c r="F4004">
        <f t="shared" si="125"/>
        <v>89777</v>
      </c>
      <c r="H4004" s="679">
        <v>24.76</v>
      </c>
      <c r="I4004" s="679">
        <v>25.18</v>
      </c>
    </row>
    <row r="4005" spans="2:9" ht="30">
      <c r="B4005" s="395">
        <v>89778</v>
      </c>
      <c r="C4005" s="406" t="s">
        <v>8107</v>
      </c>
      <c r="D4005" s="395" t="s">
        <v>23</v>
      </c>
      <c r="E4005" s="407">
        <f t="shared" si="124"/>
        <v>18.45</v>
      </c>
      <c r="F4005">
        <f t="shared" si="125"/>
        <v>89778</v>
      </c>
      <c r="H4005" s="680">
        <v>18.45</v>
      </c>
      <c r="I4005" s="680">
        <v>19.04</v>
      </c>
    </row>
    <row r="4006" spans="2:9" ht="30">
      <c r="B4006" s="396">
        <v>89779</v>
      </c>
      <c r="C4006" s="401" t="s">
        <v>8108</v>
      </c>
      <c r="D4006" s="396" t="s">
        <v>23</v>
      </c>
      <c r="E4006" s="405">
        <f t="shared" si="124"/>
        <v>39.36</v>
      </c>
      <c r="F4006">
        <f t="shared" si="125"/>
        <v>89779</v>
      </c>
      <c r="H4006" s="679">
        <v>39.36</v>
      </c>
      <c r="I4006" s="679">
        <v>39.950000000000003</v>
      </c>
    </row>
    <row r="4007" spans="2:9">
      <c r="B4007" s="395">
        <v>89780</v>
      </c>
      <c r="C4007" s="406" t="s">
        <v>8109</v>
      </c>
      <c r="D4007" s="395" t="s">
        <v>23</v>
      </c>
      <c r="E4007" s="407">
        <f t="shared" si="124"/>
        <v>23.2</v>
      </c>
      <c r="F4007">
        <f t="shared" si="125"/>
        <v>89780</v>
      </c>
      <c r="H4007" s="680">
        <v>23.2</v>
      </c>
      <c r="I4007" s="680">
        <v>23.62</v>
      </c>
    </row>
    <row r="4008" spans="2:9">
      <c r="B4008" s="396">
        <v>89781</v>
      </c>
      <c r="C4008" s="401" t="s">
        <v>8110</v>
      </c>
      <c r="D4008" s="396" t="s">
        <v>23</v>
      </c>
      <c r="E4008" s="405">
        <f t="shared" si="124"/>
        <v>35.01</v>
      </c>
      <c r="F4008">
        <f t="shared" si="125"/>
        <v>89781</v>
      </c>
      <c r="H4008" s="679">
        <v>35.01</v>
      </c>
      <c r="I4008" s="679">
        <v>35.520000000000003</v>
      </c>
    </row>
    <row r="4009" spans="2:9" ht="30">
      <c r="B4009" s="395">
        <v>89782</v>
      </c>
      <c r="C4009" s="406" t="s">
        <v>8111</v>
      </c>
      <c r="D4009" s="395" t="s">
        <v>23</v>
      </c>
      <c r="E4009" s="407">
        <f t="shared" si="124"/>
        <v>14.28</v>
      </c>
      <c r="F4009">
        <f t="shared" si="125"/>
        <v>89782</v>
      </c>
      <c r="H4009" s="680">
        <v>14.28</v>
      </c>
      <c r="I4009" s="680">
        <v>15.06</v>
      </c>
    </row>
    <row r="4010" spans="2:9" ht="30">
      <c r="B4010" s="396">
        <v>89783</v>
      </c>
      <c r="C4010" s="401" t="s">
        <v>8112</v>
      </c>
      <c r="D4010" s="396" t="s">
        <v>23</v>
      </c>
      <c r="E4010" s="405">
        <f t="shared" si="124"/>
        <v>14.41</v>
      </c>
      <c r="F4010">
        <f t="shared" si="125"/>
        <v>89783</v>
      </c>
      <c r="H4010" s="679">
        <v>14.41</v>
      </c>
      <c r="I4010" s="679">
        <v>15.19</v>
      </c>
    </row>
    <row r="4011" spans="2:9" ht="30">
      <c r="B4011" s="395">
        <v>89784</v>
      </c>
      <c r="C4011" s="406" t="s">
        <v>8113</v>
      </c>
      <c r="D4011" s="395" t="s">
        <v>23</v>
      </c>
      <c r="E4011" s="407">
        <f t="shared" si="124"/>
        <v>25.63</v>
      </c>
      <c r="F4011">
        <f t="shared" si="125"/>
        <v>89784</v>
      </c>
      <c r="H4011" s="680">
        <v>25.63</v>
      </c>
      <c r="I4011" s="680">
        <v>26.47</v>
      </c>
    </row>
    <row r="4012" spans="2:9" ht="30">
      <c r="B4012" s="396">
        <v>89785</v>
      </c>
      <c r="C4012" s="401" t="s">
        <v>8114</v>
      </c>
      <c r="D4012" s="396" t="s">
        <v>23</v>
      </c>
      <c r="E4012" s="405">
        <f t="shared" si="124"/>
        <v>28.51</v>
      </c>
      <c r="F4012">
        <f t="shared" si="125"/>
        <v>89785</v>
      </c>
      <c r="H4012" s="679">
        <v>28.51</v>
      </c>
      <c r="I4012" s="679">
        <v>29.35</v>
      </c>
    </row>
    <row r="4013" spans="2:9" ht="30">
      <c r="B4013" s="395">
        <v>89786</v>
      </c>
      <c r="C4013" s="406" t="s">
        <v>8115</v>
      </c>
      <c r="D4013" s="395" t="s">
        <v>23</v>
      </c>
      <c r="E4013" s="407">
        <f t="shared" si="124"/>
        <v>42.6</v>
      </c>
      <c r="F4013">
        <f t="shared" si="125"/>
        <v>89786</v>
      </c>
      <c r="H4013" s="680">
        <v>42.6</v>
      </c>
      <c r="I4013" s="680">
        <v>43.62</v>
      </c>
    </row>
    <row r="4014" spans="2:9">
      <c r="B4014" s="396">
        <v>89787</v>
      </c>
      <c r="C4014" s="401" t="s">
        <v>8116</v>
      </c>
      <c r="D4014" s="396" t="s">
        <v>23</v>
      </c>
      <c r="E4014" s="405">
        <f t="shared" si="124"/>
        <v>34.630000000000003</v>
      </c>
      <c r="F4014">
        <f t="shared" si="125"/>
        <v>89787</v>
      </c>
      <c r="H4014" s="679">
        <v>34.630000000000003</v>
      </c>
      <c r="I4014" s="679">
        <v>35.14</v>
      </c>
    </row>
    <row r="4015" spans="2:9">
      <c r="B4015" s="395">
        <v>89788</v>
      </c>
      <c r="C4015" s="406" t="s">
        <v>8117</v>
      </c>
      <c r="D4015" s="395" t="s">
        <v>23</v>
      </c>
      <c r="E4015" s="407">
        <f t="shared" si="124"/>
        <v>75.7</v>
      </c>
      <c r="F4015">
        <f t="shared" si="125"/>
        <v>89788</v>
      </c>
      <c r="H4015" s="680">
        <v>75.7</v>
      </c>
      <c r="I4015" s="680">
        <v>76.33</v>
      </c>
    </row>
    <row r="4016" spans="2:9">
      <c r="B4016" s="396">
        <v>89789</v>
      </c>
      <c r="C4016" s="401" t="s">
        <v>8118</v>
      </c>
      <c r="D4016" s="396" t="s">
        <v>23</v>
      </c>
      <c r="E4016" s="405">
        <f t="shared" si="124"/>
        <v>64.319999999999993</v>
      </c>
      <c r="F4016">
        <f t="shared" si="125"/>
        <v>89789</v>
      </c>
      <c r="H4016" s="679">
        <v>64.319999999999993</v>
      </c>
      <c r="I4016" s="679">
        <v>64.95</v>
      </c>
    </row>
    <row r="4017" spans="2:9">
      <c r="B4017" s="395">
        <v>89790</v>
      </c>
      <c r="C4017" s="406" t="s">
        <v>8119</v>
      </c>
      <c r="D4017" s="395" t="s">
        <v>23</v>
      </c>
      <c r="E4017" s="407">
        <f t="shared" si="124"/>
        <v>150.82</v>
      </c>
      <c r="F4017">
        <f t="shared" si="125"/>
        <v>89790</v>
      </c>
      <c r="H4017" s="680">
        <v>150.82</v>
      </c>
      <c r="I4017" s="680">
        <v>151.66</v>
      </c>
    </row>
    <row r="4018" spans="2:9">
      <c r="B4018" s="396">
        <v>89791</v>
      </c>
      <c r="C4018" s="401" t="s">
        <v>8120</v>
      </c>
      <c r="D4018" s="396" t="s">
        <v>23</v>
      </c>
      <c r="E4018" s="405">
        <f t="shared" si="124"/>
        <v>145.66999999999999</v>
      </c>
      <c r="F4018">
        <f t="shared" si="125"/>
        <v>89791</v>
      </c>
      <c r="H4018" s="679">
        <v>145.66999999999999</v>
      </c>
      <c r="I4018" s="679">
        <v>146.51</v>
      </c>
    </row>
    <row r="4019" spans="2:9">
      <c r="B4019" s="395">
        <v>89792</v>
      </c>
      <c r="C4019" s="406" t="s">
        <v>8121</v>
      </c>
      <c r="D4019" s="395" t="s">
        <v>23</v>
      </c>
      <c r="E4019" s="407">
        <f t="shared" si="124"/>
        <v>179.04</v>
      </c>
      <c r="F4019">
        <f t="shared" si="125"/>
        <v>89792</v>
      </c>
      <c r="H4019" s="680">
        <v>179.04</v>
      </c>
      <c r="I4019" s="680">
        <v>180.04</v>
      </c>
    </row>
    <row r="4020" spans="2:9">
      <c r="B4020" s="396">
        <v>89793</v>
      </c>
      <c r="C4020" s="401" t="s">
        <v>8122</v>
      </c>
      <c r="D4020" s="396" t="s">
        <v>23</v>
      </c>
      <c r="E4020" s="405">
        <f t="shared" si="124"/>
        <v>211.08</v>
      </c>
      <c r="F4020">
        <f t="shared" si="125"/>
        <v>89793</v>
      </c>
      <c r="H4020" s="679">
        <v>211.08</v>
      </c>
      <c r="I4020" s="679">
        <v>212.08</v>
      </c>
    </row>
    <row r="4021" spans="2:9">
      <c r="B4021" s="395">
        <v>89794</v>
      </c>
      <c r="C4021" s="406" t="s">
        <v>8123</v>
      </c>
      <c r="D4021" s="395" t="s">
        <v>23</v>
      </c>
      <c r="E4021" s="407">
        <f t="shared" si="124"/>
        <v>19.02</v>
      </c>
      <c r="F4021">
        <f t="shared" si="125"/>
        <v>89794</v>
      </c>
      <c r="H4021" s="680">
        <v>19.02</v>
      </c>
      <c r="I4021" s="680">
        <v>19.309999999999999</v>
      </c>
    </row>
    <row r="4022" spans="2:9" ht="30">
      <c r="B4022" s="396">
        <v>89795</v>
      </c>
      <c r="C4022" s="401" t="s">
        <v>8124</v>
      </c>
      <c r="D4022" s="396" t="s">
        <v>23</v>
      </c>
      <c r="E4022" s="405">
        <f t="shared" si="124"/>
        <v>45.15</v>
      </c>
      <c r="F4022">
        <f t="shared" si="125"/>
        <v>89795</v>
      </c>
      <c r="H4022" s="679">
        <v>45.15</v>
      </c>
      <c r="I4022" s="679">
        <v>46.17</v>
      </c>
    </row>
    <row r="4023" spans="2:9" ht="30">
      <c r="B4023" s="395">
        <v>89796</v>
      </c>
      <c r="C4023" s="406" t="s">
        <v>8125</v>
      </c>
      <c r="D4023" s="395" t="s">
        <v>23</v>
      </c>
      <c r="E4023" s="407">
        <f t="shared" si="124"/>
        <v>47.22</v>
      </c>
      <c r="F4023">
        <f t="shared" si="125"/>
        <v>89796</v>
      </c>
      <c r="H4023" s="680">
        <v>47.22</v>
      </c>
      <c r="I4023" s="680">
        <v>48.4</v>
      </c>
    </row>
    <row r="4024" spans="2:9" ht="30">
      <c r="B4024" s="396">
        <v>89797</v>
      </c>
      <c r="C4024" s="401" t="s">
        <v>8126</v>
      </c>
      <c r="D4024" s="396" t="s">
        <v>23</v>
      </c>
      <c r="E4024" s="405">
        <f t="shared" si="124"/>
        <v>57.09</v>
      </c>
      <c r="F4024">
        <f t="shared" si="125"/>
        <v>89797</v>
      </c>
      <c r="H4024" s="679">
        <v>57.09</v>
      </c>
      <c r="I4024" s="679">
        <v>58.27</v>
      </c>
    </row>
    <row r="4025" spans="2:9" ht="30">
      <c r="B4025" s="395">
        <v>89801</v>
      </c>
      <c r="C4025" s="406" t="s">
        <v>8127</v>
      </c>
      <c r="D4025" s="395" t="s">
        <v>23</v>
      </c>
      <c r="E4025" s="407">
        <f t="shared" si="124"/>
        <v>11.2</v>
      </c>
      <c r="F4025">
        <f t="shared" si="125"/>
        <v>89801</v>
      </c>
      <c r="H4025" s="680">
        <v>11.2</v>
      </c>
      <c r="I4025" s="680">
        <v>11.36</v>
      </c>
    </row>
    <row r="4026" spans="2:9" ht="30">
      <c r="B4026" s="396">
        <v>89802</v>
      </c>
      <c r="C4026" s="401" t="s">
        <v>8128</v>
      </c>
      <c r="D4026" s="396" t="s">
        <v>23</v>
      </c>
      <c r="E4026" s="405">
        <f t="shared" si="124"/>
        <v>12.1</v>
      </c>
      <c r="F4026">
        <f t="shared" si="125"/>
        <v>89802</v>
      </c>
      <c r="H4026" s="679">
        <v>12.1</v>
      </c>
      <c r="I4026" s="679">
        <v>12.26</v>
      </c>
    </row>
    <row r="4027" spans="2:9" ht="30">
      <c r="B4027" s="395">
        <v>89803</v>
      </c>
      <c r="C4027" s="406" t="s">
        <v>8129</v>
      </c>
      <c r="D4027" s="395" t="s">
        <v>23</v>
      </c>
      <c r="E4027" s="407">
        <f t="shared" si="124"/>
        <v>21.58</v>
      </c>
      <c r="F4027">
        <f t="shared" si="125"/>
        <v>89803</v>
      </c>
      <c r="H4027" s="680">
        <v>21.58</v>
      </c>
      <c r="I4027" s="680">
        <v>21.74</v>
      </c>
    </row>
    <row r="4028" spans="2:9" ht="30">
      <c r="B4028" s="396">
        <v>89804</v>
      </c>
      <c r="C4028" s="401" t="s">
        <v>8130</v>
      </c>
      <c r="D4028" s="396" t="s">
        <v>23</v>
      </c>
      <c r="E4028" s="405">
        <f t="shared" si="124"/>
        <v>24.26</v>
      </c>
      <c r="F4028">
        <f t="shared" si="125"/>
        <v>89804</v>
      </c>
      <c r="H4028" s="679">
        <v>24.26</v>
      </c>
      <c r="I4028" s="679">
        <v>24.42</v>
      </c>
    </row>
    <row r="4029" spans="2:9" ht="30">
      <c r="B4029" s="395">
        <v>89805</v>
      </c>
      <c r="C4029" s="406" t="s">
        <v>8131</v>
      </c>
      <c r="D4029" s="395" t="s">
        <v>23</v>
      </c>
      <c r="E4029" s="407">
        <f t="shared" si="124"/>
        <v>22.5</v>
      </c>
      <c r="F4029">
        <f t="shared" si="125"/>
        <v>89805</v>
      </c>
      <c r="H4029" s="680">
        <v>22.5</v>
      </c>
      <c r="I4029" s="680">
        <v>23.08</v>
      </c>
    </row>
    <row r="4030" spans="2:9" ht="30">
      <c r="B4030" s="396">
        <v>89806</v>
      </c>
      <c r="C4030" s="401" t="s">
        <v>8132</v>
      </c>
      <c r="D4030" s="396" t="s">
        <v>23</v>
      </c>
      <c r="E4030" s="405">
        <f t="shared" si="124"/>
        <v>23.7</v>
      </c>
      <c r="F4030">
        <f t="shared" si="125"/>
        <v>89806</v>
      </c>
      <c r="H4030" s="679">
        <v>23.7</v>
      </c>
      <c r="I4030" s="679">
        <v>24.28</v>
      </c>
    </row>
    <row r="4031" spans="2:9" ht="30">
      <c r="B4031" s="395">
        <v>89807</v>
      </c>
      <c r="C4031" s="406" t="s">
        <v>8133</v>
      </c>
      <c r="D4031" s="395" t="s">
        <v>23</v>
      </c>
      <c r="E4031" s="407">
        <f t="shared" si="124"/>
        <v>43.44</v>
      </c>
      <c r="F4031">
        <f t="shared" si="125"/>
        <v>89807</v>
      </c>
      <c r="H4031" s="680">
        <v>43.44</v>
      </c>
      <c r="I4031" s="680">
        <v>44.02</v>
      </c>
    </row>
    <row r="4032" spans="2:9" ht="30">
      <c r="B4032" s="396">
        <v>89808</v>
      </c>
      <c r="C4032" s="401" t="s">
        <v>8134</v>
      </c>
      <c r="D4032" s="396" t="s">
        <v>23</v>
      </c>
      <c r="E4032" s="405">
        <f t="shared" si="124"/>
        <v>68.69</v>
      </c>
      <c r="F4032">
        <f t="shared" si="125"/>
        <v>89808</v>
      </c>
      <c r="H4032" s="679">
        <v>68.69</v>
      </c>
      <c r="I4032" s="679">
        <v>69.27</v>
      </c>
    </row>
    <row r="4033" spans="2:9" ht="30">
      <c r="B4033" s="395">
        <v>89809</v>
      </c>
      <c r="C4033" s="406" t="s">
        <v>8135</v>
      </c>
      <c r="D4033" s="395" t="s">
        <v>23</v>
      </c>
      <c r="E4033" s="407">
        <f t="shared" si="124"/>
        <v>30.4</v>
      </c>
      <c r="F4033">
        <f t="shared" si="125"/>
        <v>89809</v>
      </c>
      <c r="H4033" s="680">
        <v>30.4</v>
      </c>
      <c r="I4033" s="680">
        <v>31.4</v>
      </c>
    </row>
    <row r="4034" spans="2:9" ht="30">
      <c r="B4034" s="396">
        <v>89810</v>
      </c>
      <c r="C4034" s="401" t="s">
        <v>8136</v>
      </c>
      <c r="D4034" s="396" t="s">
        <v>23</v>
      </c>
      <c r="E4034" s="405">
        <f t="shared" si="124"/>
        <v>31.43</v>
      </c>
      <c r="F4034">
        <f t="shared" si="125"/>
        <v>89810</v>
      </c>
      <c r="H4034" s="679">
        <v>31.43</v>
      </c>
      <c r="I4034" s="679">
        <v>32.43</v>
      </c>
    </row>
    <row r="4035" spans="2:9" ht="30">
      <c r="B4035" s="395">
        <v>89811</v>
      </c>
      <c r="C4035" s="406" t="s">
        <v>8137</v>
      </c>
      <c r="D4035" s="395" t="s">
        <v>23</v>
      </c>
      <c r="E4035" s="407">
        <f t="shared" ref="E4035:E4098" si="126">IF($K$2=$H$1,H4035,I4035)</f>
        <v>48.85</v>
      </c>
      <c r="F4035">
        <f t="shared" ref="F4035:F4098" si="127">IF(LEN($B4035)=7,CONCATENATE(MID($B4035,1,6),"00",RIGHT($B4035,1)),IF(LEN($B4035)=8,CONCATENATE(MID($B4035,1,6),"0",RIGHT($B4035,2)),$B4035))</f>
        <v>89811</v>
      </c>
      <c r="H4035" s="680">
        <v>48.85</v>
      </c>
      <c r="I4035" s="680">
        <v>49.85</v>
      </c>
    </row>
    <row r="4036" spans="2:9" ht="30">
      <c r="B4036" s="396">
        <v>89812</v>
      </c>
      <c r="C4036" s="401" t="s">
        <v>8138</v>
      </c>
      <c r="D4036" s="396" t="s">
        <v>23</v>
      </c>
      <c r="E4036" s="405">
        <f t="shared" si="126"/>
        <v>91.84</v>
      </c>
      <c r="F4036">
        <f t="shared" si="127"/>
        <v>89812</v>
      </c>
      <c r="H4036" s="679">
        <v>91.84</v>
      </c>
      <c r="I4036" s="679">
        <v>92.84</v>
      </c>
    </row>
    <row r="4037" spans="2:9" ht="30">
      <c r="B4037" s="395">
        <v>89813</v>
      </c>
      <c r="C4037" s="406" t="s">
        <v>8139</v>
      </c>
      <c r="D4037" s="395" t="s">
        <v>23</v>
      </c>
      <c r="E4037" s="407">
        <f t="shared" si="126"/>
        <v>6.46</v>
      </c>
      <c r="F4037">
        <f t="shared" si="127"/>
        <v>89813</v>
      </c>
      <c r="H4037" s="680">
        <v>6.46</v>
      </c>
      <c r="I4037" s="680">
        <v>6.57</v>
      </c>
    </row>
    <row r="4038" spans="2:9" ht="30">
      <c r="B4038" s="396">
        <v>89814</v>
      </c>
      <c r="C4038" s="401" t="s">
        <v>8140</v>
      </c>
      <c r="D4038" s="396" t="s">
        <v>23</v>
      </c>
      <c r="E4038" s="405">
        <f t="shared" si="126"/>
        <v>20.81</v>
      </c>
      <c r="F4038">
        <f t="shared" si="127"/>
        <v>89814</v>
      </c>
      <c r="H4038" s="679">
        <v>20.81</v>
      </c>
      <c r="I4038" s="679">
        <v>20.92</v>
      </c>
    </row>
    <row r="4039" spans="2:9">
      <c r="B4039" s="395">
        <v>89815</v>
      </c>
      <c r="C4039" s="406" t="s">
        <v>8141</v>
      </c>
      <c r="D4039" s="395" t="s">
        <v>23</v>
      </c>
      <c r="E4039" s="407">
        <f t="shared" si="126"/>
        <v>27.6</v>
      </c>
      <c r="F4039">
        <f t="shared" si="127"/>
        <v>89815</v>
      </c>
      <c r="H4039" s="680">
        <v>27.6</v>
      </c>
      <c r="I4039" s="680">
        <v>27.89</v>
      </c>
    </row>
    <row r="4040" spans="2:9">
      <c r="B4040" s="396">
        <v>89816</v>
      </c>
      <c r="C4040" s="401" t="s">
        <v>8142</v>
      </c>
      <c r="D4040" s="396" t="s">
        <v>23</v>
      </c>
      <c r="E4040" s="405">
        <f t="shared" si="126"/>
        <v>39.89</v>
      </c>
      <c r="F4040">
        <f t="shared" si="127"/>
        <v>89816</v>
      </c>
      <c r="H4040" s="679">
        <v>39.89</v>
      </c>
      <c r="I4040" s="679">
        <v>40.18</v>
      </c>
    </row>
    <row r="4041" spans="2:9" ht="30">
      <c r="B4041" s="395">
        <v>89817</v>
      </c>
      <c r="C4041" s="406" t="s">
        <v>8143</v>
      </c>
      <c r="D4041" s="395" t="s">
        <v>23</v>
      </c>
      <c r="E4041" s="407">
        <f t="shared" si="126"/>
        <v>15.14</v>
      </c>
      <c r="F4041">
        <f t="shared" si="127"/>
        <v>89817</v>
      </c>
      <c r="H4041" s="680">
        <v>15.14</v>
      </c>
      <c r="I4041" s="680">
        <v>15.53</v>
      </c>
    </row>
    <row r="4042" spans="2:9">
      <c r="B4042" s="396">
        <v>89818</v>
      </c>
      <c r="C4042" s="401" t="s">
        <v>8144</v>
      </c>
      <c r="D4042" s="396" t="s">
        <v>23</v>
      </c>
      <c r="E4042" s="405">
        <f t="shared" si="126"/>
        <v>51.31</v>
      </c>
      <c r="F4042">
        <f t="shared" si="127"/>
        <v>89818</v>
      </c>
      <c r="H4042" s="679">
        <v>51.31</v>
      </c>
      <c r="I4042" s="679">
        <v>51.59</v>
      </c>
    </row>
    <row r="4043" spans="2:9" ht="30">
      <c r="B4043" s="395">
        <v>89819</v>
      </c>
      <c r="C4043" s="406" t="s">
        <v>8145</v>
      </c>
      <c r="D4043" s="395" t="s">
        <v>23</v>
      </c>
      <c r="E4043" s="407">
        <f t="shared" si="126"/>
        <v>27.65</v>
      </c>
      <c r="F4043">
        <f t="shared" si="127"/>
        <v>89819</v>
      </c>
      <c r="H4043" s="680">
        <v>27.65</v>
      </c>
      <c r="I4043" s="680">
        <v>28.04</v>
      </c>
    </row>
    <row r="4044" spans="2:9" ht="30">
      <c r="B4044" s="396">
        <v>89821</v>
      </c>
      <c r="C4044" s="401" t="s">
        <v>8146</v>
      </c>
      <c r="D4044" s="396" t="s">
        <v>23</v>
      </c>
      <c r="E4044" s="405">
        <f t="shared" si="126"/>
        <v>19.09</v>
      </c>
      <c r="F4044">
        <f t="shared" si="127"/>
        <v>89821</v>
      </c>
      <c r="H4044" s="679">
        <v>19.09</v>
      </c>
      <c r="I4044" s="679">
        <v>19.760000000000002</v>
      </c>
    </row>
    <row r="4045" spans="2:9">
      <c r="B4045" s="395">
        <v>89822</v>
      </c>
      <c r="C4045" s="406" t="s">
        <v>8147</v>
      </c>
      <c r="D4045" s="395" t="s">
        <v>23</v>
      </c>
      <c r="E4045" s="407">
        <f t="shared" si="126"/>
        <v>24.83</v>
      </c>
      <c r="F4045">
        <f t="shared" si="127"/>
        <v>89822</v>
      </c>
      <c r="H4045" s="680">
        <v>24.83</v>
      </c>
      <c r="I4045" s="680">
        <v>25.16</v>
      </c>
    </row>
    <row r="4046" spans="2:9" ht="30">
      <c r="B4046" s="396">
        <v>89823</v>
      </c>
      <c r="C4046" s="401" t="s">
        <v>8148</v>
      </c>
      <c r="D4046" s="396" t="s">
        <v>23</v>
      </c>
      <c r="E4046" s="405">
        <f t="shared" si="126"/>
        <v>40</v>
      </c>
      <c r="F4046">
        <f t="shared" si="127"/>
        <v>89823</v>
      </c>
      <c r="H4046" s="679">
        <v>40</v>
      </c>
      <c r="I4046" s="679">
        <v>40.67</v>
      </c>
    </row>
    <row r="4047" spans="2:9">
      <c r="B4047" s="395">
        <v>89824</v>
      </c>
      <c r="C4047" s="406" t="s">
        <v>8149</v>
      </c>
      <c r="D4047" s="395" t="s">
        <v>23</v>
      </c>
      <c r="E4047" s="407">
        <f t="shared" si="126"/>
        <v>37.450000000000003</v>
      </c>
      <c r="F4047">
        <f t="shared" si="127"/>
        <v>89824</v>
      </c>
      <c r="H4047" s="680">
        <v>37.450000000000003</v>
      </c>
      <c r="I4047" s="680">
        <v>37.78</v>
      </c>
    </row>
    <row r="4048" spans="2:9" ht="30">
      <c r="B4048" s="396">
        <v>89825</v>
      </c>
      <c r="C4048" s="401" t="s">
        <v>8150</v>
      </c>
      <c r="D4048" s="396" t="s">
        <v>23</v>
      </c>
      <c r="E4048" s="405">
        <f t="shared" si="126"/>
        <v>20.16</v>
      </c>
      <c r="F4048">
        <f t="shared" si="127"/>
        <v>89825</v>
      </c>
      <c r="H4048" s="679">
        <v>20.16</v>
      </c>
      <c r="I4048" s="679">
        <v>20.37</v>
      </c>
    </row>
    <row r="4049" spans="2:9" ht="30">
      <c r="B4049" s="395">
        <v>89826</v>
      </c>
      <c r="C4049" s="406" t="s">
        <v>8151</v>
      </c>
      <c r="D4049" s="395" t="s">
        <v>23</v>
      </c>
      <c r="E4049" s="407">
        <f t="shared" si="126"/>
        <v>121.11</v>
      </c>
      <c r="F4049">
        <f t="shared" si="127"/>
        <v>89826</v>
      </c>
      <c r="H4049" s="680">
        <v>121.11</v>
      </c>
      <c r="I4049" s="680">
        <v>121.43</v>
      </c>
    </row>
    <row r="4050" spans="2:9" ht="30">
      <c r="B4050" s="396">
        <v>89827</v>
      </c>
      <c r="C4050" s="401" t="s">
        <v>8152</v>
      </c>
      <c r="D4050" s="396" t="s">
        <v>23</v>
      </c>
      <c r="E4050" s="405">
        <f t="shared" si="126"/>
        <v>23.04</v>
      </c>
      <c r="F4050">
        <f t="shared" si="127"/>
        <v>89827</v>
      </c>
      <c r="H4050" s="679">
        <v>23.04</v>
      </c>
      <c r="I4050" s="679">
        <v>23.25</v>
      </c>
    </row>
    <row r="4051" spans="2:9">
      <c r="B4051" s="395">
        <v>89828</v>
      </c>
      <c r="C4051" s="406" t="s">
        <v>8153</v>
      </c>
      <c r="D4051" s="395" t="s">
        <v>23</v>
      </c>
      <c r="E4051" s="407">
        <f t="shared" si="126"/>
        <v>58.02</v>
      </c>
      <c r="F4051">
        <f t="shared" si="127"/>
        <v>89828</v>
      </c>
      <c r="H4051" s="680">
        <v>58.02</v>
      </c>
      <c r="I4051" s="680">
        <v>58.35</v>
      </c>
    </row>
    <row r="4052" spans="2:9" ht="30">
      <c r="B4052" s="396">
        <v>89829</v>
      </c>
      <c r="C4052" s="401" t="s">
        <v>8154</v>
      </c>
      <c r="D4052" s="396" t="s">
        <v>23</v>
      </c>
      <c r="E4052" s="405">
        <f t="shared" si="126"/>
        <v>40.520000000000003</v>
      </c>
      <c r="F4052">
        <f t="shared" si="127"/>
        <v>89829</v>
      </c>
      <c r="H4052" s="679">
        <v>40.520000000000003</v>
      </c>
      <c r="I4052" s="679">
        <v>41.29</v>
      </c>
    </row>
    <row r="4053" spans="2:9" ht="30">
      <c r="B4053" s="395">
        <v>89830</v>
      </c>
      <c r="C4053" s="406" t="s">
        <v>8155</v>
      </c>
      <c r="D4053" s="395" t="s">
        <v>23</v>
      </c>
      <c r="E4053" s="407">
        <f t="shared" si="126"/>
        <v>43.07</v>
      </c>
      <c r="F4053">
        <f t="shared" si="127"/>
        <v>89830</v>
      </c>
      <c r="H4053" s="680">
        <v>43.07</v>
      </c>
      <c r="I4053" s="680">
        <v>43.84</v>
      </c>
    </row>
    <row r="4054" spans="2:9">
      <c r="B4054" s="396">
        <v>89831</v>
      </c>
      <c r="C4054" s="401" t="s">
        <v>8156</v>
      </c>
      <c r="D4054" s="396" t="s">
        <v>23</v>
      </c>
      <c r="E4054" s="405">
        <f t="shared" si="126"/>
        <v>61.95</v>
      </c>
      <c r="F4054">
        <f t="shared" si="127"/>
        <v>89831</v>
      </c>
      <c r="H4054" s="679">
        <v>61.95</v>
      </c>
      <c r="I4054" s="679">
        <v>62.27</v>
      </c>
    </row>
    <row r="4055" spans="2:9" ht="30">
      <c r="B4055" s="395">
        <v>89832</v>
      </c>
      <c r="C4055" s="406" t="s">
        <v>8157</v>
      </c>
      <c r="D4055" s="395" t="s">
        <v>23</v>
      </c>
      <c r="E4055" s="407">
        <f t="shared" si="126"/>
        <v>39.53</v>
      </c>
      <c r="F4055">
        <f t="shared" si="127"/>
        <v>89832</v>
      </c>
      <c r="H4055" s="680">
        <v>39.53</v>
      </c>
      <c r="I4055" s="680">
        <v>40.03</v>
      </c>
    </row>
    <row r="4056" spans="2:9" ht="30">
      <c r="B4056" s="396">
        <v>89833</v>
      </c>
      <c r="C4056" s="401" t="s">
        <v>8158</v>
      </c>
      <c r="D4056" s="396" t="s">
        <v>23</v>
      </c>
      <c r="E4056" s="405">
        <f t="shared" si="126"/>
        <v>48.52</v>
      </c>
      <c r="F4056">
        <f t="shared" si="127"/>
        <v>89833</v>
      </c>
      <c r="H4056" s="679">
        <v>48.52</v>
      </c>
      <c r="I4056" s="679">
        <v>49.85</v>
      </c>
    </row>
    <row r="4057" spans="2:9" ht="30">
      <c r="B4057" s="395">
        <v>89834</v>
      </c>
      <c r="C4057" s="406" t="s">
        <v>8159</v>
      </c>
      <c r="D4057" s="395" t="s">
        <v>23</v>
      </c>
      <c r="E4057" s="407">
        <f t="shared" si="126"/>
        <v>58.39</v>
      </c>
      <c r="F4057">
        <f t="shared" si="127"/>
        <v>89834</v>
      </c>
      <c r="H4057" s="680">
        <v>58.39</v>
      </c>
      <c r="I4057" s="680">
        <v>59.72</v>
      </c>
    </row>
    <row r="4058" spans="2:9">
      <c r="B4058" s="396">
        <v>89835</v>
      </c>
      <c r="C4058" s="401" t="s">
        <v>8160</v>
      </c>
      <c r="D4058" s="396" t="s">
        <v>23</v>
      </c>
      <c r="E4058" s="405">
        <f t="shared" si="126"/>
        <v>42.55</v>
      </c>
      <c r="F4058">
        <f t="shared" si="127"/>
        <v>89835</v>
      </c>
      <c r="H4058" s="679">
        <v>42.55</v>
      </c>
      <c r="I4058" s="679">
        <v>42.97</v>
      </c>
    </row>
    <row r="4059" spans="2:9" ht="30">
      <c r="B4059" s="395">
        <v>89836</v>
      </c>
      <c r="C4059" s="406" t="s">
        <v>8161</v>
      </c>
      <c r="D4059" s="395" t="s">
        <v>23</v>
      </c>
      <c r="E4059" s="407">
        <f t="shared" si="126"/>
        <v>190.38</v>
      </c>
      <c r="F4059">
        <f t="shared" si="127"/>
        <v>89836</v>
      </c>
      <c r="H4059" s="680">
        <v>190.38</v>
      </c>
      <c r="I4059" s="680">
        <v>190.79</v>
      </c>
    </row>
    <row r="4060" spans="2:9">
      <c r="B4060" s="396">
        <v>89837</v>
      </c>
      <c r="C4060" s="401" t="s">
        <v>8162</v>
      </c>
      <c r="D4060" s="396" t="s">
        <v>23</v>
      </c>
      <c r="E4060" s="405">
        <f t="shared" si="126"/>
        <v>127.85</v>
      </c>
      <c r="F4060">
        <f t="shared" si="127"/>
        <v>89837</v>
      </c>
      <c r="H4060" s="679">
        <v>127.85</v>
      </c>
      <c r="I4060" s="679">
        <v>128.27000000000001</v>
      </c>
    </row>
    <row r="4061" spans="2:9">
      <c r="B4061" s="395">
        <v>89838</v>
      </c>
      <c r="C4061" s="406" t="s">
        <v>8163</v>
      </c>
      <c r="D4061" s="395" t="s">
        <v>23</v>
      </c>
      <c r="E4061" s="407">
        <f t="shared" si="126"/>
        <v>146.38999999999999</v>
      </c>
      <c r="F4061">
        <f t="shared" si="127"/>
        <v>89838</v>
      </c>
      <c r="H4061" s="680">
        <v>146.38999999999999</v>
      </c>
      <c r="I4061" s="680">
        <v>146.94</v>
      </c>
    </row>
    <row r="4062" spans="2:9">
      <c r="B4062" s="396">
        <v>89839</v>
      </c>
      <c r="C4062" s="401" t="s">
        <v>8164</v>
      </c>
      <c r="D4062" s="396" t="s">
        <v>23</v>
      </c>
      <c r="E4062" s="405">
        <f t="shared" si="126"/>
        <v>165.91</v>
      </c>
      <c r="F4062">
        <f t="shared" si="127"/>
        <v>89839</v>
      </c>
      <c r="H4062" s="679">
        <v>165.91</v>
      </c>
      <c r="I4062" s="679">
        <v>166.46</v>
      </c>
    </row>
    <row r="4063" spans="2:9">
      <c r="B4063" s="395">
        <v>89840</v>
      </c>
      <c r="C4063" s="406" t="s">
        <v>8165</v>
      </c>
      <c r="D4063" s="395" t="s">
        <v>23</v>
      </c>
      <c r="E4063" s="407">
        <f t="shared" si="126"/>
        <v>173.29</v>
      </c>
      <c r="F4063">
        <f t="shared" si="127"/>
        <v>89840</v>
      </c>
      <c r="H4063" s="680">
        <v>173.29</v>
      </c>
      <c r="I4063" s="680">
        <v>173.95</v>
      </c>
    </row>
    <row r="4064" spans="2:9">
      <c r="B4064" s="396">
        <v>89841</v>
      </c>
      <c r="C4064" s="401" t="s">
        <v>8166</v>
      </c>
      <c r="D4064" s="396" t="s">
        <v>23</v>
      </c>
      <c r="E4064" s="405">
        <f t="shared" si="126"/>
        <v>252.5</v>
      </c>
      <c r="F4064">
        <f t="shared" si="127"/>
        <v>89841</v>
      </c>
      <c r="H4064" s="679">
        <v>252.5</v>
      </c>
      <c r="I4064" s="679">
        <v>253.16</v>
      </c>
    </row>
    <row r="4065" spans="2:9">
      <c r="B4065" s="395">
        <v>89842</v>
      </c>
      <c r="C4065" s="406" t="s">
        <v>8167</v>
      </c>
      <c r="D4065" s="395" t="s">
        <v>23</v>
      </c>
      <c r="E4065" s="407">
        <f t="shared" si="126"/>
        <v>48.36</v>
      </c>
      <c r="F4065">
        <f t="shared" si="127"/>
        <v>89842</v>
      </c>
      <c r="H4065" s="680">
        <v>48.36</v>
      </c>
      <c r="I4065" s="680">
        <v>48.94</v>
      </c>
    </row>
    <row r="4066" spans="2:9">
      <c r="B4066" s="396">
        <v>89844</v>
      </c>
      <c r="C4066" s="401" t="s">
        <v>8168</v>
      </c>
      <c r="D4066" s="396" t="s">
        <v>23</v>
      </c>
      <c r="E4066" s="405">
        <f t="shared" si="126"/>
        <v>60.9</v>
      </c>
      <c r="F4066">
        <f t="shared" si="127"/>
        <v>89844</v>
      </c>
      <c r="H4066" s="679">
        <v>60.9</v>
      </c>
      <c r="I4066" s="679">
        <v>61.57</v>
      </c>
    </row>
    <row r="4067" spans="2:9">
      <c r="B4067" s="395">
        <v>89845</v>
      </c>
      <c r="C4067" s="406" t="s">
        <v>8169</v>
      </c>
      <c r="D4067" s="395" t="s">
        <v>23</v>
      </c>
      <c r="E4067" s="407">
        <f t="shared" si="126"/>
        <v>95.35</v>
      </c>
      <c r="F4067">
        <f t="shared" si="127"/>
        <v>89845</v>
      </c>
      <c r="H4067" s="680">
        <v>95.35</v>
      </c>
      <c r="I4067" s="680">
        <v>96.19</v>
      </c>
    </row>
    <row r="4068" spans="2:9">
      <c r="B4068" s="396">
        <v>89846</v>
      </c>
      <c r="C4068" s="401" t="s">
        <v>8170</v>
      </c>
      <c r="D4068" s="396" t="s">
        <v>23</v>
      </c>
      <c r="E4068" s="405">
        <f t="shared" si="126"/>
        <v>203.24</v>
      </c>
      <c r="F4068">
        <f t="shared" si="127"/>
        <v>89846</v>
      </c>
      <c r="H4068" s="679">
        <v>203.24</v>
      </c>
      <c r="I4068" s="679">
        <v>204.35</v>
      </c>
    </row>
    <row r="4069" spans="2:9">
      <c r="B4069" s="395">
        <v>89847</v>
      </c>
      <c r="C4069" s="406" t="s">
        <v>8171</v>
      </c>
      <c r="D4069" s="395" t="s">
        <v>23</v>
      </c>
      <c r="E4069" s="407">
        <f t="shared" si="126"/>
        <v>243.8</v>
      </c>
      <c r="F4069">
        <f t="shared" si="127"/>
        <v>89847</v>
      </c>
      <c r="H4069" s="680">
        <v>243.8</v>
      </c>
      <c r="I4069" s="680">
        <v>245.12</v>
      </c>
    </row>
    <row r="4070" spans="2:9" ht="30">
      <c r="B4070" s="396">
        <v>89850</v>
      </c>
      <c r="C4070" s="401" t="s">
        <v>8172</v>
      </c>
      <c r="D4070" s="396" t="s">
        <v>23</v>
      </c>
      <c r="E4070" s="405">
        <f t="shared" si="126"/>
        <v>32.770000000000003</v>
      </c>
      <c r="F4070">
        <f t="shared" si="127"/>
        <v>89850</v>
      </c>
      <c r="H4070" s="679">
        <v>32.770000000000003</v>
      </c>
      <c r="I4070" s="679">
        <v>34.049999999999997</v>
      </c>
    </row>
    <row r="4071" spans="2:9" ht="30">
      <c r="B4071" s="395">
        <v>89851</v>
      </c>
      <c r="C4071" s="406" t="s">
        <v>8173</v>
      </c>
      <c r="D4071" s="395" t="s">
        <v>23</v>
      </c>
      <c r="E4071" s="407">
        <f t="shared" si="126"/>
        <v>33.799999999999997</v>
      </c>
      <c r="F4071">
        <f t="shared" si="127"/>
        <v>89851</v>
      </c>
      <c r="H4071" s="680">
        <v>33.799999999999997</v>
      </c>
      <c r="I4071" s="680">
        <v>35.08</v>
      </c>
    </row>
    <row r="4072" spans="2:9" ht="30">
      <c r="B4072" s="396">
        <v>89852</v>
      </c>
      <c r="C4072" s="401" t="s">
        <v>8174</v>
      </c>
      <c r="D4072" s="396" t="s">
        <v>23</v>
      </c>
      <c r="E4072" s="405">
        <f t="shared" si="126"/>
        <v>51.22</v>
      </c>
      <c r="F4072">
        <f t="shared" si="127"/>
        <v>89852</v>
      </c>
      <c r="H4072" s="679">
        <v>51.22</v>
      </c>
      <c r="I4072" s="679">
        <v>52.5</v>
      </c>
    </row>
    <row r="4073" spans="2:9" ht="30">
      <c r="B4073" s="395">
        <v>89853</v>
      </c>
      <c r="C4073" s="406" t="s">
        <v>8175</v>
      </c>
      <c r="D4073" s="395" t="s">
        <v>23</v>
      </c>
      <c r="E4073" s="407">
        <f t="shared" si="126"/>
        <v>94.21</v>
      </c>
      <c r="F4073">
        <f t="shared" si="127"/>
        <v>89853</v>
      </c>
      <c r="H4073" s="680">
        <v>94.21</v>
      </c>
      <c r="I4073" s="680">
        <v>95.49</v>
      </c>
    </row>
    <row r="4074" spans="2:9" ht="30">
      <c r="B4074" s="396">
        <v>89854</v>
      </c>
      <c r="C4074" s="401" t="s">
        <v>8176</v>
      </c>
      <c r="D4074" s="396" t="s">
        <v>23</v>
      </c>
      <c r="E4074" s="405">
        <f t="shared" si="126"/>
        <v>121.76</v>
      </c>
      <c r="F4074">
        <f t="shared" si="127"/>
        <v>89854</v>
      </c>
      <c r="H4074" s="679">
        <v>121.76</v>
      </c>
      <c r="I4074" s="679">
        <v>123.42</v>
      </c>
    </row>
    <row r="4075" spans="2:9" ht="30">
      <c r="B4075" s="395">
        <v>89855</v>
      </c>
      <c r="C4075" s="406" t="s">
        <v>8177</v>
      </c>
      <c r="D4075" s="395" t="s">
        <v>23</v>
      </c>
      <c r="E4075" s="407">
        <f t="shared" si="126"/>
        <v>128.16</v>
      </c>
      <c r="F4075">
        <f t="shared" si="127"/>
        <v>89855</v>
      </c>
      <c r="H4075" s="680">
        <v>128.16</v>
      </c>
      <c r="I4075" s="680">
        <v>129.82</v>
      </c>
    </row>
    <row r="4076" spans="2:9" ht="30">
      <c r="B4076" s="396">
        <v>89856</v>
      </c>
      <c r="C4076" s="401" t="s">
        <v>8178</v>
      </c>
      <c r="D4076" s="396" t="s">
        <v>23</v>
      </c>
      <c r="E4076" s="405">
        <f t="shared" si="126"/>
        <v>20.69</v>
      </c>
      <c r="F4076">
        <f t="shared" si="127"/>
        <v>89856</v>
      </c>
      <c r="H4076" s="679">
        <v>20.69</v>
      </c>
      <c r="I4076" s="679">
        <v>21.54</v>
      </c>
    </row>
    <row r="4077" spans="2:9" ht="30">
      <c r="B4077" s="395">
        <v>89857</v>
      </c>
      <c r="C4077" s="406" t="s">
        <v>8179</v>
      </c>
      <c r="D4077" s="395" t="s">
        <v>23</v>
      </c>
      <c r="E4077" s="407">
        <f t="shared" si="126"/>
        <v>41.59</v>
      </c>
      <c r="F4077">
        <f t="shared" si="127"/>
        <v>89857</v>
      </c>
      <c r="H4077" s="680">
        <v>41.59</v>
      </c>
      <c r="I4077" s="680">
        <v>42.44</v>
      </c>
    </row>
    <row r="4078" spans="2:9" ht="30">
      <c r="B4078" s="396">
        <v>89860</v>
      </c>
      <c r="C4078" s="401" t="s">
        <v>8180</v>
      </c>
      <c r="D4078" s="396" t="s">
        <v>23</v>
      </c>
      <c r="E4078" s="405">
        <f t="shared" si="126"/>
        <v>51.68</v>
      </c>
      <c r="F4078">
        <f t="shared" si="127"/>
        <v>89860</v>
      </c>
      <c r="H4078" s="679">
        <v>51.68</v>
      </c>
      <c r="I4078" s="679">
        <v>53.39</v>
      </c>
    </row>
    <row r="4079" spans="2:9" ht="30">
      <c r="B4079" s="395">
        <v>89861</v>
      </c>
      <c r="C4079" s="406" t="s">
        <v>8181</v>
      </c>
      <c r="D4079" s="395" t="s">
        <v>23</v>
      </c>
      <c r="E4079" s="407">
        <f t="shared" si="126"/>
        <v>61.55</v>
      </c>
      <c r="F4079">
        <f t="shared" si="127"/>
        <v>89861</v>
      </c>
      <c r="H4079" s="680">
        <v>61.55</v>
      </c>
      <c r="I4079" s="680">
        <v>63.26</v>
      </c>
    </row>
    <row r="4080" spans="2:9" ht="30">
      <c r="B4080" s="396">
        <v>89866</v>
      </c>
      <c r="C4080" s="401" t="s">
        <v>8182</v>
      </c>
      <c r="D4080" s="396" t="s">
        <v>23</v>
      </c>
      <c r="E4080" s="405">
        <f t="shared" si="126"/>
        <v>6.52</v>
      </c>
      <c r="F4080">
        <f t="shared" si="127"/>
        <v>89866</v>
      </c>
      <c r="H4080" s="679">
        <v>6.52</v>
      </c>
      <c r="I4080" s="679">
        <v>7.03</v>
      </c>
    </row>
    <row r="4081" spans="2:9" ht="30">
      <c r="B4081" s="395">
        <v>89867</v>
      </c>
      <c r="C4081" s="406" t="s">
        <v>8183</v>
      </c>
      <c r="D4081" s="395" t="s">
        <v>23</v>
      </c>
      <c r="E4081" s="407">
        <f t="shared" si="126"/>
        <v>7.49</v>
      </c>
      <c r="F4081">
        <f t="shared" si="127"/>
        <v>89867</v>
      </c>
      <c r="H4081" s="680">
        <v>7.49</v>
      </c>
      <c r="I4081" s="680">
        <v>8</v>
      </c>
    </row>
    <row r="4082" spans="2:9">
      <c r="B4082" s="396">
        <v>89868</v>
      </c>
      <c r="C4082" s="401" t="s">
        <v>8184</v>
      </c>
      <c r="D4082" s="396" t="s">
        <v>23</v>
      </c>
      <c r="E4082" s="405">
        <f t="shared" si="126"/>
        <v>5.17</v>
      </c>
      <c r="F4082">
        <f t="shared" si="127"/>
        <v>89868</v>
      </c>
      <c r="H4082" s="679">
        <v>5.17</v>
      </c>
      <c r="I4082" s="679">
        <v>5.51</v>
      </c>
    </row>
    <row r="4083" spans="2:9">
      <c r="B4083" s="395">
        <v>89869</v>
      </c>
      <c r="C4083" s="406" t="s">
        <v>8185</v>
      </c>
      <c r="D4083" s="395" t="s">
        <v>23</v>
      </c>
      <c r="E4083" s="407">
        <f t="shared" si="126"/>
        <v>9.18</v>
      </c>
      <c r="F4083">
        <f t="shared" si="127"/>
        <v>89869</v>
      </c>
      <c r="H4083" s="680">
        <v>9.18</v>
      </c>
      <c r="I4083" s="680">
        <v>9.86</v>
      </c>
    </row>
    <row r="4084" spans="2:9" ht="30">
      <c r="B4084" s="396">
        <v>89979</v>
      </c>
      <c r="C4084" s="401" t="s">
        <v>8186</v>
      </c>
      <c r="D4084" s="396" t="s">
        <v>23</v>
      </c>
      <c r="E4084" s="405">
        <f t="shared" si="126"/>
        <v>27.79</v>
      </c>
      <c r="F4084">
        <f t="shared" si="127"/>
        <v>89979</v>
      </c>
      <c r="H4084" s="679">
        <v>27.79</v>
      </c>
      <c r="I4084" s="679">
        <v>28.3</v>
      </c>
    </row>
    <row r="4085" spans="2:9" ht="30">
      <c r="B4085" s="395">
        <v>89981</v>
      </c>
      <c r="C4085" s="406" t="s">
        <v>8187</v>
      </c>
      <c r="D4085" s="395" t="s">
        <v>23</v>
      </c>
      <c r="E4085" s="407">
        <f t="shared" si="126"/>
        <v>25.4</v>
      </c>
      <c r="F4085">
        <f t="shared" si="127"/>
        <v>89981</v>
      </c>
      <c r="H4085" s="680">
        <v>25.4</v>
      </c>
      <c r="I4085" s="680">
        <v>25.65</v>
      </c>
    </row>
    <row r="4086" spans="2:9" ht="30">
      <c r="B4086" s="396">
        <v>90373</v>
      </c>
      <c r="C4086" s="401" t="s">
        <v>8188</v>
      </c>
      <c r="D4086" s="396" t="s">
        <v>23</v>
      </c>
      <c r="E4086" s="405">
        <f t="shared" si="126"/>
        <v>13.04</v>
      </c>
      <c r="F4086">
        <f t="shared" si="127"/>
        <v>90373</v>
      </c>
      <c r="H4086" s="679">
        <v>13.04</v>
      </c>
      <c r="I4086" s="679">
        <v>13.64</v>
      </c>
    </row>
    <row r="4087" spans="2:9" ht="30">
      <c r="B4087" s="395">
        <v>90374</v>
      </c>
      <c r="C4087" s="406" t="s">
        <v>8189</v>
      </c>
      <c r="D4087" s="395" t="s">
        <v>23</v>
      </c>
      <c r="E4087" s="407">
        <f t="shared" si="126"/>
        <v>23.02</v>
      </c>
      <c r="F4087">
        <f t="shared" si="127"/>
        <v>90374</v>
      </c>
      <c r="H4087" s="680">
        <v>23.02</v>
      </c>
      <c r="I4087" s="680">
        <v>23.89</v>
      </c>
    </row>
    <row r="4088" spans="2:9" ht="30">
      <c r="B4088" s="396">
        <v>92287</v>
      </c>
      <c r="C4088" s="401" t="s">
        <v>6537</v>
      </c>
      <c r="D4088" s="396" t="s">
        <v>23</v>
      </c>
      <c r="E4088" s="405">
        <f t="shared" si="126"/>
        <v>16.22</v>
      </c>
      <c r="F4088">
        <f t="shared" si="127"/>
        <v>92287</v>
      </c>
      <c r="H4088" s="679">
        <v>16.22</v>
      </c>
      <c r="I4088" s="679">
        <v>16.63</v>
      </c>
    </row>
    <row r="4089" spans="2:9" ht="30">
      <c r="B4089" s="395">
        <v>92288</v>
      </c>
      <c r="C4089" s="406" t="s">
        <v>6538</v>
      </c>
      <c r="D4089" s="395" t="s">
        <v>23</v>
      </c>
      <c r="E4089" s="407">
        <f t="shared" si="126"/>
        <v>25.78</v>
      </c>
      <c r="F4089">
        <f t="shared" si="127"/>
        <v>92288</v>
      </c>
      <c r="H4089" s="680">
        <v>25.78</v>
      </c>
      <c r="I4089" s="680">
        <v>26.31</v>
      </c>
    </row>
    <row r="4090" spans="2:9" ht="30">
      <c r="B4090" s="396">
        <v>92289</v>
      </c>
      <c r="C4090" s="401" t="s">
        <v>6539</v>
      </c>
      <c r="D4090" s="396" t="s">
        <v>23</v>
      </c>
      <c r="E4090" s="405">
        <f t="shared" si="126"/>
        <v>46.18</v>
      </c>
      <c r="F4090">
        <f t="shared" si="127"/>
        <v>92289</v>
      </c>
      <c r="H4090" s="679">
        <v>46.18</v>
      </c>
      <c r="I4090" s="679">
        <v>46.85</v>
      </c>
    </row>
    <row r="4091" spans="2:9" ht="30">
      <c r="B4091" s="395">
        <v>92290</v>
      </c>
      <c r="C4091" s="406" t="s">
        <v>6540</v>
      </c>
      <c r="D4091" s="395" t="s">
        <v>23</v>
      </c>
      <c r="E4091" s="407">
        <f t="shared" si="126"/>
        <v>70.349999999999994</v>
      </c>
      <c r="F4091">
        <f t="shared" si="127"/>
        <v>92290</v>
      </c>
      <c r="H4091" s="680">
        <v>70.349999999999994</v>
      </c>
      <c r="I4091" s="680">
        <v>71.150000000000006</v>
      </c>
    </row>
    <row r="4092" spans="2:9" ht="30">
      <c r="B4092" s="396">
        <v>92291</v>
      </c>
      <c r="C4092" s="401" t="s">
        <v>6541</v>
      </c>
      <c r="D4092" s="396" t="s">
        <v>23</v>
      </c>
      <c r="E4092" s="405">
        <f t="shared" si="126"/>
        <v>109.39</v>
      </c>
      <c r="F4092">
        <f t="shared" si="127"/>
        <v>92291</v>
      </c>
      <c r="H4092" s="679">
        <v>109.39</v>
      </c>
      <c r="I4092" s="679">
        <v>110.44</v>
      </c>
    </row>
    <row r="4093" spans="2:9" ht="30">
      <c r="B4093" s="395">
        <v>92292</v>
      </c>
      <c r="C4093" s="406" t="s">
        <v>6542</v>
      </c>
      <c r="D4093" s="395" t="s">
        <v>23</v>
      </c>
      <c r="E4093" s="407">
        <f t="shared" si="126"/>
        <v>342.41</v>
      </c>
      <c r="F4093">
        <f t="shared" si="127"/>
        <v>92292</v>
      </c>
      <c r="H4093" s="680">
        <v>342.41</v>
      </c>
      <c r="I4093" s="680">
        <v>343.7</v>
      </c>
    </row>
    <row r="4094" spans="2:9" ht="30">
      <c r="B4094" s="396">
        <v>92293</v>
      </c>
      <c r="C4094" s="401" t="s">
        <v>6543</v>
      </c>
      <c r="D4094" s="396" t="s">
        <v>23</v>
      </c>
      <c r="E4094" s="405">
        <f t="shared" si="126"/>
        <v>9.14</v>
      </c>
      <c r="F4094">
        <f t="shared" si="127"/>
        <v>92293</v>
      </c>
      <c r="H4094" s="679">
        <v>9.14</v>
      </c>
      <c r="I4094" s="679">
        <v>9.41</v>
      </c>
    </row>
    <row r="4095" spans="2:9" ht="30">
      <c r="B4095" s="395">
        <v>92294</v>
      </c>
      <c r="C4095" s="406" t="s">
        <v>6544</v>
      </c>
      <c r="D4095" s="395" t="s">
        <v>23</v>
      </c>
      <c r="E4095" s="407">
        <f t="shared" si="126"/>
        <v>15.65</v>
      </c>
      <c r="F4095">
        <f t="shared" si="127"/>
        <v>92294</v>
      </c>
      <c r="H4095" s="680">
        <v>15.65</v>
      </c>
      <c r="I4095" s="680">
        <v>16.010000000000002</v>
      </c>
    </row>
    <row r="4096" spans="2:9" ht="30">
      <c r="B4096" s="396">
        <v>92295</v>
      </c>
      <c r="C4096" s="401" t="s">
        <v>6545</v>
      </c>
      <c r="D4096" s="396" t="s">
        <v>23</v>
      </c>
      <c r="E4096" s="405">
        <f t="shared" si="126"/>
        <v>29.94</v>
      </c>
      <c r="F4096">
        <f t="shared" si="127"/>
        <v>92295</v>
      </c>
      <c r="H4096" s="679">
        <v>29.94</v>
      </c>
      <c r="I4096" s="679">
        <v>30.39</v>
      </c>
    </row>
    <row r="4097" spans="2:9" ht="30">
      <c r="B4097" s="395">
        <v>92296</v>
      </c>
      <c r="C4097" s="406" t="s">
        <v>6546</v>
      </c>
      <c r="D4097" s="395" t="s">
        <v>23</v>
      </c>
      <c r="E4097" s="407">
        <f t="shared" si="126"/>
        <v>39.78</v>
      </c>
      <c r="F4097">
        <f t="shared" si="127"/>
        <v>92296</v>
      </c>
      <c r="H4097" s="680">
        <v>39.78</v>
      </c>
      <c r="I4097" s="680">
        <v>40.31</v>
      </c>
    </row>
    <row r="4098" spans="2:9" ht="30">
      <c r="B4098" s="396">
        <v>92297</v>
      </c>
      <c r="C4098" s="401" t="s">
        <v>6547</v>
      </c>
      <c r="D4098" s="396" t="s">
        <v>23</v>
      </c>
      <c r="E4098" s="405">
        <f t="shared" si="126"/>
        <v>61.96</v>
      </c>
      <c r="F4098">
        <f t="shared" si="127"/>
        <v>92297</v>
      </c>
      <c r="H4098" s="679">
        <v>61.96</v>
      </c>
      <c r="I4098" s="679">
        <v>62.66</v>
      </c>
    </row>
    <row r="4099" spans="2:9" ht="30">
      <c r="B4099" s="395">
        <v>92298</v>
      </c>
      <c r="C4099" s="406" t="s">
        <v>6548</v>
      </c>
      <c r="D4099" s="395" t="s">
        <v>23</v>
      </c>
      <c r="E4099" s="407">
        <f t="shared" ref="E4099:E4162" si="128">IF($K$2=$H$1,H4099,I4099)</f>
        <v>176.07</v>
      </c>
      <c r="F4099">
        <f t="shared" ref="F4099:F4162" si="129">IF(LEN($B4099)=7,CONCATENATE(MID($B4099,1,6),"00",RIGHT($B4099,1)),IF(LEN($B4099)=8,CONCATENATE(MID($B4099,1,6),"0",RIGHT($B4099,2)),$B4099))</f>
        <v>92298</v>
      </c>
      <c r="H4099" s="680">
        <v>176.07</v>
      </c>
      <c r="I4099" s="680">
        <v>176.92</v>
      </c>
    </row>
    <row r="4100" spans="2:9" ht="30">
      <c r="B4100" s="396">
        <v>92299</v>
      </c>
      <c r="C4100" s="401" t="s">
        <v>6549</v>
      </c>
      <c r="D4100" s="396" t="s">
        <v>23</v>
      </c>
      <c r="E4100" s="405">
        <f t="shared" si="128"/>
        <v>21.33</v>
      </c>
      <c r="F4100">
        <f t="shared" si="129"/>
        <v>92299</v>
      </c>
      <c r="H4100" s="679">
        <v>21.33</v>
      </c>
      <c r="I4100" s="679">
        <v>21.88</v>
      </c>
    </row>
    <row r="4101" spans="2:9" ht="30">
      <c r="B4101" s="395">
        <v>92300</v>
      </c>
      <c r="C4101" s="406" t="s">
        <v>6550</v>
      </c>
      <c r="D4101" s="395" t="s">
        <v>23</v>
      </c>
      <c r="E4101" s="407">
        <f t="shared" si="128"/>
        <v>32.729999999999997</v>
      </c>
      <c r="F4101">
        <f t="shared" si="129"/>
        <v>92300</v>
      </c>
      <c r="H4101" s="680">
        <v>32.729999999999997</v>
      </c>
      <c r="I4101" s="680">
        <v>33.43</v>
      </c>
    </row>
    <row r="4102" spans="2:9" ht="30">
      <c r="B4102" s="396">
        <v>92301</v>
      </c>
      <c r="C4102" s="401" t="s">
        <v>6551</v>
      </c>
      <c r="D4102" s="396" t="s">
        <v>23</v>
      </c>
      <c r="E4102" s="405">
        <f t="shared" si="128"/>
        <v>65.72</v>
      </c>
      <c r="F4102">
        <f t="shared" si="129"/>
        <v>92301</v>
      </c>
      <c r="H4102" s="679">
        <v>65.72</v>
      </c>
      <c r="I4102" s="679">
        <v>66.61</v>
      </c>
    </row>
    <row r="4103" spans="2:9" ht="30">
      <c r="B4103" s="395">
        <v>92302</v>
      </c>
      <c r="C4103" s="406" t="s">
        <v>6552</v>
      </c>
      <c r="D4103" s="395" t="s">
        <v>23</v>
      </c>
      <c r="E4103" s="407">
        <f t="shared" si="128"/>
        <v>87</v>
      </c>
      <c r="F4103">
        <f t="shared" si="129"/>
        <v>92302</v>
      </c>
      <c r="H4103" s="680">
        <v>87</v>
      </c>
      <c r="I4103" s="680">
        <v>88.07</v>
      </c>
    </row>
    <row r="4104" spans="2:9" ht="30">
      <c r="B4104" s="396">
        <v>92303</v>
      </c>
      <c r="C4104" s="401" t="s">
        <v>6553</v>
      </c>
      <c r="D4104" s="396" t="s">
        <v>23</v>
      </c>
      <c r="E4104" s="405">
        <f t="shared" si="128"/>
        <v>160.75</v>
      </c>
      <c r="F4104">
        <f t="shared" si="129"/>
        <v>92303</v>
      </c>
      <c r="H4104" s="679">
        <v>160.75</v>
      </c>
      <c r="I4104" s="679">
        <v>162.13999999999999</v>
      </c>
    </row>
    <row r="4105" spans="2:9" ht="30">
      <c r="B4105" s="395">
        <v>92304</v>
      </c>
      <c r="C4105" s="406" t="s">
        <v>6554</v>
      </c>
      <c r="D4105" s="395" t="s">
        <v>23</v>
      </c>
      <c r="E4105" s="407">
        <f t="shared" si="128"/>
        <v>420.81</v>
      </c>
      <c r="F4105">
        <f t="shared" si="129"/>
        <v>92304</v>
      </c>
      <c r="H4105" s="680">
        <v>420.81</v>
      </c>
      <c r="I4105" s="680">
        <v>422.51</v>
      </c>
    </row>
    <row r="4106" spans="2:9" ht="30">
      <c r="B4106" s="396">
        <v>92311</v>
      </c>
      <c r="C4106" s="401" t="s">
        <v>8190</v>
      </c>
      <c r="D4106" s="396" t="s">
        <v>23</v>
      </c>
      <c r="E4106" s="405">
        <f t="shared" si="128"/>
        <v>11.46</v>
      </c>
      <c r="F4106">
        <f t="shared" si="129"/>
        <v>92311</v>
      </c>
      <c r="H4106" s="679">
        <v>11.46</v>
      </c>
      <c r="I4106" s="679">
        <v>12.1</v>
      </c>
    </row>
    <row r="4107" spans="2:9" ht="30">
      <c r="B4107" s="395">
        <v>92312</v>
      </c>
      <c r="C4107" s="406" t="s">
        <v>6555</v>
      </c>
      <c r="D4107" s="395" t="s">
        <v>23</v>
      </c>
      <c r="E4107" s="407">
        <f t="shared" si="128"/>
        <v>19.57</v>
      </c>
      <c r="F4107">
        <f t="shared" si="129"/>
        <v>92312</v>
      </c>
      <c r="H4107" s="680">
        <v>19.57</v>
      </c>
      <c r="I4107" s="680">
        <v>20.350000000000001</v>
      </c>
    </row>
    <row r="4108" spans="2:9" ht="30">
      <c r="B4108" s="396">
        <v>92313</v>
      </c>
      <c r="C4108" s="401" t="s">
        <v>6556</v>
      </c>
      <c r="D4108" s="396" t="s">
        <v>23</v>
      </c>
      <c r="E4108" s="405">
        <f t="shared" si="128"/>
        <v>28.88</v>
      </c>
      <c r="F4108">
        <f t="shared" si="129"/>
        <v>92313</v>
      </c>
      <c r="H4108" s="679">
        <v>28.88</v>
      </c>
      <c r="I4108" s="679">
        <v>29.76</v>
      </c>
    </row>
    <row r="4109" spans="2:9" ht="30">
      <c r="B4109" s="395">
        <v>92314</v>
      </c>
      <c r="C4109" s="406" t="s">
        <v>6557</v>
      </c>
      <c r="D4109" s="395" t="s">
        <v>23</v>
      </c>
      <c r="E4109" s="407">
        <f t="shared" si="128"/>
        <v>7.62</v>
      </c>
      <c r="F4109">
        <f t="shared" si="129"/>
        <v>92314</v>
      </c>
      <c r="H4109" s="680">
        <v>7.62</v>
      </c>
      <c r="I4109" s="680">
        <v>8.09</v>
      </c>
    </row>
    <row r="4110" spans="2:9" ht="30">
      <c r="B4110" s="396">
        <v>92315</v>
      </c>
      <c r="C4110" s="401" t="s">
        <v>6558</v>
      </c>
      <c r="D4110" s="396" t="s">
        <v>23</v>
      </c>
      <c r="E4110" s="405">
        <f t="shared" si="128"/>
        <v>11.39</v>
      </c>
      <c r="F4110">
        <f t="shared" si="129"/>
        <v>92315</v>
      </c>
      <c r="H4110" s="679">
        <v>11.39</v>
      </c>
      <c r="I4110" s="679">
        <v>11.92</v>
      </c>
    </row>
    <row r="4111" spans="2:9" ht="30">
      <c r="B4111" s="395">
        <v>92316</v>
      </c>
      <c r="C4111" s="406" t="s">
        <v>6559</v>
      </c>
      <c r="D4111" s="395" t="s">
        <v>23</v>
      </c>
      <c r="E4111" s="407">
        <f t="shared" si="128"/>
        <v>17.73</v>
      </c>
      <c r="F4111">
        <f t="shared" si="129"/>
        <v>92316</v>
      </c>
      <c r="H4111" s="680">
        <v>17.73</v>
      </c>
      <c r="I4111" s="680">
        <v>18.32</v>
      </c>
    </row>
    <row r="4112" spans="2:9" ht="30">
      <c r="B4112" s="396">
        <v>92317</v>
      </c>
      <c r="C4112" s="401" t="s">
        <v>6560</v>
      </c>
      <c r="D4112" s="396" t="s">
        <v>23</v>
      </c>
      <c r="E4112" s="405">
        <f t="shared" si="128"/>
        <v>16.04</v>
      </c>
      <c r="F4112">
        <f t="shared" si="129"/>
        <v>92317</v>
      </c>
      <c r="H4112" s="679">
        <v>16.04</v>
      </c>
      <c r="I4112" s="679">
        <v>16.96</v>
      </c>
    </row>
    <row r="4113" spans="2:9" ht="30">
      <c r="B4113" s="395">
        <v>92318</v>
      </c>
      <c r="C4113" s="406" t="s">
        <v>6561</v>
      </c>
      <c r="D4113" s="395" t="s">
        <v>23</v>
      </c>
      <c r="E4113" s="407">
        <f t="shared" si="128"/>
        <v>25.8</v>
      </c>
      <c r="F4113">
        <f t="shared" si="129"/>
        <v>92318</v>
      </c>
      <c r="H4113" s="680">
        <v>25.8</v>
      </c>
      <c r="I4113" s="680">
        <v>26.87</v>
      </c>
    </row>
    <row r="4114" spans="2:9" ht="30">
      <c r="B4114" s="396">
        <v>92319</v>
      </c>
      <c r="C4114" s="401" t="s">
        <v>6562</v>
      </c>
      <c r="D4114" s="396" t="s">
        <v>23</v>
      </c>
      <c r="E4114" s="405">
        <f t="shared" si="128"/>
        <v>36.85</v>
      </c>
      <c r="F4114">
        <f t="shared" si="129"/>
        <v>92319</v>
      </c>
      <c r="H4114" s="679">
        <v>36.85</v>
      </c>
      <c r="I4114" s="679">
        <v>38.03</v>
      </c>
    </row>
    <row r="4115" spans="2:9" ht="30">
      <c r="B4115" s="395">
        <v>92326</v>
      </c>
      <c r="C4115" s="406" t="s">
        <v>6563</v>
      </c>
      <c r="D4115" s="395" t="s">
        <v>23</v>
      </c>
      <c r="E4115" s="407">
        <f t="shared" si="128"/>
        <v>12.01</v>
      </c>
      <c r="F4115">
        <f t="shared" si="129"/>
        <v>92326</v>
      </c>
      <c r="H4115" s="680">
        <v>12.01</v>
      </c>
      <c r="I4115" s="680">
        <v>12.71</v>
      </c>
    </row>
    <row r="4116" spans="2:9" ht="30">
      <c r="B4116" s="396">
        <v>92327</v>
      </c>
      <c r="C4116" s="401" t="s">
        <v>6564</v>
      </c>
      <c r="D4116" s="396" t="s">
        <v>23</v>
      </c>
      <c r="E4116" s="405">
        <f t="shared" si="128"/>
        <v>22.05</v>
      </c>
      <c r="F4116">
        <f t="shared" si="129"/>
        <v>92327</v>
      </c>
      <c r="H4116" s="679">
        <v>22.05</v>
      </c>
      <c r="I4116" s="679">
        <v>23.13</v>
      </c>
    </row>
    <row r="4117" spans="2:9" ht="30">
      <c r="B4117" s="395">
        <v>92328</v>
      </c>
      <c r="C4117" s="406" t="s">
        <v>6565</v>
      </c>
      <c r="D4117" s="395" t="s">
        <v>23</v>
      </c>
      <c r="E4117" s="407">
        <f t="shared" si="128"/>
        <v>33.31</v>
      </c>
      <c r="F4117">
        <f t="shared" si="129"/>
        <v>92328</v>
      </c>
      <c r="H4117" s="680">
        <v>33.31</v>
      </c>
      <c r="I4117" s="680">
        <v>34.700000000000003</v>
      </c>
    </row>
    <row r="4118" spans="2:9" ht="30">
      <c r="B4118" s="396">
        <v>92329</v>
      </c>
      <c r="C4118" s="401" t="s">
        <v>6566</v>
      </c>
      <c r="D4118" s="396" t="s">
        <v>23</v>
      </c>
      <c r="E4118" s="405">
        <f t="shared" si="128"/>
        <v>7.77</v>
      </c>
      <c r="F4118">
        <f t="shared" si="129"/>
        <v>92329</v>
      </c>
      <c r="H4118" s="679">
        <v>7.77</v>
      </c>
      <c r="I4118" s="679">
        <v>8.24</v>
      </c>
    </row>
    <row r="4119" spans="2:9" ht="30">
      <c r="B4119" s="395">
        <v>92330</v>
      </c>
      <c r="C4119" s="406" t="s">
        <v>6567</v>
      </c>
      <c r="D4119" s="395" t="s">
        <v>23</v>
      </c>
      <c r="E4119" s="407">
        <f t="shared" si="128"/>
        <v>13.07</v>
      </c>
      <c r="F4119">
        <f t="shared" si="129"/>
        <v>92330</v>
      </c>
      <c r="H4119" s="680">
        <v>13.07</v>
      </c>
      <c r="I4119" s="680">
        <v>13.79</v>
      </c>
    </row>
    <row r="4120" spans="2:9" ht="30">
      <c r="B4120" s="396">
        <v>92331</v>
      </c>
      <c r="C4120" s="401" t="s">
        <v>6568</v>
      </c>
      <c r="D4120" s="396" t="s">
        <v>23</v>
      </c>
      <c r="E4120" s="405">
        <f t="shared" si="128"/>
        <v>20.72</v>
      </c>
      <c r="F4120">
        <f t="shared" si="129"/>
        <v>92331</v>
      </c>
      <c r="H4120" s="679">
        <v>20.72</v>
      </c>
      <c r="I4120" s="679">
        <v>21.65</v>
      </c>
    </row>
    <row r="4121" spans="2:9" ht="30">
      <c r="B4121" s="395">
        <v>92332</v>
      </c>
      <c r="C4121" s="406" t="s">
        <v>6569</v>
      </c>
      <c r="D4121" s="395" t="s">
        <v>23</v>
      </c>
      <c r="E4121" s="407">
        <f t="shared" si="128"/>
        <v>16.309999999999999</v>
      </c>
      <c r="F4121">
        <f t="shared" si="129"/>
        <v>92332</v>
      </c>
      <c r="H4121" s="680">
        <v>16.309999999999999</v>
      </c>
      <c r="I4121" s="680">
        <v>17.260000000000002</v>
      </c>
    </row>
    <row r="4122" spans="2:9" ht="30">
      <c r="B4122" s="396">
        <v>92333</v>
      </c>
      <c r="C4122" s="401" t="s">
        <v>6570</v>
      </c>
      <c r="D4122" s="396" t="s">
        <v>23</v>
      </c>
      <c r="E4122" s="405">
        <f t="shared" si="128"/>
        <v>29.13</v>
      </c>
      <c r="F4122">
        <f t="shared" si="129"/>
        <v>92333</v>
      </c>
      <c r="H4122" s="679">
        <v>29.13</v>
      </c>
      <c r="I4122" s="679">
        <v>30.56</v>
      </c>
    </row>
    <row r="4123" spans="2:9" ht="30">
      <c r="B4123" s="395">
        <v>92334</v>
      </c>
      <c r="C4123" s="406" t="s">
        <v>6571</v>
      </c>
      <c r="D4123" s="395" t="s">
        <v>23</v>
      </c>
      <c r="E4123" s="407">
        <f t="shared" si="128"/>
        <v>42.78</v>
      </c>
      <c r="F4123">
        <f t="shared" si="129"/>
        <v>92334</v>
      </c>
      <c r="H4123" s="680">
        <v>42.78</v>
      </c>
      <c r="I4123" s="680">
        <v>44.64</v>
      </c>
    </row>
    <row r="4124" spans="2:9" ht="30">
      <c r="B4124" s="396">
        <v>92344</v>
      </c>
      <c r="C4124" s="401" t="s">
        <v>4948</v>
      </c>
      <c r="D4124" s="396" t="s">
        <v>23</v>
      </c>
      <c r="E4124" s="405">
        <f t="shared" si="128"/>
        <v>51.65</v>
      </c>
      <c r="F4124">
        <f t="shared" si="129"/>
        <v>92344</v>
      </c>
      <c r="H4124" s="679">
        <v>51.65</v>
      </c>
      <c r="I4124" s="679">
        <v>54.61</v>
      </c>
    </row>
    <row r="4125" spans="2:9" ht="30">
      <c r="B4125" s="395">
        <v>92345</v>
      </c>
      <c r="C4125" s="406" t="s">
        <v>4949</v>
      </c>
      <c r="D4125" s="395" t="s">
        <v>23</v>
      </c>
      <c r="E4125" s="407">
        <f t="shared" si="128"/>
        <v>51.63</v>
      </c>
      <c r="F4125">
        <f t="shared" si="129"/>
        <v>92345</v>
      </c>
      <c r="H4125" s="680">
        <v>51.63</v>
      </c>
      <c r="I4125" s="680">
        <v>54.59</v>
      </c>
    </row>
    <row r="4126" spans="2:9" ht="30">
      <c r="B4126" s="396">
        <v>92346</v>
      </c>
      <c r="C4126" s="401" t="s">
        <v>4950</v>
      </c>
      <c r="D4126" s="396" t="s">
        <v>23</v>
      </c>
      <c r="E4126" s="405">
        <f t="shared" si="128"/>
        <v>67.59</v>
      </c>
      <c r="F4126">
        <f t="shared" si="129"/>
        <v>92346</v>
      </c>
      <c r="H4126" s="679">
        <v>67.59</v>
      </c>
      <c r="I4126" s="679">
        <v>70.819999999999993</v>
      </c>
    </row>
    <row r="4127" spans="2:9" ht="30">
      <c r="B4127" s="395">
        <v>92347</v>
      </c>
      <c r="C4127" s="406" t="s">
        <v>4951</v>
      </c>
      <c r="D4127" s="395" t="s">
        <v>23</v>
      </c>
      <c r="E4127" s="407">
        <f t="shared" si="128"/>
        <v>75.05</v>
      </c>
      <c r="F4127">
        <f t="shared" si="129"/>
        <v>92347</v>
      </c>
      <c r="H4127" s="680">
        <v>75.05</v>
      </c>
      <c r="I4127" s="680">
        <v>78.28</v>
      </c>
    </row>
    <row r="4128" spans="2:9" ht="30">
      <c r="B4128" s="396">
        <v>92348</v>
      </c>
      <c r="C4128" s="401" t="s">
        <v>4952</v>
      </c>
      <c r="D4128" s="396" t="s">
        <v>23</v>
      </c>
      <c r="E4128" s="405">
        <f t="shared" si="128"/>
        <v>94.43</v>
      </c>
      <c r="F4128">
        <f t="shared" si="129"/>
        <v>92348</v>
      </c>
      <c r="H4128" s="679">
        <v>94.43</v>
      </c>
      <c r="I4128" s="679">
        <v>97.92</v>
      </c>
    </row>
    <row r="4129" spans="2:9" ht="30">
      <c r="B4129" s="395">
        <v>92349</v>
      </c>
      <c r="C4129" s="406" t="s">
        <v>4953</v>
      </c>
      <c r="D4129" s="395" t="s">
        <v>23</v>
      </c>
      <c r="E4129" s="407">
        <f t="shared" si="128"/>
        <v>101.07</v>
      </c>
      <c r="F4129">
        <f t="shared" si="129"/>
        <v>92349</v>
      </c>
      <c r="H4129" s="680">
        <v>101.07</v>
      </c>
      <c r="I4129" s="680">
        <v>104.56</v>
      </c>
    </row>
    <row r="4130" spans="2:9" ht="30">
      <c r="B4130" s="396">
        <v>92350</v>
      </c>
      <c r="C4130" s="401" t="s">
        <v>4954</v>
      </c>
      <c r="D4130" s="396" t="s">
        <v>23</v>
      </c>
      <c r="E4130" s="405">
        <f t="shared" si="128"/>
        <v>76.75</v>
      </c>
      <c r="F4130">
        <f t="shared" si="129"/>
        <v>92350</v>
      </c>
      <c r="H4130" s="679">
        <v>76.75</v>
      </c>
      <c r="I4130" s="679">
        <v>81.2</v>
      </c>
    </row>
    <row r="4131" spans="2:9" ht="30">
      <c r="B4131" s="395">
        <v>92351</v>
      </c>
      <c r="C4131" s="406" t="s">
        <v>4955</v>
      </c>
      <c r="D4131" s="395" t="s">
        <v>23</v>
      </c>
      <c r="E4131" s="407">
        <f t="shared" si="128"/>
        <v>75.09</v>
      </c>
      <c r="F4131">
        <f t="shared" si="129"/>
        <v>92351</v>
      </c>
      <c r="H4131" s="680">
        <v>75.09</v>
      </c>
      <c r="I4131" s="680">
        <v>79.540000000000006</v>
      </c>
    </row>
    <row r="4132" spans="2:9" ht="30">
      <c r="B4132" s="396">
        <v>92352</v>
      </c>
      <c r="C4132" s="401" t="s">
        <v>4956</v>
      </c>
      <c r="D4132" s="396" t="s">
        <v>23</v>
      </c>
      <c r="E4132" s="405">
        <f t="shared" si="128"/>
        <v>115.61</v>
      </c>
      <c r="F4132">
        <f t="shared" si="129"/>
        <v>92352</v>
      </c>
      <c r="H4132" s="679">
        <v>115.61</v>
      </c>
      <c r="I4132" s="679">
        <v>120.46</v>
      </c>
    </row>
    <row r="4133" spans="2:9" ht="30">
      <c r="B4133" s="395">
        <v>92353</v>
      </c>
      <c r="C4133" s="406" t="s">
        <v>4957</v>
      </c>
      <c r="D4133" s="395" t="s">
        <v>23</v>
      </c>
      <c r="E4133" s="407">
        <f t="shared" si="128"/>
        <v>108.31</v>
      </c>
      <c r="F4133">
        <f t="shared" si="129"/>
        <v>92353</v>
      </c>
      <c r="H4133" s="680">
        <v>108.31</v>
      </c>
      <c r="I4133" s="680">
        <v>113.16</v>
      </c>
    </row>
    <row r="4134" spans="2:9" ht="30">
      <c r="B4134" s="396">
        <v>92354</v>
      </c>
      <c r="C4134" s="401" t="s">
        <v>4958</v>
      </c>
      <c r="D4134" s="396" t="s">
        <v>23</v>
      </c>
      <c r="E4134" s="405">
        <f t="shared" si="128"/>
        <v>152.96</v>
      </c>
      <c r="F4134">
        <f t="shared" si="129"/>
        <v>92354</v>
      </c>
      <c r="H4134" s="679">
        <v>152.96</v>
      </c>
      <c r="I4134" s="679">
        <v>158.19999999999999</v>
      </c>
    </row>
    <row r="4135" spans="2:9" ht="30">
      <c r="B4135" s="395">
        <v>92355</v>
      </c>
      <c r="C4135" s="406" t="s">
        <v>4959</v>
      </c>
      <c r="D4135" s="395" t="s">
        <v>23</v>
      </c>
      <c r="E4135" s="407">
        <f t="shared" si="128"/>
        <v>138.88</v>
      </c>
      <c r="F4135">
        <f t="shared" si="129"/>
        <v>92355</v>
      </c>
      <c r="H4135" s="680">
        <v>138.88</v>
      </c>
      <c r="I4135" s="680">
        <v>144.12</v>
      </c>
    </row>
    <row r="4136" spans="2:9" ht="30">
      <c r="B4136" s="396">
        <v>92356</v>
      </c>
      <c r="C4136" s="401" t="s">
        <v>4960</v>
      </c>
      <c r="D4136" s="396" t="s">
        <v>23</v>
      </c>
      <c r="E4136" s="405">
        <f t="shared" si="128"/>
        <v>100.13</v>
      </c>
      <c r="F4136">
        <f t="shared" si="129"/>
        <v>92356</v>
      </c>
      <c r="H4136" s="679">
        <v>100.13</v>
      </c>
      <c r="I4136" s="679">
        <v>106.05</v>
      </c>
    </row>
    <row r="4137" spans="2:9" ht="30">
      <c r="B4137" s="395">
        <v>92357</v>
      </c>
      <c r="C4137" s="406" t="s">
        <v>4961</v>
      </c>
      <c r="D4137" s="395" t="s">
        <v>23</v>
      </c>
      <c r="E4137" s="407">
        <f t="shared" si="128"/>
        <v>148.13</v>
      </c>
      <c r="F4137">
        <f t="shared" si="129"/>
        <v>92357</v>
      </c>
      <c r="H4137" s="680">
        <v>148.13</v>
      </c>
      <c r="I4137" s="680">
        <v>154.58000000000001</v>
      </c>
    </row>
    <row r="4138" spans="2:9" ht="30">
      <c r="B4138" s="396">
        <v>92358</v>
      </c>
      <c r="C4138" s="401" t="s">
        <v>4962</v>
      </c>
      <c r="D4138" s="396" t="s">
        <v>23</v>
      </c>
      <c r="E4138" s="405">
        <f t="shared" si="128"/>
        <v>183.87</v>
      </c>
      <c r="F4138">
        <f t="shared" si="129"/>
        <v>92358</v>
      </c>
      <c r="H4138" s="679">
        <v>183.87</v>
      </c>
      <c r="I4138" s="679">
        <v>190.84</v>
      </c>
    </row>
    <row r="4139" spans="2:9" ht="30">
      <c r="B4139" s="395">
        <v>92369</v>
      </c>
      <c r="C4139" s="406" t="s">
        <v>4963</v>
      </c>
      <c r="D4139" s="395" t="s">
        <v>23</v>
      </c>
      <c r="E4139" s="407">
        <f t="shared" si="128"/>
        <v>28.07</v>
      </c>
      <c r="F4139">
        <f t="shared" si="129"/>
        <v>92369</v>
      </c>
      <c r="H4139" s="680">
        <v>28.07</v>
      </c>
      <c r="I4139" s="680">
        <v>30.32</v>
      </c>
    </row>
    <row r="4140" spans="2:9" ht="30">
      <c r="B4140" s="396">
        <v>92370</v>
      </c>
      <c r="C4140" s="401" t="s">
        <v>4964</v>
      </c>
      <c r="D4140" s="396" t="s">
        <v>23</v>
      </c>
      <c r="E4140" s="405">
        <f t="shared" si="128"/>
        <v>29.42</v>
      </c>
      <c r="F4140">
        <f t="shared" si="129"/>
        <v>92370</v>
      </c>
      <c r="H4140" s="679">
        <v>29.42</v>
      </c>
      <c r="I4140" s="679">
        <v>31.67</v>
      </c>
    </row>
    <row r="4141" spans="2:9" ht="30">
      <c r="B4141" s="395">
        <v>92371</v>
      </c>
      <c r="C4141" s="406" t="s">
        <v>4965</v>
      </c>
      <c r="D4141" s="395" t="s">
        <v>23</v>
      </c>
      <c r="E4141" s="407">
        <f t="shared" si="128"/>
        <v>33.85</v>
      </c>
      <c r="F4141">
        <f t="shared" si="129"/>
        <v>92371</v>
      </c>
      <c r="H4141" s="680">
        <v>33.85</v>
      </c>
      <c r="I4141" s="680">
        <v>36.299999999999997</v>
      </c>
    </row>
    <row r="4142" spans="2:9" ht="30">
      <c r="B4142" s="396">
        <v>92372</v>
      </c>
      <c r="C4142" s="401" t="s">
        <v>4966</v>
      </c>
      <c r="D4142" s="396" t="s">
        <v>23</v>
      </c>
      <c r="E4142" s="405">
        <f t="shared" si="128"/>
        <v>35.1</v>
      </c>
      <c r="F4142">
        <f t="shared" si="129"/>
        <v>92372</v>
      </c>
      <c r="H4142" s="679">
        <v>35.1</v>
      </c>
      <c r="I4142" s="679">
        <v>37.549999999999997</v>
      </c>
    </row>
    <row r="4143" spans="2:9" ht="30">
      <c r="B4143" s="395">
        <v>92373</v>
      </c>
      <c r="C4143" s="406" t="s">
        <v>4967</v>
      </c>
      <c r="D4143" s="395" t="s">
        <v>23</v>
      </c>
      <c r="E4143" s="407">
        <f t="shared" si="128"/>
        <v>39.92</v>
      </c>
      <c r="F4143">
        <f t="shared" si="129"/>
        <v>92373</v>
      </c>
      <c r="H4143" s="680">
        <v>39.92</v>
      </c>
      <c r="I4143" s="680">
        <v>42.59</v>
      </c>
    </row>
    <row r="4144" spans="2:9" ht="30">
      <c r="B4144" s="396">
        <v>92374</v>
      </c>
      <c r="C4144" s="401" t="s">
        <v>4968</v>
      </c>
      <c r="D4144" s="396" t="s">
        <v>23</v>
      </c>
      <c r="E4144" s="405">
        <f t="shared" si="128"/>
        <v>40.159999999999997</v>
      </c>
      <c r="F4144">
        <f t="shared" si="129"/>
        <v>92374</v>
      </c>
      <c r="H4144" s="679">
        <v>40.159999999999997</v>
      </c>
      <c r="I4144" s="679">
        <v>42.83</v>
      </c>
    </row>
    <row r="4145" spans="2:9" ht="30">
      <c r="B4145" s="395">
        <v>92375</v>
      </c>
      <c r="C4145" s="406" t="s">
        <v>4969</v>
      </c>
      <c r="D4145" s="395" t="s">
        <v>23</v>
      </c>
      <c r="E4145" s="407">
        <f t="shared" si="128"/>
        <v>51.6</v>
      </c>
      <c r="F4145">
        <f t="shared" si="129"/>
        <v>92375</v>
      </c>
      <c r="H4145" s="680">
        <v>51.6</v>
      </c>
      <c r="I4145" s="680">
        <v>54.57</v>
      </c>
    </row>
    <row r="4146" spans="2:9" ht="30">
      <c r="B4146" s="396">
        <v>92376</v>
      </c>
      <c r="C4146" s="401" t="s">
        <v>4970</v>
      </c>
      <c r="D4146" s="396" t="s">
        <v>23</v>
      </c>
      <c r="E4146" s="405">
        <f t="shared" si="128"/>
        <v>51.58</v>
      </c>
      <c r="F4146">
        <f t="shared" si="129"/>
        <v>92376</v>
      </c>
      <c r="H4146" s="679">
        <v>51.58</v>
      </c>
      <c r="I4146" s="679">
        <v>54.55</v>
      </c>
    </row>
    <row r="4147" spans="2:9" ht="30">
      <c r="B4147" s="395">
        <v>92377</v>
      </c>
      <c r="C4147" s="406" t="s">
        <v>4971</v>
      </c>
      <c r="D4147" s="395" t="s">
        <v>23</v>
      </c>
      <c r="E4147" s="407">
        <f t="shared" si="128"/>
        <v>68.94</v>
      </c>
      <c r="F4147">
        <f t="shared" si="129"/>
        <v>92377</v>
      </c>
      <c r="H4147" s="680">
        <v>68.94</v>
      </c>
      <c r="I4147" s="680">
        <v>72.319999999999993</v>
      </c>
    </row>
    <row r="4148" spans="2:9" ht="30">
      <c r="B4148" s="396">
        <v>92378</v>
      </c>
      <c r="C4148" s="401" t="s">
        <v>4972</v>
      </c>
      <c r="D4148" s="396" t="s">
        <v>23</v>
      </c>
      <c r="E4148" s="405">
        <f t="shared" si="128"/>
        <v>76.400000000000006</v>
      </c>
      <c r="F4148">
        <f t="shared" si="129"/>
        <v>92378</v>
      </c>
      <c r="H4148" s="679">
        <v>76.400000000000006</v>
      </c>
      <c r="I4148" s="679">
        <v>79.78</v>
      </c>
    </row>
    <row r="4149" spans="2:9" ht="30">
      <c r="B4149" s="395">
        <v>92379</v>
      </c>
      <c r="C4149" s="406" t="s">
        <v>4973</v>
      </c>
      <c r="D4149" s="395" t="s">
        <v>23</v>
      </c>
      <c r="E4149" s="407">
        <f t="shared" si="128"/>
        <v>97.2</v>
      </c>
      <c r="F4149">
        <f t="shared" si="129"/>
        <v>92379</v>
      </c>
      <c r="H4149" s="680">
        <v>97.2</v>
      </c>
      <c r="I4149" s="680">
        <v>101.01</v>
      </c>
    </row>
    <row r="4150" spans="2:9" ht="30">
      <c r="B4150" s="396">
        <v>92380</v>
      </c>
      <c r="C4150" s="401" t="s">
        <v>4974</v>
      </c>
      <c r="D4150" s="396" t="s">
        <v>23</v>
      </c>
      <c r="E4150" s="405">
        <f t="shared" si="128"/>
        <v>103.84</v>
      </c>
      <c r="F4150">
        <f t="shared" si="129"/>
        <v>92380</v>
      </c>
      <c r="H4150" s="679">
        <v>103.84</v>
      </c>
      <c r="I4150" s="679">
        <v>107.65</v>
      </c>
    </row>
    <row r="4151" spans="2:9" ht="30">
      <c r="B4151" s="395">
        <v>92381</v>
      </c>
      <c r="C4151" s="406" t="s">
        <v>4975</v>
      </c>
      <c r="D4151" s="395" t="s">
        <v>23</v>
      </c>
      <c r="E4151" s="407">
        <f t="shared" si="128"/>
        <v>42.47</v>
      </c>
      <c r="F4151">
        <f t="shared" si="129"/>
        <v>92381</v>
      </c>
      <c r="H4151" s="680">
        <v>42.47</v>
      </c>
      <c r="I4151" s="680">
        <v>45.84</v>
      </c>
    </row>
    <row r="4152" spans="2:9" ht="30">
      <c r="B4152" s="396">
        <v>92382</v>
      </c>
      <c r="C4152" s="401" t="s">
        <v>4976</v>
      </c>
      <c r="D4152" s="396" t="s">
        <v>23</v>
      </c>
      <c r="E4152" s="405">
        <f t="shared" si="128"/>
        <v>40.69</v>
      </c>
      <c r="F4152">
        <f t="shared" si="129"/>
        <v>92382</v>
      </c>
      <c r="H4152" s="679">
        <v>40.69</v>
      </c>
      <c r="I4152" s="679">
        <v>44.06</v>
      </c>
    </row>
    <row r="4153" spans="2:9" ht="30">
      <c r="B4153" s="395">
        <v>92383</v>
      </c>
      <c r="C4153" s="406" t="s">
        <v>4977</v>
      </c>
      <c r="D4153" s="395" t="s">
        <v>23</v>
      </c>
      <c r="E4153" s="407">
        <f t="shared" si="128"/>
        <v>53.28</v>
      </c>
      <c r="F4153">
        <f t="shared" si="129"/>
        <v>92383</v>
      </c>
      <c r="H4153" s="680">
        <v>53.28</v>
      </c>
      <c r="I4153" s="680">
        <v>56.96</v>
      </c>
    </row>
    <row r="4154" spans="2:9" ht="30">
      <c r="B4154" s="396">
        <v>92384</v>
      </c>
      <c r="C4154" s="401" t="s">
        <v>4978</v>
      </c>
      <c r="D4154" s="396" t="s">
        <v>23</v>
      </c>
      <c r="E4154" s="405">
        <f t="shared" si="128"/>
        <v>49.74</v>
      </c>
      <c r="F4154">
        <f t="shared" si="129"/>
        <v>92384</v>
      </c>
      <c r="H4154" s="679">
        <v>49.74</v>
      </c>
      <c r="I4154" s="679">
        <v>53.42</v>
      </c>
    </row>
    <row r="4155" spans="2:9" ht="30">
      <c r="B4155" s="395">
        <v>92385</v>
      </c>
      <c r="C4155" s="406" t="s">
        <v>4979</v>
      </c>
      <c r="D4155" s="395" t="s">
        <v>23</v>
      </c>
      <c r="E4155" s="407">
        <f t="shared" si="128"/>
        <v>61</v>
      </c>
      <c r="F4155">
        <f t="shared" si="129"/>
        <v>92385</v>
      </c>
      <c r="H4155" s="680">
        <v>61</v>
      </c>
      <c r="I4155" s="680">
        <v>65.02</v>
      </c>
    </row>
    <row r="4156" spans="2:9" ht="30">
      <c r="B4156" s="396">
        <v>92386</v>
      </c>
      <c r="C4156" s="401" t="s">
        <v>4980</v>
      </c>
      <c r="D4156" s="396" t="s">
        <v>23</v>
      </c>
      <c r="E4156" s="405">
        <f t="shared" si="128"/>
        <v>58.55</v>
      </c>
      <c r="F4156">
        <f t="shared" si="129"/>
        <v>92386</v>
      </c>
      <c r="H4156" s="679">
        <v>58.55</v>
      </c>
      <c r="I4156" s="679">
        <v>62.57</v>
      </c>
    </row>
    <row r="4157" spans="2:9" ht="30">
      <c r="B4157" s="395">
        <v>92387</v>
      </c>
      <c r="C4157" s="406" t="s">
        <v>4981</v>
      </c>
      <c r="D4157" s="395" t="s">
        <v>23</v>
      </c>
      <c r="E4157" s="407">
        <f t="shared" si="128"/>
        <v>76.67</v>
      </c>
      <c r="F4157">
        <f t="shared" si="129"/>
        <v>92387</v>
      </c>
      <c r="H4157" s="680">
        <v>76.67</v>
      </c>
      <c r="I4157" s="680">
        <v>81.11</v>
      </c>
    </row>
    <row r="4158" spans="2:9" ht="30">
      <c r="B4158" s="396">
        <v>92388</v>
      </c>
      <c r="C4158" s="401" t="s">
        <v>4982</v>
      </c>
      <c r="D4158" s="396" t="s">
        <v>23</v>
      </c>
      <c r="E4158" s="405">
        <f t="shared" si="128"/>
        <v>75.010000000000005</v>
      </c>
      <c r="F4158">
        <f t="shared" si="129"/>
        <v>92388</v>
      </c>
      <c r="H4158" s="679">
        <v>75.010000000000005</v>
      </c>
      <c r="I4158" s="679">
        <v>79.45</v>
      </c>
    </row>
    <row r="4159" spans="2:9" ht="30">
      <c r="B4159" s="395">
        <v>92389</v>
      </c>
      <c r="C4159" s="406" t="s">
        <v>4983</v>
      </c>
      <c r="D4159" s="395" t="s">
        <v>23</v>
      </c>
      <c r="E4159" s="407">
        <f t="shared" si="128"/>
        <v>117.67</v>
      </c>
      <c r="F4159">
        <f t="shared" si="129"/>
        <v>92389</v>
      </c>
      <c r="H4159" s="680">
        <v>117.67</v>
      </c>
      <c r="I4159" s="680">
        <v>122.75</v>
      </c>
    </row>
    <row r="4160" spans="2:9" ht="30">
      <c r="B4160" s="396">
        <v>92390</v>
      </c>
      <c r="C4160" s="401" t="s">
        <v>4984</v>
      </c>
      <c r="D4160" s="396" t="s">
        <v>23</v>
      </c>
      <c r="E4160" s="405">
        <f t="shared" si="128"/>
        <v>110.37</v>
      </c>
      <c r="F4160">
        <f t="shared" si="129"/>
        <v>92390</v>
      </c>
      <c r="H4160" s="679">
        <v>110.37</v>
      </c>
      <c r="I4160" s="679">
        <v>115.45</v>
      </c>
    </row>
    <row r="4161" spans="2:9" ht="30">
      <c r="B4161" s="395">
        <v>92635</v>
      </c>
      <c r="C4161" s="406" t="s">
        <v>4985</v>
      </c>
      <c r="D4161" s="395" t="s">
        <v>23</v>
      </c>
      <c r="E4161" s="407">
        <f t="shared" si="128"/>
        <v>157.12</v>
      </c>
      <c r="F4161">
        <f t="shared" si="129"/>
        <v>92635</v>
      </c>
      <c r="H4161" s="680">
        <v>157.12</v>
      </c>
      <c r="I4161" s="680">
        <v>162.83000000000001</v>
      </c>
    </row>
    <row r="4162" spans="2:9" ht="30">
      <c r="B4162" s="396">
        <v>92636</v>
      </c>
      <c r="C4162" s="401" t="s">
        <v>4986</v>
      </c>
      <c r="D4162" s="396" t="s">
        <v>23</v>
      </c>
      <c r="E4162" s="405">
        <f t="shared" si="128"/>
        <v>143.04</v>
      </c>
      <c r="F4162">
        <f t="shared" si="129"/>
        <v>92636</v>
      </c>
      <c r="H4162" s="679">
        <v>143.04</v>
      </c>
      <c r="I4162" s="679">
        <v>148.75</v>
      </c>
    </row>
    <row r="4163" spans="2:9" ht="30">
      <c r="B4163" s="395">
        <v>92637</v>
      </c>
      <c r="C4163" s="406" t="s">
        <v>4987</v>
      </c>
      <c r="D4163" s="395" t="s">
        <v>23</v>
      </c>
      <c r="E4163" s="407">
        <f t="shared" ref="E4163:E4226" si="130">IF($K$2=$H$1,H4163,I4163)</f>
        <v>54.94</v>
      </c>
      <c r="F4163">
        <f t="shared" ref="F4163:F4226" si="131">IF(LEN($B4163)=7,CONCATENATE(MID($B4163,1,6),"00",RIGHT($B4163,1)),IF(LEN($B4163)=8,CONCATENATE(MID($B4163,1,6),"0",RIGHT($B4163,2)),$B4163))</f>
        <v>92637</v>
      </c>
      <c r="H4163" s="680">
        <v>54.94</v>
      </c>
      <c r="I4163" s="680">
        <v>59.45</v>
      </c>
    </row>
    <row r="4164" spans="2:9" ht="30">
      <c r="B4164" s="396">
        <v>92638</v>
      </c>
      <c r="C4164" s="401" t="s">
        <v>4988</v>
      </c>
      <c r="D4164" s="396" t="s">
        <v>23</v>
      </c>
      <c r="E4164" s="405">
        <f t="shared" si="130"/>
        <v>66.78</v>
      </c>
      <c r="F4164">
        <f t="shared" si="131"/>
        <v>92638</v>
      </c>
      <c r="H4164" s="679">
        <v>66.78</v>
      </c>
      <c r="I4164" s="679">
        <v>71.69</v>
      </c>
    </row>
    <row r="4165" spans="2:9" ht="30">
      <c r="B4165" s="395">
        <v>92639</v>
      </c>
      <c r="C4165" s="406" t="s">
        <v>4989</v>
      </c>
      <c r="D4165" s="395" t="s">
        <v>23</v>
      </c>
      <c r="E4165" s="407">
        <f t="shared" si="130"/>
        <v>77.19</v>
      </c>
      <c r="F4165">
        <f t="shared" si="131"/>
        <v>92639</v>
      </c>
      <c r="H4165" s="680">
        <v>77.19</v>
      </c>
      <c r="I4165" s="680">
        <v>82.54</v>
      </c>
    </row>
    <row r="4166" spans="2:9" ht="30">
      <c r="B4166" s="396">
        <v>92640</v>
      </c>
      <c r="C4166" s="401" t="s">
        <v>4990</v>
      </c>
      <c r="D4166" s="396" t="s">
        <v>23</v>
      </c>
      <c r="E4166" s="405">
        <f t="shared" si="130"/>
        <v>100</v>
      </c>
      <c r="F4166">
        <f t="shared" si="131"/>
        <v>92640</v>
      </c>
      <c r="H4166" s="679">
        <v>100</v>
      </c>
      <c r="I4166" s="679">
        <v>105.92</v>
      </c>
    </row>
    <row r="4167" spans="2:9" ht="30">
      <c r="B4167" s="395">
        <v>92642</v>
      </c>
      <c r="C4167" s="406" t="s">
        <v>4991</v>
      </c>
      <c r="D4167" s="395" t="s">
        <v>23</v>
      </c>
      <c r="E4167" s="407">
        <f t="shared" si="130"/>
        <v>150.82</v>
      </c>
      <c r="F4167">
        <f t="shared" si="131"/>
        <v>92642</v>
      </c>
      <c r="H4167" s="680">
        <v>150.82</v>
      </c>
      <c r="I4167" s="680">
        <v>157.58000000000001</v>
      </c>
    </row>
    <row r="4168" spans="2:9" ht="30">
      <c r="B4168" s="396">
        <v>92644</v>
      </c>
      <c r="C4168" s="401" t="s">
        <v>4992</v>
      </c>
      <c r="D4168" s="396" t="s">
        <v>23</v>
      </c>
      <c r="E4168" s="405">
        <f t="shared" si="130"/>
        <v>189.4</v>
      </c>
      <c r="F4168">
        <f t="shared" si="131"/>
        <v>92644</v>
      </c>
      <c r="H4168" s="679">
        <v>189.4</v>
      </c>
      <c r="I4168" s="679">
        <v>197.02</v>
      </c>
    </row>
    <row r="4169" spans="2:9" ht="30">
      <c r="B4169" s="395">
        <v>92657</v>
      </c>
      <c r="C4169" s="406" t="s">
        <v>4993</v>
      </c>
      <c r="D4169" s="395" t="s">
        <v>23</v>
      </c>
      <c r="E4169" s="407">
        <f t="shared" si="130"/>
        <v>20.59</v>
      </c>
      <c r="F4169">
        <f t="shared" si="131"/>
        <v>92657</v>
      </c>
      <c r="H4169" s="680">
        <v>20.59</v>
      </c>
      <c r="I4169" s="680">
        <v>21.98</v>
      </c>
    </row>
    <row r="4170" spans="2:9" ht="30">
      <c r="B4170" s="396">
        <v>92658</v>
      </c>
      <c r="C4170" s="401" t="s">
        <v>4994</v>
      </c>
      <c r="D4170" s="396" t="s">
        <v>23</v>
      </c>
      <c r="E4170" s="405">
        <f t="shared" si="130"/>
        <v>21.94</v>
      </c>
      <c r="F4170">
        <f t="shared" si="131"/>
        <v>92658</v>
      </c>
      <c r="H4170" s="679">
        <v>21.94</v>
      </c>
      <c r="I4170" s="679">
        <v>23.33</v>
      </c>
    </row>
    <row r="4171" spans="2:9" ht="30">
      <c r="B4171" s="395">
        <v>92659</v>
      </c>
      <c r="C4171" s="406" t="s">
        <v>4995</v>
      </c>
      <c r="D4171" s="395" t="s">
        <v>23</v>
      </c>
      <c r="E4171" s="407">
        <f t="shared" si="130"/>
        <v>25.35</v>
      </c>
      <c r="F4171">
        <f t="shared" si="131"/>
        <v>92659</v>
      </c>
      <c r="H4171" s="680">
        <v>25.35</v>
      </c>
      <c r="I4171" s="680">
        <v>26.81</v>
      </c>
    </row>
    <row r="4172" spans="2:9" ht="30">
      <c r="B4172" s="396">
        <v>92660</v>
      </c>
      <c r="C4172" s="401" t="s">
        <v>4996</v>
      </c>
      <c r="D4172" s="396" t="s">
        <v>23</v>
      </c>
      <c r="E4172" s="405">
        <f t="shared" si="130"/>
        <v>26.6</v>
      </c>
      <c r="F4172">
        <f t="shared" si="131"/>
        <v>92660</v>
      </c>
      <c r="H4172" s="679">
        <v>26.6</v>
      </c>
      <c r="I4172" s="679">
        <v>28.06</v>
      </c>
    </row>
    <row r="4173" spans="2:9" ht="30">
      <c r="B4173" s="395">
        <v>92661</v>
      </c>
      <c r="C4173" s="406" t="s">
        <v>4997</v>
      </c>
      <c r="D4173" s="395" t="s">
        <v>23</v>
      </c>
      <c r="E4173" s="407">
        <f t="shared" si="130"/>
        <v>30.23</v>
      </c>
      <c r="F4173">
        <f t="shared" si="131"/>
        <v>92661</v>
      </c>
      <c r="H4173" s="680">
        <v>30.23</v>
      </c>
      <c r="I4173" s="680">
        <v>31.78</v>
      </c>
    </row>
    <row r="4174" spans="2:9" ht="30">
      <c r="B4174" s="396">
        <v>92662</v>
      </c>
      <c r="C4174" s="401" t="s">
        <v>4998</v>
      </c>
      <c r="D4174" s="396" t="s">
        <v>23</v>
      </c>
      <c r="E4174" s="405">
        <f t="shared" si="130"/>
        <v>30.47</v>
      </c>
      <c r="F4174">
        <f t="shared" si="131"/>
        <v>92662</v>
      </c>
      <c r="H4174" s="679">
        <v>30.47</v>
      </c>
      <c r="I4174" s="679">
        <v>32.020000000000003</v>
      </c>
    </row>
    <row r="4175" spans="2:9" ht="30">
      <c r="B4175" s="395">
        <v>92663</v>
      </c>
      <c r="C4175" s="406" t="s">
        <v>4999</v>
      </c>
      <c r="D4175" s="395" t="s">
        <v>23</v>
      </c>
      <c r="E4175" s="407">
        <f t="shared" si="130"/>
        <v>40.46</v>
      </c>
      <c r="F4175">
        <f t="shared" si="131"/>
        <v>92663</v>
      </c>
      <c r="H4175" s="680">
        <v>40.46</v>
      </c>
      <c r="I4175" s="680">
        <v>42.13</v>
      </c>
    </row>
    <row r="4176" spans="2:9" ht="30">
      <c r="B4176" s="396">
        <v>92664</v>
      </c>
      <c r="C4176" s="401" t="s">
        <v>5000</v>
      </c>
      <c r="D4176" s="396" t="s">
        <v>23</v>
      </c>
      <c r="E4176" s="405">
        <f t="shared" si="130"/>
        <v>40.44</v>
      </c>
      <c r="F4176">
        <f t="shared" si="131"/>
        <v>92664</v>
      </c>
      <c r="H4176" s="679">
        <v>40.44</v>
      </c>
      <c r="I4176" s="679">
        <v>42.11</v>
      </c>
    </row>
    <row r="4177" spans="2:9" ht="30">
      <c r="B4177" s="395">
        <v>92665</v>
      </c>
      <c r="C4177" s="406" t="s">
        <v>5001</v>
      </c>
      <c r="D4177" s="395" t="s">
        <v>23</v>
      </c>
      <c r="E4177" s="407">
        <f t="shared" si="130"/>
        <v>55.58</v>
      </c>
      <c r="F4177">
        <f t="shared" si="131"/>
        <v>92665</v>
      </c>
      <c r="H4177" s="680">
        <v>55.58</v>
      </c>
      <c r="I4177" s="680">
        <v>57.4</v>
      </c>
    </row>
    <row r="4178" spans="2:9" ht="30">
      <c r="B4178" s="396">
        <v>92666</v>
      </c>
      <c r="C4178" s="401" t="s">
        <v>5002</v>
      </c>
      <c r="D4178" s="396" t="s">
        <v>23</v>
      </c>
      <c r="E4178" s="405">
        <f t="shared" si="130"/>
        <v>63.04</v>
      </c>
      <c r="F4178">
        <f t="shared" si="131"/>
        <v>92666</v>
      </c>
      <c r="H4178" s="679">
        <v>63.04</v>
      </c>
      <c r="I4178" s="679">
        <v>64.86</v>
      </c>
    </row>
    <row r="4179" spans="2:9" ht="30">
      <c r="B4179" s="395">
        <v>92667</v>
      </c>
      <c r="C4179" s="406" t="s">
        <v>5003</v>
      </c>
      <c r="D4179" s="395" t="s">
        <v>23</v>
      </c>
      <c r="E4179" s="407">
        <f t="shared" si="130"/>
        <v>81.67</v>
      </c>
      <c r="F4179">
        <f t="shared" si="131"/>
        <v>92667</v>
      </c>
      <c r="H4179" s="680">
        <v>81.67</v>
      </c>
      <c r="I4179" s="680">
        <v>83.67</v>
      </c>
    </row>
    <row r="4180" spans="2:9" ht="30">
      <c r="B4180" s="396">
        <v>92668</v>
      </c>
      <c r="C4180" s="401" t="s">
        <v>5004</v>
      </c>
      <c r="D4180" s="396" t="s">
        <v>23</v>
      </c>
      <c r="E4180" s="405">
        <f t="shared" si="130"/>
        <v>88.31</v>
      </c>
      <c r="F4180">
        <f t="shared" si="131"/>
        <v>92668</v>
      </c>
      <c r="H4180" s="679">
        <v>88.31</v>
      </c>
      <c r="I4180" s="679">
        <v>90.31</v>
      </c>
    </row>
    <row r="4181" spans="2:9" ht="30">
      <c r="B4181" s="395">
        <v>92669</v>
      </c>
      <c r="C4181" s="406" t="s">
        <v>5005</v>
      </c>
      <c r="D4181" s="395" t="s">
        <v>23</v>
      </c>
      <c r="E4181" s="407">
        <f t="shared" si="130"/>
        <v>31.23</v>
      </c>
      <c r="F4181">
        <f t="shared" si="131"/>
        <v>92669</v>
      </c>
      <c r="H4181" s="680">
        <v>31.23</v>
      </c>
      <c r="I4181" s="680">
        <v>33.32</v>
      </c>
    </row>
    <row r="4182" spans="2:9" ht="30">
      <c r="B4182" s="396">
        <v>92670</v>
      </c>
      <c r="C4182" s="401" t="s">
        <v>5006</v>
      </c>
      <c r="D4182" s="396" t="s">
        <v>23</v>
      </c>
      <c r="E4182" s="405">
        <f t="shared" si="130"/>
        <v>29.45</v>
      </c>
      <c r="F4182">
        <f t="shared" si="131"/>
        <v>92670</v>
      </c>
      <c r="H4182" s="679">
        <v>29.45</v>
      </c>
      <c r="I4182" s="679">
        <v>31.54</v>
      </c>
    </row>
    <row r="4183" spans="2:9" ht="30">
      <c r="B4183" s="395">
        <v>92671</v>
      </c>
      <c r="C4183" s="406" t="s">
        <v>5007</v>
      </c>
      <c r="D4183" s="395" t="s">
        <v>23</v>
      </c>
      <c r="E4183" s="407">
        <f t="shared" si="130"/>
        <v>40.56</v>
      </c>
      <c r="F4183">
        <f t="shared" si="131"/>
        <v>92671</v>
      </c>
      <c r="H4183" s="680">
        <v>40.56</v>
      </c>
      <c r="I4183" s="680">
        <v>42.75</v>
      </c>
    </row>
    <row r="4184" spans="2:9" ht="30">
      <c r="B4184" s="396">
        <v>92672</v>
      </c>
      <c r="C4184" s="401" t="s">
        <v>5008</v>
      </c>
      <c r="D4184" s="396" t="s">
        <v>23</v>
      </c>
      <c r="E4184" s="405">
        <f t="shared" si="130"/>
        <v>37.020000000000003</v>
      </c>
      <c r="F4184">
        <f t="shared" si="131"/>
        <v>92672</v>
      </c>
      <c r="H4184" s="679">
        <v>37.020000000000003</v>
      </c>
      <c r="I4184" s="679">
        <v>39.21</v>
      </c>
    </row>
    <row r="4185" spans="2:9" ht="30">
      <c r="B4185" s="395">
        <v>92673</v>
      </c>
      <c r="C4185" s="406" t="s">
        <v>5009</v>
      </c>
      <c r="D4185" s="395" t="s">
        <v>23</v>
      </c>
      <c r="E4185" s="407">
        <f t="shared" si="130"/>
        <v>46.49</v>
      </c>
      <c r="F4185">
        <f t="shared" si="131"/>
        <v>92673</v>
      </c>
      <c r="H4185" s="680">
        <v>46.49</v>
      </c>
      <c r="I4185" s="680">
        <v>48.82</v>
      </c>
    </row>
    <row r="4186" spans="2:9" ht="30">
      <c r="B4186" s="396">
        <v>92674</v>
      </c>
      <c r="C4186" s="401" t="s">
        <v>5010</v>
      </c>
      <c r="D4186" s="396" t="s">
        <v>23</v>
      </c>
      <c r="E4186" s="405">
        <f t="shared" si="130"/>
        <v>44.04</v>
      </c>
      <c r="F4186">
        <f t="shared" si="131"/>
        <v>92674</v>
      </c>
      <c r="H4186" s="679">
        <v>44.04</v>
      </c>
      <c r="I4186" s="679">
        <v>46.37</v>
      </c>
    </row>
    <row r="4187" spans="2:9" ht="30">
      <c r="B4187" s="395">
        <v>92675</v>
      </c>
      <c r="C4187" s="406" t="s">
        <v>5011</v>
      </c>
      <c r="D4187" s="395" t="s">
        <v>23</v>
      </c>
      <c r="E4187" s="407">
        <f t="shared" si="130"/>
        <v>59.99</v>
      </c>
      <c r="F4187">
        <f t="shared" si="131"/>
        <v>92675</v>
      </c>
      <c r="H4187" s="680">
        <v>59.99</v>
      </c>
      <c r="I4187" s="680">
        <v>62.49</v>
      </c>
    </row>
    <row r="4188" spans="2:9" ht="30">
      <c r="B4188" s="396">
        <v>92676</v>
      </c>
      <c r="C4188" s="401" t="s">
        <v>5012</v>
      </c>
      <c r="D4188" s="396" t="s">
        <v>23</v>
      </c>
      <c r="E4188" s="405">
        <f t="shared" si="130"/>
        <v>58.33</v>
      </c>
      <c r="F4188">
        <f t="shared" si="131"/>
        <v>92676</v>
      </c>
      <c r="H4188" s="679">
        <v>58.33</v>
      </c>
      <c r="I4188" s="679">
        <v>60.83</v>
      </c>
    </row>
    <row r="4189" spans="2:9" ht="30">
      <c r="B4189" s="395">
        <v>92677</v>
      </c>
      <c r="C4189" s="406" t="s">
        <v>5013</v>
      </c>
      <c r="D4189" s="395" t="s">
        <v>23</v>
      </c>
      <c r="E4189" s="407">
        <f t="shared" si="130"/>
        <v>97.67</v>
      </c>
      <c r="F4189">
        <f t="shared" si="131"/>
        <v>92677</v>
      </c>
      <c r="H4189" s="680">
        <v>97.67</v>
      </c>
      <c r="I4189" s="680">
        <v>100.42</v>
      </c>
    </row>
    <row r="4190" spans="2:9" ht="30">
      <c r="B4190" s="396">
        <v>92678</v>
      </c>
      <c r="C4190" s="401" t="s">
        <v>5014</v>
      </c>
      <c r="D4190" s="396" t="s">
        <v>23</v>
      </c>
      <c r="E4190" s="405">
        <f t="shared" si="130"/>
        <v>90.37</v>
      </c>
      <c r="F4190">
        <f t="shared" si="131"/>
        <v>92678</v>
      </c>
      <c r="H4190" s="679">
        <v>90.37</v>
      </c>
      <c r="I4190" s="679">
        <v>93.12</v>
      </c>
    </row>
    <row r="4191" spans="2:9" ht="30">
      <c r="B4191" s="395">
        <v>92679</v>
      </c>
      <c r="C4191" s="406" t="s">
        <v>5015</v>
      </c>
      <c r="D4191" s="395" t="s">
        <v>23</v>
      </c>
      <c r="E4191" s="407">
        <f t="shared" si="130"/>
        <v>133.83000000000001</v>
      </c>
      <c r="F4191">
        <f t="shared" si="131"/>
        <v>92679</v>
      </c>
      <c r="H4191" s="680">
        <v>133.83000000000001</v>
      </c>
      <c r="I4191" s="680">
        <v>136.83000000000001</v>
      </c>
    </row>
    <row r="4192" spans="2:9" ht="30">
      <c r="B4192" s="396">
        <v>92680</v>
      </c>
      <c r="C4192" s="401" t="s">
        <v>5016</v>
      </c>
      <c r="D4192" s="396" t="s">
        <v>23</v>
      </c>
      <c r="E4192" s="405">
        <f t="shared" si="130"/>
        <v>119.75</v>
      </c>
      <c r="F4192">
        <f t="shared" si="131"/>
        <v>92680</v>
      </c>
      <c r="H4192" s="679">
        <v>119.75</v>
      </c>
      <c r="I4192" s="679">
        <v>122.75</v>
      </c>
    </row>
    <row r="4193" spans="2:9" ht="30">
      <c r="B4193" s="395">
        <v>92681</v>
      </c>
      <c r="C4193" s="406" t="s">
        <v>5017</v>
      </c>
      <c r="D4193" s="395" t="s">
        <v>23</v>
      </c>
      <c r="E4193" s="407">
        <f t="shared" si="130"/>
        <v>39.950000000000003</v>
      </c>
      <c r="F4193">
        <f t="shared" si="131"/>
        <v>92681</v>
      </c>
      <c r="H4193" s="680">
        <v>39.950000000000003</v>
      </c>
      <c r="I4193" s="680">
        <v>42.72</v>
      </c>
    </row>
    <row r="4194" spans="2:9" ht="30">
      <c r="B4194" s="396">
        <v>92682</v>
      </c>
      <c r="C4194" s="401" t="s">
        <v>5018</v>
      </c>
      <c r="D4194" s="396" t="s">
        <v>23</v>
      </c>
      <c r="E4194" s="405">
        <f t="shared" si="130"/>
        <v>49.75</v>
      </c>
      <c r="F4194">
        <f t="shared" si="131"/>
        <v>92682</v>
      </c>
      <c r="H4194" s="679">
        <v>49.75</v>
      </c>
      <c r="I4194" s="679">
        <v>52.68</v>
      </c>
    </row>
    <row r="4195" spans="2:9" ht="30">
      <c r="B4195" s="395">
        <v>92683</v>
      </c>
      <c r="C4195" s="406" t="s">
        <v>5019</v>
      </c>
      <c r="D4195" s="395" t="s">
        <v>23</v>
      </c>
      <c r="E4195" s="407">
        <f t="shared" si="130"/>
        <v>57.86</v>
      </c>
      <c r="F4195">
        <f t="shared" si="131"/>
        <v>92683</v>
      </c>
      <c r="H4195" s="680">
        <v>57.86</v>
      </c>
      <c r="I4195" s="680">
        <v>60.96</v>
      </c>
    </row>
    <row r="4196" spans="2:9" ht="30">
      <c r="B4196" s="396">
        <v>92684</v>
      </c>
      <c r="C4196" s="401" t="s">
        <v>5020</v>
      </c>
      <c r="D4196" s="396" t="s">
        <v>23</v>
      </c>
      <c r="E4196" s="405">
        <f t="shared" si="130"/>
        <v>77.75</v>
      </c>
      <c r="F4196">
        <f t="shared" si="131"/>
        <v>92684</v>
      </c>
      <c r="H4196" s="679">
        <v>77.75</v>
      </c>
      <c r="I4196" s="679">
        <v>81.08</v>
      </c>
    </row>
    <row r="4197" spans="2:9" ht="30">
      <c r="B4197" s="395">
        <v>92685</v>
      </c>
      <c r="C4197" s="406" t="s">
        <v>5021</v>
      </c>
      <c r="D4197" s="395" t="s">
        <v>23</v>
      </c>
      <c r="E4197" s="407">
        <f t="shared" si="130"/>
        <v>124.18</v>
      </c>
      <c r="F4197">
        <f t="shared" si="131"/>
        <v>92685</v>
      </c>
      <c r="H4197" s="680">
        <v>124.18</v>
      </c>
      <c r="I4197" s="680">
        <v>127.84</v>
      </c>
    </row>
    <row r="4198" spans="2:9" ht="30">
      <c r="B4198" s="396">
        <v>92686</v>
      </c>
      <c r="C4198" s="401" t="s">
        <v>5022</v>
      </c>
      <c r="D4198" s="396" t="s">
        <v>23</v>
      </c>
      <c r="E4198" s="405">
        <f t="shared" si="130"/>
        <v>158.33000000000001</v>
      </c>
      <c r="F4198">
        <f t="shared" si="131"/>
        <v>92686</v>
      </c>
      <c r="H4198" s="679">
        <v>158.33000000000001</v>
      </c>
      <c r="I4198" s="679">
        <v>162.33000000000001</v>
      </c>
    </row>
    <row r="4199" spans="2:9" ht="30">
      <c r="B4199" s="395">
        <v>92692</v>
      </c>
      <c r="C4199" s="406" t="s">
        <v>5023</v>
      </c>
      <c r="D4199" s="395" t="s">
        <v>23</v>
      </c>
      <c r="E4199" s="407">
        <f t="shared" si="130"/>
        <v>11.13</v>
      </c>
      <c r="F4199">
        <f t="shared" si="131"/>
        <v>92692</v>
      </c>
      <c r="H4199" s="680">
        <v>11.13</v>
      </c>
      <c r="I4199" s="680">
        <v>11.93</v>
      </c>
    </row>
    <row r="4200" spans="2:9" ht="30">
      <c r="B4200" s="396">
        <v>92693</v>
      </c>
      <c r="C4200" s="401" t="s">
        <v>5024</v>
      </c>
      <c r="D4200" s="396" t="s">
        <v>23</v>
      </c>
      <c r="E4200" s="405">
        <f t="shared" si="130"/>
        <v>11.43</v>
      </c>
      <c r="F4200">
        <f t="shared" si="131"/>
        <v>92693</v>
      </c>
      <c r="H4200" s="679">
        <v>11.43</v>
      </c>
      <c r="I4200" s="679">
        <v>12.23</v>
      </c>
    </row>
    <row r="4201" spans="2:9" ht="30">
      <c r="B4201" s="395">
        <v>92694</v>
      </c>
      <c r="C4201" s="406" t="s">
        <v>5025</v>
      </c>
      <c r="D4201" s="395" t="s">
        <v>23</v>
      </c>
      <c r="E4201" s="407">
        <f t="shared" si="130"/>
        <v>17.71</v>
      </c>
      <c r="F4201">
        <f t="shared" si="131"/>
        <v>92694</v>
      </c>
      <c r="H4201" s="680">
        <v>17.71</v>
      </c>
      <c r="I4201" s="680">
        <v>19.07</v>
      </c>
    </row>
    <row r="4202" spans="2:9" ht="30">
      <c r="B4202" s="396">
        <v>92695</v>
      </c>
      <c r="C4202" s="401" t="s">
        <v>5026</v>
      </c>
      <c r="D4202" s="396" t="s">
        <v>23</v>
      </c>
      <c r="E4202" s="405">
        <f t="shared" si="130"/>
        <v>18.010000000000002</v>
      </c>
      <c r="F4202">
        <f t="shared" si="131"/>
        <v>92695</v>
      </c>
      <c r="H4202" s="679">
        <v>18.010000000000002</v>
      </c>
      <c r="I4202" s="679">
        <v>19.37</v>
      </c>
    </row>
    <row r="4203" spans="2:9" ht="30">
      <c r="B4203" s="395">
        <v>92696</v>
      </c>
      <c r="C4203" s="406" t="s">
        <v>5027</v>
      </c>
      <c r="D4203" s="395" t="s">
        <v>23</v>
      </c>
      <c r="E4203" s="407">
        <f t="shared" si="130"/>
        <v>27.76</v>
      </c>
      <c r="F4203">
        <f t="shared" si="131"/>
        <v>92696</v>
      </c>
      <c r="H4203" s="680">
        <v>27.76</v>
      </c>
      <c r="I4203" s="680">
        <v>29.97</v>
      </c>
    </row>
    <row r="4204" spans="2:9" ht="30">
      <c r="B4204" s="396">
        <v>92697</v>
      </c>
      <c r="C4204" s="401" t="s">
        <v>5028</v>
      </c>
      <c r="D4204" s="396" t="s">
        <v>23</v>
      </c>
      <c r="E4204" s="405">
        <f t="shared" si="130"/>
        <v>29.11</v>
      </c>
      <c r="F4204">
        <f t="shared" si="131"/>
        <v>92697</v>
      </c>
      <c r="H4204" s="679">
        <v>29.11</v>
      </c>
      <c r="I4204" s="679">
        <v>31.32</v>
      </c>
    </row>
    <row r="4205" spans="2:9" ht="30">
      <c r="B4205" s="395">
        <v>92698</v>
      </c>
      <c r="C4205" s="406" t="s">
        <v>5029</v>
      </c>
      <c r="D4205" s="395" t="s">
        <v>23</v>
      </c>
      <c r="E4205" s="407">
        <f t="shared" si="130"/>
        <v>16.43</v>
      </c>
      <c r="F4205">
        <f t="shared" si="131"/>
        <v>92698</v>
      </c>
      <c r="H4205" s="680">
        <v>16.43</v>
      </c>
      <c r="I4205" s="680">
        <v>17.63</v>
      </c>
    </row>
    <row r="4206" spans="2:9" ht="30">
      <c r="B4206" s="396">
        <v>92699</v>
      </c>
      <c r="C4206" s="401" t="s">
        <v>5030</v>
      </c>
      <c r="D4206" s="396" t="s">
        <v>23</v>
      </c>
      <c r="E4206" s="405">
        <f t="shared" si="130"/>
        <v>15.45</v>
      </c>
      <c r="F4206">
        <f t="shared" si="131"/>
        <v>92699</v>
      </c>
      <c r="H4206" s="679">
        <v>15.45</v>
      </c>
      <c r="I4206" s="679">
        <v>16.649999999999999</v>
      </c>
    </row>
    <row r="4207" spans="2:9" ht="30">
      <c r="B4207" s="395">
        <v>92700</v>
      </c>
      <c r="C4207" s="406" t="s">
        <v>5031</v>
      </c>
      <c r="D4207" s="395" t="s">
        <v>23</v>
      </c>
      <c r="E4207" s="407">
        <f t="shared" si="130"/>
        <v>26.85</v>
      </c>
      <c r="F4207">
        <f t="shared" si="131"/>
        <v>92700</v>
      </c>
      <c r="H4207" s="680">
        <v>26.85</v>
      </c>
      <c r="I4207" s="680">
        <v>28.9</v>
      </c>
    </row>
    <row r="4208" spans="2:9" ht="30">
      <c r="B4208" s="396">
        <v>92701</v>
      </c>
      <c r="C4208" s="401" t="s">
        <v>5032</v>
      </c>
      <c r="D4208" s="396" t="s">
        <v>23</v>
      </c>
      <c r="E4208" s="405">
        <f t="shared" si="130"/>
        <v>25.41</v>
      </c>
      <c r="F4208">
        <f t="shared" si="131"/>
        <v>92701</v>
      </c>
      <c r="H4208" s="679">
        <v>25.41</v>
      </c>
      <c r="I4208" s="679">
        <v>27.46</v>
      </c>
    </row>
    <row r="4209" spans="2:9" ht="30">
      <c r="B4209" s="395">
        <v>92702</v>
      </c>
      <c r="C4209" s="406" t="s">
        <v>5033</v>
      </c>
      <c r="D4209" s="395" t="s">
        <v>23</v>
      </c>
      <c r="E4209" s="407">
        <f t="shared" si="130"/>
        <v>42.03</v>
      </c>
      <c r="F4209">
        <f t="shared" si="131"/>
        <v>92702</v>
      </c>
      <c r="H4209" s="680">
        <v>42.03</v>
      </c>
      <c r="I4209" s="680">
        <v>45.36</v>
      </c>
    </row>
    <row r="4210" spans="2:9" ht="30">
      <c r="B4210" s="396">
        <v>92703</v>
      </c>
      <c r="C4210" s="401" t="s">
        <v>5034</v>
      </c>
      <c r="D4210" s="396" t="s">
        <v>23</v>
      </c>
      <c r="E4210" s="405">
        <f t="shared" si="130"/>
        <v>40.25</v>
      </c>
      <c r="F4210">
        <f t="shared" si="131"/>
        <v>92703</v>
      </c>
      <c r="H4210" s="679">
        <v>40.25</v>
      </c>
      <c r="I4210" s="679">
        <v>43.58</v>
      </c>
    </row>
    <row r="4211" spans="2:9" ht="30">
      <c r="B4211" s="395">
        <v>92704</v>
      </c>
      <c r="C4211" s="406" t="s">
        <v>5035</v>
      </c>
      <c r="D4211" s="395" t="s">
        <v>23</v>
      </c>
      <c r="E4211" s="407">
        <f t="shared" si="130"/>
        <v>20.84</v>
      </c>
      <c r="F4211">
        <f t="shared" si="131"/>
        <v>92704</v>
      </c>
      <c r="H4211" s="680">
        <v>20.84</v>
      </c>
      <c r="I4211" s="680">
        <v>22.43</v>
      </c>
    </row>
    <row r="4212" spans="2:9" ht="30">
      <c r="B4212" s="396">
        <v>92705</v>
      </c>
      <c r="C4212" s="401" t="s">
        <v>5036</v>
      </c>
      <c r="D4212" s="396" t="s">
        <v>23</v>
      </c>
      <c r="E4212" s="405">
        <f t="shared" si="130"/>
        <v>33.590000000000003</v>
      </c>
      <c r="F4212">
        <f t="shared" si="131"/>
        <v>92705</v>
      </c>
      <c r="H4212" s="679">
        <v>33.590000000000003</v>
      </c>
      <c r="I4212" s="679">
        <v>36.32</v>
      </c>
    </row>
    <row r="4213" spans="2:9" ht="30">
      <c r="B4213" s="395">
        <v>92706</v>
      </c>
      <c r="C4213" s="406" t="s">
        <v>5037</v>
      </c>
      <c r="D4213" s="395" t="s">
        <v>23</v>
      </c>
      <c r="E4213" s="407">
        <f t="shared" si="130"/>
        <v>54.35</v>
      </c>
      <c r="F4213">
        <f t="shared" si="131"/>
        <v>92706</v>
      </c>
      <c r="H4213" s="680">
        <v>54.35</v>
      </c>
      <c r="I4213" s="680">
        <v>58.79</v>
      </c>
    </row>
    <row r="4214" spans="2:9" ht="30">
      <c r="B4214" s="396">
        <v>92889</v>
      </c>
      <c r="C4214" s="401" t="s">
        <v>5038</v>
      </c>
      <c r="D4214" s="396" t="s">
        <v>23</v>
      </c>
      <c r="E4214" s="405">
        <f t="shared" si="130"/>
        <v>100.11</v>
      </c>
      <c r="F4214">
        <f t="shared" si="131"/>
        <v>92889</v>
      </c>
      <c r="H4214" s="679">
        <v>100.11</v>
      </c>
      <c r="I4214" s="679">
        <v>103.07</v>
      </c>
    </row>
    <row r="4215" spans="2:9" ht="30">
      <c r="B4215" s="395">
        <v>92890</v>
      </c>
      <c r="C4215" s="406" t="s">
        <v>5039</v>
      </c>
      <c r="D4215" s="395" t="s">
        <v>23</v>
      </c>
      <c r="E4215" s="407">
        <f t="shared" si="130"/>
        <v>150.94</v>
      </c>
      <c r="F4215">
        <f t="shared" si="131"/>
        <v>92890</v>
      </c>
      <c r="H4215" s="680">
        <v>150.94</v>
      </c>
      <c r="I4215" s="680">
        <v>154.16999999999999</v>
      </c>
    </row>
    <row r="4216" spans="2:9" ht="30">
      <c r="B4216" s="396">
        <v>92891</v>
      </c>
      <c r="C4216" s="401" t="s">
        <v>5040</v>
      </c>
      <c r="D4216" s="396" t="s">
        <v>23</v>
      </c>
      <c r="E4216" s="405">
        <f t="shared" si="130"/>
        <v>220.53</v>
      </c>
      <c r="F4216">
        <f t="shared" si="131"/>
        <v>92891</v>
      </c>
      <c r="H4216" s="679">
        <v>220.53</v>
      </c>
      <c r="I4216" s="679">
        <v>224.02</v>
      </c>
    </row>
    <row r="4217" spans="2:9" ht="30">
      <c r="B4217" s="395">
        <v>92892</v>
      </c>
      <c r="C4217" s="406" t="s">
        <v>5041</v>
      </c>
      <c r="D4217" s="395" t="s">
        <v>23</v>
      </c>
      <c r="E4217" s="407">
        <f t="shared" si="130"/>
        <v>43.85</v>
      </c>
      <c r="F4217">
        <f t="shared" si="131"/>
        <v>92892</v>
      </c>
      <c r="H4217" s="680">
        <v>43.85</v>
      </c>
      <c r="I4217" s="680">
        <v>46.1</v>
      </c>
    </row>
    <row r="4218" spans="2:9" ht="30">
      <c r="B4218" s="396">
        <v>92893</v>
      </c>
      <c r="C4218" s="401" t="s">
        <v>5042</v>
      </c>
      <c r="D4218" s="396" t="s">
        <v>23</v>
      </c>
      <c r="E4218" s="405">
        <f t="shared" si="130"/>
        <v>61.92</v>
      </c>
      <c r="F4218">
        <f t="shared" si="131"/>
        <v>92893</v>
      </c>
      <c r="H4218" s="679">
        <v>61.92</v>
      </c>
      <c r="I4218" s="679">
        <v>64.37</v>
      </c>
    </row>
    <row r="4219" spans="2:9" ht="30">
      <c r="B4219" s="395">
        <v>92894</v>
      </c>
      <c r="C4219" s="406" t="s">
        <v>5043</v>
      </c>
      <c r="D4219" s="395" t="s">
        <v>23</v>
      </c>
      <c r="E4219" s="407">
        <f t="shared" si="130"/>
        <v>73.83</v>
      </c>
      <c r="F4219">
        <f t="shared" si="131"/>
        <v>92894</v>
      </c>
      <c r="H4219" s="680">
        <v>73.83</v>
      </c>
      <c r="I4219" s="680">
        <v>76.5</v>
      </c>
    </row>
    <row r="4220" spans="2:9" ht="30">
      <c r="B4220" s="396">
        <v>92895</v>
      </c>
      <c r="C4220" s="401" t="s">
        <v>5044</v>
      </c>
      <c r="D4220" s="396" t="s">
        <v>23</v>
      </c>
      <c r="E4220" s="405">
        <f t="shared" si="130"/>
        <v>100.06</v>
      </c>
      <c r="F4220">
        <f t="shared" si="131"/>
        <v>92895</v>
      </c>
      <c r="H4220" s="679">
        <v>100.06</v>
      </c>
      <c r="I4220" s="679">
        <v>103.03</v>
      </c>
    </row>
    <row r="4221" spans="2:9" ht="30">
      <c r="B4221" s="395">
        <v>92896</v>
      </c>
      <c r="C4221" s="406" t="s">
        <v>5045</v>
      </c>
      <c r="D4221" s="395" t="s">
        <v>23</v>
      </c>
      <c r="E4221" s="407">
        <f t="shared" si="130"/>
        <v>152.29</v>
      </c>
      <c r="F4221">
        <f t="shared" si="131"/>
        <v>92896</v>
      </c>
      <c r="H4221" s="680">
        <v>152.29</v>
      </c>
      <c r="I4221" s="680">
        <v>155.66999999999999</v>
      </c>
    </row>
    <row r="4222" spans="2:9" ht="30">
      <c r="B4222" s="396">
        <v>92897</v>
      </c>
      <c r="C4222" s="401" t="s">
        <v>5046</v>
      </c>
      <c r="D4222" s="396" t="s">
        <v>23</v>
      </c>
      <c r="E4222" s="405">
        <f t="shared" si="130"/>
        <v>223.3</v>
      </c>
      <c r="F4222">
        <f t="shared" si="131"/>
        <v>92897</v>
      </c>
      <c r="H4222" s="679">
        <v>223.3</v>
      </c>
      <c r="I4222" s="679">
        <v>227.11</v>
      </c>
    </row>
    <row r="4223" spans="2:9" ht="30">
      <c r="B4223" s="395">
        <v>92898</v>
      </c>
      <c r="C4223" s="406" t="s">
        <v>5047</v>
      </c>
      <c r="D4223" s="395" t="s">
        <v>23</v>
      </c>
      <c r="E4223" s="407">
        <f t="shared" si="130"/>
        <v>36.369999999999997</v>
      </c>
      <c r="F4223">
        <f t="shared" si="131"/>
        <v>92898</v>
      </c>
      <c r="H4223" s="680">
        <v>36.369999999999997</v>
      </c>
      <c r="I4223" s="680">
        <v>37.76</v>
      </c>
    </row>
    <row r="4224" spans="2:9" ht="30">
      <c r="B4224" s="396">
        <v>92899</v>
      </c>
      <c r="C4224" s="401" t="s">
        <v>5048</v>
      </c>
      <c r="D4224" s="396" t="s">
        <v>23</v>
      </c>
      <c r="E4224" s="405">
        <f t="shared" si="130"/>
        <v>53.42</v>
      </c>
      <c r="F4224">
        <f t="shared" si="131"/>
        <v>92899</v>
      </c>
      <c r="H4224" s="679">
        <v>53.42</v>
      </c>
      <c r="I4224" s="679">
        <v>54.88</v>
      </c>
    </row>
    <row r="4225" spans="2:9" ht="30">
      <c r="B4225" s="395">
        <v>92900</v>
      </c>
      <c r="C4225" s="406" t="s">
        <v>5049</v>
      </c>
      <c r="D4225" s="395" t="s">
        <v>23</v>
      </c>
      <c r="E4225" s="407">
        <f t="shared" si="130"/>
        <v>64.14</v>
      </c>
      <c r="F4225">
        <f t="shared" si="131"/>
        <v>92900</v>
      </c>
      <c r="H4225" s="680">
        <v>64.14</v>
      </c>
      <c r="I4225" s="680">
        <v>65.69</v>
      </c>
    </row>
    <row r="4226" spans="2:9" ht="30">
      <c r="B4226" s="396">
        <v>92901</v>
      </c>
      <c r="C4226" s="401" t="s">
        <v>5050</v>
      </c>
      <c r="D4226" s="396" t="s">
        <v>23</v>
      </c>
      <c r="E4226" s="405">
        <f t="shared" si="130"/>
        <v>88.92</v>
      </c>
      <c r="F4226">
        <f t="shared" si="131"/>
        <v>92901</v>
      </c>
      <c r="H4226" s="679">
        <v>88.92</v>
      </c>
      <c r="I4226" s="679">
        <v>90.59</v>
      </c>
    </row>
    <row r="4227" spans="2:9" ht="30">
      <c r="B4227" s="395">
        <v>92902</v>
      </c>
      <c r="C4227" s="406" t="s">
        <v>5051</v>
      </c>
      <c r="D4227" s="395" t="s">
        <v>23</v>
      </c>
      <c r="E4227" s="407">
        <f t="shared" ref="E4227:E4290" si="132">IF($K$2=$H$1,H4227,I4227)</f>
        <v>138.93</v>
      </c>
      <c r="F4227">
        <f t="shared" ref="F4227:F4290" si="133">IF(LEN($B4227)=7,CONCATENATE(MID($B4227,1,6),"00",RIGHT($B4227,1)),IF(LEN($B4227)=8,CONCATENATE(MID($B4227,1,6),"0",RIGHT($B4227,2)),$B4227))</f>
        <v>92902</v>
      </c>
      <c r="H4227" s="680">
        <v>138.93</v>
      </c>
      <c r="I4227" s="680">
        <v>140.75</v>
      </c>
    </row>
    <row r="4228" spans="2:9" ht="30">
      <c r="B4228" s="396">
        <v>92903</v>
      </c>
      <c r="C4228" s="401" t="s">
        <v>5052</v>
      </c>
      <c r="D4228" s="396" t="s">
        <v>23</v>
      </c>
      <c r="E4228" s="405">
        <f t="shared" si="132"/>
        <v>207.77</v>
      </c>
      <c r="F4228">
        <f t="shared" si="133"/>
        <v>92903</v>
      </c>
      <c r="H4228" s="679">
        <v>207.77</v>
      </c>
      <c r="I4228" s="679">
        <v>209.77</v>
      </c>
    </row>
    <row r="4229" spans="2:9" ht="30">
      <c r="B4229" s="395">
        <v>92904</v>
      </c>
      <c r="C4229" s="406" t="s">
        <v>5053</v>
      </c>
      <c r="D4229" s="395" t="s">
        <v>23</v>
      </c>
      <c r="E4229" s="407">
        <f t="shared" si="132"/>
        <v>24.67</v>
      </c>
      <c r="F4229">
        <f t="shared" si="133"/>
        <v>92904</v>
      </c>
      <c r="H4229" s="680">
        <v>24.67</v>
      </c>
      <c r="I4229" s="680">
        <v>25.47</v>
      </c>
    </row>
    <row r="4230" spans="2:9" ht="30">
      <c r="B4230" s="396">
        <v>92905</v>
      </c>
      <c r="C4230" s="401" t="s">
        <v>5054</v>
      </c>
      <c r="D4230" s="396" t="s">
        <v>23</v>
      </c>
      <c r="E4230" s="405">
        <f t="shared" si="132"/>
        <v>35.380000000000003</v>
      </c>
      <c r="F4230">
        <f t="shared" si="133"/>
        <v>92905</v>
      </c>
      <c r="H4230" s="679">
        <v>35.380000000000003</v>
      </c>
      <c r="I4230" s="679">
        <v>36.74</v>
      </c>
    </row>
    <row r="4231" spans="2:9" ht="30">
      <c r="B4231" s="395">
        <v>92906</v>
      </c>
      <c r="C4231" s="406" t="s">
        <v>5055</v>
      </c>
      <c r="D4231" s="395" t="s">
        <v>23</v>
      </c>
      <c r="E4231" s="407">
        <f t="shared" si="132"/>
        <v>43.54</v>
      </c>
      <c r="F4231">
        <f t="shared" si="133"/>
        <v>92906</v>
      </c>
      <c r="H4231" s="680">
        <v>43.54</v>
      </c>
      <c r="I4231" s="680">
        <v>45.75</v>
      </c>
    </row>
    <row r="4232" spans="2:9" ht="30">
      <c r="B4232" s="396">
        <v>92907</v>
      </c>
      <c r="C4232" s="401" t="s">
        <v>5056</v>
      </c>
      <c r="D4232" s="396" t="s">
        <v>23</v>
      </c>
      <c r="E4232" s="405">
        <f t="shared" si="132"/>
        <v>54.45</v>
      </c>
      <c r="F4232">
        <f t="shared" si="133"/>
        <v>92907</v>
      </c>
      <c r="H4232" s="679">
        <v>54.45</v>
      </c>
      <c r="I4232" s="679">
        <v>57.41</v>
      </c>
    </row>
    <row r="4233" spans="2:9" ht="30">
      <c r="B4233" s="395">
        <v>92908</v>
      </c>
      <c r="C4233" s="406" t="s">
        <v>5057</v>
      </c>
      <c r="D4233" s="395" t="s">
        <v>23</v>
      </c>
      <c r="E4233" s="407">
        <f t="shared" si="132"/>
        <v>54.45</v>
      </c>
      <c r="F4233">
        <f t="shared" si="133"/>
        <v>92908</v>
      </c>
      <c r="H4233" s="680">
        <v>54.45</v>
      </c>
      <c r="I4233" s="680">
        <v>57.41</v>
      </c>
    </row>
    <row r="4234" spans="2:9" ht="30">
      <c r="B4234" s="396">
        <v>92909</v>
      </c>
      <c r="C4234" s="401" t="s">
        <v>5058</v>
      </c>
      <c r="D4234" s="396" t="s">
        <v>23</v>
      </c>
      <c r="E4234" s="405">
        <f t="shared" si="132"/>
        <v>54.45</v>
      </c>
      <c r="F4234">
        <f t="shared" si="133"/>
        <v>92909</v>
      </c>
      <c r="H4234" s="679">
        <v>54.45</v>
      </c>
      <c r="I4234" s="679">
        <v>57.41</v>
      </c>
    </row>
    <row r="4235" spans="2:9" ht="30">
      <c r="B4235" s="395">
        <v>92910</v>
      </c>
      <c r="C4235" s="406" t="s">
        <v>5059</v>
      </c>
      <c r="D4235" s="395" t="s">
        <v>23</v>
      </c>
      <c r="E4235" s="407">
        <f t="shared" si="132"/>
        <v>78.209999999999994</v>
      </c>
      <c r="F4235">
        <f t="shared" si="133"/>
        <v>92910</v>
      </c>
      <c r="H4235" s="680">
        <v>78.209999999999994</v>
      </c>
      <c r="I4235" s="680">
        <v>81.44</v>
      </c>
    </row>
    <row r="4236" spans="2:9" ht="30">
      <c r="B4236" s="396">
        <v>92911</v>
      </c>
      <c r="C4236" s="401" t="s">
        <v>5060</v>
      </c>
      <c r="D4236" s="396" t="s">
        <v>23</v>
      </c>
      <c r="E4236" s="405">
        <f t="shared" si="132"/>
        <v>78.209999999999994</v>
      </c>
      <c r="F4236">
        <f t="shared" si="133"/>
        <v>92911</v>
      </c>
      <c r="H4236" s="679">
        <v>78.209999999999994</v>
      </c>
      <c r="I4236" s="679">
        <v>81.44</v>
      </c>
    </row>
    <row r="4237" spans="2:9" ht="30">
      <c r="B4237" s="395">
        <v>92912</v>
      </c>
      <c r="C4237" s="406" t="s">
        <v>5061</v>
      </c>
      <c r="D4237" s="395" t="s">
        <v>23</v>
      </c>
      <c r="E4237" s="407">
        <f t="shared" si="132"/>
        <v>104.24</v>
      </c>
      <c r="F4237">
        <f t="shared" si="133"/>
        <v>92912</v>
      </c>
      <c r="H4237" s="680">
        <v>104.24</v>
      </c>
      <c r="I4237" s="680">
        <v>107.47</v>
      </c>
    </row>
    <row r="4238" spans="2:9" ht="30">
      <c r="B4238" s="396">
        <v>92913</v>
      </c>
      <c r="C4238" s="401" t="s">
        <v>5062</v>
      </c>
      <c r="D4238" s="396" t="s">
        <v>23</v>
      </c>
      <c r="E4238" s="405">
        <f t="shared" si="132"/>
        <v>106.58</v>
      </c>
      <c r="F4238">
        <f t="shared" si="133"/>
        <v>92913</v>
      </c>
      <c r="H4238" s="679">
        <v>106.58</v>
      </c>
      <c r="I4238" s="679">
        <v>110.07</v>
      </c>
    </row>
    <row r="4239" spans="2:9" ht="30">
      <c r="B4239" s="395">
        <v>92914</v>
      </c>
      <c r="C4239" s="406" t="s">
        <v>5063</v>
      </c>
      <c r="D4239" s="395" t="s">
        <v>23</v>
      </c>
      <c r="E4239" s="407">
        <f t="shared" si="132"/>
        <v>106.58</v>
      </c>
      <c r="F4239">
        <f t="shared" si="133"/>
        <v>92914</v>
      </c>
      <c r="H4239" s="680">
        <v>106.58</v>
      </c>
      <c r="I4239" s="680">
        <v>110.07</v>
      </c>
    </row>
    <row r="4240" spans="2:9" ht="30">
      <c r="B4240" s="396">
        <v>92918</v>
      </c>
      <c r="C4240" s="401" t="s">
        <v>5064</v>
      </c>
      <c r="D4240" s="396" t="s">
        <v>23</v>
      </c>
      <c r="E4240" s="405">
        <f t="shared" si="132"/>
        <v>29.31</v>
      </c>
      <c r="F4240">
        <f t="shared" si="133"/>
        <v>92918</v>
      </c>
      <c r="H4240" s="679">
        <v>29.31</v>
      </c>
      <c r="I4240" s="679">
        <v>31.56</v>
      </c>
    </row>
    <row r="4241" spans="2:9" ht="30">
      <c r="B4241" s="395">
        <v>92920</v>
      </c>
      <c r="C4241" s="406" t="s">
        <v>5065</v>
      </c>
      <c r="D4241" s="395" t="s">
        <v>23</v>
      </c>
      <c r="E4241" s="407">
        <f t="shared" si="132"/>
        <v>29.49</v>
      </c>
      <c r="F4241">
        <f t="shared" si="133"/>
        <v>92920</v>
      </c>
      <c r="H4241" s="680">
        <v>29.49</v>
      </c>
      <c r="I4241" s="680">
        <v>31.74</v>
      </c>
    </row>
    <row r="4242" spans="2:9" ht="30">
      <c r="B4242" s="396">
        <v>92925</v>
      </c>
      <c r="C4242" s="401" t="s">
        <v>5066</v>
      </c>
      <c r="D4242" s="396" t="s">
        <v>23</v>
      </c>
      <c r="E4242" s="405">
        <f t="shared" si="132"/>
        <v>36.1</v>
      </c>
      <c r="F4242">
        <f t="shared" si="133"/>
        <v>92925</v>
      </c>
      <c r="H4242" s="679">
        <v>36.1</v>
      </c>
      <c r="I4242" s="679">
        <v>38.549999999999997</v>
      </c>
    </row>
    <row r="4243" spans="2:9" ht="30">
      <c r="B4243" s="395">
        <v>92926</v>
      </c>
      <c r="C4243" s="406" t="s">
        <v>5067</v>
      </c>
      <c r="D4243" s="395" t="s">
        <v>23</v>
      </c>
      <c r="E4243" s="407">
        <f t="shared" si="132"/>
        <v>36.090000000000003</v>
      </c>
      <c r="F4243">
        <f t="shared" si="133"/>
        <v>92926</v>
      </c>
      <c r="H4243" s="680">
        <v>36.090000000000003</v>
      </c>
      <c r="I4243" s="680">
        <v>38.54</v>
      </c>
    </row>
    <row r="4244" spans="2:9" ht="30">
      <c r="B4244" s="396">
        <v>92927</v>
      </c>
      <c r="C4244" s="401" t="s">
        <v>5068</v>
      </c>
      <c r="D4244" s="396" t="s">
        <v>23</v>
      </c>
      <c r="E4244" s="405">
        <f t="shared" si="132"/>
        <v>36.090000000000003</v>
      </c>
      <c r="F4244">
        <f t="shared" si="133"/>
        <v>92927</v>
      </c>
      <c r="H4244" s="679">
        <v>36.090000000000003</v>
      </c>
      <c r="I4244" s="679">
        <v>38.54</v>
      </c>
    </row>
    <row r="4245" spans="2:9" ht="30">
      <c r="B4245" s="395">
        <v>92928</v>
      </c>
      <c r="C4245" s="406" t="s">
        <v>5069</v>
      </c>
      <c r="D4245" s="395" t="s">
        <v>23</v>
      </c>
      <c r="E4245" s="407">
        <f t="shared" si="132"/>
        <v>41.2</v>
      </c>
      <c r="F4245">
        <f t="shared" si="133"/>
        <v>92928</v>
      </c>
      <c r="H4245" s="680">
        <v>41.2</v>
      </c>
      <c r="I4245" s="680">
        <v>43.87</v>
      </c>
    </row>
    <row r="4246" spans="2:9" ht="30">
      <c r="B4246" s="396">
        <v>92929</v>
      </c>
      <c r="C4246" s="401" t="s">
        <v>5070</v>
      </c>
      <c r="D4246" s="396" t="s">
        <v>23</v>
      </c>
      <c r="E4246" s="405">
        <f t="shared" si="132"/>
        <v>41.2</v>
      </c>
      <c r="F4246">
        <f t="shared" si="133"/>
        <v>92929</v>
      </c>
      <c r="H4246" s="679">
        <v>41.2</v>
      </c>
      <c r="I4246" s="679">
        <v>43.87</v>
      </c>
    </row>
    <row r="4247" spans="2:9" ht="30">
      <c r="B4247" s="395">
        <v>92930</v>
      </c>
      <c r="C4247" s="406" t="s">
        <v>5071</v>
      </c>
      <c r="D4247" s="395" t="s">
        <v>23</v>
      </c>
      <c r="E4247" s="407">
        <f t="shared" si="132"/>
        <v>41.2</v>
      </c>
      <c r="F4247">
        <f t="shared" si="133"/>
        <v>92930</v>
      </c>
      <c r="H4247" s="680">
        <v>41.2</v>
      </c>
      <c r="I4247" s="680">
        <v>43.87</v>
      </c>
    </row>
    <row r="4248" spans="2:9" ht="30">
      <c r="B4248" s="396">
        <v>92931</v>
      </c>
      <c r="C4248" s="401" t="s">
        <v>5072</v>
      </c>
      <c r="D4248" s="396" t="s">
        <v>23</v>
      </c>
      <c r="E4248" s="405">
        <f t="shared" si="132"/>
        <v>54.4</v>
      </c>
      <c r="F4248">
        <f t="shared" si="133"/>
        <v>92931</v>
      </c>
      <c r="H4248" s="679">
        <v>54.4</v>
      </c>
      <c r="I4248" s="679">
        <v>57.37</v>
      </c>
    </row>
    <row r="4249" spans="2:9" ht="30">
      <c r="B4249" s="395">
        <v>92932</v>
      </c>
      <c r="C4249" s="406" t="s">
        <v>5073</v>
      </c>
      <c r="D4249" s="395" t="s">
        <v>23</v>
      </c>
      <c r="E4249" s="407">
        <f t="shared" si="132"/>
        <v>54.4</v>
      </c>
      <c r="F4249">
        <f t="shared" si="133"/>
        <v>92932</v>
      </c>
      <c r="H4249" s="680">
        <v>54.4</v>
      </c>
      <c r="I4249" s="680">
        <v>57.37</v>
      </c>
    </row>
    <row r="4250" spans="2:9" ht="30">
      <c r="B4250" s="396">
        <v>92933</v>
      </c>
      <c r="C4250" s="401" t="s">
        <v>5074</v>
      </c>
      <c r="D4250" s="396" t="s">
        <v>23</v>
      </c>
      <c r="E4250" s="405">
        <f t="shared" si="132"/>
        <v>54.4</v>
      </c>
      <c r="F4250">
        <f t="shared" si="133"/>
        <v>92933</v>
      </c>
      <c r="H4250" s="679">
        <v>54.4</v>
      </c>
      <c r="I4250" s="679">
        <v>57.37</v>
      </c>
    </row>
    <row r="4251" spans="2:9" ht="30">
      <c r="B4251" s="395">
        <v>92934</v>
      </c>
      <c r="C4251" s="406" t="s">
        <v>5075</v>
      </c>
      <c r="D4251" s="395" t="s">
        <v>23</v>
      </c>
      <c r="E4251" s="407">
        <f t="shared" si="132"/>
        <v>79.56</v>
      </c>
      <c r="F4251">
        <f t="shared" si="133"/>
        <v>92934</v>
      </c>
      <c r="H4251" s="680">
        <v>79.56</v>
      </c>
      <c r="I4251" s="680">
        <v>82.94</v>
      </c>
    </row>
    <row r="4252" spans="2:9" ht="30">
      <c r="B4252" s="396">
        <v>92935</v>
      </c>
      <c r="C4252" s="401" t="s">
        <v>5076</v>
      </c>
      <c r="D4252" s="396" t="s">
        <v>23</v>
      </c>
      <c r="E4252" s="405">
        <f t="shared" si="132"/>
        <v>79.56</v>
      </c>
      <c r="F4252">
        <f t="shared" si="133"/>
        <v>92935</v>
      </c>
      <c r="H4252" s="679">
        <v>79.56</v>
      </c>
      <c r="I4252" s="679">
        <v>82.94</v>
      </c>
    </row>
    <row r="4253" spans="2:9" ht="30">
      <c r="B4253" s="395">
        <v>92936</v>
      </c>
      <c r="C4253" s="406" t="s">
        <v>5077</v>
      </c>
      <c r="D4253" s="395" t="s">
        <v>23</v>
      </c>
      <c r="E4253" s="407">
        <f t="shared" si="132"/>
        <v>109.35</v>
      </c>
      <c r="F4253">
        <f t="shared" si="133"/>
        <v>92936</v>
      </c>
      <c r="H4253" s="680">
        <v>109.35</v>
      </c>
      <c r="I4253" s="680">
        <v>113.16</v>
      </c>
    </row>
    <row r="4254" spans="2:9" ht="30">
      <c r="B4254" s="396">
        <v>92937</v>
      </c>
      <c r="C4254" s="401" t="s">
        <v>5078</v>
      </c>
      <c r="D4254" s="396" t="s">
        <v>23</v>
      </c>
      <c r="E4254" s="405">
        <f t="shared" si="132"/>
        <v>109.35</v>
      </c>
      <c r="F4254">
        <f t="shared" si="133"/>
        <v>92937</v>
      </c>
      <c r="H4254" s="679">
        <v>109.35</v>
      </c>
      <c r="I4254" s="679">
        <v>113.16</v>
      </c>
    </row>
    <row r="4255" spans="2:9" ht="30">
      <c r="B4255" s="395">
        <v>92938</v>
      </c>
      <c r="C4255" s="406" t="s">
        <v>5079</v>
      </c>
      <c r="D4255" s="395" t="s">
        <v>23</v>
      </c>
      <c r="E4255" s="407">
        <f t="shared" si="132"/>
        <v>21.83</v>
      </c>
      <c r="F4255">
        <f t="shared" si="133"/>
        <v>92938</v>
      </c>
      <c r="H4255" s="680">
        <v>21.83</v>
      </c>
      <c r="I4255" s="680">
        <v>23.22</v>
      </c>
    </row>
    <row r="4256" spans="2:9" ht="30">
      <c r="B4256" s="396">
        <v>92939</v>
      </c>
      <c r="C4256" s="401" t="s">
        <v>5080</v>
      </c>
      <c r="D4256" s="396" t="s">
        <v>23</v>
      </c>
      <c r="E4256" s="405">
        <f t="shared" si="132"/>
        <v>22.01</v>
      </c>
      <c r="F4256">
        <f t="shared" si="133"/>
        <v>92939</v>
      </c>
      <c r="H4256" s="679">
        <v>22.01</v>
      </c>
      <c r="I4256" s="679">
        <v>23.4</v>
      </c>
    </row>
    <row r="4257" spans="2:9" ht="30">
      <c r="B4257" s="395">
        <v>92940</v>
      </c>
      <c r="C4257" s="406" t="s">
        <v>5081</v>
      </c>
      <c r="D4257" s="395" t="s">
        <v>23</v>
      </c>
      <c r="E4257" s="407">
        <f t="shared" si="132"/>
        <v>27.6</v>
      </c>
      <c r="F4257">
        <f t="shared" si="133"/>
        <v>92940</v>
      </c>
      <c r="H4257" s="680">
        <v>27.6</v>
      </c>
      <c r="I4257" s="680">
        <v>29.06</v>
      </c>
    </row>
    <row r="4258" spans="2:9" ht="30">
      <c r="B4258" s="396">
        <v>92941</v>
      </c>
      <c r="C4258" s="401" t="s">
        <v>5082</v>
      </c>
      <c r="D4258" s="396" t="s">
        <v>23</v>
      </c>
      <c r="E4258" s="405">
        <f t="shared" si="132"/>
        <v>27.59</v>
      </c>
      <c r="F4258">
        <f t="shared" si="133"/>
        <v>92941</v>
      </c>
      <c r="H4258" s="679">
        <v>27.59</v>
      </c>
      <c r="I4258" s="679">
        <v>29.05</v>
      </c>
    </row>
    <row r="4259" spans="2:9" ht="30">
      <c r="B4259" s="395">
        <v>92942</v>
      </c>
      <c r="C4259" s="406" t="s">
        <v>5083</v>
      </c>
      <c r="D4259" s="395" t="s">
        <v>23</v>
      </c>
      <c r="E4259" s="407">
        <f t="shared" si="132"/>
        <v>27.59</v>
      </c>
      <c r="F4259">
        <f t="shared" si="133"/>
        <v>92942</v>
      </c>
      <c r="H4259" s="680">
        <v>27.59</v>
      </c>
      <c r="I4259" s="680">
        <v>29.05</v>
      </c>
    </row>
    <row r="4260" spans="2:9" ht="30">
      <c r="B4260" s="396">
        <v>92943</v>
      </c>
      <c r="C4260" s="401" t="s">
        <v>5084</v>
      </c>
      <c r="D4260" s="396" t="s">
        <v>23</v>
      </c>
      <c r="E4260" s="405">
        <f t="shared" si="132"/>
        <v>31.51</v>
      </c>
      <c r="F4260">
        <f t="shared" si="133"/>
        <v>92943</v>
      </c>
      <c r="H4260" s="679">
        <v>31.51</v>
      </c>
      <c r="I4260" s="679">
        <v>33.06</v>
      </c>
    </row>
    <row r="4261" spans="2:9" ht="30">
      <c r="B4261" s="395">
        <v>92944</v>
      </c>
      <c r="C4261" s="406" t="s">
        <v>5085</v>
      </c>
      <c r="D4261" s="395" t="s">
        <v>23</v>
      </c>
      <c r="E4261" s="407">
        <f t="shared" si="132"/>
        <v>31.51</v>
      </c>
      <c r="F4261">
        <f t="shared" si="133"/>
        <v>92944</v>
      </c>
      <c r="H4261" s="680">
        <v>31.51</v>
      </c>
      <c r="I4261" s="680">
        <v>33.06</v>
      </c>
    </row>
    <row r="4262" spans="2:9" ht="30">
      <c r="B4262" s="396">
        <v>92945</v>
      </c>
      <c r="C4262" s="401" t="s">
        <v>5086</v>
      </c>
      <c r="D4262" s="396" t="s">
        <v>23</v>
      </c>
      <c r="E4262" s="405">
        <f t="shared" si="132"/>
        <v>31.51</v>
      </c>
      <c r="F4262">
        <f t="shared" si="133"/>
        <v>92945</v>
      </c>
      <c r="H4262" s="679">
        <v>31.51</v>
      </c>
      <c r="I4262" s="679">
        <v>33.06</v>
      </c>
    </row>
    <row r="4263" spans="2:9" ht="30">
      <c r="B4263" s="395">
        <v>92946</v>
      </c>
      <c r="C4263" s="406" t="s">
        <v>5087</v>
      </c>
      <c r="D4263" s="395" t="s">
        <v>23</v>
      </c>
      <c r="E4263" s="407">
        <f t="shared" si="132"/>
        <v>43.26</v>
      </c>
      <c r="F4263">
        <f t="shared" si="133"/>
        <v>92946</v>
      </c>
      <c r="H4263" s="680">
        <v>43.26</v>
      </c>
      <c r="I4263" s="680">
        <v>44.93</v>
      </c>
    </row>
    <row r="4264" spans="2:9" ht="30">
      <c r="B4264" s="396">
        <v>92947</v>
      </c>
      <c r="C4264" s="401" t="s">
        <v>5088</v>
      </c>
      <c r="D4264" s="396" t="s">
        <v>23</v>
      </c>
      <c r="E4264" s="405">
        <f t="shared" si="132"/>
        <v>43.26</v>
      </c>
      <c r="F4264">
        <f t="shared" si="133"/>
        <v>92947</v>
      </c>
      <c r="H4264" s="679">
        <v>43.26</v>
      </c>
      <c r="I4264" s="679">
        <v>44.93</v>
      </c>
    </row>
    <row r="4265" spans="2:9" ht="30">
      <c r="B4265" s="395">
        <v>92948</v>
      </c>
      <c r="C4265" s="406" t="s">
        <v>5089</v>
      </c>
      <c r="D4265" s="395" t="s">
        <v>23</v>
      </c>
      <c r="E4265" s="407">
        <f t="shared" si="132"/>
        <v>43.26</v>
      </c>
      <c r="F4265">
        <f t="shared" si="133"/>
        <v>92948</v>
      </c>
      <c r="H4265" s="680">
        <v>43.26</v>
      </c>
      <c r="I4265" s="680">
        <v>44.93</v>
      </c>
    </row>
    <row r="4266" spans="2:9" ht="30">
      <c r="B4266" s="396">
        <v>92949</v>
      </c>
      <c r="C4266" s="401" t="s">
        <v>5090</v>
      </c>
      <c r="D4266" s="396" t="s">
        <v>23</v>
      </c>
      <c r="E4266" s="405">
        <f t="shared" si="132"/>
        <v>66.2</v>
      </c>
      <c r="F4266">
        <f t="shared" si="133"/>
        <v>92949</v>
      </c>
      <c r="H4266" s="679">
        <v>66.2</v>
      </c>
      <c r="I4266" s="679">
        <v>68.02</v>
      </c>
    </row>
    <row r="4267" spans="2:9" ht="30">
      <c r="B4267" s="395">
        <v>92950</v>
      </c>
      <c r="C4267" s="406" t="s">
        <v>5091</v>
      </c>
      <c r="D4267" s="395" t="s">
        <v>23</v>
      </c>
      <c r="E4267" s="407">
        <f t="shared" si="132"/>
        <v>66.2</v>
      </c>
      <c r="F4267">
        <f t="shared" si="133"/>
        <v>92950</v>
      </c>
      <c r="H4267" s="680">
        <v>66.2</v>
      </c>
      <c r="I4267" s="680">
        <v>68.02</v>
      </c>
    </row>
    <row r="4268" spans="2:9" ht="30">
      <c r="B4268" s="396">
        <v>92951</v>
      </c>
      <c r="C4268" s="401" t="s">
        <v>5092</v>
      </c>
      <c r="D4268" s="396" t="s">
        <v>23</v>
      </c>
      <c r="E4268" s="405">
        <f t="shared" si="132"/>
        <v>93.82</v>
      </c>
      <c r="F4268">
        <f t="shared" si="133"/>
        <v>92951</v>
      </c>
      <c r="H4268" s="679">
        <v>93.82</v>
      </c>
      <c r="I4268" s="679">
        <v>95.82</v>
      </c>
    </row>
    <row r="4269" spans="2:9" ht="30">
      <c r="B4269" s="395">
        <v>92952</v>
      </c>
      <c r="C4269" s="406" t="s">
        <v>5093</v>
      </c>
      <c r="D4269" s="395" t="s">
        <v>23</v>
      </c>
      <c r="E4269" s="407">
        <f t="shared" si="132"/>
        <v>93.82</v>
      </c>
      <c r="F4269">
        <f t="shared" si="133"/>
        <v>92952</v>
      </c>
      <c r="H4269" s="680">
        <v>93.82</v>
      </c>
      <c r="I4269" s="680">
        <v>95.82</v>
      </c>
    </row>
    <row r="4270" spans="2:9" ht="30">
      <c r="B4270" s="396">
        <v>92953</v>
      </c>
      <c r="C4270" s="401" t="s">
        <v>5094</v>
      </c>
      <c r="D4270" s="396" t="s">
        <v>23</v>
      </c>
      <c r="E4270" s="405">
        <f t="shared" si="132"/>
        <v>18.98</v>
      </c>
      <c r="F4270">
        <f t="shared" si="133"/>
        <v>92953</v>
      </c>
      <c r="H4270" s="679">
        <v>18.98</v>
      </c>
      <c r="I4270" s="679">
        <v>20.34</v>
      </c>
    </row>
    <row r="4271" spans="2:9" ht="30">
      <c r="B4271" s="395">
        <v>93050</v>
      </c>
      <c r="C4271" s="406" t="s">
        <v>6572</v>
      </c>
      <c r="D4271" s="395" t="s">
        <v>23</v>
      </c>
      <c r="E4271" s="407">
        <f t="shared" si="132"/>
        <v>10.41</v>
      </c>
      <c r="F4271">
        <f t="shared" si="133"/>
        <v>93050</v>
      </c>
      <c r="H4271" s="680">
        <v>10.41</v>
      </c>
      <c r="I4271" s="680">
        <v>10.68</v>
      </c>
    </row>
    <row r="4272" spans="2:9" ht="30">
      <c r="B4272" s="396">
        <v>93052</v>
      </c>
      <c r="C4272" s="401" t="s">
        <v>6573</v>
      </c>
      <c r="D4272" s="396" t="s">
        <v>23</v>
      </c>
      <c r="E4272" s="405">
        <f t="shared" si="132"/>
        <v>500.76</v>
      </c>
      <c r="F4272">
        <f t="shared" si="133"/>
        <v>93052</v>
      </c>
      <c r="H4272" s="679">
        <v>500.76</v>
      </c>
      <c r="I4272" s="679">
        <v>501.03</v>
      </c>
    </row>
    <row r="4273" spans="2:9" ht="30">
      <c r="B4273" s="395">
        <v>93054</v>
      </c>
      <c r="C4273" s="406" t="s">
        <v>6574</v>
      </c>
      <c r="D4273" s="395" t="s">
        <v>23</v>
      </c>
      <c r="E4273" s="407">
        <f t="shared" si="132"/>
        <v>20.98</v>
      </c>
      <c r="F4273">
        <f t="shared" si="133"/>
        <v>93054</v>
      </c>
      <c r="H4273" s="680">
        <v>20.98</v>
      </c>
      <c r="I4273" s="680">
        <v>21.37</v>
      </c>
    </row>
    <row r="4274" spans="2:9" ht="30">
      <c r="B4274" s="396">
        <v>93055</v>
      </c>
      <c r="C4274" s="401" t="s">
        <v>6575</v>
      </c>
      <c r="D4274" s="396" t="s">
        <v>23</v>
      </c>
      <c r="E4274" s="405">
        <f t="shared" si="132"/>
        <v>42.89</v>
      </c>
      <c r="F4274">
        <f t="shared" si="133"/>
        <v>93055</v>
      </c>
      <c r="H4274" s="679">
        <v>42.89</v>
      </c>
      <c r="I4274" s="679">
        <v>43.16</v>
      </c>
    </row>
    <row r="4275" spans="2:9" ht="30">
      <c r="B4275" s="395">
        <v>93056</v>
      </c>
      <c r="C4275" s="406" t="s">
        <v>6576</v>
      </c>
      <c r="D4275" s="395" t="s">
        <v>23</v>
      </c>
      <c r="E4275" s="407">
        <f t="shared" si="132"/>
        <v>15.65</v>
      </c>
      <c r="F4275">
        <f t="shared" si="133"/>
        <v>93056</v>
      </c>
      <c r="H4275" s="680">
        <v>15.65</v>
      </c>
      <c r="I4275" s="680">
        <v>16.010000000000002</v>
      </c>
    </row>
    <row r="4276" spans="2:9" ht="30">
      <c r="B4276" s="396">
        <v>93057</v>
      </c>
      <c r="C4276" s="401" t="s">
        <v>6577</v>
      </c>
      <c r="D4276" s="396" t="s">
        <v>23</v>
      </c>
      <c r="E4276" s="405">
        <f t="shared" si="132"/>
        <v>13</v>
      </c>
      <c r="F4276">
        <f t="shared" si="133"/>
        <v>93057</v>
      </c>
      <c r="H4276" s="679">
        <v>13</v>
      </c>
      <c r="I4276" s="679">
        <v>13.31</v>
      </c>
    </row>
    <row r="4277" spans="2:9" ht="30">
      <c r="B4277" s="395">
        <v>93058</v>
      </c>
      <c r="C4277" s="406" t="s">
        <v>6578</v>
      </c>
      <c r="D4277" s="395" t="s">
        <v>23</v>
      </c>
      <c r="E4277" s="407">
        <f t="shared" si="132"/>
        <v>550.80999999999995</v>
      </c>
      <c r="F4277">
        <f t="shared" si="133"/>
        <v>93058</v>
      </c>
      <c r="H4277" s="680">
        <v>550.80999999999995</v>
      </c>
      <c r="I4277" s="680">
        <v>551.16999999999996</v>
      </c>
    </row>
    <row r="4278" spans="2:9" ht="30">
      <c r="B4278" s="396">
        <v>93059</v>
      </c>
      <c r="C4278" s="401" t="s">
        <v>6579</v>
      </c>
      <c r="D4278" s="396" t="s">
        <v>23</v>
      </c>
      <c r="E4278" s="405">
        <f t="shared" si="132"/>
        <v>27.66</v>
      </c>
      <c r="F4278">
        <f t="shared" si="133"/>
        <v>93059</v>
      </c>
      <c r="H4278" s="679">
        <v>27.66</v>
      </c>
      <c r="I4278" s="679">
        <v>28</v>
      </c>
    </row>
    <row r="4279" spans="2:9" ht="30">
      <c r="B4279" s="395">
        <v>93060</v>
      </c>
      <c r="C4279" s="406" t="s">
        <v>6580</v>
      </c>
      <c r="D4279" s="395" t="s">
        <v>23</v>
      </c>
      <c r="E4279" s="407">
        <f t="shared" si="132"/>
        <v>75.36</v>
      </c>
      <c r="F4279">
        <f t="shared" si="133"/>
        <v>93060</v>
      </c>
      <c r="H4279" s="680">
        <v>75.36</v>
      </c>
      <c r="I4279" s="680">
        <v>75.72</v>
      </c>
    </row>
    <row r="4280" spans="2:9" ht="30">
      <c r="B4280" s="396">
        <v>93061</v>
      </c>
      <c r="C4280" s="401" t="s">
        <v>6581</v>
      </c>
      <c r="D4280" s="396" t="s">
        <v>23</v>
      </c>
      <c r="E4280" s="405">
        <f t="shared" si="132"/>
        <v>30.06</v>
      </c>
      <c r="F4280">
        <f t="shared" si="133"/>
        <v>93061</v>
      </c>
      <c r="H4280" s="679">
        <v>30.06</v>
      </c>
      <c r="I4280" s="679">
        <v>30.51</v>
      </c>
    </row>
    <row r="4281" spans="2:9" ht="30">
      <c r="B4281" s="395">
        <v>93062</v>
      </c>
      <c r="C4281" s="406" t="s">
        <v>6582</v>
      </c>
      <c r="D4281" s="395" t="s">
        <v>23</v>
      </c>
      <c r="E4281" s="407">
        <f t="shared" si="132"/>
        <v>25.31</v>
      </c>
      <c r="F4281">
        <f t="shared" si="133"/>
        <v>93062</v>
      </c>
      <c r="H4281" s="680">
        <v>25.31</v>
      </c>
      <c r="I4281" s="680">
        <v>25.71</v>
      </c>
    </row>
    <row r="4282" spans="2:9" ht="30">
      <c r="B4282" s="396">
        <v>93063</v>
      </c>
      <c r="C4282" s="401" t="s">
        <v>6583</v>
      </c>
      <c r="D4282" s="396" t="s">
        <v>23</v>
      </c>
      <c r="E4282" s="405">
        <f t="shared" si="132"/>
        <v>631.13</v>
      </c>
      <c r="F4282">
        <f t="shared" si="133"/>
        <v>93063</v>
      </c>
      <c r="H4282" s="679">
        <v>631.13</v>
      </c>
      <c r="I4282" s="679">
        <v>631.58000000000004</v>
      </c>
    </row>
    <row r="4283" spans="2:9" ht="30">
      <c r="B4283" s="395">
        <v>93064</v>
      </c>
      <c r="C4283" s="406" t="s">
        <v>6584</v>
      </c>
      <c r="D4283" s="395" t="s">
        <v>23</v>
      </c>
      <c r="E4283" s="407">
        <f t="shared" si="132"/>
        <v>46.4</v>
      </c>
      <c r="F4283">
        <f t="shared" si="133"/>
        <v>93064</v>
      </c>
      <c r="H4283" s="680">
        <v>46.4</v>
      </c>
      <c r="I4283" s="680">
        <v>46.93</v>
      </c>
    </row>
    <row r="4284" spans="2:9" ht="30">
      <c r="B4284" s="396">
        <v>93065</v>
      </c>
      <c r="C4284" s="401" t="s">
        <v>6585</v>
      </c>
      <c r="D4284" s="396" t="s">
        <v>23</v>
      </c>
      <c r="E4284" s="405">
        <f t="shared" si="132"/>
        <v>41.64</v>
      </c>
      <c r="F4284">
        <f t="shared" si="133"/>
        <v>93065</v>
      </c>
      <c r="H4284" s="679">
        <v>41.64</v>
      </c>
      <c r="I4284" s="679">
        <v>42.14</v>
      </c>
    </row>
    <row r="4285" spans="2:9" ht="30">
      <c r="B4285" s="395">
        <v>93066</v>
      </c>
      <c r="C4285" s="406" t="s">
        <v>6586</v>
      </c>
      <c r="D4285" s="395" t="s">
        <v>23</v>
      </c>
      <c r="E4285" s="407">
        <f t="shared" si="132"/>
        <v>792.08</v>
      </c>
      <c r="F4285">
        <f t="shared" si="133"/>
        <v>93066</v>
      </c>
      <c r="H4285" s="680">
        <v>792.08</v>
      </c>
      <c r="I4285" s="680">
        <v>792.61</v>
      </c>
    </row>
    <row r="4286" spans="2:9" ht="30">
      <c r="B4286" s="396">
        <v>93067</v>
      </c>
      <c r="C4286" s="401" t="s">
        <v>6587</v>
      </c>
      <c r="D4286" s="396" t="s">
        <v>23</v>
      </c>
      <c r="E4286" s="405">
        <f t="shared" si="132"/>
        <v>69.17</v>
      </c>
      <c r="F4286">
        <f t="shared" si="133"/>
        <v>93067</v>
      </c>
      <c r="H4286" s="679">
        <v>69.17</v>
      </c>
      <c r="I4286" s="679">
        <v>69.87</v>
      </c>
    </row>
    <row r="4287" spans="2:9" ht="30">
      <c r="B4287" s="395">
        <v>93068</v>
      </c>
      <c r="C4287" s="406" t="s">
        <v>6588</v>
      </c>
      <c r="D4287" s="395" t="s">
        <v>23</v>
      </c>
      <c r="E4287" s="407">
        <f t="shared" si="132"/>
        <v>58.77</v>
      </c>
      <c r="F4287">
        <f t="shared" si="133"/>
        <v>93068</v>
      </c>
      <c r="H4287" s="680">
        <v>58.77</v>
      </c>
      <c r="I4287" s="680">
        <v>59.39</v>
      </c>
    </row>
    <row r="4288" spans="2:9" ht="30">
      <c r="B4288" s="396">
        <v>93069</v>
      </c>
      <c r="C4288" s="401" t="s">
        <v>6589</v>
      </c>
      <c r="D4288" s="396" t="s">
        <v>23</v>
      </c>
      <c r="E4288" s="405">
        <f t="shared" si="132"/>
        <v>1098.02</v>
      </c>
      <c r="F4288">
        <f t="shared" si="133"/>
        <v>93069</v>
      </c>
      <c r="H4288" s="679">
        <v>1098.02</v>
      </c>
      <c r="I4288" s="679">
        <v>1098.72</v>
      </c>
    </row>
    <row r="4289" spans="2:9" ht="30">
      <c r="B4289" s="395">
        <v>93070</v>
      </c>
      <c r="C4289" s="406" t="s">
        <v>6590</v>
      </c>
      <c r="D4289" s="395" t="s">
        <v>23</v>
      </c>
      <c r="E4289" s="407">
        <f t="shared" si="132"/>
        <v>176.07</v>
      </c>
      <c r="F4289">
        <f t="shared" si="133"/>
        <v>93070</v>
      </c>
      <c r="H4289" s="680">
        <v>176.07</v>
      </c>
      <c r="I4289" s="680">
        <v>176.92</v>
      </c>
    </row>
    <row r="4290" spans="2:9" ht="30">
      <c r="B4290" s="396">
        <v>93071</v>
      </c>
      <c r="C4290" s="401" t="s">
        <v>6591</v>
      </c>
      <c r="D4290" s="396" t="s">
        <v>23</v>
      </c>
      <c r="E4290" s="405">
        <f t="shared" si="132"/>
        <v>161.88</v>
      </c>
      <c r="F4290">
        <f t="shared" si="133"/>
        <v>93071</v>
      </c>
      <c r="H4290" s="679">
        <v>161.88</v>
      </c>
      <c r="I4290" s="679">
        <v>162.65</v>
      </c>
    </row>
    <row r="4291" spans="2:9" ht="30">
      <c r="B4291" s="395">
        <v>93072</v>
      </c>
      <c r="C4291" s="406" t="s">
        <v>6592</v>
      </c>
      <c r="D4291" s="395" t="s">
        <v>23</v>
      </c>
      <c r="E4291" s="407">
        <f t="shared" ref="E4291:E4354" si="134">IF($K$2=$H$1,H4291,I4291)</f>
        <v>1449.2</v>
      </c>
      <c r="F4291">
        <f t="shared" ref="F4291:F4354" si="135">IF(LEN($B4291)=7,CONCATENATE(MID($B4291,1,6),"00",RIGHT($B4291,1)),IF(LEN($B4291)=8,CONCATENATE(MID($B4291,1,6),"0",RIGHT($B4291,2)),$B4291))</f>
        <v>93072</v>
      </c>
      <c r="H4291" s="680">
        <v>1449.2</v>
      </c>
      <c r="I4291" s="680">
        <v>1450.05</v>
      </c>
    </row>
    <row r="4292" spans="2:9" ht="30">
      <c r="B4292" s="396">
        <v>93074</v>
      </c>
      <c r="C4292" s="401" t="s">
        <v>6593</v>
      </c>
      <c r="D4292" s="396" t="s">
        <v>23</v>
      </c>
      <c r="E4292" s="405">
        <f t="shared" si="134"/>
        <v>11.78</v>
      </c>
      <c r="F4292">
        <f t="shared" si="135"/>
        <v>93074</v>
      </c>
      <c r="H4292" s="679">
        <v>11.78</v>
      </c>
      <c r="I4292" s="679">
        <v>12.47</v>
      </c>
    </row>
    <row r="4293" spans="2:9" ht="30">
      <c r="B4293" s="395">
        <v>93075</v>
      </c>
      <c r="C4293" s="406" t="s">
        <v>6594</v>
      </c>
      <c r="D4293" s="395" t="s">
        <v>23</v>
      </c>
      <c r="E4293" s="407">
        <f t="shared" si="134"/>
        <v>18.14</v>
      </c>
      <c r="F4293">
        <f t="shared" si="135"/>
        <v>93075</v>
      </c>
      <c r="H4293" s="680">
        <v>18.14</v>
      </c>
      <c r="I4293" s="680">
        <v>18.66</v>
      </c>
    </row>
    <row r="4294" spans="2:9" ht="30">
      <c r="B4294" s="396">
        <v>93076</v>
      </c>
      <c r="C4294" s="401" t="s">
        <v>6595</v>
      </c>
      <c r="D4294" s="396" t="s">
        <v>23</v>
      </c>
      <c r="E4294" s="405">
        <f t="shared" si="134"/>
        <v>19.29</v>
      </c>
      <c r="F4294">
        <f t="shared" si="135"/>
        <v>93076</v>
      </c>
      <c r="H4294" s="679">
        <v>19.29</v>
      </c>
      <c r="I4294" s="679">
        <v>20.07</v>
      </c>
    </row>
    <row r="4295" spans="2:9" ht="30">
      <c r="B4295" s="395">
        <v>93077</v>
      </c>
      <c r="C4295" s="406" t="s">
        <v>6596</v>
      </c>
      <c r="D4295" s="395" t="s">
        <v>23</v>
      </c>
      <c r="E4295" s="407">
        <f t="shared" si="134"/>
        <v>25.94</v>
      </c>
      <c r="F4295">
        <f t="shared" si="135"/>
        <v>93077</v>
      </c>
      <c r="H4295" s="680">
        <v>25.94</v>
      </c>
      <c r="I4295" s="680">
        <v>26.51</v>
      </c>
    </row>
    <row r="4296" spans="2:9" ht="30">
      <c r="B4296" s="396">
        <v>93078</v>
      </c>
      <c r="C4296" s="401" t="s">
        <v>6597</v>
      </c>
      <c r="D4296" s="396" t="s">
        <v>23</v>
      </c>
      <c r="E4296" s="405">
        <f t="shared" si="134"/>
        <v>29.17</v>
      </c>
      <c r="F4296">
        <f t="shared" si="135"/>
        <v>93078</v>
      </c>
      <c r="H4296" s="679">
        <v>29.17</v>
      </c>
      <c r="I4296" s="679">
        <v>29.82</v>
      </c>
    </row>
    <row r="4297" spans="2:9" ht="30">
      <c r="B4297" s="395">
        <v>93079</v>
      </c>
      <c r="C4297" s="406" t="s">
        <v>6598</v>
      </c>
      <c r="D4297" s="395" t="s">
        <v>23</v>
      </c>
      <c r="E4297" s="407">
        <f t="shared" si="134"/>
        <v>27.17</v>
      </c>
      <c r="F4297">
        <f t="shared" si="135"/>
        <v>93079</v>
      </c>
      <c r="H4297" s="680">
        <v>27.17</v>
      </c>
      <c r="I4297" s="680">
        <v>28.05</v>
      </c>
    </row>
    <row r="4298" spans="2:9" ht="30">
      <c r="B4298" s="396">
        <v>93080</v>
      </c>
      <c r="C4298" s="401" t="s">
        <v>6599</v>
      </c>
      <c r="D4298" s="396" t="s">
        <v>23</v>
      </c>
      <c r="E4298" s="405">
        <f t="shared" si="134"/>
        <v>7.65</v>
      </c>
      <c r="F4298">
        <f t="shared" si="135"/>
        <v>93080</v>
      </c>
      <c r="H4298" s="679">
        <v>7.65</v>
      </c>
      <c r="I4298" s="679">
        <v>8.1199999999999992</v>
      </c>
    </row>
    <row r="4299" spans="2:9" ht="30">
      <c r="B4299" s="395">
        <v>93081</v>
      </c>
      <c r="C4299" s="406" t="s">
        <v>6600</v>
      </c>
      <c r="D4299" s="395" t="s">
        <v>23</v>
      </c>
      <c r="E4299" s="407">
        <f t="shared" si="134"/>
        <v>17.260000000000002</v>
      </c>
      <c r="F4299">
        <f t="shared" si="135"/>
        <v>93081</v>
      </c>
      <c r="H4299" s="680">
        <v>17.260000000000002</v>
      </c>
      <c r="I4299" s="680">
        <v>17.649999999999999</v>
      </c>
    </row>
    <row r="4300" spans="2:9" ht="30">
      <c r="B4300" s="396">
        <v>93082</v>
      </c>
      <c r="C4300" s="401" t="s">
        <v>6601</v>
      </c>
      <c r="D4300" s="396" t="s">
        <v>23</v>
      </c>
      <c r="E4300" s="405">
        <f t="shared" si="134"/>
        <v>22.43</v>
      </c>
      <c r="F4300">
        <f t="shared" si="135"/>
        <v>93082</v>
      </c>
      <c r="H4300" s="679">
        <v>22.43</v>
      </c>
      <c r="I4300" s="679">
        <v>22.9</v>
      </c>
    </row>
    <row r="4301" spans="2:9" ht="30">
      <c r="B4301" s="395">
        <v>93083</v>
      </c>
      <c r="C4301" s="406" t="s">
        <v>6602</v>
      </c>
      <c r="D4301" s="395" t="s">
        <v>23</v>
      </c>
      <c r="E4301" s="407">
        <f t="shared" si="134"/>
        <v>433.27</v>
      </c>
      <c r="F4301">
        <f t="shared" si="135"/>
        <v>93083</v>
      </c>
      <c r="H4301" s="680">
        <v>433.27</v>
      </c>
      <c r="I4301" s="680">
        <v>433.74</v>
      </c>
    </row>
    <row r="4302" spans="2:9" ht="30">
      <c r="B4302" s="396">
        <v>93084</v>
      </c>
      <c r="C4302" s="401" t="s">
        <v>6603</v>
      </c>
      <c r="D4302" s="396" t="s">
        <v>23</v>
      </c>
      <c r="E4302" s="405">
        <f t="shared" si="134"/>
        <v>12.66</v>
      </c>
      <c r="F4302">
        <f t="shared" si="135"/>
        <v>93084</v>
      </c>
      <c r="H4302" s="679">
        <v>12.66</v>
      </c>
      <c r="I4302" s="679">
        <v>13.19</v>
      </c>
    </row>
    <row r="4303" spans="2:9" ht="30">
      <c r="B4303" s="395">
        <v>93085</v>
      </c>
      <c r="C4303" s="406" t="s">
        <v>6604</v>
      </c>
      <c r="D4303" s="395" t="s">
        <v>23</v>
      </c>
      <c r="E4303" s="407">
        <f t="shared" si="134"/>
        <v>13.3</v>
      </c>
      <c r="F4303">
        <f t="shared" si="135"/>
        <v>93085</v>
      </c>
      <c r="H4303" s="680">
        <v>13.3</v>
      </c>
      <c r="I4303" s="680">
        <v>14.05</v>
      </c>
    </row>
    <row r="4304" spans="2:9" ht="30">
      <c r="B4304" s="396">
        <v>93086</v>
      </c>
      <c r="C4304" s="401" t="s">
        <v>6605</v>
      </c>
      <c r="D4304" s="396" t="s">
        <v>23</v>
      </c>
      <c r="E4304" s="405">
        <f t="shared" si="134"/>
        <v>503.01</v>
      </c>
      <c r="F4304">
        <f t="shared" si="135"/>
        <v>93086</v>
      </c>
      <c r="H4304" s="679">
        <v>503.01</v>
      </c>
      <c r="I4304" s="679">
        <v>503.54</v>
      </c>
    </row>
    <row r="4305" spans="2:9" ht="30">
      <c r="B4305" s="395">
        <v>93087</v>
      </c>
      <c r="C4305" s="406" t="s">
        <v>6606</v>
      </c>
      <c r="D4305" s="395" t="s">
        <v>23</v>
      </c>
      <c r="E4305" s="407">
        <f t="shared" si="134"/>
        <v>18.05</v>
      </c>
      <c r="F4305">
        <f t="shared" si="135"/>
        <v>93087</v>
      </c>
      <c r="H4305" s="680">
        <v>18.05</v>
      </c>
      <c r="I4305" s="680">
        <v>18.48</v>
      </c>
    </row>
    <row r="4306" spans="2:9" ht="30">
      <c r="B4306" s="396">
        <v>93088</v>
      </c>
      <c r="C4306" s="401" t="s">
        <v>6607</v>
      </c>
      <c r="D4306" s="396" t="s">
        <v>23</v>
      </c>
      <c r="E4306" s="405">
        <f t="shared" si="134"/>
        <v>22.4</v>
      </c>
      <c r="F4306">
        <f t="shared" si="135"/>
        <v>93088</v>
      </c>
      <c r="H4306" s="679">
        <v>22.4</v>
      </c>
      <c r="I4306" s="679">
        <v>22.91</v>
      </c>
    </row>
    <row r="4307" spans="2:9" ht="30">
      <c r="B4307" s="395">
        <v>93089</v>
      </c>
      <c r="C4307" s="406" t="s">
        <v>6608</v>
      </c>
      <c r="D4307" s="395" t="s">
        <v>23</v>
      </c>
      <c r="E4307" s="407">
        <f t="shared" si="134"/>
        <v>45.14</v>
      </c>
      <c r="F4307">
        <f t="shared" si="135"/>
        <v>93089</v>
      </c>
      <c r="H4307" s="680">
        <v>45.14</v>
      </c>
      <c r="I4307" s="680">
        <v>45.67</v>
      </c>
    </row>
    <row r="4308" spans="2:9" ht="30">
      <c r="B4308" s="396">
        <v>93090</v>
      </c>
      <c r="C4308" s="401" t="s">
        <v>6609</v>
      </c>
      <c r="D4308" s="396" t="s">
        <v>23</v>
      </c>
      <c r="E4308" s="405">
        <f t="shared" si="134"/>
        <v>17.73</v>
      </c>
      <c r="F4308">
        <f t="shared" si="135"/>
        <v>93090</v>
      </c>
      <c r="H4308" s="679">
        <v>17.73</v>
      </c>
      <c r="I4308" s="679">
        <v>18.32</v>
      </c>
    </row>
    <row r="4309" spans="2:9" ht="30">
      <c r="B4309" s="395">
        <v>93091</v>
      </c>
      <c r="C4309" s="406" t="s">
        <v>6610</v>
      </c>
      <c r="D4309" s="395" t="s">
        <v>23</v>
      </c>
      <c r="E4309" s="407">
        <f t="shared" si="134"/>
        <v>15.16</v>
      </c>
      <c r="F4309">
        <f t="shared" si="135"/>
        <v>93091</v>
      </c>
      <c r="H4309" s="680">
        <v>15.16</v>
      </c>
      <c r="I4309" s="680">
        <v>15.71</v>
      </c>
    </row>
    <row r="4310" spans="2:9" ht="30">
      <c r="B4310" s="396">
        <v>93092</v>
      </c>
      <c r="C4310" s="401" t="s">
        <v>6611</v>
      </c>
      <c r="D4310" s="396" t="s">
        <v>23</v>
      </c>
      <c r="E4310" s="405">
        <f t="shared" si="134"/>
        <v>552.89</v>
      </c>
      <c r="F4310">
        <f t="shared" si="135"/>
        <v>93092</v>
      </c>
      <c r="H4310" s="679">
        <v>552.89</v>
      </c>
      <c r="I4310" s="679">
        <v>553.48</v>
      </c>
    </row>
    <row r="4311" spans="2:9" ht="30">
      <c r="B4311" s="395">
        <v>93093</v>
      </c>
      <c r="C4311" s="406" t="s">
        <v>6612</v>
      </c>
      <c r="D4311" s="395" t="s">
        <v>23</v>
      </c>
      <c r="E4311" s="407">
        <f t="shared" si="134"/>
        <v>28.7</v>
      </c>
      <c r="F4311">
        <f t="shared" si="135"/>
        <v>93093</v>
      </c>
      <c r="H4311" s="680">
        <v>28.7</v>
      </c>
      <c r="I4311" s="680">
        <v>29.16</v>
      </c>
    </row>
    <row r="4312" spans="2:9" ht="30">
      <c r="B4312" s="396">
        <v>93094</v>
      </c>
      <c r="C4312" s="401" t="s">
        <v>6613</v>
      </c>
      <c r="D4312" s="396" t="s">
        <v>23</v>
      </c>
      <c r="E4312" s="405">
        <f t="shared" si="134"/>
        <v>77.44</v>
      </c>
      <c r="F4312">
        <f t="shared" si="135"/>
        <v>93094</v>
      </c>
      <c r="H4312" s="679">
        <v>77.44</v>
      </c>
      <c r="I4312" s="679">
        <v>78.03</v>
      </c>
    </row>
    <row r="4313" spans="2:9" ht="30">
      <c r="B4313" s="395">
        <v>93097</v>
      </c>
      <c r="C4313" s="406" t="s">
        <v>6614</v>
      </c>
      <c r="D4313" s="395" t="s">
        <v>23</v>
      </c>
      <c r="E4313" s="407">
        <f t="shared" si="134"/>
        <v>11.99</v>
      </c>
      <c r="F4313">
        <f t="shared" si="135"/>
        <v>93097</v>
      </c>
      <c r="H4313" s="680">
        <v>11.99</v>
      </c>
      <c r="I4313" s="680">
        <v>12.69</v>
      </c>
    </row>
    <row r="4314" spans="2:9" ht="30">
      <c r="B4314" s="396">
        <v>93098</v>
      </c>
      <c r="C4314" s="401" t="s">
        <v>6615</v>
      </c>
      <c r="D4314" s="396" t="s">
        <v>23</v>
      </c>
      <c r="E4314" s="405">
        <f t="shared" si="134"/>
        <v>18.25</v>
      </c>
      <c r="F4314">
        <f t="shared" si="135"/>
        <v>93098</v>
      </c>
      <c r="H4314" s="679">
        <v>18.25</v>
      </c>
      <c r="I4314" s="679">
        <v>18.77</v>
      </c>
    </row>
    <row r="4315" spans="2:9" ht="30">
      <c r="B4315" s="395">
        <v>93099</v>
      </c>
      <c r="C4315" s="406" t="s">
        <v>6616</v>
      </c>
      <c r="D4315" s="395" t="s">
        <v>23</v>
      </c>
      <c r="E4315" s="407">
        <f t="shared" si="134"/>
        <v>21.77</v>
      </c>
      <c r="F4315">
        <f t="shared" si="135"/>
        <v>93099</v>
      </c>
      <c r="H4315" s="680">
        <v>21.77</v>
      </c>
      <c r="I4315" s="680">
        <v>22.85</v>
      </c>
    </row>
    <row r="4316" spans="2:9" ht="30">
      <c r="B4316" s="396">
        <v>93100</v>
      </c>
      <c r="C4316" s="401" t="s">
        <v>6617</v>
      </c>
      <c r="D4316" s="396" t="s">
        <v>23</v>
      </c>
      <c r="E4316" s="405">
        <f t="shared" si="134"/>
        <v>27.19</v>
      </c>
      <c r="F4316">
        <f t="shared" si="135"/>
        <v>93100</v>
      </c>
      <c r="H4316" s="679">
        <v>27.19</v>
      </c>
      <c r="I4316" s="679">
        <v>27.89</v>
      </c>
    </row>
    <row r="4317" spans="2:9" ht="30">
      <c r="B4317" s="395">
        <v>93101</v>
      </c>
      <c r="C4317" s="406" t="s">
        <v>6618</v>
      </c>
      <c r="D4317" s="395" t="s">
        <v>23</v>
      </c>
      <c r="E4317" s="407">
        <f t="shared" si="134"/>
        <v>30.41</v>
      </c>
      <c r="F4317">
        <f t="shared" si="135"/>
        <v>93101</v>
      </c>
      <c r="H4317" s="680">
        <v>30.41</v>
      </c>
      <c r="I4317" s="680">
        <v>31.21</v>
      </c>
    </row>
    <row r="4318" spans="2:9" ht="30">
      <c r="B4318" s="396">
        <v>93102</v>
      </c>
      <c r="C4318" s="401" t="s">
        <v>6619</v>
      </c>
      <c r="D4318" s="396" t="s">
        <v>23</v>
      </c>
      <c r="E4318" s="405">
        <f t="shared" si="134"/>
        <v>31.6</v>
      </c>
      <c r="F4318">
        <f t="shared" si="135"/>
        <v>93102</v>
      </c>
      <c r="H4318" s="679">
        <v>31.6</v>
      </c>
      <c r="I4318" s="679">
        <v>32.99</v>
      </c>
    </row>
    <row r="4319" spans="2:9" ht="30">
      <c r="B4319" s="395">
        <v>93103</v>
      </c>
      <c r="C4319" s="406" t="s">
        <v>6620</v>
      </c>
      <c r="D4319" s="395" t="s">
        <v>23</v>
      </c>
      <c r="E4319" s="407">
        <f t="shared" si="134"/>
        <v>7.8</v>
      </c>
      <c r="F4319">
        <f t="shared" si="135"/>
        <v>93103</v>
      </c>
      <c r="H4319" s="680">
        <v>7.8</v>
      </c>
      <c r="I4319" s="680">
        <v>8.27</v>
      </c>
    </row>
    <row r="4320" spans="2:9" ht="30">
      <c r="B4320" s="396">
        <v>93104</v>
      </c>
      <c r="C4320" s="401" t="s">
        <v>6621</v>
      </c>
      <c r="D4320" s="396" t="s">
        <v>23</v>
      </c>
      <c r="E4320" s="405">
        <f t="shared" si="134"/>
        <v>17.329999999999998</v>
      </c>
      <c r="F4320">
        <f t="shared" si="135"/>
        <v>93104</v>
      </c>
      <c r="H4320" s="679">
        <v>17.329999999999998</v>
      </c>
      <c r="I4320" s="679">
        <v>17.739999999999998</v>
      </c>
    </row>
    <row r="4321" spans="2:9" ht="30">
      <c r="B4321" s="395">
        <v>93105</v>
      </c>
      <c r="C4321" s="406" t="s">
        <v>6622</v>
      </c>
      <c r="D4321" s="395" t="s">
        <v>23</v>
      </c>
      <c r="E4321" s="407">
        <f t="shared" si="134"/>
        <v>22.58</v>
      </c>
      <c r="F4321">
        <f t="shared" si="135"/>
        <v>93105</v>
      </c>
      <c r="H4321" s="680">
        <v>22.58</v>
      </c>
      <c r="I4321" s="680">
        <v>23.05</v>
      </c>
    </row>
    <row r="4322" spans="2:9" ht="30">
      <c r="B4322" s="396">
        <v>93106</v>
      </c>
      <c r="C4322" s="401" t="s">
        <v>6623</v>
      </c>
      <c r="D4322" s="396" t="s">
        <v>23</v>
      </c>
      <c r="E4322" s="405">
        <f t="shared" si="134"/>
        <v>433.42</v>
      </c>
      <c r="F4322">
        <f t="shared" si="135"/>
        <v>93106</v>
      </c>
      <c r="H4322" s="679">
        <v>433.42</v>
      </c>
      <c r="I4322" s="679">
        <v>433.89</v>
      </c>
    </row>
    <row r="4323" spans="2:9" ht="30">
      <c r="B4323" s="395">
        <v>93107</v>
      </c>
      <c r="C4323" s="406" t="s">
        <v>6624</v>
      </c>
      <c r="D4323" s="395" t="s">
        <v>23</v>
      </c>
      <c r="E4323" s="407">
        <f t="shared" si="134"/>
        <v>14.34</v>
      </c>
      <c r="F4323">
        <f t="shared" si="135"/>
        <v>93107</v>
      </c>
      <c r="H4323" s="680">
        <v>14.34</v>
      </c>
      <c r="I4323" s="680">
        <v>15.06</v>
      </c>
    </row>
    <row r="4324" spans="2:9" ht="30">
      <c r="B4324" s="396">
        <v>93108</v>
      </c>
      <c r="C4324" s="401" t="s">
        <v>6625</v>
      </c>
      <c r="D4324" s="396" t="s">
        <v>23</v>
      </c>
      <c r="E4324" s="405">
        <f t="shared" si="134"/>
        <v>12.09</v>
      </c>
      <c r="F4324">
        <f t="shared" si="135"/>
        <v>93108</v>
      </c>
      <c r="H4324" s="679">
        <v>12.09</v>
      </c>
      <c r="I4324" s="679">
        <v>12.68</v>
      </c>
    </row>
    <row r="4325" spans="2:9" ht="30">
      <c r="B4325" s="395">
        <v>93109</v>
      </c>
      <c r="C4325" s="406" t="s">
        <v>6626</v>
      </c>
      <c r="D4325" s="395" t="s">
        <v>23</v>
      </c>
      <c r="E4325" s="407">
        <f t="shared" si="134"/>
        <v>504.69</v>
      </c>
      <c r="F4325">
        <f t="shared" si="135"/>
        <v>93109</v>
      </c>
      <c r="H4325" s="680">
        <v>504.69</v>
      </c>
      <c r="I4325" s="680">
        <v>505.41</v>
      </c>
    </row>
    <row r="4326" spans="2:9" ht="30">
      <c r="B4326" s="396">
        <v>93110</v>
      </c>
      <c r="C4326" s="401" t="s">
        <v>6627</v>
      </c>
      <c r="D4326" s="396" t="s">
        <v>23</v>
      </c>
      <c r="E4326" s="405">
        <f t="shared" si="134"/>
        <v>18.89</v>
      </c>
      <c r="F4326">
        <f t="shared" si="135"/>
        <v>93110</v>
      </c>
      <c r="H4326" s="679">
        <v>18.89</v>
      </c>
      <c r="I4326" s="679">
        <v>19.420000000000002</v>
      </c>
    </row>
    <row r="4327" spans="2:9" ht="30">
      <c r="B4327" s="395">
        <v>93111</v>
      </c>
      <c r="C4327" s="406" t="s">
        <v>6628</v>
      </c>
      <c r="D4327" s="395" t="s">
        <v>23</v>
      </c>
      <c r="E4327" s="407">
        <f t="shared" si="134"/>
        <v>22.94</v>
      </c>
      <c r="F4327">
        <f t="shared" si="135"/>
        <v>93111</v>
      </c>
      <c r="H4327" s="680">
        <v>22.94</v>
      </c>
      <c r="I4327" s="680">
        <v>23.55</v>
      </c>
    </row>
    <row r="4328" spans="2:9" ht="30">
      <c r="B4328" s="396">
        <v>93112</v>
      </c>
      <c r="C4328" s="401" t="s">
        <v>6629</v>
      </c>
      <c r="D4328" s="396" t="s">
        <v>23</v>
      </c>
      <c r="E4328" s="405">
        <f t="shared" si="134"/>
        <v>46.82</v>
      </c>
      <c r="F4328">
        <f t="shared" si="135"/>
        <v>93112</v>
      </c>
      <c r="H4328" s="679">
        <v>46.82</v>
      </c>
      <c r="I4328" s="679">
        <v>47.54</v>
      </c>
    </row>
    <row r="4329" spans="2:9" ht="30">
      <c r="B4329" s="395">
        <v>93113</v>
      </c>
      <c r="C4329" s="406" t="s">
        <v>6630</v>
      </c>
      <c r="D4329" s="395" t="s">
        <v>23</v>
      </c>
      <c r="E4329" s="407">
        <f t="shared" si="134"/>
        <v>20.72</v>
      </c>
      <c r="F4329">
        <f t="shared" si="135"/>
        <v>93113</v>
      </c>
      <c r="H4329" s="680">
        <v>20.72</v>
      </c>
      <c r="I4329" s="680">
        <v>21.65</v>
      </c>
    </row>
    <row r="4330" spans="2:9" ht="30">
      <c r="B4330" s="396">
        <v>93114</v>
      </c>
      <c r="C4330" s="401" t="s">
        <v>6631</v>
      </c>
      <c r="D4330" s="396" t="s">
        <v>23</v>
      </c>
      <c r="E4330" s="405">
        <f t="shared" si="134"/>
        <v>30.2</v>
      </c>
      <c r="F4330">
        <f t="shared" si="135"/>
        <v>93114</v>
      </c>
      <c r="H4330" s="679">
        <v>30.2</v>
      </c>
      <c r="I4330" s="679">
        <v>30.83</v>
      </c>
    </row>
    <row r="4331" spans="2:9" ht="30">
      <c r="B4331" s="395">
        <v>93115</v>
      </c>
      <c r="C4331" s="406" t="s">
        <v>6632</v>
      </c>
      <c r="D4331" s="395" t="s">
        <v>23</v>
      </c>
      <c r="E4331" s="407">
        <f t="shared" si="134"/>
        <v>80.430000000000007</v>
      </c>
      <c r="F4331">
        <f t="shared" si="135"/>
        <v>93115</v>
      </c>
      <c r="H4331" s="680">
        <v>80.430000000000007</v>
      </c>
      <c r="I4331" s="680">
        <v>81.36</v>
      </c>
    </row>
    <row r="4332" spans="2:9" ht="30">
      <c r="B4332" s="396">
        <v>93116</v>
      </c>
      <c r="C4332" s="401" t="s">
        <v>6633</v>
      </c>
      <c r="D4332" s="396" t="s">
        <v>23</v>
      </c>
      <c r="E4332" s="405">
        <f t="shared" si="134"/>
        <v>555.88</v>
      </c>
      <c r="F4332">
        <f t="shared" si="135"/>
        <v>93116</v>
      </c>
      <c r="H4332" s="679">
        <v>555.88</v>
      </c>
      <c r="I4332" s="679">
        <v>556.80999999999995</v>
      </c>
    </row>
    <row r="4333" spans="2:9" ht="30">
      <c r="B4333" s="395">
        <v>93117</v>
      </c>
      <c r="C4333" s="406" t="s">
        <v>6634</v>
      </c>
      <c r="D4333" s="395" t="s">
        <v>23</v>
      </c>
      <c r="E4333" s="407">
        <f t="shared" si="134"/>
        <v>54.92</v>
      </c>
      <c r="F4333">
        <f t="shared" si="135"/>
        <v>93117</v>
      </c>
      <c r="H4333" s="680">
        <v>54.92</v>
      </c>
      <c r="I4333" s="680">
        <v>55.56</v>
      </c>
    </row>
    <row r="4334" spans="2:9" ht="30">
      <c r="B4334" s="396">
        <v>93118</v>
      </c>
      <c r="C4334" s="401" t="s">
        <v>6635</v>
      </c>
      <c r="D4334" s="396" t="s">
        <v>23</v>
      </c>
      <c r="E4334" s="405">
        <f t="shared" si="134"/>
        <v>80.92</v>
      </c>
      <c r="F4334">
        <f t="shared" si="135"/>
        <v>93118</v>
      </c>
      <c r="H4334" s="679">
        <v>80.92</v>
      </c>
      <c r="I4334" s="679">
        <v>81.900000000000006</v>
      </c>
    </row>
    <row r="4335" spans="2:9" ht="30">
      <c r="B4335" s="395">
        <v>93119</v>
      </c>
      <c r="C4335" s="406" t="s">
        <v>6636</v>
      </c>
      <c r="D4335" s="395" t="s">
        <v>23</v>
      </c>
      <c r="E4335" s="407">
        <f t="shared" si="134"/>
        <v>15.94</v>
      </c>
      <c r="F4335">
        <f t="shared" si="135"/>
        <v>93119</v>
      </c>
      <c r="H4335" s="680">
        <v>15.94</v>
      </c>
      <c r="I4335" s="680">
        <v>16.350000000000001</v>
      </c>
    </row>
    <row r="4336" spans="2:9" ht="30">
      <c r="B4336" s="396">
        <v>93120</v>
      </c>
      <c r="C4336" s="401" t="s">
        <v>6637</v>
      </c>
      <c r="D4336" s="396" t="s">
        <v>23</v>
      </c>
      <c r="E4336" s="405">
        <f t="shared" si="134"/>
        <v>24.27</v>
      </c>
      <c r="F4336">
        <f t="shared" si="135"/>
        <v>93120</v>
      </c>
      <c r="H4336" s="679">
        <v>24.27</v>
      </c>
      <c r="I4336" s="679">
        <v>24.65</v>
      </c>
    </row>
    <row r="4337" spans="2:9" ht="30">
      <c r="B4337" s="395">
        <v>93121</v>
      </c>
      <c r="C4337" s="406" t="s">
        <v>6638</v>
      </c>
      <c r="D4337" s="395" t="s">
        <v>23</v>
      </c>
      <c r="E4337" s="407">
        <f t="shared" si="134"/>
        <v>27.49</v>
      </c>
      <c r="F4337">
        <f t="shared" si="135"/>
        <v>93121</v>
      </c>
      <c r="H4337" s="680">
        <v>27.49</v>
      </c>
      <c r="I4337" s="680">
        <v>27.96</v>
      </c>
    </row>
    <row r="4338" spans="2:9" ht="30">
      <c r="B4338" s="396">
        <v>93122</v>
      </c>
      <c r="C4338" s="401" t="s">
        <v>6639</v>
      </c>
      <c r="D4338" s="396" t="s">
        <v>23</v>
      </c>
      <c r="E4338" s="405">
        <f t="shared" si="134"/>
        <v>24.07</v>
      </c>
      <c r="F4338">
        <f t="shared" si="135"/>
        <v>93122</v>
      </c>
      <c r="H4338" s="679">
        <v>24.07</v>
      </c>
      <c r="I4338" s="679">
        <v>24.6</v>
      </c>
    </row>
    <row r="4339" spans="2:9" ht="30">
      <c r="B4339" s="395">
        <v>93123</v>
      </c>
      <c r="C4339" s="406" t="s">
        <v>6640</v>
      </c>
      <c r="D4339" s="395" t="s">
        <v>23</v>
      </c>
      <c r="E4339" s="407">
        <f t="shared" si="134"/>
        <v>54.55</v>
      </c>
      <c r="F4339">
        <f t="shared" si="135"/>
        <v>93123</v>
      </c>
      <c r="H4339" s="680">
        <v>54.55</v>
      </c>
      <c r="I4339" s="680">
        <v>55.22</v>
      </c>
    </row>
    <row r="4340" spans="2:9" ht="30">
      <c r="B4340" s="396">
        <v>93124</v>
      </c>
      <c r="C4340" s="401" t="s">
        <v>6641</v>
      </c>
      <c r="D4340" s="396" t="s">
        <v>23</v>
      </c>
      <c r="E4340" s="405">
        <f t="shared" si="134"/>
        <v>86.08</v>
      </c>
      <c r="F4340">
        <f t="shared" si="135"/>
        <v>93124</v>
      </c>
      <c r="H4340" s="679">
        <v>86.08</v>
      </c>
      <c r="I4340" s="679">
        <v>86.88</v>
      </c>
    </row>
    <row r="4341" spans="2:9" ht="30">
      <c r="B4341" s="395">
        <v>93125</v>
      </c>
      <c r="C4341" s="406" t="s">
        <v>6642</v>
      </c>
      <c r="D4341" s="395" t="s">
        <v>23</v>
      </c>
      <c r="E4341" s="407">
        <f t="shared" si="134"/>
        <v>126.81</v>
      </c>
      <c r="F4341">
        <f t="shared" si="135"/>
        <v>93125</v>
      </c>
      <c r="H4341" s="680">
        <v>126.81</v>
      </c>
      <c r="I4341" s="680">
        <v>127.86</v>
      </c>
    </row>
    <row r="4342" spans="2:9" ht="30">
      <c r="B4342" s="396">
        <v>93126</v>
      </c>
      <c r="C4342" s="401" t="s">
        <v>6643</v>
      </c>
      <c r="D4342" s="396" t="s">
        <v>23</v>
      </c>
      <c r="E4342" s="405">
        <f t="shared" si="134"/>
        <v>281.85000000000002</v>
      </c>
      <c r="F4342">
        <f t="shared" si="135"/>
        <v>93126</v>
      </c>
      <c r="H4342" s="679">
        <v>281.85000000000002</v>
      </c>
      <c r="I4342" s="679">
        <v>283.14</v>
      </c>
    </row>
    <row r="4343" spans="2:9" ht="30">
      <c r="B4343" s="395">
        <v>93133</v>
      </c>
      <c r="C4343" s="406" t="s">
        <v>6644</v>
      </c>
      <c r="D4343" s="395" t="s">
        <v>23</v>
      </c>
      <c r="E4343" s="407">
        <f t="shared" si="134"/>
        <v>17.489999999999998</v>
      </c>
      <c r="F4343">
        <f t="shared" si="135"/>
        <v>93133</v>
      </c>
      <c r="H4343" s="680">
        <v>17.489999999999998</v>
      </c>
      <c r="I4343" s="680">
        <v>18.309999999999999</v>
      </c>
    </row>
    <row r="4344" spans="2:9" ht="30">
      <c r="B4344" s="396">
        <v>94465</v>
      </c>
      <c r="C4344" s="401" t="s">
        <v>1584</v>
      </c>
      <c r="D4344" s="396" t="s">
        <v>23</v>
      </c>
      <c r="E4344" s="405">
        <f t="shared" si="134"/>
        <v>39.81</v>
      </c>
      <c r="F4344">
        <f t="shared" si="135"/>
        <v>94465</v>
      </c>
      <c r="H4344" s="679">
        <v>39.81</v>
      </c>
      <c r="I4344" s="679">
        <v>41.42</v>
      </c>
    </row>
    <row r="4345" spans="2:9" ht="30">
      <c r="B4345" s="395">
        <v>94466</v>
      </c>
      <c r="C4345" s="406" t="s">
        <v>1585</v>
      </c>
      <c r="D4345" s="395" t="s">
        <v>23</v>
      </c>
      <c r="E4345" s="407">
        <f t="shared" si="134"/>
        <v>39.83</v>
      </c>
      <c r="F4345">
        <f t="shared" si="135"/>
        <v>94466</v>
      </c>
      <c r="H4345" s="680">
        <v>39.83</v>
      </c>
      <c r="I4345" s="680">
        <v>41.44</v>
      </c>
    </row>
    <row r="4346" spans="2:9" ht="30">
      <c r="B4346" s="396">
        <v>94467</v>
      </c>
      <c r="C4346" s="401" t="s">
        <v>1586</v>
      </c>
      <c r="D4346" s="396" t="s">
        <v>23</v>
      </c>
      <c r="E4346" s="405">
        <f t="shared" si="134"/>
        <v>60.84</v>
      </c>
      <c r="F4346">
        <f t="shared" si="135"/>
        <v>94467</v>
      </c>
      <c r="H4346" s="679">
        <v>60.84</v>
      </c>
      <c r="I4346" s="679">
        <v>62.45</v>
      </c>
    </row>
    <row r="4347" spans="2:9" ht="30">
      <c r="B4347" s="395">
        <v>94468</v>
      </c>
      <c r="C4347" s="406" t="s">
        <v>1587</v>
      </c>
      <c r="D4347" s="395" t="s">
        <v>23</v>
      </c>
      <c r="E4347" s="407">
        <f t="shared" si="134"/>
        <v>53.38</v>
      </c>
      <c r="F4347">
        <f t="shared" si="135"/>
        <v>94468</v>
      </c>
      <c r="H4347" s="680">
        <v>53.38</v>
      </c>
      <c r="I4347" s="680">
        <v>54.99</v>
      </c>
    </row>
    <row r="4348" spans="2:9" ht="30">
      <c r="B4348" s="396">
        <v>94469</v>
      </c>
      <c r="C4348" s="401" t="s">
        <v>1588</v>
      </c>
      <c r="D4348" s="396" t="s">
        <v>23</v>
      </c>
      <c r="E4348" s="405">
        <f t="shared" si="134"/>
        <v>88.15</v>
      </c>
      <c r="F4348">
        <f t="shared" si="135"/>
        <v>94469</v>
      </c>
      <c r="H4348" s="679">
        <v>88.15</v>
      </c>
      <c r="I4348" s="679">
        <v>90.15</v>
      </c>
    </row>
    <row r="4349" spans="2:9" ht="30">
      <c r="B4349" s="395">
        <v>94470</v>
      </c>
      <c r="C4349" s="406" t="s">
        <v>1589</v>
      </c>
      <c r="D4349" s="395" t="s">
        <v>23</v>
      </c>
      <c r="E4349" s="407">
        <f t="shared" si="134"/>
        <v>81.510000000000005</v>
      </c>
      <c r="F4349">
        <f t="shared" si="135"/>
        <v>94470</v>
      </c>
      <c r="H4349" s="680">
        <v>81.510000000000005</v>
      </c>
      <c r="I4349" s="680">
        <v>83.51</v>
      </c>
    </row>
    <row r="4350" spans="2:9" ht="30">
      <c r="B4350" s="396">
        <v>94471</v>
      </c>
      <c r="C4350" s="401" t="s">
        <v>1590</v>
      </c>
      <c r="D4350" s="396" t="s">
        <v>23</v>
      </c>
      <c r="E4350" s="405">
        <f t="shared" si="134"/>
        <v>57.42</v>
      </c>
      <c r="F4350">
        <f t="shared" si="135"/>
        <v>94471</v>
      </c>
      <c r="H4350" s="679">
        <v>57.42</v>
      </c>
      <c r="I4350" s="679">
        <v>59.83</v>
      </c>
    </row>
    <row r="4351" spans="2:9" ht="30">
      <c r="B4351" s="395">
        <v>94472</v>
      </c>
      <c r="C4351" s="406" t="s">
        <v>1591</v>
      </c>
      <c r="D4351" s="395" t="s">
        <v>23</v>
      </c>
      <c r="E4351" s="407">
        <f t="shared" si="134"/>
        <v>59.08</v>
      </c>
      <c r="F4351">
        <f t="shared" si="135"/>
        <v>94472</v>
      </c>
      <c r="H4351" s="680">
        <v>59.08</v>
      </c>
      <c r="I4351" s="680">
        <v>61.49</v>
      </c>
    </row>
    <row r="4352" spans="2:9" ht="30">
      <c r="B4352" s="396">
        <v>94473</v>
      </c>
      <c r="C4352" s="401" t="s">
        <v>1592</v>
      </c>
      <c r="D4352" s="396" t="s">
        <v>23</v>
      </c>
      <c r="E4352" s="405">
        <f t="shared" si="134"/>
        <v>87.15</v>
      </c>
      <c r="F4352">
        <f t="shared" si="135"/>
        <v>94473</v>
      </c>
      <c r="H4352" s="679">
        <v>87.15</v>
      </c>
      <c r="I4352" s="679">
        <v>89.56</v>
      </c>
    </row>
    <row r="4353" spans="2:9" ht="30">
      <c r="B4353" s="395">
        <v>94474</v>
      </c>
      <c r="C4353" s="406" t="s">
        <v>1593</v>
      </c>
      <c r="D4353" s="395" t="s">
        <v>23</v>
      </c>
      <c r="E4353" s="407">
        <f t="shared" si="134"/>
        <v>94.45</v>
      </c>
      <c r="F4353">
        <f t="shared" si="135"/>
        <v>94474</v>
      </c>
      <c r="H4353" s="680">
        <v>94.45</v>
      </c>
      <c r="I4353" s="680">
        <v>96.86</v>
      </c>
    </row>
    <row r="4354" spans="2:9" ht="30">
      <c r="B4354" s="396">
        <v>94475</v>
      </c>
      <c r="C4354" s="401" t="s">
        <v>1594</v>
      </c>
      <c r="D4354" s="396" t="s">
        <v>23</v>
      </c>
      <c r="E4354" s="405">
        <f t="shared" si="134"/>
        <v>119.56</v>
      </c>
      <c r="F4354">
        <f t="shared" si="135"/>
        <v>94475</v>
      </c>
      <c r="H4354" s="679">
        <v>119.56</v>
      </c>
      <c r="I4354" s="679">
        <v>122.55</v>
      </c>
    </row>
    <row r="4355" spans="2:9" ht="30">
      <c r="B4355" s="395">
        <v>94476</v>
      </c>
      <c r="C4355" s="406" t="s">
        <v>1595</v>
      </c>
      <c r="D4355" s="395" t="s">
        <v>23</v>
      </c>
      <c r="E4355" s="407">
        <f t="shared" ref="E4355:E4418" si="136">IF($K$2=$H$1,H4355,I4355)</f>
        <v>133.63999999999999</v>
      </c>
      <c r="F4355">
        <f t="shared" ref="F4355:F4418" si="137">IF(LEN($B4355)=7,CONCATENATE(MID($B4355,1,6),"00",RIGHT($B4355,1)),IF(LEN($B4355)=8,CONCATENATE(MID($B4355,1,6),"0",RIGHT($B4355,2)),$B4355))</f>
        <v>94476</v>
      </c>
      <c r="H4355" s="680">
        <v>133.63999999999999</v>
      </c>
      <c r="I4355" s="680">
        <v>136.63</v>
      </c>
    </row>
    <row r="4356" spans="2:9" ht="30">
      <c r="B4356" s="396">
        <v>94477</v>
      </c>
      <c r="C4356" s="401" t="s">
        <v>1596</v>
      </c>
      <c r="D4356" s="396" t="s">
        <v>23</v>
      </c>
      <c r="E4356" s="405">
        <f t="shared" si="136"/>
        <v>76.45</v>
      </c>
      <c r="F4356">
        <f t="shared" si="137"/>
        <v>94477</v>
      </c>
      <c r="H4356" s="679">
        <v>76.45</v>
      </c>
      <c r="I4356" s="679">
        <v>79.650000000000006</v>
      </c>
    </row>
    <row r="4357" spans="2:9" ht="30">
      <c r="B4357" s="395">
        <v>94478</v>
      </c>
      <c r="C4357" s="406" t="s">
        <v>1597</v>
      </c>
      <c r="D4357" s="395" t="s">
        <v>23</v>
      </c>
      <c r="E4357" s="407">
        <f t="shared" si="136"/>
        <v>119.77</v>
      </c>
      <c r="F4357">
        <f t="shared" si="137"/>
        <v>94478</v>
      </c>
      <c r="H4357" s="680">
        <v>119.77</v>
      </c>
      <c r="I4357" s="680">
        <v>122.97</v>
      </c>
    </row>
    <row r="4358" spans="2:9" ht="30">
      <c r="B4358" s="396">
        <v>94479</v>
      </c>
      <c r="C4358" s="401" t="s">
        <v>1598</v>
      </c>
      <c r="D4358" s="396" t="s">
        <v>23</v>
      </c>
      <c r="E4358" s="405">
        <f t="shared" si="136"/>
        <v>157.94</v>
      </c>
      <c r="F4358">
        <f t="shared" si="137"/>
        <v>94479</v>
      </c>
      <c r="H4358" s="679">
        <v>157.94</v>
      </c>
      <c r="I4358" s="679">
        <v>161.94</v>
      </c>
    </row>
    <row r="4359" spans="2:9" ht="30">
      <c r="B4359" s="395">
        <v>94606</v>
      </c>
      <c r="C4359" s="406" t="s">
        <v>2841</v>
      </c>
      <c r="D4359" s="395" t="s">
        <v>23</v>
      </c>
      <c r="E4359" s="407">
        <f t="shared" si="136"/>
        <v>74.22</v>
      </c>
      <c r="F4359">
        <f t="shared" si="137"/>
        <v>94606</v>
      </c>
      <c r="H4359" s="680">
        <v>74.22</v>
      </c>
      <c r="I4359" s="680">
        <v>76.11</v>
      </c>
    </row>
    <row r="4360" spans="2:9" ht="30">
      <c r="B4360" s="396">
        <v>94608</v>
      </c>
      <c r="C4360" s="401" t="s">
        <v>2842</v>
      </c>
      <c r="D4360" s="396" t="s">
        <v>23</v>
      </c>
      <c r="E4360" s="405">
        <f t="shared" si="136"/>
        <v>185.19</v>
      </c>
      <c r="F4360">
        <f t="shared" si="137"/>
        <v>94608</v>
      </c>
      <c r="H4360" s="679">
        <v>185.19</v>
      </c>
      <c r="I4360" s="679">
        <v>187.08</v>
      </c>
    </row>
    <row r="4361" spans="2:9" ht="30">
      <c r="B4361" s="395">
        <v>94610</v>
      </c>
      <c r="C4361" s="406" t="s">
        <v>2843</v>
      </c>
      <c r="D4361" s="395" t="s">
        <v>23</v>
      </c>
      <c r="E4361" s="407">
        <f t="shared" si="136"/>
        <v>275.85000000000002</v>
      </c>
      <c r="F4361">
        <f t="shared" si="137"/>
        <v>94610</v>
      </c>
      <c r="H4361" s="680">
        <v>275.85000000000002</v>
      </c>
      <c r="I4361" s="680">
        <v>277.89999999999998</v>
      </c>
    </row>
    <row r="4362" spans="2:9" ht="30">
      <c r="B4362" s="396">
        <v>94612</v>
      </c>
      <c r="C4362" s="401" t="s">
        <v>2844</v>
      </c>
      <c r="D4362" s="396" t="s">
        <v>23</v>
      </c>
      <c r="E4362" s="405">
        <f t="shared" si="136"/>
        <v>387.87</v>
      </c>
      <c r="F4362">
        <f t="shared" si="137"/>
        <v>94612</v>
      </c>
      <c r="H4362" s="679">
        <v>387.87</v>
      </c>
      <c r="I4362" s="679">
        <v>389.92</v>
      </c>
    </row>
    <row r="4363" spans="2:9" ht="30">
      <c r="B4363" s="395">
        <v>94614</v>
      </c>
      <c r="C4363" s="406" t="s">
        <v>2845</v>
      </c>
      <c r="D4363" s="395" t="s">
        <v>23</v>
      </c>
      <c r="E4363" s="407">
        <f t="shared" si="136"/>
        <v>125.9</v>
      </c>
      <c r="F4363">
        <f t="shared" si="137"/>
        <v>94614</v>
      </c>
      <c r="H4363" s="680">
        <v>125.9</v>
      </c>
      <c r="I4363" s="680">
        <v>128.72999999999999</v>
      </c>
    </row>
    <row r="4364" spans="2:9" ht="30">
      <c r="B4364" s="396">
        <v>94615</v>
      </c>
      <c r="C4364" s="401" t="s">
        <v>2846</v>
      </c>
      <c r="D4364" s="396" t="s">
        <v>23</v>
      </c>
      <c r="E4364" s="405">
        <f t="shared" si="136"/>
        <v>143.32</v>
      </c>
      <c r="F4364">
        <f t="shared" si="137"/>
        <v>94615</v>
      </c>
      <c r="H4364" s="679">
        <v>143.32</v>
      </c>
      <c r="I4364" s="679">
        <v>146.15</v>
      </c>
    </row>
    <row r="4365" spans="2:9" ht="30">
      <c r="B4365" s="395">
        <v>94616</v>
      </c>
      <c r="C4365" s="406" t="s">
        <v>2847</v>
      </c>
      <c r="D4365" s="395" t="s">
        <v>23</v>
      </c>
      <c r="E4365" s="407">
        <f t="shared" si="136"/>
        <v>354.84</v>
      </c>
      <c r="F4365">
        <f t="shared" si="137"/>
        <v>94616</v>
      </c>
      <c r="H4365" s="680">
        <v>354.84</v>
      </c>
      <c r="I4365" s="680">
        <v>357.67</v>
      </c>
    </row>
    <row r="4366" spans="2:9" ht="30">
      <c r="B4366" s="396">
        <v>94617</v>
      </c>
      <c r="C4366" s="401" t="s">
        <v>2848</v>
      </c>
      <c r="D4366" s="396" t="s">
        <v>23</v>
      </c>
      <c r="E4366" s="405">
        <f t="shared" si="136"/>
        <v>294.27999999999997</v>
      </c>
      <c r="F4366">
        <f t="shared" si="137"/>
        <v>94617</v>
      </c>
      <c r="H4366" s="679">
        <v>294.27999999999997</v>
      </c>
      <c r="I4366" s="679">
        <v>297.11</v>
      </c>
    </row>
    <row r="4367" spans="2:9" ht="30">
      <c r="B4367" s="395">
        <v>94618</v>
      </c>
      <c r="C4367" s="406" t="s">
        <v>2849</v>
      </c>
      <c r="D4367" s="395" t="s">
        <v>23</v>
      </c>
      <c r="E4367" s="407">
        <f t="shared" si="136"/>
        <v>348.17</v>
      </c>
      <c r="F4367">
        <f t="shared" si="137"/>
        <v>94618</v>
      </c>
      <c r="H4367" s="680">
        <v>348.17</v>
      </c>
      <c r="I4367" s="680">
        <v>351.25</v>
      </c>
    </row>
    <row r="4368" spans="2:9" ht="30">
      <c r="B4368" s="396">
        <v>94620</v>
      </c>
      <c r="C4368" s="401" t="s">
        <v>2850</v>
      </c>
      <c r="D4368" s="396" t="s">
        <v>23</v>
      </c>
      <c r="E4368" s="405">
        <f t="shared" si="136"/>
        <v>801.23</v>
      </c>
      <c r="F4368">
        <f t="shared" si="137"/>
        <v>94620</v>
      </c>
      <c r="H4368" s="679">
        <v>801.23</v>
      </c>
      <c r="I4368" s="679">
        <v>804.31</v>
      </c>
    </row>
    <row r="4369" spans="2:9" ht="30">
      <c r="B4369" s="395">
        <v>94622</v>
      </c>
      <c r="C4369" s="406" t="s">
        <v>2851</v>
      </c>
      <c r="D4369" s="395" t="s">
        <v>23</v>
      </c>
      <c r="E4369" s="407">
        <f t="shared" si="136"/>
        <v>184.57</v>
      </c>
      <c r="F4369">
        <f t="shared" si="137"/>
        <v>94622</v>
      </c>
      <c r="H4369" s="680">
        <v>184.57</v>
      </c>
      <c r="I4369" s="680">
        <v>188.34</v>
      </c>
    </row>
    <row r="4370" spans="2:9" ht="30">
      <c r="B4370" s="396">
        <v>94623</v>
      </c>
      <c r="C4370" s="401" t="s">
        <v>2852</v>
      </c>
      <c r="D4370" s="396" t="s">
        <v>23</v>
      </c>
      <c r="E4370" s="405">
        <f t="shared" si="136"/>
        <v>439.23</v>
      </c>
      <c r="F4370">
        <f t="shared" si="137"/>
        <v>94623</v>
      </c>
      <c r="H4370" s="679">
        <v>439.23</v>
      </c>
      <c r="I4370" s="679">
        <v>443</v>
      </c>
    </row>
    <row r="4371" spans="2:9" ht="30">
      <c r="B4371" s="395">
        <v>94624</v>
      </c>
      <c r="C4371" s="406" t="s">
        <v>2853</v>
      </c>
      <c r="D4371" s="395" t="s">
        <v>23</v>
      </c>
      <c r="E4371" s="407">
        <f t="shared" si="136"/>
        <v>670.04</v>
      </c>
      <c r="F4371">
        <f t="shared" si="137"/>
        <v>94624</v>
      </c>
      <c r="H4371" s="680">
        <v>670.04</v>
      </c>
      <c r="I4371" s="680">
        <v>674.14</v>
      </c>
    </row>
    <row r="4372" spans="2:9" ht="30">
      <c r="B4372" s="396">
        <v>94625</v>
      </c>
      <c r="C4372" s="401" t="s">
        <v>2854</v>
      </c>
      <c r="D4372" s="396" t="s">
        <v>23</v>
      </c>
      <c r="E4372" s="405">
        <f t="shared" si="136"/>
        <v>1398.74</v>
      </c>
      <c r="F4372">
        <f t="shared" si="137"/>
        <v>94625</v>
      </c>
      <c r="H4372" s="679">
        <v>1398.74</v>
      </c>
      <c r="I4372" s="679">
        <v>1402.84</v>
      </c>
    </row>
    <row r="4373" spans="2:9" ht="30">
      <c r="B4373" s="395">
        <v>94656</v>
      </c>
      <c r="C4373" s="406" t="s">
        <v>1599</v>
      </c>
      <c r="D4373" s="395" t="s">
        <v>23</v>
      </c>
      <c r="E4373" s="407">
        <f t="shared" si="136"/>
        <v>6.14</v>
      </c>
      <c r="F4373">
        <f t="shared" si="137"/>
        <v>94656</v>
      </c>
      <c r="H4373" s="680">
        <v>6.14</v>
      </c>
      <c r="I4373" s="680">
        <v>6.51</v>
      </c>
    </row>
    <row r="4374" spans="2:9" ht="30">
      <c r="B4374" s="396">
        <v>94657</v>
      </c>
      <c r="C4374" s="401" t="s">
        <v>1600</v>
      </c>
      <c r="D4374" s="396" t="s">
        <v>23</v>
      </c>
      <c r="E4374" s="405">
        <f t="shared" si="136"/>
        <v>6.05</v>
      </c>
      <c r="F4374">
        <f t="shared" si="137"/>
        <v>94657</v>
      </c>
      <c r="H4374" s="679">
        <v>6.05</v>
      </c>
      <c r="I4374" s="679">
        <v>6.42</v>
      </c>
    </row>
    <row r="4375" spans="2:9" ht="30">
      <c r="B4375" s="395">
        <v>94658</v>
      </c>
      <c r="C4375" s="406" t="s">
        <v>1601</v>
      </c>
      <c r="D4375" s="395" t="s">
        <v>23</v>
      </c>
      <c r="E4375" s="407">
        <f t="shared" si="136"/>
        <v>7.28</v>
      </c>
      <c r="F4375">
        <f t="shared" si="137"/>
        <v>94658</v>
      </c>
      <c r="H4375" s="680">
        <v>7.28</v>
      </c>
      <c r="I4375" s="680">
        <v>7.65</v>
      </c>
    </row>
    <row r="4376" spans="2:9" ht="30">
      <c r="B4376" s="396">
        <v>94659</v>
      </c>
      <c r="C4376" s="401" t="s">
        <v>1602</v>
      </c>
      <c r="D4376" s="396" t="s">
        <v>23</v>
      </c>
      <c r="E4376" s="405">
        <f t="shared" si="136"/>
        <v>7.54</v>
      </c>
      <c r="F4376">
        <f t="shared" si="137"/>
        <v>94659</v>
      </c>
      <c r="H4376" s="679">
        <v>7.54</v>
      </c>
      <c r="I4376" s="679">
        <v>7.91</v>
      </c>
    </row>
    <row r="4377" spans="2:9" ht="30">
      <c r="B4377" s="395">
        <v>94660</v>
      </c>
      <c r="C4377" s="406" t="s">
        <v>1603</v>
      </c>
      <c r="D4377" s="395" t="s">
        <v>23</v>
      </c>
      <c r="E4377" s="407">
        <f t="shared" si="136"/>
        <v>12.49</v>
      </c>
      <c r="F4377">
        <f t="shared" si="137"/>
        <v>94660</v>
      </c>
      <c r="H4377" s="680">
        <v>12.49</v>
      </c>
      <c r="I4377" s="680">
        <v>13.02</v>
      </c>
    </row>
    <row r="4378" spans="2:9" ht="30">
      <c r="B4378" s="396">
        <v>94661</v>
      </c>
      <c r="C4378" s="401" t="s">
        <v>1604</v>
      </c>
      <c r="D4378" s="396" t="s">
        <v>23</v>
      </c>
      <c r="E4378" s="405">
        <f t="shared" si="136"/>
        <v>13.18</v>
      </c>
      <c r="F4378">
        <f t="shared" si="137"/>
        <v>94661</v>
      </c>
      <c r="H4378" s="679">
        <v>13.18</v>
      </c>
      <c r="I4378" s="679">
        <v>13.71</v>
      </c>
    </row>
    <row r="4379" spans="2:9" ht="30">
      <c r="B4379" s="395">
        <v>94662</v>
      </c>
      <c r="C4379" s="406" t="s">
        <v>1605</v>
      </c>
      <c r="D4379" s="395" t="s">
        <v>23</v>
      </c>
      <c r="E4379" s="407">
        <f t="shared" si="136"/>
        <v>13.44</v>
      </c>
      <c r="F4379">
        <f t="shared" si="137"/>
        <v>94662</v>
      </c>
      <c r="H4379" s="680">
        <v>13.44</v>
      </c>
      <c r="I4379" s="680">
        <v>13.97</v>
      </c>
    </row>
    <row r="4380" spans="2:9" ht="30">
      <c r="B4380" s="396">
        <v>94663</v>
      </c>
      <c r="C4380" s="401" t="s">
        <v>1606</v>
      </c>
      <c r="D4380" s="396" t="s">
        <v>23</v>
      </c>
      <c r="E4380" s="405">
        <f t="shared" si="136"/>
        <v>13.31</v>
      </c>
      <c r="F4380">
        <f t="shared" si="137"/>
        <v>94663</v>
      </c>
      <c r="H4380" s="679">
        <v>13.31</v>
      </c>
      <c r="I4380" s="679">
        <v>13.84</v>
      </c>
    </row>
    <row r="4381" spans="2:9" ht="30">
      <c r="B4381" s="395">
        <v>94664</v>
      </c>
      <c r="C4381" s="406" t="s">
        <v>1607</v>
      </c>
      <c r="D4381" s="395" t="s">
        <v>23</v>
      </c>
      <c r="E4381" s="407">
        <f t="shared" si="136"/>
        <v>28.72</v>
      </c>
      <c r="F4381">
        <f t="shared" si="137"/>
        <v>94664</v>
      </c>
      <c r="H4381" s="680">
        <v>28.72</v>
      </c>
      <c r="I4381" s="680">
        <v>29.57</v>
      </c>
    </row>
    <row r="4382" spans="2:9" ht="30">
      <c r="B4382" s="396">
        <v>94665</v>
      </c>
      <c r="C4382" s="401" t="s">
        <v>1608</v>
      </c>
      <c r="D4382" s="396" t="s">
        <v>23</v>
      </c>
      <c r="E4382" s="405">
        <f t="shared" si="136"/>
        <v>31.47</v>
      </c>
      <c r="F4382">
        <f t="shared" si="137"/>
        <v>94665</v>
      </c>
      <c r="H4382" s="679">
        <v>31.47</v>
      </c>
      <c r="I4382" s="679">
        <v>32.32</v>
      </c>
    </row>
    <row r="4383" spans="2:9" ht="30">
      <c r="B4383" s="395">
        <v>94666</v>
      </c>
      <c r="C4383" s="406" t="s">
        <v>1609</v>
      </c>
      <c r="D4383" s="395" t="s">
        <v>23</v>
      </c>
      <c r="E4383" s="407">
        <f t="shared" si="136"/>
        <v>39.130000000000003</v>
      </c>
      <c r="F4383">
        <f t="shared" si="137"/>
        <v>94666</v>
      </c>
      <c r="H4383" s="680">
        <v>39.130000000000003</v>
      </c>
      <c r="I4383" s="680">
        <v>39.979999999999997</v>
      </c>
    </row>
    <row r="4384" spans="2:9" ht="30">
      <c r="B4384" s="396">
        <v>94667</v>
      </c>
      <c r="C4384" s="401" t="s">
        <v>1610</v>
      </c>
      <c r="D4384" s="396" t="s">
        <v>23</v>
      </c>
      <c r="E4384" s="405">
        <f t="shared" si="136"/>
        <v>39.25</v>
      </c>
      <c r="F4384">
        <f t="shared" si="137"/>
        <v>94667</v>
      </c>
      <c r="H4384" s="679">
        <v>39.25</v>
      </c>
      <c r="I4384" s="679">
        <v>40.1</v>
      </c>
    </row>
    <row r="4385" spans="2:9" ht="30">
      <c r="B4385" s="395">
        <v>94668</v>
      </c>
      <c r="C4385" s="406" t="s">
        <v>1611</v>
      </c>
      <c r="D4385" s="395" t="s">
        <v>23</v>
      </c>
      <c r="E4385" s="407">
        <f t="shared" si="136"/>
        <v>60.32</v>
      </c>
      <c r="F4385">
        <f t="shared" si="137"/>
        <v>94668</v>
      </c>
      <c r="H4385" s="680">
        <v>60.32</v>
      </c>
      <c r="I4385" s="680">
        <v>61.8</v>
      </c>
    </row>
    <row r="4386" spans="2:9" ht="30">
      <c r="B4386" s="396">
        <v>94669</v>
      </c>
      <c r="C4386" s="401" t="s">
        <v>1612</v>
      </c>
      <c r="D4386" s="396" t="s">
        <v>23</v>
      </c>
      <c r="E4386" s="405">
        <f t="shared" si="136"/>
        <v>81.8</v>
      </c>
      <c r="F4386">
        <f t="shared" si="137"/>
        <v>94669</v>
      </c>
      <c r="H4386" s="679">
        <v>81.8</v>
      </c>
      <c r="I4386" s="679">
        <v>83.28</v>
      </c>
    </row>
    <row r="4387" spans="2:9" ht="30">
      <c r="B4387" s="395">
        <v>94670</v>
      </c>
      <c r="C4387" s="406" t="s">
        <v>1613</v>
      </c>
      <c r="D4387" s="395" t="s">
        <v>23</v>
      </c>
      <c r="E4387" s="407">
        <f t="shared" si="136"/>
        <v>81.040000000000006</v>
      </c>
      <c r="F4387">
        <f t="shared" si="137"/>
        <v>94670</v>
      </c>
      <c r="H4387" s="680">
        <v>81.040000000000006</v>
      </c>
      <c r="I4387" s="680">
        <v>82.52</v>
      </c>
    </row>
    <row r="4388" spans="2:9" ht="30">
      <c r="B4388" s="396">
        <v>94671</v>
      </c>
      <c r="C4388" s="401" t="s">
        <v>1614</v>
      </c>
      <c r="D4388" s="396" t="s">
        <v>23</v>
      </c>
      <c r="E4388" s="405">
        <f t="shared" si="136"/>
        <v>120.35</v>
      </c>
      <c r="F4388">
        <f t="shared" si="137"/>
        <v>94671</v>
      </c>
      <c r="H4388" s="679">
        <v>120.35</v>
      </c>
      <c r="I4388" s="679">
        <v>121.83</v>
      </c>
    </row>
    <row r="4389" spans="2:9" ht="30">
      <c r="B4389" s="395">
        <v>94672</v>
      </c>
      <c r="C4389" s="406" t="s">
        <v>1615</v>
      </c>
      <c r="D4389" s="395" t="s">
        <v>23</v>
      </c>
      <c r="E4389" s="407">
        <f t="shared" si="136"/>
        <v>9.67</v>
      </c>
      <c r="F4389">
        <f t="shared" si="137"/>
        <v>94672</v>
      </c>
      <c r="H4389" s="680">
        <v>9.67</v>
      </c>
      <c r="I4389" s="680">
        <v>10.220000000000001</v>
      </c>
    </row>
    <row r="4390" spans="2:9" ht="30">
      <c r="B4390" s="396">
        <v>94673</v>
      </c>
      <c r="C4390" s="401" t="s">
        <v>1616</v>
      </c>
      <c r="D4390" s="396" t="s">
        <v>23</v>
      </c>
      <c r="E4390" s="405">
        <f t="shared" si="136"/>
        <v>10.37</v>
      </c>
      <c r="F4390">
        <f t="shared" si="137"/>
        <v>94673</v>
      </c>
      <c r="H4390" s="679">
        <v>10.37</v>
      </c>
      <c r="I4390" s="679">
        <v>10.92</v>
      </c>
    </row>
    <row r="4391" spans="2:9" ht="30">
      <c r="B4391" s="395">
        <v>94674</v>
      </c>
      <c r="C4391" s="406" t="s">
        <v>1617</v>
      </c>
      <c r="D4391" s="395" t="s">
        <v>23</v>
      </c>
      <c r="E4391" s="407">
        <f t="shared" si="136"/>
        <v>9.66</v>
      </c>
      <c r="F4391">
        <f t="shared" si="137"/>
        <v>94674</v>
      </c>
      <c r="H4391" s="680">
        <v>9.66</v>
      </c>
      <c r="I4391" s="680">
        <v>10.210000000000001</v>
      </c>
    </row>
    <row r="4392" spans="2:9" ht="30">
      <c r="B4392" s="396">
        <v>94675</v>
      </c>
      <c r="C4392" s="401" t="s">
        <v>1618</v>
      </c>
      <c r="D4392" s="396" t="s">
        <v>23</v>
      </c>
      <c r="E4392" s="405">
        <f t="shared" si="136"/>
        <v>14.74</v>
      </c>
      <c r="F4392">
        <f t="shared" si="137"/>
        <v>94675</v>
      </c>
      <c r="H4392" s="679">
        <v>14.74</v>
      </c>
      <c r="I4392" s="679">
        <v>15.29</v>
      </c>
    </row>
    <row r="4393" spans="2:9" ht="30">
      <c r="B4393" s="395">
        <v>94676</v>
      </c>
      <c r="C4393" s="406" t="s">
        <v>1619</v>
      </c>
      <c r="D4393" s="395" t="s">
        <v>23</v>
      </c>
      <c r="E4393" s="407">
        <f t="shared" si="136"/>
        <v>17.53</v>
      </c>
      <c r="F4393">
        <f t="shared" si="137"/>
        <v>94676</v>
      </c>
      <c r="H4393" s="680">
        <v>17.53</v>
      </c>
      <c r="I4393" s="680">
        <v>18.32</v>
      </c>
    </row>
    <row r="4394" spans="2:9" ht="30">
      <c r="B4394" s="396">
        <v>94677</v>
      </c>
      <c r="C4394" s="401" t="s">
        <v>1620</v>
      </c>
      <c r="D4394" s="396" t="s">
        <v>23</v>
      </c>
      <c r="E4394" s="405">
        <f t="shared" si="136"/>
        <v>25.24</v>
      </c>
      <c r="F4394">
        <f t="shared" si="137"/>
        <v>94677</v>
      </c>
      <c r="H4394" s="679">
        <v>25.24</v>
      </c>
      <c r="I4394" s="679">
        <v>26.03</v>
      </c>
    </row>
    <row r="4395" spans="2:9" ht="30">
      <c r="B4395" s="395">
        <v>94678</v>
      </c>
      <c r="C4395" s="406" t="s">
        <v>1621</v>
      </c>
      <c r="D4395" s="395" t="s">
        <v>23</v>
      </c>
      <c r="E4395" s="407">
        <f t="shared" si="136"/>
        <v>16.39</v>
      </c>
      <c r="F4395">
        <f t="shared" si="137"/>
        <v>94678</v>
      </c>
      <c r="H4395" s="680">
        <v>16.39</v>
      </c>
      <c r="I4395" s="680">
        <v>17.18</v>
      </c>
    </row>
    <row r="4396" spans="2:9" ht="30">
      <c r="B4396" s="396">
        <v>94679</v>
      </c>
      <c r="C4396" s="401" t="s">
        <v>1622</v>
      </c>
      <c r="D4396" s="396" t="s">
        <v>23</v>
      </c>
      <c r="E4396" s="405">
        <f t="shared" si="136"/>
        <v>26.53</v>
      </c>
      <c r="F4396">
        <f t="shared" si="137"/>
        <v>94679</v>
      </c>
      <c r="H4396" s="679">
        <v>26.53</v>
      </c>
      <c r="I4396" s="679">
        <v>27.32</v>
      </c>
    </row>
    <row r="4397" spans="2:9" ht="30">
      <c r="B4397" s="395">
        <v>94680</v>
      </c>
      <c r="C4397" s="406" t="s">
        <v>1623</v>
      </c>
      <c r="D4397" s="395" t="s">
        <v>23</v>
      </c>
      <c r="E4397" s="407">
        <f t="shared" si="136"/>
        <v>54.77</v>
      </c>
      <c r="F4397">
        <f t="shared" si="137"/>
        <v>94680</v>
      </c>
      <c r="H4397" s="680">
        <v>54.77</v>
      </c>
      <c r="I4397" s="680">
        <v>56.04</v>
      </c>
    </row>
    <row r="4398" spans="2:9" ht="30">
      <c r="B4398" s="396">
        <v>94681</v>
      </c>
      <c r="C4398" s="401" t="s">
        <v>1624</v>
      </c>
      <c r="D4398" s="396" t="s">
        <v>23</v>
      </c>
      <c r="E4398" s="405">
        <f t="shared" si="136"/>
        <v>61.25</v>
      </c>
      <c r="F4398">
        <f t="shared" si="137"/>
        <v>94681</v>
      </c>
      <c r="H4398" s="679">
        <v>61.25</v>
      </c>
      <c r="I4398" s="679">
        <v>62.52</v>
      </c>
    </row>
    <row r="4399" spans="2:9" ht="30">
      <c r="B4399" s="395">
        <v>94682</v>
      </c>
      <c r="C4399" s="406" t="s">
        <v>1625</v>
      </c>
      <c r="D4399" s="395" t="s">
        <v>23</v>
      </c>
      <c r="E4399" s="407">
        <f t="shared" si="136"/>
        <v>125.83</v>
      </c>
      <c r="F4399">
        <f t="shared" si="137"/>
        <v>94682</v>
      </c>
      <c r="H4399" s="680">
        <v>125.83</v>
      </c>
      <c r="I4399" s="680">
        <v>127.1</v>
      </c>
    </row>
    <row r="4400" spans="2:9" ht="30">
      <c r="B4400" s="396">
        <v>94683</v>
      </c>
      <c r="C4400" s="401" t="s">
        <v>1626</v>
      </c>
      <c r="D4400" s="396" t="s">
        <v>23</v>
      </c>
      <c r="E4400" s="405">
        <f t="shared" si="136"/>
        <v>84.25</v>
      </c>
      <c r="F4400">
        <f t="shared" si="137"/>
        <v>94683</v>
      </c>
      <c r="H4400" s="679">
        <v>84.25</v>
      </c>
      <c r="I4400" s="679">
        <v>85.52</v>
      </c>
    </row>
    <row r="4401" spans="2:9" ht="30">
      <c r="B4401" s="395">
        <v>94684</v>
      </c>
      <c r="C4401" s="406" t="s">
        <v>1627</v>
      </c>
      <c r="D4401" s="395" t="s">
        <v>23</v>
      </c>
      <c r="E4401" s="407">
        <f t="shared" si="136"/>
        <v>161.55000000000001</v>
      </c>
      <c r="F4401">
        <f t="shared" si="137"/>
        <v>94684</v>
      </c>
      <c r="H4401" s="680">
        <v>161.55000000000001</v>
      </c>
      <c r="I4401" s="680">
        <v>163.78</v>
      </c>
    </row>
    <row r="4402" spans="2:9" ht="30">
      <c r="B4402" s="396">
        <v>94685</v>
      </c>
      <c r="C4402" s="401" t="s">
        <v>1628</v>
      </c>
      <c r="D4402" s="396" t="s">
        <v>23</v>
      </c>
      <c r="E4402" s="405">
        <f t="shared" si="136"/>
        <v>117.47</v>
      </c>
      <c r="F4402">
        <f t="shared" si="137"/>
        <v>94685</v>
      </c>
      <c r="H4402" s="679">
        <v>117.47</v>
      </c>
      <c r="I4402" s="679">
        <v>119.7</v>
      </c>
    </row>
    <row r="4403" spans="2:9" ht="30">
      <c r="B4403" s="395">
        <v>94686</v>
      </c>
      <c r="C4403" s="406" t="s">
        <v>1629</v>
      </c>
      <c r="D4403" s="395" t="s">
        <v>23</v>
      </c>
      <c r="E4403" s="407">
        <f t="shared" si="136"/>
        <v>293.45999999999998</v>
      </c>
      <c r="F4403">
        <f t="shared" si="137"/>
        <v>94686</v>
      </c>
      <c r="H4403" s="680">
        <v>293.45999999999998</v>
      </c>
      <c r="I4403" s="680">
        <v>295.69</v>
      </c>
    </row>
    <row r="4404" spans="2:9" ht="30">
      <c r="B4404" s="396">
        <v>94687</v>
      </c>
      <c r="C4404" s="401" t="s">
        <v>1630</v>
      </c>
      <c r="D4404" s="396" t="s">
        <v>23</v>
      </c>
      <c r="E4404" s="405">
        <f t="shared" si="136"/>
        <v>264.20999999999998</v>
      </c>
      <c r="F4404">
        <f t="shared" si="137"/>
        <v>94687</v>
      </c>
      <c r="H4404" s="679">
        <v>264.20999999999998</v>
      </c>
      <c r="I4404" s="679">
        <v>266.44</v>
      </c>
    </row>
    <row r="4405" spans="2:9" ht="30">
      <c r="B4405" s="395">
        <v>94688</v>
      </c>
      <c r="C4405" s="406" t="s">
        <v>1631</v>
      </c>
      <c r="D4405" s="395" t="s">
        <v>23</v>
      </c>
      <c r="E4405" s="407">
        <f t="shared" si="136"/>
        <v>10.54</v>
      </c>
      <c r="F4405">
        <f t="shared" si="137"/>
        <v>94688</v>
      </c>
      <c r="H4405" s="680">
        <v>10.54</v>
      </c>
      <c r="I4405" s="680">
        <v>11.27</v>
      </c>
    </row>
    <row r="4406" spans="2:9" ht="30">
      <c r="B4406" s="396">
        <v>94689</v>
      </c>
      <c r="C4406" s="401" t="s">
        <v>1632</v>
      </c>
      <c r="D4406" s="396" t="s">
        <v>23</v>
      </c>
      <c r="E4406" s="405">
        <f t="shared" si="136"/>
        <v>14.35</v>
      </c>
      <c r="F4406">
        <f t="shared" si="137"/>
        <v>94689</v>
      </c>
      <c r="H4406" s="679">
        <v>14.35</v>
      </c>
      <c r="I4406" s="679">
        <v>15.08</v>
      </c>
    </row>
    <row r="4407" spans="2:9" ht="30">
      <c r="B4407" s="395">
        <v>94690</v>
      </c>
      <c r="C4407" s="406" t="s">
        <v>1633</v>
      </c>
      <c r="D4407" s="395" t="s">
        <v>23</v>
      </c>
      <c r="E4407" s="407">
        <f t="shared" si="136"/>
        <v>13.78</v>
      </c>
      <c r="F4407">
        <f t="shared" si="137"/>
        <v>94690</v>
      </c>
      <c r="H4407" s="680">
        <v>13.78</v>
      </c>
      <c r="I4407" s="680">
        <v>14.51</v>
      </c>
    </row>
    <row r="4408" spans="2:9" ht="30">
      <c r="B4408" s="396">
        <v>94691</v>
      </c>
      <c r="C4408" s="401" t="s">
        <v>1634</v>
      </c>
      <c r="D4408" s="396" t="s">
        <v>23</v>
      </c>
      <c r="E4408" s="405">
        <f t="shared" si="136"/>
        <v>17.45</v>
      </c>
      <c r="F4408">
        <f t="shared" si="137"/>
        <v>94691</v>
      </c>
      <c r="H4408" s="679">
        <v>17.45</v>
      </c>
      <c r="I4408" s="679">
        <v>18.18</v>
      </c>
    </row>
    <row r="4409" spans="2:9" ht="30">
      <c r="B4409" s="395">
        <v>94692</v>
      </c>
      <c r="C4409" s="406" t="s">
        <v>1635</v>
      </c>
      <c r="D4409" s="395" t="s">
        <v>23</v>
      </c>
      <c r="E4409" s="407">
        <f t="shared" si="136"/>
        <v>25.66</v>
      </c>
      <c r="F4409">
        <f t="shared" si="137"/>
        <v>94692</v>
      </c>
      <c r="H4409" s="680">
        <v>25.66</v>
      </c>
      <c r="I4409" s="680">
        <v>26.71</v>
      </c>
    </row>
    <row r="4410" spans="2:9" ht="30">
      <c r="B4410" s="396">
        <v>94693</v>
      </c>
      <c r="C4410" s="401" t="s">
        <v>1636</v>
      </c>
      <c r="D4410" s="396" t="s">
        <v>23</v>
      </c>
      <c r="E4410" s="405">
        <f t="shared" si="136"/>
        <v>24.96</v>
      </c>
      <c r="F4410">
        <f t="shared" si="137"/>
        <v>94693</v>
      </c>
      <c r="H4410" s="679">
        <v>24.96</v>
      </c>
      <c r="I4410" s="679">
        <v>26.01</v>
      </c>
    </row>
    <row r="4411" spans="2:9" ht="30">
      <c r="B4411" s="395">
        <v>94694</v>
      </c>
      <c r="C4411" s="406" t="s">
        <v>1637</v>
      </c>
      <c r="D4411" s="395" t="s">
        <v>23</v>
      </c>
      <c r="E4411" s="407">
        <f t="shared" si="136"/>
        <v>26.18</v>
      </c>
      <c r="F4411">
        <f t="shared" si="137"/>
        <v>94694</v>
      </c>
      <c r="H4411" s="680">
        <v>26.18</v>
      </c>
      <c r="I4411" s="680">
        <v>27.23</v>
      </c>
    </row>
    <row r="4412" spans="2:9" ht="30">
      <c r="B4412" s="396">
        <v>94695</v>
      </c>
      <c r="C4412" s="401" t="s">
        <v>1638</v>
      </c>
      <c r="D4412" s="396" t="s">
        <v>23</v>
      </c>
      <c r="E4412" s="405">
        <f t="shared" si="136"/>
        <v>36.82</v>
      </c>
      <c r="F4412">
        <f t="shared" si="137"/>
        <v>94695</v>
      </c>
      <c r="H4412" s="679">
        <v>36.82</v>
      </c>
      <c r="I4412" s="679">
        <v>37.869999999999997</v>
      </c>
    </row>
    <row r="4413" spans="2:9" ht="30">
      <c r="B4413" s="395">
        <v>94696</v>
      </c>
      <c r="C4413" s="406" t="s">
        <v>1639</v>
      </c>
      <c r="D4413" s="395" t="s">
        <v>23</v>
      </c>
      <c r="E4413" s="407">
        <f t="shared" si="136"/>
        <v>64.75</v>
      </c>
      <c r="F4413">
        <f t="shared" si="137"/>
        <v>94696</v>
      </c>
      <c r="H4413" s="680">
        <v>64.75</v>
      </c>
      <c r="I4413" s="680">
        <v>66.44</v>
      </c>
    </row>
    <row r="4414" spans="2:9" ht="30">
      <c r="B4414" s="396">
        <v>94697</v>
      </c>
      <c r="C4414" s="401" t="s">
        <v>1640</v>
      </c>
      <c r="D4414" s="396" t="s">
        <v>23</v>
      </c>
      <c r="E4414" s="405">
        <f t="shared" si="136"/>
        <v>98.09</v>
      </c>
      <c r="F4414">
        <f t="shared" si="137"/>
        <v>94697</v>
      </c>
      <c r="H4414" s="679">
        <v>98.09</v>
      </c>
      <c r="I4414" s="679">
        <v>99.78</v>
      </c>
    </row>
    <row r="4415" spans="2:9" ht="30">
      <c r="B4415" s="395">
        <v>94698</v>
      </c>
      <c r="C4415" s="406" t="s">
        <v>1641</v>
      </c>
      <c r="D4415" s="395" t="s">
        <v>23</v>
      </c>
      <c r="E4415" s="407">
        <f t="shared" si="136"/>
        <v>79.41</v>
      </c>
      <c r="F4415">
        <f t="shared" si="137"/>
        <v>94698</v>
      </c>
      <c r="H4415" s="680">
        <v>79.41</v>
      </c>
      <c r="I4415" s="680">
        <v>81.099999999999994</v>
      </c>
    </row>
    <row r="4416" spans="2:9" ht="30">
      <c r="B4416" s="396">
        <v>94699</v>
      </c>
      <c r="C4416" s="401" t="s">
        <v>1642</v>
      </c>
      <c r="D4416" s="396" t="s">
        <v>23</v>
      </c>
      <c r="E4416" s="405">
        <f t="shared" si="136"/>
        <v>144.72</v>
      </c>
      <c r="F4416">
        <f t="shared" si="137"/>
        <v>94699</v>
      </c>
      <c r="H4416" s="679">
        <v>144.72</v>
      </c>
      <c r="I4416" s="679">
        <v>147.68</v>
      </c>
    </row>
    <row r="4417" spans="2:9" ht="30">
      <c r="B4417" s="395">
        <v>94700</v>
      </c>
      <c r="C4417" s="406" t="s">
        <v>1643</v>
      </c>
      <c r="D4417" s="395" t="s">
        <v>23</v>
      </c>
      <c r="E4417" s="407">
        <f t="shared" si="136"/>
        <v>170.32</v>
      </c>
      <c r="F4417">
        <f t="shared" si="137"/>
        <v>94700</v>
      </c>
      <c r="H4417" s="680">
        <v>170.32</v>
      </c>
      <c r="I4417" s="680">
        <v>173.28</v>
      </c>
    </row>
    <row r="4418" spans="2:9" ht="30">
      <c r="B4418" s="396">
        <v>94701</v>
      </c>
      <c r="C4418" s="401" t="s">
        <v>1644</v>
      </c>
      <c r="D4418" s="396" t="s">
        <v>23</v>
      </c>
      <c r="E4418" s="405">
        <f t="shared" si="136"/>
        <v>257.52999999999997</v>
      </c>
      <c r="F4418">
        <f t="shared" si="137"/>
        <v>94701</v>
      </c>
      <c r="H4418" s="679">
        <v>257.52999999999997</v>
      </c>
      <c r="I4418" s="679">
        <v>260.49</v>
      </c>
    </row>
    <row r="4419" spans="2:9" ht="30">
      <c r="B4419" s="395">
        <v>94702</v>
      </c>
      <c r="C4419" s="406" t="s">
        <v>1645</v>
      </c>
      <c r="D4419" s="395" t="s">
        <v>23</v>
      </c>
      <c r="E4419" s="407">
        <f t="shared" ref="E4419:E4482" si="138">IF($K$2=$H$1,H4419,I4419)</f>
        <v>225.69</v>
      </c>
      <c r="F4419">
        <f t="shared" ref="F4419:F4482" si="139">IF(LEN($B4419)=7,CONCATENATE(MID($B4419,1,6),"00",RIGHT($B4419,1)),IF(LEN($B4419)=8,CONCATENATE(MID($B4419,1,6),"0",RIGHT($B4419,2)),$B4419))</f>
        <v>94702</v>
      </c>
      <c r="H4419" s="680">
        <v>225.69</v>
      </c>
      <c r="I4419" s="680">
        <v>228.65</v>
      </c>
    </row>
    <row r="4420" spans="2:9" ht="30">
      <c r="B4420" s="396">
        <v>94703</v>
      </c>
      <c r="C4420" s="401" t="s">
        <v>1646</v>
      </c>
      <c r="D4420" s="396" t="s">
        <v>23</v>
      </c>
      <c r="E4420" s="405">
        <f t="shared" si="138"/>
        <v>23</v>
      </c>
      <c r="F4420">
        <f t="shared" si="139"/>
        <v>94703</v>
      </c>
      <c r="H4420" s="679">
        <v>23</v>
      </c>
      <c r="I4420" s="679">
        <v>23.62</v>
      </c>
    </row>
    <row r="4421" spans="2:9" ht="30">
      <c r="B4421" s="395">
        <v>94704</v>
      </c>
      <c r="C4421" s="406" t="s">
        <v>553</v>
      </c>
      <c r="D4421" s="395" t="s">
        <v>23</v>
      </c>
      <c r="E4421" s="407">
        <f t="shared" si="138"/>
        <v>30.82</v>
      </c>
      <c r="F4421">
        <f t="shared" si="139"/>
        <v>94704</v>
      </c>
      <c r="H4421" s="680">
        <v>30.82</v>
      </c>
      <c r="I4421" s="680">
        <v>31.44</v>
      </c>
    </row>
    <row r="4422" spans="2:9" ht="30">
      <c r="B4422" s="396">
        <v>94705</v>
      </c>
      <c r="C4422" s="401" t="s">
        <v>1647</v>
      </c>
      <c r="D4422" s="396" t="s">
        <v>23</v>
      </c>
      <c r="E4422" s="405">
        <f t="shared" si="138"/>
        <v>42.42</v>
      </c>
      <c r="F4422">
        <f t="shared" si="139"/>
        <v>94705</v>
      </c>
      <c r="H4422" s="679">
        <v>42.42</v>
      </c>
      <c r="I4422" s="679">
        <v>43.04</v>
      </c>
    </row>
    <row r="4423" spans="2:9" ht="30">
      <c r="B4423" s="395">
        <v>94706</v>
      </c>
      <c r="C4423" s="406" t="s">
        <v>1648</v>
      </c>
      <c r="D4423" s="395" t="s">
        <v>23</v>
      </c>
      <c r="E4423" s="407">
        <f t="shared" si="138"/>
        <v>49.51</v>
      </c>
      <c r="F4423">
        <f t="shared" si="139"/>
        <v>94706</v>
      </c>
      <c r="H4423" s="680">
        <v>49.51</v>
      </c>
      <c r="I4423" s="680">
        <v>50.34</v>
      </c>
    </row>
    <row r="4424" spans="2:9" ht="30">
      <c r="B4424" s="396">
        <v>94707</v>
      </c>
      <c r="C4424" s="401" t="s">
        <v>554</v>
      </c>
      <c r="D4424" s="396" t="s">
        <v>23</v>
      </c>
      <c r="E4424" s="405">
        <f t="shared" si="138"/>
        <v>74.19</v>
      </c>
      <c r="F4424">
        <f t="shared" si="139"/>
        <v>94707</v>
      </c>
      <c r="H4424" s="679">
        <v>74.19</v>
      </c>
      <c r="I4424" s="679">
        <v>75.02</v>
      </c>
    </row>
    <row r="4425" spans="2:9" ht="30">
      <c r="B4425" s="395">
        <v>94713</v>
      </c>
      <c r="C4425" s="406" t="s">
        <v>1649</v>
      </c>
      <c r="D4425" s="395" t="s">
        <v>23</v>
      </c>
      <c r="E4425" s="407">
        <f t="shared" si="138"/>
        <v>290.49</v>
      </c>
      <c r="F4425">
        <f t="shared" si="139"/>
        <v>94713</v>
      </c>
      <c r="H4425" s="680">
        <v>290.49</v>
      </c>
      <c r="I4425" s="680">
        <v>291.89999999999998</v>
      </c>
    </row>
    <row r="4426" spans="2:9" ht="30">
      <c r="B4426" s="396">
        <v>94714</v>
      </c>
      <c r="C4426" s="401" t="s">
        <v>1650</v>
      </c>
      <c r="D4426" s="396" t="s">
        <v>23</v>
      </c>
      <c r="E4426" s="405">
        <f t="shared" si="138"/>
        <v>406.06</v>
      </c>
      <c r="F4426">
        <f t="shared" si="139"/>
        <v>94714</v>
      </c>
      <c r="H4426" s="679">
        <v>406.06</v>
      </c>
      <c r="I4426" s="679">
        <v>407.47</v>
      </c>
    </row>
    <row r="4427" spans="2:9" ht="30">
      <c r="B4427" s="395">
        <v>94715</v>
      </c>
      <c r="C4427" s="406" t="s">
        <v>1651</v>
      </c>
      <c r="D4427" s="395" t="s">
        <v>23</v>
      </c>
      <c r="E4427" s="407">
        <f t="shared" si="138"/>
        <v>357.95</v>
      </c>
      <c r="F4427">
        <f t="shared" si="139"/>
        <v>94715</v>
      </c>
      <c r="H4427" s="680">
        <v>357.95</v>
      </c>
      <c r="I4427" s="680">
        <v>359.36</v>
      </c>
    </row>
    <row r="4428" spans="2:9" ht="30">
      <c r="B4428" s="396">
        <v>94724</v>
      </c>
      <c r="C4428" s="401" t="s">
        <v>1652</v>
      </c>
      <c r="D4428" s="396" t="s">
        <v>23</v>
      </c>
      <c r="E4428" s="405">
        <f t="shared" si="138"/>
        <v>24.78</v>
      </c>
      <c r="F4428">
        <f t="shared" si="139"/>
        <v>94724</v>
      </c>
      <c r="H4428" s="679">
        <v>24.78</v>
      </c>
      <c r="I4428" s="679">
        <v>25.12</v>
      </c>
    </row>
    <row r="4429" spans="2:9" ht="30">
      <c r="B4429" s="395">
        <v>94725</v>
      </c>
      <c r="C4429" s="406" t="s">
        <v>1653</v>
      </c>
      <c r="D4429" s="395" t="s">
        <v>23</v>
      </c>
      <c r="E4429" s="407">
        <f t="shared" si="138"/>
        <v>5.85</v>
      </c>
      <c r="F4429">
        <f t="shared" si="139"/>
        <v>94725</v>
      </c>
      <c r="H4429" s="680">
        <v>5.85</v>
      </c>
      <c r="I4429" s="680">
        <v>6.19</v>
      </c>
    </row>
    <row r="4430" spans="2:9" ht="30">
      <c r="B4430" s="396">
        <v>94726</v>
      </c>
      <c r="C4430" s="401" t="s">
        <v>1654</v>
      </c>
      <c r="D4430" s="396" t="s">
        <v>23</v>
      </c>
      <c r="E4430" s="405">
        <f t="shared" si="138"/>
        <v>30.9</v>
      </c>
      <c r="F4430">
        <f t="shared" si="139"/>
        <v>94726</v>
      </c>
      <c r="H4430" s="679">
        <v>30.9</v>
      </c>
      <c r="I4430" s="679">
        <v>31.24</v>
      </c>
    </row>
    <row r="4431" spans="2:9" ht="30">
      <c r="B4431" s="395">
        <v>94727</v>
      </c>
      <c r="C4431" s="406" t="s">
        <v>1655</v>
      </c>
      <c r="D4431" s="395" t="s">
        <v>23</v>
      </c>
      <c r="E4431" s="407">
        <f t="shared" si="138"/>
        <v>8.66</v>
      </c>
      <c r="F4431">
        <f t="shared" si="139"/>
        <v>94727</v>
      </c>
      <c r="H4431" s="680">
        <v>8.66</v>
      </c>
      <c r="I4431" s="680">
        <v>9</v>
      </c>
    </row>
    <row r="4432" spans="2:9" ht="30">
      <c r="B4432" s="396">
        <v>94728</v>
      </c>
      <c r="C4432" s="401" t="s">
        <v>1656</v>
      </c>
      <c r="D4432" s="396" t="s">
        <v>23</v>
      </c>
      <c r="E4432" s="405">
        <f t="shared" si="138"/>
        <v>48.64</v>
      </c>
      <c r="F4432">
        <f t="shared" si="139"/>
        <v>94728</v>
      </c>
      <c r="H4432" s="679">
        <v>48.64</v>
      </c>
      <c r="I4432" s="679">
        <v>49.09</v>
      </c>
    </row>
    <row r="4433" spans="2:9" ht="30">
      <c r="B4433" s="395">
        <v>94729</v>
      </c>
      <c r="C4433" s="406" t="s">
        <v>1657</v>
      </c>
      <c r="D4433" s="395" t="s">
        <v>23</v>
      </c>
      <c r="E4433" s="407">
        <f t="shared" si="138"/>
        <v>16.25</v>
      </c>
      <c r="F4433">
        <f t="shared" si="139"/>
        <v>94729</v>
      </c>
      <c r="H4433" s="680">
        <v>16.25</v>
      </c>
      <c r="I4433" s="680">
        <v>16.7</v>
      </c>
    </row>
    <row r="4434" spans="2:9" ht="30">
      <c r="B4434" s="396">
        <v>94730</v>
      </c>
      <c r="C4434" s="401" t="s">
        <v>1658</v>
      </c>
      <c r="D4434" s="396" t="s">
        <v>23</v>
      </c>
      <c r="E4434" s="405">
        <f t="shared" si="138"/>
        <v>58.45</v>
      </c>
      <c r="F4434">
        <f t="shared" si="139"/>
        <v>94730</v>
      </c>
      <c r="H4434" s="679">
        <v>58.45</v>
      </c>
      <c r="I4434" s="679">
        <v>58.9</v>
      </c>
    </row>
    <row r="4435" spans="2:9" ht="30">
      <c r="B4435" s="395">
        <v>94731</v>
      </c>
      <c r="C4435" s="406" t="s">
        <v>1659</v>
      </c>
      <c r="D4435" s="395" t="s">
        <v>23</v>
      </c>
      <c r="E4435" s="407">
        <f t="shared" si="138"/>
        <v>20.61</v>
      </c>
      <c r="F4435">
        <f t="shared" si="139"/>
        <v>94731</v>
      </c>
      <c r="H4435" s="680">
        <v>20.61</v>
      </c>
      <c r="I4435" s="680">
        <v>21.06</v>
      </c>
    </row>
    <row r="4436" spans="2:9" ht="30">
      <c r="B4436" s="396">
        <v>94732</v>
      </c>
      <c r="C4436" s="401" t="s">
        <v>8191</v>
      </c>
      <c r="D4436" s="396" t="s">
        <v>23</v>
      </c>
      <c r="E4436" s="405">
        <f t="shared" si="138"/>
        <v>95.49</v>
      </c>
      <c r="F4436">
        <f t="shared" si="139"/>
        <v>94732</v>
      </c>
      <c r="H4436" s="679">
        <v>95.49</v>
      </c>
      <c r="I4436" s="679">
        <v>96.28</v>
      </c>
    </row>
    <row r="4437" spans="2:9" ht="30">
      <c r="B4437" s="395">
        <v>94733</v>
      </c>
      <c r="C4437" s="406" t="s">
        <v>1660</v>
      </c>
      <c r="D4437" s="395" t="s">
        <v>23</v>
      </c>
      <c r="E4437" s="407">
        <f t="shared" si="138"/>
        <v>39.36</v>
      </c>
      <c r="F4437">
        <f t="shared" si="139"/>
        <v>94733</v>
      </c>
      <c r="H4437" s="680">
        <v>39.36</v>
      </c>
      <c r="I4437" s="680">
        <v>40.15</v>
      </c>
    </row>
    <row r="4438" spans="2:9" ht="30">
      <c r="B4438" s="396">
        <v>94734</v>
      </c>
      <c r="C4438" s="401" t="s">
        <v>8192</v>
      </c>
      <c r="D4438" s="396" t="s">
        <v>23</v>
      </c>
      <c r="E4438" s="405">
        <f t="shared" si="138"/>
        <v>345.03</v>
      </c>
      <c r="F4438">
        <f t="shared" si="139"/>
        <v>94734</v>
      </c>
      <c r="H4438" s="679">
        <v>345.03</v>
      </c>
      <c r="I4438" s="679">
        <v>345.82</v>
      </c>
    </row>
    <row r="4439" spans="2:9" ht="30">
      <c r="B4439" s="395">
        <v>94736</v>
      </c>
      <c r="C4439" s="406" t="s">
        <v>8193</v>
      </c>
      <c r="D4439" s="395" t="s">
        <v>23</v>
      </c>
      <c r="E4439" s="407">
        <f t="shared" si="138"/>
        <v>504.77</v>
      </c>
      <c r="F4439">
        <f t="shared" si="139"/>
        <v>94736</v>
      </c>
      <c r="H4439" s="680">
        <v>504.77</v>
      </c>
      <c r="I4439" s="680">
        <v>506.36</v>
      </c>
    </row>
    <row r="4440" spans="2:9" ht="30">
      <c r="B4440" s="396">
        <v>94737</v>
      </c>
      <c r="C4440" s="401" t="s">
        <v>1661</v>
      </c>
      <c r="D4440" s="396" t="s">
        <v>23</v>
      </c>
      <c r="E4440" s="405">
        <f t="shared" si="138"/>
        <v>167.57</v>
      </c>
      <c r="F4440">
        <f t="shared" si="139"/>
        <v>94737</v>
      </c>
      <c r="H4440" s="679">
        <v>167.57</v>
      </c>
      <c r="I4440" s="679">
        <v>169.16</v>
      </c>
    </row>
    <row r="4441" spans="2:9" ht="30">
      <c r="B4441" s="395">
        <v>94738</v>
      </c>
      <c r="C4441" s="406" t="s">
        <v>8194</v>
      </c>
      <c r="D4441" s="395" t="s">
        <v>23</v>
      </c>
      <c r="E4441" s="407">
        <f t="shared" si="138"/>
        <v>1515.41</v>
      </c>
      <c r="F4441">
        <f t="shared" si="139"/>
        <v>94738</v>
      </c>
      <c r="H4441" s="680">
        <v>1515.41</v>
      </c>
      <c r="I4441" s="680">
        <v>1517</v>
      </c>
    </row>
    <row r="4442" spans="2:9" ht="30">
      <c r="B4442" s="396">
        <v>94739</v>
      </c>
      <c r="C4442" s="401" t="s">
        <v>8195</v>
      </c>
      <c r="D4442" s="396" t="s">
        <v>23</v>
      </c>
      <c r="E4442" s="405">
        <f t="shared" si="138"/>
        <v>192.31</v>
      </c>
      <c r="F4442">
        <f t="shared" si="139"/>
        <v>94739</v>
      </c>
      <c r="H4442" s="679">
        <v>192.31</v>
      </c>
      <c r="I4442" s="679">
        <v>193.9</v>
      </c>
    </row>
    <row r="4443" spans="2:9" ht="30">
      <c r="B4443" s="395">
        <v>94740</v>
      </c>
      <c r="C4443" s="406" t="s">
        <v>1662</v>
      </c>
      <c r="D4443" s="395" t="s">
        <v>23</v>
      </c>
      <c r="E4443" s="407">
        <f t="shared" si="138"/>
        <v>9.15</v>
      </c>
      <c r="F4443">
        <f t="shared" si="139"/>
        <v>94740</v>
      </c>
      <c r="H4443" s="680">
        <v>9.15</v>
      </c>
      <c r="I4443" s="680">
        <v>9.66</v>
      </c>
    </row>
    <row r="4444" spans="2:9" ht="30">
      <c r="B4444" s="396">
        <v>94741</v>
      </c>
      <c r="C4444" s="401" t="s">
        <v>1663</v>
      </c>
      <c r="D4444" s="396" t="s">
        <v>23</v>
      </c>
      <c r="E4444" s="405">
        <f t="shared" si="138"/>
        <v>11.89</v>
      </c>
      <c r="F4444">
        <f t="shared" si="139"/>
        <v>94741</v>
      </c>
      <c r="H4444" s="679">
        <v>11.89</v>
      </c>
      <c r="I4444" s="679">
        <v>12.4</v>
      </c>
    </row>
    <row r="4445" spans="2:9" ht="30">
      <c r="B4445" s="395">
        <v>94742</v>
      </c>
      <c r="C4445" s="406" t="s">
        <v>1664</v>
      </c>
      <c r="D4445" s="395" t="s">
        <v>23</v>
      </c>
      <c r="E4445" s="407">
        <f t="shared" si="138"/>
        <v>13.81</v>
      </c>
      <c r="F4445">
        <f t="shared" si="139"/>
        <v>94742</v>
      </c>
      <c r="H4445" s="680">
        <v>13.81</v>
      </c>
      <c r="I4445" s="680">
        <v>14.32</v>
      </c>
    </row>
    <row r="4446" spans="2:9" ht="30">
      <c r="B4446" s="396">
        <v>94743</v>
      </c>
      <c r="C4446" s="401" t="s">
        <v>1665</v>
      </c>
      <c r="D4446" s="396" t="s">
        <v>23</v>
      </c>
      <c r="E4446" s="405">
        <f t="shared" si="138"/>
        <v>17.940000000000001</v>
      </c>
      <c r="F4446">
        <f t="shared" si="139"/>
        <v>94743</v>
      </c>
      <c r="H4446" s="679">
        <v>17.940000000000001</v>
      </c>
      <c r="I4446" s="679">
        <v>18.45</v>
      </c>
    </row>
    <row r="4447" spans="2:9" ht="30">
      <c r="B4447" s="395">
        <v>94744</v>
      </c>
      <c r="C4447" s="406" t="s">
        <v>1666</v>
      </c>
      <c r="D4447" s="395" t="s">
        <v>23</v>
      </c>
      <c r="E4447" s="407">
        <f t="shared" si="138"/>
        <v>22.68</v>
      </c>
      <c r="F4447">
        <f t="shared" si="139"/>
        <v>94744</v>
      </c>
      <c r="H4447" s="680">
        <v>22.68</v>
      </c>
      <c r="I4447" s="680">
        <v>23.36</v>
      </c>
    </row>
    <row r="4448" spans="2:9" ht="30">
      <c r="B4448" s="396">
        <v>94746</v>
      </c>
      <c r="C4448" s="401" t="s">
        <v>1667</v>
      </c>
      <c r="D4448" s="396" t="s">
        <v>23</v>
      </c>
      <c r="E4448" s="405">
        <f t="shared" si="138"/>
        <v>31.25</v>
      </c>
      <c r="F4448">
        <f t="shared" si="139"/>
        <v>94746</v>
      </c>
      <c r="H4448" s="679">
        <v>31.25</v>
      </c>
      <c r="I4448" s="679">
        <v>31.93</v>
      </c>
    </row>
    <row r="4449" spans="2:9" ht="30">
      <c r="B4449" s="395">
        <v>94748</v>
      </c>
      <c r="C4449" s="406" t="s">
        <v>1668</v>
      </c>
      <c r="D4449" s="395" t="s">
        <v>23</v>
      </c>
      <c r="E4449" s="407">
        <f t="shared" si="138"/>
        <v>74.06</v>
      </c>
      <c r="F4449">
        <f t="shared" si="139"/>
        <v>94748</v>
      </c>
      <c r="H4449" s="680">
        <v>74.06</v>
      </c>
      <c r="I4449" s="680">
        <v>75.239999999999995</v>
      </c>
    </row>
    <row r="4450" spans="2:9" ht="30">
      <c r="B4450" s="396">
        <v>94750</v>
      </c>
      <c r="C4450" s="401" t="s">
        <v>1669</v>
      </c>
      <c r="D4450" s="396" t="s">
        <v>23</v>
      </c>
      <c r="E4450" s="405">
        <f t="shared" si="138"/>
        <v>145.9</v>
      </c>
      <c r="F4450">
        <f t="shared" si="139"/>
        <v>94750</v>
      </c>
      <c r="H4450" s="679">
        <v>145.9</v>
      </c>
      <c r="I4450" s="679">
        <v>147.08000000000001</v>
      </c>
    </row>
    <row r="4451" spans="2:9" ht="30">
      <c r="B4451" s="395">
        <v>94752</v>
      </c>
      <c r="C4451" s="406" t="s">
        <v>1670</v>
      </c>
      <c r="D4451" s="395" t="s">
        <v>23</v>
      </c>
      <c r="E4451" s="407">
        <f t="shared" si="138"/>
        <v>177.32</v>
      </c>
      <c r="F4451">
        <f t="shared" si="139"/>
        <v>94752</v>
      </c>
      <c r="H4451" s="680">
        <v>177.32</v>
      </c>
      <c r="I4451" s="680">
        <v>179.71</v>
      </c>
    </row>
    <row r="4452" spans="2:9" ht="30">
      <c r="B4452" s="396">
        <v>94754</v>
      </c>
      <c r="C4452" s="401" t="s">
        <v>8196</v>
      </c>
      <c r="D4452" s="396" t="s">
        <v>23</v>
      </c>
      <c r="E4452" s="405">
        <f t="shared" si="138"/>
        <v>238.34</v>
      </c>
      <c r="F4452">
        <f t="shared" si="139"/>
        <v>94754</v>
      </c>
      <c r="H4452" s="679">
        <v>238.34</v>
      </c>
      <c r="I4452" s="679">
        <v>240.73</v>
      </c>
    </row>
    <row r="4453" spans="2:9" ht="30">
      <c r="B4453" s="395">
        <v>94756</v>
      </c>
      <c r="C4453" s="406" t="s">
        <v>1671</v>
      </c>
      <c r="D4453" s="395" t="s">
        <v>23</v>
      </c>
      <c r="E4453" s="407">
        <f t="shared" si="138"/>
        <v>11.45</v>
      </c>
      <c r="F4453">
        <f t="shared" si="139"/>
        <v>94756</v>
      </c>
      <c r="H4453" s="680">
        <v>11.45</v>
      </c>
      <c r="I4453" s="680">
        <v>12.14</v>
      </c>
    </row>
    <row r="4454" spans="2:9" ht="30">
      <c r="B4454" s="396">
        <v>94757</v>
      </c>
      <c r="C4454" s="401" t="s">
        <v>1672</v>
      </c>
      <c r="D4454" s="396" t="s">
        <v>23</v>
      </c>
      <c r="E4454" s="405">
        <f t="shared" si="138"/>
        <v>16.13</v>
      </c>
      <c r="F4454">
        <f t="shared" si="139"/>
        <v>94757</v>
      </c>
      <c r="H4454" s="679">
        <v>16.13</v>
      </c>
      <c r="I4454" s="679">
        <v>16.82</v>
      </c>
    </row>
    <row r="4455" spans="2:9" ht="30">
      <c r="B4455" s="395">
        <v>94758</v>
      </c>
      <c r="C4455" s="406" t="s">
        <v>1673</v>
      </c>
      <c r="D4455" s="395" t="s">
        <v>23</v>
      </c>
      <c r="E4455" s="407">
        <f t="shared" si="138"/>
        <v>44.81</v>
      </c>
      <c r="F4455">
        <f t="shared" si="139"/>
        <v>94758</v>
      </c>
      <c r="H4455" s="680">
        <v>44.81</v>
      </c>
      <c r="I4455" s="680">
        <v>45.71</v>
      </c>
    </row>
    <row r="4456" spans="2:9" ht="30">
      <c r="B4456" s="396">
        <v>94759</v>
      </c>
      <c r="C4456" s="401" t="s">
        <v>1674</v>
      </c>
      <c r="D4456" s="396" t="s">
        <v>23</v>
      </c>
      <c r="E4456" s="405">
        <f t="shared" si="138"/>
        <v>54.95</v>
      </c>
      <c r="F4456">
        <f t="shared" si="139"/>
        <v>94759</v>
      </c>
      <c r="H4456" s="679">
        <v>54.95</v>
      </c>
      <c r="I4456" s="679">
        <v>55.85</v>
      </c>
    </row>
    <row r="4457" spans="2:9" ht="30">
      <c r="B4457" s="395">
        <v>94760</v>
      </c>
      <c r="C4457" s="406" t="s">
        <v>1675</v>
      </c>
      <c r="D4457" s="395" t="s">
        <v>23</v>
      </c>
      <c r="E4457" s="407">
        <f t="shared" si="138"/>
        <v>92.11</v>
      </c>
      <c r="F4457">
        <f t="shared" si="139"/>
        <v>94760</v>
      </c>
      <c r="H4457" s="680">
        <v>92.11</v>
      </c>
      <c r="I4457" s="680">
        <v>93.68</v>
      </c>
    </row>
    <row r="4458" spans="2:9" ht="30">
      <c r="B4458" s="396">
        <v>94761</v>
      </c>
      <c r="C4458" s="401" t="s">
        <v>1676</v>
      </c>
      <c r="D4458" s="396" t="s">
        <v>23</v>
      </c>
      <c r="E4458" s="405">
        <f t="shared" si="138"/>
        <v>195.38</v>
      </c>
      <c r="F4458">
        <f t="shared" si="139"/>
        <v>94761</v>
      </c>
      <c r="H4458" s="679">
        <v>195.38</v>
      </c>
      <c r="I4458" s="679">
        <v>196.95</v>
      </c>
    </row>
    <row r="4459" spans="2:9" ht="30">
      <c r="B4459" s="395">
        <v>94762</v>
      </c>
      <c r="C4459" s="406" t="s">
        <v>1677</v>
      </c>
      <c r="D4459" s="395" t="s">
        <v>23</v>
      </c>
      <c r="E4459" s="407">
        <f t="shared" si="138"/>
        <v>239.29</v>
      </c>
      <c r="F4459">
        <f t="shared" si="139"/>
        <v>94762</v>
      </c>
      <c r="H4459" s="680">
        <v>239.29</v>
      </c>
      <c r="I4459" s="680">
        <v>242.46</v>
      </c>
    </row>
    <row r="4460" spans="2:9" ht="30">
      <c r="B4460" s="396">
        <v>94763</v>
      </c>
      <c r="C4460" s="401" t="s">
        <v>8197</v>
      </c>
      <c r="D4460" s="396" t="s">
        <v>23</v>
      </c>
      <c r="E4460" s="405">
        <f t="shared" si="138"/>
        <v>291.33</v>
      </c>
      <c r="F4460">
        <f t="shared" si="139"/>
        <v>94763</v>
      </c>
      <c r="H4460" s="679">
        <v>291.33</v>
      </c>
      <c r="I4460" s="679">
        <v>294.5</v>
      </c>
    </row>
    <row r="4461" spans="2:9" ht="30">
      <c r="B4461" s="395">
        <v>94764</v>
      </c>
      <c r="C4461" s="406" t="s">
        <v>8198</v>
      </c>
      <c r="D4461" s="395" t="s">
        <v>23</v>
      </c>
      <c r="E4461" s="407">
        <f t="shared" si="138"/>
        <v>33.700000000000003</v>
      </c>
      <c r="F4461">
        <f t="shared" si="139"/>
        <v>94764</v>
      </c>
      <c r="H4461" s="680">
        <v>33.700000000000003</v>
      </c>
      <c r="I4461" s="680">
        <v>34.4</v>
      </c>
    </row>
    <row r="4462" spans="2:9" ht="30">
      <c r="B4462" s="396">
        <v>94765</v>
      </c>
      <c r="C4462" s="401" t="s">
        <v>8199</v>
      </c>
      <c r="D4462" s="396" t="s">
        <v>23</v>
      </c>
      <c r="E4462" s="405">
        <f t="shared" si="138"/>
        <v>36.659999999999997</v>
      </c>
      <c r="F4462">
        <f t="shared" si="139"/>
        <v>94765</v>
      </c>
      <c r="H4462" s="679">
        <v>36.659999999999997</v>
      </c>
      <c r="I4462" s="679">
        <v>37.36</v>
      </c>
    </row>
    <row r="4463" spans="2:9" ht="30">
      <c r="B4463" s="395">
        <v>94766</v>
      </c>
      <c r="C4463" s="406" t="s">
        <v>8200</v>
      </c>
      <c r="D4463" s="395" t="s">
        <v>23</v>
      </c>
      <c r="E4463" s="407">
        <f t="shared" si="138"/>
        <v>40.58</v>
      </c>
      <c r="F4463">
        <f t="shared" si="139"/>
        <v>94766</v>
      </c>
      <c r="H4463" s="680">
        <v>40.58</v>
      </c>
      <c r="I4463" s="680">
        <v>41.28</v>
      </c>
    </row>
    <row r="4464" spans="2:9" ht="30">
      <c r="B4464" s="396">
        <v>94767</v>
      </c>
      <c r="C4464" s="401" t="s">
        <v>8201</v>
      </c>
      <c r="D4464" s="396" t="s">
        <v>23</v>
      </c>
      <c r="E4464" s="405">
        <f t="shared" si="138"/>
        <v>60.47</v>
      </c>
      <c r="F4464">
        <f t="shared" si="139"/>
        <v>94767</v>
      </c>
      <c r="H4464" s="679">
        <v>60.47</v>
      </c>
      <c r="I4464" s="679">
        <v>61.17</v>
      </c>
    </row>
    <row r="4465" spans="2:9" ht="30">
      <c r="B4465" s="395">
        <v>94768</v>
      </c>
      <c r="C4465" s="406" t="s">
        <v>8202</v>
      </c>
      <c r="D4465" s="395" t="s">
        <v>23</v>
      </c>
      <c r="E4465" s="407">
        <f t="shared" si="138"/>
        <v>68.2</v>
      </c>
      <c r="F4465">
        <f t="shared" si="139"/>
        <v>94768</v>
      </c>
      <c r="H4465" s="680">
        <v>68.2</v>
      </c>
      <c r="I4465" s="680">
        <v>68.900000000000006</v>
      </c>
    </row>
    <row r="4466" spans="2:9" ht="30">
      <c r="B4466" s="396">
        <v>94769</v>
      </c>
      <c r="C4466" s="401" t="s">
        <v>8203</v>
      </c>
      <c r="D4466" s="396" t="s">
        <v>23</v>
      </c>
      <c r="E4466" s="405">
        <f t="shared" si="138"/>
        <v>93.71</v>
      </c>
      <c r="F4466">
        <f t="shared" si="139"/>
        <v>94769</v>
      </c>
      <c r="H4466" s="679">
        <v>93.71</v>
      </c>
      <c r="I4466" s="679">
        <v>94.65</v>
      </c>
    </row>
    <row r="4467" spans="2:9" ht="30">
      <c r="B4467" s="395">
        <v>94770</v>
      </c>
      <c r="C4467" s="406" t="s">
        <v>8204</v>
      </c>
      <c r="D4467" s="395" t="s">
        <v>23</v>
      </c>
      <c r="E4467" s="407">
        <f t="shared" si="138"/>
        <v>37.93</v>
      </c>
      <c r="F4467">
        <f t="shared" si="139"/>
        <v>94770</v>
      </c>
      <c r="H4467" s="680">
        <v>37.93</v>
      </c>
      <c r="I4467" s="680">
        <v>39.130000000000003</v>
      </c>
    </row>
    <row r="4468" spans="2:9" ht="30">
      <c r="B4468" s="396">
        <v>94771</v>
      </c>
      <c r="C4468" s="401" t="s">
        <v>8205</v>
      </c>
      <c r="D4468" s="396" t="s">
        <v>23</v>
      </c>
      <c r="E4468" s="405">
        <f t="shared" si="138"/>
        <v>40.89</v>
      </c>
      <c r="F4468">
        <f t="shared" si="139"/>
        <v>94771</v>
      </c>
      <c r="H4468" s="679">
        <v>40.89</v>
      </c>
      <c r="I4468" s="679">
        <v>42.09</v>
      </c>
    </row>
    <row r="4469" spans="2:9" ht="30">
      <c r="B4469" s="395">
        <v>94772</v>
      </c>
      <c r="C4469" s="406" t="s">
        <v>8206</v>
      </c>
      <c r="D4469" s="395" t="s">
        <v>23</v>
      </c>
      <c r="E4469" s="407">
        <f t="shared" si="138"/>
        <v>44.81</v>
      </c>
      <c r="F4469">
        <f t="shared" si="139"/>
        <v>94772</v>
      </c>
      <c r="H4469" s="680">
        <v>44.81</v>
      </c>
      <c r="I4469" s="680">
        <v>46.01</v>
      </c>
    </row>
    <row r="4470" spans="2:9" ht="30">
      <c r="B4470" s="396">
        <v>94773</v>
      </c>
      <c r="C4470" s="401" t="s">
        <v>8207</v>
      </c>
      <c r="D4470" s="396" t="s">
        <v>23</v>
      </c>
      <c r="E4470" s="405">
        <f t="shared" si="138"/>
        <v>64.7</v>
      </c>
      <c r="F4470">
        <f t="shared" si="139"/>
        <v>94773</v>
      </c>
      <c r="H4470" s="679">
        <v>64.7</v>
      </c>
      <c r="I4470" s="679">
        <v>65.900000000000006</v>
      </c>
    </row>
    <row r="4471" spans="2:9" ht="30">
      <c r="B4471" s="395">
        <v>94774</v>
      </c>
      <c r="C4471" s="406" t="s">
        <v>8208</v>
      </c>
      <c r="D4471" s="395" t="s">
        <v>23</v>
      </c>
      <c r="E4471" s="407">
        <f t="shared" si="138"/>
        <v>72.430000000000007</v>
      </c>
      <c r="F4471">
        <f t="shared" si="139"/>
        <v>94774</v>
      </c>
      <c r="H4471" s="680">
        <v>72.430000000000007</v>
      </c>
      <c r="I4471" s="680">
        <v>73.63</v>
      </c>
    </row>
    <row r="4472" spans="2:9" ht="30">
      <c r="B4472" s="396">
        <v>94775</v>
      </c>
      <c r="C4472" s="401" t="s">
        <v>8209</v>
      </c>
      <c r="D4472" s="396" t="s">
        <v>23</v>
      </c>
      <c r="E4472" s="405">
        <f t="shared" si="138"/>
        <v>99.33</v>
      </c>
      <c r="F4472">
        <f t="shared" si="139"/>
        <v>94775</v>
      </c>
      <c r="H4472" s="679">
        <v>99.33</v>
      </c>
      <c r="I4472" s="679">
        <v>100.92</v>
      </c>
    </row>
    <row r="4473" spans="2:9" ht="30">
      <c r="B4473" s="395">
        <v>94783</v>
      </c>
      <c r="C4473" s="406" t="s">
        <v>1678</v>
      </c>
      <c r="D4473" s="395" t="s">
        <v>23</v>
      </c>
      <c r="E4473" s="407">
        <f t="shared" si="138"/>
        <v>21.74</v>
      </c>
      <c r="F4473">
        <f t="shared" si="139"/>
        <v>94783</v>
      </c>
      <c r="H4473" s="680">
        <v>21.74</v>
      </c>
      <c r="I4473" s="680">
        <v>22.36</v>
      </c>
    </row>
    <row r="4474" spans="2:9" ht="30">
      <c r="B4474" s="396">
        <v>94785</v>
      </c>
      <c r="C4474" s="401" t="s">
        <v>1679</v>
      </c>
      <c r="D4474" s="396" t="s">
        <v>23</v>
      </c>
      <c r="E4474" s="405">
        <f t="shared" si="138"/>
        <v>24.92</v>
      </c>
      <c r="F4474">
        <f t="shared" si="139"/>
        <v>94785</v>
      </c>
      <c r="H4474" s="679">
        <v>24.92</v>
      </c>
      <c r="I4474" s="679">
        <v>25.98</v>
      </c>
    </row>
    <row r="4475" spans="2:9" ht="30">
      <c r="B4475" s="395">
        <v>94789</v>
      </c>
      <c r="C4475" s="406" t="s">
        <v>555</v>
      </c>
      <c r="D4475" s="395" t="s">
        <v>23</v>
      </c>
      <c r="E4475" s="407">
        <f t="shared" si="138"/>
        <v>277.42</v>
      </c>
      <c r="F4475">
        <f t="shared" si="139"/>
        <v>94789</v>
      </c>
      <c r="H4475" s="680">
        <v>277.42</v>
      </c>
      <c r="I4475" s="680">
        <v>278.83</v>
      </c>
    </row>
    <row r="4476" spans="2:9" ht="30">
      <c r="B4476" s="396">
        <v>94790</v>
      </c>
      <c r="C4476" s="401" t="s">
        <v>1680</v>
      </c>
      <c r="D4476" s="396" t="s">
        <v>23</v>
      </c>
      <c r="E4476" s="405">
        <f t="shared" si="138"/>
        <v>384.12</v>
      </c>
      <c r="F4476">
        <f t="shared" si="139"/>
        <v>94790</v>
      </c>
      <c r="H4476" s="679">
        <v>384.12</v>
      </c>
      <c r="I4476" s="679">
        <v>385.53</v>
      </c>
    </row>
    <row r="4477" spans="2:9" ht="30">
      <c r="B4477" s="395">
        <v>94791</v>
      </c>
      <c r="C4477" s="406" t="s">
        <v>1681</v>
      </c>
      <c r="D4477" s="395" t="s">
        <v>23</v>
      </c>
      <c r="E4477" s="407">
        <f t="shared" si="138"/>
        <v>507.77</v>
      </c>
      <c r="F4477">
        <f t="shared" si="139"/>
        <v>94791</v>
      </c>
      <c r="H4477" s="680">
        <v>507.77</v>
      </c>
      <c r="I4477" s="680">
        <v>509.18</v>
      </c>
    </row>
    <row r="4478" spans="2:9" ht="30">
      <c r="B4478" s="396">
        <v>94863</v>
      </c>
      <c r="C4478" s="401" t="s">
        <v>1682</v>
      </c>
      <c r="D4478" s="396" t="s">
        <v>23</v>
      </c>
      <c r="E4478" s="405">
        <f t="shared" si="138"/>
        <v>140.47999999999999</v>
      </c>
      <c r="F4478">
        <f t="shared" si="139"/>
        <v>94863</v>
      </c>
      <c r="H4478" s="679">
        <v>140.47999999999999</v>
      </c>
      <c r="I4478" s="679">
        <v>141.27000000000001</v>
      </c>
    </row>
    <row r="4479" spans="2:9" ht="30">
      <c r="B4479" s="395">
        <v>95237</v>
      </c>
      <c r="C4479" s="406" t="s">
        <v>8210</v>
      </c>
      <c r="D4479" s="395" t="s">
        <v>23</v>
      </c>
      <c r="E4479" s="407">
        <f t="shared" si="138"/>
        <v>27.31</v>
      </c>
      <c r="F4479">
        <f t="shared" si="139"/>
        <v>95237</v>
      </c>
      <c r="H4479" s="680">
        <v>27.31</v>
      </c>
      <c r="I4479" s="680">
        <v>27.76</v>
      </c>
    </row>
    <row r="4480" spans="2:9" ht="30">
      <c r="B4480" s="396">
        <v>95693</v>
      </c>
      <c r="C4480" s="401" t="s">
        <v>8211</v>
      </c>
      <c r="D4480" s="396" t="s">
        <v>23</v>
      </c>
      <c r="E4480" s="405">
        <f t="shared" si="138"/>
        <v>56.47</v>
      </c>
      <c r="F4480">
        <f t="shared" si="139"/>
        <v>95693</v>
      </c>
      <c r="H4480" s="679">
        <v>56.47</v>
      </c>
      <c r="I4480" s="679">
        <v>57.57</v>
      </c>
    </row>
    <row r="4481" spans="2:9" ht="30">
      <c r="B4481" s="395">
        <v>95694</v>
      </c>
      <c r="C4481" s="406" t="s">
        <v>8212</v>
      </c>
      <c r="D4481" s="395" t="s">
        <v>23</v>
      </c>
      <c r="E4481" s="407">
        <f t="shared" si="138"/>
        <v>61.66</v>
      </c>
      <c r="F4481">
        <f t="shared" si="139"/>
        <v>95694</v>
      </c>
      <c r="H4481" s="680">
        <v>61.66</v>
      </c>
      <c r="I4481" s="680">
        <v>62.26</v>
      </c>
    </row>
    <row r="4482" spans="2:9" ht="30">
      <c r="B4482" s="396">
        <v>95695</v>
      </c>
      <c r="C4482" s="401" t="s">
        <v>8213</v>
      </c>
      <c r="D4482" s="396" t="s">
        <v>23</v>
      </c>
      <c r="E4482" s="405">
        <f t="shared" si="138"/>
        <v>67.36</v>
      </c>
      <c r="F4482">
        <f t="shared" si="139"/>
        <v>95695</v>
      </c>
      <c r="H4482" s="679">
        <v>67.36</v>
      </c>
      <c r="I4482" s="679">
        <v>68.61</v>
      </c>
    </row>
    <row r="4483" spans="2:9">
      <c r="B4483" s="395">
        <v>95696</v>
      </c>
      <c r="C4483" s="406" t="s">
        <v>5095</v>
      </c>
      <c r="D4483" s="395" t="s">
        <v>23</v>
      </c>
      <c r="E4483" s="407">
        <f t="shared" ref="E4483:E4546" si="140">IF($K$2=$H$1,H4483,I4483)</f>
        <v>31.32</v>
      </c>
      <c r="F4483">
        <f t="shared" ref="F4483:F4546" si="141">IF(LEN($B4483)=7,CONCATENATE(MID($B4483,1,6),"00",RIGHT($B4483,1)),IF(LEN($B4483)=8,CONCATENATE(MID($B4483,1,6),"0",RIGHT($B4483,2)),$B4483))</f>
        <v>95696</v>
      </c>
      <c r="H4483" s="680">
        <v>31.32</v>
      </c>
      <c r="I4483" s="680">
        <v>31.64</v>
      </c>
    </row>
    <row r="4484" spans="2:9" ht="30">
      <c r="B4484" s="396">
        <v>96637</v>
      </c>
      <c r="C4484" s="401" t="s">
        <v>8214</v>
      </c>
      <c r="D4484" s="396" t="s">
        <v>23</v>
      </c>
      <c r="E4484" s="405">
        <f t="shared" si="140"/>
        <v>12.87</v>
      </c>
      <c r="F4484">
        <f t="shared" si="141"/>
        <v>96637</v>
      </c>
      <c r="H4484" s="679">
        <v>12.87</v>
      </c>
      <c r="I4484" s="679">
        <v>14.06</v>
      </c>
    </row>
    <row r="4485" spans="2:9" ht="30">
      <c r="B4485" s="395">
        <v>96638</v>
      </c>
      <c r="C4485" s="406" t="s">
        <v>8215</v>
      </c>
      <c r="D4485" s="395" t="s">
        <v>23</v>
      </c>
      <c r="E4485" s="407">
        <f t="shared" si="140"/>
        <v>13.25</v>
      </c>
      <c r="F4485">
        <f t="shared" si="141"/>
        <v>96638</v>
      </c>
      <c r="H4485" s="680">
        <v>13.25</v>
      </c>
      <c r="I4485" s="680">
        <v>14.44</v>
      </c>
    </row>
    <row r="4486" spans="2:9">
      <c r="B4486" s="396">
        <v>96639</v>
      </c>
      <c r="C4486" s="401" t="s">
        <v>8216</v>
      </c>
      <c r="D4486" s="396" t="s">
        <v>23</v>
      </c>
      <c r="E4486" s="405">
        <f t="shared" si="140"/>
        <v>9.0399999999999991</v>
      </c>
      <c r="F4486">
        <f t="shared" si="141"/>
        <v>96639</v>
      </c>
      <c r="H4486" s="679">
        <v>9.0399999999999991</v>
      </c>
      <c r="I4486" s="679">
        <v>9.84</v>
      </c>
    </row>
    <row r="4487" spans="2:9" ht="30">
      <c r="B4487" s="395">
        <v>96640</v>
      </c>
      <c r="C4487" s="406" t="s">
        <v>8217</v>
      </c>
      <c r="D4487" s="395" t="s">
        <v>23</v>
      </c>
      <c r="E4487" s="407">
        <f t="shared" si="140"/>
        <v>23.45</v>
      </c>
      <c r="F4487">
        <f t="shared" si="141"/>
        <v>96640</v>
      </c>
      <c r="H4487" s="680">
        <v>23.45</v>
      </c>
      <c r="I4487" s="680">
        <v>24.02</v>
      </c>
    </row>
    <row r="4488" spans="2:9" ht="30">
      <c r="B4488" s="396">
        <v>96641</v>
      </c>
      <c r="C4488" s="401" t="s">
        <v>8218</v>
      </c>
      <c r="D4488" s="396" t="s">
        <v>23</v>
      </c>
      <c r="E4488" s="405">
        <f t="shared" si="140"/>
        <v>15.3</v>
      </c>
      <c r="F4488">
        <f t="shared" si="141"/>
        <v>96641</v>
      </c>
      <c r="H4488" s="679">
        <v>15.3</v>
      </c>
      <c r="I4488" s="679">
        <v>15.87</v>
      </c>
    </row>
    <row r="4489" spans="2:9" ht="30">
      <c r="B4489" s="395">
        <v>96642</v>
      </c>
      <c r="C4489" s="406" t="s">
        <v>8219</v>
      </c>
      <c r="D4489" s="395" t="s">
        <v>23</v>
      </c>
      <c r="E4489" s="407">
        <f t="shared" si="140"/>
        <v>16.91</v>
      </c>
      <c r="F4489">
        <f t="shared" si="141"/>
        <v>96642</v>
      </c>
      <c r="H4489" s="680">
        <v>16.91</v>
      </c>
      <c r="I4489" s="680">
        <v>18.510000000000002</v>
      </c>
    </row>
    <row r="4490" spans="2:9" ht="30">
      <c r="B4490" s="396">
        <v>96643</v>
      </c>
      <c r="C4490" s="401" t="s">
        <v>8220</v>
      </c>
      <c r="D4490" s="396" t="s">
        <v>23</v>
      </c>
      <c r="E4490" s="405">
        <f t="shared" si="140"/>
        <v>40.840000000000003</v>
      </c>
      <c r="F4490">
        <f t="shared" si="141"/>
        <v>96643</v>
      </c>
      <c r="H4490" s="679">
        <v>40.840000000000003</v>
      </c>
      <c r="I4490" s="679">
        <v>41.98</v>
      </c>
    </row>
    <row r="4491" spans="2:9" ht="30">
      <c r="B4491" s="395">
        <v>96650</v>
      </c>
      <c r="C4491" s="406" t="s">
        <v>8221</v>
      </c>
      <c r="D4491" s="395" t="s">
        <v>23</v>
      </c>
      <c r="E4491" s="407">
        <f t="shared" si="140"/>
        <v>7.4</v>
      </c>
      <c r="F4491">
        <f t="shared" si="141"/>
        <v>96650</v>
      </c>
      <c r="H4491" s="680">
        <v>7.4</v>
      </c>
      <c r="I4491" s="680">
        <v>7.97</v>
      </c>
    </row>
    <row r="4492" spans="2:9" ht="30">
      <c r="B4492" s="396">
        <v>96651</v>
      </c>
      <c r="C4492" s="401" t="s">
        <v>8222</v>
      </c>
      <c r="D4492" s="396" t="s">
        <v>23</v>
      </c>
      <c r="E4492" s="405">
        <f t="shared" si="140"/>
        <v>7.78</v>
      </c>
      <c r="F4492">
        <f t="shared" si="141"/>
        <v>96651</v>
      </c>
      <c r="H4492" s="679">
        <v>7.78</v>
      </c>
      <c r="I4492" s="679">
        <v>8.35</v>
      </c>
    </row>
    <row r="4493" spans="2:9" ht="30">
      <c r="B4493" s="395">
        <v>96652</v>
      </c>
      <c r="C4493" s="406" t="s">
        <v>8223</v>
      </c>
      <c r="D4493" s="395" t="s">
        <v>23</v>
      </c>
      <c r="E4493" s="407">
        <f t="shared" si="140"/>
        <v>8.93</v>
      </c>
      <c r="F4493">
        <f t="shared" si="141"/>
        <v>96652</v>
      </c>
      <c r="H4493" s="680">
        <v>8.93</v>
      </c>
      <c r="I4493" s="680">
        <v>9.5299999999999994</v>
      </c>
    </row>
    <row r="4494" spans="2:9" ht="30">
      <c r="B4494" s="396">
        <v>96653</v>
      </c>
      <c r="C4494" s="401" t="s">
        <v>8224</v>
      </c>
      <c r="D4494" s="396" t="s">
        <v>23</v>
      </c>
      <c r="E4494" s="405">
        <f t="shared" si="140"/>
        <v>12.1</v>
      </c>
      <c r="F4494">
        <f t="shared" si="141"/>
        <v>96653</v>
      </c>
      <c r="H4494" s="679">
        <v>12.1</v>
      </c>
      <c r="I4494" s="679">
        <v>12.7</v>
      </c>
    </row>
    <row r="4495" spans="2:9" ht="30">
      <c r="B4495" s="395">
        <v>96654</v>
      </c>
      <c r="C4495" s="406" t="s">
        <v>8225</v>
      </c>
      <c r="D4495" s="395" t="s">
        <v>23</v>
      </c>
      <c r="E4495" s="407">
        <f t="shared" si="140"/>
        <v>13.85</v>
      </c>
      <c r="F4495">
        <f t="shared" si="141"/>
        <v>96654</v>
      </c>
      <c r="H4495" s="680">
        <v>13.85</v>
      </c>
      <c r="I4495" s="680">
        <v>14.49</v>
      </c>
    </row>
    <row r="4496" spans="2:9" ht="30">
      <c r="B4496" s="396">
        <v>96655</v>
      </c>
      <c r="C4496" s="401" t="s">
        <v>8226</v>
      </c>
      <c r="D4496" s="396" t="s">
        <v>23</v>
      </c>
      <c r="E4496" s="405">
        <f t="shared" si="140"/>
        <v>19.010000000000002</v>
      </c>
      <c r="F4496">
        <f t="shared" si="141"/>
        <v>96655</v>
      </c>
      <c r="H4496" s="679">
        <v>19.010000000000002</v>
      </c>
      <c r="I4496" s="679">
        <v>19.649999999999999</v>
      </c>
    </row>
    <row r="4497" spans="2:9" ht="30">
      <c r="B4497" s="395">
        <v>96656</v>
      </c>
      <c r="C4497" s="406" t="s">
        <v>8227</v>
      </c>
      <c r="D4497" s="395" t="s">
        <v>23</v>
      </c>
      <c r="E4497" s="407">
        <f t="shared" si="140"/>
        <v>5.39</v>
      </c>
      <c r="F4497">
        <f t="shared" si="141"/>
        <v>96656</v>
      </c>
      <c r="H4497" s="680">
        <v>5.39</v>
      </c>
      <c r="I4497" s="680">
        <v>5.77</v>
      </c>
    </row>
    <row r="4498" spans="2:9" ht="30">
      <c r="B4498" s="396">
        <v>96657</v>
      </c>
      <c r="C4498" s="401" t="s">
        <v>8228</v>
      </c>
      <c r="D4498" s="396" t="s">
        <v>23</v>
      </c>
      <c r="E4498" s="405">
        <f t="shared" si="140"/>
        <v>21.82</v>
      </c>
      <c r="F4498">
        <f t="shared" si="141"/>
        <v>96657</v>
      </c>
      <c r="H4498" s="679">
        <v>21.82</v>
      </c>
      <c r="I4498" s="679">
        <v>22.2</v>
      </c>
    </row>
    <row r="4499" spans="2:9" ht="30">
      <c r="B4499" s="395">
        <v>96658</v>
      </c>
      <c r="C4499" s="406" t="s">
        <v>8229</v>
      </c>
      <c r="D4499" s="395" t="s">
        <v>23</v>
      </c>
      <c r="E4499" s="407">
        <f t="shared" si="140"/>
        <v>13.67</v>
      </c>
      <c r="F4499">
        <f t="shared" si="141"/>
        <v>96658</v>
      </c>
      <c r="H4499" s="680">
        <v>13.67</v>
      </c>
      <c r="I4499" s="680">
        <v>14.05</v>
      </c>
    </row>
    <row r="4500" spans="2:9" ht="30">
      <c r="B4500" s="396">
        <v>96659</v>
      </c>
      <c r="C4500" s="401" t="s">
        <v>8230</v>
      </c>
      <c r="D4500" s="396" t="s">
        <v>23</v>
      </c>
      <c r="E4500" s="405">
        <f t="shared" si="140"/>
        <v>7.21</v>
      </c>
      <c r="F4500">
        <f t="shared" si="141"/>
        <v>96659</v>
      </c>
      <c r="H4500" s="679">
        <v>7.21</v>
      </c>
      <c r="I4500" s="679">
        <v>7.61</v>
      </c>
    </row>
    <row r="4501" spans="2:9" ht="30">
      <c r="B4501" s="395">
        <v>96660</v>
      </c>
      <c r="C4501" s="406" t="s">
        <v>8231</v>
      </c>
      <c r="D4501" s="395" t="s">
        <v>23</v>
      </c>
      <c r="E4501" s="407">
        <f t="shared" si="140"/>
        <v>29.87</v>
      </c>
      <c r="F4501">
        <f t="shared" si="141"/>
        <v>96660</v>
      </c>
      <c r="H4501" s="680">
        <v>29.87</v>
      </c>
      <c r="I4501" s="680">
        <v>30.26</v>
      </c>
    </row>
    <row r="4502" spans="2:9" ht="30">
      <c r="B4502" s="396">
        <v>96661</v>
      </c>
      <c r="C4502" s="401" t="s">
        <v>8232</v>
      </c>
      <c r="D4502" s="396" t="s">
        <v>23</v>
      </c>
      <c r="E4502" s="405">
        <f t="shared" si="140"/>
        <v>29.58</v>
      </c>
      <c r="F4502">
        <f t="shared" si="141"/>
        <v>96661</v>
      </c>
      <c r="H4502" s="679">
        <v>29.58</v>
      </c>
      <c r="I4502" s="679">
        <v>29.97</v>
      </c>
    </row>
    <row r="4503" spans="2:9" ht="30">
      <c r="B4503" s="395">
        <v>96662</v>
      </c>
      <c r="C4503" s="406" t="s">
        <v>8233</v>
      </c>
      <c r="D4503" s="395" t="s">
        <v>23</v>
      </c>
      <c r="E4503" s="407">
        <f t="shared" si="140"/>
        <v>8.1300000000000008</v>
      </c>
      <c r="F4503">
        <f t="shared" si="141"/>
        <v>96662</v>
      </c>
      <c r="H4503" s="680">
        <v>8.1300000000000008</v>
      </c>
      <c r="I4503" s="680">
        <v>8.52</v>
      </c>
    </row>
    <row r="4504" spans="2:9" ht="30">
      <c r="B4504" s="396">
        <v>96663</v>
      </c>
      <c r="C4504" s="401" t="s">
        <v>8234</v>
      </c>
      <c r="D4504" s="396" t="s">
        <v>23</v>
      </c>
      <c r="E4504" s="405">
        <f t="shared" si="140"/>
        <v>14.28</v>
      </c>
      <c r="F4504">
        <f t="shared" si="141"/>
        <v>96663</v>
      </c>
      <c r="H4504" s="679">
        <v>14.28</v>
      </c>
      <c r="I4504" s="679">
        <v>14.69</v>
      </c>
    </row>
    <row r="4505" spans="2:9" ht="30">
      <c r="B4505" s="395">
        <v>96664</v>
      </c>
      <c r="C4505" s="406" t="s">
        <v>8235</v>
      </c>
      <c r="D4505" s="395" t="s">
        <v>23</v>
      </c>
      <c r="E4505" s="407">
        <f t="shared" si="140"/>
        <v>15.81</v>
      </c>
      <c r="F4505">
        <f t="shared" si="141"/>
        <v>96664</v>
      </c>
      <c r="H4505" s="680">
        <v>15.81</v>
      </c>
      <c r="I4505" s="680">
        <v>16.2</v>
      </c>
    </row>
    <row r="4506" spans="2:9" ht="30">
      <c r="B4506" s="396">
        <v>96665</v>
      </c>
      <c r="C4506" s="401" t="s">
        <v>8236</v>
      </c>
      <c r="D4506" s="396" t="s">
        <v>23</v>
      </c>
      <c r="E4506" s="405">
        <f t="shared" si="140"/>
        <v>9.6</v>
      </c>
      <c r="F4506">
        <f t="shared" si="141"/>
        <v>96665</v>
      </c>
      <c r="H4506" s="679">
        <v>9.6</v>
      </c>
      <c r="I4506" s="679">
        <v>10.35</v>
      </c>
    </row>
    <row r="4507" spans="2:9" ht="30">
      <c r="B4507" s="395">
        <v>96666</v>
      </c>
      <c r="C4507" s="406" t="s">
        <v>8237</v>
      </c>
      <c r="D4507" s="395" t="s">
        <v>23</v>
      </c>
      <c r="E4507" s="407">
        <f t="shared" si="140"/>
        <v>14.38</v>
      </c>
      <c r="F4507">
        <f t="shared" si="141"/>
        <v>96666</v>
      </c>
      <c r="H4507" s="680">
        <v>14.38</v>
      </c>
      <c r="I4507" s="680">
        <v>15.19</v>
      </c>
    </row>
    <row r="4508" spans="2:9" ht="30">
      <c r="B4508" s="396">
        <v>96667</v>
      </c>
      <c r="C4508" s="401" t="s">
        <v>8238</v>
      </c>
      <c r="D4508" s="396" t="s">
        <v>23</v>
      </c>
      <c r="E4508" s="405">
        <f t="shared" si="140"/>
        <v>20.87</v>
      </c>
      <c r="F4508">
        <f t="shared" si="141"/>
        <v>96667</v>
      </c>
      <c r="H4508" s="679">
        <v>20.87</v>
      </c>
      <c r="I4508" s="679">
        <v>21.71</v>
      </c>
    </row>
    <row r="4509" spans="2:9">
      <c r="B4509" s="395">
        <v>96684</v>
      </c>
      <c r="C4509" s="406" t="s">
        <v>8239</v>
      </c>
      <c r="D4509" s="395" t="s">
        <v>23</v>
      </c>
      <c r="E4509" s="407">
        <f t="shared" si="140"/>
        <v>9.3800000000000008</v>
      </c>
      <c r="F4509">
        <f t="shared" si="141"/>
        <v>96684</v>
      </c>
      <c r="H4509" s="680">
        <v>9.3800000000000008</v>
      </c>
      <c r="I4509" s="680">
        <v>10.17</v>
      </c>
    </row>
    <row r="4510" spans="2:9">
      <c r="B4510" s="396">
        <v>96685</v>
      </c>
      <c r="C4510" s="401" t="s">
        <v>8240</v>
      </c>
      <c r="D4510" s="396" t="s">
        <v>23</v>
      </c>
      <c r="E4510" s="405">
        <f t="shared" si="140"/>
        <v>9.76</v>
      </c>
      <c r="F4510">
        <f t="shared" si="141"/>
        <v>96685</v>
      </c>
      <c r="H4510" s="679">
        <v>9.76</v>
      </c>
      <c r="I4510" s="679">
        <v>10.55</v>
      </c>
    </row>
    <row r="4511" spans="2:9">
      <c r="B4511" s="395">
        <v>96686</v>
      </c>
      <c r="C4511" s="406" t="s">
        <v>8241</v>
      </c>
      <c r="D4511" s="395" t="s">
        <v>23</v>
      </c>
      <c r="E4511" s="407">
        <f t="shared" si="140"/>
        <v>12.17</v>
      </c>
      <c r="F4511">
        <f t="shared" si="141"/>
        <v>96686</v>
      </c>
      <c r="H4511" s="680">
        <v>12.17</v>
      </c>
      <c r="I4511" s="680">
        <v>13.14</v>
      </c>
    </row>
    <row r="4512" spans="2:9">
      <c r="B4512" s="396">
        <v>96687</v>
      </c>
      <c r="C4512" s="401" t="s">
        <v>8242</v>
      </c>
      <c r="D4512" s="396" t="s">
        <v>23</v>
      </c>
      <c r="E4512" s="405">
        <f t="shared" si="140"/>
        <v>15.34</v>
      </c>
      <c r="F4512">
        <f t="shared" si="141"/>
        <v>96687</v>
      </c>
      <c r="H4512" s="679">
        <v>15.34</v>
      </c>
      <c r="I4512" s="679">
        <v>16.309999999999999</v>
      </c>
    </row>
    <row r="4513" spans="2:9">
      <c r="B4513" s="395">
        <v>96688</v>
      </c>
      <c r="C4513" s="406" t="s">
        <v>8243</v>
      </c>
      <c r="D4513" s="395" t="s">
        <v>23</v>
      </c>
      <c r="E4513" s="407">
        <f t="shared" si="140"/>
        <v>18.54</v>
      </c>
      <c r="F4513">
        <f t="shared" si="141"/>
        <v>96688</v>
      </c>
      <c r="H4513" s="680">
        <v>18.54</v>
      </c>
      <c r="I4513" s="680">
        <v>19.72</v>
      </c>
    </row>
    <row r="4514" spans="2:9">
      <c r="B4514" s="396">
        <v>96689</v>
      </c>
      <c r="C4514" s="401" t="s">
        <v>8244</v>
      </c>
      <c r="D4514" s="396" t="s">
        <v>23</v>
      </c>
      <c r="E4514" s="405">
        <f t="shared" si="140"/>
        <v>23.7</v>
      </c>
      <c r="F4514">
        <f t="shared" si="141"/>
        <v>96689</v>
      </c>
      <c r="H4514" s="679">
        <v>23.7</v>
      </c>
      <c r="I4514" s="679">
        <v>24.88</v>
      </c>
    </row>
    <row r="4515" spans="2:9">
      <c r="B4515" s="395">
        <v>96690</v>
      </c>
      <c r="C4515" s="406" t="s">
        <v>8245</v>
      </c>
      <c r="D4515" s="395" t="s">
        <v>23</v>
      </c>
      <c r="E4515" s="407">
        <f t="shared" si="140"/>
        <v>26.24</v>
      </c>
      <c r="F4515">
        <f t="shared" si="141"/>
        <v>96690</v>
      </c>
      <c r="H4515" s="680">
        <v>26.24</v>
      </c>
      <c r="I4515" s="680">
        <v>27.65</v>
      </c>
    </row>
    <row r="4516" spans="2:9">
      <c r="B4516" s="396">
        <v>96691</v>
      </c>
      <c r="C4516" s="401" t="s">
        <v>8246</v>
      </c>
      <c r="D4516" s="396" t="s">
        <v>23</v>
      </c>
      <c r="E4516" s="405">
        <f t="shared" si="140"/>
        <v>34.4</v>
      </c>
      <c r="F4516">
        <f t="shared" si="141"/>
        <v>96691</v>
      </c>
      <c r="H4516" s="679">
        <v>34.4</v>
      </c>
      <c r="I4516" s="679">
        <v>35.81</v>
      </c>
    </row>
    <row r="4517" spans="2:9">
      <c r="B4517" s="395">
        <v>96692</v>
      </c>
      <c r="C4517" s="406" t="s">
        <v>8247</v>
      </c>
      <c r="D4517" s="395" t="s">
        <v>23</v>
      </c>
      <c r="E4517" s="407">
        <f t="shared" si="140"/>
        <v>37.64</v>
      </c>
      <c r="F4517">
        <f t="shared" si="141"/>
        <v>96692</v>
      </c>
      <c r="H4517" s="680">
        <v>37.64</v>
      </c>
      <c r="I4517" s="680">
        <v>39.39</v>
      </c>
    </row>
    <row r="4518" spans="2:9">
      <c r="B4518" s="396">
        <v>96693</v>
      </c>
      <c r="C4518" s="401" t="s">
        <v>8248</v>
      </c>
      <c r="D4518" s="396" t="s">
        <v>23</v>
      </c>
      <c r="E4518" s="405">
        <f t="shared" si="140"/>
        <v>52.21</v>
      </c>
      <c r="F4518">
        <f t="shared" si="141"/>
        <v>96693</v>
      </c>
      <c r="H4518" s="679">
        <v>52.21</v>
      </c>
      <c r="I4518" s="679">
        <v>53.96</v>
      </c>
    </row>
    <row r="4519" spans="2:9">
      <c r="B4519" s="395">
        <v>96694</v>
      </c>
      <c r="C4519" s="406" t="s">
        <v>8249</v>
      </c>
      <c r="D4519" s="395" t="s">
        <v>23</v>
      </c>
      <c r="E4519" s="407">
        <f t="shared" si="140"/>
        <v>83.01</v>
      </c>
      <c r="F4519">
        <f t="shared" si="141"/>
        <v>96694</v>
      </c>
      <c r="H4519" s="680">
        <v>83.01</v>
      </c>
      <c r="I4519" s="680">
        <v>85.06</v>
      </c>
    </row>
    <row r="4520" spans="2:9">
      <c r="B4520" s="396">
        <v>96695</v>
      </c>
      <c r="C4520" s="401" t="s">
        <v>8250</v>
      </c>
      <c r="D4520" s="396" t="s">
        <v>23</v>
      </c>
      <c r="E4520" s="405">
        <f t="shared" si="140"/>
        <v>91.89</v>
      </c>
      <c r="F4520">
        <f t="shared" si="141"/>
        <v>96695</v>
      </c>
      <c r="H4520" s="679">
        <v>91.89</v>
      </c>
      <c r="I4520" s="679">
        <v>93.94</v>
      </c>
    </row>
    <row r="4521" spans="2:9">
      <c r="B4521" s="395">
        <v>96696</v>
      </c>
      <c r="C4521" s="406" t="s">
        <v>8251</v>
      </c>
      <c r="D4521" s="395" t="s">
        <v>23</v>
      </c>
      <c r="E4521" s="407">
        <f t="shared" si="140"/>
        <v>103.9</v>
      </c>
      <c r="F4521">
        <f t="shared" si="141"/>
        <v>96696</v>
      </c>
      <c r="H4521" s="680">
        <v>103.9</v>
      </c>
      <c r="I4521" s="680">
        <v>106.32</v>
      </c>
    </row>
    <row r="4522" spans="2:9" ht="30">
      <c r="B4522" s="396">
        <v>96697</v>
      </c>
      <c r="C4522" s="401" t="s">
        <v>8252</v>
      </c>
      <c r="D4522" s="396" t="s">
        <v>23</v>
      </c>
      <c r="E4522" s="405">
        <f t="shared" si="140"/>
        <v>315.5</v>
      </c>
      <c r="F4522">
        <f t="shared" si="141"/>
        <v>96697</v>
      </c>
      <c r="H4522" s="679">
        <v>315.5</v>
      </c>
      <c r="I4522" s="679">
        <v>318.43</v>
      </c>
    </row>
    <row r="4523" spans="2:9">
      <c r="B4523" s="395">
        <v>96698</v>
      </c>
      <c r="C4523" s="406" t="s">
        <v>8253</v>
      </c>
      <c r="D4523" s="395" t="s">
        <v>23</v>
      </c>
      <c r="E4523" s="407">
        <f t="shared" si="140"/>
        <v>6.71</v>
      </c>
      <c r="F4523">
        <f t="shared" si="141"/>
        <v>96698</v>
      </c>
      <c r="H4523" s="680">
        <v>6.71</v>
      </c>
      <c r="I4523" s="680">
        <v>7.23</v>
      </c>
    </row>
    <row r="4524" spans="2:9">
      <c r="B4524" s="396">
        <v>96699</v>
      </c>
      <c r="C4524" s="401" t="s">
        <v>8254</v>
      </c>
      <c r="D4524" s="396" t="s">
        <v>23</v>
      </c>
      <c r="E4524" s="405">
        <f t="shared" si="140"/>
        <v>23.14</v>
      </c>
      <c r="F4524">
        <f t="shared" si="141"/>
        <v>96699</v>
      </c>
      <c r="H4524" s="679">
        <v>23.14</v>
      </c>
      <c r="I4524" s="679">
        <v>23.66</v>
      </c>
    </row>
    <row r="4525" spans="2:9">
      <c r="B4525" s="395">
        <v>96700</v>
      </c>
      <c r="C4525" s="406" t="s">
        <v>8255</v>
      </c>
      <c r="D4525" s="395" t="s">
        <v>23</v>
      </c>
      <c r="E4525" s="407">
        <f t="shared" si="140"/>
        <v>14.99</v>
      </c>
      <c r="F4525">
        <f t="shared" si="141"/>
        <v>96700</v>
      </c>
      <c r="H4525" s="680">
        <v>14.99</v>
      </c>
      <c r="I4525" s="680">
        <v>15.51</v>
      </c>
    </row>
    <row r="4526" spans="2:9">
      <c r="B4526" s="396">
        <v>96701</v>
      </c>
      <c r="C4526" s="401" t="s">
        <v>8256</v>
      </c>
      <c r="D4526" s="396" t="s">
        <v>23</v>
      </c>
      <c r="E4526" s="405">
        <f t="shared" si="140"/>
        <v>9.3699999999999992</v>
      </c>
      <c r="F4526">
        <f t="shared" si="141"/>
        <v>96701</v>
      </c>
      <c r="H4526" s="679">
        <v>9.3699999999999992</v>
      </c>
      <c r="I4526" s="679">
        <v>10.029999999999999</v>
      </c>
    </row>
    <row r="4527" spans="2:9">
      <c r="B4527" s="395">
        <v>96702</v>
      </c>
      <c r="C4527" s="406" t="s">
        <v>8257</v>
      </c>
      <c r="D4527" s="395" t="s">
        <v>23</v>
      </c>
      <c r="E4527" s="407">
        <f t="shared" si="140"/>
        <v>9.8800000000000008</v>
      </c>
      <c r="F4527">
        <f t="shared" si="141"/>
        <v>96702</v>
      </c>
      <c r="H4527" s="680">
        <v>9.8800000000000008</v>
      </c>
      <c r="I4527" s="680">
        <v>10.46</v>
      </c>
    </row>
    <row r="4528" spans="2:9">
      <c r="B4528" s="396">
        <v>96703</v>
      </c>
      <c r="C4528" s="401" t="s">
        <v>8258</v>
      </c>
      <c r="D4528" s="396" t="s">
        <v>23</v>
      </c>
      <c r="E4528" s="405">
        <f t="shared" si="140"/>
        <v>17.41</v>
      </c>
      <c r="F4528">
        <f t="shared" si="141"/>
        <v>96703</v>
      </c>
      <c r="H4528" s="679">
        <v>17.41</v>
      </c>
      <c r="I4528" s="679">
        <v>18.190000000000001</v>
      </c>
    </row>
    <row r="4529" spans="2:9">
      <c r="B4529" s="395">
        <v>96704</v>
      </c>
      <c r="C4529" s="406" t="s">
        <v>8259</v>
      </c>
      <c r="D4529" s="395" t="s">
        <v>23</v>
      </c>
      <c r="E4529" s="407">
        <f t="shared" si="140"/>
        <v>18.02</v>
      </c>
      <c r="F4529">
        <f t="shared" si="141"/>
        <v>96704</v>
      </c>
      <c r="H4529" s="680">
        <v>18.02</v>
      </c>
      <c r="I4529" s="680">
        <v>18.68</v>
      </c>
    </row>
    <row r="4530" spans="2:9">
      <c r="B4530" s="396">
        <v>96705</v>
      </c>
      <c r="C4530" s="401" t="s">
        <v>8260</v>
      </c>
      <c r="D4530" s="396" t="s">
        <v>23</v>
      </c>
      <c r="E4530" s="405">
        <f t="shared" si="140"/>
        <v>21.11</v>
      </c>
      <c r="F4530">
        <f t="shared" si="141"/>
        <v>96705</v>
      </c>
      <c r="H4530" s="679">
        <v>21.11</v>
      </c>
      <c r="I4530" s="679">
        <v>22.07</v>
      </c>
    </row>
    <row r="4531" spans="2:9">
      <c r="B4531" s="395">
        <v>96706</v>
      </c>
      <c r="C4531" s="406" t="s">
        <v>8261</v>
      </c>
      <c r="D4531" s="395" t="s">
        <v>23</v>
      </c>
      <c r="E4531" s="407">
        <f t="shared" si="140"/>
        <v>31.74</v>
      </c>
      <c r="F4531">
        <f t="shared" si="141"/>
        <v>96706</v>
      </c>
      <c r="H4531" s="680">
        <v>31.74</v>
      </c>
      <c r="I4531" s="680">
        <v>32.92</v>
      </c>
    </row>
    <row r="4532" spans="2:9">
      <c r="B4532" s="396">
        <v>96707</v>
      </c>
      <c r="C4532" s="401" t="s">
        <v>8262</v>
      </c>
      <c r="D4532" s="396" t="s">
        <v>23</v>
      </c>
      <c r="E4532" s="405">
        <f t="shared" si="140"/>
        <v>52.03</v>
      </c>
      <c r="F4532">
        <f t="shared" si="141"/>
        <v>96707</v>
      </c>
      <c r="H4532" s="679">
        <v>52.03</v>
      </c>
      <c r="I4532" s="679">
        <v>53.4</v>
      </c>
    </row>
    <row r="4533" spans="2:9">
      <c r="B4533" s="395">
        <v>96708</v>
      </c>
      <c r="C4533" s="406" t="s">
        <v>8263</v>
      </c>
      <c r="D4533" s="395" t="s">
        <v>23</v>
      </c>
      <c r="E4533" s="407">
        <f t="shared" si="140"/>
        <v>79.73</v>
      </c>
      <c r="F4533">
        <f t="shared" si="141"/>
        <v>96708</v>
      </c>
      <c r="H4533" s="680">
        <v>79.73</v>
      </c>
      <c r="I4533" s="680">
        <v>81.34</v>
      </c>
    </row>
    <row r="4534" spans="2:9">
      <c r="B4534" s="396">
        <v>96709</v>
      </c>
      <c r="C4534" s="401" t="s">
        <v>8264</v>
      </c>
      <c r="D4534" s="396" t="s">
        <v>23</v>
      </c>
      <c r="E4534" s="405">
        <f t="shared" si="140"/>
        <v>101.95</v>
      </c>
      <c r="F4534">
        <f t="shared" si="141"/>
        <v>96709</v>
      </c>
      <c r="H4534" s="679">
        <v>101.95</v>
      </c>
      <c r="I4534" s="679">
        <v>103.9</v>
      </c>
    </row>
    <row r="4535" spans="2:9">
      <c r="B4535" s="395">
        <v>96710</v>
      </c>
      <c r="C4535" s="406" t="s">
        <v>8265</v>
      </c>
      <c r="D4535" s="395" t="s">
        <v>23</v>
      </c>
      <c r="E4535" s="407">
        <f t="shared" si="140"/>
        <v>12.24</v>
      </c>
      <c r="F4535">
        <f t="shared" si="141"/>
        <v>96710</v>
      </c>
      <c r="H4535" s="680">
        <v>12.24</v>
      </c>
      <c r="I4535" s="680">
        <v>13.3</v>
      </c>
    </row>
    <row r="4536" spans="2:9">
      <c r="B4536" s="396">
        <v>96711</v>
      </c>
      <c r="C4536" s="401" t="s">
        <v>8266</v>
      </c>
      <c r="D4536" s="396" t="s">
        <v>23</v>
      </c>
      <c r="E4536" s="405">
        <f t="shared" si="140"/>
        <v>18.71</v>
      </c>
      <c r="F4536">
        <f t="shared" si="141"/>
        <v>96711</v>
      </c>
      <c r="H4536" s="679">
        <v>18.71</v>
      </c>
      <c r="I4536" s="679">
        <v>20.010000000000002</v>
      </c>
    </row>
    <row r="4537" spans="2:9">
      <c r="B4537" s="395">
        <v>96712</v>
      </c>
      <c r="C4537" s="406" t="s">
        <v>8267</v>
      </c>
      <c r="D4537" s="395" t="s">
        <v>23</v>
      </c>
      <c r="E4537" s="407">
        <f t="shared" si="140"/>
        <v>27.14</v>
      </c>
      <c r="F4537">
        <f t="shared" si="141"/>
        <v>96712</v>
      </c>
      <c r="H4537" s="680">
        <v>27.14</v>
      </c>
      <c r="I4537" s="680">
        <v>28.7</v>
      </c>
    </row>
    <row r="4538" spans="2:9">
      <c r="B4538" s="396">
        <v>96713</v>
      </c>
      <c r="C4538" s="401" t="s">
        <v>8268</v>
      </c>
      <c r="D4538" s="396" t="s">
        <v>23</v>
      </c>
      <c r="E4538" s="405">
        <f t="shared" si="140"/>
        <v>42.53</v>
      </c>
      <c r="F4538">
        <f t="shared" si="141"/>
        <v>96713</v>
      </c>
      <c r="H4538" s="679">
        <v>42.53</v>
      </c>
      <c r="I4538" s="679">
        <v>44.44</v>
      </c>
    </row>
    <row r="4539" spans="2:9">
      <c r="B4539" s="395">
        <v>96714</v>
      </c>
      <c r="C4539" s="406" t="s">
        <v>8269</v>
      </c>
      <c r="D4539" s="395" t="s">
        <v>23</v>
      </c>
      <c r="E4539" s="407">
        <f t="shared" si="140"/>
        <v>61.21</v>
      </c>
      <c r="F4539">
        <f t="shared" si="141"/>
        <v>96714</v>
      </c>
      <c r="H4539" s="680">
        <v>61.21</v>
      </c>
      <c r="I4539" s="680">
        <v>63.54</v>
      </c>
    </row>
    <row r="4540" spans="2:9">
      <c r="B4540" s="396">
        <v>96715</v>
      </c>
      <c r="C4540" s="401" t="s">
        <v>8270</v>
      </c>
      <c r="D4540" s="396" t="s">
        <v>23</v>
      </c>
      <c r="E4540" s="405">
        <f t="shared" si="140"/>
        <v>111.68</v>
      </c>
      <c r="F4540">
        <f t="shared" si="141"/>
        <v>96715</v>
      </c>
      <c r="H4540" s="679">
        <v>111.68</v>
      </c>
      <c r="I4540" s="679">
        <v>114.4</v>
      </c>
    </row>
    <row r="4541" spans="2:9">
      <c r="B4541" s="395">
        <v>96716</v>
      </c>
      <c r="C4541" s="406" t="s">
        <v>8271</v>
      </c>
      <c r="D4541" s="395" t="s">
        <v>23</v>
      </c>
      <c r="E4541" s="407">
        <f t="shared" si="140"/>
        <v>146.06</v>
      </c>
      <c r="F4541">
        <f t="shared" si="141"/>
        <v>96716</v>
      </c>
      <c r="H4541" s="680">
        <v>146.06</v>
      </c>
      <c r="I4541" s="680">
        <v>149.28</v>
      </c>
    </row>
    <row r="4542" spans="2:9">
      <c r="B4542" s="396">
        <v>96717</v>
      </c>
      <c r="C4542" s="401" t="s">
        <v>8272</v>
      </c>
      <c r="D4542" s="396" t="s">
        <v>23</v>
      </c>
      <c r="E4542" s="405">
        <f t="shared" si="140"/>
        <v>284.77</v>
      </c>
      <c r="F4542">
        <f t="shared" si="141"/>
        <v>96717</v>
      </c>
      <c r="H4542" s="679">
        <v>284.77</v>
      </c>
      <c r="I4542" s="679">
        <v>288.66000000000003</v>
      </c>
    </row>
    <row r="4543" spans="2:9" ht="30">
      <c r="B4543" s="395">
        <v>96736</v>
      </c>
      <c r="C4543" s="406" t="s">
        <v>2201</v>
      </c>
      <c r="D4543" s="395" t="s">
        <v>23</v>
      </c>
      <c r="E4543" s="407">
        <f t="shared" si="140"/>
        <v>5.67</v>
      </c>
      <c r="F4543">
        <f t="shared" si="141"/>
        <v>96736</v>
      </c>
      <c r="H4543" s="680">
        <v>5.67</v>
      </c>
      <c r="I4543" s="680">
        <v>6.07</v>
      </c>
    </row>
    <row r="4544" spans="2:9" ht="30">
      <c r="B4544" s="396">
        <v>96737</v>
      </c>
      <c r="C4544" s="401" t="s">
        <v>2202</v>
      </c>
      <c r="D4544" s="396" t="s">
        <v>23</v>
      </c>
      <c r="E4544" s="405">
        <f t="shared" si="140"/>
        <v>5.47</v>
      </c>
      <c r="F4544">
        <f t="shared" si="141"/>
        <v>96737</v>
      </c>
      <c r="H4544" s="679">
        <v>5.47</v>
      </c>
      <c r="I4544" s="679">
        <v>5.87</v>
      </c>
    </row>
    <row r="4545" spans="2:9" ht="30">
      <c r="B4545" s="395">
        <v>96738</v>
      </c>
      <c r="C4545" s="406" t="s">
        <v>2203</v>
      </c>
      <c r="D4545" s="395" t="s">
        <v>23</v>
      </c>
      <c r="E4545" s="407">
        <f t="shared" si="140"/>
        <v>21.9</v>
      </c>
      <c r="F4545">
        <f t="shared" si="141"/>
        <v>96738</v>
      </c>
      <c r="H4545" s="680">
        <v>21.9</v>
      </c>
      <c r="I4545" s="680">
        <v>22.3</v>
      </c>
    </row>
    <row r="4546" spans="2:9" ht="30">
      <c r="B4546" s="396">
        <v>96739</v>
      </c>
      <c r="C4546" s="401" t="s">
        <v>2204</v>
      </c>
      <c r="D4546" s="396" t="s">
        <v>23</v>
      </c>
      <c r="E4546" s="405">
        <f t="shared" si="140"/>
        <v>8.07</v>
      </c>
      <c r="F4546">
        <f t="shared" si="141"/>
        <v>96739</v>
      </c>
      <c r="H4546" s="679">
        <v>8.07</v>
      </c>
      <c r="I4546" s="679">
        <v>8.57</v>
      </c>
    </row>
    <row r="4547" spans="2:9" ht="30">
      <c r="B4547" s="395">
        <v>96740</v>
      </c>
      <c r="C4547" s="406" t="s">
        <v>2205</v>
      </c>
      <c r="D4547" s="395" t="s">
        <v>23</v>
      </c>
      <c r="E4547" s="407">
        <f t="shared" ref="E4547:E4610" si="142">IF($K$2=$H$1,H4547,I4547)</f>
        <v>30.82</v>
      </c>
      <c r="F4547">
        <f t="shared" ref="F4547:F4610" si="143">IF(LEN($B4547)=7,CONCATENATE(MID($B4547,1,6),"00",RIGHT($B4547,1)),IF(LEN($B4547)=8,CONCATENATE(MID($B4547,1,6),"0",RIGHT($B4547,2)),$B4547))</f>
        <v>96740</v>
      </c>
      <c r="H4547" s="680">
        <v>30.82</v>
      </c>
      <c r="I4547" s="680">
        <v>31.32</v>
      </c>
    </row>
    <row r="4548" spans="2:9" ht="30">
      <c r="B4548" s="396">
        <v>96741</v>
      </c>
      <c r="C4548" s="401" t="s">
        <v>2206</v>
      </c>
      <c r="D4548" s="396" t="s">
        <v>23</v>
      </c>
      <c r="E4548" s="405">
        <f t="shared" si="142"/>
        <v>14.94</v>
      </c>
      <c r="F4548">
        <f t="shared" si="143"/>
        <v>96741</v>
      </c>
      <c r="H4548" s="679">
        <v>14.94</v>
      </c>
      <c r="I4548" s="679">
        <v>15.44</v>
      </c>
    </row>
    <row r="4549" spans="2:9" ht="30">
      <c r="B4549" s="395">
        <v>96742</v>
      </c>
      <c r="C4549" s="406" t="s">
        <v>2207</v>
      </c>
      <c r="D4549" s="395" t="s">
        <v>23</v>
      </c>
      <c r="E4549" s="407">
        <f t="shared" si="142"/>
        <v>19.489999999999998</v>
      </c>
      <c r="F4549">
        <f t="shared" si="143"/>
        <v>96742</v>
      </c>
      <c r="H4549" s="680">
        <v>19.489999999999998</v>
      </c>
      <c r="I4549" s="680">
        <v>20.27</v>
      </c>
    </row>
    <row r="4550" spans="2:9" ht="30">
      <c r="B4550" s="396">
        <v>96743</v>
      </c>
      <c r="C4550" s="401" t="s">
        <v>2208</v>
      </c>
      <c r="D4550" s="396" t="s">
        <v>23</v>
      </c>
      <c r="E4550" s="405">
        <f t="shared" si="142"/>
        <v>28.23</v>
      </c>
      <c r="F4550">
        <f t="shared" si="143"/>
        <v>96743</v>
      </c>
      <c r="H4550" s="679">
        <v>28.23</v>
      </c>
      <c r="I4550" s="679">
        <v>29.01</v>
      </c>
    </row>
    <row r="4551" spans="2:9" ht="30">
      <c r="B4551" s="395">
        <v>96744</v>
      </c>
      <c r="C4551" s="406" t="s">
        <v>2209</v>
      </c>
      <c r="D4551" s="395" t="s">
        <v>23</v>
      </c>
      <c r="E4551" s="407">
        <f t="shared" si="142"/>
        <v>50.98</v>
      </c>
      <c r="F4551">
        <f t="shared" si="143"/>
        <v>96744</v>
      </c>
      <c r="H4551" s="680">
        <v>50.98</v>
      </c>
      <c r="I4551" s="680">
        <v>52.26</v>
      </c>
    </row>
    <row r="4552" spans="2:9" ht="30">
      <c r="B4552" s="396">
        <v>96745</v>
      </c>
      <c r="C4552" s="401" t="s">
        <v>2210</v>
      </c>
      <c r="D4552" s="396" t="s">
        <v>23</v>
      </c>
      <c r="E4552" s="405">
        <f t="shared" si="142"/>
        <v>76.48</v>
      </c>
      <c r="F4552">
        <f t="shared" si="143"/>
        <v>96745</v>
      </c>
      <c r="H4552" s="679">
        <v>76.48</v>
      </c>
      <c r="I4552" s="679">
        <v>77.760000000000005</v>
      </c>
    </row>
    <row r="4553" spans="2:9" ht="30">
      <c r="B4553" s="395">
        <v>96746</v>
      </c>
      <c r="C4553" s="406" t="s">
        <v>2211</v>
      </c>
      <c r="D4553" s="395" t="s">
        <v>23</v>
      </c>
      <c r="E4553" s="407">
        <f t="shared" si="142"/>
        <v>101.99</v>
      </c>
      <c r="F4553">
        <f t="shared" si="143"/>
        <v>96746</v>
      </c>
      <c r="H4553" s="680">
        <v>101.99</v>
      </c>
      <c r="I4553" s="680">
        <v>103.99</v>
      </c>
    </row>
    <row r="4554" spans="2:9" ht="30">
      <c r="B4554" s="396">
        <v>96747</v>
      </c>
      <c r="C4554" s="401" t="s">
        <v>2212</v>
      </c>
      <c r="D4554" s="396" t="s">
        <v>23</v>
      </c>
      <c r="E4554" s="405">
        <f t="shared" si="142"/>
        <v>6.9</v>
      </c>
      <c r="F4554">
        <f t="shared" si="143"/>
        <v>96747</v>
      </c>
      <c r="H4554" s="679">
        <v>6.9</v>
      </c>
      <c r="I4554" s="679">
        <v>7.49</v>
      </c>
    </row>
    <row r="4555" spans="2:9" ht="30">
      <c r="B4555" s="395">
        <v>96748</v>
      </c>
      <c r="C4555" s="406" t="s">
        <v>2213</v>
      </c>
      <c r="D4555" s="395" t="s">
        <v>23</v>
      </c>
      <c r="E4555" s="407">
        <f t="shared" si="142"/>
        <v>7.52</v>
      </c>
      <c r="F4555">
        <f t="shared" si="143"/>
        <v>96748</v>
      </c>
      <c r="H4555" s="680">
        <v>7.52</v>
      </c>
      <c r="I4555" s="680">
        <v>8.11</v>
      </c>
    </row>
    <row r="4556" spans="2:9" ht="30">
      <c r="B4556" s="396">
        <v>96749</v>
      </c>
      <c r="C4556" s="401" t="s">
        <v>2214</v>
      </c>
      <c r="D4556" s="396" t="s">
        <v>23</v>
      </c>
      <c r="E4556" s="405">
        <f t="shared" si="142"/>
        <v>10.210000000000001</v>
      </c>
      <c r="F4556">
        <f t="shared" si="143"/>
        <v>96749</v>
      </c>
      <c r="H4556" s="679">
        <v>10.210000000000001</v>
      </c>
      <c r="I4556" s="679">
        <v>10.97</v>
      </c>
    </row>
    <row r="4557" spans="2:9" ht="30">
      <c r="B4557" s="395">
        <v>96750</v>
      </c>
      <c r="C4557" s="406" t="s">
        <v>2215</v>
      </c>
      <c r="D4557" s="395" t="s">
        <v>23</v>
      </c>
      <c r="E4557" s="407">
        <f t="shared" si="142"/>
        <v>14.84</v>
      </c>
      <c r="F4557">
        <f t="shared" si="143"/>
        <v>96750</v>
      </c>
      <c r="H4557" s="680">
        <v>14.84</v>
      </c>
      <c r="I4557" s="680">
        <v>15.6</v>
      </c>
    </row>
    <row r="4558" spans="2:9" ht="30">
      <c r="B4558" s="396">
        <v>96751</v>
      </c>
      <c r="C4558" s="401" t="s">
        <v>2216</v>
      </c>
      <c r="D4558" s="396" t="s">
        <v>23</v>
      </c>
      <c r="E4558" s="405">
        <f t="shared" si="142"/>
        <v>23.73</v>
      </c>
      <c r="F4558">
        <f t="shared" si="143"/>
        <v>96751</v>
      </c>
      <c r="H4558" s="679">
        <v>23.73</v>
      </c>
      <c r="I4558" s="679">
        <v>24.89</v>
      </c>
    </row>
    <row r="4559" spans="2:9" ht="30">
      <c r="B4559" s="395">
        <v>96752</v>
      </c>
      <c r="C4559" s="406" t="s">
        <v>2217</v>
      </c>
      <c r="D4559" s="395" t="s">
        <v>23</v>
      </c>
      <c r="E4559" s="407">
        <f t="shared" si="142"/>
        <v>32.32</v>
      </c>
      <c r="F4559">
        <f t="shared" si="143"/>
        <v>96752</v>
      </c>
      <c r="H4559" s="680">
        <v>32.32</v>
      </c>
      <c r="I4559" s="680">
        <v>33.479999999999997</v>
      </c>
    </row>
    <row r="4560" spans="2:9" ht="30">
      <c r="B4560" s="396">
        <v>96753</v>
      </c>
      <c r="C4560" s="401" t="s">
        <v>2218</v>
      </c>
      <c r="D4560" s="396" t="s">
        <v>23</v>
      </c>
      <c r="E4560" s="405">
        <f t="shared" si="142"/>
        <v>81.41</v>
      </c>
      <c r="F4560">
        <f t="shared" si="143"/>
        <v>96753</v>
      </c>
      <c r="H4560" s="679">
        <v>81.41</v>
      </c>
      <c r="I4560" s="679">
        <v>83.32</v>
      </c>
    </row>
    <row r="4561" spans="2:9" ht="30">
      <c r="B4561" s="395">
        <v>96754</v>
      </c>
      <c r="C4561" s="406" t="s">
        <v>2219</v>
      </c>
      <c r="D4561" s="395" t="s">
        <v>23</v>
      </c>
      <c r="E4561" s="407">
        <f t="shared" si="142"/>
        <v>99.01</v>
      </c>
      <c r="F4561">
        <f t="shared" si="143"/>
        <v>96754</v>
      </c>
      <c r="H4561" s="680">
        <v>99.01</v>
      </c>
      <c r="I4561" s="680">
        <v>100.92</v>
      </c>
    </row>
    <row r="4562" spans="2:9" ht="30">
      <c r="B4562" s="396">
        <v>96755</v>
      </c>
      <c r="C4562" s="401" t="s">
        <v>2220</v>
      </c>
      <c r="D4562" s="396" t="s">
        <v>23</v>
      </c>
      <c r="E4562" s="405">
        <f t="shared" si="142"/>
        <v>315.55</v>
      </c>
      <c r="F4562">
        <f t="shared" si="143"/>
        <v>96755</v>
      </c>
      <c r="H4562" s="679">
        <v>315.55</v>
      </c>
      <c r="I4562" s="679">
        <v>318.54000000000002</v>
      </c>
    </row>
    <row r="4563" spans="2:9" ht="30">
      <c r="B4563" s="395">
        <v>96756</v>
      </c>
      <c r="C4563" s="406" t="s">
        <v>2221</v>
      </c>
      <c r="D4563" s="395" t="s">
        <v>23</v>
      </c>
      <c r="E4563" s="407">
        <f t="shared" si="142"/>
        <v>18.399999999999999</v>
      </c>
      <c r="F4563">
        <f t="shared" si="143"/>
        <v>96756</v>
      </c>
      <c r="H4563" s="680">
        <v>18.399999999999999</v>
      </c>
      <c r="I4563" s="680">
        <v>19.190000000000001</v>
      </c>
    </row>
    <row r="4564" spans="2:9" ht="30">
      <c r="B4564" s="396">
        <v>96757</v>
      </c>
      <c r="C4564" s="401" t="s">
        <v>2222</v>
      </c>
      <c r="D4564" s="396" t="s">
        <v>23</v>
      </c>
      <c r="E4564" s="405">
        <f t="shared" si="142"/>
        <v>22.33</v>
      </c>
      <c r="F4564">
        <f t="shared" si="143"/>
        <v>96757</v>
      </c>
      <c r="H4564" s="679">
        <v>22.33</v>
      </c>
      <c r="I4564" s="679">
        <v>23.12</v>
      </c>
    </row>
    <row r="4565" spans="2:9" ht="30">
      <c r="B4565" s="395">
        <v>96758</v>
      </c>
      <c r="C4565" s="406" t="s">
        <v>2223</v>
      </c>
      <c r="D4565" s="395" t="s">
        <v>23</v>
      </c>
      <c r="E4565" s="407">
        <f t="shared" si="142"/>
        <v>16.100000000000001</v>
      </c>
      <c r="F4565">
        <f t="shared" si="143"/>
        <v>96758</v>
      </c>
      <c r="H4565" s="680">
        <v>16.100000000000001</v>
      </c>
      <c r="I4565" s="680">
        <v>17.11</v>
      </c>
    </row>
    <row r="4566" spans="2:9" ht="30">
      <c r="B4566" s="396">
        <v>96759</v>
      </c>
      <c r="C4566" s="401" t="s">
        <v>2224</v>
      </c>
      <c r="D4566" s="396" t="s">
        <v>23</v>
      </c>
      <c r="E4566" s="405">
        <f t="shared" si="142"/>
        <v>22.19</v>
      </c>
      <c r="F4566">
        <f t="shared" si="143"/>
        <v>96759</v>
      </c>
      <c r="H4566" s="679">
        <v>22.19</v>
      </c>
      <c r="I4566" s="679">
        <v>23.2</v>
      </c>
    </row>
    <row r="4567" spans="2:9" ht="30">
      <c r="B4567" s="395">
        <v>96760</v>
      </c>
      <c r="C4567" s="406" t="s">
        <v>2225</v>
      </c>
      <c r="D4567" s="395" t="s">
        <v>23</v>
      </c>
      <c r="E4567" s="407">
        <f t="shared" si="142"/>
        <v>39.229999999999997</v>
      </c>
      <c r="F4567">
        <f t="shared" si="143"/>
        <v>96760</v>
      </c>
      <c r="H4567" s="680">
        <v>39.229999999999997</v>
      </c>
      <c r="I4567" s="680">
        <v>40.78</v>
      </c>
    </row>
    <row r="4568" spans="2:9" ht="30">
      <c r="B4568" s="396">
        <v>96761</v>
      </c>
      <c r="C4568" s="401" t="s">
        <v>2226</v>
      </c>
      <c r="D4568" s="396" t="s">
        <v>23</v>
      </c>
      <c r="E4568" s="405">
        <f t="shared" si="142"/>
        <v>54.11</v>
      </c>
      <c r="F4568">
        <f t="shared" si="143"/>
        <v>96761</v>
      </c>
      <c r="H4568" s="679">
        <v>54.11</v>
      </c>
      <c r="I4568" s="679">
        <v>55.66</v>
      </c>
    </row>
    <row r="4569" spans="2:9" ht="30">
      <c r="B4569" s="395">
        <v>96762</v>
      </c>
      <c r="C4569" s="406" t="s">
        <v>2227</v>
      </c>
      <c r="D4569" s="395" t="s">
        <v>23</v>
      </c>
      <c r="E4569" s="407">
        <f t="shared" si="142"/>
        <v>109.54</v>
      </c>
      <c r="F4569">
        <f t="shared" si="143"/>
        <v>96762</v>
      </c>
      <c r="H4569" s="680">
        <v>109.54</v>
      </c>
      <c r="I4569" s="680">
        <v>112.08</v>
      </c>
    </row>
    <row r="4570" spans="2:9" ht="30">
      <c r="B4570" s="396">
        <v>96763</v>
      </c>
      <c r="C4570" s="401" t="s">
        <v>2228</v>
      </c>
      <c r="D4570" s="396" t="s">
        <v>23</v>
      </c>
      <c r="E4570" s="405">
        <f t="shared" si="142"/>
        <v>139.53</v>
      </c>
      <c r="F4570">
        <f t="shared" si="143"/>
        <v>96763</v>
      </c>
      <c r="H4570" s="679">
        <v>139.53</v>
      </c>
      <c r="I4570" s="679">
        <v>142.07</v>
      </c>
    </row>
    <row r="4571" spans="2:9" ht="30">
      <c r="B4571" s="395">
        <v>96764</v>
      </c>
      <c r="C4571" s="406" t="s">
        <v>2229</v>
      </c>
      <c r="D4571" s="395" t="s">
        <v>23</v>
      </c>
      <c r="E4571" s="407">
        <f t="shared" si="142"/>
        <v>284.83</v>
      </c>
      <c r="F4571">
        <f t="shared" si="143"/>
        <v>96764</v>
      </c>
      <c r="H4571" s="680">
        <v>284.83</v>
      </c>
      <c r="I4571" s="680">
        <v>288.82</v>
      </c>
    </row>
    <row r="4572" spans="2:9" ht="30">
      <c r="B4572" s="396">
        <v>96802</v>
      </c>
      <c r="C4572" s="401" t="s">
        <v>13762</v>
      </c>
      <c r="D4572" s="396" t="s">
        <v>23</v>
      </c>
      <c r="E4572" s="405">
        <f t="shared" si="142"/>
        <v>231.8</v>
      </c>
      <c r="F4572">
        <f t="shared" si="143"/>
        <v>96802</v>
      </c>
      <c r="H4572" s="679">
        <v>231.8</v>
      </c>
      <c r="I4572" s="679">
        <v>233.11</v>
      </c>
    </row>
    <row r="4573" spans="2:9" ht="30">
      <c r="B4573" s="395">
        <v>96803</v>
      </c>
      <c r="C4573" s="406" t="s">
        <v>13763</v>
      </c>
      <c r="D4573" s="395" t="s">
        <v>23</v>
      </c>
      <c r="E4573" s="407">
        <f t="shared" si="142"/>
        <v>119.03</v>
      </c>
      <c r="F4573">
        <f t="shared" si="143"/>
        <v>96803</v>
      </c>
      <c r="H4573" s="680">
        <v>119.03</v>
      </c>
      <c r="I4573" s="680">
        <v>120.09</v>
      </c>
    </row>
    <row r="4574" spans="2:9" ht="30">
      <c r="B4574" s="396">
        <v>96804</v>
      </c>
      <c r="C4574" s="401" t="s">
        <v>13764</v>
      </c>
      <c r="D4574" s="396" t="s">
        <v>23</v>
      </c>
      <c r="E4574" s="405">
        <f t="shared" si="142"/>
        <v>213.02</v>
      </c>
      <c r="F4574">
        <f t="shared" si="143"/>
        <v>96804</v>
      </c>
      <c r="H4574" s="679">
        <v>213.02</v>
      </c>
      <c r="I4574" s="679">
        <v>216.01</v>
      </c>
    </row>
    <row r="4575" spans="2:9" ht="30">
      <c r="B4575" s="395">
        <v>96805</v>
      </c>
      <c r="C4575" s="406" t="s">
        <v>13765</v>
      </c>
      <c r="D4575" s="395" t="s">
        <v>23</v>
      </c>
      <c r="E4575" s="407">
        <f t="shared" si="142"/>
        <v>239.33</v>
      </c>
      <c r="F4575">
        <f t="shared" si="143"/>
        <v>96805</v>
      </c>
      <c r="H4575" s="680">
        <v>239.33</v>
      </c>
      <c r="I4575" s="680">
        <v>241.44</v>
      </c>
    </row>
    <row r="4576" spans="2:9" ht="30">
      <c r="B4576" s="396">
        <v>96806</v>
      </c>
      <c r="C4576" s="401" t="s">
        <v>13766</v>
      </c>
      <c r="D4576" s="396" t="s">
        <v>23</v>
      </c>
      <c r="E4576" s="405">
        <f t="shared" si="142"/>
        <v>116.14</v>
      </c>
      <c r="F4576">
        <f t="shared" si="143"/>
        <v>96806</v>
      </c>
      <c r="H4576" s="679">
        <v>116.14</v>
      </c>
      <c r="I4576" s="679">
        <v>117.99</v>
      </c>
    </row>
    <row r="4577" spans="2:9" ht="30">
      <c r="B4577" s="395">
        <v>96807</v>
      </c>
      <c r="C4577" s="406" t="s">
        <v>13767</v>
      </c>
      <c r="D4577" s="395" t="s">
        <v>23</v>
      </c>
      <c r="E4577" s="407">
        <f t="shared" si="142"/>
        <v>193.64</v>
      </c>
      <c r="F4577">
        <f t="shared" si="143"/>
        <v>96807</v>
      </c>
      <c r="H4577" s="680">
        <v>193.64</v>
      </c>
      <c r="I4577" s="680">
        <v>197.42</v>
      </c>
    </row>
    <row r="4578" spans="2:9" ht="30">
      <c r="B4578" s="396">
        <v>96808</v>
      </c>
      <c r="C4578" s="401" t="s">
        <v>13768</v>
      </c>
      <c r="D4578" s="396" t="s">
        <v>23</v>
      </c>
      <c r="E4578" s="405">
        <f t="shared" si="142"/>
        <v>10.93</v>
      </c>
      <c r="F4578">
        <f t="shared" si="143"/>
        <v>96808</v>
      </c>
      <c r="H4578" s="679">
        <v>10.93</v>
      </c>
      <c r="I4578" s="679">
        <v>11.42</v>
      </c>
    </row>
    <row r="4579" spans="2:9" ht="30">
      <c r="B4579" s="395">
        <v>96809</v>
      </c>
      <c r="C4579" s="406" t="s">
        <v>13769</v>
      </c>
      <c r="D4579" s="395" t="s">
        <v>23</v>
      </c>
      <c r="E4579" s="407">
        <f t="shared" si="142"/>
        <v>12.47</v>
      </c>
      <c r="F4579">
        <f t="shared" si="143"/>
        <v>96809</v>
      </c>
      <c r="H4579" s="680">
        <v>12.47</v>
      </c>
      <c r="I4579" s="680">
        <v>12.96</v>
      </c>
    </row>
    <row r="4580" spans="2:9" ht="30">
      <c r="B4580" s="396">
        <v>96810</v>
      </c>
      <c r="C4580" s="401" t="s">
        <v>13770</v>
      </c>
      <c r="D4580" s="396" t="s">
        <v>23</v>
      </c>
      <c r="E4580" s="405">
        <f t="shared" si="142"/>
        <v>12.94</v>
      </c>
      <c r="F4580">
        <f t="shared" si="143"/>
        <v>96810</v>
      </c>
      <c r="H4580" s="679">
        <v>12.94</v>
      </c>
      <c r="I4580" s="679">
        <v>13.43</v>
      </c>
    </row>
    <row r="4581" spans="2:9" ht="30">
      <c r="B4581" s="395">
        <v>96811</v>
      </c>
      <c r="C4581" s="406" t="s">
        <v>13771</v>
      </c>
      <c r="D4581" s="395" t="s">
        <v>23</v>
      </c>
      <c r="E4581" s="407">
        <f t="shared" si="142"/>
        <v>14.11</v>
      </c>
      <c r="F4581">
        <f t="shared" si="143"/>
        <v>96811</v>
      </c>
      <c r="H4581" s="680">
        <v>14.11</v>
      </c>
      <c r="I4581" s="680">
        <v>14.69</v>
      </c>
    </row>
    <row r="4582" spans="2:9" ht="30">
      <c r="B4582" s="396">
        <v>96812</v>
      </c>
      <c r="C4582" s="401" t="s">
        <v>13772</v>
      </c>
      <c r="D4582" s="396" t="s">
        <v>23</v>
      </c>
      <c r="E4582" s="405">
        <f t="shared" si="142"/>
        <v>13.36</v>
      </c>
      <c r="F4582">
        <f t="shared" si="143"/>
        <v>96812</v>
      </c>
      <c r="H4582" s="679">
        <v>13.36</v>
      </c>
      <c r="I4582" s="679">
        <v>13.94</v>
      </c>
    </row>
    <row r="4583" spans="2:9" ht="30">
      <c r="B4583" s="395">
        <v>96813</v>
      </c>
      <c r="C4583" s="406" t="s">
        <v>13773</v>
      </c>
      <c r="D4583" s="395" t="s">
        <v>23</v>
      </c>
      <c r="E4583" s="407">
        <f t="shared" si="142"/>
        <v>14.82</v>
      </c>
      <c r="F4583">
        <f t="shared" si="143"/>
        <v>96813</v>
      </c>
      <c r="H4583" s="680">
        <v>14.82</v>
      </c>
      <c r="I4583" s="680">
        <v>15.4</v>
      </c>
    </row>
    <row r="4584" spans="2:9" ht="30">
      <c r="B4584" s="396">
        <v>96814</v>
      </c>
      <c r="C4584" s="401" t="s">
        <v>13774</v>
      </c>
      <c r="D4584" s="396" t="s">
        <v>23</v>
      </c>
      <c r="E4584" s="405">
        <f t="shared" si="142"/>
        <v>12.34</v>
      </c>
      <c r="F4584">
        <f t="shared" si="143"/>
        <v>96814</v>
      </c>
      <c r="H4584" s="679">
        <v>12.34</v>
      </c>
      <c r="I4584" s="679">
        <v>12.92</v>
      </c>
    </row>
    <row r="4585" spans="2:9" ht="30">
      <c r="B4585" s="395">
        <v>96815</v>
      </c>
      <c r="C4585" s="406" t="s">
        <v>13775</v>
      </c>
      <c r="D4585" s="395" t="s">
        <v>23</v>
      </c>
      <c r="E4585" s="407">
        <f t="shared" si="142"/>
        <v>23.57</v>
      </c>
      <c r="F4585">
        <f t="shared" si="143"/>
        <v>96815</v>
      </c>
      <c r="H4585" s="680">
        <v>23.57</v>
      </c>
      <c r="I4585" s="680">
        <v>24.26</v>
      </c>
    </row>
    <row r="4586" spans="2:9" ht="30">
      <c r="B4586" s="396">
        <v>96816</v>
      </c>
      <c r="C4586" s="401" t="s">
        <v>13776</v>
      </c>
      <c r="D4586" s="396" t="s">
        <v>23</v>
      </c>
      <c r="E4586" s="405">
        <f t="shared" si="142"/>
        <v>17.62</v>
      </c>
      <c r="F4586">
        <f t="shared" si="143"/>
        <v>96816</v>
      </c>
      <c r="H4586" s="679">
        <v>17.62</v>
      </c>
      <c r="I4586" s="679">
        <v>18.309999999999999</v>
      </c>
    </row>
    <row r="4587" spans="2:9" ht="30">
      <c r="B4587" s="395">
        <v>96817</v>
      </c>
      <c r="C4587" s="406" t="s">
        <v>13777</v>
      </c>
      <c r="D4587" s="395" t="s">
        <v>23</v>
      </c>
      <c r="E4587" s="407">
        <f t="shared" si="142"/>
        <v>23.8</v>
      </c>
      <c r="F4587">
        <f t="shared" si="143"/>
        <v>96817</v>
      </c>
      <c r="H4587" s="680">
        <v>23.8</v>
      </c>
      <c r="I4587" s="680">
        <v>24.49</v>
      </c>
    </row>
    <row r="4588" spans="2:9">
      <c r="B4588" s="396">
        <v>96818</v>
      </c>
      <c r="C4588" s="401" t="s">
        <v>13778</v>
      </c>
      <c r="D4588" s="396" t="s">
        <v>23</v>
      </c>
      <c r="E4588" s="405">
        <f t="shared" si="142"/>
        <v>17.45</v>
      </c>
      <c r="F4588">
        <f t="shared" si="143"/>
        <v>96818</v>
      </c>
      <c r="H4588" s="679">
        <v>17.45</v>
      </c>
      <c r="I4588" s="679">
        <v>18.14</v>
      </c>
    </row>
    <row r="4589" spans="2:9">
      <c r="B4589" s="395">
        <v>96819</v>
      </c>
      <c r="C4589" s="406" t="s">
        <v>13779</v>
      </c>
      <c r="D4589" s="395" t="s">
        <v>23</v>
      </c>
      <c r="E4589" s="407">
        <f t="shared" si="142"/>
        <v>18.25</v>
      </c>
      <c r="F4589">
        <f t="shared" si="143"/>
        <v>96819</v>
      </c>
      <c r="H4589" s="680">
        <v>18.25</v>
      </c>
      <c r="I4589" s="680">
        <v>18.940000000000001</v>
      </c>
    </row>
    <row r="4590" spans="2:9" ht="30">
      <c r="B4590" s="396">
        <v>96820</v>
      </c>
      <c r="C4590" s="401" t="s">
        <v>13780</v>
      </c>
      <c r="D4590" s="396" t="s">
        <v>23</v>
      </c>
      <c r="E4590" s="405">
        <f t="shared" si="142"/>
        <v>28.18</v>
      </c>
      <c r="F4590">
        <f t="shared" si="143"/>
        <v>96820</v>
      </c>
      <c r="H4590" s="679">
        <v>28.18</v>
      </c>
      <c r="I4590" s="679">
        <v>29.03</v>
      </c>
    </row>
    <row r="4591" spans="2:9" ht="30">
      <c r="B4591" s="395">
        <v>96821</v>
      </c>
      <c r="C4591" s="406" t="s">
        <v>13781</v>
      </c>
      <c r="D4591" s="395" t="s">
        <v>23</v>
      </c>
      <c r="E4591" s="407">
        <f t="shared" si="142"/>
        <v>27.48</v>
      </c>
      <c r="F4591">
        <f t="shared" si="143"/>
        <v>96821</v>
      </c>
      <c r="H4591" s="680">
        <v>27.48</v>
      </c>
      <c r="I4591" s="680">
        <v>28.33</v>
      </c>
    </row>
    <row r="4592" spans="2:9">
      <c r="B4592" s="396">
        <v>96822</v>
      </c>
      <c r="C4592" s="401" t="s">
        <v>13782</v>
      </c>
      <c r="D4592" s="396" t="s">
        <v>23</v>
      </c>
      <c r="E4592" s="405">
        <f t="shared" si="142"/>
        <v>24.23</v>
      </c>
      <c r="F4592">
        <f t="shared" si="143"/>
        <v>96822</v>
      </c>
      <c r="H4592" s="679">
        <v>24.23</v>
      </c>
      <c r="I4592" s="679">
        <v>25.08</v>
      </c>
    </row>
    <row r="4593" spans="2:9">
      <c r="B4593" s="395">
        <v>96823</v>
      </c>
      <c r="C4593" s="406" t="s">
        <v>13783</v>
      </c>
      <c r="D4593" s="395" t="s">
        <v>23</v>
      </c>
      <c r="E4593" s="407">
        <f t="shared" si="142"/>
        <v>8.81</v>
      </c>
      <c r="F4593">
        <f t="shared" si="143"/>
        <v>96823</v>
      </c>
      <c r="H4593" s="680">
        <v>8.81</v>
      </c>
      <c r="I4593" s="680">
        <v>9.19</v>
      </c>
    </row>
    <row r="4594" spans="2:9" ht="30">
      <c r="B4594" s="396">
        <v>96824</v>
      </c>
      <c r="C4594" s="401" t="s">
        <v>13784</v>
      </c>
      <c r="D4594" s="396" t="s">
        <v>23</v>
      </c>
      <c r="E4594" s="405">
        <f t="shared" si="142"/>
        <v>11.35</v>
      </c>
      <c r="F4594">
        <f t="shared" si="143"/>
        <v>96824</v>
      </c>
      <c r="H4594" s="679">
        <v>11.35</v>
      </c>
      <c r="I4594" s="679">
        <v>11.73</v>
      </c>
    </row>
    <row r="4595" spans="2:9">
      <c r="B4595" s="395">
        <v>96826</v>
      </c>
      <c r="C4595" s="406" t="s">
        <v>13785</v>
      </c>
      <c r="D4595" s="395" t="s">
        <v>23</v>
      </c>
      <c r="E4595" s="407">
        <f t="shared" si="142"/>
        <v>10.210000000000001</v>
      </c>
      <c r="F4595">
        <f t="shared" si="143"/>
        <v>96826</v>
      </c>
      <c r="H4595" s="680">
        <v>10.210000000000001</v>
      </c>
      <c r="I4595" s="680">
        <v>10.65</v>
      </c>
    </row>
    <row r="4596" spans="2:9" ht="30">
      <c r="B4596" s="396">
        <v>96827</v>
      </c>
      <c r="C4596" s="401" t="s">
        <v>13786</v>
      </c>
      <c r="D4596" s="396" t="s">
        <v>23</v>
      </c>
      <c r="E4596" s="405">
        <f t="shared" si="142"/>
        <v>12.95</v>
      </c>
      <c r="F4596">
        <f t="shared" si="143"/>
        <v>96827</v>
      </c>
      <c r="H4596" s="679">
        <v>12.95</v>
      </c>
      <c r="I4596" s="679">
        <v>13.39</v>
      </c>
    </row>
    <row r="4597" spans="2:9" ht="30">
      <c r="B4597" s="395">
        <v>96828</v>
      </c>
      <c r="C4597" s="406" t="s">
        <v>13787</v>
      </c>
      <c r="D4597" s="395" t="s">
        <v>23</v>
      </c>
      <c r="E4597" s="407">
        <f t="shared" si="142"/>
        <v>15.92</v>
      </c>
      <c r="F4597">
        <f t="shared" si="143"/>
        <v>96828</v>
      </c>
      <c r="H4597" s="680">
        <v>15.92</v>
      </c>
      <c r="I4597" s="680">
        <v>16.36</v>
      </c>
    </row>
    <row r="4598" spans="2:9" ht="30">
      <c r="B4598" s="396">
        <v>96829</v>
      </c>
      <c r="C4598" s="401" t="s">
        <v>13788</v>
      </c>
      <c r="D4598" s="396" t="s">
        <v>23</v>
      </c>
      <c r="E4598" s="405">
        <f t="shared" si="142"/>
        <v>17.850000000000001</v>
      </c>
      <c r="F4598">
        <f t="shared" si="143"/>
        <v>96829</v>
      </c>
      <c r="H4598" s="679">
        <v>17.850000000000001</v>
      </c>
      <c r="I4598" s="679">
        <v>18.29</v>
      </c>
    </row>
    <row r="4599" spans="2:9">
      <c r="B4599" s="395">
        <v>96830</v>
      </c>
      <c r="C4599" s="406" t="s">
        <v>13789</v>
      </c>
      <c r="D4599" s="395" t="s">
        <v>23</v>
      </c>
      <c r="E4599" s="407">
        <f t="shared" si="142"/>
        <v>25.88</v>
      </c>
      <c r="F4599">
        <f t="shared" si="143"/>
        <v>96830</v>
      </c>
      <c r="H4599" s="680">
        <v>25.88</v>
      </c>
      <c r="I4599" s="680">
        <v>26.41</v>
      </c>
    </row>
    <row r="4600" spans="2:9" ht="30">
      <c r="B4600" s="396">
        <v>96832</v>
      </c>
      <c r="C4600" s="401" t="s">
        <v>13790</v>
      </c>
      <c r="D4600" s="396" t="s">
        <v>23</v>
      </c>
      <c r="E4600" s="405">
        <f t="shared" si="142"/>
        <v>21.46</v>
      </c>
      <c r="F4600">
        <f t="shared" si="143"/>
        <v>96832</v>
      </c>
      <c r="H4600" s="679">
        <v>21.46</v>
      </c>
      <c r="I4600" s="679">
        <v>21.99</v>
      </c>
    </row>
    <row r="4601" spans="2:9" ht="30">
      <c r="B4601" s="395">
        <v>96833</v>
      </c>
      <c r="C4601" s="406" t="s">
        <v>13791</v>
      </c>
      <c r="D4601" s="395" t="s">
        <v>23</v>
      </c>
      <c r="E4601" s="407">
        <f t="shared" si="142"/>
        <v>22.87</v>
      </c>
      <c r="F4601">
        <f t="shared" si="143"/>
        <v>96833</v>
      </c>
      <c r="H4601" s="680">
        <v>22.87</v>
      </c>
      <c r="I4601" s="680">
        <v>23.4</v>
      </c>
    </row>
    <row r="4602" spans="2:9">
      <c r="B4602" s="396">
        <v>96834</v>
      </c>
      <c r="C4602" s="401" t="s">
        <v>13792</v>
      </c>
      <c r="D4602" s="396" t="s">
        <v>23</v>
      </c>
      <c r="E4602" s="405">
        <f t="shared" si="142"/>
        <v>37.68</v>
      </c>
      <c r="F4602">
        <f t="shared" si="143"/>
        <v>96834</v>
      </c>
      <c r="H4602" s="679">
        <v>37.68</v>
      </c>
      <c r="I4602" s="679">
        <v>38.33</v>
      </c>
    </row>
    <row r="4603" spans="2:9" ht="30">
      <c r="B4603" s="395">
        <v>96836</v>
      </c>
      <c r="C4603" s="406" t="s">
        <v>13793</v>
      </c>
      <c r="D4603" s="395" t="s">
        <v>23</v>
      </c>
      <c r="E4603" s="407">
        <f t="shared" si="142"/>
        <v>34.72</v>
      </c>
      <c r="F4603">
        <f t="shared" si="143"/>
        <v>96836</v>
      </c>
      <c r="H4603" s="680">
        <v>34.72</v>
      </c>
      <c r="I4603" s="680">
        <v>35.369999999999997</v>
      </c>
    </row>
    <row r="4604" spans="2:9" ht="30">
      <c r="B4604" s="396">
        <v>96837</v>
      </c>
      <c r="C4604" s="401" t="s">
        <v>13794</v>
      </c>
      <c r="D4604" s="396" t="s">
        <v>23</v>
      </c>
      <c r="E4604" s="405">
        <f t="shared" si="142"/>
        <v>15.47</v>
      </c>
      <c r="F4604">
        <f t="shared" si="143"/>
        <v>96837</v>
      </c>
      <c r="H4604" s="679">
        <v>15.47</v>
      </c>
      <c r="I4604" s="679">
        <v>16.190000000000001</v>
      </c>
    </row>
    <row r="4605" spans="2:9" ht="30">
      <c r="B4605" s="395">
        <v>96838</v>
      </c>
      <c r="C4605" s="406" t="s">
        <v>13795</v>
      </c>
      <c r="D4605" s="395" t="s">
        <v>23</v>
      </c>
      <c r="E4605" s="407">
        <f t="shared" si="142"/>
        <v>16.12</v>
      </c>
      <c r="F4605">
        <f t="shared" si="143"/>
        <v>96838</v>
      </c>
      <c r="H4605" s="680">
        <v>16.12</v>
      </c>
      <c r="I4605" s="680">
        <v>16.84</v>
      </c>
    </row>
    <row r="4606" spans="2:9" ht="30">
      <c r="B4606" s="396">
        <v>96839</v>
      </c>
      <c r="C4606" s="401" t="s">
        <v>13796</v>
      </c>
      <c r="D4606" s="396" t="s">
        <v>23</v>
      </c>
      <c r="E4606" s="405">
        <f t="shared" si="142"/>
        <v>16.86</v>
      </c>
      <c r="F4606">
        <f t="shared" si="143"/>
        <v>96839</v>
      </c>
      <c r="H4606" s="679">
        <v>16.86</v>
      </c>
      <c r="I4606" s="679">
        <v>17.579999999999998</v>
      </c>
    </row>
    <row r="4607" spans="2:9" ht="30">
      <c r="B4607" s="395">
        <v>96840</v>
      </c>
      <c r="C4607" s="406" t="s">
        <v>13797</v>
      </c>
      <c r="D4607" s="395" t="s">
        <v>23</v>
      </c>
      <c r="E4607" s="407">
        <f t="shared" si="142"/>
        <v>18.739999999999998</v>
      </c>
      <c r="F4607">
        <f t="shared" si="143"/>
        <v>96840</v>
      </c>
      <c r="H4607" s="680">
        <v>18.739999999999998</v>
      </c>
      <c r="I4607" s="680">
        <v>19.600000000000001</v>
      </c>
    </row>
    <row r="4608" spans="2:9" ht="30">
      <c r="B4608" s="396">
        <v>96841</v>
      </c>
      <c r="C4608" s="401" t="s">
        <v>13798</v>
      </c>
      <c r="D4608" s="396" t="s">
        <v>23</v>
      </c>
      <c r="E4608" s="405">
        <f t="shared" si="142"/>
        <v>18.87</v>
      </c>
      <c r="F4608">
        <f t="shared" si="143"/>
        <v>96841</v>
      </c>
      <c r="H4608" s="679">
        <v>18.87</v>
      </c>
      <c r="I4608" s="679">
        <v>19.73</v>
      </c>
    </row>
    <row r="4609" spans="2:9" ht="30">
      <c r="B4609" s="395">
        <v>96842</v>
      </c>
      <c r="C4609" s="406" t="s">
        <v>13799</v>
      </c>
      <c r="D4609" s="395" t="s">
        <v>23</v>
      </c>
      <c r="E4609" s="407">
        <f t="shared" si="142"/>
        <v>21.01</v>
      </c>
      <c r="F4609">
        <f t="shared" si="143"/>
        <v>96842</v>
      </c>
      <c r="H4609" s="680">
        <v>21.01</v>
      </c>
      <c r="I4609" s="680">
        <v>21.87</v>
      </c>
    </row>
    <row r="4610" spans="2:9" ht="30">
      <c r="B4610" s="396">
        <v>96843</v>
      </c>
      <c r="C4610" s="401" t="s">
        <v>13800</v>
      </c>
      <c r="D4610" s="396" t="s">
        <v>23</v>
      </c>
      <c r="E4610" s="405">
        <f t="shared" si="142"/>
        <v>19.88</v>
      </c>
      <c r="F4610">
        <f t="shared" si="143"/>
        <v>96843</v>
      </c>
      <c r="H4610" s="679">
        <v>19.88</v>
      </c>
      <c r="I4610" s="679">
        <v>20.74</v>
      </c>
    </row>
    <row r="4611" spans="2:9" ht="30">
      <c r="B4611" s="395">
        <v>96844</v>
      </c>
      <c r="C4611" s="406" t="s">
        <v>13801</v>
      </c>
      <c r="D4611" s="395" t="s">
        <v>23</v>
      </c>
      <c r="E4611" s="407">
        <f t="shared" ref="E4611:E4674" si="144">IF($K$2=$H$1,H4611,I4611)</f>
        <v>22.32</v>
      </c>
      <c r="F4611">
        <f t="shared" ref="F4611:F4674" si="145">IF(LEN($B4611)=7,CONCATENATE(MID($B4611,1,6),"00",RIGHT($B4611,1)),IF(LEN($B4611)=8,CONCATENATE(MID($B4611,1,6),"0",RIGHT($B4611,2)),$B4611))</f>
        <v>96844</v>
      </c>
      <c r="H4611" s="680">
        <v>22.32</v>
      </c>
      <c r="I4611" s="680">
        <v>23.18</v>
      </c>
    </row>
    <row r="4612" spans="2:9" ht="30">
      <c r="B4612" s="396">
        <v>96845</v>
      </c>
      <c r="C4612" s="401" t="s">
        <v>13802</v>
      </c>
      <c r="D4612" s="396" t="s">
        <v>23</v>
      </c>
      <c r="E4612" s="405">
        <f t="shared" si="144"/>
        <v>30.72</v>
      </c>
      <c r="F4612">
        <f t="shared" si="145"/>
        <v>96845</v>
      </c>
      <c r="H4612" s="679">
        <v>30.72</v>
      </c>
      <c r="I4612" s="679">
        <v>31.75</v>
      </c>
    </row>
    <row r="4613" spans="2:9" ht="30">
      <c r="B4613" s="395">
        <v>96846</v>
      </c>
      <c r="C4613" s="406" t="s">
        <v>13803</v>
      </c>
      <c r="D4613" s="395" t="s">
        <v>23</v>
      </c>
      <c r="E4613" s="407">
        <f t="shared" si="144"/>
        <v>26.02</v>
      </c>
      <c r="F4613">
        <f t="shared" si="145"/>
        <v>96846</v>
      </c>
      <c r="H4613" s="680">
        <v>26.02</v>
      </c>
      <c r="I4613" s="680">
        <v>27.05</v>
      </c>
    </row>
    <row r="4614" spans="2:9" ht="30">
      <c r="B4614" s="396">
        <v>96847</v>
      </c>
      <c r="C4614" s="401" t="s">
        <v>13804</v>
      </c>
      <c r="D4614" s="396" t="s">
        <v>23</v>
      </c>
      <c r="E4614" s="405">
        <f t="shared" si="144"/>
        <v>25.58</v>
      </c>
      <c r="F4614">
        <f t="shared" si="145"/>
        <v>96847</v>
      </c>
      <c r="H4614" s="679">
        <v>25.58</v>
      </c>
      <c r="I4614" s="679">
        <v>26.61</v>
      </c>
    </row>
    <row r="4615" spans="2:9" ht="30">
      <c r="B4615" s="395">
        <v>96848</v>
      </c>
      <c r="C4615" s="406" t="s">
        <v>13805</v>
      </c>
      <c r="D4615" s="395" t="s">
        <v>23</v>
      </c>
      <c r="E4615" s="407">
        <f t="shared" si="144"/>
        <v>41.14</v>
      </c>
      <c r="F4615">
        <f t="shared" si="145"/>
        <v>96848</v>
      </c>
      <c r="H4615" s="680">
        <v>41.14</v>
      </c>
      <c r="I4615" s="680">
        <v>42.41</v>
      </c>
    </row>
    <row r="4616" spans="2:9">
      <c r="B4616" s="396">
        <v>96849</v>
      </c>
      <c r="C4616" s="401" t="s">
        <v>13806</v>
      </c>
      <c r="D4616" s="396" t="s">
        <v>23</v>
      </c>
      <c r="E4616" s="405">
        <f t="shared" si="144"/>
        <v>13.01</v>
      </c>
      <c r="F4616">
        <f t="shared" si="145"/>
        <v>96849</v>
      </c>
      <c r="H4616" s="679">
        <v>13.01</v>
      </c>
      <c r="I4616" s="679">
        <v>13.57</v>
      </c>
    </row>
    <row r="4617" spans="2:9" ht="30">
      <c r="B4617" s="395">
        <v>96850</v>
      </c>
      <c r="C4617" s="406" t="s">
        <v>13807</v>
      </c>
      <c r="D4617" s="395" t="s">
        <v>23</v>
      </c>
      <c r="E4617" s="407">
        <f t="shared" si="144"/>
        <v>14.53</v>
      </c>
      <c r="F4617">
        <f t="shared" si="145"/>
        <v>96850</v>
      </c>
      <c r="H4617" s="680">
        <v>14.53</v>
      </c>
      <c r="I4617" s="680">
        <v>15.09</v>
      </c>
    </row>
    <row r="4618" spans="2:9">
      <c r="B4618" s="396">
        <v>96852</v>
      </c>
      <c r="C4618" s="401" t="s">
        <v>13808</v>
      </c>
      <c r="D4618" s="396" t="s">
        <v>23</v>
      </c>
      <c r="E4618" s="405">
        <f t="shared" si="144"/>
        <v>16.690000000000001</v>
      </c>
      <c r="F4618">
        <f t="shared" si="145"/>
        <v>96852</v>
      </c>
      <c r="H4618" s="679">
        <v>16.690000000000001</v>
      </c>
      <c r="I4618" s="679">
        <v>17.36</v>
      </c>
    </row>
    <row r="4619" spans="2:9" ht="30">
      <c r="B4619" s="395">
        <v>96853</v>
      </c>
      <c r="C4619" s="406" t="s">
        <v>13809</v>
      </c>
      <c r="D4619" s="395" t="s">
        <v>23</v>
      </c>
      <c r="E4619" s="407">
        <f t="shared" si="144"/>
        <v>16.350000000000001</v>
      </c>
      <c r="F4619">
        <f t="shared" si="145"/>
        <v>96853</v>
      </c>
      <c r="H4619" s="680">
        <v>16.350000000000001</v>
      </c>
      <c r="I4619" s="680">
        <v>17.02</v>
      </c>
    </row>
    <row r="4620" spans="2:9" ht="30">
      <c r="B4620" s="396">
        <v>96854</v>
      </c>
      <c r="C4620" s="401" t="s">
        <v>13810</v>
      </c>
      <c r="D4620" s="396" t="s">
        <v>23</v>
      </c>
      <c r="E4620" s="405">
        <f t="shared" si="144"/>
        <v>20.05</v>
      </c>
      <c r="F4620">
        <f t="shared" si="145"/>
        <v>96854</v>
      </c>
      <c r="H4620" s="679">
        <v>20.05</v>
      </c>
      <c r="I4620" s="679">
        <v>20.72</v>
      </c>
    </row>
    <row r="4621" spans="2:9">
      <c r="B4621" s="395">
        <v>96855</v>
      </c>
      <c r="C4621" s="406" t="s">
        <v>13811</v>
      </c>
      <c r="D4621" s="395" t="s">
        <v>23</v>
      </c>
      <c r="E4621" s="407">
        <f t="shared" si="144"/>
        <v>26.86</v>
      </c>
      <c r="F4621">
        <f t="shared" si="145"/>
        <v>96855</v>
      </c>
      <c r="H4621" s="680">
        <v>26.86</v>
      </c>
      <c r="I4621" s="680">
        <v>27.66</v>
      </c>
    </row>
    <row r="4622" spans="2:9" ht="30">
      <c r="B4622" s="396">
        <v>96856</v>
      </c>
      <c r="C4622" s="401" t="s">
        <v>13812</v>
      </c>
      <c r="D4622" s="396" t="s">
        <v>23</v>
      </c>
      <c r="E4622" s="405">
        <f t="shared" si="144"/>
        <v>25.8</v>
      </c>
      <c r="F4622">
        <f t="shared" si="145"/>
        <v>96856</v>
      </c>
      <c r="H4622" s="679">
        <v>25.8</v>
      </c>
      <c r="I4622" s="679">
        <v>26.6</v>
      </c>
    </row>
    <row r="4623" spans="2:9" ht="30">
      <c r="B4623" s="395">
        <v>96859</v>
      </c>
      <c r="C4623" s="406" t="s">
        <v>13813</v>
      </c>
      <c r="D4623" s="395" t="s">
        <v>23</v>
      </c>
      <c r="E4623" s="407">
        <f t="shared" si="144"/>
        <v>54.09</v>
      </c>
      <c r="F4623">
        <f t="shared" si="145"/>
        <v>96859</v>
      </c>
      <c r="H4623" s="680">
        <v>54.09</v>
      </c>
      <c r="I4623" s="680">
        <v>55.06</v>
      </c>
    </row>
    <row r="4624" spans="2:9" ht="30">
      <c r="B4624" s="396">
        <v>96860</v>
      </c>
      <c r="C4624" s="401" t="s">
        <v>13814</v>
      </c>
      <c r="D4624" s="396" t="s">
        <v>23</v>
      </c>
      <c r="E4624" s="405">
        <f t="shared" si="144"/>
        <v>22.38</v>
      </c>
      <c r="F4624">
        <f t="shared" si="145"/>
        <v>96860</v>
      </c>
      <c r="H4624" s="679">
        <v>22.38</v>
      </c>
      <c r="I4624" s="679">
        <v>23.35</v>
      </c>
    </row>
    <row r="4625" spans="2:9" ht="30">
      <c r="B4625" s="395">
        <v>96861</v>
      </c>
      <c r="C4625" s="406" t="s">
        <v>13815</v>
      </c>
      <c r="D4625" s="395" t="s">
        <v>23</v>
      </c>
      <c r="E4625" s="407">
        <f t="shared" si="144"/>
        <v>26.53</v>
      </c>
      <c r="F4625">
        <f t="shared" si="145"/>
        <v>96861</v>
      </c>
      <c r="H4625" s="680">
        <v>26.53</v>
      </c>
      <c r="I4625" s="680">
        <v>27.5</v>
      </c>
    </row>
    <row r="4626" spans="2:9" ht="30">
      <c r="B4626" s="396">
        <v>96862</v>
      </c>
      <c r="C4626" s="401" t="s">
        <v>13816</v>
      </c>
      <c r="D4626" s="396" t="s">
        <v>23</v>
      </c>
      <c r="E4626" s="405">
        <f t="shared" si="144"/>
        <v>27.67</v>
      </c>
      <c r="F4626">
        <f t="shared" si="145"/>
        <v>96862</v>
      </c>
      <c r="H4626" s="679">
        <v>27.67</v>
      </c>
      <c r="I4626" s="679">
        <v>28.83</v>
      </c>
    </row>
    <row r="4627" spans="2:9" ht="30">
      <c r="B4627" s="395">
        <v>96863</v>
      </c>
      <c r="C4627" s="406" t="s">
        <v>13817</v>
      </c>
      <c r="D4627" s="395" t="s">
        <v>23</v>
      </c>
      <c r="E4627" s="407">
        <f t="shared" si="144"/>
        <v>27.4</v>
      </c>
      <c r="F4627">
        <f t="shared" si="145"/>
        <v>96863</v>
      </c>
      <c r="H4627" s="680">
        <v>27.4</v>
      </c>
      <c r="I4627" s="680">
        <v>28.56</v>
      </c>
    </row>
    <row r="4628" spans="2:9" ht="30">
      <c r="B4628" s="396">
        <v>96864</v>
      </c>
      <c r="C4628" s="401" t="s">
        <v>13818</v>
      </c>
      <c r="D4628" s="396" t="s">
        <v>23</v>
      </c>
      <c r="E4628" s="405">
        <f t="shared" si="144"/>
        <v>40.04</v>
      </c>
      <c r="F4628">
        <f t="shared" si="145"/>
        <v>96864</v>
      </c>
      <c r="H4628" s="679">
        <v>40.04</v>
      </c>
      <c r="I4628" s="679">
        <v>41.42</v>
      </c>
    </row>
    <row r="4629" spans="2:9" ht="30">
      <c r="B4629" s="395">
        <v>96865</v>
      </c>
      <c r="C4629" s="406" t="s">
        <v>13819</v>
      </c>
      <c r="D4629" s="395" t="s">
        <v>23</v>
      </c>
      <c r="E4629" s="407">
        <f t="shared" si="144"/>
        <v>32.299999999999997</v>
      </c>
      <c r="F4629">
        <f t="shared" si="145"/>
        <v>96865</v>
      </c>
      <c r="H4629" s="680">
        <v>32.299999999999997</v>
      </c>
      <c r="I4629" s="680">
        <v>33.68</v>
      </c>
    </row>
    <row r="4630" spans="2:9" ht="30">
      <c r="B4630" s="396">
        <v>96866</v>
      </c>
      <c r="C4630" s="401" t="s">
        <v>13820</v>
      </c>
      <c r="D4630" s="396" t="s">
        <v>23</v>
      </c>
      <c r="E4630" s="405">
        <f t="shared" si="144"/>
        <v>52.48</v>
      </c>
      <c r="F4630">
        <f t="shared" si="145"/>
        <v>96866</v>
      </c>
      <c r="H4630" s="679">
        <v>52.48</v>
      </c>
      <c r="I4630" s="679">
        <v>54.18</v>
      </c>
    </row>
    <row r="4631" spans="2:9">
      <c r="B4631" s="395">
        <v>96868</v>
      </c>
      <c r="C4631" s="406" t="s">
        <v>13821</v>
      </c>
      <c r="D4631" s="395" t="s">
        <v>23</v>
      </c>
      <c r="E4631" s="407">
        <f t="shared" si="144"/>
        <v>25.22</v>
      </c>
      <c r="F4631">
        <f t="shared" si="145"/>
        <v>96868</v>
      </c>
      <c r="H4631" s="680">
        <v>25.22</v>
      </c>
      <c r="I4631" s="680">
        <v>25.97</v>
      </c>
    </row>
    <row r="4632" spans="2:9">
      <c r="B4632" s="396">
        <v>96869</v>
      </c>
      <c r="C4632" s="401" t="s">
        <v>13822</v>
      </c>
      <c r="D4632" s="396" t="s">
        <v>23</v>
      </c>
      <c r="E4632" s="405">
        <f t="shared" si="144"/>
        <v>23.67</v>
      </c>
      <c r="F4632">
        <f t="shared" si="145"/>
        <v>96869</v>
      </c>
      <c r="H4632" s="679">
        <v>23.67</v>
      </c>
      <c r="I4632" s="679">
        <v>24.56</v>
      </c>
    </row>
    <row r="4633" spans="2:9">
      <c r="B4633" s="395">
        <v>96870</v>
      </c>
      <c r="C4633" s="406" t="s">
        <v>13823</v>
      </c>
      <c r="D4633" s="395" t="s">
        <v>23</v>
      </c>
      <c r="E4633" s="407">
        <f t="shared" si="144"/>
        <v>36.299999999999997</v>
      </c>
      <c r="F4633">
        <f t="shared" si="145"/>
        <v>96870</v>
      </c>
      <c r="H4633" s="680">
        <v>36.299999999999997</v>
      </c>
      <c r="I4633" s="680">
        <v>37.36</v>
      </c>
    </row>
    <row r="4634" spans="2:9">
      <c r="B4634" s="396">
        <v>96871</v>
      </c>
      <c r="C4634" s="401" t="s">
        <v>13824</v>
      </c>
      <c r="D4634" s="396" t="s">
        <v>23</v>
      </c>
      <c r="E4634" s="405">
        <f t="shared" si="144"/>
        <v>41.26</v>
      </c>
      <c r="F4634">
        <f t="shared" si="145"/>
        <v>96871</v>
      </c>
      <c r="H4634" s="679">
        <v>41.26</v>
      </c>
      <c r="I4634" s="679">
        <v>42.55</v>
      </c>
    </row>
    <row r="4635" spans="2:9" ht="30">
      <c r="B4635" s="395">
        <v>96872</v>
      </c>
      <c r="C4635" s="406" t="s">
        <v>13825</v>
      </c>
      <c r="D4635" s="395" t="s">
        <v>23</v>
      </c>
      <c r="E4635" s="407">
        <f t="shared" si="144"/>
        <v>49.47</v>
      </c>
      <c r="F4635">
        <f t="shared" si="145"/>
        <v>96872</v>
      </c>
      <c r="H4635" s="680">
        <v>49.47</v>
      </c>
      <c r="I4635" s="680">
        <v>51.56</v>
      </c>
    </row>
    <row r="4636" spans="2:9" ht="30">
      <c r="B4636" s="396">
        <v>96873</v>
      </c>
      <c r="C4636" s="401" t="s">
        <v>13826</v>
      </c>
      <c r="D4636" s="396" t="s">
        <v>23</v>
      </c>
      <c r="E4636" s="405">
        <f t="shared" si="144"/>
        <v>61.15</v>
      </c>
      <c r="F4636">
        <f t="shared" si="145"/>
        <v>96873</v>
      </c>
      <c r="H4636" s="679">
        <v>61.15</v>
      </c>
      <c r="I4636" s="679">
        <v>63.24</v>
      </c>
    </row>
    <row r="4637" spans="2:9" ht="30">
      <c r="B4637" s="395">
        <v>96874</v>
      </c>
      <c r="C4637" s="406" t="s">
        <v>13827</v>
      </c>
      <c r="D4637" s="395" t="s">
        <v>23</v>
      </c>
      <c r="E4637" s="407">
        <f t="shared" si="144"/>
        <v>60.92</v>
      </c>
      <c r="F4637">
        <f t="shared" si="145"/>
        <v>96874</v>
      </c>
      <c r="H4637" s="680">
        <v>60.92</v>
      </c>
      <c r="I4637" s="680">
        <v>63.65</v>
      </c>
    </row>
    <row r="4638" spans="2:9" ht="30">
      <c r="B4638" s="396">
        <v>96875</v>
      </c>
      <c r="C4638" s="401" t="s">
        <v>13828</v>
      </c>
      <c r="D4638" s="396" t="s">
        <v>23</v>
      </c>
      <c r="E4638" s="405">
        <f t="shared" si="144"/>
        <v>74.59</v>
      </c>
      <c r="F4638">
        <f t="shared" si="145"/>
        <v>96875</v>
      </c>
      <c r="H4638" s="679">
        <v>74.59</v>
      </c>
      <c r="I4638" s="679">
        <v>77.319999999999993</v>
      </c>
    </row>
    <row r="4639" spans="2:9" ht="30">
      <c r="B4639" s="395">
        <v>96876</v>
      </c>
      <c r="C4639" s="406" t="s">
        <v>13829</v>
      </c>
      <c r="D4639" s="395" t="s">
        <v>23</v>
      </c>
      <c r="E4639" s="407">
        <f t="shared" si="144"/>
        <v>151.69999999999999</v>
      </c>
      <c r="F4639">
        <f t="shared" si="145"/>
        <v>96876</v>
      </c>
      <c r="H4639" s="680">
        <v>151.69999999999999</v>
      </c>
      <c r="I4639" s="680">
        <v>153.30000000000001</v>
      </c>
    </row>
    <row r="4640" spans="2:9" ht="30">
      <c r="B4640" s="396">
        <v>96878</v>
      </c>
      <c r="C4640" s="401" t="s">
        <v>13830</v>
      </c>
      <c r="D4640" s="396" t="s">
        <v>23</v>
      </c>
      <c r="E4640" s="405">
        <f t="shared" si="144"/>
        <v>168.84</v>
      </c>
      <c r="F4640">
        <f t="shared" si="145"/>
        <v>96878</v>
      </c>
      <c r="H4640" s="679">
        <v>168.84</v>
      </c>
      <c r="I4640" s="679">
        <v>170.44</v>
      </c>
    </row>
    <row r="4641" spans="2:9" ht="30">
      <c r="B4641" s="395">
        <v>96879</v>
      </c>
      <c r="C4641" s="406" t="s">
        <v>13831</v>
      </c>
      <c r="D4641" s="395" t="s">
        <v>23</v>
      </c>
      <c r="E4641" s="407">
        <f t="shared" si="144"/>
        <v>167.32</v>
      </c>
      <c r="F4641">
        <f t="shared" si="145"/>
        <v>96879</v>
      </c>
      <c r="H4641" s="680">
        <v>167.32</v>
      </c>
      <c r="I4641" s="680">
        <v>169.41</v>
      </c>
    </row>
    <row r="4642" spans="2:9" ht="30">
      <c r="B4642" s="396">
        <v>96881</v>
      </c>
      <c r="C4642" s="401" t="s">
        <v>13832</v>
      </c>
      <c r="D4642" s="396" t="s">
        <v>23</v>
      </c>
      <c r="E4642" s="405">
        <f t="shared" si="144"/>
        <v>195.84</v>
      </c>
      <c r="F4642">
        <f t="shared" si="145"/>
        <v>96881</v>
      </c>
      <c r="H4642" s="679">
        <v>195.84</v>
      </c>
      <c r="I4642" s="679">
        <v>197.93</v>
      </c>
    </row>
    <row r="4643" spans="2:9" ht="30">
      <c r="B4643" s="395">
        <v>97425</v>
      </c>
      <c r="C4643" s="406" t="s">
        <v>2738</v>
      </c>
      <c r="D4643" s="395" t="s">
        <v>23</v>
      </c>
      <c r="E4643" s="407">
        <f t="shared" si="144"/>
        <v>23.99</v>
      </c>
      <c r="F4643">
        <f t="shared" si="145"/>
        <v>97425</v>
      </c>
      <c r="H4643" s="680">
        <v>23.99</v>
      </c>
      <c r="I4643" s="680">
        <v>25.2</v>
      </c>
    </row>
    <row r="4644" spans="2:9" ht="30">
      <c r="B4644" s="396">
        <v>97426</v>
      </c>
      <c r="C4644" s="401" t="s">
        <v>2739</v>
      </c>
      <c r="D4644" s="396" t="s">
        <v>23</v>
      </c>
      <c r="E4644" s="405">
        <f t="shared" si="144"/>
        <v>28.88</v>
      </c>
      <c r="F4644">
        <f t="shared" si="145"/>
        <v>97426</v>
      </c>
      <c r="H4644" s="679">
        <v>28.88</v>
      </c>
      <c r="I4644" s="679">
        <v>30.09</v>
      </c>
    </row>
    <row r="4645" spans="2:9" ht="30">
      <c r="B4645" s="395">
        <v>97427</v>
      </c>
      <c r="C4645" s="406" t="s">
        <v>2740</v>
      </c>
      <c r="D4645" s="395" t="s">
        <v>23</v>
      </c>
      <c r="E4645" s="407">
        <f t="shared" si="144"/>
        <v>32.57</v>
      </c>
      <c r="F4645">
        <f t="shared" si="145"/>
        <v>97427</v>
      </c>
      <c r="H4645" s="680">
        <v>32.57</v>
      </c>
      <c r="I4645" s="680">
        <v>33.78</v>
      </c>
    </row>
    <row r="4646" spans="2:9" ht="30">
      <c r="B4646" s="396">
        <v>97428</v>
      </c>
      <c r="C4646" s="401" t="s">
        <v>2741</v>
      </c>
      <c r="D4646" s="396" t="s">
        <v>23</v>
      </c>
      <c r="E4646" s="405">
        <f t="shared" si="144"/>
        <v>41.15</v>
      </c>
      <c r="F4646">
        <f t="shared" si="145"/>
        <v>97428</v>
      </c>
      <c r="H4646" s="679">
        <v>41.15</v>
      </c>
      <c r="I4646" s="679">
        <v>42.36</v>
      </c>
    </row>
    <row r="4647" spans="2:9" ht="30">
      <c r="B4647" s="395">
        <v>97429</v>
      </c>
      <c r="C4647" s="406" t="s">
        <v>2742</v>
      </c>
      <c r="D4647" s="395" t="s">
        <v>23</v>
      </c>
      <c r="E4647" s="407">
        <f t="shared" si="144"/>
        <v>49.05</v>
      </c>
      <c r="F4647">
        <f t="shared" si="145"/>
        <v>97429</v>
      </c>
      <c r="H4647" s="680">
        <v>49.05</v>
      </c>
      <c r="I4647" s="680">
        <v>50.26</v>
      </c>
    </row>
    <row r="4648" spans="2:9" ht="30">
      <c r="B4648" s="396">
        <v>97430</v>
      </c>
      <c r="C4648" s="401" t="s">
        <v>5096</v>
      </c>
      <c r="D4648" s="396" t="s">
        <v>23</v>
      </c>
      <c r="E4648" s="405">
        <f t="shared" si="144"/>
        <v>41.07</v>
      </c>
      <c r="F4648">
        <f t="shared" si="145"/>
        <v>97430</v>
      </c>
      <c r="H4648" s="679">
        <v>41.07</v>
      </c>
      <c r="I4648" s="679">
        <v>42.72</v>
      </c>
    </row>
    <row r="4649" spans="2:9" ht="30">
      <c r="B4649" s="395">
        <v>97431</v>
      </c>
      <c r="C4649" s="406" t="s">
        <v>5097</v>
      </c>
      <c r="D4649" s="395" t="s">
        <v>23</v>
      </c>
      <c r="E4649" s="407">
        <f t="shared" si="144"/>
        <v>45.6</v>
      </c>
      <c r="F4649">
        <f t="shared" si="145"/>
        <v>97431</v>
      </c>
      <c r="H4649" s="680">
        <v>45.6</v>
      </c>
      <c r="I4649" s="680">
        <v>47.5</v>
      </c>
    </row>
    <row r="4650" spans="2:9" ht="30">
      <c r="B4650" s="396">
        <v>97432</v>
      </c>
      <c r="C4650" s="401" t="s">
        <v>5098</v>
      </c>
      <c r="D4650" s="396" t="s">
        <v>23</v>
      </c>
      <c r="E4650" s="405">
        <f t="shared" si="144"/>
        <v>51.41</v>
      </c>
      <c r="F4650">
        <f t="shared" si="145"/>
        <v>97432</v>
      </c>
      <c r="H4650" s="679">
        <v>51.41</v>
      </c>
      <c r="I4650" s="679">
        <v>53.56</v>
      </c>
    </row>
    <row r="4651" spans="2:9" ht="30">
      <c r="B4651" s="395">
        <v>97433</v>
      </c>
      <c r="C4651" s="406" t="s">
        <v>5099</v>
      </c>
      <c r="D4651" s="395" t="s">
        <v>23</v>
      </c>
      <c r="E4651" s="407">
        <f t="shared" si="144"/>
        <v>98.47</v>
      </c>
      <c r="F4651">
        <f t="shared" si="145"/>
        <v>97433</v>
      </c>
      <c r="H4651" s="680">
        <v>98.47</v>
      </c>
      <c r="I4651" s="680">
        <v>100.94</v>
      </c>
    </row>
    <row r="4652" spans="2:9" ht="30">
      <c r="B4652" s="396">
        <v>97434</v>
      </c>
      <c r="C4652" s="401" t="s">
        <v>5100</v>
      </c>
      <c r="D4652" s="396" t="s">
        <v>23</v>
      </c>
      <c r="E4652" s="405">
        <f t="shared" si="144"/>
        <v>100.49</v>
      </c>
      <c r="F4652">
        <f t="shared" si="145"/>
        <v>97434</v>
      </c>
      <c r="H4652" s="679">
        <v>100.49</v>
      </c>
      <c r="I4652" s="679">
        <v>102.96</v>
      </c>
    </row>
    <row r="4653" spans="2:9" ht="30">
      <c r="B4653" s="395">
        <v>97435</v>
      </c>
      <c r="C4653" s="406" t="s">
        <v>5101</v>
      </c>
      <c r="D4653" s="395" t="s">
        <v>23</v>
      </c>
      <c r="E4653" s="407">
        <f t="shared" si="144"/>
        <v>115.35</v>
      </c>
      <c r="F4653">
        <f t="shared" si="145"/>
        <v>97435</v>
      </c>
      <c r="H4653" s="680">
        <v>115.35</v>
      </c>
      <c r="I4653" s="680">
        <v>118.2</v>
      </c>
    </row>
    <row r="4654" spans="2:9" ht="30">
      <c r="B4654" s="396">
        <v>97436</v>
      </c>
      <c r="C4654" s="401" t="s">
        <v>5102</v>
      </c>
      <c r="D4654" s="396" t="s">
        <v>23</v>
      </c>
      <c r="E4654" s="405">
        <f t="shared" si="144"/>
        <v>119.23</v>
      </c>
      <c r="F4654">
        <f t="shared" si="145"/>
        <v>97436</v>
      </c>
      <c r="H4654" s="679">
        <v>119.23</v>
      </c>
      <c r="I4654" s="679">
        <v>122.08</v>
      </c>
    </row>
    <row r="4655" spans="2:9" ht="30">
      <c r="B4655" s="395">
        <v>97437</v>
      </c>
      <c r="C4655" s="406" t="s">
        <v>5103</v>
      </c>
      <c r="D4655" s="395" t="s">
        <v>23</v>
      </c>
      <c r="E4655" s="407">
        <f t="shared" si="144"/>
        <v>132.12</v>
      </c>
      <c r="F4655">
        <f t="shared" si="145"/>
        <v>97437</v>
      </c>
      <c r="H4655" s="680">
        <v>132.12</v>
      </c>
      <c r="I4655" s="680">
        <v>135.35</v>
      </c>
    </row>
    <row r="4656" spans="2:9" ht="30">
      <c r="B4656" s="396">
        <v>97438</v>
      </c>
      <c r="C4656" s="401" t="s">
        <v>5104</v>
      </c>
      <c r="D4656" s="396" t="s">
        <v>23</v>
      </c>
      <c r="E4656" s="405">
        <f t="shared" si="144"/>
        <v>136.27000000000001</v>
      </c>
      <c r="F4656">
        <f t="shared" si="145"/>
        <v>97438</v>
      </c>
      <c r="H4656" s="679">
        <v>136.27000000000001</v>
      </c>
      <c r="I4656" s="679">
        <v>139.5</v>
      </c>
    </row>
    <row r="4657" spans="2:9">
      <c r="B4657" s="395">
        <v>97439</v>
      </c>
      <c r="C4657" s="406" t="s">
        <v>5105</v>
      </c>
      <c r="D4657" s="395" t="s">
        <v>23</v>
      </c>
      <c r="E4657" s="407">
        <f t="shared" si="144"/>
        <v>150.63</v>
      </c>
      <c r="F4657">
        <f t="shared" si="145"/>
        <v>97439</v>
      </c>
      <c r="H4657" s="680">
        <v>150.63</v>
      </c>
      <c r="I4657" s="680">
        <v>153.93</v>
      </c>
    </row>
    <row r="4658" spans="2:9">
      <c r="B4658" s="396">
        <v>97440</v>
      </c>
      <c r="C4658" s="401" t="s">
        <v>5106</v>
      </c>
      <c r="D4658" s="396" t="s">
        <v>23</v>
      </c>
      <c r="E4658" s="405">
        <f t="shared" si="144"/>
        <v>181.16</v>
      </c>
      <c r="F4658">
        <f t="shared" si="145"/>
        <v>97440</v>
      </c>
      <c r="H4658" s="679">
        <v>181.16</v>
      </c>
      <c r="I4658" s="679">
        <v>184.95</v>
      </c>
    </row>
    <row r="4659" spans="2:9">
      <c r="B4659" s="395">
        <v>97442</v>
      </c>
      <c r="C4659" s="406" t="s">
        <v>5107</v>
      </c>
      <c r="D4659" s="395" t="s">
        <v>23</v>
      </c>
      <c r="E4659" s="407">
        <f t="shared" si="144"/>
        <v>199.71</v>
      </c>
      <c r="F4659">
        <f t="shared" si="145"/>
        <v>97442</v>
      </c>
      <c r="H4659" s="680">
        <v>199.71</v>
      </c>
      <c r="I4659" s="680">
        <v>204</v>
      </c>
    </row>
    <row r="4660" spans="2:9">
      <c r="B4660" s="396">
        <v>97443</v>
      </c>
      <c r="C4660" s="401" t="s">
        <v>5108</v>
      </c>
      <c r="D4660" s="396" t="s">
        <v>23</v>
      </c>
      <c r="E4660" s="405">
        <f t="shared" si="144"/>
        <v>113.42</v>
      </c>
      <c r="F4660">
        <f t="shared" si="145"/>
        <v>97443</v>
      </c>
      <c r="H4660" s="679">
        <v>113.42</v>
      </c>
      <c r="I4660" s="679">
        <v>117.04</v>
      </c>
    </row>
    <row r="4661" spans="2:9" ht="30">
      <c r="B4661" s="395">
        <v>97444</v>
      </c>
      <c r="C4661" s="406" t="s">
        <v>5109</v>
      </c>
      <c r="D4661" s="395" t="s">
        <v>23</v>
      </c>
      <c r="E4661" s="407">
        <f t="shared" si="144"/>
        <v>136.24</v>
      </c>
      <c r="F4661">
        <f t="shared" si="145"/>
        <v>97444</v>
      </c>
      <c r="H4661" s="680">
        <v>136.24</v>
      </c>
      <c r="I4661" s="680">
        <v>139.86000000000001</v>
      </c>
    </row>
    <row r="4662" spans="2:9">
      <c r="B4662" s="396">
        <v>97446</v>
      </c>
      <c r="C4662" s="401" t="s">
        <v>5110</v>
      </c>
      <c r="D4662" s="396" t="s">
        <v>23</v>
      </c>
      <c r="E4662" s="405">
        <f t="shared" si="144"/>
        <v>245.1</v>
      </c>
      <c r="F4662">
        <f t="shared" si="145"/>
        <v>97446</v>
      </c>
      <c r="H4662" s="679">
        <v>245.1</v>
      </c>
      <c r="I4662" s="679">
        <v>249.1</v>
      </c>
    </row>
    <row r="4663" spans="2:9" ht="30">
      <c r="B4663" s="395">
        <v>97447</v>
      </c>
      <c r="C4663" s="406" t="s">
        <v>5111</v>
      </c>
      <c r="D4663" s="395" t="s">
        <v>23</v>
      </c>
      <c r="E4663" s="407">
        <f t="shared" si="144"/>
        <v>245.1</v>
      </c>
      <c r="F4663">
        <f t="shared" si="145"/>
        <v>97447</v>
      </c>
      <c r="H4663" s="680">
        <v>245.1</v>
      </c>
      <c r="I4663" s="680">
        <v>249.1</v>
      </c>
    </row>
    <row r="4664" spans="2:9">
      <c r="B4664" s="396">
        <v>97449</v>
      </c>
      <c r="C4664" s="401" t="s">
        <v>5112</v>
      </c>
      <c r="D4664" s="396" t="s">
        <v>23</v>
      </c>
      <c r="E4664" s="405">
        <f t="shared" si="144"/>
        <v>260.31</v>
      </c>
      <c r="F4664">
        <f t="shared" si="145"/>
        <v>97449</v>
      </c>
      <c r="H4664" s="679">
        <v>260.31</v>
      </c>
      <c r="I4664" s="679">
        <v>264.7</v>
      </c>
    </row>
    <row r="4665" spans="2:9" ht="30">
      <c r="B4665" s="395">
        <v>97450</v>
      </c>
      <c r="C4665" s="406" t="s">
        <v>5113</v>
      </c>
      <c r="D4665" s="395" t="s">
        <v>23</v>
      </c>
      <c r="E4665" s="407">
        <f t="shared" si="144"/>
        <v>322.45</v>
      </c>
      <c r="F4665">
        <f t="shared" si="145"/>
        <v>97450</v>
      </c>
      <c r="H4665" s="680">
        <v>322.45</v>
      </c>
      <c r="I4665" s="680">
        <v>326.83999999999997</v>
      </c>
    </row>
    <row r="4666" spans="2:9" ht="30">
      <c r="B4666" s="396">
        <v>97452</v>
      </c>
      <c r="C4666" s="401" t="s">
        <v>5114</v>
      </c>
      <c r="D4666" s="396" t="s">
        <v>23</v>
      </c>
      <c r="E4666" s="405">
        <f t="shared" si="144"/>
        <v>189.04</v>
      </c>
      <c r="F4666">
        <f t="shared" si="145"/>
        <v>97452</v>
      </c>
      <c r="H4666" s="679">
        <v>189.04</v>
      </c>
      <c r="I4666" s="679">
        <v>194.46</v>
      </c>
    </row>
    <row r="4667" spans="2:9" ht="30">
      <c r="B4667" s="395">
        <v>97453</v>
      </c>
      <c r="C4667" s="406" t="s">
        <v>5115</v>
      </c>
      <c r="D4667" s="395" t="s">
        <v>23</v>
      </c>
      <c r="E4667" s="407">
        <f t="shared" si="144"/>
        <v>202.07</v>
      </c>
      <c r="F4667">
        <f t="shared" si="145"/>
        <v>97453</v>
      </c>
      <c r="H4667" s="680">
        <v>202.07</v>
      </c>
      <c r="I4667" s="680">
        <v>207.49</v>
      </c>
    </row>
    <row r="4668" spans="2:9" ht="30">
      <c r="B4668" s="396">
        <v>97454</v>
      </c>
      <c r="C4668" s="401" t="s">
        <v>5116</v>
      </c>
      <c r="D4668" s="396" t="s">
        <v>23</v>
      </c>
      <c r="E4668" s="405">
        <f t="shared" si="144"/>
        <v>335.08</v>
      </c>
      <c r="F4668">
        <f t="shared" si="145"/>
        <v>97454</v>
      </c>
      <c r="H4668" s="679">
        <v>335.08</v>
      </c>
      <c r="I4668" s="679">
        <v>341.08</v>
      </c>
    </row>
    <row r="4669" spans="2:9" ht="30">
      <c r="B4669" s="395">
        <v>97455</v>
      </c>
      <c r="C4669" s="406" t="s">
        <v>5117</v>
      </c>
      <c r="D4669" s="395" t="s">
        <v>23</v>
      </c>
      <c r="E4669" s="407">
        <f t="shared" si="144"/>
        <v>355.91</v>
      </c>
      <c r="F4669">
        <f t="shared" si="145"/>
        <v>97455</v>
      </c>
      <c r="H4669" s="680">
        <v>355.91</v>
      </c>
      <c r="I4669" s="680">
        <v>361.91</v>
      </c>
    </row>
    <row r="4670" spans="2:9" ht="30">
      <c r="B4670" s="396">
        <v>97456</v>
      </c>
      <c r="C4670" s="401" t="s">
        <v>5118</v>
      </c>
      <c r="D4670" s="396" t="s">
        <v>23</v>
      </c>
      <c r="E4670" s="405">
        <f t="shared" si="144"/>
        <v>788.52</v>
      </c>
      <c r="F4670">
        <f t="shared" si="145"/>
        <v>97456</v>
      </c>
      <c r="H4670" s="679">
        <v>788.52</v>
      </c>
      <c r="I4670" s="679">
        <v>795.11</v>
      </c>
    </row>
    <row r="4671" spans="2:9" ht="30">
      <c r="B4671" s="395">
        <v>97457</v>
      </c>
      <c r="C4671" s="406" t="s">
        <v>5119</v>
      </c>
      <c r="D4671" s="395" t="s">
        <v>23</v>
      </c>
      <c r="E4671" s="407">
        <f t="shared" si="144"/>
        <v>695.06</v>
      </c>
      <c r="F4671">
        <f t="shared" si="145"/>
        <v>97457</v>
      </c>
      <c r="H4671" s="680">
        <v>695.06</v>
      </c>
      <c r="I4671" s="680">
        <v>701.65</v>
      </c>
    </row>
    <row r="4672" spans="2:9">
      <c r="B4672" s="396">
        <v>97458</v>
      </c>
      <c r="C4672" s="401" t="s">
        <v>5120</v>
      </c>
      <c r="D4672" s="396" t="s">
        <v>23</v>
      </c>
      <c r="E4672" s="405">
        <f t="shared" si="144"/>
        <v>304.31</v>
      </c>
      <c r="F4672">
        <f t="shared" si="145"/>
        <v>97458</v>
      </c>
      <c r="H4672" s="679">
        <v>304.31</v>
      </c>
      <c r="I4672" s="679">
        <v>311.54000000000002</v>
      </c>
    </row>
    <row r="4673" spans="2:9">
      <c r="B4673" s="395">
        <v>97459</v>
      </c>
      <c r="C4673" s="406" t="s">
        <v>5121</v>
      </c>
      <c r="D4673" s="395" t="s">
        <v>23</v>
      </c>
      <c r="E4673" s="407">
        <f t="shared" si="144"/>
        <v>540.22</v>
      </c>
      <c r="F4673">
        <f t="shared" si="145"/>
        <v>97459</v>
      </c>
      <c r="H4673" s="680">
        <v>540.22</v>
      </c>
      <c r="I4673" s="680">
        <v>548.23</v>
      </c>
    </row>
    <row r="4674" spans="2:9">
      <c r="B4674" s="396">
        <v>97460</v>
      </c>
      <c r="C4674" s="401" t="s">
        <v>5122</v>
      </c>
      <c r="D4674" s="396" t="s">
        <v>23</v>
      </c>
      <c r="E4674" s="405">
        <f t="shared" si="144"/>
        <v>845.04</v>
      </c>
      <c r="F4674">
        <f t="shared" si="145"/>
        <v>97460</v>
      </c>
      <c r="H4674" s="679">
        <v>845.04</v>
      </c>
      <c r="I4674" s="679">
        <v>853.82</v>
      </c>
    </row>
    <row r="4675" spans="2:9" ht="30">
      <c r="B4675" s="395">
        <v>97461</v>
      </c>
      <c r="C4675" s="406" t="s">
        <v>5123</v>
      </c>
      <c r="D4675" s="395" t="s">
        <v>23</v>
      </c>
      <c r="E4675" s="407">
        <f t="shared" ref="E4675:E4738" si="146">IF($K$2=$H$1,H4675,I4675)</f>
        <v>36.020000000000003</v>
      </c>
      <c r="F4675">
        <f t="shared" ref="F4675:F4738" si="147">IF(LEN($B4675)=7,CONCATENATE(MID($B4675,1,6),"00",RIGHT($B4675,1)),IF(LEN($B4675)=8,CONCATENATE(MID($B4675,1,6),"0",RIGHT($B4675,2)),$B4675))</f>
        <v>97461</v>
      </c>
      <c r="H4675" s="680">
        <v>36.020000000000003</v>
      </c>
      <c r="I4675" s="680">
        <v>37.08</v>
      </c>
    </row>
    <row r="4676" spans="2:9" ht="30">
      <c r="B4676" s="396">
        <v>97462</v>
      </c>
      <c r="C4676" s="401" t="s">
        <v>5124</v>
      </c>
      <c r="D4676" s="396" t="s">
        <v>23</v>
      </c>
      <c r="E4676" s="405">
        <f t="shared" si="146"/>
        <v>29.34</v>
      </c>
      <c r="F4676">
        <f t="shared" si="147"/>
        <v>97462</v>
      </c>
      <c r="H4676" s="679">
        <v>29.34</v>
      </c>
      <c r="I4676" s="679">
        <v>30.4</v>
      </c>
    </row>
    <row r="4677" spans="2:9" ht="30">
      <c r="B4677" s="395">
        <v>97464</v>
      </c>
      <c r="C4677" s="406" t="s">
        <v>5125</v>
      </c>
      <c r="D4677" s="395" t="s">
        <v>23</v>
      </c>
      <c r="E4677" s="407">
        <f t="shared" si="146"/>
        <v>52.6</v>
      </c>
      <c r="F4677">
        <f t="shared" si="147"/>
        <v>97464</v>
      </c>
      <c r="H4677" s="680">
        <v>52.6</v>
      </c>
      <c r="I4677" s="680">
        <v>53.95</v>
      </c>
    </row>
    <row r="4678" spans="2:9" ht="30">
      <c r="B4678" s="396">
        <v>97465</v>
      </c>
      <c r="C4678" s="401" t="s">
        <v>5126</v>
      </c>
      <c r="D4678" s="396" t="s">
        <v>23</v>
      </c>
      <c r="E4678" s="405">
        <f t="shared" si="146"/>
        <v>63.87</v>
      </c>
      <c r="F4678">
        <f t="shared" si="147"/>
        <v>97465</v>
      </c>
      <c r="H4678" s="679">
        <v>63.87</v>
      </c>
      <c r="I4678" s="679">
        <v>65.22</v>
      </c>
    </row>
    <row r="4679" spans="2:9" ht="30">
      <c r="B4679" s="395">
        <v>97467</v>
      </c>
      <c r="C4679" s="406" t="s">
        <v>5127</v>
      </c>
      <c r="D4679" s="395" t="s">
        <v>23</v>
      </c>
      <c r="E4679" s="407">
        <f t="shared" si="146"/>
        <v>66.86</v>
      </c>
      <c r="F4679">
        <f t="shared" si="147"/>
        <v>97467</v>
      </c>
      <c r="H4679" s="680">
        <v>66.86</v>
      </c>
      <c r="I4679" s="680">
        <v>68.56</v>
      </c>
    </row>
    <row r="4680" spans="2:9" ht="30">
      <c r="B4680" s="396">
        <v>97468</v>
      </c>
      <c r="C4680" s="401" t="s">
        <v>5128</v>
      </c>
      <c r="D4680" s="396" t="s">
        <v>23</v>
      </c>
      <c r="E4680" s="405">
        <f t="shared" si="146"/>
        <v>81.290000000000006</v>
      </c>
      <c r="F4680">
        <f t="shared" si="147"/>
        <v>97468</v>
      </c>
      <c r="H4680" s="679">
        <v>81.290000000000006</v>
      </c>
      <c r="I4680" s="679">
        <v>82.99</v>
      </c>
    </row>
    <row r="4681" spans="2:9" ht="30">
      <c r="B4681" s="395">
        <v>97470</v>
      </c>
      <c r="C4681" s="406" t="s">
        <v>5129</v>
      </c>
      <c r="D4681" s="395" t="s">
        <v>23</v>
      </c>
      <c r="E4681" s="407">
        <f t="shared" si="146"/>
        <v>100.34</v>
      </c>
      <c r="F4681">
        <f t="shared" si="147"/>
        <v>97470</v>
      </c>
      <c r="H4681" s="680">
        <v>100.34</v>
      </c>
      <c r="I4681" s="680">
        <v>102.46</v>
      </c>
    </row>
    <row r="4682" spans="2:9" ht="30">
      <c r="B4682" s="396">
        <v>97471</v>
      </c>
      <c r="C4682" s="401" t="s">
        <v>5130</v>
      </c>
      <c r="D4682" s="396" t="s">
        <v>23</v>
      </c>
      <c r="E4682" s="405">
        <f t="shared" si="146"/>
        <v>123.16</v>
      </c>
      <c r="F4682">
        <f t="shared" si="147"/>
        <v>97471</v>
      </c>
      <c r="H4682" s="679">
        <v>123.16</v>
      </c>
      <c r="I4682" s="679">
        <v>125.28</v>
      </c>
    </row>
    <row r="4683" spans="2:9" ht="30">
      <c r="B4683" s="395">
        <v>97474</v>
      </c>
      <c r="C4683" s="406" t="s">
        <v>5131</v>
      </c>
      <c r="D4683" s="395" t="s">
        <v>23</v>
      </c>
      <c r="E4683" s="407">
        <f t="shared" si="146"/>
        <v>188.1</v>
      </c>
      <c r="F4683">
        <f t="shared" si="147"/>
        <v>97474</v>
      </c>
      <c r="H4683" s="680">
        <v>188.1</v>
      </c>
      <c r="I4683" s="680">
        <v>190.87</v>
      </c>
    </row>
    <row r="4684" spans="2:9" ht="30">
      <c r="B4684" s="396">
        <v>97475</v>
      </c>
      <c r="C4684" s="401" t="s">
        <v>5132</v>
      </c>
      <c r="D4684" s="396" t="s">
        <v>23</v>
      </c>
      <c r="E4684" s="405">
        <f t="shared" si="146"/>
        <v>234.24</v>
      </c>
      <c r="F4684">
        <f t="shared" si="147"/>
        <v>97475</v>
      </c>
      <c r="H4684" s="679">
        <v>234.24</v>
      </c>
      <c r="I4684" s="679">
        <v>237.01</v>
      </c>
    </row>
    <row r="4685" spans="2:9" ht="30">
      <c r="B4685" s="395">
        <v>97477</v>
      </c>
      <c r="C4685" s="406" t="s">
        <v>5133</v>
      </c>
      <c r="D4685" s="395" t="s">
        <v>23</v>
      </c>
      <c r="E4685" s="407">
        <f t="shared" si="146"/>
        <v>251.69</v>
      </c>
      <c r="F4685">
        <f t="shared" si="147"/>
        <v>97477</v>
      </c>
      <c r="H4685" s="680">
        <v>251.69</v>
      </c>
      <c r="I4685" s="680">
        <v>255.09</v>
      </c>
    </row>
    <row r="4686" spans="2:9" ht="30">
      <c r="B4686" s="396">
        <v>97478</v>
      </c>
      <c r="C4686" s="401" t="s">
        <v>5134</v>
      </c>
      <c r="D4686" s="396" t="s">
        <v>23</v>
      </c>
      <c r="E4686" s="405">
        <f t="shared" si="146"/>
        <v>313.83</v>
      </c>
      <c r="F4686">
        <f t="shared" si="147"/>
        <v>97478</v>
      </c>
      <c r="H4686" s="679">
        <v>313.83</v>
      </c>
      <c r="I4686" s="679">
        <v>317.23</v>
      </c>
    </row>
    <row r="4687" spans="2:9" ht="30">
      <c r="B4687" s="395">
        <v>97479</v>
      </c>
      <c r="C4687" s="406" t="s">
        <v>5135</v>
      </c>
      <c r="D4687" s="395" t="s">
        <v>23</v>
      </c>
      <c r="E4687" s="407">
        <f t="shared" si="146"/>
        <v>58.69</v>
      </c>
      <c r="F4687">
        <f t="shared" si="147"/>
        <v>97479</v>
      </c>
      <c r="H4687" s="680">
        <v>58.69</v>
      </c>
      <c r="I4687" s="680">
        <v>60.28</v>
      </c>
    </row>
    <row r="4688" spans="2:9" ht="30">
      <c r="B4688" s="396">
        <v>97480</v>
      </c>
      <c r="C4688" s="401" t="s">
        <v>5136</v>
      </c>
      <c r="D4688" s="396" t="s">
        <v>23</v>
      </c>
      <c r="E4688" s="405">
        <f t="shared" si="146"/>
        <v>58.69</v>
      </c>
      <c r="F4688">
        <f t="shared" si="147"/>
        <v>97480</v>
      </c>
      <c r="H4688" s="679">
        <v>58.69</v>
      </c>
      <c r="I4688" s="679">
        <v>60.28</v>
      </c>
    </row>
    <row r="4689" spans="2:9" ht="30">
      <c r="B4689" s="395">
        <v>97481</v>
      </c>
      <c r="C4689" s="406" t="s">
        <v>5137</v>
      </c>
      <c r="D4689" s="395" t="s">
        <v>23</v>
      </c>
      <c r="E4689" s="407">
        <f t="shared" si="146"/>
        <v>86.15</v>
      </c>
      <c r="F4689">
        <f t="shared" si="147"/>
        <v>97481</v>
      </c>
      <c r="H4689" s="680">
        <v>86.15</v>
      </c>
      <c r="I4689" s="680">
        <v>88.19</v>
      </c>
    </row>
    <row r="4690" spans="2:9" ht="30">
      <c r="B4690" s="396">
        <v>97482</v>
      </c>
      <c r="C4690" s="401" t="s">
        <v>5138</v>
      </c>
      <c r="D4690" s="396" t="s">
        <v>23</v>
      </c>
      <c r="E4690" s="405">
        <f t="shared" si="146"/>
        <v>86.15</v>
      </c>
      <c r="F4690">
        <f t="shared" si="147"/>
        <v>97482</v>
      </c>
      <c r="H4690" s="679">
        <v>86.15</v>
      </c>
      <c r="I4690" s="679">
        <v>88.19</v>
      </c>
    </row>
    <row r="4691" spans="2:9" ht="30">
      <c r="B4691" s="395">
        <v>97483</v>
      </c>
      <c r="C4691" s="406" t="s">
        <v>5139</v>
      </c>
      <c r="D4691" s="395" t="s">
        <v>23</v>
      </c>
      <c r="E4691" s="407">
        <f t="shared" si="146"/>
        <v>121.92</v>
      </c>
      <c r="F4691">
        <f t="shared" si="147"/>
        <v>97483</v>
      </c>
      <c r="H4691" s="680">
        <v>121.92</v>
      </c>
      <c r="I4691" s="680">
        <v>124.47</v>
      </c>
    </row>
    <row r="4692" spans="2:9" ht="30">
      <c r="B4692" s="396">
        <v>97484</v>
      </c>
      <c r="C4692" s="401" t="s">
        <v>5140</v>
      </c>
      <c r="D4692" s="396" t="s">
        <v>23</v>
      </c>
      <c r="E4692" s="405">
        <f t="shared" si="146"/>
        <v>121.92</v>
      </c>
      <c r="F4692">
        <f t="shared" si="147"/>
        <v>97484</v>
      </c>
      <c r="H4692" s="679">
        <v>121.92</v>
      </c>
      <c r="I4692" s="679">
        <v>124.47</v>
      </c>
    </row>
    <row r="4693" spans="2:9" ht="30">
      <c r="B4693" s="395">
        <v>97485</v>
      </c>
      <c r="C4693" s="406" t="s">
        <v>5141</v>
      </c>
      <c r="D4693" s="395" t="s">
        <v>23</v>
      </c>
      <c r="E4693" s="407">
        <f t="shared" si="146"/>
        <v>169.44</v>
      </c>
      <c r="F4693">
        <f t="shared" si="147"/>
        <v>97485</v>
      </c>
      <c r="H4693" s="680">
        <v>169.44</v>
      </c>
      <c r="I4693" s="680">
        <v>172.63</v>
      </c>
    </row>
    <row r="4694" spans="2:9" ht="30">
      <c r="B4694" s="396">
        <v>97486</v>
      </c>
      <c r="C4694" s="401" t="s">
        <v>5142</v>
      </c>
      <c r="D4694" s="396" t="s">
        <v>23</v>
      </c>
      <c r="E4694" s="405">
        <f t="shared" si="146"/>
        <v>182.47</v>
      </c>
      <c r="F4694">
        <f t="shared" si="147"/>
        <v>97486</v>
      </c>
      <c r="H4694" s="679">
        <v>182.47</v>
      </c>
      <c r="I4694" s="679">
        <v>185.66</v>
      </c>
    </row>
    <row r="4695" spans="2:9" ht="30">
      <c r="B4695" s="395">
        <v>97487</v>
      </c>
      <c r="C4695" s="406" t="s">
        <v>5143</v>
      </c>
      <c r="D4695" s="395" t="s">
        <v>23</v>
      </c>
      <c r="E4695" s="407">
        <f t="shared" si="146"/>
        <v>318.83</v>
      </c>
      <c r="F4695">
        <f t="shared" si="147"/>
        <v>97487</v>
      </c>
      <c r="H4695" s="680">
        <v>318.83</v>
      </c>
      <c r="I4695" s="680">
        <v>322.97000000000003</v>
      </c>
    </row>
    <row r="4696" spans="2:9" ht="30">
      <c r="B4696" s="396">
        <v>97488</v>
      </c>
      <c r="C4696" s="401" t="s">
        <v>5144</v>
      </c>
      <c r="D4696" s="396" t="s">
        <v>23</v>
      </c>
      <c r="E4696" s="405">
        <f t="shared" si="146"/>
        <v>339.66</v>
      </c>
      <c r="F4696">
        <f t="shared" si="147"/>
        <v>97488</v>
      </c>
      <c r="H4696" s="679">
        <v>339.66</v>
      </c>
      <c r="I4696" s="679">
        <v>343.8</v>
      </c>
    </row>
    <row r="4697" spans="2:9" ht="30">
      <c r="B4697" s="395">
        <v>97489</v>
      </c>
      <c r="C4697" s="406" t="s">
        <v>5145</v>
      </c>
      <c r="D4697" s="395" t="s">
        <v>23</v>
      </c>
      <c r="E4697" s="407">
        <f t="shared" si="146"/>
        <v>775.56</v>
      </c>
      <c r="F4697">
        <f t="shared" si="147"/>
        <v>97489</v>
      </c>
      <c r="H4697" s="680">
        <v>775.56</v>
      </c>
      <c r="I4697" s="680">
        <v>780.67</v>
      </c>
    </row>
    <row r="4698" spans="2:9" ht="30">
      <c r="B4698" s="396">
        <v>97490</v>
      </c>
      <c r="C4698" s="401" t="s">
        <v>5146</v>
      </c>
      <c r="D4698" s="396" t="s">
        <v>23</v>
      </c>
      <c r="E4698" s="405">
        <f t="shared" si="146"/>
        <v>682.1</v>
      </c>
      <c r="F4698">
        <f t="shared" si="147"/>
        <v>97490</v>
      </c>
      <c r="H4698" s="679">
        <v>682.1</v>
      </c>
      <c r="I4698" s="679">
        <v>687.21</v>
      </c>
    </row>
    <row r="4699" spans="2:9" ht="30">
      <c r="B4699" s="395">
        <v>97491</v>
      </c>
      <c r="C4699" s="406" t="s">
        <v>5147</v>
      </c>
      <c r="D4699" s="395" t="s">
        <v>23</v>
      </c>
      <c r="E4699" s="407">
        <f t="shared" si="146"/>
        <v>92.04</v>
      </c>
      <c r="F4699">
        <f t="shared" si="147"/>
        <v>97491</v>
      </c>
      <c r="H4699" s="680">
        <v>92.04</v>
      </c>
      <c r="I4699" s="680">
        <v>94.15</v>
      </c>
    </row>
    <row r="4700" spans="2:9" ht="30">
      <c r="B4700" s="396">
        <v>97492</v>
      </c>
      <c r="C4700" s="401" t="s">
        <v>5148</v>
      </c>
      <c r="D4700" s="396" t="s">
        <v>23</v>
      </c>
      <c r="E4700" s="405">
        <f t="shared" si="146"/>
        <v>136.61000000000001</v>
      </c>
      <c r="F4700">
        <f t="shared" si="147"/>
        <v>97492</v>
      </c>
      <c r="H4700" s="679">
        <v>136.61000000000001</v>
      </c>
      <c r="I4700" s="679">
        <v>139.32</v>
      </c>
    </row>
    <row r="4701" spans="2:9" ht="30">
      <c r="B4701" s="395">
        <v>97493</v>
      </c>
      <c r="C4701" s="406" t="s">
        <v>5149</v>
      </c>
      <c r="D4701" s="395" t="s">
        <v>23</v>
      </c>
      <c r="E4701" s="407">
        <f t="shared" si="146"/>
        <v>176.62</v>
      </c>
      <c r="F4701">
        <f t="shared" si="147"/>
        <v>97493</v>
      </c>
      <c r="H4701" s="680">
        <v>176.62</v>
      </c>
      <c r="I4701" s="680">
        <v>180.02</v>
      </c>
    </row>
    <row r="4702" spans="2:9" ht="30">
      <c r="B4702" s="396">
        <v>97494</v>
      </c>
      <c r="C4702" s="401" t="s">
        <v>5150</v>
      </c>
      <c r="D4702" s="396" t="s">
        <v>23</v>
      </c>
      <c r="E4702" s="405">
        <f t="shared" si="146"/>
        <v>278.14</v>
      </c>
      <c r="F4702">
        <f t="shared" si="147"/>
        <v>97494</v>
      </c>
      <c r="H4702" s="679">
        <v>278.14</v>
      </c>
      <c r="I4702" s="679">
        <v>282.38</v>
      </c>
    </row>
    <row r="4703" spans="2:9" ht="30">
      <c r="B4703" s="395">
        <v>97495</v>
      </c>
      <c r="C4703" s="406" t="s">
        <v>5151</v>
      </c>
      <c r="D4703" s="395" t="s">
        <v>23</v>
      </c>
      <c r="E4703" s="407">
        <f t="shared" si="146"/>
        <v>518.51</v>
      </c>
      <c r="F4703">
        <f t="shared" si="147"/>
        <v>97495</v>
      </c>
      <c r="H4703" s="680">
        <v>518.51</v>
      </c>
      <c r="I4703" s="680">
        <v>524.04</v>
      </c>
    </row>
    <row r="4704" spans="2:9" ht="30">
      <c r="B4704" s="396">
        <v>97496</v>
      </c>
      <c r="C4704" s="401" t="s">
        <v>5152</v>
      </c>
      <c r="D4704" s="396" t="s">
        <v>23</v>
      </c>
      <c r="E4704" s="405">
        <f t="shared" si="146"/>
        <v>827.8</v>
      </c>
      <c r="F4704">
        <f t="shared" si="147"/>
        <v>97496</v>
      </c>
      <c r="H4704" s="679">
        <v>827.8</v>
      </c>
      <c r="I4704" s="679">
        <v>834.61</v>
      </c>
    </row>
    <row r="4705" spans="2:9" ht="30">
      <c r="B4705" s="395">
        <v>97499</v>
      </c>
      <c r="C4705" s="406" t="s">
        <v>5153</v>
      </c>
      <c r="D4705" s="395" t="s">
        <v>23</v>
      </c>
      <c r="E4705" s="407">
        <f t="shared" si="146"/>
        <v>33.92</v>
      </c>
      <c r="F4705">
        <f t="shared" si="147"/>
        <v>97499</v>
      </c>
      <c r="H4705" s="680">
        <v>33.92</v>
      </c>
      <c r="I4705" s="680">
        <v>34.729999999999997</v>
      </c>
    </row>
    <row r="4706" spans="2:9" ht="30">
      <c r="B4706" s="396">
        <v>97500</v>
      </c>
      <c r="C4706" s="401" t="s">
        <v>5154</v>
      </c>
      <c r="D4706" s="396" t="s">
        <v>23</v>
      </c>
      <c r="E4706" s="405">
        <f t="shared" si="146"/>
        <v>27.24</v>
      </c>
      <c r="F4706">
        <f t="shared" si="147"/>
        <v>97500</v>
      </c>
      <c r="H4706" s="679">
        <v>27.24</v>
      </c>
      <c r="I4706" s="679">
        <v>28.05</v>
      </c>
    </row>
    <row r="4707" spans="2:9" ht="30">
      <c r="B4707" s="395">
        <v>97502</v>
      </c>
      <c r="C4707" s="406" t="s">
        <v>5155</v>
      </c>
      <c r="D4707" s="395" t="s">
        <v>23</v>
      </c>
      <c r="E4707" s="407">
        <f t="shared" si="146"/>
        <v>48.68</v>
      </c>
      <c r="F4707">
        <f t="shared" si="147"/>
        <v>97502</v>
      </c>
      <c r="H4707" s="680">
        <v>48.68</v>
      </c>
      <c r="I4707" s="680">
        <v>49.59</v>
      </c>
    </row>
    <row r="4708" spans="2:9" ht="30">
      <c r="B4708" s="396">
        <v>97503</v>
      </c>
      <c r="C4708" s="401" t="s">
        <v>5156</v>
      </c>
      <c r="D4708" s="396" t="s">
        <v>23</v>
      </c>
      <c r="E4708" s="405">
        <f t="shared" si="146"/>
        <v>60.14</v>
      </c>
      <c r="F4708">
        <f t="shared" si="147"/>
        <v>97503</v>
      </c>
      <c r="H4708" s="679">
        <v>60.14</v>
      </c>
      <c r="I4708" s="679">
        <v>61.07</v>
      </c>
    </row>
    <row r="4709" spans="2:9" ht="30">
      <c r="B4709" s="395">
        <v>97505</v>
      </c>
      <c r="C4709" s="406" t="s">
        <v>5157</v>
      </c>
      <c r="D4709" s="395" t="s">
        <v>23</v>
      </c>
      <c r="E4709" s="407">
        <f t="shared" si="146"/>
        <v>61.34</v>
      </c>
      <c r="F4709">
        <f t="shared" si="147"/>
        <v>97505</v>
      </c>
      <c r="H4709" s="680">
        <v>61.34</v>
      </c>
      <c r="I4709" s="680">
        <v>62.42</v>
      </c>
    </row>
    <row r="4710" spans="2:9" ht="30">
      <c r="B4710" s="396">
        <v>97506</v>
      </c>
      <c r="C4710" s="401" t="s">
        <v>5158</v>
      </c>
      <c r="D4710" s="396" t="s">
        <v>23</v>
      </c>
      <c r="E4710" s="405">
        <f t="shared" si="146"/>
        <v>75.77</v>
      </c>
      <c r="F4710">
        <f t="shared" si="147"/>
        <v>97506</v>
      </c>
      <c r="H4710" s="679">
        <v>75.77</v>
      </c>
      <c r="I4710" s="679">
        <v>76.849999999999994</v>
      </c>
    </row>
    <row r="4711" spans="2:9" ht="30">
      <c r="B4711" s="395">
        <v>97508</v>
      </c>
      <c r="C4711" s="406" t="s">
        <v>5159</v>
      </c>
      <c r="D4711" s="395" t="s">
        <v>23</v>
      </c>
      <c r="E4711" s="407">
        <f t="shared" si="146"/>
        <v>92.51</v>
      </c>
      <c r="F4711">
        <f t="shared" si="147"/>
        <v>97508</v>
      </c>
      <c r="H4711" s="680">
        <v>92.51</v>
      </c>
      <c r="I4711" s="680">
        <v>93.75</v>
      </c>
    </row>
    <row r="4712" spans="2:9" ht="30">
      <c r="B4712" s="396">
        <v>97509</v>
      </c>
      <c r="C4712" s="401" t="s">
        <v>5160</v>
      </c>
      <c r="D4712" s="396" t="s">
        <v>23</v>
      </c>
      <c r="E4712" s="405">
        <f t="shared" si="146"/>
        <v>115.33</v>
      </c>
      <c r="F4712">
        <f t="shared" si="147"/>
        <v>97509</v>
      </c>
      <c r="H4712" s="679">
        <v>115.33</v>
      </c>
      <c r="I4712" s="679">
        <v>116.57</v>
      </c>
    </row>
    <row r="4713" spans="2:9" ht="30">
      <c r="B4713" s="395">
        <v>97511</v>
      </c>
      <c r="C4713" s="406" t="s">
        <v>5161</v>
      </c>
      <c r="D4713" s="395" t="s">
        <v>23</v>
      </c>
      <c r="E4713" s="407">
        <f t="shared" si="146"/>
        <v>176.88</v>
      </c>
      <c r="F4713">
        <f t="shared" si="147"/>
        <v>97511</v>
      </c>
      <c r="H4713" s="680">
        <v>176.88</v>
      </c>
      <c r="I4713" s="680">
        <v>178.36</v>
      </c>
    </row>
    <row r="4714" spans="2:9" ht="30">
      <c r="B4714" s="396">
        <v>97512</v>
      </c>
      <c r="C4714" s="401" t="s">
        <v>5162</v>
      </c>
      <c r="D4714" s="396" t="s">
        <v>23</v>
      </c>
      <c r="E4714" s="405">
        <f t="shared" si="146"/>
        <v>223.02</v>
      </c>
      <c r="F4714">
        <f t="shared" si="147"/>
        <v>97512</v>
      </c>
      <c r="H4714" s="679">
        <v>223.02</v>
      </c>
      <c r="I4714" s="679">
        <v>224.5</v>
      </c>
    </row>
    <row r="4715" spans="2:9" ht="30">
      <c r="B4715" s="395">
        <v>97514</v>
      </c>
      <c r="C4715" s="406" t="s">
        <v>5163</v>
      </c>
      <c r="D4715" s="395" t="s">
        <v>23</v>
      </c>
      <c r="E4715" s="407">
        <f t="shared" si="146"/>
        <v>236.93</v>
      </c>
      <c r="F4715">
        <f t="shared" si="147"/>
        <v>97514</v>
      </c>
      <c r="H4715" s="680">
        <v>236.93</v>
      </c>
      <c r="I4715" s="680">
        <v>238.66</v>
      </c>
    </row>
    <row r="4716" spans="2:9" ht="30">
      <c r="B4716" s="396">
        <v>97515</v>
      </c>
      <c r="C4716" s="401" t="s">
        <v>5164</v>
      </c>
      <c r="D4716" s="396" t="s">
        <v>23</v>
      </c>
      <c r="E4716" s="405">
        <f t="shared" si="146"/>
        <v>299.07</v>
      </c>
      <c r="F4716">
        <f t="shared" si="147"/>
        <v>97515</v>
      </c>
      <c r="H4716" s="679">
        <v>299.07</v>
      </c>
      <c r="I4716" s="679">
        <v>300.8</v>
      </c>
    </row>
    <row r="4717" spans="2:9" ht="30">
      <c r="B4717" s="395">
        <v>97517</v>
      </c>
      <c r="C4717" s="406" t="s">
        <v>5165</v>
      </c>
      <c r="D4717" s="395" t="s">
        <v>23</v>
      </c>
      <c r="E4717" s="407">
        <f t="shared" si="146"/>
        <v>55.51</v>
      </c>
      <c r="F4717">
        <f t="shared" si="147"/>
        <v>97517</v>
      </c>
      <c r="H4717" s="680">
        <v>55.51</v>
      </c>
      <c r="I4717" s="680">
        <v>56.75</v>
      </c>
    </row>
    <row r="4718" spans="2:9" ht="30">
      <c r="B4718" s="396">
        <v>97518</v>
      </c>
      <c r="C4718" s="401" t="s">
        <v>5166</v>
      </c>
      <c r="D4718" s="396" t="s">
        <v>23</v>
      </c>
      <c r="E4718" s="405">
        <f t="shared" si="146"/>
        <v>55.51</v>
      </c>
      <c r="F4718">
        <f t="shared" si="147"/>
        <v>97518</v>
      </c>
      <c r="H4718" s="679">
        <v>55.51</v>
      </c>
      <c r="I4718" s="679">
        <v>56.75</v>
      </c>
    </row>
    <row r="4719" spans="2:9" ht="30">
      <c r="B4719" s="395">
        <v>97519</v>
      </c>
      <c r="C4719" s="406" t="s">
        <v>5167</v>
      </c>
      <c r="D4719" s="395" t="s">
        <v>23</v>
      </c>
      <c r="E4719" s="407">
        <f t="shared" si="146"/>
        <v>80.56</v>
      </c>
      <c r="F4719">
        <f t="shared" si="147"/>
        <v>97519</v>
      </c>
      <c r="H4719" s="680">
        <v>80.56</v>
      </c>
      <c r="I4719" s="680">
        <v>81.96</v>
      </c>
    </row>
    <row r="4720" spans="2:9" ht="30">
      <c r="B4720" s="396">
        <v>97520</v>
      </c>
      <c r="C4720" s="401" t="s">
        <v>5168</v>
      </c>
      <c r="D4720" s="396" t="s">
        <v>23</v>
      </c>
      <c r="E4720" s="405">
        <f t="shared" si="146"/>
        <v>80.56</v>
      </c>
      <c r="F4720">
        <f t="shared" si="147"/>
        <v>97520</v>
      </c>
      <c r="H4720" s="679">
        <v>80.56</v>
      </c>
      <c r="I4720" s="679">
        <v>81.96</v>
      </c>
    </row>
    <row r="4721" spans="2:9" ht="30">
      <c r="B4721" s="395">
        <v>97521</v>
      </c>
      <c r="C4721" s="406" t="s">
        <v>5169</v>
      </c>
      <c r="D4721" s="395" t="s">
        <v>23</v>
      </c>
      <c r="E4721" s="407">
        <f t="shared" si="146"/>
        <v>113.6</v>
      </c>
      <c r="F4721">
        <f t="shared" si="147"/>
        <v>97521</v>
      </c>
      <c r="H4721" s="680">
        <v>113.6</v>
      </c>
      <c r="I4721" s="680">
        <v>115.2</v>
      </c>
    </row>
    <row r="4722" spans="2:9" ht="30">
      <c r="B4722" s="396">
        <v>97522</v>
      </c>
      <c r="C4722" s="401" t="s">
        <v>5170</v>
      </c>
      <c r="D4722" s="396" t="s">
        <v>23</v>
      </c>
      <c r="E4722" s="405">
        <f t="shared" si="146"/>
        <v>113.6</v>
      </c>
      <c r="F4722">
        <f t="shared" si="147"/>
        <v>97522</v>
      </c>
      <c r="H4722" s="679">
        <v>113.6</v>
      </c>
      <c r="I4722" s="679">
        <v>115.2</v>
      </c>
    </row>
    <row r="4723" spans="2:9" ht="30">
      <c r="B4723" s="395">
        <v>97523</v>
      </c>
      <c r="C4723" s="406" t="s">
        <v>5171</v>
      </c>
      <c r="D4723" s="395" t="s">
        <v>23</v>
      </c>
      <c r="E4723" s="407">
        <f t="shared" si="146"/>
        <v>157.72</v>
      </c>
      <c r="F4723">
        <f t="shared" si="147"/>
        <v>97523</v>
      </c>
      <c r="H4723" s="680">
        <v>157.72</v>
      </c>
      <c r="I4723" s="680">
        <v>159.56</v>
      </c>
    </row>
    <row r="4724" spans="2:9" ht="30">
      <c r="B4724" s="396">
        <v>97524</v>
      </c>
      <c r="C4724" s="401" t="s">
        <v>5172</v>
      </c>
      <c r="D4724" s="396" t="s">
        <v>23</v>
      </c>
      <c r="E4724" s="405">
        <f t="shared" si="146"/>
        <v>170.75</v>
      </c>
      <c r="F4724">
        <f t="shared" si="147"/>
        <v>97524</v>
      </c>
      <c r="H4724" s="679">
        <v>170.75</v>
      </c>
      <c r="I4724" s="679">
        <v>172.59</v>
      </c>
    </row>
    <row r="4725" spans="2:9" ht="30">
      <c r="B4725" s="395">
        <v>97525</v>
      </c>
      <c r="C4725" s="406" t="s">
        <v>5173</v>
      </c>
      <c r="D4725" s="395" t="s">
        <v>23</v>
      </c>
      <c r="E4725" s="407">
        <f t="shared" si="146"/>
        <v>301.89</v>
      </c>
      <c r="F4725">
        <f t="shared" si="147"/>
        <v>97525</v>
      </c>
      <c r="H4725" s="680">
        <v>301.89</v>
      </c>
      <c r="I4725" s="680">
        <v>304.10000000000002</v>
      </c>
    </row>
    <row r="4726" spans="2:9" ht="30">
      <c r="B4726" s="396">
        <v>97526</v>
      </c>
      <c r="C4726" s="401" t="s">
        <v>5174</v>
      </c>
      <c r="D4726" s="396" t="s">
        <v>23</v>
      </c>
      <c r="E4726" s="405">
        <f t="shared" si="146"/>
        <v>322.72000000000003</v>
      </c>
      <c r="F4726">
        <f t="shared" si="147"/>
        <v>97526</v>
      </c>
      <c r="H4726" s="679">
        <v>322.72000000000003</v>
      </c>
      <c r="I4726" s="679">
        <v>324.93</v>
      </c>
    </row>
    <row r="4727" spans="2:9" ht="30">
      <c r="B4727" s="395">
        <v>97527</v>
      </c>
      <c r="C4727" s="406" t="s">
        <v>5175</v>
      </c>
      <c r="D4727" s="395" t="s">
        <v>23</v>
      </c>
      <c r="E4727" s="407">
        <f t="shared" si="146"/>
        <v>753.48</v>
      </c>
      <c r="F4727">
        <f t="shared" si="147"/>
        <v>97527</v>
      </c>
      <c r="H4727" s="680">
        <v>753.48</v>
      </c>
      <c r="I4727" s="680">
        <v>756.05</v>
      </c>
    </row>
    <row r="4728" spans="2:9" ht="30">
      <c r="B4728" s="396">
        <v>97528</v>
      </c>
      <c r="C4728" s="401" t="s">
        <v>5176</v>
      </c>
      <c r="D4728" s="396" t="s">
        <v>23</v>
      </c>
      <c r="E4728" s="405">
        <f t="shared" si="146"/>
        <v>660.02</v>
      </c>
      <c r="F4728">
        <f t="shared" si="147"/>
        <v>97528</v>
      </c>
      <c r="H4728" s="679">
        <v>660.02</v>
      </c>
      <c r="I4728" s="679">
        <v>662.59</v>
      </c>
    </row>
    <row r="4729" spans="2:9" ht="30">
      <c r="B4729" s="395">
        <v>97529</v>
      </c>
      <c r="C4729" s="406" t="s">
        <v>5177</v>
      </c>
      <c r="D4729" s="395" t="s">
        <v>23</v>
      </c>
      <c r="E4729" s="407">
        <f t="shared" si="146"/>
        <v>87.89</v>
      </c>
      <c r="F4729">
        <f t="shared" si="147"/>
        <v>97529</v>
      </c>
      <c r="H4729" s="680">
        <v>87.89</v>
      </c>
      <c r="I4729" s="680">
        <v>89.53</v>
      </c>
    </row>
    <row r="4730" spans="2:9" ht="30">
      <c r="B4730" s="396">
        <v>97530</v>
      </c>
      <c r="C4730" s="401" t="s">
        <v>5178</v>
      </c>
      <c r="D4730" s="396" t="s">
        <v>23</v>
      </c>
      <c r="E4730" s="405">
        <f t="shared" si="146"/>
        <v>129.16</v>
      </c>
      <c r="F4730">
        <f t="shared" si="147"/>
        <v>97530</v>
      </c>
      <c r="H4730" s="679">
        <v>129.16</v>
      </c>
      <c r="I4730" s="679">
        <v>131.03</v>
      </c>
    </row>
    <row r="4731" spans="2:9" ht="30">
      <c r="B4731" s="395">
        <v>97531</v>
      </c>
      <c r="C4731" s="406" t="s">
        <v>5179</v>
      </c>
      <c r="D4731" s="395" t="s">
        <v>23</v>
      </c>
      <c r="E4731" s="407">
        <f t="shared" si="146"/>
        <v>165.51</v>
      </c>
      <c r="F4731">
        <f t="shared" si="147"/>
        <v>97531</v>
      </c>
      <c r="H4731" s="680">
        <v>165.51</v>
      </c>
      <c r="I4731" s="680">
        <v>167.64</v>
      </c>
    </row>
    <row r="4732" spans="2:9" ht="30">
      <c r="B4732" s="396">
        <v>97532</v>
      </c>
      <c r="C4732" s="401" t="s">
        <v>5180</v>
      </c>
      <c r="D4732" s="396" t="s">
        <v>23</v>
      </c>
      <c r="E4732" s="405">
        <f t="shared" si="146"/>
        <v>262.5</v>
      </c>
      <c r="F4732">
        <f t="shared" si="147"/>
        <v>97532</v>
      </c>
      <c r="H4732" s="679">
        <v>262.5</v>
      </c>
      <c r="I4732" s="679">
        <v>264.97000000000003</v>
      </c>
    </row>
    <row r="4733" spans="2:9" ht="30">
      <c r="B4733" s="395">
        <v>97533</v>
      </c>
      <c r="C4733" s="406" t="s">
        <v>5181</v>
      </c>
      <c r="D4733" s="395" t="s">
        <v>23</v>
      </c>
      <c r="E4733" s="407">
        <f t="shared" si="146"/>
        <v>499.28</v>
      </c>
      <c r="F4733">
        <f t="shared" si="147"/>
        <v>97533</v>
      </c>
      <c r="H4733" s="680">
        <v>499.28</v>
      </c>
      <c r="I4733" s="680">
        <v>502.61</v>
      </c>
    </row>
    <row r="4734" spans="2:9" ht="30">
      <c r="B4734" s="396">
        <v>97534</v>
      </c>
      <c r="C4734" s="401" t="s">
        <v>5182</v>
      </c>
      <c r="D4734" s="396" t="s">
        <v>23</v>
      </c>
      <c r="E4734" s="405">
        <f t="shared" si="146"/>
        <v>798.33</v>
      </c>
      <c r="F4734">
        <f t="shared" si="147"/>
        <v>97534</v>
      </c>
      <c r="H4734" s="679">
        <v>798.33</v>
      </c>
      <c r="I4734" s="679">
        <v>801.78</v>
      </c>
    </row>
    <row r="4735" spans="2:9" ht="30">
      <c r="B4735" s="395">
        <v>97537</v>
      </c>
      <c r="C4735" s="406" t="s">
        <v>5183</v>
      </c>
      <c r="D4735" s="395" t="s">
        <v>23</v>
      </c>
      <c r="E4735" s="407">
        <f t="shared" si="146"/>
        <v>24.72</v>
      </c>
      <c r="F4735">
        <f t="shared" si="147"/>
        <v>97537</v>
      </c>
      <c r="H4735" s="680">
        <v>24.72</v>
      </c>
      <c r="I4735" s="680">
        <v>25.53</v>
      </c>
    </row>
    <row r="4736" spans="2:9" ht="30">
      <c r="B4736" s="396">
        <v>97540</v>
      </c>
      <c r="C4736" s="401" t="s">
        <v>5184</v>
      </c>
      <c r="D4736" s="396" t="s">
        <v>23</v>
      </c>
      <c r="E4736" s="405">
        <f t="shared" si="146"/>
        <v>32.04</v>
      </c>
      <c r="F4736">
        <f t="shared" si="147"/>
        <v>97540</v>
      </c>
      <c r="H4736" s="679">
        <v>32.04</v>
      </c>
      <c r="I4736" s="679">
        <v>33.42</v>
      </c>
    </row>
    <row r="4737" spans="2:9" ht="30">
      <c r="B4737" s="395">
        <v>97541</v>
      </c>
      <c r="C4737" s="406" t="s">
        <v>5185</v>
      </c>
      <c r="D4737" s="395" t="s">
        <v>23</v>
      </c>
      <c r="E4737" s="407">
        <f t="shared" si="146"/>
        <v>26.49</v>
      </c>
      <c r="F4737">
        <f t="shared" si="147"/>
        <v>97541</v>
      </c>
      <c r="H4737" s="680">
        <v>26.49</v>
      </c>
      <c r="I4737" s="680">
        <v>27.87</v>
      </c>
    </row>
    <row r="4738" spans="2:9" ht="30">
      <c r="B4738" s="396">
        <v>97543</v>
      </c>
      <c r="C4738" s="401" t="s">
        <v>5186</v>
      </c>
      <c r="D4738" s="396" t="s">
        <v>23</v>
      </c>
      <c r="E4738" s="405">
        <f t="shared" si="146"/>
        <v>50.35</v>
      </c>
      <c r="F4738">
        <f t="shared" si="147"/>
        <v>97543</v>
      </c>
      <c r="H4738" s="679">
        <v>50.35</v>
      </c>
      <c r="I4738" s="679">
        <v>53.04</v>
      </c>
    </row>
    <row r="4739" spans="2:9" ht="30">
      <c r="B4739" s="395">
        <v>97544</v>
      </c>
      <c r="C4739" s="406" t="s">
        <v>5187</v>
      </c>
      <c r="D4739" s="395" t="s">
        <v>23</v>
      </c>
      <c r="E4739" s="407">
        <f t="shared" ref="E4739:E4802" si="148">IF($K$2=$H$1,H4739,I4739)</f>
        <v>43.67</v>
      </c>
      <c r="F4739">
        <f t="shared" ref="F4739:F4802" si="149">IF(LEN($B4739)=7,CONCATENATE(MID($B4739,1,6),"00",RIGHT($B4739,1)),IF(LEN($B4739)=8,CONCATENATE(MID($B4739,1,6),"0",RIGHT($B4739,2)),$B4739))</f>
        <v>97544</v>
      </c>
      <c r="H4739" s="680">
        <v>43.67</v>
      </c>
      <c r="I4739" s="680">
        <v>46.36</v>
      </c>
    </row>
    <row r="4740" spans="2:9" ht="30">
      <c r="B4740" s="396">
        <v>97546</v>
      </c>
      <c r="C4740" s="401" t="s">
        <v>5188</v>
      </c>
      <c r="D4740" s="396" t="s">
        <v>23</v>
      </c>
      <c r="E4740" s="405">
        <f t="shared" si="148"/>
        <v>34.28</v>
      </c>
      <c r="F4740">
        <f t="shared" si="149"/>
        <v>97546</v>
      </c>
      <c r="H4740" s="679">
        <v>34.28</v>
      </c>
      <c r="I4740" s="679">
        <v>35.49</v>
      </c>
    </row>
    <row r="4741" spans="2:9" ht="30">
      <c r="B4741" s="395">
        <v>97547</v>
      </c>
      <c r="C4741" s="406" t="s">
        <v>5189</v>
      </c>
      <c r="D4741" s="395" t="s">
        <v>23</v>
      </c>
      <c r="E4741" s="407">
        <f t="shared" si="148"/>
        <v>34.28</v>
      </c>
      <c r="F4741">
        <f t="shared" si="149"/>
        <v>97547</v>
      </c>
      <c r="H4741" s="680">
        <v>34.28</v>
      </c>
      <c r="I4741" s="680">
        <v>35.49</v>
      </c>
    </row>
    <row r="4742" spans="2:9" ht="30">
      <c r="B4742" s="396">
        <v>97548</v>
      </c>
      <c r="C4742" s="401" t="s">
        <v>5190</v>
      </c>
      <c r="D4742" s="396" t="s">
        <v>23</v>
      </c>
      <c r="E4742" s="405">
        <f t="shared" si="148"/>
        <v>49.73</v>
      </c>
      <c r="F4742">
        <f t="shared" si="149"/>
        <v>97548</v>
      </c>
      <c r="H4742" s="679">
        <v>49.73</v>
      </c>
      <c r="I4742" s="679">
        <v>51.81</v>
      </c>
    </row>
    <row r="4743" spans="2:9" ht="30">
      <c r="B4743" s="395">
        <v>97549</v>
      </c>
      <c r="C4743" s="406" t="s">
        <v>5191</v>
      </c>
      <c r="D4743" s="395" t="s">
        <v>23</v>
      </c>
      <c r="E4743" s="407">
        <f t="shared" si="148"/>
        <v>49.73</v>
      </c>
      <c r="F4743">
        <f t="shared" si="149"/>
        <v>97549</v>
      </c>
      <c r="H4743" s="680">
        <v>49.73</v>
      </c>
      <c r="I4743" s="680">
        <v>51.81</v>
      </c>
    </row>
    <row r="4744" spans="2:9" ht="30">
      <c r="B4744" s="396">
        <v>97550</v>
      </c>
      <c r="C4744" s="401" t="s">
        <v>5192</v>
      </c>
      <c r="D4744" s="396" t="s">
        <v>23</v>
      </c>
      <c r="E4744" s="405">
        <f t="shared" si="148"/>
        <v>80.209999999999994</v>
      </c>
      <c r="F4744">
        <f t="shared" si="149"/>
        <v>97550</v>
      </c>
      <c r="H4744" s="679">
        <v>80.209999999999994</v>
      </c>
      <c r="I4744" s="679">
        <v>84.25</v>
      </c>
    </row>
    <row r="4745" spans="2:9" ht="30">
      <c r="B4745" s="395">
        <v>97551</v>
      </c>
      <c r="C4745" s="406" t="s">
        <v>5193</v>
      </c>
      <c r="D4745" s="395" t="s">
        <v>23</v>
      </c>
      <c r="E4745" s="407">
        <f t="shared" si="148"/>
        <v>80.209999999999994</v>
      </c>
      <c r="F4745">
        <f t="shared" si="149"/>
        <v>97551</v>
      </c>
      <c r="H4745" s="680">
        <v>80.209999999999994</v>
      </c>
      <c r="I4745" s="680">
        <v>84.25</v>
      </c>
    </row>
    <row r="4746" spans="2:9" ht="30">
      <c r="B4746" s="396">
        <v>97552</v>
      </c>
      <c r="C4746" s="401" t="s">
        <v>5194</v>
      </c>
      <c r="D4746" s="396" t="s">
        <v>23</v>
      </c>
      <c r="E4746" s="405">
        <f t="shared" si="148"/>
        <v>50.55</v>
      </c>
      <c r="F4746">
        <f t="shared" si="149"/>
        <v>97552</v>
      </c>
      <c r="H4746" s="679">
        <v>50.55</v>
      </c>
      <c r="I4746" s="679">
        <v>52.17</v>
      </c>
    </row>
    <row r="4747" spans="2:9" ht="30">
      <c r="B4747" s="395">
        <v>97553</v>
      </c>
      <c r="C4747" s="406" t="s">
        <v>5195</v>
      </c>
      <c r="D4747" s="395" t="s">
        <v>23</v>
      </c>
      <c r="E4747" s="407">
        <f t="shared" si="148"/>
        <v>71.13</v>
      </c>
      <c r="F4747">
        <f t="shared" si="149"/>
        <v>97553</v>
      </c>
      <c r="H4747" s="680">
        <v>71.13</v>
      </c>
      <c r="I4747" s="680">
        <v>73.900000000000006</v>
      </c>
    </row>
    <row r="4748" spans="2:9" ht="30">
      <c r="B4748" s="396">
        <v>97554</v>
      </c>
      <c r="C4748" s="401" t="s">
        <v>5196</v>
      </c>
      <c r="D4748" s="396" t="s">
        <v>23</v>
      </c>
      <c r="E4748" s="405">
        <f t="shared" si="148"/>
        <v>120.82</v>
      </c>
      <c r="F4748">
        <f t="shared" si="149"/>
        <v>97554</v>
      </c>
      <c r="H4748" s="679">
        <v>120.82</v>
      </c>
      <c r="I4748" s="679">
        <v>126.22</v>
      </c>
    </row>
    <row r="4749" spans="2:9" ht="30">
      <c r="B4749" s="395">
        <v>98602</v>
      </c>
      <c r="C4749" s="406" t="s">
        <v>6645</v>
      </c>
      <c r="D4749" s="395" t="s">
        <v>23</v>
      </c>
      <c r="E4749" s="407">
        <f t="shared" si="148"/>
        <v>16.940000000000001</v>
      </c>
      <c r="F4749">
        <f t="shared" si="149"/>
        <v>98602</v>
      </c>
      <c r="H4749" s="680">
        <v>16.940000000000001</v>
      </c>
      <c r="I4749" s="680">
        <v>17.239999999999998</v>
      </c>
    </row>
    <row r="4750" spans="2:9" ht="30">
      <c r="B4750" s="396">
        <v>103805</v>
      </c>
      <c r="C4750" s="401" t="s">
        <v>6646</v>
      </c>
      <c r="D4750" s="396" t="s">
        <v>23</v>
      </c>
      <c r="E4750" s="405">
        <f t="shared" si="148"/>
        <v>15.57</v>
      </c>
      <c r="F4750">
        <f t="shared" si="149"/>
        <v>103805</v>
      </c>
      <c r="H4750" s="679">
        <v>15.57</v>
      </c>
      <c r="I4750" s="679">
        <v>16.690000000000001</v>
      </c>
    </row>
    <row r="4751" spans="2:9" ht="30">
      <c r="B4751" s="395">
        <v>103806</v>
      </c>
      <c r="C4751" s="406" t="s">
        <v>6647</v>
      </c>
      <c r="D4751" s="395" t="s">
        <v>23</v>
      </c>
      <c r="E4751" s="407">
        <f t="shared" si="148"/>
        <v>15.54</v>
      </c>
      <c r="F4751">
        <f t="shared" si="149"/>
        <v>103806</v>
      </c>
      <c r="H4751" s="680">
        <v>15.54</v>
      </c>
      <c r="I4751" s="680">
        <v>16.66</v>
      </c>
    </row>
    <row r="4752" spans="2:9" ht="30">
      <c r="B4752" s="396">
        <v>103807</v>
      </c>
      <c r="C4752" s="401" t="s">
        <v>6648</v>
      </c>
      <c r="D4752" s="396" t="s">
        <v>23</v>
      </c>
      <c r="E4752" s="405">
        <f t="shared" si="148"/>
        <v>20.03</v>
      </c>
      <c r="F4752">
        <f t="shared" si="149"/>
        <v>103807</v>
      </c>
      <c r="H4752" s="679">
        <v>20.03</v>
      </c>
      <c r="I4752" s="679">
        <v>20.76</v>
      </c>
    </row>
    <row r="4753" spans="2:9" ht="30">
      <c r="B4753" s="395">
        <v>103808</v>
      </c>
      <c r="C4753" s="406" t="s">
        <v>6649</v>
      </c>
      <c r="D4753" s="395" t="s">
        <v>23</v>
      </c>
      <c r="E4753" s="407">
        <f t="shared" si="148"/>
        <v>29.42</v>
      </c>
      <c r="F4753">
        <f t="shared" si="149"/>
        <v>103808</v>
      </c>
      <c r="H4753" s="680">
        <v>29.42</v>
      </c>
      <c r="I4753" s="680">
        <v>31.35</v>
      </c>
    </row>
    <row r="4754" spans="2:9" ht="30">
      <c r="B4754" s="396">
        <v>103809</v>
      </c>
      <c r="C4754" s="401" t="s">
        <v>6650</v>
      </c>
      <c r="D4754" s="396" t="s">
        <v>23</v>
      </c>
      <c r="E4754" s="405">
        <f t="shared" si="148"/>
        <v>29.14</v>
      </c>
      <c r="F4754">
        <f t="shared" si="149"/>
        <v>103809</v>
      </c>
      <c r="H4754" s="679">
        <v>29.14</v>
      </c>
      <c r="I4754" s="679">
        <v>31.07</v>
      </c>
    </row>
    <row r="4755" spans="2:9" ht="30">
      <c r="B4755" s="395">
        <v>103810</v>
      </c>
      <c r="C4755" s="406" t="s">
        <v>6651</v>
      </c>
      <c r="D4755" s="395" t="s">
        <v>23</v>
      </c>
      <c r="E4755" s="407">
        <f t="shared" si="148"/>
        <v>30.87</v>
      </c>
      <c r="F4755">
        <f t="shared" si="149"/>
        <v>103810</v>
      </c>
      <c r="H4755" s="680">
        <v>30.87</v>
      </c>
      <c r="I4755" s="680">
        <v>31.99</v>
      </c>
    </row>
    <row r="4756" spans="2:9" ht="30">
      <c r="B4756" s="396">
        <v>103811</v>
      </c>
      <c r="C4756" s="401" t="s">
        <v>6652</v>
      </c>
      <c r="D4756" s="396" t="s">
        <v>23</v>
      </c>
      <c r="E4756" s="405">
        <f t="shared" si="148"/>
        <v>34.1</v>
      </c>
      <c r="F4756">
        <f t="shared" si="149"/>
        <v>103811</v>
      </c>
      <c r="H4756" s="679">
        <v>34.1</v>
      </c>
      <c r="I4756" s="679">
        <v>35.31</v>
      </c>
    </row>
    <row r="4757" spans="2:9" ht="30">
      <c r="B4757" s="395">
        <v>103812</v>
      </c>
      <c r="C4757" s="406" t="s">
        <v>6653</v>
      </c>
      <c r="D4757" s="395" t="s">
        <v>23</v>
      </c>
      <c r="E4757" s="407">
        <f t="shared" si="148"/>
        <v>43.94</v>
      </c>
      <c r="F4757">
        <f t="shared" si="149"/>
        <v>103812</v>
      </c>
      <c r="H4757" s="680">
        <v>43.94</v>
      </c>
      <c r="I4757" s="680">
        <v>46.54</v>
      </c>
    </row>
    <row r="4758" spans="2:9" ht="30">
      <c r="B4758" s="396">
        <v>103813</v>
      </c>
      <c r="C4758" s="401" t="s">
        <v>6654</v>
      </c>
      <c r="D4758" s="396" t="s">
        <v>23</v>
      </c>
      <c r="E4758" s="405">
        <f t="shared" si="148"/>
        <v>42.23</v>
      </c>
      <c r="F4758">
        <f t="shared" si="149"/>
        <v>103813</v>
      </c>
      <c r="H4758" s="679">
        <v>42.23</v>
      </c>
      <c r="I4758" s="679">
        <v>44.83</v>
      </c>
    </row>
    <row r="4759" spans="2:9" ht="30">
      <c r="B4759" s="395">
        <v>103814</v>
      </c>
      <c r="C4759" s="406" t="s">
        <v>6655</v>
      </c>
      <c r="D4759" s="395" t="s">
        <v>23</v>
      </c>
      <c r="E4759" s="407">
        <f t="shared" si="148"/>
        <v>10.17</v>
      </c>
      <c r="F4759">
        <f t="shared" si="149"/>
        <v>103814</v>
      </c>
      <c r="H4759" s="680">
        <v>10.17</v>
      </c>
      <c r="I4759" s="680">
        <v>10.92</v>
      </c>
    </row>
    <row r="4760" spans="2:9" ht="30">
      <c r="B4760" s="396">
        <v>103815</v>
      </c>
      <c r="C4760" s="401" t="s">
        <v>6656</v>
      </c>
      <c r="D4760" s="396" t="s">
        <v>23</v>
      </c>
      <c r="E4760" s="405">
        <f t="shared" si="148"/>
        <v>10.199999999999999</v>
      </c>
      <c r="F4760">
        <f t="shared" si="149"/>
        <v>103815</v>
      </c>
      <c r="H4760" s="679">
        <v>10.199999999999999</v>
      </c>
      <c r="I4760" s="679">
        <v>10.95</v>
      </c>
    </row>
    <row r="4761" spans="2:9" ht="30">
      <c r="B4761" s="395">
        <v>103816</v>
      </c>
      <c r="C4761" s="406" t="s">
        <v>6657</v>
      </c>
      <c r="D4761" s="395" t="s">
        <v>23</v>
      </c>
      <c r="E4761" s="407">
        <f t="shared" si="148"/>
        <v>24.98</v>
      </c>
      <c r="F4761">
        <f t="shared" si="149"/>
        <v>103816</v>
      </c>
      <c r="H4761" s="680">
        <v>24.98</v>
      </c>
      <c r="I4761" s="680">
        <v>25.73</v>
      </c>
    </row>
    <row r="4762" spans="2:9" ht="30">
      <c r="B4762" s="396">
        <v>103817</v>
      </c>
      <c r="C4762" s="401" t="s">
        <v>6658</v>
      </c>
      <c r="D4762" s="396" t="s">
        <v>23</v>
      </c>
      <c r="E4762" s="405">
        <f t="shared" si="148"/>
        <v>435.82</v>
      </c>
      <c r="F4762">
        <f t="shared" si="149"/>
        <v>103817</v>
      </c>
      <c r="H4762" s="679">
        <v>435.82</v>
      </c>
      <c r="I4762" s="679">
        <v>436.57</v>
      </c>
    </row>
    <row r="4763" spans="2:9" ht="30">
      <c r="B4763" s="395">
        <v>103818</v>
      </c>
      <c r="C4763" s="406" t="s">
        <v>6659</v>
      </c>
      <c r="D4763" s="395" t="s">
        <v>23</v>
      </c>
      <c r="E4763" s="407">
        <f t="shared" si="148"/>
        <v>18.53</v>
      </c>
      <c r="F4763">
        <f t="shared" si="149"/>
        <v>103818</v>
      </c>
      <c r="H4763" s="680">
        <v>18.53</v>
      </c>
      <c r="I4763" s="680">
        <v>19.07</v>
      </c>
    </row>
    <row r="4764" spans="2:9" ht="30">
      <c r="B4764" s="396">
        <v>103819</v>
      </c>
      <c r="C4764" s="401" t="s">
        <v>6660</v>
      </c>
      <c r="D4764" s="396" t="s">
        <v>23</v>
      </c>
      <c r="E4764" s="405">
        <f t="shared" si="148"/>
        <v>18.04</v>
      </c>
      <c r="F4764">
        <f t="shared" si="149"/>
        <v>103819</v>
      </c>
      <c r="H4764" s="679">
        <v>18.04</v>
      </c>
      <c r="I4764" s="679">
        <v>19.309999999999999</v>
      </c>
    </row>
    <row r="4765" spans="2:9" ht="30">
      <c r="B4765" s="395">
        <v>103820</v>
      </c>
      <c r="C4765" s="406" t="s">
        <v>6661</v>
      </c>
      <c r="D4765" s="395" t="s">
        <v>23</v>
      </c>
      <c r="E4765" s="407">
        <f t="shared" si="148"/>
        <v>19.309999999999999</v>
      </c>
      <c r="F4765">
        <f t="shared" si="149"/>
        <v>103820</v>
      </c>
      <c r="H4765" s="680">
        <v>19.309999999999999</v>
      </c>
      <c r="I4765" s="680">
        <v>20.58</v>
      </c>
    </row>
    <row r="4766" spans="2:9" ht="30">
      <c r="B4766" s="396">
        <v>103821</v>
      </c>
      <c r="C4766" s="401" t="s">
        <v>6662</v>
      </c>
      <c r="D4766" s="396" t="s">
        <v>23</v>
      </c>
      <c r="E4766" s="405">
        <f t="shared" si="148"/>
        <v>509.66</v>
      </c>
      <c r="F4766">
        <f t="shared" si="149"/>
        <v>103821</v>
      </c>
      <c r="H4766" s="679">
        <v>509.66</v>
      </c>
      <c r="I4766" s="679">
        <v>510.93</v>
      </c>
    </row>
    <row r="4767" spans="2:9" ht="30">
      <c r="B4767" s="395">
        <v>103822</v>
      </c>
      <c r="C4767" s="406" t="s">
        <v>6663</v>
      </c>
      <c r="D4767" s="395" t="s">
        <v>23</v>
      </c>
      <c r="E4767" s="407">
        <f t="shared" si="148"/>
        <v>51.79</v>
      </c>
      <c r="F4767">
        <f t="shared" si="149"/>
        <v>103822</v>
      </c>
      <c r="H4767" s="680">
        <v>51.79</v>
      </c>
      <c r="I4767" s="680">
        <v>53.06</v>
      </c>
    </row>
    <row r="4768" spans="2:9" ht="30">
      <c r="B4768" s="396">
        <v>103823</v>
      </c>
      <c r="C4768" s="401" t="s">
        <v>6664</v>
      </c>
      <c r="D4768" s="396" t="s">
        <v>23</v>
      </c>
      <c r="E4768" s="405">
        <f t="shared" si="148"/>
        <v>15.77</v>
      </c>
      <c r="F4768">
        <f t="shared" si="149"/>
        <v>103823</v>
      </c>
      <c r="H4768" s="679">
        <v>15.77</v>
      </c>
      <c r="I4768" s="679">
        <v>16.78</v>
      </c>
    </row>
    <row r="4769" spans="2:9" ht="30">
      <c r="B4769" s="395">
        <v>103824</v>
      </c>
      <c r="C4769" s="406" t="s">
        <v>6665</v>
      </c>
      <c r="D4769" s="395" t="s">
        <v>23</v>
      </c>
      <c r="E4769" s="407">
        <f t="shared" si="148"/>
        <v>21.38</v>
      </c>
      <c r="F4769">
        <f t="shared" si="149"/>
        <v>103824</v>
      </c>
      <c r="H4769" s="680">
        <v>21.38</v>
      </c>
      <c r="I4769" s="680">
        <v>22.18</v>
      </c>
    </row>
    <row r="4770" spans="2:9" ht="30">
      <c r="B4770" s="396">
        <v>103825</v>
      </c>
      <c r="C4770" s="401" t="s">
        <v>6666</v>
      </c>
      <c r="D4770" s="396" t="s">
        <v>23</v>
      </c>
      <c r="E4770" s="405">
        <f t="shared" si="148"/>
        <v>25.42</v>
      </c>
      <c r="F4770">
        <f t="shared" si="149"/>
        <v>103825</v>
      </c>
      <c r="H4770" s="679">
        <v>25.42</v>
      </c>
      <c r="I4770" s="679">
        <v>26.32</v>
      </c>
    </row>
    <row r="4771" spans="2:9" ht="30">
      <c r="B4771" s="395">
        <v>103826</v>
      </c>
      <c r="C4771" s="406" t="s">
        <v>6667</v>
      </c>
      <c r="D4771" s="395" t="s">
        <v>23</v>
      </c>
      <c r="E4771" s="407">
        <f t="shared" si="148"/>
        <v>27.42</v>
      </c>
      <c r="F4771">
        <f t="shared" si="149"/>
        <v>103826</v>
      </c>
      <c r="H4771" s="680">
        <v>27.42</v>
      </c>
      <c r="I4771" s="680">
        <v>29.16</v>
      </c>
    </row>
    <row r="4772" spans="2:9" ht="30">
      <c r="B4772" s="396">
        <v>103827</v>
      </c>
      <c r="C4772" s="401" t="s">
        <v>6668</v>
      </c>
      <c r="D4772" s="396" t="s">
        <v>23</v>
      </c>
      <c r="E4772" s="405">
        <f t="shared" si="148"/>
        <v>27.42</v>
      </c>
      <c r="F4772">
        <f t="shared" si="149"/>
        <v>103827</v>
      </c>
      <c r="H4772" s="679">
        <v>27.42</v>
      </c>
      <c r="I4772" s="679">
        <v>29.16</v>
      </c>
    </row>
    <row r="4773" spans="2:9" ht="30">
      <c r="B4773" s="395">
        <v>103828</v>
      </c>
      <c r="C4773" s="406" t="s">
        <v>6669</v>
      </c>
      <c r="D4773" s="395" t="s">
        <v>23</v>
      </c>
      <c r="E4773" s="407">
        <f t="shared" si="148"/>
        <v>87.13</v>
      </c>
      <c r="F4773">
        <f t="shared" si="149"/>
        <v>103828</v>
      </c>
      <c r="H4773" s="680">
        <v>87.13</v>
      </c>
      <c r="I4773" s="680">
        <v>88.87</v>
      </c>
    </row>
    <row r="4774" spans="2:9" ht="30">
      <c r="B4774" s="396">
        <v>103829</v>
      </c>
      <c r="C4774" s="401" t="s">
        <v>6670</v>
      </c>
      <c r="D4774" s="396" t="s">
        <v>23</v>
      </c>
      <c r="E4774" s="405">
        <f t="shared" si="148"/>
        <v>562.58000000000004</v>
      </c>
      <c r="F4774">
        <f t="shared" si="149"/>
        <v>103829</v>
      </c>
      <c r="H4774" s="679">
        <v>562.58000000000004</v>
      </c>
      <c r="I4774" s="679">
        <v>564.32000000000005</v>
      </c>
    </row>
    <row r="4775" spans="2:9" ht="30">
      <c r="B4775" s="395">
        <v>103830</v>
      </c>
      <c r="C4775" s="406" t="s">
        <v>6671</v>
      </c>
      <c r="D4775" s="395" t="s">
        <v>23</v>
      </c>
      <c r="E4775" s="407">
        <f t="shared" si="148"/>
        <v>33.549999999999997</v>
      </c>
      <c r="F4775">
        <f t="shared" si="149"/>
        <v>103830</v>
      </c>
      <c r="H4775" s="680">
        <v>33.549999999999997</v>
      </c>
      <c r="I4775" s="680">
        <v>34.590000000000003</v>
      </c>
    </row>
    <row r="4776" spans="2:9" ht="30">
      <c r="B4776" s="396">
        <v>103831</v>
      </c>
      <c r="C4776" s="401" t="s">
        <v>6672</v>
      </c>
      <c r="D4776" s="396" t="s">
        <v>23</v>
      </c>
      <c r="E4776" s="405">
        <f t="shared" si="148"/>
        <v>23.56</v>
      </c>
      <c r="F4776">
        <f t="shared" si="149"/>
        <v>103831</v>
      </c>
      <c r="H4776" s="679">
        <v>23.56</v>
      </c>
      <c r="I4776" s="679">
        <v>25.06</v>
      </c>
    </row>
    <row r="4777" spans="2:9" ht="30">
      <c r="B4777" s="395">
        <v>103832</v>
      </c>
      <c r="C4777" s="406" t="s">
        <v>6673</v>
      </c>
      <c r="D4777" s="395" t="s">
        <v>23</v>
      </c>
      <c r="E4777" s="407">
        <f t="shared" si="148"/>
        <v>21.08</v>
      </c>
      <c r="F4777">
        <f t="shared" si="149"/>
        <v>103832</v>
      </c>
      <c r="H4777" s="680">
        <v>21.08</v>
      </c>
      <c r="I4777" s="680">
        <v>22.57</v>
      </c>
    </row>
    <row r="4778" spans="2:9" ht="30">
      <c r="B4778" s="396">
        <v>103833</v>
      </c>
      <c r="C4778" s="401" t="s">
        <v>6674</v>
      </c>
      <c r="D4778" s="396" t="s">
        <v>23</v>
      </c>
      <c r="E4778" s="405">
        <f t="shared" si="148"/>
        <v>38.99</v>
      </c>
      <c r="F4778">
        <f t="shared" si="149"/>
        <v>103833</v>
      </c>
      <c r="H4778" s="679">
        <v>38.99</v>
      </c>
      <c r="I4778" s="679">
        <v>41.54</v>
      </c>
    </row>
    <row r="4779" spans="2:9" ht="30">
      <c r="B4779" s="395">
        <v>103834</v>
      </c>
      <c r="C4779" s="406" t="s">
        <v>6675</v>
      </c>
      <c r="D4779" s="395" t="s">
        <v>23</v>
      </c>
      <c r="E4779" s="407">
        <f t="shared" si="148"/>
        <v>57.01</v>
      </c>
      <c r="F4779">
        <f t="shared" si="149"/>
        <v>103834</v>
      </c>
      <c r="H4779" s="680">
        <v>57.01</v>
      </c>
      <c r="I4779" s="680">
        <v>60.48</v>
      </c>
    </row>
    <row r="4780" spans="2:9" ht="30">
      <c r="B4780" s="396">
        <v>103838</v>
      </c>
      <c r="C4780" s="401" t="s">
        <v>6676</v>
      </c>
      <c r="D4780" s="396" t="s">
        <v>23</v>
      </c>
      <c r="E4780" s="405">
        <f t="shared" si="148"/>
        <v>15.01</v>
      </c>
      <c r="F4780">
        <f t="shared" si="149"/>
        <v>103838</v>
      </c>
      <c r="H4780" s="679">
        <v>15.01</v>
      </c>
      <c r="I4780" s="679">
        <v>16.059999999999999</v>
      </c>
    </row>
    <row r="4781" spans="2:9" ht="30">
      <c r="B4781" s="395">
        <v>103839</v>
      </c>
      <c r="C4781" s="406" t="s">
        <v>6677</v>
      </c>
      <c r="D4781" s="395" t="s">
        <v>23</v>
      </c>
      <c r="E4781" s="407">
        <f t="shared" si="148"/>
        <v>14.98</v>
      </c>
      <c r="F4781">
        <f t="shared" si="149"/>
        <v>103839</v>
      </c>
      <c r="H4781" s="680">
        <v>14.98</v>
      </c>
      <c r="I4781" s="680">
        <v>16.03</v>
      </c>
    </row>
    <row r="4782" spans="2:9" ht="30">
      <c r="B4782" s="396">
        <v>103840</v>
      </c>
      <c r="C4782" s="401" t="s">
        <v>6678</v>
      </c>
      <c r="D4782" s="396" t="s">
        <v>23</v>
      </c>
      <c r="E4782" s="405">
        <f t="shared" si="148"/>
        <v>19.75</v>
      </c>
      <c r="F4782">
        <f t="shared" si="149"/>
        <v>103840</v>
      </c>
      <c r="H4782" s="679">
        <v>19.75</v>
      </c>
      <c r="I4782" s="679">
        <v>20.440000000000001</v>
      </c>
    </row>
    <row r="4783" spans="2:9" ht="30">
      <c r="B4783" s="395">
        <v>103841</v>
      </c>
      <c r="C4783" s="406" t="s">
        <v>6679</v>
      </c>
      <c r="D4783" s="395" t="s">
        <v>23</v>
      </c>
      <c r="E4783" s="407">
        <f t="shared" si="148"/>
        <v>24.91</v>
      </c>
      <c r="F4783">
        <f t="shared" si="149"/>
        <v>103841</v>
      </c>
      <c r="H4783" s="680">
        <v>24.91</v>
      </c>
      <c r="I4783" s="680">
        <v>26.31</v>
      </c>
    </row>
    <row r="4784" spans="2:9" ht="30">
      <c r="B4784" s="396">
        <v>103842</v>
      </c>
      <c r="C4784" s="401" t="s">
        <v>6680</v>
      </c>
      <c r="D4784" s="396" t="s">
        <v>23</v>
      </c>
      <c r="E4784" s="405">
        <f t="shared" si="148"/>
        <v>24.63</v>
      </c>
      <c r="F4784">
        <f t="shared" si="149"/>
        <v>103842</v>
      </c>
      <c r="H4784" s="679">
        <v>24.63</v>
      </c>
      <c r="I4784" s="679">
        <v>26.03</v>
      </c>
    </row>
    <row r="4785" spans="2:9" ht="30">
      <c r="B4785" s="395">
        <v>103843</v>
      </c>
      <c r="C4785" s="406" t="s">
        <v>6681</v>
      </c>
      <c r="D4785" s="395" t="s">
        <v>23</v>
      </c>
      <c r="E4785" s="407">
        <f t="shared" si="148"/>
        <v>28.61</v>
      </c>
      <c r="F4785">
        <f t="shared" si="149"/>
        <v>103843</v>
      </c>
      <c r="H4785" s="680">
        <v>28.61</v>
      </c>
      <c r="I4785" s="680">
        <v>29.48</v>
      </c>
    </row>
    <row r="4786" spans="2:9" ht="30">
      <c r="B4786" s="396">
        <v>103844</v>
      </c>
      <c r="C4786" s="401" t="s">
        <v>6682</v>
      </c>
      <c r="D4786" s="396" t="s">
        <v>23</v>
      </c>
      <c r="E4786" s="405">
        <f t="shared" si="148"/>
        <v>31.84</v>
      </c>
      <c r="F4786">
        <f t="shared" si="149"/>
        <v>103844</v>
      </c>
      <c r="H4786" s="679">
        <v>31.84</v>
      </c>
      <c r="I4786" s="679">
        <v>32.79</v>
      </c>
    </row>
    <row r="4787" spans="2:9" ht="30">
      <c r="B4787" s="395">
        <v>103845</v>
      </c>
      <c r="C4787" s="406" t="s">
        <v>6683</v>
      </c>
      <c r="D4787" s="395" t="s">
        <v>23</v>
      </c>
      <c r="E4787" s="407">
        <f t="shared" si="148"/>
        <v>36.049999999999997</v>
      </c>
      <c r="F4787">
        <f t="shared" si="149"/>
        <v>103845</v>
      </c>
      <c r="H4787" s="680">
        <v>36.049999999999997</v>
      </c>
      <c r="I4787" s="680">
        <v>37.76</v>
      </c>
    </row>
    <row r="4788" spans="2:9" ht="30">
      <c r="B4788" s="396">
        <v>103846</v>
      </c>
      <c r="C4788" s="401" t="s">
        <v>6684</v>
      </c>
      <c r="D4788" s="396" t="s">
        <v>23</v>
      </c>
      <c r="E4788" s="405">
        <f t="shared" si="148"/>
        <v>34.340000000000003</v>
      </c>
      <c r="F4788">
        <f t="shared" si="149"/>
        <v>103846</v>
      </c>
      <c r="H4788" s="679">
        <v>34.340000000000003</v>
      </c>
      <c r="I4788" s="679">
        <v>36.049999999999997</v>
      </c>
    </row>
    <row r="4789" spans="2:9" ht="30">
      <c r="B4789" s="395">
        <v>103847</v>
      </c>
      <c r="C4789" s="406" t="s">
        <v>6685</v>
      </c>
      <c r="D4789" s="395" t="s">
        <v>23</v>
      </c>
      <c r="E4789" s="407">
        <f t="shared" si="148"/>
        <v>9.7899999999999991</v>
      </c>
      <c r="F4789">
        <f t="shared" si="149"/>
        <v>103847</v>
      </c>
      <c r="H4789" s="680">
        <v>9.7899999999999991</v>
      </c>
      <c r="I4789" s="680">
        <v>10.49</v>
      </c>
    </row>
    <row r="4790" spans="2:9" ht="30">
      <c r="B4790" s="396">
        <v>103848</v>
      </c>
      <c r="C4790" s="401" t="s">
        <v>6686</v>
      </c>
      <c r="D4790" s="396" t="s">
        <v>23</v>
      </c>
      <c r="E4790" s="405">
        <f t="shared" si="148"/>
        <v>9.82</v>
      </c>
      <c r="F4790">
        <f t="shared" si="149"/>
        <v>103848</v>
      </c>
      <c r="H4790" s="679">
        <v>9.82</v>
      </c>
      <c r="I4790" s="679">
        <v>10.52</v>
      </c>
    </row>
    <row r="4791" spans="2:9" ht="30">
      <c r="B4791" s="395">
        <v>103849</v>
      </c>
      <c r="C4791" s="406" t="s">
        <v>6687</v>
      </c>
      <c r="D4791" s="395" t="s">
        <v>23</v>
      </c>
      <c r="E4791" s="407">
        <f t="shared" si="148"/>
        <v>24.6</v>
      </c>
      <c r="F4791">
        <f t="shared" si="149"/>
        <v>103849</v>
      </c>
      <c r="H4791" s="680">
        <v>24.6</v>
      </c>
      <c r="I4791" s="680">
        <v>25.3</v>
      </c>
    </row>
    <row r="4792" spans="2:9" ht="30">
      <c r="B4792" s="396">
        <v>103850</v>
      </c>
      <c r="C4792" s="401" t="s">
        <v>6688</v>
      </c>
      <c r="D4792" s="396" t="s">
        <v>23</v>
      </c>
      <c r="E4792" s="405">
        <f t="shared" si="148"/>
        <v>435.44</v>
      </c>
      <c r="F4792">
        <f t="shared" si="149"/>
        <v>103850</v>
      </c>
      <c r="H4792" s="679">
        <v>435.44</v>
      </c>
      <c r="I4792" s="679">
        <v>436.14</v>
      </c>
    </row>
    <row r="4793" spans="2:9" ht="30">
      <c r="B4793" s="395">
        <v>103851</v>
      </c>
      <c r="C4793" s="406" t="s">
        <v>6689</v>
      </c>
      <c r="D4793" s="395" t="s">
        <v>23</v>
      </c>
      <c r="E4793" s="407">
        <f t="shared" si="148"/>
        <v>18.350000000000001</v>
      </c>
      <c r="F4793">
        <f t="shared" si="149"/>
        <v>103851</v>
      </c>
      <c r="H4793" s="680">
        <v>18.350000000000001</v>
      </c>
      <c r="I4793" s="680">
        <v>18.86</v>
      </c>
    </row>
    <row r="4794" spans="2:9" ht="30">
      <c r="B4794" s="396">
        <v>103852</v>
      </c>
      <c r="C4794" s="401" t="s">
        <v>6690</v>
      </c>
      <c r="D4794" s="396" t="s">
        <v>23</v>
      </c>
      <c r="E4794" s="405">
        <f t="shared" si="148"/>
        <v>14.99</v>
      </c>
      <c r="F4794">
        <f t="shared" si="149"/>
        <v>103852</v>
      </c>
      <c r="H4794" s="679">
        <v>14.99</v>
      </c>
      <c r="I4794" s="679">
        <v>15.93</v>
      </c>
    </row>
    <row r="4795" spans="2:9" ht="30">
      <c r="B4795" s="395">
        <v>103853</v>
      </c>
      <c r="C4795" s="406" t="s">
        <v>6691</v>
      </c>
      <c r="D4795" s="395" t="s">
        <v>23</v>
      </c>
      <c r="E4795" s="407">
        <f t="shared" si="148"/>
        <v>16.260000000000002</v>
      </c>
      <c r="F4795">
        <f t="shared" si="149"/>
        <v>103853</v>
      </c>
      <c r="H4795" s="680">
        <v>16.260000000000002</v>
      </c>
      <c r="I4795" s="680">
        <v>17.2</v>
      </c>
    </row>
    <row r="4796" spans="2:9" ht="30">
      <c r="B4796" s="396">
        <v>103854</v>
      </c>
      <c r="C4796" s="401" t="s">
        <v>6692</v>
      </c>
      <c r="D4796" s="396" t="s">
        <v>23</v>
      </c>
      <c r="E4796" s="405">
        <f t="shared" si="148"/>
        <v>506.61</v>
      </c>
      <c r="F4796">
        <f t="shared" si="149"/>
        <v>103854</v>
      </c>
      <c r="H4796" s="679">
        <v>506.61</v>
      </c>
      <c r="I4796" s="679">
        <v>507.55</v>
      </c>
    </row>
    <row r="4797" spans="2:9" ht="30">
      <c r="B4797" s="395">
        <v>103855</v>
      </c>
      <c r="C4797" s="406" t="s">
        <v>6693</v>
      </c>
      <c r="D4797" s="395" t="s">
        <v>23</v>
      </c>
      <c r="E4797" s="407">
        <f t="shared" si="148"/>
        <v>48.74</v>
      </c>
      <c r="F4797">
        <f t="shared" si="149"/>
        <v>103855</v>
      </c>
      <c r="H4797" s="680">
        <v>48.74</v>
      </c>
      <c r="I4797" s="680">
        <v>49.68</v>
      </c>
    </row>
    <row r="4798" spans="2:9" ht="30">
      <c r="B4798" s="396">
        <v>103856</v>
      </c>
      <c r="C4798" s="401" t="s">
        <v>6694</v>
      </c>
      <c r="D4798" s="396" t="s">
        <v>23</v>
      </c>
      <c r="E4798" s="405">
        <f t="shared" si="148"/>
        <v>14.18</v>
      </c>
      <c r="F4798">
        <f t="shared" si="149"/>
        <v>103856</v>
      </c>
      <c r="H4798" s="679">
        <v>14.18</v>
      </c>
      <c r="I4798" s="679">
        <v>14.99</v>
      </c>
    </row>
    <row r="4799" spans="2:9" ht="30">
      <c r="B4799" s="395">
        <v>103857</v>
      </c>
      <c r="C4799" s="406" t="s">
        <v>6695</v>
      </c>
      <c r="D4799" s="395" t="s">
        <v>23</v>
      </c>
      <c r="E4799" s="407">
        <f t="shared" si="148"/>
        <v>19.850000000000001</v>
      </c>
      <c r="F4799">
        <f t="shared" si="149"/>
        <v>103857</v>
      </c>
      <c r="H4799" s="680">
        <v>19.850000000000001</v>
      </c>
      <c r="I4799" s="680">
        <v>20.49</v>
      </c>
    </row>
    <row r="4800" spans="2:9" ht="30">
      <c r="B4800" s="396">
        <v>103858</v>
      </c>
      <c r="C4800" s="401" t="s">
        <v>6696</v>
      </c>
      <c r="D4800" s="396" t="s">
        <v>23</v>
      </c>
      <c r="E4800" s="405">
        <f t="shared" si="148"/>
        <v>23.91</v>
      </c>
      <c r="F4800">
        <f t="shared" si="149"/>
        <v>103858</v>
      </c>
      <c r="H4800" s="679">
        <v>23.91</v>
      </c>
      <c r="I4800" s="679">
        <v>24.62</v>
      </c>
    </row>
    <row r="4801" spans="2:9" ht="30">
      <c r="B4801" s="395">
        <v>103859</v>
      </c>
      <c r="C4801" s="406" t="s">
        <v>6697</v>
      </c>
      <c r="D4801" s="395" t="s">
        <v>23</v>
      </c>
      <c r="E4801" s="407">
        <f t="shared" si="148"/>
        <v>22.57</v>
      </c>
      <c r="F4801">
        <f t="shared" si="149"/>
        <v>103859</v>
      </c>
      <c r="H4801" s="680">
        <v>22.57</v>
      </c>
      <c r="I4801" s="680">
        <v>23.71</v>
      </c>
    </row>
    <row r="4802" spans="2:9" ht="30">
      <c r="B4802" s="396">
        <v>103860</v>
      </c>
      <c r="C4802" s="401" t="s">
        <v>6698</v>
      </c>
      <c r="D4802" s="396" t="s">
        <v>23</v>
      </c>
      <c r="E4802" s="405">
        <f t="shared" si="148"/>
        <v>22.57</v>
      </c>
      <c r="F4802">
        <f t="shared" si="149"/>
        <v>103860</v>
      </c>
      <c r="H4802" s="679">
        <v>22.57</v>
      </c>
      <c r="I4802" s="679">
        <v>23.71</v>
      </c>
    </row>
    <row r="4803" spans="2:9" ht="30">
      <c r="B4803" s="395">
        <v>103861</v>
      </c>
      <c r="C4803" s="406" t="s">
        <v>6699</v>
      </c>
      <c r="D4803" s="395" t="s">
        <v>23</v>
      </c>
      <c r="E4803" s="407">
        <f t="shared" ref="E4803:E4866" si="150">IF($K$2=$H$1,H4803,I4803)</f>
        <v>82.28</v>
      </c>
      <c r="F4803">
        <f t="shared" ref="F4803:F4866" si="151">IF(LEN($B4803)=7,CONCATENATE(MID($B4803,1,6),"00",RIGHT($B4803,1)),IF(LEN($B4803)=8,CONCATENATE(MID($B4803,1,6),"0",RIGHT($B4803,2)),$B4803))</f>
        <v>103861</v>
      </c>
      <c r="H4803" s="680">
        <v>82.28</v>
      </c>
      <c r="I4803" s="680">
        <v>83.42</v>
      </c>
    </row>
    <row r="4804" spans="2:9" ht="30">
      <c r="B4804" s="396">
        <v>103862</v>
      </c>
      <c r="C4804" s="401" t="s">
        <v>6700</v>
      </c>
      <c r="D4804" s="396" t="s">
        <v>23</v>
      </c>
      <c r="E4804" s="405">
        <f t="shared" si="150"/>
        <v>557.73</v>
      </c>
      <c r="F4804">
        <f t="shared" si="151"/>
        <v>103862</v>
      </c>
      <c r="H4804" s="679">
        <v>557.73</v>
      </c>
      <c r="I4804" s="679">
        <v>558.87</v>
      </c>
    </row>
    <row r="4805" spans="2:9" ht="30">
      <c r="B4805" s="395">
        <v>103863</v>
      </c>
      <c r="C4805" s="406" t="s">
        <v>6701</v>
      </c>
      <c r="D4805" s="395" t="s">
        <v>23</v>
      </c>
      <c r="E4805" s="407">
        <f t="shared" si="150"/>
        <v>31.12</v>
      </c>
      <c r="F4805">
        <f t="shared" si="151"/>
        <v>103863</v>
      </c>
      <c r="H4805" s="680">
        <v>31.12</v>
      </c>
      <c r="I4805" s="680">
        <v>31.85</v>
      </c>
    </row>
    <row r="4806" spans="2:9" ht="30">
      <c r="B4806" s="396">
        <v>103864</v>
      </c>
      <c r="C4806" s="401" t="s">
        <v>6702</v>
      </c>
      <c r="D4806" s="396" t="s">
        <v>23</v>
      </c>
      <c r="E4806" s="405">
        <f t="shared" si="150"/>
        <v>19.52</v>
      </c>
      <c r="F4806">
        <f t="shared" si="151"/>
        <v>103864</v>
      </c>
      <c r="H4806" s="679">
        <v>19.52</v>
      </c>
      <c r="I4806" s="679">
        <v>20.56</v>
      </c>
    </row>
    <row r="4807" spans="2:9" ht="30">
      <c r="B4807" s="395">
        <v>103865</v>
      </c>
      <c r="C4807" s="406" t="s">
        <v>6703</v>
      </c>
      <c r="D4807" s="395" t="s">
        <v>23</v>
      </c>
      <c r="E4807" s="407">
        <f t="shared" si="150"/>
        <v>20.3</v>
      </c>
      <c r="F4807">
        <f t="shared" si="151"/>
        <v>103865</v>
      </c>
      <c r="H4807" s="680">
        <v>20.3</v>
      </c>
      <c r="I4807" s="680">
        <v>21.71</v>
      </c>
    </row>
    <row r="4808" spans="2:9" ht="30">
      <c r="B4808" s="396">
        <v>103866</v>
      </c>
      <c r="C4808" s="401" t="s">
        <v>6704</v>
      </c>
      <c r="D4808" s="396" t="s">
        <v>23</v>
      </c>
      <c r="E4808" s="405">
        <f t="shared" si="150"/>
        <v>32.950000000000003</v>
      </c>
      <c r="F4808">
        <f t="shared" si="151"/>
        <v>103866</v>
      </c>
      <c r="H4808" s="679">
        <v>32.950000000000003</v>
      </c>
      <c r="I4808" s="679">
        <v>34.82</v>
      </c>
    </row>
    <row r="4809" spans="2:9" ht="30">
      <c r="B4809" s="395">
        <v>103867</v>
      </c>
      <c r="C4809" s="406" t="s">
        <v>6705</v>
      </c>
      <c r="D4809" s="395" t="s">
        <v>23</v>
      </c>
      <c r="E4809" s="407">
        <f t="shared" si="150"/>
        <v>46.45</v>
      </c>
      <c r="F4809">
        <f t="shared" si="151"/>
        <v>103867</v>
      </c>
      <c r="H4809" s="680">
        <v>46.45</v>
      </c>
      <c r="I4809" s="680">
        <v>48.73</v>
      </c>
    </row>
    <row r="4810" spans="2:9" ht="30">
      <c r="B4810" s="396">
        <v>103874</v>
      </c>
      <c r="C4810" s="401" t="s">
        <v>6706</v>
      </c>
      <c r="D4810" s="396" t="s">
        <v>23</v>
      </c>
      <c r="E4810" s="405">
        <f t="shared" si="150"/>
        <v>15.61</v>
      </c>
      <c r="F4810">
        <f t="shared" si="151"/>
        <v>103874</v>
      </c>
      <c r="H4810" s="679">
        <v>15.61</v>
      </c>
      <c r="I4810" s="679">
        <v>16.73</v>
      </c>
    </row>
    <row r="4811" spans="2:9" ht="30">
      <c r="B4811" s="395">
        <v>103875</v>
      </c>
      <c r="C4811" s="406" t="s">
        <v>6707</v>
      </c>
      <c r="D4811" s="395" t="s">
        <v>23</v>
      </c>
      <c r="E4811" s="407">
        <f t="shared" si="150"/>
        <v>15.58</v>
      </c>
      <c r="F4811">
        <f t="shared" si="151"/>
        <v>103875</v>
      </c>
      <c r="H4811" s="680">
        <v>15.58</v>
      </c>
      <c r="I4811" s="680">
        <v>16.7</v>
      </c>
    </row>
    <row r="4812" spans="2:9" ht="30">
      <c r="B4812" s="396">
        <v>103876</v>
      </c>
      <c r="C4812" s="401" t="s">
        <v>6708</v>
      </c>
      <c r="D4812" s="396" t="s">
        <v>23</v>
      </c>
      <c r="E4812" s="405">
        <f t="shared" si="150"/>
        <v>20.05</v>
      </c>
      <c r="F4812">
        <f t="shared" si="151"/>
        <v>103876</v>
      </c>
      <c r="H4812" s="679">
        <v>20.05</v>
      </c>
      <c r="I4812" s="679">
        <v>20.78</v>
      </c>
    </row>
    <row r="4813" spans="2:9" ht="30">
      <c r="B4813" s="395">
        <v>103877</v>
      </c>
      <c r="C4813" s="406" t="s">
        <v>6709</v>
      </c>
      <c r="D4813" s="395" t="s">
        <v>23</v>
      </c>
      <c r="E4813" s="407">
        <f t="shared" si="150"/>
        <v>24.22</v>
      </c>
      <c r="F4813">
        <f t="shared" si="151"/>
        <v>103877</v>
      </c>
      <c r="H4813" s="680">
        <v>24.22</v>
      </c>
      <c r="I4813" s="680">
        <v>25.55</v>
      </c>
    </row>
    <row r="4814" spans="2:9" ht="30">
      <c r="B4814" s="396">
        <v>103878</v>
      </c>
      <c r="C4814" s="401" t="s">
        <v>6710</v>
      </c>
      <c r="D4814" s="396" t="s">
        <v>23</v>
      </c>
      <c r="E4814" s="405">
        <f t="shared" si="150"/>
        <v>23.94</v>
      </c>
      <c r="F4814">
        <f t="shared" si="151"/>
        <v>103878</v>
      </c>
      <c r="H4814" s="679">
        <v>23.94</v>
      </c>
      <c r="I4814" s="679">
        <v>25.27</v>
      </c>
    </row>
    <row r="4815" spans="2:9" ht="30">
      <c r="B4815" s="395">
        <v>103879</v>
      </c>
      <c r="C4815" s="406" t="s">
        <v>6711</v>
      </c>
      <c r="D4815" s="395" t="s">
        <v>23</v>
      </c>
      <c r="E4815" s="407">
        <f t="shared" si="150"/>
        <v>28.27</v>
      </c>
      <c r="F4815">
        <f t="shared" si="151"/>
        <v>103879</v>
      </c>
      <c r="H4815" s="680">
        <v>28.27</v>
      </c>
      <c r="I4815" s="680">
        <v>29.1</v>
      </c>
    </row>
    <row r="4816" spans="2:9" ht="30">
      <c r="B4816" s="396">
        <v>103880</v>
      </c>
      <c r="C4816" s="401" t="s">
        <v>6712</v>
      </c>
      <c r="D4816" s="396" t="s">
        <v>23</v>
      </c>
      <c r="E4816" s="405">
        <f t="shared" si="150"/>
        <v>31.49</v>
      </c>
      <c r="F4816">
        <f t="shared" si="151"/>
        <v>103880</v>
      </c>
      <c r="H4816" s="679">
        <v>31.49</v>
      </c>
      <c r="I4816" s="679">
        <v>32.409999999999997</v>
      </c>
    </row>
    <row r="4817" spans="2:9" ht="30">
      <c r="B4817" s="395">
        <v>103881</v>
      </c>
      <c r="C4817" s="406" t="s">
        <v>6713</v>
      </c>
      <c r="D4817" s="395" t="s">
        <v>23</v>
      </c>
      <c r="E4817" s="407">
        <f t="shared" si="150"/>
        <v>34.25</v>
      </c>
      <c r="F4817">
        <f t="shared" si="151"/>
        <v>103881</v>
      </c>
      <c r="H4817" s="680">
        <v>34.25</v>
      </c>
      <c r="I4817" s="680">
        <v>35.76</v>
      </c>
    </row>
    <row r="4818" spans="2:9" ht="30">
      <c r="B4818" s="396">
        <v>103882</v>
      </c>
      <c r="C4818" s="401" t="s">
        <v>6714</v>
      </c>
      <c r="D4818" s="396" t="s">
        <v>23</v>
      </c>
      <c r="E4818" s="405">
        <f t="shared" si="150"/>
        <v>32.54</v>
      </c>
      <c r="F4818">
        <f t="shared" si="151"/>
        <v>103882</v>
      </c>
      <c r="H4818" s="679">
        <v>32.54</v>
      </c>
      <c r="I4818" s="679">
        <v>34.049999999999997</v>
      </c>
    </row>
    <row r="4819" spans="2:9" ht="30">
      <c r="B4819" s="395">
        <v>103883</v>
      </c>
      <c r="C4819" s="406" t="s">
        <v>6715</v>
      </c>
      <c r="D4819" s="395" t="s">
        <v>23</v>
      </c>
      <c r="E4819" s="407">
        <f t="shared" si="150"/>
        <v>10.17</v>
      </c>
      <c r="F4819">
        <f t="shared" si="151"/>
        <v>103883</v>
      </c>
      <c r="H4819" s="680">
        <v>10.17</v>
      </c>
      <c r="I4819" s="680">
        <v>10.92</v>
      </c>
    </row>
    <row r="4820" spans="2:9" ht="30">
      <c r="B4820" s="396">
        <v>103884</v>
      </c>
      <c r="C4820" s="401" t="s">
        <v>6716</v>
      </c>
      <c r="D4820" s="396" t="s">
        <v>23</v>
      </c>
      <c r="E4820" s="405">
        <f t="shared" si="150"/>
        <v>10.199999999999999</v>
      </c>
      <c r="F4820">
        <f t="shared" si="151"/>
        <v>103884</v>
      </c>
      <c r="H4820" s="679">
        <v>10.199999999999999</v>
      </c>
      <c r="I4820" s="679">
        <v>10.95</v>
      </c>
    </row>
    <row r="4821" spans="2:9" ht="30">
      <c r="B4821" s="395">
        <v>103885</v>
      </c>
      <c r="C4821" s="406" t="s">
        <v>6717</v>
      </c>
      <c r="D4821" s="395" t="s">
        <v>23</v>
      </c>
      <c r="E4821" s="407">
        <f t="shared" si="150"/>
        <v>24.98</v>
      </c>
      <c r="F4821">
        <f t="shared" si="151"/>
        <v>103885</v>
      </c>
      <c r="H4821" s="680">
        <v>24.98</v>
      </c>
      <c r="I4821" s="680">
        <v>25.73</v>
      </c>
    </row>
    <row r="4822" spans="2:9" ht="30">
      <c r="B4822" s="396">
        <v>103886</v>
      </c>
      <c r="C4822" s="401" t="s">
        <v>6718</v>
      </c>
      <c r="D4822" s="396" t="s">
        <v>23</v>
      </c>
      <c r="E4822" s="405">
        <f t="shared" si="150"/>
        <v>435.82</v>
      </c>
      <c r="F4822">
        <f t="shared" si="151"/>
        <v>103886</v>
      </c>
      <c r="H4822" s="679">
        <v>435.82</v>
      </c>
      <c r="I4822" s="679">
        <v>436.57</v>
      </c>
    </row>
    <row r="4823" spans="2:9" ht="30">
      <c r="B4823" s="395">
        <v>103887</v>
      </c>
      <c r="C4823" s="406" t="s">
        <v>6719</v>
      </c>
      <c r="D4823" s="395" t="s">
        <v>23</v>
      </c>
      <c r="E4823" s="407">
        <f t="shared" si="150"/>
        <v>18.53</v>
      </c>
      <c r="F4823">
        <f t="shared" si="151"/>
        <v>103887</v>
      </c>
      <c r="H4823" s="680">
        <v>18.53</v>
      </c>
      <c r="I4823" s="680">
        <v>19.079999999999998</v>
      </c>
    </row>
    <row r="4824" spans="2:9" ht="30">
      <c r="B4824" s="396">
        <v>103888</v>
      </c>
      <c r="C4824" s="401" t="s">
        <v>6720</v>
      </c>
      <c r="D4824" s="396" t="s">
        <v>23</v>
      </c>
      <c r="E4824" s="405">
        <f t="shared" si="150"/>
        <v>14.51</v>
      </c>
      <c r="F4824">
        <f t="shared" si="151"/>
        <v>103888</v>
      </c>
      <c r="H4824" s="679">
        <v>14.51</v>
      </c>
      <c r="I4824" s="679">
        <v>15.4</v>
      </c>
    </row>
    <row r="4825" spans="2:9" ht="30">
      <c r="B4825" s="395">
        <v>103889</v>
      </c>
      <c r="C4825" s="406" t="s">
        <v>6721</v>
      </c>
      <c r="D4825" s="395" t="s">
        <v>23</v>
      </c>
      <c r="E4825" s="407">
        <f t="shared" si="150"/>
        <v>15.78</v>
      </c>
      <c r="F4825">
        <f t="shared" si="151"/>
        <v>103889</v>
      </c>
      <c r="H4825" s="680">
        <v>15.78</v>
      </c>
      <c r="I4825" s="680">
        <v>16.670000000000002</v>
      </c>
    </row>
    <row r="4826" spans="2:9" ht="30">
      <c r="B4826" s="396">
        <v>103890</v>
      </c>
      <c r="C4826" s="401" t="s">
        <v>6722</v>
      </c>
      <c r="D4826" s="396" t="s">
        <v>23</v>
      </c>
      <c r="E4826" s="405">
        <f t="shared" si="150"/>
        <v>506.13</v>
      </c>
      <c r="F4826">
        <f t="shared" si="151"/>
        <v>103890</v>
      </c>
      <c r="H4826" s="679">
        <v>506.13</v>
      </c>
      <c r="I4826" s="679">
        <v>507.02</v>
      </c>
    </row>
    <row r="4827" spans="2:9" ht="30">
      <c r="B4827" s="395">
        <v>103891</v>
      </c>
      <c r="C4827" s="406" t="s">
        <v>6723</v>
      </c>
      <c r="D4827" s="395" t="s">
        <v>23</v>
      </c>
      <c r="E4827" s="407">
        <f t="shared" si="150"/>
        <v>48.26</v>
      </c>
      <c r="F4827">
        <f t="shared" si="151"/>
        <v>103891</v>
      </c>
      <c r="H4827" s="680">
        <v>48.26</v>
      </c>
      <c r="I4827" s="680">
        <v>49.15</v>
      </c>
    </row>
    <row r="4828" spans="2:9" ht="30">
      <c r="B4828" s="396">
        <v>103892</v>
      </c>
      <c r="C4828" s="401" t="s">
        <v>6724</v>
      </c>
      <c r="D4828" s="396" t="s">
        <v>23</v>
      </c>
      <c r="E4828" s="405">
        <f t="shared" si="150"/>
        <v>14.16</v>
      </c>
      <c r="F4828">
        <f t="shared" si="151"/>
        <v>103892</v>
      </c>
      <c r="H4828" s="679">
        <v>14.16</v>
      </c>
      <c r="I4828" s="679">
        <v>14.98</v>
      </c>
    </row>
    <row r="4829" spans="2:9" ht="30">
      <c r="B4829" s="395">
        <v>103893</v>
      </c>
      <c r="C4829" s="406" t="s">
        <v>6725</v>
      </c>
      <c r="D4829" s="395" t="s">
        <v>23</v>
      </c>
      <c r="E4829" s="407">
        <f t="shared" si="150"/>
        <v>19.600000000000001</v>
      </c>
      <c r="F4829">
        <f t="shared" si="151"/>
        <v>103893</v>
      </c>
      <c r="H4829" s="680">
        <v>19.600000000000001</v>
      </c>
      <c r="I4829" s="680">
        <v>20.22</v>
      </c>
    </row>
    <row r="4830" spans="2:9" ht="30">
      <c r="B4830" s="396">
        <v>103894</v>
      </c>
      <c r="C4830" s="401" t="s">
        <v>6726</v>
      </c>
      <c r="D4830" s="396" t="s">
        <v>23</v>
      </c>
      <c r="E4830" s="405">
        <f t="shared" si="150"/>
        <v>23.66</v>
      </c>
      <c r="F4830">
        <f t="shared" si="151"/>
        <v>103894</v>
      </c>
      <c r="H4830" s="679">
        <v>23.66</v>
      </c>
      <c r="I4830" s="679">
        <v>24.35</v>
      </c>
    </row>
    <row r="4831" spans="2:9" ht="30">
      <c r="B4831" s="395">
        <v>103895</v>
      </c>
      <c r="C4831" s="406" t="s">
        <v>6727</v>
      </c>
      <c r="D4831" s="395" t="s">
        <v>23</v>
      </c>
      <c r="E4831" s="407">
        <f t="shared" si="150"/>
        <v>21.33</v>
      </c>
      <c r="F4831">
        <f t="shared" si="151"/>
        <v>103895</v>
      </c>
      <c r="H4831" s="680">
        <v>21.33</v>
      </c>
      <c r="I4831" s="680">
        <v>22.33</v>
      </c>
    </row>
    <row r="4832" spans="2:9" ht="30">
      <c r="B4832" s="396">
        <v>103896</v>
      </c>
      <c r="C4832" s="401" t="s">
        <v>6728</v>
      </c>
      <c r="D4832" s="396" t="s">
        <v>23</v>
      </c>
      <c r="E4832" s="405">
        <f t="shared" si="150"/>
        <v>21.33</v>
      </c>
      <c r="F4832">
        <f t="shared" si="151"/>
        <v>103896</v>
      </c>
      <c r="H4832" s="679">
        <v>21.33</v>
      </c>
      <c r="I4832" s="679">
        <v>22.33</v>
      </c>
    </row>
    <row r="4833" spans="2:9" ht="30">
      <c r="B4833" s="395">
        <v>103897</v>
      </c>
      <c r="C4833" s="406" t="s">
        <v>6729</v>
      </c>
      <c r="D4833" s="395" t="s">
        <v>23</v>
      </c>
      <c r="E4833" s="407">
        <f t="shared" si="150"/>
        <v>81.040000000000006</v>
      </c>
      <c r="F4833">
        <f t="shared" si="151"/>
        <v>103897</v>
      </c>
      <c r="H4833" s="680">
        <v>81.040000000000006</v>
      </c>
      <c r="I4833" s="680">
        <v>82.04</v>
      </c>
    </row>
    <row r="4834" spans="2:9" ht="30">
      <c r="B4834" s="396">
        <v>103898</v>
      </c>
      <c r="C4834" s="401" t="s">
        <v>6730</v>
      </c>
      <c r="D4834" s="396" t="s">
        <v>23</v>
      </c>
      <c r="E4834" s="405">
        <f t="shared" si="150"/>
        <v>556.49</v>
      </c>
      <c r="F4834">
        <f t="shared" si="151"/>
        <v>103898</v>
      </c>
      <c r="H4834" s="679">
        <v>556.49</v>
      </c>
      <c r="I4834" s="679">
        <v>557.49</v>
      </c>
    </row>
    <row r="4835" spans="2:9" ht="30">
      <c r="B4835" s="395">
        <v>103899</v>
      </c>
      <c r="C4835" s="406" t="s">
        <v>6731</v>
      </c>
      <c r="D4835" s="395" t="s">
        <v>23</v>
      </c>
      <c r="E4835" s="407">
        <f t="shared" si="150"/>
        <v>30.5</v>
      </c>
      <c r="F4835">
        <f t="shared" si="151"/>
        <v>103899</v>
      </c>
      <c r="H4835" s="680">
        <v>30.5</v>
      </c>
      <c r="I4835" s="680">
        <v>31.16</v>
      </c>
    </row>
    <row r="4836" spans="2:9" ht="30">
      <c r="B4836" s="396">
        <v>103900</v>
      </c>
      <c r="C4836" s="401" t="s">
        <v>6732</v>
      </c>
      <c r="D4836" s="396" t="s">
        <v>23</v>
      </c>
      <c r="E4836" s="405">
        <f t="shared" si="150"/>
        <v>18.5</v>
      </c>
      <c r="F4836">
        <f t="shared" si="151"/>
        <v>103900</v>
      </c>
      <c r="H4836" s="679">
        <v>18.5</v>
      </c>
      <c r="I4836" s="679">
        <v>19.45</v>
      </c>
    </row>
    <row r="4837" spans="2:9" ht="30">
      <c r="B4837" s="395">
        <v>103901</v>
      </c>
      <c r="C4837" s="406" t="s">
        <v>6733</v>
      </c>
      <c r="D4837" s="395" t="s">
        <v>23</v>
      </c>
      <c r="E4837" s="407">
        <f t="shared" si="150"/>
        <v>21.11</v>
      </c>
      <c r="F4837">
        <f t="shared" si="151"/>
        <v>103901</v>
      </c>
      <c r="H4837" s="680">
        <v>21.11</v>
      </c>
      <c r="I4837" s="680">
        <v>22.61</v>
      </c>
    </row>
    <row r="4838" spans="2:9" ht="30">
      <c r="B4838" s="396">
        <v>103902</v>
      </c>
      <c r="C4838" s="401" t="s">
        <v>6734</v>
      </c>
      <c r="D4838" s="396" t="s">
        <v>23</v>
      </c>
      <c r="E4838" s="405">
        <f t="shared" si="150"/>
        <v>32.01</v>
      </c>
      <c r="F4838">
        <f t="shared" si="151"/>
        <v>103902</v>
      </c>
      <c r="H4838" s="679">
        <v>32.01</v>
      </c>
      <c r="I4838" s="679">
        <v>33.78</v>
      </c>
    </row>
    <row r="4839" spans="2:9" ht="30">
      <c r="B4839" s="395">
        <v>103903</v>
      </c>
      <c r="C4839" s="406" t="s">
        <v>6735</v>
      </c>
      <c r="D4839" s="395" t="s">
        <v>23</v>
      </c>
      <c r="E4839" s="407">
        <f t="shared" si="150"/>
        <v>44.04</v>
      </c>
      <c r="F4839">
        <f t="shared" si="151"/>
        <v>103903</v>
      </c>
      <c r="H4839" s="680">
        <v>44.04</v>
      </c>
      <c r="I4839" s="680">
        <v>46.05</v>
      </c>
    </row>
    <row r="4840" spans="2:9" ht="30">
      <c r="B4840" s="396">
        <v>103947</v>
      </c>
      <c r="C4840" s="401" t="s">
        <v>8273</v>
      </c>
      <c r="D4840" s="396" t="s">
        <v>23</v>
      </c>
      <c r="E4840" s="405">
        <f t="shared" si="150"/>
        <v>5.59</v>
      </c>
      <c r="F4840">
        <f t="shared" si="151"/>
        <v>103947</v>
      </c>
      <c r="H4840" s="679">
        <v>5.59</v>
      </c>
      <c r="I4840" s="679">
        <v>6.02</v>
      </c>
    </row>
    <row r="4841" spans="2:9" ht="30">
      <c r="B4841" s="395">
        <v>103948</v>
      </c>
      <c r="C4841" s="406" t="s">
        <v>8274</v>
      </c>
      <c r="D4841" s="395" t="s">
        <v>23</v>
      </c>
      <c r="E4841" s="407">
        <f t="shared" si="150"/>
        <v>7.11</v>
      </c>
      <c r="F4841">
        <f t="shared" si="151"/>
        <v>103948</v>
      </c>
      <c r="H4841" s="680">
        <v>7.11</v>
      </c>
      <c r="I4841" s="680">
        <v>7.62</v>
      </c>
    </row>
    <row r="4842" spans="2:9" ht="30">
      <c r="B4842" s="396">
        <v>103949</v>
      </c>
      <c r="C4842" s="401" t="s">
        <v>8275</v>
      </c>
      <c r="D4842" s="396" t="s">
        <v>23</v>
      </c>
      <c r="E4842" s="405">
        <f t="shared" si="150"/>
        <v>9.01</v>
      </c>
      <c r="F4842">
        <f t="shared" si="151"/>
        <v>103949</v>
      </c>
      <c r="H4842" s="679">
        <v>9.01</v>
      </c>
      <c r="I4842" s="679">
        <v>9.49</v>
      </c>
    </row>
    <row r="4843" spans="2:9" ht="30">
      <c r="B4843" s="395">
        <v>103950</v>
      </c>
      <c r="C4843" s="406" t="s">
        <v>8276</v>
      </c>
      <c r="D4843" s="395" t="s">
        <v>23</v>
      </c>
      <c r="E4843" s="407">
        <f t="shared" si="150"/>
        <v>10.16</v>
      </c>
      <c r="F4843">
        <f t="shared" si="151"/>
        <v>103950</v>
      </c>
      <c r="H4843" s="680">
        <v>10.16</v>
      </c>
      <c r="I4843" s="680">
        <v>10.81</v>
      </c>
    </row>
    <row r="4844" spans="2:9" ht="30">
      <c r="B4844" s="396">
        <v>103951</v>
      </c>
      <c r="C4844" s="401" t="s">
        <v>8277</v>
      </c>
      <c r="D4844" s="396" t="s">
        <v>23</v>
      </c>
      <c r="E4844" s="405">
        <f t="shared" si="150"/>
        <v>14.62</v>
      </c>
      <c r="F4844">
        <f t="shared" si="151"/>
        <v>103951</v>
      </c>
      <c r="H4844" s="679">
        <v>14.62</v>
      </c>
      <c r="I4844" s="679">
        <v>15.39</v>
      </c>
    </row>
    <row r="4845" spans="2:9" ht="30">
      <c r="B4845" s="395">
        <v>103952</v>
      </c>
      <c r="C4845" s="406" t="s">
        <v>8278</v>
      </c>
      <c r="D4845" s="395" t="s">
        <v>23</v>
      </c>
      <c r="E4845" s="407">
        <f t="shared" si="150"/>
        <v>5.18</v>
      </c>
      <c r="F4845">
        <f t="shared" si="151"/>
        <v>103952</v>
      </c>
      <c r="H4845" s="680">
        <v>5.18</v>
      </c>
      <c r="I4845" s="680">
        <v>5.57</v>
      </c>
    </row>
    <row r="4846" spans="2:9" ht="30">
      <c r="B4846" s="396">
        <v>103953</v>
      </c>
      <c r="C4846" s="401" t="s">
        <v>8279</v>
      </c>
      <c r="D4846" s="396" t="s">
        <v>23</v>
      </c>
      <c r="E4846" s="405">
        <f t="shared" si="150"/>
        <v>6.63</v>
      </c>
      <c r="F4846">
        <f t="shared" si="151"/>
        <v>103953</v>
      </c>
      <c r="H4846" s="679">
        <v>6.63</v>
      </c>
      <c r="I4846" s="679">
        <v>7.08</v>
      </c>
    </row>
    <row r="4847" spans="2:9" ht="30">
      <c r="B4847" s="395">
        <v>103954</v>
      </c>
      <c r="C4847" s="406" t="s">
        <v>8280</v>
      </c>
      <c r="D4847" s="395" t="s">
        <v>23</v>
      </c>
      <c r="E4847" s="407">
        <f t="shared" si="150"/>
        <v>8.5500000000000007</v>
      </c>
      <c r="F4847">
        <f t="shared" si="151"/>
        <v>103954</v>
      </c>
      <c r="H4847" s="680">
        <v>8.5500000000000007</v>
      </c>
      <c r="I4847" s="680">
        <v>8.98</v>
      </c>
    </row>
    <row r="4848" spans="2:9" ht="30">
      <c r="B4848" s="396">
        <v>103955</v>
      </c>
      <c r="C4848" s="401" t="s">
        <v>8281</v>
      </c>
      <c r="D4848" s="396" t="s">
        <v>23</v>
      </c>
      <c r="E4848" s="405">
        <f t="shared" si="150"/>
        <v>9.56</v>
      </c>
      <c r="F4848">
        <f t="shared" si="151"/>
        <v>103955</v>
      </c>
      <c r="H4848" s="679">
        <v>9.56</v>
      </c>
      <c r="I4848" s="679">
        <v>10.130000000000001</v>
      </c>
    </row>
    <row r="4849" spans="2:9" ht="30">
      <c r="B4849" s="395">
        <v>103956</v>
      </c>
      <c r="C4849" s="406" t="s">
        <v>8282</v>
      </c>
      <c r="D4849" s="395" t="s">
        <v>23</v>
      </c>
      <c r="E4849" s="407">
        <f t="shared" si="150"/>
        <v>13.91</v>
      </c>
      <c r="F4849">
        <f t="shared" si="151"/>
        <v>103956</v>
      </c>
      <c r="H4849" s="680">
        <v>13.91</v>
      </c>
      <c r="I4849" s="680">
        <v>14.6</v>
      </c>
    </row>
    <row r="4850" spans="2:9" ht="30">
      <c r="B4850" s="396">
        <v>103957</v>
      </c>
      <c r="C4850" s="401" t="s">
        <v>8283</v>
      </c>
      <c r="D4850" s="396" t="s">
        <v>23</v>
      </c>
      <c r="E4850" s="405">
        <f t="shared" si="150"/>
        <v>4.72</v>
      </c>
      <c r="F4850">
        <f t="shared" si="151"/>
        <v>103957</v>
      </c>
      <c r="H4850" s="679">
        <v>4.72</v>
      </c>
      <c r="I4850" s="679">
        <v>4.97</v>
      </c>
    </row>
    <row r="4851" spans="2:9" ht="30">
      <c r="B4851" s="395">
        <v>103958</v>
      </c>
      <c r="C4851" s="406" t="s">
        <v>8284</v>
      </c>
      <c r="D4851" s="395" t="s">
        <v>23</v>
      </c>
      <c r="E4851" s="407">
        <f t="shared" si="150"/>
        <v>10.29</v>
      </c>
      <c r="F4851">
        <f t="shared" si="151"/>
        <v>103958</v>
      </c>
      <c r="H4851" s="680">
        <v>10.29</v>
      </c>
      <c r="I4851" s="680">
        <v>10.65</v>
      </c>
    </row>
    <row r="4852" spans="2:9" ht="30">
      <c r="B4852" s="396">
        <v>103959</v>
      </c>
      <c r="C4852" s="401" t="s">
        <v>8285</v>
      </c>
      <c r="D4852" s="396" t="s">
        <v>23</v>
      </c>
      <c r="E4852" s="405">
        <f t="shared" si="150"/>
        <v>15.96</v>
      </c>
      <c r="F4852">
        <f t="shared" si="151"/>
        <v>103959</v>
      </c>
      <c r="H4852" s="679">
        <v>15.96</v>
      </c>
      <c r="I4852" s="679">
        <v>16.37</v>
      </c>
    </row>
    <row r="4853" spans="2:9" ht="30">
      <c r="B4853" s="395">
        <v>103962</v>
      </c>
      <c r="C4853" s="406" t="s">
        <v>8286</v>
      </c>
      <c r="D4853" s="395" t="s">
        <v>23</v>
      </c>
      <c r="E4853" s="407">
        <f t="shared" si="150"/>
        <v>6.7</v>
      </c>
      <c r="F4853">
        <f t="shared" si="151"/>
        <v>103962</v>
      </c>
      <c r="H4853" s="680">
        <v>6.7</v>
      </c>
      <c r="I4853" s="680">
        <v>6.93</v>
      </c>
    </row>
    <row r="4854" spans="2:9" ht="30">
      <c r="B4854" s="396">
        <v>103964</v>
      </c>
      <c r="C4854" s="401" t="s">
        <v>8287</v>
      </c>
      <c r="D4854" s="396" t="s">
        <v>23</v>
      </c>
      <c r="E4854" s="405">
        <f t="shared" si="150"/>
        <v>8.57</v>
      </c>
      <c r="F4854">
        <f t="shared" si="151"/>
        <v>103964</v>
      </c>
      <c r="H4854" s="679">
        <v>8.57</v>
      </c>
      <c r="I4854" s="679">
        <v>8.83</v>
      </c>
    </row>
    <row r="4855" spans="2:9" ht="30">
      <c r="B4855" s="395">
        <v>103966</v>
      </c>
      <c r="C4855" s="406" t="s">
        <v>8288</v>
      </c>
      <c r="D4855" s="395" t="s">
        <v>23</v>
      </c>
      <c r="E4855" s="407">
        <f t="shared" si="150"/>
        <v>10.15</v>
      </c>
      <c r="F4855">
        <f t="shared" si="151"/>
        <v>103966</v>
      </c>
      <c r="H4855" s="680">
        <v>10.15</v>
      </c>
      <c r="I4855" s="680">
        <v>10.46</v>
      </c>
    </row>
    <row r="4856" spans="2:9" ht="30">
      <c r="B4856" s="396">
        <v>103967</v>
      </c>
      <c r="C4856" s="401" t="s">
        <v>8289</v>
      </c>
      <c r="D4856" s="396" t="s">
        <v>23</v>
      </c>
      <c r="E4856" s="405">
        <f t="shared" si="150"/>
        <v>12.44</v>
      </c>
      <c r="F4856">
        <f t="shared" si="151"/>
        <v>103967</v>
      </c>
      <c r="H4856" s="679">
        <v>12.44</v>
      </c>
      <c r="I4856" s="679">
        <v>12.76</v>
      </c>
    </row>
    <row r="4857" spans="2:9" ht="30">
      <c r="B4857" s="395">
        <v>103968</v>
      </c>
      <c r="C4857" s="406" t="s">
        <v>8290</v>
      </c>
      <c r="D4857" s="395" t="s">
        <v>23</v>
      </c>
      <c r="E4857" s="407">
        <f t="shared" si="150"/>
        <v>18.46</v>
      </c>
      <c r="F4857">
        <f t="shared" si="151"/>
        <v>103968</v>
      </c>
      <c r="H4857" s="680">
        <v>18.46</v>
      </c>
      <c r="I4857" s="680">
        <v>18.8</v>
      </c>
    </row>
    <row r="4858" spans="2:9" ht="30">
      <c r="B4858" s="396">
        <v>103969</v>
      </c>
      <c r="C4858" s="401" t="s">
        <v>8291</v>
      </c>
      <c r="D4858" s="396" t="s">
        <v>23</v>
      </c>
      <c r="E4858" s="405">
        <f t="shared" si="150"/>
        <v>21.98</v>
      </c>
      <c r="F4858">
        <f t="shared" si="151"/>
        <v>103969</v>
      </c>
      <c r="H4858" s="679">
        <v>21.98</v>
      </c>
      <c r="I4858" s="679">
        <v>22.35</v>
      </c>
    </row>
    <row r="4859" spans="2:9" ht="30">
      <c r="B4859" s="395">
        <v>103971</v>
      </c>
      <c r="C4859" s="406" t="s">
        <v>8292</v>
      </c>
      <c r="D4859" s="395" t="s">
        <v>23</v>
      </c>
      <c r="E4859" s="407">
        <f t="shared" si="150"/>
        <v>28.15</v>
      </c>
      <c r="F4859">
        <f t="shared" si="151"/>
        <v>103971</v>
      </c>
      <c r="H4859" s="680">
        <v>28.15</v>
      </c>
      <c r="I4859" s="680">
        <v>28.56</v>
      </c>
    </row>
    <row r="4860" spans="2:9" ht="30">
      <c r="B4860" s="396">
        <v>103972</v>
      </c>
      <c r="C4860" s="401" t="s">
        <v>8293</v>
      </c>
      <c r="D4860" s="396" t="s">
        <v>23</v>
      </c>
      <c r="E4860" s="405">
        <f t="shared" si="150"/>
        <v>32.619999999999997</v>
      </c>
      <c r="F4860">
        <f t="shared" si="151"/>
        <v>103972</v>
      </c>
      <c r="H4860" s="679">
        <v>32.619999999999997</v>
      </c>
      <c r="I4860" s="679">
        <v>33.090000000000003</v>
      </c>
    </row>
    <row r="4861" spans="2:9" ht="30">
      <c r="B4861" s="395">
        <v>103974</v>
      </c>
      <c r="C4861" s="406" t="s">
        <v>8294</v>
      </c>
      <c r="D4861" s="395" t="s">
        <v>23</v>
      </c>
      <c r="E4861" s="407">
        <f t="shared" si="150"/>
        <v>11.06</v>
      </c>
      <c r="F4861">
        <f t="shared" si="151"/>
        <v>103974</v>
      </c>
      <c r="H4861" s="680">
        <v>11.06</v>
      </c>
      <c r="I4861" s="680">
        <v>11.42</v>
      </c>
    </row>
    <row r="4862" spans="2:9" ht="30">
      <c r="B4862" s="396">
        <v>103975</v>
      </c>
      <c r="C4862" s="401" t="s">
        <v>8295</v>
      </c>
      <c r="D4862" s="396" t="s">
        <v>23</v>
      </c>
      <c r="E4862" s="405">
        <f t="shared" si="150"/>
        <v>18.79</v>
      </c>
      <c r="F4862">
        <f t="shared" si="151"/>
        <v>103975</v>
      </c>
      <c r="H4862" s="679">
        <v>18.79</v>
      </c>
      <c r="I4862" s="679">
        <v>19.34</v>
      </c>
    </row>
    <row r="4863" spans="2:9" ht="30">
      <c r="B4863" s="395">
        <v>103976</v>
      </c>
      <c r="C4863" s="406" t="s">
        <v>8296</v>
      </c>
      <c r="D4863" s="395" t="s">
        <v>23</v>
      </c>
      <c r="E4863" s="407">
        <f t="shared" si="150"/>
        <v>27.92</v>
      </c>
      <c r="F4863">
        <f t="shared" si="151"/>
        <v>103976</v>
      </c>
      <c r="H4863" s="680">
        <v>27.92</v>
      </c>
      <c r="I4863" s="680">
        <v>28.58</v>
      </c>
    </row>
    <row r="4864" spans="2:9" ht="30">
      <c r="B4864" s="396">
        <v>103977</v>
      </c>
      <c r="C4864" s="401" t="s">
        <v>8297</v>
      </c>
      <c r="D4864" s="396" t="s">
        <v>23</v>
      </c>
      <c r="E4864" s="405">
        <f t="shared" si="150"/>
        <v>7.05</v>
      </c>
      <c r="F4864">
        <f t="shared" si="151"/>
        <v>103977</v>
      </c>
      <c r="H4864" s="679">
        <v>7.05</v>
      </c>
      <c r="I4864" s="679">
        <v>7.34</v>
      </c>
    </row>
    <row r="4865" spans="2:9" ht="30">
      <c r="B4865" s="395">
        <v>103980</v>
      </c>
      <c r="C4865" s="406" t="s">
        <v>8298</v>
      </c>
      <c r="D4865" s="395" t="s">
        <v>23</v>
      </c>
      <c r="E4865" s="407">
        <f t="shared" si="150"/>
        <v>17.21</v>
      </c>
      <c r="F4865">
        <f t="shared" si="151"/>
        <v>103980</v>
      </c>
      <c r="H4865" s="680">
        <v>17.21</v>
      </c>
      <c r="I4865" s="680">
        <v>18.09</v>
      </c>
    </row>
    <row r="4866" spans="2:9" ht="30">
      <c r="B4866" s="396">
        <v>103981</v>
      </c>
      <c r="C4866" s="401" t="s">
        <v>8299</v>
      </c>
      <c r="D4866" s="396" t="s">
        <v>23</v>
      </c>
      <c r="E4866" s="405">
        <f t="shared" si="150"/>
        <v>17.28</v>
      </c>
      <c r="F4866">
        <f t="shared" si="151"/>
        <v>103981</v>
      </c>
      <c r="H4866" s="679">
        <v>17.28</v>
      </c>
      <c r="I4866" s="679">
        <v>18.16</v>
      </c>
    </row>
    <row r="4867" spans="2:9" ht="30">
      <c r="B4867" s="395">
        <v>103982</v>
      </c>
      <c r="C4867" s="406" t="s">
        <v>8300</v>
      </c>
      <c r="D4867" s="395" t="s">
        <v>23</v>
      </c>
      <c r="E4867" s="407">
        <f t="shared" ref="E4867:E4930" si="152">IF($K$2=$H$1,H4867,I4867)</f>
        <v>24.92</v>
      </c>
      <c r="F4867">
        <f t="shared" ref="F4867:F4930" si="153">IF(LEN($B4867)=7,CONCATENATE(MID($B4867,1,6),"00",RIGHT($B4867,1)),IF(LEN($B4867)=8,CONCATENATE(MID($B4867,1,6),"0",RIGHT($B4867,2)),$B4867))</f>
        <v>103982</v>
      </c>
      <c r="H4867" s="680">
        <v>24.92</v>
      </c>
      <c r="I4867" s="680">
        <v>25.8</v>
      </c>
    </row>
    <row r="4868" spans="2:9" ht="30">
      <c r="B4868" s="396">
        <v>103983</v>
      </c>
      <c r="C4868" s="401" t="s">
        <v>8301</v>
      </c>
      <c r="D4868" s="396" t="s">
        <v>23</v>
      </c>
      <c r="E4868" s="405">
        <f t="shared" si="152"/>
        <v>16.61</v>
      </c>
      <c r="F4868">
        <f t="shared" si="153"/>
        <v>103983</v>
      </c>
      <c r="H4868" s="679">
        <v>16.61</v>
      </c>
      <c r="I4868" s="679">
        <v>17.489999999999998</v>
      </c>
    </row>
    <row r="4869" spans="2:9" ht="30">
      <c r="B4869" s="395">
        <v>103984</v>
      </c>
      <c r="C4869" s="406" t="s">
        <v>8302</v>
      </c>
      <c r="D4869" s="395" t="s">
        <v>23</v>
      </c>
      <c r="E4869" s="407">
        <f t="shared" si="152"/>
        <v>18.61</v>
      </c>
      <c r="F4869">
        <f t="shared" si="153"/>
        <v>103984</v>
      </c>
      <c r="H4869" s="680">
        <v>18.61</v>
      </c>
      <c r="I4869" s="680">
        <v>19.68</v>
      </c>
    </row>
    <row r="4870" spans="2:9" ht="30">
      <c r="B4870" s="396">
        <v>103985</v>
      </c>
      <c r="C4870" s="401" t="s">
        <v>8303</v>
      </c>
      <c r="D4870" s="396" t="s">
        <v>23</v>
      </c>
      <c r="E4870" s="405">
        <f t="shared" si="152"/>
        <v>21.75</v>
      </c>
      <c r="F4870">
        <f t="shared" si="153"/>
        <v>103985</v>
      </c>
      <c r="H4870" s="679">
        <v>21.75</v>
      </c>
      <c r="I4870" s="679">
        <v>22.82</v>
      </c>
    </row>
    <row r="4871" spans="2:9" ht="30">
      <c r="B4871" s="395">
        <v>103986</v>
      </c>
      <c r="C4871" s="406" t="s">
        <v>8304</v>
      </c>
      <c r="D4871" s="395" t="s">
        <v>23</v>
      </c>
      <c r="E4871" s="407">
        <f t="shared" si="152"/>
        <v>28.75</v>
      </c>
      <c r="F4871">
        <f t="shared" si="153"/>
        <v>103986</v>
      </c>
      <c r="H4871" s="680">
        <v>28.75</v>
      </c>
      <c r="I4871" s="680">
        <v>29.82</v>
      </c>
    </row>
    <row r="4872" spans="2:9" ht="30">
      <c r="B4872" s="396">
        <v>103987</v>
      </c>
      <c r="C4872" s="401" t="s">
        <v>8305</v>
      </c>
      <c r="D4872" s="396" t="s">
        <v>23</v>
      </c>
      <c r="E4872" s="405">
        <f t="shared" si="152"/>
        <v>24</v>
      </c>
      <c r="F4872">
        <f t="shared" si="153"/>
        <v>103987</v>
      </c>
      <c r="H4872" s="679">
        <v>24</v>
      </c>
      <c r="I4872" s="679">
        <v>25.07</v>
      </c>
    </row>
    <row r="4873" spans="2:9">
      <c r="B4873" s="395">
        <v>103988</v>
      </c>
      <c r="C4873" s="406" t="s">
        <v>8306</v>
      </c>
      <c r="D4873" s="395" t="s">
        <v>23</v>
      </c>
      <c r="E4873" s="407">
        <f t="shared" si="152"/>
        <v>12.61</v>
      </c>
      <c r="F4873">
        <f t="shared" si="153"/>
        <v>103988</v>
      </c>
      <c r="H4873" s="680">
        <v>12.61</v>
      </c>
      <c r="I4873" s="680">
        <v>13.2</v>
      </c>
    </row>
    <row r="4874" spans="2:9">
      <c r="B4874" s="396">
        <v>103990</v>
      </c>
      <c r="C4874" s="401" t="s">
        <v>8307</v>
      </c>
      <c r="D4874" s="396" t="s">
        <v>23</v>
      </c>
      <c r="E4874" s="405">
        <f t="shared" si="152"/>
        <v>39.840000000000003</v>
      </c>
      <c r="F4874">
        <f t="shared" si="153"/>
        <v>103990</v>
      </c>
      <c r="H4874" s="679">
        <v>39.840000000000003</v>
      </c>
      <c r="I4874" s="679">
        <v>40.43</v>
      </c>
    </row>
    <row r="4875" spans="2:9" ht="30">
      <c r="B4875" s="395">
        <v>103991</v>
      </c>
      <c r="C4875" s="406" t="s">
        <v>8308</v>
      </c>
      <c r="D4875" s="395" t="s">
        <v>23</v>
      </c>
      <c r="E4875" s="407">
        <f t="shared" si="152"/>
        <v>19.63</v>
      </c>
      <c r="F4875">
        <f t="shared" si="153"/>
        <v>103991</v>
      </c>
      <c r="H4875" s="680">
        <v>19.63</v>
      </c>
      <c r="I4875" s="680">
        <v>20.170000000000002</v>
      </c>
    </row>
    <row r="4876" spans="2:9" ht="30">
      <c r="B4876" s="396">
        <v>103992</v>
      </c>
      <c r="C4876" s="401" t="s">
        <v>8309</v>
      </c>
      <c r="D4876" s="396" t="s">
        <v>23</v>
      </c>
      <c r="E4876" s="405">
        <f t="shared" si="152"/>
        <v>11.3</v>
      </c>
      <c r="F4876">
        <f t="shared" si="153"/>
        <v>103992</v>
      </c>
      <c r="H4876" s="679">
        <v>11.3</v>
      </c>
      <c r="I4876" s="679">
        <v>11.84</v>
      </c>
    </row>
    <row r="4877" spans="2:9" ht="30">
      <c r="B4877" s="395">
        <v>103993</v>
      </c>
      <c r="C4877" s="406" t="s">
        <v>8310</v>
      </c>
      <c r="D4877" s="395" t="s">
        <v>23</v>
      </c>
      <c r="E4877" s="407">
        <f t="shared" si="152"/>
        <v>9.2799999999999994</v>
      </c>
      <c r="F4877">
        <f t="shared" si="153"/>
        <v>103993</v>
      </c>
      <c r="H4877" s="680">
        <v>9.2799999999999994</v>
      </c>
      <c r="I4877" s="680">
        <v>9.82</v>
      </c>
    </row>
    <row r="4878" spans="2:9" ht="30">
      <c r="B4878" s="396">
        <v>103994</v>
      </c>
      <c r="C4878" s="401" t="s">
        <v>8311</v>
      </c>
      <c r="D4878" s="396" t="s">
        <v>23</v>
      </c>
      <c r="E4878" s="405">
        <f t="shared" si="152"/>
        <v>14.6</v>
      </c>
      <c r="F4878">
        <f t="shared" si="153"/>
        <v>103994</v>
      </c>
      <c r="H4878" s="679">
        <v>14.6</v>
      </c>
      <c r="I4878" s="679">
        <v>15.12</v>
      </c>
    </row>
    <row r="4879" spans="2:9">
      <c r="B4879" s="395">
        <v>103995</v>
      </c>
      <c r="C4879" s="406" t="s">
        <v>8312</v>
      </c>
      <c r="D4879" s="395" t="s">
        <v>23</v>
      </c>
      <c r="E4879" s="407">
        <f t="shared" si="152"/>
        <v>14.8</v>
      </c>
      <c r="F4879">
        <f t="shared" si="153"/>
        <v>103995</v>
      </c>
      <c r="H4879" s="680">
        <v>14.8</v>
      </c>
      <c r="I4879" s="680">
        <v>15.5</v>
      </c>
    </row>
    <row r="4880" spans="2:9" ht="30">
      <c r="B4880" s="396">
        <v>103996</v>
      </c>
      <c r="C4880" s="401" t="s">
        <v>8313</v>
      </c>
      <c r="D4880" s="396" t="s">
        <v>23</v>
      </c>
      <c r="E4880" s="405">
        <f t="shared" si="152"/>
        <v>45.28</v>
      </c>
      <c r="F4880">
        <f t="shared" si="153"/>
        <v>103996</v>
      </c>
      <c r="H4880" s="679">
        <v>45.28</v>
      </c>
      <c r="I4880" s="679">
        <v>45.98</v>
      </c>
    </row>
    <row r="4881" spans="2:9">
      <c r="B4881" s="395">
        <v>103997</v>
      </c>
      <c r="C4881" s="406" t="s">
        <v>8314</v>
      </c>
      <c r="D4881" s="395" t="s">
        <v>23</v>
      </c>
      <c r="E4881" s="407">
        <f t="shared" si="152"/>
        <v>44.11</v>
      </c>
      <c r="F4881">
        <f t="shared" si="153"/>
        <v>103997</v>
      </c>
      <c r="H4881" s="680">
        <v>44.11</v>
      </c>
      <c r="I4881" s="680">
        <v>44.81</v>
      </c>
    </row>
    <row r="4882" spans="2:9" ht="30">
      <c r="B4882" s="396">
        <v>103998</v>
      </c>
      <c r="C4882" s="401" t="s">
        <v>8315</v>
      </c>
      <c r="D4882" s="396" t="s">
        <v>23</v>
      </c>
      <c r="E4882" s="405">
        <f t="shared" si="152"/>
        <v>14.92</v>
      </c>
      <c r="F4882">
        <f t="shared" si="153"/>
        <v>103998</v>
      </c>
      <c r="H4882" s="679">
        <v>14.92</v>
      </c>
      <c r="I4882" s="679">
        <v>15.49</v>
      </c>
    </row>
    <row r="4883" spans="2:9" ht="30">
      <c r="B4883" s="395">
        <v>103999</v>
      </c>
      <c r="C4883" s="406" t="s">
        <v>8316</v>
      </c>
      <c r="D4883" s="395" t="s">
        <v>23</v>
      </c>
      <c r="E4883" s="407">
        <f t="shared" si="152"/>
        <v>12.42</v>
      </c>
      <c r="F4883">
        <f t="shared" si="153"/>
        <v>103999</v>
      </c>
      <c r="H4883" s="680">
        <v>12.42</v>
      </c>
      <c r="I4883" s="680">
        <v>12.99</v>
      </c>
    </row>
    <row r="4884" spans="2:9" ht="30">
      <c r="B4884" s="396">
        <v>104000</v>
      </c>
      <c r="C4884" s="401" t="s">
        <v>8317</v>
      </c>
      <c r="D4884" s="396" t="s">
        <v>23</v>
      </c>
      <c r="E4884" s="405">
        <f t="shared" si="152"/>
        <v>31.04</v>
      </c>
      <c r="F4884">
        <f t="shared" si="153"/>
        <v>104000</v>
      </c>
      <c r="H4884" s="679">
        <v>31.04</v>
      </c>
      <c r="I4884" s="679">
        <v>31.67</v>
      </c>
    </row>
    <row r="4885" spans="2:9" ht="30">
      <c r="B4885" s="395">
        <v>104001</v>
      </c>
      <c r="C4885" s="406" t="s">
        <v>8318</v>
      </c>
      <c r="D4885" s="395" t="s">
        <v>23</v>
      </c>
      <c r="E4885" s="407">
        <f t="shared" si="152"/>
        <v>13.65</v>
      </c>
      <c r="F4885">
        <f t="shared" si="153"/>
        <v>104001</v>
      </c>
      <c r="H4885" s="680">
        <v>13.65</v>
      </c>
      <c r="I4885" s="680">
        <v>14.28</v>
      </c>
    </row>
    <row r="4886" spans="2:9" ht="30">
      <c r="B4886" s="396">
        <v>104002</v>
      </c>
      <c r="C4886" s="401" t="s">
        <v>8319</v>
      </c>
      <c r="D4886" s="396" t="s">
        <v>23</v>
      </c>
      <c r="E4886" s="405">
        <f t="shared" si="152"/>
        <v>18.260000000000002</v>
      </c>
      <c r="F4886">
        <f t="shared" si="153"/>
        <v>104002</v>
      </c>
      <c r="H4886" s="679">
        <v>18.260000000000002</v>
      </c>
      <c r="I4886" s="679">
        <v>18.86</v>
      </c>
    </row>
    <row r="4887" spans="2:9" ht="30">
      <c r="B4887" s="395">
        <v>104003</v>
      </c>
      <c r="C4887" s="406" t="s">
        <v>8320</v>
      </c>
      <c r="D4887" s="395" t="s">
        <v>23</v>
      </c>
      <c r="E4887" s="407">
        <f t="shared" si="152"/>
        <v>14.85</v>
      </c>
      <c r="F4887">
        <f t="shared" si="153"/>
        <v>104003</v>
      </c>
      <c r="H4887" s="680">
        <v>14.85</v>
      </c>
      <c r="I4887" s="680">
        <v>15.45</v>
      </c>
    </row>
    <row r="4888" spans="2:9">
      <c r="B4888" s="396">
        <v>104004</v>
      </c>
      <c r="C4888" s="401" t="s">
        <v>8321</v>
      </c>
      <c r="D4888" s="396" t="s">
        <v>23</v>
      </c>
      <c r="E4888" s="405">
        <f t="shared" si="152"/>
        <v>29.14</v>
      </c>
      <c r="F4888">
        <f t="shared" si="153"/>
        <v>104004</v>
      </c>
      <c r="H4888" s="679">
        <v>29.14</v>
      </c>
      <c r="I4888" s="679">
        <v>30.55</v>
      </c>
    </row>
    <row r="4889" spans="2:9" ht="30">
      <c r="B4889" s="395">
        <v>104005</v>
      </c>
      <c r="C4889" s="406" t="s">
        <v>8322</v>
      </c>
      <c r="D4889" s="395" t="s">
        <v>23</v>
      </c>
      <c r="E4889" s="407">
        <f t="shared" si="152"/>
        <v>38.01</v>
      </c>
      <c r="F4889">
        <f t="shared" si="153"/>
        <v>104005</v>
      </c>
      <c r="H4889" s="680">
        <v>38.01</v>
      </c>
      <c r="I4889" s="680">
        <v>39.299999999999997</v>
      </c>
    </row>
    <row r="4890" spans="2:9" ht="30">
      <c r="B4890" s="396">
        <v>104006</v>
      </c>
      <c r="C4890" s="401" t="s">
        <v>8323</v>
      </c>
      <c r="D4890" s="396" t="s">
        <v>23</v>
      </c>
      <c r="E4890" s="405">
        <f t="shared" si="152"/>
        <v>25.39</v>
      </c>
      <c r="F4890">
        <f t="shared" si="153"/>
        <v>104006</v>
      </c>
      <c r="H4890" s="679">
        <v>25.39</v>
      </c>
      <c r="I4890" s="679">
        <v>26.46</v>
      </c>
    </row>
    <row r="4891" spans="2:9" ht="30">
      <c r="B4891" s="395">
        <v>104007</v>
      </c>
      <c r="C4891" s="406" t="s">
        <v>8324</v>
      </c>
      <c r="D4891" s="395" t="s">
        <v>23</v>
      </c>
      <c r="E4891" s="407">
        <f t="shared" si="152"/>
        <v>22.16</v>
      </c>
      <c r="F4891">
        <f t="shared" si="153"/>
        <v>104007</v>
      </c>
      <c r="H4891" s="680">
        <v>22.16</v>
      </c>
      <c r="I4891" s="680">
        <v>23.09</v>
      </c>
    </row>
    <row r="4892" spans="2:9" ht="30">
      <c r="B4892" s="396">
        <v>104008</v>
      </c>
      <c r="C4892" s="401" t="s">
        <v>8325</v>
      </c>
      <c r="D4892" s="396" t="s">
        <v>23</v>
      </c>
      <c r="E4892" s="405">
        <f t="shared" si="152"/>
        <v>32.729999999999997</v>
      </c>
      <c r="F4892">
        <f t="shared" si="153"/>
        <v>104008</v>
      </c>
      <c r="H4892" s="679">
        <v>32.729999999999997</v>
      </c>
      <c r="I4892" s="679">
        <v>33.93</v>
      </c>
    </row>
    <row r="4893" spans="2:9" ht="30">
      <c r="B4893" s="395">
        <v>104009</v>
      </c>
      <c r="C4893" s="406" t="s">
        <v>8326</v>
      </c>
      <c r="D4893" s="395" t="s">
        <v>23</v>
      </c>
      <c r="E4893" s="407">
        <f t="shared" si="152"/>
        <v>12.89</v>
      </c>
      <c r="F4893">
        <f t="shared" si="153"/>
        <v>104009</v>
      </c>
      <c r="H4893" s="680">
        <v>12.89</v>
      </c>
      <c r="I4893" s="680">
        <v>13.53</v>
      </c>
    </row>
    <row r="4894" spans="2:9">
      <c r="B4894" s="396">
        <v>104011</v>
      </c>
      <c r="C4894" s="401" t="s">
        <v>8327</v>
      </c>
      <c r="D4894" s="396" t="s">
        <v>23</v>
      </c>
      <c r="E4894" s="405">
        <f t="shared" si="152"/>
        <v>25.05</v>
      </c>
      <c r="F4894">
        <f t="shared" si="153"/>
        <v>104011</v>
      </c>
      <c r="H4894" s="679">
        <v>25.05</v>
      </c>
      <c r="I4894" s="679">
        <v>26.23</v>
      </c>
    </row>
    <row r="4895" spans="2:9" ht="30">
      <c r="B4895" s="395">
        <v>104012</v>
      </c>
      <c r="C4895" s="406" t="s">
        <v>8328</v>
      </c>
      <c r="D4895" s="395" t="s">
        <v>23</v>
      </c>
      <c r="E4895" s="407">
        <f t="shared" si="152"/>
        <v>23.23</v>
      </c>
      <c r="F4895">
        <f t="shared" si="153"/>
        <v>104012</v>
      </c>
      <c r="H4895" s="680">
        <v>23.23</v>
      </c>
      <c r="I4895" s="680">
        <v>24.32</v>
      </c>
    </row>
    <row r="4896" spans="2:9" ht="30">
      <c r="B4896" s="396">
        <v>104014</v>
      </c>
      <c r="C4896" s="401" t="s">
        <v>8329</v>
      </c>
      <c r="D4896" s="396" t="s">
        <v>23</v>
      </c>
      <c r="E4896" s="405">
        <f t="shared" si="152"/>
        <v>10.64</v>
      </c>
      <c r="F4896">
        <f t="shared" si="153"/>
        <v>104014</v>
      </c>
      <c r="H4896" s="679">
        <v>10.64</v>
      </c>
      <c r="I4896" s="679">
        <v>11.14</v>
      </c>
    </row>
    <row r="4897" spans="2:9" ht="30">
      <c r="B4897" s="395">
        <v>104015</v>
      </c>
      <c r="C4897" s="406" t="s">
        <v>8330</v>
      </c>
      <c r="D4897" s="395" t="s">
        <v>23</v>
      </c>
      <c r="E4897" s="407">
        <f t="shared" si="152"/>
        <v>15.34</v>
      </c>
      <c r="F4897">
        <f t="shared" si="153"/>
        <v>104015</v>
      </c>
      <c r="H4897" s="680">
        <v>15.34</v>
      </c>
      <c r="I4897" s="680">
        <v>16.11</v>
      </c>
    </row>
    <row r="4898" spans="2:9" ht="30">
      <c r="B4898" s="396">
        <v>104016</v>
      </c>
      <c r="C4898" s="401" t="s">
        <v>8331</v>
      </c>
      <c r="D4898" s="396" t="s">
        <v>23</v>
      </c>
      <c r="E4898" s="405">
        <f t="shared" si="152"/>
        <v>20.81</v>
      </c>
      <c r="F4898">
        <f t="shared" si="153"/>
        <v>104016</v>
      </c>
      <c r="H4898" s="679">
        <v>20.81</v>
      </c>
      <c r="I4898" s="679">
        <v>21.74</v>
      </c>
    </row>
    <row r="4899" spans="2:9" ht="30">
      <c r="B4899" s="395">
        <v>104017</v>
      </c>
      <c r="C4899" s="406" t="s">
        <v>8332</v>
      </c>
      <c r="D4899" s="395" t="s">
        <v>23</v>
      </c>
      <c r="E4899" s="407">
        <f t="shared" si="152"/>
        <v>42.81</v>
      </c>
      <c r="F4899">
        <f t="shared" si="153"/>
        <v>104017</v>
      </c>
      <c r="H4899" s="680">
        <v>42.81</v>
      </c>
      <c r="I4899" s="680">
        <v>43.9</v>
      </c>
    </row>
    <row r="4900" spans="2:9" ht="30">
      <c r="B4900" s="396">
        <v>104018</v>
      </c>
      <c r="C4900" s="401" t="s">
        <v>8332</v>
      </c>
      <c r="D4900" s="396" t="s">
        <v>23</v>
      </c>
      <c r="E4900" s="405">
        <f t="shared" si="152"/>
        <v>19.95</v>
      </c>
      <c r="F4900">
        <f t="shared" si="153"/>
        <v>104018</v>
      </c>
      <c r="H4900" s="679">
        <v>19.95</v>
      </c>
      <c r="I4900" s="679">
        <v>20.79</v>
      </c>
    </row>
    <row r="4901" spans="2:9" ht="30">
      <c r="B4901" s="395">
        <v>104019</v>
      </c>
      <c r="C4901" s="406" t="s">
        <v>8333</v>
      </c>
      <c r="D4901" s="395" t="s">
        <v>23</v>
      </c>
      <c r="E4901" s="407">
        <f t="shared" si="152"/>
        <v>41.81</v>
      </c>
      <c r="F4901">
        <f t="shared" si="153"/>
        <v>104019</v>
      </c>
      <c r="H4901" s="680">
        <v>41.81</v>
      </c>
      <c r="I4901" s="680">
        <v>42.81</v>
      </c>
    </row>
    <row r="4902" spans="2:9">
      <c r="B4902" s="396">
        <v>104020</v>
      </c>
      <c r="C4902" s="401" t="s">
        <v>8334</v>
      </c>
      <c r="D4902" s="396" t="s">
        <v>23</v>
      </c>
      <c r="E4902" s="405">
        <f t="shared" si="152"/>
        <v>53.68</v>
      </c>
      <c r="F4902">
        <f t="shared" si="153"/>
        <v>104020</v>
      </c>
      <c r="H4902" s="679">
        <v>53.68</v>
      </c>
      <c r="I4902" s="679">
        <v>54.3</v>
      </c>
    </row>
    <row r="4903" spans="2:9">
      <c r="B4903" s="395">
        <v>104022</v>
      </c>
      <c r="C4903" s="406" t="s">
        <v>8335</v>
      </c>
      <c r="D4903" s="395" t="s">
        <v>23</v>
      </c>
      <c r="E4903" s="407">
        <f t="shared" si="152"/>
        <v>65.650000000000006</v>
      </c>
      <c r="F4903">
        <f t="shared" si="153"/>
        <v>104022</v>
      </c>
      <c r="H4903" s="680">
        <v>65.650000000000006</v>
      </c>
      <c r="I4903" s="680">
        <v>66.87</v>
      </c>
    </row>
    <row r="4904" spans="2:9" ht="30">
      <c r="B4904" s="396">
        <v>104023</v>
      </c>
      <c r="C4904" s="401" t="s">
        <v>8336</v>
      </c>
      <c r="D4904" s="396" t="s">
        <v>23</v>
      </c>
      <c r="E4904" s="405">
        <f t="shared" si="152"/>
        <v>38.58</v>
      </c>
      <c r="F4904">
        <f t="shared" si="153"/>
        <v>104023</v>
      </c>
      <c r="H4904" s="679">
        <v>38.58</v>
      </c>
      <c r="I4904" s="679">
        <v>39.49</v>
      </c>
    </row>
    <row r="4905" spans="2:9" ht="30">
      <c r="B4905" s="395">
        <v>104024</v>
      </c>
      <c r="C4905" s="406" t="s">
        <v>8337</v>
      </c>
      <c r="D4905" s="395" t="s">
        <v>23</v>
      </c>
      <c r="E4905" s="407">
        <f t="shared" si="152"/>
        <v>38.200000000000003</v>
      </c>
      <c r="F4905">
        <f t="shared" si="153"/>
        <v>104024</v>
      </c>
      <c r="H4905" s="680">
        <v>38.200000000000003</v>
      </c>
      <c r="I4905" s="680">
        <v>39.11</v>
      </c>
    </row>
    <row r="4906" spans="2:9">
      <c r="B4906" s="396">
        <v>104025</v>
      </c>
      <c r="C4906" s="401" t="s">
        <v>8338</v>
      </c>
      <c r="D4906" s="396" t="s">
        <v>23</v>
      </c>
      <c r="E4906" s="405">
        <f t="shared" si="152"/>
        <v>27.21</v>
      </c>
      <c r="F4906">
        <f t="shared" si="153"/>
        <v>104025</v>
      </c>
      <c r="H4906" s="679">
        <v>27.21</v>
      </c>
      <c r="I4906" s="679">
        <v>27.82</v>
      </c>
    </row>
    <row r="4907" spans="2:9" ht="30">
      <c r="B4907" s="395">
        <v>104026</v>
      </c>
      <c r="C4907" s="406" t="s">
        <v>8339</v>
      </c>
      <c r="D4907" s="395" t="s">
        <v>23</v>
      </c>
      <c r="E4907" s="407">
        <f t="shared" si="152"/>
        <v>39.83</v>
      </c>
      <c r="F4907">
        <f t="shared" si="153"/>
        <v>104026</v>
      </c>
      <c r="H4907" s="680">
        <v>39.83</v>
      </c>
      <c r="I4907" s="680">
        <v>40.44</v>
      </c>
    </row>
    <row r="4908" spans="2:9">
      <c r="B4908" s="396">
        <v>104027</v>
      </c>
      <c r="C4908" s="401" t="s">
        <v>8340</v>
      </c>
      <c r="D4908" s="396" t="s">
        <v>23</v>
      </c>
      <c r="E4908" s="405">
        <f t="shared" si="152"/>
        <v>60.4</v>
      </c>
      <c r="F4908">
        <f t="shared" si="153"/>
        <v>104027</v>
      </c>
      <c r="H4908" s="679">
        <v>60.4</v>
      </c>
      <c r="I4908" s="679">
        <v>61.01</v>
      </c>
    </row>
    <row r="4909" spans="2:9" ht="30">
      <c r="B4909" s="395">
        <v>104028</v>
      </c>
      <c r="C4909" s="406" t="s">
        <v>8341</v>
      </c>
      <c r="D4909" s="395" t="s">
        <v>23</v>
      </c>
      <c r="E4909" s="407">
        <f t="shared" si="152"/>
        <v>123.36</v>
      </c>
      <c r="F4909">
        <f t="shared" si="153"/>
        <v>104028</v>
      </c>
      <c r="H4909" s="680">
        <v>123.36</v>
      </c>
      <c r="I4909" s="680">
        <v>123.93</v>
      </c>
    </row>
    <row r="4910" spans="2:9" ht="30">
      <c r="B4910" s="396">
        <v>104029</v>
      </c>
      <c r="C4910" s="401" t="s">
        <v>8342</v>
      </c>
      <c r="D4910" s="396" t="s">
        <v>23</v>
      </c>
      <c r="E4910" s="405">
        <f t="shared" si="152"/>
        <v>64.2</v>
      </c>
      <c r="F4910">
        <f t="shared" si="153"/>
        <v>104029</v>
      </c>
      <c r="H4910" s="679">
        <v>64.2</v>
      </c>
      <c r="I4910" s="679">
        <v>64.77</v>
      </c>
    </row>
    <row r="4911" spans="2:9" ht="30">
      <c r="B4911" s="395">
        <v>104030</v>
      </c>
      <c r="C4911" s="406" t="s">
        <v>8343</v>
      </c>
      <c r="D4911" s="395" t="s">
        <v>23</v>
      </c>
      <c r="E4911" s="407">
        <f t="shared" si="152"/>
        <v>58.16</v>
      </c>
      <c r="F4911">
        <f t="shared" si="153"/>
        <v>104030</v>
      </c>
      <c r="H4911" s="680">
        <v>58.16</v>
      </c>
      <c r="I4911" s="680">
        <v>59.3</v>
      </c>
    </row>
    <row r="4912" spans="2:9" ht="30">
      <c r="B4912" s="396">
        <v>104159</v>
      </c>
      <c r="C4912" s="401" t="s">
        <v>8344</v>
      </c>
      <c r="D4912" s="396" t="s">
        <v>23</v>
      </c>
      <c r="E4912" s="405">
        <f t="shared" si="152"/>
        <v>42.92</v>
      </c>
      <c r="F4912">
        <f t="shared" si="153"/>
        <v>104159</v>
      </c>
      <c r="H4912" s="679">
        <v>42.92</v>
      </c>
      <c r="I4912" s="679">
        <v>43.51</v>
      </c>
    </row>
    <row r="4913" spans="2:9" ht="30">
      <c r="B4913" s="395">
        <v>104167</v>
      </c>
      <c r="C4913" s="406" t="s">
        <v>8345</v>
      </c>
      <c r="D4913" s="395" t="s">
        <v>23</v>
      </c>
      <c r="E4913" s="407">
        <f t="shared" si="152"/>
        <v>142.99</v>
      </c>
      <c r="F4913">
        <f t="shared" si="153"/>
        <v>104167</v>
      </c>
      <c r="H4913" s="680">
        <v>142.99</v>
      </c>
      <c r="I4913" s="680">
        <v>144.19</v>
      </c>
    </row>
    <row r="4914" spans="2:9" ht="30">
      <c r="B4914" s="396">
        <v>104168</v>
      </c>
      <c r="C4914" s="401" t="s">
        <v>8346</v>
      </c>
      <c r="D4914" s="396" t="s">
        <v>23</v>
      </c>
      <c r="E4914" s="405">
        <f t="shared" si="152"/>
        <v>139.13</v>
      </c>
      <c r="F4914">
        <f t="shared" si="153"/>
        <v>104168</v>
      </c>
      <c r="H4914" s="679">
        <v>139.13</v>
      </c>
      <c r="I4914" s="679">
        <v>140.33000000000001</v>
      </c>
    </row>
    <row r="4915" spans="2:9" ht="30">
      <c r="B4915" s="395">
        <v>104169</v>
      </c>
      <c r="C4915" s="406" t="s">
        <v>8347</v>
      </c>
      <c r="D4915" s="395" t="s">
        <v>23</v>
      </c>
      <c r="E4915" s="407">
        <f t="shared" si="152"/>
        <v>173.01</v>
      </c>
      <c r="F4915">
        <f t="shared" si="153"/>
        <v>104169</v>
      </c>
      <c r="H4915" s="680">
        <v>173.01</v>
      </c>
      <c r="I4915" s="680">
        <v>174.21</v>
      </c>
    </row>
    <row r="4916" spans="2:9" ht="30">
      <c r="B4916" s="396">
        <v>104170</v>
      </c>
      <c r="C4916" s="401" t="s">
        <v>8348</v>
      </c>
      <c r="D4916" s="396" t="s">
        <v>23</v>
      </c>
      <c r="E4916" s="405">
        <f t="shared" si="152"/>
        <v>80.58</v>
      </c>
      <c r="F4916">
        <f t="shared" si="153"/>
        <v>104170</v>
      </c>
      <c r="H4916" s="679">
        <v>80.58</v>
      </c>
      <c r="I4916" s="679">
        <v>81.38</v>
      </c>
    </row>
    <row r="4917" spans="2:9" ht="30">
      <c r="B4917" s="395">
        <v>104171</v>
      </c>
      <c r="C4917" s="406" t="s">
        <v>8349</v>
      </c>
      <c r="D4917" s="395" t="s">
        <v>23</v>
      </c>
      <c r="E4917" s="407">
        <f t="shared" si="152"/>
        <v>111.83</v>
      </c>
      <c r="F4917">
        <f t="shared" si="153"/>
        <v>104171</v>
      </c>
      <c r="H4917" s="680">
        <v>111.83</v>
      </c>
      <c r="I4917" s="680">
        <v>112.63</v>
      </c>
    </row>
    <row r="4918" spans="2:9" ht="30">
      <c r="B4918" s="396">
        <v>104172</v>
      </c>
      <c r="C4918" s="401" t="s">
        <v>8350</v>
      </c>
      <c r="D4918" s="396" t="s">
        <v>23</v>
      </c>
      <c r="E4918" s="405">
        <f t="shared" si="152"/>
        <v>326.85000000000002</v>
      </c>
      <c r="F4918">
        <f t="shared" si="153"/>
        <v>104172</v>
      </c>
      <c r="H4918" s="679">
        <v>326.85000000000002</v>
      </c>
      <c r="I4918" s="679">
        <v>327.64999999999998</v>
      </c>
    </row>
    <row r="4919" spans="2:9" ht="30">
      <c r="B4919" s="395">
        <v>104173</v>
      </c>
      <c r="C4919" s="406" t="s">
        <v>8351</v>
      </c>
      <c r="D4919" s="395" t="s">
        <v>23</v>
      </c>
      <c r="E4919" s="407">
        <f t="shared" si="152"/>
        <v>99.39</v>
      </c>
      <c r="F4919">
        <f t="shared" si="153"/>
        <v>104173</v>
      </c>
      <c r="H4919" s="680">
        <v>99.39</v>
      </c>
      <c r="I4919" s="680">
        <v>100.08</v>
      </c>
    </row>
    <row r="4920" spans="2:9" ht="30">
      <c r="B4920" s="396">
        <v>104174</v>
      </c>
      <c r="C4920" s="401" t="s">
        <v>8352</v>
      </c>
      <c r="D4920" s="396" t="s">
        <v>23</v>
      </c>
      <c r="E4920" s="405">
        <f t="shared" si="152"/>
        <v>221.38</v>
      </c>
      <c r="F4920">
        <f t="shared" si="153"/>
        <v>104174</v>
      </c>
      <c r="H4920" s="679">
        <v>221.38</v>
      </c>
      <c r="I4920" s="679">
        <v>222.84</v>
      </c>
    </row>
    <row r="4921" spans="2:9" ht="30">
      <c r="B4921" s="395">
        <v>104175</v>
      </c>
      <c r="C4921" s="406" t="s">
        <v>8353</v>
      </c>
      <c r="D4921" s="395" t="s">
        <v>23</v>
      </c>
      <c r="E4921" s="407">
        <f t="shared" si="152"/>
        <v>163.47</v>
      </c>
      <c r="F4921">
        <f t="shared" si="153"/>
        <v>104175</v>
      </c>
      <c r="H4921" s="680">
        <v>163.47</v>
      </c>
      <c r="I4921" s="680">
        <v>164.93</v>
      </c>
    </row>
    <row r="4922" spans="2:9" ht="30">
      <c r="B4922" s="396">
        <v>104176</v>
      </c>
      <c r="C4922" s="401" t="s">
        <v>8354</v>
      </c>
      <c r="D4922" s="396" t="s">
        <v>23</v>
      </c>
      <c r="E4922" s="405">
        <f t="shared" si="152"/>
        <v>295.33</v>
      </c>
      <c r="F4922">
        <f t="shared" si="153"/>
        <v>104176</v>
      </c>
      <c r="H4922" s="679">
        <v>295.33</v>
      </c>
      <c r="I4922" s="679">
        <v>296.92</v>
      </c>
    </row>
    <row r="4923" spans="2:9" ht="30">
      <c r="B4923" s="395">
        <v>104177</v>
      </c>
      <c r="C4923" s="406" t="s">
        <v>8355</v>
      </c>
      <c r="D4923" s="395" t="s">
        <v>23</v>
      </c>
      <c r="E4923" s="407">
        <f t="shared" si="152"/>
        <v>213.19</v>
      </c>
      <c r="F4923">
        <f t="shared" si="153"/>
        <v>104177</v>
      </c>
      <c r="H4923" s="680">
        <v>213.19</v>
      </c>
      <c r="I4923" s="680">
        <v>214.78</v>
      </c>
    </row>
    <row r="4924" spans="2:9" ht="30">
      <c r="B4924" s="396">
        <v>104178</v>
      </c>
      <c r="C4924" s="401" t="s">
        <v>8356</v>
      </c>
      <c r="D4924" s="396" t="s">
        <v>23</v>
      </c>
      <c r="E4924" s="405">
        <f t="shared" si="152"/>
        <v>24.84</v>
      </c>
      <c r="F4924">
        <f t="shared" si="153"/>
        <v>104178</v>
      </c>
      <c r="H4924" s="679">
        <v>24.84</v>
      </c>
      <c r="I4924" s="679">
        <v>25.14</v>
      </c>
    </row>
    <row r="4925" spans="2:9" ht="30">
      <c r="B4925" s="395">
        <v>104179</v>
      </c>
      <c r="C4925" s="406" t="s">
        <v>8357</v>
      </c>
      <c r="D4925" s="395" t="s">
        <v>23</v>
      </c>
      <c r="E4925" s="407">
        <f t="shared" si="152"/>
        <v>87.32</v>
      </c>
      <c r="F4925">
        <f t="shared" si="153"/>
        <v>104179</v>
      </c>
      <c r="H4925" s="680">
        <v>87.32</v>
      </c>
      <c r="I4925" s="680">
        <v>87.73</v>
      </c>
    </row>
    <row r="4926" spans="2:9" ht="30">
      <c r="B4926" s="396">
        <v>104191</v>
      </c>
      <c r="C4926" s="401" t="s">
        <v>8358</v>
      </c>
      <c r="D4926" s="396" t="s">
        <v>23</v>
      </c>
      <c r="E4926" s="405">
        <f t="shared" si="152"/>
        <v>8.84</v>
      </c>
      <c r="F4926">
        <f t="shared" si="153"/>
        <v>104191</v>
      </c>
      <c r="H4926" s="679">
        <v>8.84</v>
      </c>
      <c r="I4926" s="679">
        <v>9.41</v>
      </c>
    </row>
    <row r="4927" spans="2:9" ht="30">
      <c r="B4927" s="395">
        <v>104192</v>
      </c>
      <c r="C4927" s="406" t="s">
        <v>8359</v>
      </c>
      <c r="D4927" s="395" t="s">
        <v>23</v>
      </c>
      <c r="E4927" s="407">
        <f t="shared" si="152"/>
        <v>25.43</v>
      </c>
      <c r="F4927">
        <f t="shared" si="153"/>
        <v>104192</v>
      </c>
      <c r="H4927" s="680">
        <v>25.43</v>
      </c>
      <c r="I4927" s="680">
        <v>26.57</v>
      </c>
    </row>
    <row r="4928" spans="2:9">
      <c r="B4928" s="396">
        <v>104193</v>
      </c>
      <c r="C4928" s="401" t="s">
        <v>8360</v>
      </c>
      <c r="D4928" s="396" t="s">
        <v>23</v>
      </c>
      <c r="E4928" s="405">
        <f t="shared" si="152"/>
        <v>154.26</v>
      </c>
      <c r="F4928">
        <f t="shared" si="153"/>
        <v>104193</v>
      </c>
      <c r="H4928" s="679">
        <v>154.26</v>
      </c>
      <c r="I4928" s="679">
        <v>156.68</v>
      </c>
    </row>
    <row r="4929" spans="2:9">
      <c r="B4929" s="395">
        <v>104196</v>
      </c>
      <c r="C4929" s="406" t="s">
        <v>8361</v>
      </c>
      <c r="D4929" s="395" t="s">
        <v>23</v>
      </c>
      <c r="E4929" s="407">
        <f t="shared" si="152"/>
        <v>14.21</v>
      </c>
      <c r="F4929">
        <f t="shared" si="153"/>
        <v>104196</v>
      </c>
      <c r="H4929" s="680">
        <v>14.21</v>
      </c>
      <c r="I4929" s="680">
        <v>14.71</v>
      </c>
    </row>
    <row r="4930" spans="2:9">
      <c r="B4930" s="396">
        <v>104197</v>
      </c>
      <c r="C4930" s="401" t="s">
        <v>8362</v>
      </c>
      <c r="D4930" s="396" t="s">
        <v>23</v>
      </c>
      <c r="E4930" s="405">
        <f t="shared" si="152"/>
        <v>26.25</v>
      </c>
      <c r="F4930">
        <f t="shared" si="153"/>
        <v>104197</v>
      </c>
      <c r="H4930" s="679">
        <v>26.25</v>
      </c>
      <c r="I4930" s="679">
        <v>27.44</v>
      </c>
    </row>
    <row r="4931" spans="2:9">
      <c r="B4931" s="395">
        <v>104198</v>
      </c>
      <c r="C4931" s="406" t="s">
        <v>8363</v>
      </c>
      <c r="D4931" s="395" t="s">
        <v>23</v>
      </c>
      <c r="E4931" s="407">
        <f t="shared" ref="E4931:E4994" si="154">IF($K$2=$H$1,H4931,I4931)</f>
        <v>6.41</v>
      </c>
      <c r="F4931">
        <f t="shared" ref="F4931:F4994" si="155">IF(LEN($B4931)=7,CONCATENATE(MID($B4931,1,6),"00",RIGHT($B4931,1)),IF(LEN($B4931)=8,CONCATENATE(MID($B4931,1,6),"0",RIGHT($B4931,2)),$B4931))</f>
        <v>104198</v>
      </c>
      <c r="H4931" s="680">
        <v>6.41</v>
      </c>
      <c r="I4931" s="680">
        <v>6.91</v>
      </c>
    </row>
    <row r="4932" spans="2:9">
      <c r="B4932" s="396">
        <v>104199</v>
      </c>
      <c r="C4932" s="401" t="s">
        <v>8364</v>
      </c>
      <c r="D4932" s="396" t="s">
        <v>23</v>
      </c>
      <c r="E4932" s="405">
        <f t="shared" si="154"/>
        <v>6.19</v>
      </c>
      <c r="F4932">
        <f t="shared" si="155"/>
        <v>104199</v>
      </c>
      <c r="H4932" s="679">
        <v>6.19</v>
      </c>
      <c r="I4932" s="679">
        <v>6.69</v>
      </c>
    </row>
    <row r="4933" spans="2:9">
      <c r="B4933" s="395">
        <v>104200</v>
      </c>
      <c r="C4933" s="406" t="s">
        <v>8365</v>
      </c>
      <c r="D4933" s="395" t="s">
        <v>23</v>
      </c>
      <c r="E4933" s="407">
        <f t="shared" si="154"/>
        <v>5.19</v>
      </c>
      <c r="F4933">
        <f t="shared" si="155"/>
        <v>104200</v>
      </c>
      <c r="H4933" s="680">
        <v>5.19</v>
      </c>
      <c r="I4933" s="680">
        <v>5.52</v>
      </c>
    </row>
    <row r="4934" spans="2:9" ht="30">
      <c r="B4934" s="396">
        <v>104201</v>
      </c>
      <c r="C4934" s="401" t="s">
        <v>8366</v>
      </c>
      <c r="D4934" s="396" t="s">
        <v>23</v>
      </c>
      <c r="E4934" s="405">
        <f t="shared" si="154"/>
        <v>17.45</v>
      </c>
      <c r="F4934">
        <f t="shared" si="155"/>
        <v>104201</v>
      </c>
      <c r="H4934" s="679">
        <v>17.45</v>
      </c>
      <c r="I4934" s="679">
        <v>18.12</v>
      </c>
    </row>
    <row r="4935" spans="2:9" ht="30">
      <c r="B4935" s="395">
        <v>104202</v>
      </c>
      <c r="C4935" s="406" t="s">
        <v>8367</v>
      </c>
      <c r="D4935" s="395" t="s">
        <v>23</v>
      </c>
      <c r="E4935" s="407">
        <f t="shared" si="154"/>
        <v>9.3000000000000007</v>
      </c>
      <c r="F4935">
        <f t="shared" si="155"/>
        <v>104202</v>
      </c>
      <c r="H4935" s="680">
        <v>9.3000000000000007</v>
      </c>
      <c r="I4935" s="680">
        <v>9.9700000000000006</v>
      </c>
    </row>
    <row r="4936" spans="2:9" ht="30">
      <c r="B4936" s="396">
        <v>104317</v>
      </c>
      <c r="C4936" s="401" t="s">
        <v>8368</v>
      </c>
      <c r="D4936" s="396" t="s">
        <v>23</v>
      </c>
      <c r="E4936" s="405">
        <f t="shared" si="154"/>
        <v>5.85</v>
      </c>
      <c r="F4936">
        <f t="shared" si="155"/>
        <v>104317</v>
      </c>
      <c r="H4936" s="679">
        <v>5.85</v>
      </c>
      <c r="I4936" s="679">
        <v>6.34</v>
      </c>
    </row>
    <row r="4937" spans="2:9" ht="30">
      <c r="B4937" s="395">
        <v>104318</v>
      </c>
      <c r="C4937" s="406" t="s">
        <v>8369</v>
      </c>
      <c r="D4937" s="395" t="s">
        <v>23</v>
      </c>
      <c r="E4937" s="407">
        <f t="shared" si="154"/>
        <v>6.53</v>
      </c>
      <c r="F4937">
        <f t="shared" si="155"/>
        <v>104318</v>
      </c>
      <c r="H4937" s="680">
        <v>6.53</v>
      </c>
      <c r="I4937" s="680">
        <v>7.02</v>
      </c>
    </row>
    <row r="4938" spans="2:9" ht="30">
      <c r="B4938" s="396">
        <v>104319</v>
      </c>
      <c r="C4938" s="401" t="s">
        <v>8370</v>
      </c>
      <c r="D4938" s="396" t="s">
        <v>23</v>
      </c>
      <c r="E4938" s="405">
        <f t="shared" si="154"/>
        <v>9.3800000000000008</v>
      </c>
      <c r="F4938">
        <f t="shared" si="155"/>
        <v>104319</v>
      </c>
      <c r="H4938" s="679">
        <v>9.3800000000000008</v>
      </c>
      <c r="I4938" s="679">
        <v>9.92</v>
      </c>
    </row>
    <row r="4939" spans="2:9" ht="30">
      <c r="B4939" s="395">
        <v>104320</v>
      </c>
      <c r="C4939" s="406" t="s">
        <v>8371</v>
      </c>
      <c r="D4939" s="395" t="s">
        <v>23</v>
      </c>
      <c r="E4939" s="407">
        <f t="shared" si="154"/>
        <v>11.55</v>
      </c>
      <c r="F4939">
        <f t="shared" si="155"/>
        <v>104320</v>
      </c>
      <c r="H4939" s="680">
        <v>11.55</v>
      </c>
      <c r="I4939" s="680">
        <v>12.09</v>
      </c>
    </row>
    <row r="4940" spans="2:9">
      <c r="B4940" s="396">
        <v>104321</v>
      </c>
      <c r="C4940" s="401" t="s">
        <v>8372</v>
      </c>
      <c r="D4940" s="396" t="s">
        <v>23</v>
      </c>
      <c r="E4940" s="405">
        <f t="shared" si="154"/>
        <v>4.6900000000000004</v>
      </c>
      <c r="F4940">
        <f t="shared" si="155"/>
        <v>104321</v>
      </c>
      <c r="H4940" s="679">
        <v>4.6900000000000004</v>
      </c>
      <c r="I4940" s="679">
        <v>5.01</v>
      </c>
    </row>
    <row r="4941" spans="2:9">
      <c r="B4941" s="395">
        <v>104322</v>
      </c>
      <c r="C4941" s="406" t="s">
        <v>8373</v>
      </c>
      <c r="D4941" s="395" t="s">
        <v>23</v>
      </c>
      <c r="E4941" s="407">
        <f t="shared" si="154"/>
        <v>7.28</v>
      </c>
      <c r="F4941">
        <f t="shared" si="155"/>
        <v>104322</v>
      </c>
      <c r="H4941" s="680">
        <v>7.28</v>
      </c>
      <c r="I4941" s="680">
        <v>7.65</v>
      </c>
    </row>
    <row r="4942" spans="2:9">
      <c r="B4942" s="396">
        <v>104323</v>
      </c>
      <c r="C4942" s="401" t="s">
        <v>8374</v>
      </c>
      <c r="D4942" s="396" t="s">
        <v>23</v>
      </c>
      <c r="E4942" s="405">
        <f t="shared" si="154"/>
        <v>8.33</v>
      </c>
      <c r="F4942">
        <f t="shared" si="155"/>
        <v>104323</v>
      </c>
      <c r="H4942" s="679">
        <v>8.33</v>
      </c>
      <c r="I4942" s="679">
        <v>8.9700000000000006</v>
      </c>
    </row>
    <row r="4943" spans="2:9">
      <c r="B4943" s="395">
        <v>104324</v>
      </c>
      <c r="C4943" s="406" t="s">
        <v>8375</v>
      </c>
      <c r="D4943" s="395" t="s">
        <v>23</v>
      </c>
      <c r="E4943" s="407">
        <f t="shared" si="154"/>
        <v>13.48</v>
      </c>
      <c r="F4943">
        <f t="shared" si="155"/>
        <v>104324</v>
      </c>
      <c r="H4943" s="680">
        <v>13.48</v>
      </c>
      <c r="I4943" s="680">
        <v>14.21</v>
      </c>
    </row>
    <row r="4944" spans="2:9" ht="30">
      <c r="B4944" s="396">
        <v>104341</v>
      </c>
      <c r="C4944" s="401" t="s">
        <v>8376</v>
      </c>
      <c r="D4944" s="396" t="s">
        <v>23</v>
      </c>
      <c r="E4944" s="405">
        <f t="shared" si="154"/>
        <v>11.33</v>
      </c>
      <c r="F4944">
        <f t="shared" si="155"/>
        <v>104341</v>
      </c>
      <c r="H4944" s="679">
        <v>11.33</v>
      </c>
      <c r="I4944" s="679">
        <v>11.73</v>
      </c>
    </row>
    <row r="4945" spans="2:9" ht="30">
      <c r="B4945" s="395">
        <v>104343</v>
      </c>
      <c r="C4945" s="406" t="s">
        <v>8377</v>
      </c>
      <c r="D4945" s="395" t="s">
        <v>23</v>
      </c>
      <c r="E4945" s="407">
        <f t="shared" si="154"/>
        <v>37.020000000000003</v>
      </c>
      <c r="F4945">
        <f t="shared" si="155"/>
        <v>104343</v>
      </c>
      <c r="H4945" s="680">
        <v>37.020000000000003</v>
      </c>
      <c r="I4945" s="680">
        <v>37.979999999999997</v>
      </c>
    </row>
    <row r="4946" spans="2:9" ht="30">
      <c r="B4946" s="396">
        <v>104344</v>
      </c>
      <c r="C4946" s="401" t="s">
        <v>8378</v>
      </c>
      <c r="D4946" s="396" t="s">
        <v>23</v>
      </c>
      <c r="E4946" s="405">
        <f t="shared" si="154"/>
        <v>44.75</v>
      </c>
      <c r="F4946">
        <f t="shared" si="155"/>
        <v>104344</v>
      </c>
      <c r="H4946" s="679">
        <v>44.75</v>
      </c>
      <c r="I4946" s="679">
        <v>45.82</v>
      </c>
    </row>
    <row r="4947" spans="2:9" ht="30">
      <c r="B4947" s="395">
        <v>104345</v>
      </c>
      <c r="C4947" s="406" t="s">
        <v>8379</v>
      </c>
      <c r="D4947" s="395" t="s">
        <v>23</v>
      </c>
      <c r="E4947" s="407">
        <f t="shared" si="154"/>
        <v>47.29</v>
      </c>
      <c r="F4947">
        <f t="shared" si="155"/>
        <v>104345</v>
      </c>
      <c r="H4947" s="680">
        <v>47.29</v>
      </c>
      <c r="I4947" s="680">
        <v>48.36</v>
      </c>
    </row>
    <row r="4948" spans="2:9" ht="30">
      <c r="B4948" s="396">
        <v>104346</v>
      </c>
      <c r="C4948" s="401" t="s">
        <v>8380</v>
      </c>
      <c r="D4948" s="396" t="s">
        <v>23</v>
      </c>
      <c r="E4948" s="405">
        <f t="shared" si="154"/>
        <v>49.77</v>
      </c>
      <c r="F4948">
        <f t="shared" si="155"/>
        <v>104346</v>
      </c>
      <c r="H4948" s="679">
        <v>49.77</v>
      </c>
      <c r="I4948" s="679">
        <v>50.89</v>
      </c>
    </row>
    <row r="4949" spans="2:9" ht="30">
      <c r="B4949" s="395">
        <v>104347</v>
      </c>
      <c r="C4949" s="406" t="s">
        <v>8381</v>
      </c>
      <c r="D4949" s="395" t="s">
        <v>23</v>
      </c>
      <c r="E4949" s="407">
        <f t="shared" si="154"/>
        <v>53.05</v>
      </c>
      <c r="F4949">
        <f t="shared" si="155"/>
        <v>104347</v>
      </c>
      <c r="H4949" s="680">
        <v>53.05</v>
      </c>
      <c r="I4949" s="680">
        <v>54.17</v>
      </c>
    </row>
    <row r="4950" spans="2:9" ht="30">
      <c r="B4950" s="396">
        <v>104348</v>
      </c>
      <c r="C4950" s="401" t="s">
        <v>8382</v>
      </c>
      <c r="D4950" s="396" t="s">
        <v>23</v>
      </c>
      <c r="E4950" s="405">
        <f t="shared" si="154"/>
        <v>13.17</v>
      </c>
      <c r="F4950">
        <f t="shared" si="155"/>
        <v>104348</v>
      </c>
      <c r="H4950" s="679">
        <v>13.17</v>
      </c>
      <c r="I4950" s="679">
        <v>13.22</v>
      </c>
    </row>
    <row r="4951" spans="2:9" ht="30">
      <c r="B4951" s="395">
        <v>104350</v>
      </c>
      <c r="C4951" s="406" t="s">
        <v>8383</v>
      </c>
      <c r="D4951" s="395" t="s">
        <v>23</v>
      </c>
      <c r="E4951" s="407">
        <f t="shared" si="154"/>
        <v>33.81</v>
      </c>
      <c r="F4951">
        <f t="shared" si="155"/>
        <v>104350</v>
      </c>
      <c r="H4951" s="680">
        <v>33.81</v>
      </c>
      <c r="I4951" s="680">
        <v>34.39</v>
      </c>
    </row>
    <row r="4952" spans="2:9" ht="30">
      <c r="B4952" s="396">
        <v>104351</v>
      </c>
      <c r="C4952" s="401" t="s">
        <v>8384</v>
      </c>
      <c r="D4952" s="396" t="s">
        <v>23</v>
      </c>
      <c r="E4952" s="405">
        <f t="shared" si="154"/>
        <v>26.8</v>
      </c>
      <c r="F4952">
        <f t="shared" si="155"/>
        <v>104351</v>
      </c>
      <c r="H4952" s="679">
        <v>26.8</v>
      </c>
      <c r="I4952" s="679">
        <v>27</v>
      </c>
    </row>
    <row r="4953" spans="2:9" ht="30">
      <c r="B4953" s="395">
        <v>104352</v>
      </c>
      <c r="C4953" s="406" t="s">
        <v>8385</v>
      </c>
      <c r="D4953" s="395" t="s">
        <v>23</v>
      </c>
      <c r="E4953" s="407">
        <f t="shared" si="154"/>
        <v>43.8</v>
      </c>
      <c r="F4953">
        <f t="shared" si="155"/>
        <v>104352</v>
      </c>
      <c r="H4953" s="680">
        <v>43.8</v>
      </c>
      <c r="I4953" s="680">
        <v>44.75</v>
      </c>
    </row>
    <row r="4954" spans="2:9" ht="30">
      <c r="B4954" s="396">
        <v>104353</v>
      </c>
      <c r="C4954" s="401" t="s">
        <v>8386</v>
      </c>
      <c r="D4954" s="396" t="s">
        <v>23</v>
      </c>
      <c r="E4954" s="405">
        <f t="shared" si="154"/>
        <v>46.34</v>
      </c>
      <c r="F4954">
        <f t="shared" si="155"/>
        <v>104353</v>
      </c>
      <c r="H4954" s="679">
        <v>46.34</v>
      </c>
      <c r="I4954" s="679">
        <v>47.29</v>
      </c>
    </row>
    <row r="4955" spans="2:9" ht="30">
      <c r="B4955" s="395">
        <v>104354</v>
      </c>
      <c r="C4955" s="406" t="s">
        <v>8387</v>
      </c>
      <c r="D4955" s="395" t="s">
        <v>23</v>
      </c>
      <c r="E4955" s="407">
        <f t="shared" si="154"/>
        <v>49.94</v>
      </c>
      <c r="F4955">
        <f t="shared" si="155"/>
        <v>104354</v>
      </c>
      <c r="H4955" s="680">
        <v>49.94</v>
      </c>
      <c r="I4955" s="680">
        <v>51.09</v>
      </c>
    </row>
    <row r="4956" spans="2:9" ht="30">
      <c r="B4956" s="396">
        <v>104355</v>
      </c>
      <c r="C4956" s="401" t="s">
        <v>8388</v>
      </c>
      <c r="D4956" s="396" t="s">
        <v>23</v>
      </c>
      <c r="E4956" s="405">
        <f t="shared" si="154"/>
        <v>53.22</v>
      </c>
      <c r="F4956">
        <f t="shared" si="155"/>
        <v>104355</v>
      </c>
      <c r="H4956" s="679">
        <v>53.22</v>
      </c>
      <c r="I4956" s="679">
        <v>54.37</v>
      </c>
    </row>
    <row r="4957" spans="2:9" ht="30">
      <c r="B4957" s="395">
        <v>104356</v>
      </c>
      <c r="C4957" s="406" t="s">
        <v>8389</v>
      </c>
      <c r="D4957" s="395" t="s">
        <v>23</v>
      </c>
      <c r="E4957" s="407">
        <f t="shared" si="154"/>
        <v>35.130000000000003</v>
      </c>
      <c r="F4957">
        <f t="shared" si="155"/>
        <v>104356</v>
      </c>
      <c r="H4957" s="680">
        <v>35.130000000000003</v>
      </c>
      <c r="I4957" s="680">
        <v>35.47</v>
      </c>
    </row>
    <row r="4958" spans="2:9" ht="30">
      <c r="B4958" s="396">
        <v>104357</v>
      </c>
      <c r="C4958" s="401" t="s">
        <v>8390</v>
      </c>
      <c r="D4958" s="396" t="s">
        <v>23</v>
      </c>
      <c r="E4958" s="405">
        <f t="shared" si="154"/>
        <v>21.32</v>
      </c>
      <c r="F4958">
        <f t="shared" si="155"/>
        <v>104357</v>
      </c>
      <c r="H4958" s="679">
        <v>21.32</v>
      </c>
      <c r="I4958" s="679">
        <v>21.74</v>
      </c>
    </row>
    <row r="4959" spans="2:9">
      <c r="B4959" s="395">
        <v>97895</v>
      </c>
      <c r="C4959" s="406" t="s">
        <v>5341</v>
      </c>
      <c r="D4959" s="395" t="s">
        <v>23</v>
      </c>
      <c r="E4959" s="407">
        <f t="shared" si="154"/>
        <v>184.01</v>
      </c>
      <c r="F4959">
        <f t="shared" si="155"/>
        <v>97895</v>
      </c>
      <c r="H4959" s="680">
        <v>184.01</v>
      </c>
      <c r="I4959" s="680">
        <v>184.32</v>
      </c>
    </row>
    <row r="4960" spans="2:9">
      <c r="B4960" s="396">
        <v>97896</v>
      </c>
      <c r="C4960" s="401" t="s">
        <v>5342</v>
      </c>
      <c r="D4960" s="396" t="s">
        <v>23</v>
      </c>
      <c r="E4960" s="405">
        <f t="shared" si="154"/>
        <v>340.58</v>
      </c>
      <c r="F4960">
        <f t="shared" si="155"/>
        <v>97896</v>
      </c>
      <c r="H4960" s="679">
        <v>340.58</v>
      </c>
      <c r="I4960" s="679">
        <v>341.19</v>
      </c>
    </row>
    <row r="4961" spans="2:9">
      <c r="B4961" s="395">
        <v>97897</v>
      </c>
      <c r="C4961" s="406" t="s">
        <v>5343</v>
      </c>
      <c r="D4961" s="395" t="s">
        <v>23</v>
      </c>
      <c r="E4961" s="407">
        <f t="shared" si="154"/>
        <v>440.87</v>
      </c>
      <c r="F4961">
        <f t="shared" si="155"/>
        <v>97897</v>
      </c>
      <c r="H4961" s="680">
        <v>440.87</v>
      </c>
      <c r="I4961" s="680">
        <v>441.98</v>
      </c>
    </row>
    <row r="4962" spans="2:9">
      <c r="B4962" s="396">
        <v>97898</v>
      </c>
      <c r="C4962" s="401" t="s">
        <v>5344</v>
      </c>
      <c r="D4962" s="396" t="s">
        <v>23</v>
      </c>
      <c r="E4962" s="405">
        <f t="shared" si="154"/>
        <v>844.36</v>
      </c>
      <c r="F4962">
        <f t="shared" si="155"/>
        <v>97898</v>
      </c>
      <c r="H4962" s="679">
        <v>844.36</v>
      </c>
      <c r="I4962" s="679">
        <v>853.81</v>
      </c>
    </row>
    <row r="4963" spans="2:9" ht="30">
      <c r="B4963" s="395">
        <v>97900</v>
      </c>
      <c r="C4963" s="406" t="s">
        <v>5345</v>
      </c>
      <c r="D4963" s="395" t="s">
        <v>23</v>
      </c>
      <c r="E4963" s="407">
        <f t="shared" si="154"/>
        <v>182.43</v>
      </c>
      <c r="F4963">
        <f t="shared" si="155"/>
        <v>97900</v>
      </c>
      <c r="H4963" s="680">
        <v>182.43</v>
      </c>
      <c r="I4963" s="680">
        <v>191.82</v>
      </c>
    </row>
    <row r="4964" spans="2:9" ht="30">
      <c r="B4964" s="396">
        <v>97901</v>
      </c>
      <c r="C4964" s="401" t="s">
        <v>5346</v>
      </c>
      <c r="D4964" s="396" t="s">
        <v>23</v>
      </c>
      <c r="E4964" s="405">
        <f t="shared" si="154"/>
        <v>286.98</v>
      </c>
      <c r="F4964">
        <f t="shared" si="155"/>
        <v>97901</v>
      </c>
      <c r="H4964" s="679">
        <v>286.98</v>
      </c>
      <c r="I4964" s="679">
        <v>301.81</v>
      </c>
    </row>
    <row r="4965" spans="2:9" ht="30">
      <c r="B4965" s="395">
        <v>97902</v>
      </c>
      <c r="C4965" s="406" t="s">
        <v>5347</v>
      </c>
      <c r="D4965" s="395" t="s">
        <v>23</v>
      </c>
      <c r="E4965" s="407">
        <f t="shared" si="154"/>
        <v>563</v>
      </c>
      <c r="F4965">
        <f t="shared" si="155"/>
        <v>97902</v>
      </c>
      <c r="H4965" s="680">
        <v>563</v>
      </c>
      <c r="I4965" s="680">
        <v>591.09</v>
      </c>
    </row>
    <row r="4966" spans="2:9" ht="30">
      <c r="B4966" s="396">
        <v>97903</v>
      </c>
      <c r="C4966" s="401" t="s">
        <v>5348</v>
      </c>
      <c r="D4966" s="396" t="s">
        <v>23</v>
      </c>
      <c r="E4966" s="405">
        <f t="shared" si="154"/>
        <v>781.14</v>
      </c>
      <c r="F4966">
        <f t="shared" si="155"/>
        <v>97903</v>
      </c>
      <c r="H4966" s="679">
        <v>781.14</v>
      </c>
      <c r="I4966" s="679">
        <v>820.3</v>
      </c>
    </row>
    <row r="4967" spans="2:9" ht="30">
      <c r="B4967" s="395">
        <v>97904</v>
      </c>
      <c r="C4967" s="406" t="s">
        <v>5349</v>
      </c>
      <c r="D4967" s="395" t="s">
        <v>23</v>
      </c>
      <c r="E4967" s="407">
        <f t="shared" si="154"/>
        <v>937.49</v>
      </c>
      <c r="F4967">
        <f t="shared" si="155"/>
        <v>97904</v>
      </c>
      <c r="H4967" s="680">
        <v>937.49</v>
      </c>
      <c r="I4967" s="680">
        <v>979.92</v>
      </c>
    </row>
    <row r="4968" spans="2:9" ht="30">
      <c r="B4968" s="396">
        <v>97905</v>
      </c>
      <c r="C4968" s="401" t="s">
        <v>5350</v>
      </c>
      <c r="D4968" s="396" t="s">
        <v>23</v>
      </c>
      <c r="E4968" s="405">
        <f t="shared" si="154"/>
        <v>224.7</v>
      </c>
      <c r="F4968">
        <f t="shared" si="155"/>
        <v>97905</v>
      </c>
      <c r="H4968" s="679">
        <v>224.7</v>
      </c>
      <c r="I4968" s="679">
        <v>236.79</v>
      </c>
    </row>
    <row r="4969" spans="2:9" ht="30">
      <c r="B4969" s="395">
        <v>97906</v>
      </c>
      <c r="C4969" s="406" t="s">
        <v>5351</v>
      </c>
      <c r="D4969" s="395" t="s">
        <v>23</v>
      </c>
      <c r="E4969" s="407">
        <f t="shared" si="154"/>
        <v>420.52</v>
      </c>
      <c r="F4969">
        <f t="shared" si="155"/>
        <v>97906</v>
      </c>
      <c r="H4969" s="680">
        <v>420.52</v>
      </c>
      <c r="I4969" s="680">
        <v>442.27</v>
      </c>
    </row>
    <row r="4970" spans="2:9" ht="30">
      <c r="B4970" s="396">
        <v>97907</v>
      </c>
      <c r="C4970" s="401" t="s">
        <v>5352</v>
      </c>
      <c r="D4970" s="396" t="s">
        <v>23</v>
      </c>
      <c r="E4970" s="405">
        <f t="shared" si="154"/>
        <v>599.33000000000004</v>
      </c>
      <c r="F4970">
        <f t="shared" si="155"/>
        <v>97907</v>
      </c>
      <c r="H4970" s="679">
        <v>599.33000000000004</v>
      </c>
      <c r="I4970" s="679">
        <v>630.4</v>
      </c>
    </row>
    <row r="4971" spans="2:9" ht="30">
      <c r="B4971" s="395">
        <v>97908</v>
      </c>
      <c r="C4971" s="406" t="s">
        <v>5353</v>
      </c>
      <c r="D4971" s="395" t="s">
        <v>23</v>
      </c>
      <c r="E4971" s="407">
        <f t="shared" si="154"/>
        <v>722.37</v>
      </c>
      <c r="F4971">
        <f t="shared" si="155"/>
        <v>97908</v>
      </c>
      <c r="H4971" s="680">
        <v>722.37</v>
      </c>
      <c r="I4971" s="680">
        <v>755.22</v>
      </c>
    </row>
    <row r="4972" spans="2:9" ht="30">
      <c r="B4972" s="396">
        <v>98102</v>
      </c>
      <c r="C4972" s="401" t="s">
        <v>5354</v>
      </c>
      <c r="D4972" s="396" t="s">
        <v>23</v>
      </c>
      <c r="E4972" s="405">
        <f t="shared" si="154"/>
        <v>174.12</v>
      </c>
      <c r="F4972">
        <f t="shared" si="155"/>
        <v>98102</v>
      </c>
      <c r="H4972" s="679">
        <v>174.12</v>
      </c>
      <c r="I4972" s="679">
        <v>174.6</v>
      </c>
    </row>
    <row r="4973" spans="2:9" ht="30">
      <c r="B4973" s="395">
        <v>98104</v>
      </c>
      <c r="C4973" s="406" t="s">
        <v>5355</v>
      </c>
      <c r="D4973" s="395" t="s">
        <v>23</v>
      </c>
      <c r="E4973" s="407">
        <f t="shared" si="154"/>
        <v>364.78</v>
      </c>
      <c r="F4973">
        <f t="shared" si="155"/>
        <v>98104</v>
      </c>
      <c r="H4973" s="680">
        <v>364.78</v>
      </c>
      <c r="I4973" s="680">
        <v>383.54</v>
      </c>
    </row>
    <row r="4974" spans="2:9" ht="30">
      <c r="B4974" s="396">
        <v>98105</v>
      </c>
      <c r="C4974" s="401" t="s">
        <v>5356</v>
      </c>
      <c r="D4974" s="396" t="s">
        <v>23</v>
      </c>
      <c r="E4974" s="405">
        <f t="shared" si="154"/>
        <v>631.87</v>
      </c>
      <c r="F4974">
        <f t="shared" si="155"/>
        <v>98105</v>
      </c>
      <c r="H4974" s="679">
        <v>631.87</v>
      </c>
      <c r="I4974" s="679">
        <v>664.94</v>
      </c>
    </row>
    <row r="4975" spans="2:9" ht="30">
      <c r="B4975" s="395">
        <v>98106</v>
      </c>
      <c r="C4975" s="406" t="s">
        <v>5357</v>
      </c>
      <c r="D4975" s="395" t="s">
        <v>23</v>
      </c>
      <c r="E4975" s="407">
        <f t="shared" si="154"/>
        <v>1045.55</v>
      </c>
      <c r="F4975">
        <f t="shared" si="155"/>
        <v>98106</v>
      </c>
      <c r="H4975" s="680">
        <v>1045.55</v>
      </c>
      <c r="I4975" s="680">
        <v>1099.79</v>
      </c>
    </row>
    <row r="4976" spans="2:9" ht="30">
      <c r="B4976" s="396">
        <v>98107</v>
      </c>
      <c r="C4976" s="401" t="s">
        <v>5358</v>
      </c>
      <c r="D4976" s="396" t="s">
        <v>23</v>
      </c>
      <c r="E4976" s="405">
        <f t="shared" si="154"/>
        <v>254.54</v>
      </c>
      <c r="F4976">
        <f t="shared" si="155"/>
        <v>98107</v>
      </c>
      <c r="H4976" s="679">
        <v>254.54</v>
      </c>
      <c r="I4976" s="679">
        <v>268.38</v>
      </c>
    </row>
    <row r="4977" spans="2:9" ht="30">
      <c r="B4977" s="395">
        <v>98108</v>
      </c>
      <c r="C4977" s="406" t="s">
        <v>5359</v>
      </c>
      <c r="D4977" s="395" t="s">
        <v>23</v>
      </c>
      <c r="E4977" s="407">
        <f t="shared" si="154"/>
        <v>453.87</v>
      </c>
      <c r="F4977">
        <f t="shared" si="155"/>
        <v>98108</v>
      </c>
      <c r="H4977" s="680">
        <v>453.87</v>
      </c>
      <c r="I4977" s="680">
        <v>479</v>
      </c>
    </row>
    <row r="4978" spans="2:9" ht="30">
      <c r="B4978" s="396">
        <v>99250</v>
      </c>
      <c r="C4978" s="401" t="s">
        <v>5360</v>
      </c>
      <c r="D4978" s="396" t="s">
        <v>23</v>
      </c>
      <c r="E4978" s="405">
        <f t="shared" si="154"/>
        <v>177.27</v>
      </c>
      <c r="F4978">
        <f t="shared" si="155"/>
        <v>99250</v>
      </c>
      <c r="H4978" s="679">
        <v>177.27</v>
      </c>
      <c r="I4978" s="679">
        <v>186.64</v>
      </c>
    </row>
    <row r="4979" spans="2:9" ht="30">
      <c r="B4979" s="395">
        <v>99251</v>
      </c>
      <c r="C4979" s="406" t="s">
        <v>5361</v>
      </c>
      <c r="D4979" s="395" t="s">
        <v>23</v>
      </c>
      <c r="E4979" s="407">
        <f t="shared" si="154"/>
        <v>278.13</v>
      </c>
      <c r="F4979">
        <f t="shared" si="155"/>
        <v>99251</v>
      </c>
      <c r="H4979" s="680">
        <v>278.13</v>
      </c>
      <c r="I4979" s="680">
        <v>292.93</v>
      </c>
    </row>
    <row r="4980" spans="2:9" ht="30">
      <c r="B4980" s="396">
        <v>99253</v>
      </c>
      <c r="C4980" s="401" t="s">
        <v>5362</v>
      </c>
      <c r="D4980" s="396" t="s">
        <v>23</v>
      </c>
      <c r="E4980" s="405">
        <f t="shared" si="154"/>
        <v>543.12</v>
      </c>
      <c r="F4980">
        <f t="shared" si="155"/>
        <v>99253</v>
      </c>
      <c r="H4980" s="679">
        <v>543.12</v>
      </c>
      <c r="I4980" s="679">
        <v>571.15</v>
      </c>
    </row>
    <row r="4981" spans="2:9" ht="30">
      <c r="B4981" s="395">
        <v>99255</v>
      </c>
      <c r="C4981" s="406" t="s">
        <v>5363</v>
      </c>
      <c r="D4981" s="395" t="s">
        <v>23</v>
      </c>
      <c r="E4981" s="407">
        <f t="shared" si="154"/>
        <v>753.88</v>
      </c>
      <c r="F4981">
        <f t="shared" si="155"/>
        <v>99255</v>
      </c>
      <c r="H4981" s="680">
        <v>753.88</v>
      </c>
      <c r="I4981" s="680">
        <v>792.96</v>
      </c>
    </row>
    <row r="4982" spans="2:9" ht="30">
      <c r="B4982" s="396">
        <v>99257</v>
      </c>
      <c r="C4982" s="401" t="s">
        <v>5364</v>
      </c>
      <c r="D4982" s="396" t="s">
        <v>23</v>
      </c>
      <c r="E4982" s="405">
        <f t="shared" si="154"/>
        <v>902.24</v>
      </c>
      <c r="F4982">
        <f t="shared" si="155"/>
        <v>99257</v>
      </c>
      <c r="H4982" s="679">
        <v>902.24</v>
      </c>
      <c r="I4982" s="679">
        <v>944.55</v>
      </c>
    </row>
    <row r="4983" spans="2:9" ht="30">
      <c r="B4983" s="395">
        <v>99258</v>
      </c>
      <c r="C4983" s="406" t="s">
        <v>5365</v>
      </c>
      <c r="D4983" s="395" t="s">
        <v>23</v>
      </c>
      <c r="E4983" s="407">
        <f t="shared" si="154"/>
        <v>219.07</v>
      </c>
      <c r="F4983">
        <f t="shared" si="155"/>
        <v>99258</v>
      </c>
      <c r="H4983" s="680">
        <v>219.07</v>
      </c>
      <c r="I4983" s="680">
        <v>231.15</v>
      </c>
    </row>
    <row r="4984" spans="2:9" ht="30">
      <c r="B4984" s="396">
        <v>99260</v>
      </c>
      <c r="C4984" s="401" t="s">
        <v>5366</v>
      </c>
      <c r="D4984" s="396" t="s">
        <v>23</v>
      </c>
      <c r="E4984" s="405">
        <f t="shared" si="154"/>
        <v>408.01</v>
      </c>
      <c r="F4984">
        <f t="shared" si="155"/>
        <v>99260</v>
      </c>
      <c r="H4984" s="679">
        <v>408.01</v>
      </c>
      <c r="I4984" s="679">
        <v>429.71</v>
      </c>
    </row>
    <row r="4985" spans="2:9" ht="30">
      <c r="B4985" s="395">
        <v>99262</v>
      </c>
      <c r="C4985" s="406" t="s">
        <v>5367</v>
      </c>
      <c r="D4985" s="395" t="s">
        <v>23</v>
      </c>
      <c r="E4985" s="407">
        <f t="shared" si="154"/>
        <v>581.46</v>
      </c>
      <c r="F4985">
        <f t="shared" si="155"/>
        <v>99262</v>
      </c>
      <c r="H4985" s="680">
        <v>581.46</v>
      </c>
      <c r="I4985" s="680">
        <v>612.48</v>
      </c>
    </row>
    <row r="4986" spans="2:9" ht="30">
      <c r="B4986" s="396">
        <v>99264</v>
      </c>
      <c r="C4986" s="401" t="s">
        <v>5368</v>
      </c>
      <c r="D4986" s="396" t="s">
        <v>23</v>
      </c>
      <c r="E4986" s="405">
        <f t="shared" si="154"/>
        <v>698.23</v>
      </c>
      <c r="F4986">
        <f t="shared" si="155"/>
        <v>99264</v>
      </c>
      <c r="H4986" s="679">
        <v>698.23</v>
      </c>
      <c r="I4986" s="679">
        <v>730.99</v>
      </c>
    </row>
    <row r="4987" spans="2:9">
      <c r="B4987" s="395">
        <v>102587</v>
      </c>
      <c r="C4987" s="406" t="s">
        <v>5668</v>
      </c>
      <c r="D4987" s="395" t="s">
        <v>23</v>
      </c>
      <c r="E4987" s="407">
        <f t="shared" si="154"/>
        <v>2.76</v>
      </c>
      <c r="F4987">
        <f t="shared" si="155"/>
        <v>102587</v>
      </c>
      <c r="H4987" s="680">
        <v>2.76</v>
      </c>
      <c r="I4987" s="680">
        <v>3.08</v>
      </c>
    </row>
    <row r="4988" spans="2:9">
      <c r="B4988" s="396">
        <v>102588</v>
      </c>
      <c r="C4988" s="401" t="s">
        <v>5669</v>
      </c>
      <c r="D4988" s="396" t="s">
        <v>23</v>
      </c>
      <c r="E4988" s="405">
        <f t="shared" si="154"/>
        <v>3.99</v>
      </c>
      <c r="F4988">
        <f t="shared" si="155"/>
        <v>102588</v>
      </c>
      <c r="H4988" s="679">
        <v>3.99</v>
      </c>
      <c r="I4988" s="679">
        <v>4.46</v>
      </c>
    </row>
    <row r="4989" spans="2:9">
      <c r="B4989" s="395">
        <v>102589</v>
      </c>
      <c r="C4989" s="406" t="s">
        <v>5670</v>
      </c>
      <c r="D4989" s="395" t="s">
        <v>23</v>
      </c>
      <c r="E4989" s="407">
        <f t="shared" si="154"/>
        <v>3.07</v>
      </c>
      <c r="F4989">
        <f t="shared" si="155"/>
        <v>102589</v>
      </c>
      <c r="H4989" s="680">
        <v>3.07</v>
      </c>
      <c r="I4989" s="680">
        <v>3.42</v>
      </c>
    </row>
    <row r="4990" spans="2:9">
      <c r="B4990" s="396">
        <v>102590</v>
      </c>
      <c r="C4990" s="401" t="s">
        <v>5671</v>
      </c>
      <c r="D4990" s="396" t="s">
        <v>23</v>
      </c>
      <c r="E4990" s="405">
        <f t="shared" si="154"/>
        <v>4.3</v>
      </c>
      <c r="F4990">
        <f t="shared" si="155"/>
        <v>102590</v>
      </c>
      <c r="H4990" s="679">
        <v>4.3</v>
      </c>
      <c r="I4990" s="679">
        <v>4.8</v>
      </c>
    </row>
    <row r="4991" spans="2:9">
      <c r="B4991" s="395">
        <v>102591</v>
      </c>
      <c r="C4991" s="406" t="s">
        <v>5672</v>
      </c>
      <c r="D4991" s="395" t="s">
        <v>23</v>
      </c>
      <c r="E4991" s="407">
        <f t="shared" si="154"/>
        <v>3.38</v>
      </c>
      <c r="F4991">
        <f t="shared" si="155"/>
        <v>102591</v>
      </c>
      <c r="H4991" s="680">
        <v>3.38</v>
      </c>
      <c r="I4991" s="680">
        <v>3.77</v>
      </c>
    </row>
    <row r="4992" spans="2:9">
      <c r="B4992" s="396">
        <v>102592</v>
      </c>
      <c r="C4992" s="401" t="s">
        <v>5673</v>
      </c>
      <c r="D4992" s="396" t="s">
        <v>23</v>
      </c>
      <c r="E4992" s="405">
        <f t="shared" si="154"/>
        <v>4.6100000000000003</v>
      </c>
      <c r="F4992">
        <f t="shared" si="155"/>
        <v>102592</v>
      </c>
      <c r="H4992" s="679">
        <v>4.6100000000000003</v>
      </c>
      <c r="I4992" s="679">
        <v>5.15</v>
      </c>
    </row>
    <row r="4993" spans="2:9">
      <c r="B4993" s="395">
        <v>102593</v>
      </c>
      <c r="C4993" s="406" t="s">
        <v>5674</v>
      </c>
      <c r="D4993" s="395" t="s">
        <v>23</v>
      </c>
      <c r="E4993" s="407">
        <f t="shared" si="154"/>
        <v>3.81</v>
      </c>
      <c r="F4993">
        <f t="shared" si="155"/>
        <v>102593</v>
      </c>
      <c r="H4993" s="680">
        <v>3.81</v>
      </c>
      <c r="I4993" s="680">
        <v>4.26</v>
      </c>
    </row>
    <row r="4994" spans="2:9">
      <c r="B4994" s="396">
        <v>102594</v>
      </c>
      <c r="C4994" s="401" t="s">
        <v>5675</v>
      </c>
      <c r="D4994" s="396" t="s">
        <v>23</v>
      </c>
      <c r="E4994" s="405">
        <f t="shared" si="154"/>
        <v>5.05</v>
      </c>
      <c r="F4994">
        <f t="shared" si="155"/>
        <v>102594</v>
      </c>
      <c r="H4994" s="679">
        <v>5.05</v>
      </c>
      <c r="I4994" s="679">
        <v>5.64</v>
      </c>
    </row>
    <row r="4995" spans="2:9">
      <c r="B4995" s="395">
        <v>102595</v>
      </c>
      <c r="C4995" s="406" t="s">
        <v>5676</v>
      </c>
      <c r="D4995" s="395" t="s">
        <v>23</v>
      </c>
      <c r="E4995" s="407">
        <f t="shared" ref="E4995:E5058" si="156">IF($K$2=$H$1,H4995,I4995)</f>
        <v>4.3099999999999996</v>
      </c>
      <c r="F4995">
        <f t="shared" ref="F4995:F5058" si="157">IF(LEN($B4995)=7,CONCATENATE(MID($B4995,1,6),"00",RIGHT($B4995,1)),IF(LEN($B4995)=8,CONCATENATE(MID($B4995,1,6),"0",RIGHT($B4995,2)),$B4995))</f>
        <v>102595</v>
      </c>
      <c r="H4995" s="680">
        <v>4.3099999999999996</v>
      </c>
      <c r="I4995" s="680">
        <v>4.8099999999999996</v>
      </c>
    </row>
    <row r="4996" spans="2:9">
      <c r="B4996" s="396">
        <v>102596</v>
      </c>
      <c r="C4996" s="401" t="s">
        <v>5677</v>
      </c>
      <c r="D4996" s="396" t="s">
        <v>23</v>
      </c>
      <c r="E4996" s="405">
        <f t="shared" si="156"/>
        <v>5.55</v>
      </c>
      <c r="F4996">
        <f t="shared" si="157"/>
        <v>102596</v>
      </c>
      <c r="H4996" s="679">
        <v>5.55</v>
      </c>
      <c r="I4996" s="679">
        <v>6.19</v>
      </c>
    </row>
    <row r="4997" spans="2:9">
      <c r="B4997" s="395">
        <v>102597</v>
      </c>
      <c r="C4997" s="406" t="s">
        <v>5678</v>
      </c>
      <c r="D4997" s="395" t="s">
        <v>23</v>
      </c>
      <c r="E4997" s="407">
        <f t="shared" si="156"/>
        <v>4.93</v>
      </c>
      <c r="F4997">
        <f t="shared" si="157"/>
        <v>102597</v>
      </c>
      <c r="H4997" s="680">
        <v>4.93</v>
      </c>
      <c r="I4997" s="680">
        <v>5.51</v>
      </c>
    </row>
    <row r="4998" spans="2:9">
      <c r="B4998" s="396">
        <v>102598</v>
      </c>
      <c r="C4998" s="401" t="s">
        <v>5679</v>
      </c>
      <c r="D4998" s="396" t="s">
        <v>23</v>
      </c>
      <c r="E4998" s="405">
        <f t="shared" si="156"/>
        <v>6.17</v>
      </c>
      <c r="F4998">
        <f t="shared" si="157"/>
        <v>102598</v>
      </c>
      <c r="H4998" s="679">
        <v>6.17</v>
      </c>
      <c r="I4998" s="679">
        <v>6.88</v>
      </c>
    </row>
    <row r="4999" spans="2:9">
      <c r="B4999" s="395">
        <v>102599</v>
      </c>
      <c r="C4999" s="406" t="s">
        <v>5680</v>
      </c>
      <c r="D4999" s="395" t="s">
        <v>23</v>
      </c>
      <c r="E4999" s="407">
        <f t="shared" si="156"/>
        <v>5.55</v>
      </c>
      <c r="F4999">
        <f t="shared" si="157"/>
        <v>102599</v>
      </c>
      <c r="H4999" s="680">
        <v>5.55</v>
      </c>
      <c r="I4999" s="680">
        <v>6.21</v>
      </c>
    </row>
    <row r="5000" spans="2:9">
      <c r="B5000" s="396">
        <v>102600</v>
      </c>
      <c r="C5000" s="401" t="s">
        <v>5681</v>
      </c>
      <c r="D5000" s="396" t="s">
        <v>23</v>
      </c>
      <c r="E5000" s="405">
        <f t="shared" si="156"/>
        <v>6.79</v>
      </c>
      <c r="F5000">
        <f t="shared" si="157"/>
        <v>102600</v>
      </c>
      <c r="H5000" s="679">
        <v>6.79</v>
      </c>
      <c r="I5000" s="679">
        <v>7.59</v>
      </c>
    </row>
    <row r="5001" spans="2:9">
      <c r="B5001" s="395">
        <v>102601</v>
      </c>
      <c r="C5001" s="406" t="s">
        <v>5682</v>
      </c>
      <c r="D5001" s="395" t="s">
        <v>23</v>
      </c>
      <c r="E5001" s="407">
        <f t="shared" si="156"/>
        <v>6.49</v>
      </c>
      <c r="F5001">
        <f t="shared" si="157"/>
        <v>102601</v>
      </c>
      <c r="H5001" s="680">
        <v>6.49</v>
      </c>
      <c r="I5001" s="680">
        <v>7.25</v>
      </c>
    </row>
    <row r="5002" spans="2:9">
      <c r="B5002" s="396">
        <v>102602</v>
      </c>
      <c r="C5002" s="401" t="s">
        <v>5683</v>
      </c>
      <c r="D5002" s="396" t="s">
        <v>23</v>
      </c>
      <c r="E5002" s="405">
        <f t="shared" si="156"/>
        <v>7.72</v>
      </c>
      <c r="F5002">
        <f t="shared" si="157"/>
        <v>102602</v>
      </c>
      <c r="H5002" s="679">
        <v>7.72</v>
      </c>
      <c r="I5002" s="679">
        <v>8.6300000000000008</v>
      </c>
    </row>
    <row r="5003" spans="2:9">
      <c r="B5003" s="395">
        <v>102603</v>
      </c>
      <c r="C5003" s="406" t="s">
        <v>5684</v>
      </c>
      <c r="D5003" s="395" t="s">
        <v>23</v>
      </c>
      <c r="E5003" s="407">
        <f t="shared" si="156"/>
        <v>8.0500000000000007</v>
      </c>
      <c r="F5003">
        <f t="shared" si="157"/>
        <v>102603</v>
      </c>
      <c r="H5003" s="680">
        <v>8.0500000000000007</v>
      </c>
      <c r="I5003" s="680">
        <v>8.99</v>
      </c>
    </row>
    <row r="5004" spans="2:9">
      <c r="B5004" s="396">
        <v>102604</v>
      </c>
      <c r="C5004" s="401" t="s">
        <v>5685</v>
      </c>
      <c r="D5004" s="396" t="s">
        <v>23</v>
      </c>
      <c r="E5004" s="405">
        <f t="shared" si="156"/>
        <v>9.2899999999999991</v>
      </c>
      <c r="F5004">
        <f t="shared" si="157"/>
        <v>102604</v>
      </c>
      <c r="H5004" s="679">
        <v>9.2899999999999991</v>
      </c>
      <c r="I5004" s="679">
        <v>10.36</v>
      </c>
    </row>
    <row r="5005" spans="2:9">
      <c r="B5005" s="395">
        <v>102605</v>
      </c>
      <c r="C5005" s="406" t="s">
        <v>5686</v>
      </c>
      <c r="D5005" s="395" t="s">
        <v>23</v>
      </c>
      <c r="E5005" s="407">
        <f t="shared" si="156"/>
        <v>259.58</v>
      </c>
      <c r="F5005">
        <f t="shared" si="157"/>
        <v>102605</v>
      </c>
      <c r="H5005" s="680">
        <v>259.58</v>
      </c>
      <c r="I5005" s="680">
        <v>260.08</v>
      </c>
    </row>
    <row r="5006" spans="2:9">
      <c r="B5006" s="396">
        <v>102606</v>
      </c>
      <c r="C5006" s="401" t="s">
        <v>5687</v>
      </c>
      <c r="D5006" s="396" t="s">
        <v>23</v>
      </c>
      <c r="E5006" s="405">
        <f t="shared" si="156"/>
        <v>443.15</v>
      </c>
      <c r="F5006">
        <f t="shared" si="157"/>
        <v>102606</v>
      </c>
      <c r="H5006" s="679">
        <v>443.15</v>
      </c>
      <c r="I5006" s="679">
        <v>443.75</v>
      </c>
    </row>
    <row r="5007" spans="2:9">
      <c r="B5007" s="395">
        <v>102607</v>
      </c>
      <c r="C5007" s="406" t="s">
        <v>5688</v>
      </c>
      <c r="D5007" s="395" t="s">
        <v>23</v>
      </c>
      <c r="E5007" s="407">
        <f t="shared" si="156"/>
        <v>450.86</v>
      </c>
      <c r="F5007">
        <f t="shared" si="157"/>
        <v>102607</v>
      </c>
      <c r="H5007" s="680">
        <v>450.86</v>
      </c>
      <c r="I5007" s="680">
        <v>451.56</v>
      </c>
    </row>
    <row r="5008" spans="2:9">
      <c r="B5008" s="396">
        <v>102608</v>
      </c>
      <c r="C5008" s="401" t="s">
        <v>5689</v>
      </c>
      <c r="D5008" s="396" t="s">
        <v>23</v>
      </c>
      <c r="E5008" s="405">
        <f t="shared" si="156"/>
        <v>911.51</v>
      </c>
      <c r="F5008">
        <f t="shared" si="157"/>
        <v>102608</v>
      </c>
      <c r="H5008" s="679">
        <v>911.51</v>
      </c>
      <c r="I5008" s="679">
        <v>912.44</v>
      </c>
    </row>
    <row r="5009" spans="2:9">
      <c r="B5009" s="395">
        <v>102609</v>
      </c>
      <c r="C5009" s="406" t="s">
        <v>5690</v>
      </c>
      <c r="D5009" s="395" t="s">
        <v>23</v>
      </c>
      <c r="E5009" s="407">
        <f t="shared" si="156"/>
        <v>1025.56</v>
      </c>
      <c r="F5009">
        <f t="shared" si="157"/>
        <v>102609</v>
      </c>
      <c r="H5009" s="680">
        <v>1025.56</v>
      </c>
      <c r="I5009" s="680">
        <v>1026.81</v>
      </c>
    </row>
    <row r="5010" spans="2:9">
      <c r="B5010" s="396">
        <v>102611</v>
      </c>
      <c r="C5010" s="401" t="s">
        <v>5691</v>
      </c>
      <c r="D5010" s="396" t="s">
        <v>23</v>
      </c>
      <c r="E5010" s="405">
        <f t="shared" si="156"/>
        <v>464.54</v>
      </c>
      <c r="F5010">
        <f t="shared" si="157"/>
        <v>102611</v>
      </c>
      <c r="H5010" s="679">
        <v>464.54</v>
      </c>
      <c r="I5010" s="679">
        <v>465.07</v>
      </c>
    </row>
    <row r="5011" spans="2:9">
      <c r="B5011" s="395">
        <v>102613</v>
      </c>
      <c r="C5011" s="406" t="s">
        <v>5692</v>
      </c>
      <c r="D5011" s="395" t="s">
        <v>23</v>
      </c>
      <c r="E5011" s="407">
        <f t="shared" si="156"/>
        <v>638.27</v>
      </c>
      <c r="F5011">
        <f t="shared" si="157"/>
        <v>102613</v>
      </c>
      <c r="H5011" s="680">
        <v>638.27</v>
      </c>
      <c r="I5011" s="680">
        <v>638.98</v>
      </c>
    </row>
    <row r="5012" spans="2:9">
      <c r="B5012" s="396">
        <v>102614</v>
      </c>
      <c r="C5012" s="401" t="s">
        <v>5693</v>
      </c>
      <c r="D5012" s="396" t="s">
        <v>23</v>
      </c>
      <c r="E5012" s="405">
        <f t="shared" si="156"/>
        <v>1033.53</v>
      </c>
      <c r="F5012">
        <f t="shared" si="157"/>
        <v>102614</v>
      </c>
      <c r="H5012" s="679">
        <v>1033.53</v>
      </c>
      <c r="I5012" s="679">
        <v>1034.44</v>
      </c>
    </row>
    <row r="5013" spans="2:9">
      <c r="B5013" s="395">
        <v>102615</v>
      </c>
      <c r="C5013" s="406" t="s">
        <v>5694</v>
      </c>
      <c r="D5013" s="395" t="s">
        <v>23</v>
      </c>
      <c r="E5013" s="407">
        <f t="shared" si="156"/>
        <v>1332.01</v>
      </c>
      <c r="F5013">
        <f t="shared" si="157"/>
        <v>102615</v>
      </c>
      <c r="H5013" s="680">
        <v>1332.01</v>
      </c>
      <c r="I5013" s="680">
        <v>1333.15</v>
      </c>
    </row>
    <row r="5014" spans="2:9">
      <c r="B5014" s="396">
        <v>102617</v>
      </c>
      <c r="C5014" s="401" t="s">
        <v>5695</v>
      </c>
      <c r="D5014" s="396" t="s">
        <v>23</v>
      </c>
      <c r="E5014" s="405">
        <f t="shared" si="156"/>
        <v>3425.84</v>
      </c>
      <c r="F5014">
        <f t="shared" si="157"/>
        <v>102617</v>
      </c>
      <c r="H5014" s="679">
        <v>3425.84</v>
      </c>
      <c r="I5014" s="679">
        <v>3437.37</v>
      </c>
    </row>
    <row r="5015" spans="2:9">
      <c r="B5015" s="395">
        <v>102619</v>
      </c>
      <c r="C5015" s="406" t="s">
        <v>5696</v>
      </c>
      <c r="D5015" s="395" t="s">
        <v>23</v>
      </c>
      <c r="E5015" s="407">
        <f t="shared" si="156"/>
        <v>6587.39</v>
      </c>
      <c r="F5015">
        <f t="shared" si="157"/>
        <v>102619</v>
      </c>
      <c r="H5015" s="680">
        <v>6587.39</v>
      </c>
      <c r="I5015" s="680">
        <v>6598.92</v>
      </c>
    </row>
    <row r="5016" spans="2:9" ht="30">
      <c r="B5016" s="396">
        <v>102622</v>
      </c>
      <c r="C5016" s="401" t="s">
        <v>5697</v>
      </c>
      <c r="D5016" s="396" t="s">
        <v>23</v>
      </c>
      <c r="E5016" s="405">
        <f t="shared" si="156"/>
        <v>594.34</v>
      </c>
      <c r="F5016">
        <f t="shared" si="157"/>
        <v>102622</v>
      </c>
      <c r="H5016" s="679">
        <v>594.34</v>
      </c>
      <c r="I5016" s="679">
        <v>605.37</v>
      </c>
    </row>
    <row r="5017" spans="2:9" ht="30">
      <c r="B5017" s="395">
        <v>102623</v>
      </c>
      <c r="C5017" s="406" t="s">
        <v>5698</v>
      </c>
      <c r="D5017" s="395" t="s">
        <v>23</v>
      </c>
      <c r="E5017" s="407">
        <f t="shared" si="156"/>
        <v>846.19</v>
      </c>
      <c r="F5017">
        <f t="shared" si="157"/>
        <v>102623</v>
      </c>
      <c r="H5017" s="680">
        <v>846.19</v>
      </c>
      <c r="I5017" s="680">
        <v>858.74</v>
      </c>
    </row>
    <row r="5018" spans="2:9" ht="30">
      <c r="B5018" s="396">
        <v>89482</v>
      </c>
      <c r="C5018" s="401" t="s">
        <v>8391</v>
      </c>
      <c r="D5018" s="396" t="s">
        <v>23</v>
      </c>
      <c r="E5018" s="405">
        <f t="shared" si="156"/>
        <v>43.63</v>
      </c>
      <c r="F5018">
        <f t="shared" si="157"/>
        <v>89482</v>
      </c>
      <c r="H5018" s="679">
        <v>43.63</v>
      </c>
      <c r="I5018" s="679">
        <v>44.63</v>
      </c>
    </row>
    <row r="5019" spans="2:9" ht="30">
      <c r="B5019" s="395">
        <v>89491</v>
      </c>
      <c r="C5019" s="406" t="s">
        <v>8392</v>
      </c>
      <c r="D5019" s="395" t="s">
        <v>23</v>
      </c>
      <c r="E5019" s="407">
        <f t="shared" si="156"/>
        <v>115.09</v>
      </c>
      <c r="F5019">
        <f t="shared" si="157"/>
        <v>89491</v>
      </c>
      <c r="H5019" s="680">
        <v>115.09</v>
      </c>
      <c r="I5019" s="680">
        <v>116.64</v>
      </c>
    </row>
    <row r="5020" spans="2:9" ht="30">
      <c r="B5020" s="396">
        <v>89495</v>
      </c>
      <c r="C5020" s="401" t="s">
        <v>8393</v>
      </c>
      <c r="D5020" s="396" t="s">
        <v>23</v>
      </c>
      <c r="E5020" s="405">
        <f t="shared" si="156"/>
        <v>20.010000000000002</v>
      </c>
      <c r="F5020">
        <f t="shared" si="157"/>
        <v>89495</v>
      </c>
      <c r="H5020" s="679">
        <v>20.010000000000002</v>
      </c>
      <c r="I5020" s="679">
        <v>20.53</v>
      </c>
    </row>
    <row r="5021" spans="2:9" ht="30">
      <c r="B5021" s="395">
        <v>89707</v>
      </c>
      <c r="C5021" s="406" t="s">
        <v>8394</v>
      </c>
      <c r="D5021" s="395" t="s">
        <v>23</v>
      </c>
      <c r="E5021" s="407">
        <f t="shared" si="156"/>
        <v>50.82</v>
      </c>
      <c r="F5021">
        <f t="shared" si="157"/>
        <v>89707</v>
      </c>
      <c r="H5021" s="680">
        <v>50.82</v>
      </c>
      <c r="I5021" s="680">
        <v>52.66</v>
      </c>
    </row>
    <row r="5022" spans="2:9" ht="30">
      <c r="B5022" s="396">
        <v>89708</v>
      </c>
      <c r="C5022" s="401" t="s">
        <v>8395</v>
      </c>
      <c r="D5022" s="396" t="s">
        <v>23</v>
      </c>
      <c r="E5022" s="405">
        <f t="shared" si="156"/>
        <v>116.12</v>
      </c>
      <c r="F5022">
        <f t="shared" si="157"/>
        <v>89708</v>
      </c>
      <c r="H5022" s="679">
        <v>116.12</v>
      </c>
      <c r="I5022" s="679">
        <v>118.32</v>
      </c>
    </row>
    <row r="5023" spans="2:9" ht="30">
      <c r="B5023" s="395">
        <v>89709</v>
      </c>
      <c r="C5023" s="406" t="s">
        <v>8396</v>
      </c>
      <c r="D5023" s="395" t="s">
        <v>23</v>
      </c>
      <c r="E5023" s="407">
        <f t="shared" si="156"/>
        <v>22.18</v>
      </c>
      <c r="F5023">
        <f t="shared" si="157"/>
        <v>89709</v>
      </c>
      <c r="H5023" s="680">
        <v>22.18</v>
      </c>
      <c r="I5023" s="680">
        <v>22.94</v>
      </c>
    </row>
    <row r="5024" spans="2:9" ht="30">
      <c r="B5024" s="396">
        <v>89710</v>
      </c>
      <c r="C5024" s="401" t="s">
        <v>8397</v>
      </c>
      <c r="D5024" s="396" t="s">
        <v>23</v>
      </c>
      <c r="E5024" s="405">
        <f t="shared" si="156"/>
        <v>19.05</v>
      </c>
      <c r="F5024">
        <f t="shared" si="157"/>
        <v>89710</v>
      </c>
      <c r="H5024" s="679">
        <v>19.05</v>
      </c>
      <c r="I5024" s="679">
        <v>19.809999999999999</v>
      </c>
    </row>
    <row r="5025" spans="2:9" ht="30">
      <c r="B5025" s="395">
        <v>104326</v>
      </c>
      <c r="C5025" s="406" t="s">
        <v>8398</v>
      </c>
      <c r="D5025" s="395" t="s">
        <v>23</v>
      </c>
      <c r="E5025" s="407">
        <f t="shared" si="156"/>
        <v>20.99</v>
      </c>
      <c r="F5025">
        <f t="shared" si="157"/>
        <v>104326</v>
      </c>
      <c r="H5025" s="680">
        <v>20.99</v>
      </c>
      <c r="I5025" s="680">
        <v>21.75</v>
      </c>
    </row>
    <row r="5026" spans="2:9" ht="30">
      <c r="B5026" s="396">
        <v>104327</v>
      </c>
      <c r="C5026" s="401" t="s">
        <v>8399</v>
      </c>
      <c r="D5026" s="396" t="s">
        <v>23</v>
      </c>
      <c r="E5026" s="405">
        <f t="shared" si="156"/>
        <v>19.84</v>
      </c>
      <c r="F5026">
        <f t="shared" si="157"/>
        <v>104327</v>
      </c>
      <c r="H5026" s="679">
        <v>19.84</v>
      </c>
      <c r="I5026" s="679">
        <v>20.6</v>
      </c>
    </row>
    <row r="5027" spans="2:9" ht="30">
      <c r="B5027" s="395">
        <v>104328</v>
      </c>
      <c r="C5027" s="406" t="s">
        <v>8400</v>
      </c>
      <c r="D5027" s="395" t="s">
        <v>23</v>
      </c>
      <c r="E5027" s="407">
        <f t="shared" si="156"/>
        <v>77.069999999999993</v>
      </c>
      <c r="F5027">
        <f t="shared" si="157"/>
        <v>104328</v>
      </c>
      <c r="H5027" s="680">
        <v>77.069999999999993</v>
      </c>
      <c r="I5027" s="680">
        <v>79.010000000000005</v>
      </c>
    </row>
    <row r="5028" spans="2:9" ht="30">
      <c r="B5028" s="396">
        <v>104329</v>
      </c>
      <c r="C5028" s="401" t="s">
        <v>8401</v>
      </c>
      <c r="D5028" s="396" t="s">
        <v>23</v>
      </c>
      <c r="E5028" s="405">
        <f t="shared" si="156"/>
        <v>88.23</v>
      </c>
      <c r="F5028">
        <f t="shared" si="157"/>
        <v>104329</v>
      </c>
      <c r="H5028" s="679">
        <v>88.23</v>
      </c>
      <c r="I5028" s="679">
        <v>90.17</v>
      </c>
    </row>
    <row r="5029" spans="2:9">
      <c r="B5029" s="395">
        <v>86872</v>
      </c>
      <c r="C5029" s="406" t="s">
        <v>3838</v>
      </c>
      <c r="D5029" s="395" t="s">
        <v>23</v>
      </c>
      <c r="E5029" s="407">
        <f t="shared" si="156"/>
        <v>710.83</v>
      </c>
      <c r="F5029">
        <f t="shared" si="157"/>
        <v>86872</v>
      </c>
      <c r="H5029" s="680">
        <v>710.83</v>
      </c>
      <c r="I5029" s="680">
        <v>716.72</v>
      </c>
    </row>
    <row r="5030" spans="2:9">
      <c r="B5030" s="396">
        <v>86874</v>
      </c>
      <c r="C5030" s="401" t="s">
        <v>3839</v>
      </c>
      <c r="D5030" s="396" t="s">
        <v>23</v>
      </c>
      <c r="E5030" s="405">
        <f t="shared" si="156"/>
        <v>499.77</v>
      </c>
      <c r="F5030">
        <f t="shared" si="157"/>
        <v>86874</v>
      </c>
      <c r="H5030" s="679">
        <v>499.77</v>
      </c>
      <c r="I5030" s="679">
        <v>502.53</v>
      </c>
    </row>
    <row r="5031" spans="2:9">
      <c r="B5031" s="395">
        <v>86875</v>
      </c>
      <c r="C5031" s="406" t="s">
        <v>3840</v>
      </c>
      <c r="D5031" s="395" t="s">
        <v>23</v>
      </c>
      <c r="E5031" s="407">
        <f t="shared" si="156"/>
        <v>589.38</v>
      </c>
      <c r="F5031">
        <f t="shared" si="157"/>
        <v>86875</v>
      </c>
      <c r="H5031" s="680">
        <v>589.38</v>
      </c>
      <c r="I5031" s="680">
        <v>592.72</v>
      </c>
    </row>
    <row r="5032" spans="2:9">
      <c r="B5032" s="396">
        <v>86876</v>
      </c>
      <c r="C5032" s="401" t="s">
        <v>3841</v>
      </c>
      <c r="D5032" s="396" t="s">
        <v>23</v>
      </c>
      <c r="E5032" s="405">
        <f t="shared" si="156"/>
        <v>333.88</v>
      </c>
      <c r="F5032">
        <f t="shared" si="157"/>
        <v>86876</v>
      </c>
      <c r="H5032" s="679">
        <v>333.88</v>
      </c>
      <c r="I5032" s="679">
        <v>336.3</v>
      </c>
    </row>
    <row r="5033" spans="2:9" ht="30">
      <c r="B5033" s="395">
        <v>86877</v>
      </c>
      <c r="C5033" s="406" t="s">
        <v>3842</v>
      </c>
      <c r="D5033" s="395" t="s">
        <v>23</v>
      </c>
      <c r="E5033" s="407">
        <f t="shared" si="156"/>
        <v>68.540000000000006</v>
      </c>
      <c r="F5033">
        <f t="shared" si="157"/>
        <v>86877</v>
      </c>
      <c r="H5033" s="680">
        <v>68.540000000000006</v>
      </c>
      <c r="I5033" s="680">
        <v>69.09</v>
      </c>
    </row>
    <row r="5034" spans="2:9">
      <c r="B5034" s="396">
        <v>86878</v>
      </c>
      <c r="C5034" s="401" t="s">
        <v>3843</v>
      </c>
      <c r="D5034" s="396" t="s">
        <v>23</v>
      </c>
      <c r="E5034" s="405">
        <f t="shared" si="156"/>
        <v>73.989999999999995</v>
      </c>
      <c r="F5034">
        <f t="shared" si="157"/>
        <v>86878</v>
      </c>
      <c r="H5034" s="679">
        <v>73.989999999999995</v>
      </c>
      <c r="I5034" s="679">
        <v>74.540000000000006</v>
      </c>
    </row>
    <row r="5035" spans="2:9">
      <c r="B5035" s="395">
        <v>86879</v>
      </c>
      <c r="C5035" s="406" t="s">
        <v>3844</v>
      </c>
      <c r="D5035" s="395" t="s">
        <v>23</v>
      </c>
      <c r="E5035" s="407">
        <f t="shared" si="156"/>
        <v>10.67</v>
      </c>
      <c r="F5035">
        <f t="shared" si="157"/>
        <v>86879</v>
      </c>
      <c r="H5035" s="680">
        <v>10.67</v>
      </c>
      <c r="I5035" s="680">
        <v>11.06</v>
      </c>
    </row>
    <row r="5036" spans="2:9" ht="30">
      <c r="B5036" s="396">
        <v>86880</v>
      </c>
      <c r="C5036" s="401" t="s">
        <v>3845</v>
      </c>
      <c r="D5036" s="396" t="s">
        <v>23</v>
      </c>
      <c r="E5036" s="405">
        <f t="shared" si="156"/>
        <v>33.01</v>
      </c>
      <c r="F5036">
        <f t="shared" si="157"/>
        <v>86880</v>
      </c>
      <c r="H5036" s="679">
        <v>33.01</v>
      </c>
      <c r="I5036" s="679">
        <v>33.4</v>
      </c>
    </row>
    <row r="5037" spans="2:9">
      <c r="B5037" s="395">
        <v>86881</v>
      </c>
      <c r="C5037" s="406" t="s">
        <v>3846</v>
      </c>
      <c r="D5037" s="395" t="s">
        <v>23</v>
      </c>
      <c r="E5037" s="407">
        <f t="shared" si="156"/>
        <v>209.81</v>
      </c>
      <c r="F5037">
        <f t="shared" si="157"/>
        <v>86881</v>
      </c>
      <c r="H5037" s="680">
        <v>209.81</v>
      </c>
      <c r="I5037" s="680">
        <v>210.67</v>
      </c>
    </row>
    <row r="5038" spans="2:9">
      <c r="B5038" s="396">
        <v>86882</v>
      </c>
      <c r="C5038" s="401" t="s">
        <v>3847</v>
      </c>
      <c r="D5038" s="396" t="s">
        <v>23</v>
      </c>
      <c r="E5038" s="405">
        <f t="shared" si="156"/>
        <v>27.4</v>
      </c>
      <c r="F5038">
        <f t="shared" si="157"/>
        <v>86882</v>
      </c>
      <c r="H5038" s="679">
        <v>27.4</v>
      </c>
      <c r="I5038" s="679">
        <v>27.83</v>
      </c>
    </row>
    <row r="5039" spans="2:9">
      <c r="B5039" s="395">
        <v>86883</v>
      </c>
      <c r="C5039" s="406" t="s">
        <v>3848</v>
      </c>
      <c r="D5039" s="395" t="s">
        <v>23</v>
      </c>
      <c r="E5039" s="407">
        <f t="shared" si="156"/>
        <v>14.68</v>
      </c>
      <c r="F5039">
        <f t="shared" si="157"/>
        <v>86883</v>
      </c>
      <c r="H5039" s="680">
        <v>14.68</v>
      </c>
      <c r="I5039" s="680">
        <v>14.94</v>
      </c>
    </row>
    <row r="5040" spans="2:9">
      <c r="B5040" s="396">
        <v>86884</v>
      </c>
      <c r="C5040" s="401" t="s">
        <v>3849</v>
      </c>
      <c r="D5040" s="396" t="s">
        <v>23</v>
      </c>
      <c r="E5040" s="405">
        <f t="shared" si="156"/>
        <v>11.63</v>
      </c>
      <c r="F5040">
        <f t="shared" si="157"/>
        <v>86884</v>
      </c>
      <c r="H5040" s="679">
        <v>11.63</v>
      </c>
      <c r="I5040" s="679">
        <v>12.11</v>
      </c>
    </row>
    <row r="5041" spans="2:9">
      <c r="B5041" s="395">
        <v>86885</v>
      </c>
      <c r="C5041" s="406" t="s">
        <v>3850</v>
      </c>
      <c r="D5041" s="395" t="s">
        <v>23</v>
      </c>
      <c r="E5041" s="407">
        <f t="shared" si="156"/>
        <v>13.57</v>
      </c>
      <c r="F5041">
        <f t="shared" si="157"/>
        <v>86885</v>
      </c>
      <c r="H5041" s="680">
        <v>13.57</v>
      </c>
      <c r="I5041" s="680">
        <v>14.05</v>
      </c>
    </row>
    <row r="5042" spans="2:9">
      <c r="B5042" s="396">
        <v>86886</v>
      </c>
      <c r="C5042" s="401" t="s">
        <v>3851</v>
      </c>
      <c r="D5042" s="396" t="s">
        <v>23</v>
      </c>
      <c r="E5042" s="405">
        <f t="shared" si="156"/>
        <v>50.6</v>
      </c>
      <c r="F5042">
        <f t="shared" si="157"/>
        <v>86886</v>
      </c>
      <c r="H5042" s="679">
        <v>50.6</v>
      </c>
      <c r="I5042" s="679">
        <v>51.08</v>
      </c>
    </row>
    <row r="5043" spans="2:9">
      <c r="B5043" s="395">
        <v>86887</v>
      </c>
      <c r="C5043" s="406" t="s">
        <v>3852</v>
      </c>
      <c r="D5043" s="395" t="s">
        <v>23</v>
      </c>
      <c r="E5043" s="407">
        <f t="shared" si="156"/>
        <v>54.98</v>
      </c>
      <c r="F5043">
        <f t="shared" si="157"/>
        <v>86887</v>
      </c>
      <c r="H5043" s="680">
        <v>54.98</v>
      </c>
      <c r="I5043" s="680">
        <v>55.46</v>
      </c>
    </row>
    <row r="5044" spans="2:9">
      <c r="B5044" s="396">
        <v>86888</v>
      </c>
      <c r="C5044" s="401" t="s">
        <v>3853</v>
      </c>
      <c r="D5044" s="396" t="s">
        <v>23</v>
      </c>
      <c r="E5044" s="405">
        <f t="shared" si="156"/>
        <v>487.8</v>
      </c>
      <c r="F5044">
        <f t="shared" si="157"/>
        <v>86888</v>
      </c>
      <c r="H5044" s="679">
        <v>487.8</v>
      </c>
      <c r="I5044" s="679">
        <v>490.63</v>
      </c>
    </row>
    <row r="5045" spans="2:9">
      <c r="B5045" s="395">
        <v>86889</v>
      </c>
      <c r="C5045" s="406" t="s">
        <v>4000</v>
      </c>
      <c r="D5045" s="395" t="s">
        <v>23</v>
      </c>
      <c r="E5045" s="407">
        <f t="shared" si="156"/>
        <v>975.23</v>
      </c>
      <c r="F5045">
        <f t="shared" si="157"/>
        <v>86889</v>
      </c>
      <c r="H5045" s="680">
        <v>975.23</v>
      </c>
      <c r="I5045" s="680">
        <v>980.78</v>
      </c>
    </row>
    <row r="5046" spans="2:9">
      <c r="B5046" s="396">
        <v>86893</v>
      </c>
      <c r="C5046" s="401" t="s">
        <v>4001</v>
      </c>
      <c r="D5046" s="396" t="s">
        <v>23</v>
      </c>
      <c r="E5046" s="405">
        <f t="shared" si="156"/>
        <v>624.42999999999995</v>
      </c>
      <c r="F5046">
        <f t="shared" si="157"/>
        <v>86893</v>
      </c>
      <c r="H5046" s="679">
        <v>624.42999999999995</v>
      </c>
      <c r="I5046" s="679">
        <v>629.98</v>
      </c>
    </row>
    <row r="5047" spans="2:9">
      <c r="B5047" s="395">
        <v>86894</v>
      </c>
      <c r="C5047" s="406" t="s">
        <v>4002</v>
      </c>
      <c r="D5047" s="395" t="s">
        <v>23</v>
      </c>
      <c r="E5047" s="407">
        <f t="shared" si="156"/>
        <v>342.45</v>
      </c>
      <c r="F5047">
        <f t="shared" si="157"/>
        <v>86894</v>
      </c>
      <c r="H5047" s="680">
        <v>342.45</v>
      </c>
      <c r="I5047" s="680">
        <v>345.77</v>
      </c>
    </row>
    <row r="5048" spans="2:9">
      <c r="B5048" s="396">
        <v>86895</v>
      </c>
      <c r="C5048" s="401" t="s">
        <v>4003</v>
      </c>
      <c r="D5048" s="396" t="s">
        <v>23</v>
      </c>
      <c r="E5048" s="405">
        <f t="shared" si="156"/>
        <v>445.19</v>
      </c>
      <c r="F5048">
        <f t="shared" si="157"/>
        <v>86895</v>
      </c>
      <c r="H5048" s="679">
        <v>445.19</v>
      </c>
      <c r="I5048" s="679">
        <v>451.8</v>
      </c>
    </row>
    <row r="5049" spans="2:9">
      <c r="B5049" s="395">
        <v>86899</v>
      </c>
      <c r="C5049" s="406" t="s">
        <v>4004</v>
      </c>
      <c r="D5049" s="395" t="s">
        <v>23</v>
      </c>
      <c r="E5049" s="407">
        <f t="shared" si="156"/>
        <v>313.60000000000002</v>
      </c>
      <c r="F5049">
        <f t="shared" si="157"/>
        <v>86899</v>
      </c>
      <c r="H5049" s="680">
        <v>313.60000000000002</v>
      </c>
      <c r="I5049" s="680">
        <v>320.20999999999998</v>
      </c>
    </row>
    <row r="5050" spans="2:9">
      <c r="B5050" s="396">
        <v>86900</v>
      </c>
      <c r="C5050" s="401" t="s">
        <v>3854</v>
      </c>
      <c r="D5050" s="396" t="s">
        <v>23</v>
      </c>
      <c r="E5050" s="405">
        <f t="shared" si="156"/>
        <v>250.63</v>
      </c>
      <c r="F5050">
        <f t="shared" si="157"/>
        <v>86900</v>
      </c>
      <c r="H5050" s="679">
        <v>250.63</v>
      </c>
      <c r="I5050" s="679">
        <v>252.11</v>
      </c>
    </row>
    <row r="5051" spans="2:9">
      <c r="B5051" s="395">
        <v>86901</v>
      </c>
      <c r="C5051" s="406" t="s">
        <v>3855</v>
      </c>
      <c r="D5051" s="395" t="s">
        <v>23</v>
      </c>
      <c r="E5051" s="407">
        <f t="shared" si="156"/>
        <v>152.28</v>
      </c>
      <c r="F5051">
        <f t="shared" si="157"/>
        <v>86901</v>
      </c>
      <c r="H5051" s="680">
        <v>152.28</v>
      </c>
      <c r="I5051" s="680">
        <v>154.88</v>
      </c>
    </row>
    <row r="5052" spans="2:9">
      <c r="B5052" s="396">
        <v>86902</v>
      </c>
      <c r="C5052" s="401" t="s">
        <v>3856</v>
      </c>
      <c r="D5052" s="396" t="s">
        <v>23</v>
      </c>
      <c r="E5052" s="405">
        <f t="shared" si="156"/>
        <v>309.04000000000002</v>
      </c>
      <c r="F5052">
        <f t="shared" si="157"/>
        <v>86902</v>
      </c>
      <c r="H5052" s="679">
        <v>309.04000000000002</v>
      </c>
      <c r="I5052" s="679">
        <v>312.14999999999998</v>
      </c>
    </row>
    <row r="5053" spans="2:9" ht="30">
      <c r="B5053" s="395">
        <v>86903</v>
      </c>
      <c r="C5053" s="406" t="s">
        <v>3857</v>
      </c>
      <c r="D5053" s="395" t="s">
        <v>23</v>
      </c>
      <c r="E5053" s="407">
        <f t="shared" si="156"/>
        <v>346.58</v>
      </c>
      <c r="F5053">
        <f t="shared" si="157"/>
        <v>86903</v>
      </c>
      <c r="H5053" s="680">
        <v>346.58</v>
      </c>
      <c r="I5053" s="680">
        <v>351.59</v>
      </c>
    </row>
    <row r="5054" spans="2:9" ht="30">
      <c r="B5054" s="396">
        <v>86904</v>
      </c>
      <c r="C5054" s="401" t="s">
        <v>3858</v>
      </c>
      <c r="D5054" s="396" t="s">
        <v>23</v>
      </c>
      <c r="E5054" s="405">
        <f t="shared" si="156"/>
        <v>145.44999999999999</v>
      </c>
      <c r="F5054">
        <f t="shared" si="157"/>
        <v>86904</v>
      </c>
      <c r="H5054" s="679">
        <v>145.44999999999999</v>
      </c>
      <c r="I5054" s="679">
        <v>146.80000000000001</v>
      </c>
    </row>
    <row r="5055" spans="2:9">
      <c r="B5055" s="395">
        <v>86905</v>
      </c>
      <c r="C5055" s="406" t="s">
        <v>3859</v>
      </c>
      <c r="D5055" s="395" t="s">
        <v>23</v>
      </c>
      <c r="E5055" s="407">
        <f t="shared" si="156"/>
        <v>411.86</v>
      </c>
      <c r="F5055">
        <f t="shared" si="157"/>
        <v>86905</v>
      </c>
      <c r="H5055" s="680">
        <v>411.86</v>
      </c>
      <c r="I5055" s="680">
        <v>413.33</v>
      </c>
    </row>
    <row r="5056" spans="2:9">
      <c r="B5056" s="396">
        <v>86906</v>
      </c>
      <c r="C5056" s="401" t="s">
        <v>3860</v>
      </c>
      <c r="D5056" s="396" t="s">
        <v>23</v>
      </c>
      <c r="E5056" s="405">
        <f t="shared" si="156"/>
        <v>76.13</v>
      </c>
      <c r="F5056">
        <f t="shared" si="157"/>
        <v>86906</v>
      </c>
      <c r="H5056" s="679">
        <v>76.13</v>
      </c>
      <c r="I5056" s="679">
        <v>76.44</v>
      </c>
    </row>
    <row r="5057" spans="2:9">
      <c r="B5057" s="395">
        <v>86908</v>
      </c>
      <c r="C5057" s="406" t="s">
        <v>3861</v>
      </c>
      <c r="D5057" s="395" t="s">
        <v>23</v>
      </c>
      <c r="E5057" s="407">
        <f t="shared" si="156"/>
        <v>495.18</v>
      </c>
      <c r="F5057">
        <f t="shared" si="157"/>
        <v>86908</v>
      </c>
      <c r="H5057" s="680">
        <v>495.18</v>
      </c>
      <c r="I5057" s="680">
        <v>495.9</v>
      </c>
    </row>
    <row r="5058" spans="2:9" ht="30">
      <c r="B5058" s="396">
        <v>86909</v>
      </c>
      <c r="C5058" s="401" t="s">
        <v>3862</v>
      </c>
      <c r="D5058" s="396" t="s">
        <v>23</v>
      </c>
      <c r="E5058" s="405">
        <f t="shared" si="156"/>
        <v>132.21</v>
      </c>
      <c r="F5058">
        <f t="shared" si="157"/>
        <v>86909</v>
      </c>
      <c r="H5058" s="679">
        <v>132.21</v>
      </c>
      <c r="I5058" s="679">
        <v>132.74</v>
      </c>
    </row>
    <row r="5059" spans="2:9" ht="30">
      <c r="B5059" s="395">
        <v>86910</v>
      </c>
      <c r="C5059" s="406" t="s">
        <v>3863</v>
      </c>
      <c r="D5059" s="395" t="s">
        <v>23</v>
      </c>
      <c r="E5059" s="407">
        <f t="shared" ref="E5059:E5122" si="158">IF($K$2=$H$1,H5059,I5059)</f>
        <v>130.44</v>
      </c>
      <c r="F5059">
        <f t="shared" ref="F5059:F5122" si="159">IF(LEN($B5059)=7,CONCATENATE(MID($B5059,1,6),"00",RIGHT($B5059,1)),IF(LEN($B5059)=8,CONCATENATE(MID($B5059,1,6),"0",RIGHT($B5059,2)),$B5059))</f>
        <v>86910</v>
      </c>
      <c r="H5059" s="680">
        <v>130.44</v>
      </c>
      <c r="I5059" s="680">
        <v>130.81</v>
      </c>
    </row>
    <row r="5060" spans="2:9" ht="30">
      <c r="B5060" s="396">
        <v>86911</v>
      </c>
      <c r="C5060" s="401" t="s">
        <v>3864</v>
      </c>
      <c r="D5060" s="396" t="s">
        <v>23</v>
      </c>
      <c r="E5060" s="405">
        <f t="shared" si="158"/>
        <v>89.07</v>
      </c>
      <c r="F5060">
        <f t="shared" si="159"/>
        <v>86911</v>
      </c>
      <c r="H5060" s="679">
        <v>89.07</v>
      </c>
      <c r="I5060" s="679">
        <v>89.44</v>
      </c>
    </row>
    <row r="5061" spans="2:9">
      <c r="B5061" s="395">
        <v>86913</v>
      </c>
      <c r="C5061" s="406" t="s">
        <v>3865</v>
      </c>
      <c r="D5061" s="395" t="s">
        <v>23</v>
      </c>
      <c r="E5061" s="407">
        <f t="shared" si="158"/>
        <v>55.31</v>
      </c>
      <c r="F5061">
        <f t="shared" si="159"/>
        <v>86913</v>
      </c>
      <c r="H5061" s="680">
        <v>55.31</v>
      </c>
      <c r="I5061" s="680">
        <v>55.79</v>
      </c>
    </row>
    <row r="5062" spans="2:9">
      <c r="B5062" s="396">
        <v>86914</v>
      </c>
      <c r="C5062" s="401" t="s">
        <v>3866</v>
      </c>
      <c r="D5062" s="396" t="s">
        <v>23</v>
      </c>
      <c r="E5062" s="405">
        <f t="shared" si="158"/>
        <v>99.88</v>
      </c>
      <c r="F5062">
        <f t="shared" si="159"/>
        <v>86914</v>
      </c>
      <c r="H5062" s="679">
        <v>99.88</v>
      </c>
      <c r="I5062" s="679">
        <v>100.36</v>
      </c>
    </row>
    <row r="5063" spans="2:9">
      <c r="B5063" s="395">
        <v>86915</v>
      </c>
      <c r="C5063" s="406" t="s">
        <v>3867</v>
      </c>
      <c r="D5063" s="395" t="s">
        <v>23</v>
      </c>
      <c r="E5063" s="407">
        <f t="shared" si="158"/>
        <v>146.25</v>
      </c>
      <c r="F5063">
        <f t="shared" si="159"/>
        <v>86915</v>
      </c>
      <c r="H5063" s="680">
        <v>146.25</v>
      </c>
      <c r="I5063" s="680">
        <v>146.56</v>
      </c>
    </row>
    <row r="5064" spans="2:9">
      <c r="B5064" s="396">
        <v>86916</v>
      </c>
      <c r="C5064" s="401" t="s">
        <v>3868</v>
      </c>
      <c r="D5064" s="396" t="s">
        <v>23</v>
      </c>
      <c r="E5064" s="405">
        <f t="shared" si="158"/>
        <v>27.73</v>
      </c>
      <c r="F5064">
        <f t="shared" si="159"/>
        <v>86916</v>
      </c>
      <c r="H5064" s="679">
        <v>27.73</v>
      </c>
      <c r="I5064" s="679">
        <v>28.21</v>
      </c>
    </row>
    <row r="5065" spans="2:9" ht="30">
      <c r="B5065" s="395">
        <v>86919</v>
      </c>
      <c r="C5065" s="406" t="s">
        <v>3869</v>
      </c>
      <c r="D5065" s="395" t="s">
        <v>23</v>
      </c>
      <c r="E5065" s="407">
        <f t="shared" si="158"/>
        <v>893.93</v>
      </c>
      <c r="F5065">
        <f t="shared" si="159"/>
        <v>86919</v>
      </c>
      <c r="H5065" s="680">
        <v>893.93</v>
      </c>
      <c r="I5065" s="680">
        <v>901.11</v>
      </c>
    </row>
    <row r="5066" spans="2:9" ht="30">
      <c r="B5066" s="396">
        <v>86920</v>
      </c>
      <c r="C5066" s="401" t="s">
        <v>3870</v>
      </c>
      <c r="D5066" s="396" t="s">
        <v>23</v>
      </c>
      <c r="E5066" s="405">
        <f t="shared" si="158"/>
        <v>791.49</v>
      </c>
      <c r="F5066">
        <f t="shared" si="159"/>
        <v>86920</v>
      </c>
      <c r="H5066" s="679">
        <v>791.49</v>
      </c>
      <c r="I5066" s="679">
        <v>798.51</v>
      </c>
    </row>
    <row r="5067" spans="2:9" ht="30">
      <c r="B5067" s="395">
        <v>86921</v>
      </c>
      <c r="C5067" s="406" t="s">
        <v>3871</v>
      </c>
      <c r="D5067" s="395" t="s">
        <v>23</v>
      </c>
      <c r="E5067" s="407">
        <f t="shared" si="158"/>
        <v>763.91</v>
      </c>
      <c r="F5067">
        <f t="shared" si="159"/>
        <v>86921</v>
      </c>
      <c r="H5067" s="680">
        <v>763.91</v>
      </c>
      <c r="I5067" s="680">
        <v>770.93</v>
      </c>
    </row>
    <row r="5068" spans="2:9" ht="30">
      <c r="B5068" s="396">
        <v>86922</v>
      </c>
      <c r="C5068" s="401" t="s">
        <v>3872</v>
      </c>
      <c r="D5068" s="396" t="s">
        <v>23</v>
      </c>
      <c r="E5068" s="405">
        <f t="shared" si="158"/>
        <v>878</v>
      </c>
      <c r="F5068">
        <f t="shared" si="159"/>
        <v>86922</v>
      </c>
      <c r="H5068" s="679">
        <v>878</v>
      </c>
      <c r="I5068" s="679">
        <v>882.65</v>
      </c>
    </row>
    <row r="5069" spans="2:9" ht="30">
      <c r="B5069" s="395">
        <v>86923</v>
      </c>
      <c r="C5069" s="406" t="s">
        <v>3873</v>
      </c>
      <c r="D5069" s="395" t="s">
        <v>23</v>
      </c>
      <c r="E5069" s="407">
        <f t="shared" si="158"/>
        <v>593.15</v>
      </c>
      <c r="F5069">
        <f t="shared" si="159"/>
        <v>86923</v>
      </c>
      <c r="H5069" s="680">
        <v>593.15</v>
      </c>
      <c r="I5069" s="680">
        <v>597.21</v>
      </c>
    </row>
    <row r="5070" spans="2:9" ht="30">
      <c r="B5070" s="396">
        <v>86924</v>
      </c>
      <c r="C5070" s="401" t="s">
        <v>3874</v>
      </c>
      <c r="D5070" s="396" t="s">
        <v>23</v>
      </c>
      <c r="E5070" s="405">
        <f t="shared" si="158"/>
        <v>565.57000000000005</v>
      </c>
      <c r="F5070">
        <f t="shared" si="159"/>
        <v>86924</v>
      </c>
      <c r="H5070" s="679">
        <v>565.57000000000005</v>
      </c>
      <c r="I5070" s="679">
        <v>569.63</v>
      </c>
    </row>
    <row r="5071" spans="2:9" ht="30">
      <c r="B5071" s="395">
        <v>86925</v>
      </c>
      <c r="C5071" s="406" t="s">
        <v>3875</v>
      </c>
      <c r="D5071" s="395" t="s">
        <v>23</v>
      </c>
      <c r="E5071" s="407">
        <f t="shared" si="158"/>
        <v>670.04</v>
      </c>
      <c r="F5071">
        <f t="shared" si="159"/>
        <v>86925</v>
      </c>
      <c r="H5071" s="680">
        <v>670.04</v>
      </c>
      <c r="I5071" s="680">
        <v>674.51</v>
      </c>
    </row>
    <row r="5072" spans="2:9" ht="30">
      <c r="B5072" s="396">
        <v>86926</v>
      </c>
      <c r="C5072" s="401" t="s">
        <v>3876</v>
      </c>
      <c r="D5072" s="396" t="s">
        <v>23</v>
      </c>
      <c r="E5072" s="405">
        <f t="shared" si="158"/>
        <v>642.46</v>
      </c>
      <c r="F5072">
        <f t="shared" si="159"/>
        <v>86926</v>
      </c>
      <c r="H5072" s="679">
        <v>642.46</v>
      </c>
      <c r="I5072" s="679">
        <v>646.92999999999995</v>
      </c>
    </row>
    <row r="5073" spans="2:9" ht="30">
      <c r="B5073" s="395">
        <v>86927</v>
      </c>
      <c r="C5073" s="406" t="s">
        <v>3877</v>
      </c>
      <c r="D5073" s="395" t="s">
        <v>23</v>
      </c>
      <c r="E5073" s="407">
        <f t="shared" si="158"/>
        <v>427.26</v>
      </c>
      <c r="F5073">
        <f t="shared" si="159"/>
        <v>86927</v>
      </c>
      <c r="H5073" s="680">
        <v>427.26</v>
      </c>
      <c r="I5073" s="680">
        <v>430.98</v>
      </c>
    </row>
    <row r="5074" spans="2:9" ht="30">
      <c r="B5074" s="396">
        <v>86928</v>
      </c>
      <c r="C5074" s="401" t="s">
        <v>3878</v>
      </c>
      <c r="D5074" s="396" t="s">
        <v>23</v>
      </c>
      <c r="E5074" s="405">
        <f t="shared" si="158"/>
        <v>399.68</v>
      </c>
      <c r="F5074">
        <f t="shared" si="159"/>
        <v>86928</v>
      </c>
      <c r="H5074" s="679">
        <v>399.68</v>
      </c>
      <c r="I5074" s="679">
        <v>403.4</v>
      </c>
    </row>
    <row r="5075" spans="2:9" ht="30">
      <c r="B5075" s="395">
        <v>86929</v>
      </c>
      <c r="C5075" s="406" t="s">
        <v>3879</v>
      </c>
      <c r="D5075" s="395" t="s">
        <v>23</v>
      </c>
      <c r="E5075" s="407">
        <f t="shared" si="158"/>
        <v>414.54</v>
      </c>
      <c r="F5075">
        <f t="shared" si="159"/>
        <v>86929</v>
      </c>
      <c r="H5075" s="680">
        <v>414.54</v>
      </c>
      <c r="I5075" s="680">
        <v>418.09</v>
      </c>
    </row>
    <row r="5076" spans="2:9" ht="30">
      <c r="B5076" s="396">
        <v>86930</v>
      </c>
      <c r="C5076" s="401" t="s">
        <v>3880</v>
      </c>
      <c r="D5076" s="396" t="s">
        <v>23</v>
      </c>
      <c r="E5076" s="405">
        <f t="shared" si="158"/>
        <v>386.96</v>
      </c>
      <c r="F5076">
        <f t="shared" si="159"/>
        <v>86930</v>
      </c>
      <c r="H5076" s="679">
        <v>386.96</v>
      </c>
      <c r="I5076" s="679">
        <v>390.51</v>
      </c>
    </row>
    <row r="5077" spans="2:9" ht="30">
      <c r="B5077" s="395">
        <v>86931</v>
      </c>
      <c r="C5077" s="406" t="s">
        <v>3881</v>
      </c>
      <c r="D5077" s="395" t="s">
        <v>23</v>
      </c>
      <c r="E5077" s="407">
        <f t="shared" si="158"/>
        <v>501.37</v>
      </c>
      <c r="F5077">
        <f t="shared" si="159"/>
        <v>86931</v>
      </c>
      <c r="H5077" s="680">
        <v>501.37</v>
      </c>
      <c r="I5077" s="680">
        <v>504.68</v>
      </c>
    </row>
    <row r="5078" spans="2:9" ht="30">
      <c r="B5078" s="396">
        <v>86932</v>
      </c>
      <c r="C5078" s="401" t="s">
        <v>3882</v>
      </c>
      <c r="D5078" s="396" t="s">
        <v>23</v>
      </c>
      <c r="E5078" s="405">
        <f t="shared" si="158"/>
        <v>542.78</v>
      </c>
      <c r="F5078">
        <f t="shared" si="159"/>
        <v>86932</v>
      </c>
      <c r="H5078" s="679">
        <v>542.78</v>
      </c>
      <c r="I5078" s="679">
        <v>546.09</v>
      </c>
    </row>
    <row r="5079" spans="2:9" ht="45">
      <c r="B5079" s="395">
        <v>86933</v>
      </c>
      <c r="C5079" s="406" t="s">
        <v>3883</v>
      </c>
      <c r="D5079" s="395" t="s">
        <v>23</v>
      </c>
      <c r="E5079" s="407">
        <f t="shared" si="158"/>
        <v>491.93</v>
      </c>
      <c r="F5079">
        <f t="shared" si="159"/>
        <v>86933</v>
      </c>
      <c r="H5079" s="680">
        <v>491.93</v>
      </c>
      <c r="I5079" s="680">
        <v>496.44</v>
      </c>
    </row>
    <row r="5080" spans="2:9" ht="45">
      <c r="B5080" s="396">
        <v>86934</v>
      </c>
      <c r="C5080" s="401" t="s">
        <v>3884</v>
      </c>
      <c r="D5080" s="396" t="s">
        <v>23</v>
      </c>
      <c r="E5080" s="405">
        <f t="shared" si="158"/>
        <v>479.21</v>
      </c>
      <c r="F5080">
        <f t="shared" si="159"/>
        <v>86934</v>
      </c>
      <c r="H5080" s="679">
        <v>479.21</v>
      </c>
      <c r="I5080" s="679">
        <v>483.55</v>
      </c>
    </row>
    <row r="5081" spans="2:9" ht="30">
      <c r="B5081" s="395">
        <v>86935</v>
      </c>
      <c r="C5081" s="406" t="s">
        <v>3885</v>
      </c>
      <c r="D5081" s="395" t="s">
        <v>23</v>
      </c>
      <c r="E5081" s="407">
        <f t="shared" si="158"/>
        <v>339.3</v>
      </c>
      <c r="F5081">
        <f t="shared" si="159"/>
        <v>86935</v>
      </c>
      <c r="H5081" s="680">
        <v>339.3</v>
      </c>
      <c r="I5081" s="680">
        <v>341.59</v>
      </c>
    </row>
    <row r="5082" spans="2:9" ht="30">
      <c r="B5082" s="396">
        <v>86936</v>
      </c>
      <c r="C5082" s="401" t="s">
        <v>3886</v>
      </c>
      <c r="D5082" s="396" t="s">
        <v>23</v>
      </c>
      <c r="E5082" s="405">
        <f t="shared" si="158"/>
        <v>534.42999999999995</v>
      </c>
      <c r="F5082">
        <f t="shared" si="159"/>
        <v>86936</v>
      </c>
      <c r="H5082" s="679">
        <v>534.42999999999995</v>
      </c>
      <c r="I5082" s="679">
        <v>537.32000000000005</v>
      </c>
    </row>
    <row r="5083" spans="2:9" ht="30">
      <c r="B5083" s="395">
        <v>86937</v>
      </c>
      <c r="C5083" s="406" t="s">
        <v>3887</v>
      </c>
      <c r="D5083" s="395" t="s">
        <v>23</v>
      </c>
      <c r="E5083" s="407">
        <f t="shared" si="158"/>
        <v>235.5</v>
      </c>
      <c r="F5083">
        <f t="shared" si="159"/>
        <v>86937</v>
      </c>
      <c r="H5083" s="680">
        <v>235.5</v>
      </c>
      <c r="I5083" s="680">
        <v>238.91</v>
      </c>
    </row>
    <row r="5084" spans="2:9" ht="30">
      <c r="B5084" s="396">
        <v>86938</v>
      </c>
      <c r="C5084" s="401" t="s">
        <v>3888</v>
      </c>
      <c r="D5084" s="396" t="s">
        <v>23</v>
      </c>
      <c r="E5084" s="405">
        <f t="shared" si="158"/>
        <v>430.63</v>
      </c>
      <c r="F5084">
        <f t="shared" si="159"/>
        <v>86938</v>
      </c>
      <c r="H5084" s="679">
        <v>430.63</v>
      </c>
      <c r="I5084" s="679">
        <v>434.64</v>
      </c>
    </row>
    <row r="5085" spans="2:9" ht="30">
      <c r="B5085" s="395">
        <v>86939</v>
      </c>
      <c r="C5085" s="406" t="s">
        <v>3889</v>
      </c>
      <c r="D5085" s="395" t="s">
        <v>23</v>
      </c>
      <c r="E5085" s="407">
        <f t="shared" si="158"/>
        <v>422.15</v>
      </c>
      <c r="F5085">
        <f t="shared" si="159"/>
        <v>86939</v>
      </c>
      <c r="H5085" s="680">
        <v>422.15</v>
      </c>
      <c r="I5085" s="680">
        <v>426.7</v>
      </c>
    </row>
    <row r="5086" spans="2:9" ht="45">
      <c r="B5086" s="396">
        <v>86940</v>
      </c>
      <c r="C5086" s="401" t="s">
        <v>3890</v>
      </c>
      <c r="D5086" s="396" t="s">
        <v>23</v>
      </c>
      <c r="E5086" s="405">
        <f t="shared" si="158"/>
        <v>1146.75</v>
      </c>
      <c r="F5086">
        <f t="shared" si="159"/>
        <v>86940</v>
      </c>
      <c r="H5086" s="679">
        <v>1146.75</v>
      </c>
      <c r="I5086" s="679">
        <v>1155.5999999999999</v>
      </c>
    </row>
    <row r="5087" spans="2:9" ht="45">
      <c r="B5087" s="395">
        <v>86941</v>
      </c>
      <c r="C5087" s="406" t="s">
        <v>3891</v>
      </c>
      <c r="D5087" s="395" t="s">
        <v>23</v>
      </c>
      <c r="E5087" s="407">
        <f t="shared" si="158"/>
        <v>826.16</v>
      </c>
      <c r="F5087">
        <f t="shared" si="159"/>
        <v>86941</v>
      </c>
      <c r="H5087" s="680">
        <v>826.16</v>
      </c>
      <c r="I5087" s="680">
        <v>833.37</v>
      </c>
    </row>
    <row r="5088" spans="2:9" ht="45">
      <c r="B5088" s="396">
        <v>86942</v>
      </c>
      <c r="C5088" s="401" t="s">
        <v>3892</v>
      </c>
      <c r="D5088" s="396" t="s">
        <v>23</v>
      </c>
      <c r="E5088" s="405">
        <f t="shared" si="158"/>
        <v>271.27999999999997</v>
      </c>
      <c r="F5088">
        <f t="shared" si="159"/>
        <v>86942</v>
      </c>
      <c r="H5088" s="679">
        <v>271.27999999999997</v>
      </c>
      <c r="I5088" s="679">
        <v>274.24</v>
      </c>
    </row>
    <row r="5089" spans="2:9" ht="45">
      <c r="B5089" s="395">
        <v>86943</v>
      </c>
      <c r="C5089" s="406" t="s">
        <v>3893</v>
      </c>
      <c r="D5089" s="395" t="s">
        <v>23</v>
      </c>
      <c r="E5089" s="407">
        <f t="shared" si="158"/>
        <v>258.56</v>
      </c>
      <c r="F5089">
        <f t="shared" si="159"/>
        <v>86943</v>
      </c>
      <c r="H5089" s="680">
        <v>258.56</v>
      </c>
      <c r="I5089" s="680">
        <v>261.35000000000002</v>
      </c>
    </row>
    <row r="5090" spans="2:9" ht="45">
      <c r="B5090" s="396">
        <v>86947</v>
      </c>
      <c r="C5090" s="401" t="s">
        <v>3894</v>
      </c>
      <c r="D5090" s="396" t="s">
        <v>23</v>
      </c>
      <c r="E5090" s="405">
        <f t="shared" si="158"/>
        <v>1266.05</v>
      </c>
      <c r="F5090">
        <f t="shared" si="159"/>
        <v>86947</v>
      </c>
      <c r="H5090" s="679">
        <v>1266.05</v>
      </c>
      <c r="I5090" s="679">
        <v>1279.0999999999999</v>
      </c>
    </row>
    <row r="5091" spans="2:9" ht="45">
      <c r="B5091" s="395">
        <v>93396</v>
      </c>
      <c r="C5091" s="406" t="s">
        <v>3895</v>
      </c>
      <c r="D5091" s="395" t="s">
        <v>23</v>
      </c>
      <c r="E5091" s="407">
        <f t="shared" si="158"/>
        <v>768.45</v>
      </c>
      <c r="F5091">
        <f t="shared" si="159"/>
        <v>93396</v>
      </c>
      <c r="H5091" s="680">
        <v>768.45</v>
      </c>
      <c r="I5091" s="680">
        <v>779.26</v>
      </c>
    </row>
    <row r="5092" spans="2:9" ht="45">
      <c r="B5092" s="396">
        <v>93441</v>
      </c>
      <c r="C5092" s="401" t="s">
        <v>3896</v>
      </c>
      <c r="D5092" s="396" t="s">
        <v>23</v>
      </c>
      <c r="E5092" s="405">
        <f t="shared" si="158"/>
        <v>1415.23</v>
      </c>
      <c r="F5092">
        <f t="shared" si="159"/>
        <v>93441</v>
      </c>
      <c r="H5092" s="679">
        <v>1415.23</v>
      </c>
      <c r="I5092" s="679">
        <v>1423.92</v>
      </c>
    </row>
    <row r="5093" spans="2:9" ht="45">
      <c r="B5093" s="395">
        <v>93442</v>
      </c>
      <c r="C5093" s="406" t="s">
        <v>3897</v>
      </c>
      <c r="D5093" s="395" t="s">
        <v>23</v>
      </c>
      <c r="E5093" s="407">
        <f t="shared" si="158"/>
        <v>1302.7</v>
      </c>
      <c r="F5093">
        <f t="shared" si="159"/>
        <v>93442</v>
      </c>
      <c r="H5093" s="680">
        <v>1302.7</v>
      </c>
      <c r="I5093" s="680">
        <v>1312.15</v>
      </c>
    </row>
    <row r="5094" spans="2:9">
      <c r="B5094" s="396">
        <v>95469</v>
      </c>
      <c r="C5094" s="401" t="s">
        <v>3898</v>
      </c>
      <c r="D5094" s="396" t="s">
        <v>23</v>
      </c>
      <c r="E5094" s="405">
        <f t="shared" si="158"/>
        <v>298.48</v>
      </c>
      <c r="F5094">
        <f t="shared" si="159"/>
        <v>95469</v>
      </c>
      <c r="H5094" s="679">
        <v>298.48</v>
      </c>
      <c r="I5094" s="679">
        <v>300.42</v>
      </c>
    </row>
    <row r="5095" spans="2:9" ht="30">
      <c r="B5095" s="395">
        <v>95470</v>
      </c>
      <c r="C5095" s="406" t="s">
        <v>1683</v>
      </c>
      <c r="D5095" s="395" t="s">
        <v>23</v>
      </c>
      <c r="E5095" s="407">
        <f t="shared" si="158"/>
        <v>307.51</v>
      </c>
      <c r="F5095">
        <f t="shared" si="159"/>
        <v>95470</v>
      </c>
      <c r="H5095" s="680">
        <v>307.51</v>
      </c>
      <c r="I5095" s="680">
        <v>309.45</v>
      </c>
    </row>
    <row r="5096" spans="2:9" ht="30">
      <c r="B5096" s="396">
        <v>95471</v>
      </c>
      <c r="C5096" s="401" t="s">
        <v>3899</v>
      </c>
      <c r="D5096" s="396" t="s">
        <v>23</v>
      </c>
      <c r="E5096" s="405">
        <f t="shared" si="158"/>
        <v>764.84</v>
      </c>
      <c r="F5096">
        <f t="shared" si="159"/>
        <v>95471</v>
      </c>
      <c r="H5096" s="679">
        <v>764.84</v>
      </c>
      <c r="I5096" s="679">
        <v>768.86</v>
      </c>
    </row>
    <row r="5097" spans="2:9" ht="30">
      <c r="B5097" s="395">
        <v>95472</v>
      </c>
      <c r="C5097" s="406" t="s">
        <v>3900</v>
      </c>
      <c r="D5097" s="395" t="s">
        <v>23</v>
      </c>
      <c r="E5097" s="407">
        <f t="shared" si="158"/>
        <v>773.87</v>
      </c>
      <c r="F5097">
        <f t="shared" si="159"/>
        <v>95472</v>
      </c>
      <c r="H5097" s="680">
        <v>773.87</v>
      </c>
      <c r="I5097" s="680">
        <v>777.89</v>
      </c>
    </row>
    <row r="5098" spans="2:9">
      <c r="B5098" s="396">
        <v>95542</v>
      </c>
      <c r="C5098" s="401" t="s">
        <v>3901</v>
      </c>
      <c r="D5098" s="396" t="s">
        <v>23</v>
      </c>
      <c r="E5098" s="405">
        <f t="shared" si="158"/>
        <v>37.520000000000003</v>
      </c>
      <c r="F5098">
        <f t="shared" si="159"/>
        <v>95542</v>
      </c>
      <c r="H5098" s="679">
        <v>37.520000000000003</v>
      </c>
      <c r="I5098" s="679">
        <v>38.53</v>
      </c>
    </row>
    <row r="5099" spans="2:9">
      <c r="B5099" s="395">
        <v>95543</v>
      </c>
      <c r="C5099" s="406" t="s">
        <v>3902</v>
      </c>
      <c r="D5099" s="395" t="s">
        <v>23</v>
      </c>
      <c r="E5099" s="407">
        <f t="shared" si="158"/>
        <v>62.25</v>
      </c>
      <c r="F5099">
        <f t="shared" si="159"/>
        <v>95543</v>
      </c>
      <c r="H5099" s="680">
        <v>62.25</v>
      </c>
      <c r="I5099" s="680">
        <v>64.25</v>
      </c>
    </row>
    <row r="5100" spans="2:9">
      <c r="B5100" s="396">
        <v>95544</v>
      </c>
      <c r="C5100" s="401" t="s">
        <v>3903</v>
      </c>
      <c r="D5100" s="396" t="s">
        <v>23</v>
      </c>
      <c r="E5100" s="405">
        <f t="shared" si="158"/>
        <v>46.47</v>
      </c>
      <c r="F5100">
        <f t="shared" si="159"/>
        <v>95544</v>
      </c>
      <c r="H5100" s="679">
        <v>46.47</v>
      </c>
      <c r="I5100" s="679">
        <v>47.48</v>
      </c>
    </row>
    <row r="5101" spans="2:9">
      <c r="B5101" s="395">
        <v>95545</v>
      </c>
      <c r="C5101" s="406" t="s">
        <v>3904</v>
      </c>
      <c r="D5101" s="395" t="s">
        <v>23</v>
      </c>
      <c r="E5101" s="407">
        <f t="shared" si="158"/>
        <v>45.52</v>
      </c>
      <c r="F5101">
        <f t="shared" si="159"/>
        <v>95545</v>
      </c>
      <c r="H5101" s="680">
        <v>45.52</v>
      </c>
      <c r="I5101" s="680">
        <v>46.53</v>
      </c>
    </row>
    <row r="5102" spans="2:9">
      <c r="B5102" s="396">
        <v>95546</v>
      </c>
      <c r="C5102" s="401" t="s">
        <v>3905</v>
      </c>
      <c r="D5102" s="396" t="s">
        <v>23</v>
      </c>
      <c r="E5102" s="405">
        <f t="shared" si="158"/>
        <v>148.9</v>
      </c>
      <c r="F5102">
        <f t="shared" si="159"/>
        <v>95546</v>
      </c>
      <c r="H5102" s="679">
        <v>148.9</v>
      </c>
      <c r="I5102" s="679">
        <v>154.91</v>
      </c>
    </row>
    <row r="5103" spans="2:9" ht="30">
      <c r="B5103" s="395">
        <v>95547</v>
      </c>
      <c r="C5103" s="406" t="s">
        <v>3906</v>
      </c>
      <c r="D5103" s="395" t="s">
        <v>23</v>
      </c>
      <c r="E5103" s="407">
        <f t="shared" si="158"/>
        <v>73.349999999999994</v>
      </c>
      <c r="F5103">
        <f t="shared" si="159"/>
        <v>95547</v>
      </c>
      <c r="H5103" s="680">
        <v>73.349999999999994</v>
      </c>
      <c r="I5103" s="680">
        <v>74.36</v>
      </c>
    </row>
    <row r="5104" spans="2:9">
      <c r="B5104" s="396">
        <v>100848</v>
      </c>
      <c r="C5104" s="401" t="s">
        <v>3907</v>
      </c>
      <c r="D5104" s="396" t="s">
        <v>23</v>
      </c>
      <c r="E5104" s="405">
        <f t="shared" si="158"/>
        <v>552.57000000000005</v>
      </c>
      <c r="F5104">
        <f t="shared" si="159"/>
        <v>100848</v>
      </c>
      <c r="H5104" s="679">
        <v>552.57000000000005</v>
      </c>
      <c r="I5104" s="679">
        <v>554.51</v>
      </c>
    </row>
    <row r="5105" spans="2:9">
      <c r="B5105" s="395">
        <v>100849</v>
      </c>
      <c r="C5105" s="406" t="s">
        <v>3908</v>
      </c>
      <c r="D5105" s="395" t="s">
        <v>23</v>
      </c>
      <c r="E5105" s="407">
        <f t="shared" si="158"/>
        <v>44.06</v>
      </c>
      <c r="F5105">
        <f t="shared" si="159"/>
        <v>100849</v>
      </c>
      <c r="H5105" s="680">
        <v>44.06</v>
      </c>
      <c r="I5105" s="680">
        <v>44.55</v>
      </c>
    </row>
    <row r="5106" spans="2:9">
      <c r="B5106" s="396">
        <v>100851</v>
      </c>
      <c r="C5106" s="401" t="s">
        <v>3909</v>
      </c>
      <c r="D5106" s="396" t="s">
        <v>23</v>
      </c>
      <c r="E5106" s="405">
        <f t="shared" si="158"/>
        <v>89.07</v>
      </c>
      <c r="F5106">
        <f t="shared" si="159"/>
        <v>100851</v>
      </c>
      <c r="H5106" s="679">
        <v>89.07</v>
      </c>
      <c r="I5106" s="679">
        <v>89.56</v>
      </c>
    </row>
    <row r="5107" spans="2:9">
      <c r="B5107" s="395">
        <v>100852</v>
      </c>
      <c r="C5107" s="406" t="s">
        <v>3910</v>
      </c>
      <c r="D5107" s="395" t="s">
        <v>23</v>
      </c>
      <c r="E5107" s="407">
        <f t="shared" si="158"/>
        <v>275.38</v>
      </c>
      <c r="F5107">
        <f t="shared" si="159"/>
        <v>100852</v>
      </c>
      <c r="H5107" s="680">
        <v>275.38</v>
      </c>
      <c r="I5107" s="680">
        <v>276.86</v>
      </c>
    </row>
    <row r="5108" spans="2:9">
      <c r="B5108" s="396">
        <v>100853</v>
      </c>
      <c r="C5108" s="401" t="s">
        <v>6100</v>
      </c>
      <c r="D5108" s="396" t="s">
        <v>23</v>
      </c>
      <c r="E5108" s="405">
        <f t="shared" si="158"/>
        <v>349.6</v>
      </c>
      <c r="F5108">
        <f t="shared" si="159"/>
        <v>100853</v>
      </c>
      <c r="H5108" s="679">
        <v>349.6</v>
      </c>
      <c r="I5108" s="679">
        <v>351.07</v>
      </c>
    </row>
    <row r="5109" spans="2:9">
      <c r="B5109" s="395">
        <v>100854</v>
      </c>
      <c r="C5109" s="406" t="s">
        <v>3911</v>
      </c>
      <c r="D5109" s="395" t="s">
        <v>23</v>
      </c>
      <c r="E5109" s="407">
        <f t="shared" si="158"/>
        <v>1832.91</v>
      </c>
      <c r="F5109">
        <f t="shared" si="159"/>
        <v>100854</v>
      </c>
      <c r="H5109" s="680">
        <v>1832.91</v>
      </c>
      <c r="I5109" s="680">
        <v>1834.96</v>
      </c>
    </row>
    <row r="5110" spans="2:9">
      <c r="B5110" s="396">
        <v>100855</v>
      </c>
      <c r="C5110" s="401" t="s">
        <v>3912</v>
      </c>
      <c r="D5110" s="396" t="s">
        <v>23</v>
      </c>
      <c r="E5110" s="405">
        <f t="shared" si="158"/>
        <v>45.52</v>
      </c>
      <c r="F5110">
        <f t="shared" si="159"/>
        <v>100855</v>
      </c>
      <c r="H5110" s="679">
        <v>45.52</v>
      </c>
      <c r="I5110" s="679">
        <v>46.53</v>
      </c>
    </row>
    <row r="5111" spans="2:9">
      <c r="B5111" s="395">
        <v>100856</v>
      </c>
      <c r="C5111" s="406" t="s">
        <v>3913</v>
      </c>
      <c r="D5111" s="395" t="s">
        <v>23</v>
      </c>
      <c r="E5111" s="407">
        <f t="shared" si="158"/>
        <v>38.33</v>
      </c>
      <c r="F5111">
        <f t="shared" si="159"/>
        <v>100856</v>
      </c>
      <c r="H5111" s="680">
        <v>38.33</v>
      </c>
      <c r="I5111" s="680">
        <v>38.64</v>
      </c>
    </row>
    <row r="5112" spans="2:9">
      <c r="B5112" s="396">
        <v>100857</v>
      </c>
      <c r="C5112" s="401" t="s">
        <v>3914</v>
      </c>
      <c r="D5112" s="396" t="s">
        <v>23</v>
      </c>
      <c r="E5112" s="405">
        <f t="shared" si="158"/>
        <v>536.22</v>
      </c>
      <c r="F5112">
        <f t="shared" si="159"/>
        <v>100857</v>
      </c>
      <c r="H5112" s="679">
        <v>536.22</v>
      </c>
      <c r="I5112" s="679">
        <v>537.30999999999995</v>
      </c>
    </row>
    <row r="5113" spans="2:9">
      <c r="B5113" s="395">
        <v>100858</v>
      </c>
      <c r="C5113" s="406" t="s">
        <v>3915</v>
      </c>
      <c r="D5113" s="395" t="s">
        <v>23</v>
      </c>
      <c r="E5113" s="407">
        <f t="shared" si="158"/>
        <v>582.41</v>
      </c>
      <c r="F5113">
        <f t="shared" si="159"/>
        <v>100858</v>
      </c>
      <c r="H5113" s="680">
        <v>582.41</v>
      </c>
      <c r="I5113" s="680">
        <v>585.61</v>
      </c>
    </row>
    <row r="5114" spans="2:9" ht="30">
      <c r="B5114" s="396">
        <v>100859</v>
      </c>
      <c r="C5114" s="401" t="s">
        <v>5813</v>
      </c>
      <c r="D5114" s="396" t="s">
        <v>23</v>
      </c>
      <c r="E5114" s="405">
        <f t="shared" si="158"/>
        <v>999.6</v>
      </c>
      <c r="F5114">
        <f t="shared" si="159"/>
        <v>100859</v>
      </c>
      <c r="H5114" s="679">
        <v>999.6</v>
      </c>
      <c r="I5114" s="679">
        <v>1006.31</v>
      </c>
    </row>
    <row r="5115" spans="2:9">
      <c r="B5115" s="395">
        <v>100860</v>
      </c>
      <c r="C5115" s="406" t="s">
        <v>3916</v>
      </c>
      <c r="D5115" s="395" t="s">
        <v>23</v>
      </c>
      <c r="E5115" s="407">
        <f t="shared" si="158"/>
        <v>95.41</v>
      </c>
      <c r="F5115">
        <f t="shared" si="159"/>
        <v>100860</v>
      </c>
      <c r="H5115" s="680">
        <v>95.41</v>
      </c>
      <c r="I5115" s="680">
        <v>96.82</v>
      </c>
    </row>
    <row r="5116" spans="2:9" ht="30">
      <c r="B5116" s="396">
        <v>100861</v>
      </c>
      <c r="C5116" s="401" t="s">
        <v>3917</v>
      </c>
      <c r="D5116" s="396" t="s">
        <v>23</v>
      </c>
      <c r="E5116" s="405">
        <f t="shared" si="158"/>
        <v>37.340000000000003</v>
      </c>
      <c r="F5116">
        <f t="shared" si="159"/>
        <v>100861</v>
      </c>
      <c r="H5116" s="679">
        <v>37.340000000000003</v>
      </c>
      <c r="I5116" s="679">
        <v>38.840000000000003</v>
      </c>
    </row>
    <row r="5117" spans="2:9" ht="30">
      <c r="B5117" s="395">
        <v>100862</v>
      </c>
      <c r="C5117" s="406" t="s">
        <v>3918</v>
      </c>
      <c r="D5117" s="395" t="s">
        <v>23</v>
      </c>
      <c r="E5117" s="407">
        <f t="shared" si="158"/>
        <v>41.88</v>
      </c>
      <c r="F5117">
        <f t="shared" si="159"/>
        <v>100862</v>
      </c>
      <c r="H5117" s="680">
        <v>41.88</v>
      </c>
      <c r="I5117" s="680">
        <v>43.38</v>
      </c>
    </row>
    <row r="5118" spans="2:9">
      <c r="B5118" s="396">
        <v>100863</v>
      </c>
      <c r="C5118" s="401" t="s">
        <v>3919</v>
      </c>
      <c r="D5118" s="396" t="s">
        <v>23</v>
      </c>
      <c r="E5118" s="405">
        <f t="shared" si="158"/>
        <v>589.19000000000005</v>
      </c>
      <c r="F5118">
        <f t="shared" si="159"/>
        <v>100863</v>
      </c>
      <c r="H5118" s="679">
        <v>589.19000000000005</v>
      </c>
      <c r="I5118" s="679">
        <v>593.70000000000005</v>
      </c>
    </row>
    <row r="5119" spans="2:9">
      <c r="B5119" s="395">
        <v>100864</v>
      </c>
      <c r="C5119" s="406" t="s">
        <v>3920</v>
      </c>
      <c r="D5119" s="395" t="s">
        <v>23</v>
      </c>
      <c r="E5119" s="407">
        <f t="shared" si="158"/>
        <v>646.95000000000005</v>
      </c>
      <c r="F5119">
        <f t="shared" si="159"/>
        <v>100864</v>
      </c>
      <c r="H5119" s="680">
        <v>646.95000000000005</v>
      </c>
      <c r="I5119" s="680">
        <v>651.46</v>
      </c>
    </row>
    <row r="5120" spans="2:9" ht="30">
      <c r="B5120" s="396">
        <v>100865</v>
      </c>
      <c r="C5120" s="401" t="s">
        <v>3921</v>
      </c>
      <c r="D5120" s="396" t="s">
        <v>23</v>
      </c>
      <c r="E5120" s="405">
        <f t="shared" si="158"/>
        <v>573.75</v>
      </c>
      <c r="F5120">
        <f t="shared" si="159"/>
        <v>100865</v>
      </c>
      <c r="H5120" s="679">
        <v>573.75</v>
      </c>
      <c r="I5120" s="679">
        <v>575.75</v>
      </c>
    </row>
    <row r="5121" spans="2:9" ht="30">
      <c r="B5121" s="395">
        <v>100866</v>
      </c>
      <c r="C5121" s="406" t="s">
        <v>3922</v>
      </c>
      <c r="D5121" s="395" t="s">
        <v>23</v>
      </c>
      <c r="E5121" s="407">
        <f t="shared" si="158"/>
        <v>304.23</v>
      </c>
      <c r="F5121">
        <f t="shared" si="159"/>
        <v>100866</v>
      </c>
      <c r="H5121" s="680">
        <v>304.23</v>
      </c>
      <c r="I5121" s="680">
        <v>307.24</v>
      </c>
    </row>
    <row r="5122" spans="2:9" ht="30">
      <c r="B5122" s="396">
        <v>100867</v>
      </c>
      <c r="C5122" s="401" t="s">
        <v>3923</v>
      </c>
      <c r="D5122" s="396" t="s">
        <v>23</v>
      </c>
      <c r="E5122" s="405">
        <f t="shared" si="158"/>
        <v>323.27999999999997</v>
      </c>
      <c r="F5122">
        <f t="shared" si="159"/>
        <v>100867</v>
      </c>
      <c r="H5122" s="679">
        <v>323.27999999999997</v>
      </c>
      <c r="I5122" s="679">
        <v>326.29000000000002</v>
      </c>
    </row>
    <row r="5123" spans="2:9" ht="30">
      <c r="B5123" s="395">
        <v>100868</v>
      </c>
      <c r="C5123" s="406" t="s">
        <v>3924</v>
      </c>
      <c r="D5123" s="395" t="s">
        <v>23</v>
      </c>
      <c r="E5123" s="407">
        <f t="shared" ref="E5123:E5186" si="160">IF($K$2=$H$1,H5123,I5123)</f>
        <v>335.95</v>
      </c>
      <c r="F5123">
        <f t="shared" ref="F5123:F5186" si="161">IF(LEN($B5123)=7,CONCATENATE(MID($B5123,1,6),"00",RIGHT($B5123,1)),IF(LEN($B5123)=8,CONCATENATE(MID($B5123,1,6),"0",RIGHT($B5123,2)),$B5123))</f>
        <v>100868</v>
      </c>
      <c r="H5123" s="680">
        <v>335.95</v>
      </c>
      <c r="I5123" s="680">
        <v>338.96</v>
      </c>
    </row>
    <row r="5124" spans="2:9" ht="30">
      <c r="B5124" s="396">
        <v>100869</v>
      </c>
      <c r="C5124" s="401" t="s">
        <v>3925</v>
      </c>
      <c r="D5124" s="396" t="s">
        <v>23</v>
      </c>
      <c r="E5124" s="405">
        <f t="shared" si="160"/>
        <v>345.67</v>
      </c>
      <c r="F5124">
        <f t="shared" si="161"/>
        <v>100869</v>
      </c>
      <c r="H5124" s="679">
        <v>345.67</v>
      </c>
      <c r="I5124" s="679">
        <v>348.68</v>
      </c>
    </row>
    <row r="5125" spans="2:9">
      <c r="B5125" s="395">
        <v>100870</v>
      </c>
      <c r="C5125" s="406" t="s">
        <v>3926</v>
      </c>
      <c r="D5125" s="395" t="s">
        <v>23</v>
      </c>
      <c r="E5125" s="407">
        <f t="shared" si="160"/>
        <v>268.26</v>
      </c>
      <c r="F5125">
        <f t="shared" si="161"/>
        <v>100870</v>
      </c>
      <c r="H5125" s="680">
        <v>268.26</v>
      </c>
      <c r="I5125" s="680">
        <v>271.27</v>
      </c>
    </row>
    <row r="5126" spans="2:9">
      <c r="B5126" s="396">
        <v>100871</v>
      </c>
      <c r="C5126" s="401" t="s">
        <v>3927</v>
      </c>
      <c r="D5126" s="396" t="s">
        <v>23</v>
      </c>
      <c r="E5126" s="405">
        <f t="shared" si="160"/>
        <v>288.24</v>
      </c>
      <c r="F5126">
        <f t="shared" si="161"/>
        <v>100871</v>
      </c>
      <c r="H5126" s="679">
        <v>288.24</v>
      </c>
      <c r="I5126" s="679">
        <v>291.25</v>
      </c>
    </row>
    <row r="5127" spans="2:9">
      <c r="B5127" s="395">
        <v>100872</v>
      </c>
      <c r="C5127" s="406" t="s">
        <v>3928</v>
      </c>
      <c r="D5127" s="395" t="s">
        <v>23</v>
      </c>
      <c r="E5127" s="407">
        <f t="shared" si="160"/>
        <v>301</v>
      </c>
      <c r="F5127">
        <f t="shared" si="161"/>
        <v>100872</v>
      </c>
      <c r="H5127" s="680">
        <v>301</v>
      </c>
      <c r="I5127" s="680">
        <v>304.01</v>
      </c>
    </row>
    <row r="5128" spans="2:9">
      <c r="B5128" s="396">
        <v>100873</v>
      </c>
      <c r="C5128" s="401" t="s">
        <v>3929</v>
      </c>
      <c r="D5128" s="396" t="s">
        <v>23</v>
      </c>
      <c r="E5128" s="405">
        <f t="shared" si="160"/>
        <v>308.97000000000003</v>
      </c>
      <c r="F5128">
        <f t="shared" si="161"/>
        <v>100873</v>
      </c>
      <c r="H5128" s="679">
        <v>308.97000000000003</v>
      </c>
      <c r="I5128" s="679">
        <v>311.98</v>
      </c>
    </row>
    <row r="5129" spans="2:9">
      <c r="B5129" s="395">
        <v>100874</v>
      </c>
      <c r="C5129" s="406" t="s">
        <v>3930</v>
      </c>
      <c r="D5129" s="395" t="s">
        <v>23</v>
      </c>
      <c r="E5129" s="407">
        <f t="shared" si="160"/>
        <v>304.23</v>
      </c>
      <c r="F5129">
        <f t="shared" si="161"/>
        <v>100874</v>
      </c>
      <c r="H5129" s="680">
        <v>304.23</v>
      </c>
      <c r="I5129" s="680">
        <v>307.24</v>
      </c>
    </row>
    <row r="5130" spans="2:9">
      <c r="B5130" s="396">
        <v>100875</v>
      </c>
      <c r="C5130" s="401" t="s">
        <v>3931</v>
      </c>
      <c r="D5130" s="396" t="s">
        <v>23</v>
      </c>
      <c r="E5130" s="405">
        <f t="shared" si="160"/>
        <v>1059.2</v>
      </c>
      <c r="F5130">
        <f t="shared" si="161"/>
        <v>100875</v>
      </c>
      <c r="H5130" s="679">
        <v>1059.2</v>
      </c>
      <c r="I5130" s="679">
        <v>1063.2</v>
      </c>
    </row>
    <row r="5131" spans="2:9">
      <c r="B5131" s="395">
        <v>100878</v>
      </c>
      <c r="C5131" s="406" t="s">
        <v>5814</v>
      </c>
      <c r="D5131" s="395" t="s">
        <v>23</v>
      </c>
      <c r="E5131" s="407">
        <f t="shared" si="160"/>
        <v>652.39</v>
      </c>
      <c r="F5131">
        <f t="shared" si="161"/>
        <v>100878</v>
      </c>
      <c r="H5131" s="680">
        <v>652.39</v>
      </c>
      <c r="I5131" s="680">
        <v>656.9</v>
      </c>
    </row>
    <row r="5132" spans="2:9" ht="30">
      <c r="B5132" s="396">
        <v>98052</v>
      </c>
      <c r="C5132" s="401" t="s">
        <v>8402</v>
      </c>
      <c r="D5132" s="396" t="s">
        <v>23</v>
      </c>
      <c r="E5132" s="405">
        <f t="shared" si="160"/>
        <v>2025.57</v>
      </c>
      <c r="F5132">
        <f t="shared" si="161"/>
        <v>98052</v>
      </c>
      <c r="H5132" s="679">
        <v>2025.57</v>
      </c>
      <c r="I5132" s="679">
        <v>2050.31</v>
      </c>
    </row>
    <row r="5133" spans="2:9" ht="30">
      <c r="B5133" s="395">
        <v>98053</v>
      </c>
      <c r="C5133" s="406" t="s">
        <v>8403</v>
      </c>
      <c r="D5133" s="395" t="s">
        <v>23</v>
      </c>
      <c r="E5133" s="407">
        <f t="shared" si="160"/>
        <v>2787.63</v>
      </c>
      <c r="F5133">
        <f t="shared" si="161"/>
        <v>98053</v>
      </c>
      <c r="H5133" s="680">
        <v>2787.63</v>
      </c>
      <c r="I5133" s="680">
        <v>2821.1</v>
      </c>
    </row>
    <row r="5134" spans="2:9" ht="30">
      <c r="B5134" s="396">
        <v>98054</v>
      </c>
      <c r="C5134" s="401" t="s">
        <v>8404</v>
      </c>
      <c r="D5134" s="396" t="s">
        <v>23</v>
      </c>
      <c r="E5134" s="405">
        <f t="shared" si="160"/>
        <v>4566.3599999999997</v>
      </c>
      <c r="F5134">
        <f t="shared" si="161"/>
        <v>98054</v>
      </c>
      <c r="H5134" s="679">
        <v>4566.3599999999997</v>
      </c>
      <c r="I5134" s="679">
        <v>4601.47</v>
      </c>
    </row>
    <row r="5135" spans="2:9" ht="30">
      <c r="B5135" s="395">
        <v>98055</v>
      </c>
      <c r="C5135" s="406" t="s">
        <v>8405</v>
      </c>
      <c r="D5135" s="395" t="s">
        <v>23</v>
      </c>
      <c r="E5135" s="407">
        <f t="shared" si="160"/>
        <v>6216.26</v>
      </c>
      <c r="F5135">
        <f t="shared" si="161"/>
        <v>98055</v>
      </c>
      <c r="H5135" s="680">
        <v>6216.26</v>
      </c>
      <c r="I5135" s="680">
        <v>6264.8</v>
      </c>
    </row>
    <row r="5136" spans="2:9" ht="30">
      <c r="B5136" s="396">
        <v>98056</v>
      </c>
      <c r="C5136" s="401" t="s">
        <v>8406</v>
      </c>
      <c r="D5136" s="396" t="s">
        <v>23</v>
      </c>
      <c r="E5136" s="405">
        <f t="shared" si="160"/>
        <v>7244.71</v>
      </c>
      <c r="F5136">
        <f t="shared" si="161"/>
        <v>98056</v>
      </c>
      <c r="H5136" s="679">
        <v>7244.71</v>
      </c>
      <c r="I5136" s="679">
        <v>7296.47</v>
      </c>
    </row>
    <row r="5137" spans="2:9" ht="30">
      <c r="B5137" s="395">
        <v>98057</v>
      </c>
      <c r="C5137" s="406" t="s">
        <v>8407</v>
      </c>
      <c r="D5137" s="395" t="s">
        <v>23</v>
      </c>
      <c r="E5137" s="407">
        <f t="shared" si="160"/>
        <v>8645.82</v>
      </c>
      <c r="F5137">
        <f t="shared" si="161"/>
        <v>98057</v>
      </c>
      <c r="H5137" s="680">
        <v>8645.82</v>
      </c>
      <c r="I5137" s="680">
        <v>8710.15</v>
      </c>
    </row>
    <row r="5138" spans="2:9" ht="30">
      <c r="B5138" s="396">
        <v>98058</v>
      </c>
      <c r="C5138" s="401" t="s">
        <v>8408</v>
      </c>
      <c r="D5138" s="396" t="s">
        <v>23</v>
      </c>
      <c r="E5138" s="405">
        <f t="shared" si="160"/>
        <v>1746.22</v>
      </c>
      <c r="F5138">
        <f t="shared" si="161"/>
        <v>98058</v>
      </c>
      <c r="H5138" s="679">
        <v>1746.22</v>
      </c>
      <c r="I5138" s="679">
        <v>1775.23</v>
      </c>
    </row>
    <row r="5139" spans="2:9" ht="30">
      <c r="B5139" s="395">
        <v>98059</v>
      </c>
      <c r="C5139" s="406" t="s">
        <v>8409</v>
      </c>
      <c r="D5139" s="395" t="s">
        <v>23</v>
      </c>
      <c r="E5139" s="407">
        <f t="shared" si="160"/>
        <v>3811.94</v>
      </c>
      <c r="F5139">
        <f t="shared" si="161"/>
        <v>98059</v>
      </c>
      <c r="H5139" s="680">
        <v>3811.94</v>
      </c>
      <c r="I5139" s="680">
        <v>3854.58</v>
      </c>
    </row>
    <row r="5140" spans="2:9" ht="30">
      <c r="B5140" s="396">
        <v>98060</v>
      </c>
      <c r="C5140" s="401" t="s">
        <v>8410</v>
      </c>
      <c r="D5140" s="396" t="s">
        <v>23</v>
      </c>
      <c r="E5140" s="405">
        <f t="shared" si="160"/>
        <v>5334.8</v>
      </c>
      <c r="F5140">
        <f t="shared" si="161"/>
        <v>98060</v>
      </c>
      <c r="H5140" s="679">
        <v>5334.8</v>
      </c>
      <c r="I5140" s="679">
        <v>5396.92</v>
      </c>
    </row>
    <row r="5141" spans="2:9" ht="30">
      <c r="B5141" s="395">
        <v>98061</v>
      </c>
      <c r="C5141" s="406" t="s">
        <v>8411</v>
      </c>
      <c r="D5141" s="395" t="s">
        <v>23</v>
      </c>
      <c r="E5141" s="407">
        <f t="shared" si="160"/>
        <v>7447.94</v>
      </c>
      <c r="F5141">
        <f t="shared" si="161"/>
        <v>98061</v>
      </c>
      <c r="H5141" s="680">
        <v>7447.94</v>
      </c>
      <c r="I5141" s="680">
        <v>7533.56</v>
      </c>
    </row>
    <row r="5142" spans="2:9" ht="30">
      <c r="B5142" s="396">
        <v>98062</v>
      </c>
      <c r="C5142" s="401" t="s">
        <v>8412</v>
      </c>
      <c r="D5142" s="396" t="s">
        <v>23</v>
      </c>
      <c r="E5142" s="405">
        <f t="shared" si="160"/>
        <v>3047.36</v>
      </c>
      <c r="F5142">
        <f t="shared" si="161"/>
        <v>98062</v>
      </c>
      <c r="H5142" s="679">
        <v>3047.36</v>
      </c>
      <c r="I5142" s="679">
        <v>3075.46</v>
      </c>
    </row>
    <row r="5143" spans="2:9" ht="30">
      <c r="B5143" s="395">
        <v>98063</v>
      </c>
      <c r="C5143" s="406" t="s">
        <v>8413</v>
      </c>
      <c r="D5143" s="395" t="s">
        <v>23</v>
      </c>
      <c r="E5143" s="407">
        <f t="shared" si="160"/>
        <v>4648.43</v>
      </c>
      <c r="F5143">
        <f t="shared" si="161"/>
        <v>98063</v>
      </c>
      <c r="H5143" s="680">
        <v>4648.43</v>
      </c>
      <c r="I5143" s="680">
        <v>4690.08</v>
      </c>
    </row>
    <row r="5144" spans="2:9" ht="30">
      <c r="B5144" s="396">
        <v>98064</v>
      </c>
      <c r="C5144" s="401" t="s">
        <v>8414</v>
      </c>
      <c r="D5144" s="396" t="s">
        <v>23</v>
      </c>
      <c r="E5144" s="405">
        <f t="shared" si="160"/>
        <v>5364.31</v>
      </c>
      <c r="F5144">
        <f t="shared" si="161"/>
        <v>98064</v>
      </c>
      <c r="H5144" s="679">
        <v>5364.31</v>
      </c>
      <c r="I5144" s="679">
        <v>5407.88</v>
      </c>
    </row>
    <row r="5145" spans="2:9" ht="30">
      <c r="B5145" s="395">
        <v>98065</v>
      </c>
      <c r="C5145" s="406" t="s">
        <v>8415</v>
      </c>
      <c r="D5145" s="395" t="s">
        <v>23</v>
      </c>
      <c r="E5145" s="407">
        <f t="shared" si="160"/>
        <v>7461.1</v>
      </c>
      <c r="F5145">
        <f t="shared" si="161"/>
        <v>98065</v>
      </c>
      <c r="H5145" s="680">
        <v>7461.1</v>
      </c>
      <c r="I5145" s="680">
        <v>7519.14</v>
      </c>
    </row>
    <row r="5146" spans="2:9" ht="30">
      <c r="B5146" s="396">
        <v>98066</v>
      </c>
      <c r="C5146" s="401" t="s">
        <v>8416</v>
      </c>
      <c r="D5146" s="396" t="s">
        <v>23</v>
      </c>
      <c r="E5146" s="405">
        <f t="shared" si="160"/>
        <v>4849.88</v>
      </c>
      <c r="F5146">
        <f t="shared" si="161"/>
        <v>98066</v>
      </c>
      <c r="H5146" s="679">
        <v>4849.88</v>
      </c>
      <c r="I5146" s="679">
        <v>5038.84</v>
      </c>
    </row>
    <row r="5147" spans="2:9" ht="30">
      <c r="B5147" s="395">
        <v>98067</v>
      </c>
      <c r="C5147" s="406" t="s">
        <v>8417</v>
      </c>
      <c r="D5147" s="395" t="s">
        <v>23</v>
      </c>
      <c r="E5147" s="407">
        <f t="shared" si="160"/>
        <v>6463.05</v>
      </c>
      <c r="F5147">
        <f t="shared" si="161"/>
        <v>98067</v>
      </c>
      <c r="H5147" s="680">
        <v>6463.05</v>
      </c>
      <c r="I5147" s="680">
        <v>6715.85</v>
      </c>
    </row>
    <row r="5148" spans="2:9" ht="30">
      <c r="B5148" s="396">
        <v>98068</v>
      </c>
      <c r="C5148" s="401" t="s">
        <v>8418</v>
      </c>
      <c r="D5148" s="396" t="s">
        <v>23</v>
      </c>
      <c r="E5148" s="405">
        <f t="shared" si="160"/>
        <v>9122.2999999999993</v>
      </c>
      <c r="F5148">
        <f t="shared" si="161"/>
        <v>98068</v>
      </c>
      <c r="H5148" s="679">
        <v>9122.2999999999993</v>
      </c>
      <c r="I5148" s="679">
        <v>9480.98</v>
      </c>
    </row>
    <row r="5149" spans="2:9" ht="30">
      <c r="B5149" s="395">
        <v>98069</v>
      </c>
      <c r="C5149" s="406" t="s">
        <v>8419</v>
      </c>
      <c r="D5149" s="395" t="s">
        <v>23</v>
      </c>
      <c r="E5149" s="407">
        <f t="shared" si="160"/>
        <v>12236.44</v>
      </c>
      <c r="F5149">
        <f t="shared" si="161"/>
        <v>98069</v>
      </c>
      <c r="H5149" s="680">
        <v>12236.44</v>
      </c>
      <c r="I5149" s="680">
        <v>12721.97</v>
      </c>
    </row>
    <row r="5150" spans="2:9" ht="30">
      <c r="B5150" s="396">
        <v>98070</v>
      </c>
      <c r="C5150" s="401" t="s">
        <v>8420</v>
      </c>
      <c r="D5150" s="396" t="s">
        <v>23</v>
      </c>
      <c r="E5150" s="405">
        <f t="shared" si="160"/>
        <v>13996.63</v>
      </c>
      <c r="F5150">
        <f t="shared" si="161"/>
        <v>98070</v>
      </c>
      <c r="H5150" s="679">
        <v>13996.63</v>
      </c>
      <c r="I5150" s="679">
        <v>14550.55</v>
      </c>
    </row>
    <row r="5151" spans="2:9" ht="30">
      <c r="B5151" s="395">
        <v>98071</v>
      </c>
      <c r="C5151" s="406" t="s">
        <v>8421</v>
      </c>
      <c r="D5151" s="395" t="s">
        <v>23</v>
      </c>
      <c r="E5151" s="407">
        <f t="shared" si="160"/>
        <v>15310.71</v>
      </c>
      <c r="F5151">
        <f t="shared" si="161"/>
        <v>98071</v>
      </c>
      <c r="H5151" s="680">
        <v>15310.71</v>
      </c>
      <c r="I5151" s="680">
        <v>15912.42</v>
      </c>
    </row>
    <row r="5152" spans="2:9" ht="30">
      <c r="B5152" s="396">
        <v>98072</v>
      </c>
      <c r="C5152" s="401" t="s">
        <v>8422</v>
      </c>
      <c r="D5152" s="396" t="s">
        <v>23</v>
      </c>
      <c r="E5152" s="405">
        <f t="shared" si="160"/>
        <v>4053.77</v>
      </c>
      <c r="F5152">
        <f t="shared" si="161"/>
        <v>98072</v>
      </c>
      <c r="H5152" s="679">
        <v>4053.77</v>
      </c>
      <c r="I5152" s="679">
        <v>4213.79</v>
      </c>
    </row>
    <row r="5153" spans="2:9" ht="30">
      <c r="B5153" s="395">
        <v>98073</v>
      </c>
      <c r="C5153" s="406" t="s">
        <v>8423</v>
      </c>
      <c r="D5153" s="395" t="s">
        <v>23</v>
      </c>
      <c r="E5153" s="407">
        <f t="shared" si="160"/>
        <v>6330.86</v>
      </c>
      <c r="F5153">
        <f t="shared" si="161"/>
        <v>98073</v>
      </c>
      <c r="H5153" s="680">
        <v>6330.86</v>
      </c>
      <c r="I5153" s="680">
        <v>6583.05</v>
      </c>
    </row>
    <row r="5154" spans="2:9" ht="30">
      <c r="B5154" s="396">
        <v>98074</v>
      </c>
      <c r="C5154" s="401" t="s">
        <v>8424</v>
      </c>
      <c r="D5154" s="396" t="s">
        <v>23</v>
      </c>
      <c r="E5154" s="405">
        <f t="shared" si="160"/>
        <v>9816.4500000000007</v>
      </c>
      <c r="F5154">
        <f t="shared" si="161"/>
        <v>98074</v>
      </c>
      <c r="H5154" s="679">
        <v>9816.4500000000007</v>
      </c>
      <c r="I5154" s="679">
        <v>10209.5</v>
      </c>
    </row>
    <row r="5155" spans="2:9" ht="30">
      <c r="B5155" s="395">
        <v>98075</v>
      </c>
      <c r="C5155" s="406" t="s">
        <v>8425</v>
      </c>
      <c r="D5155" s="395" t="s">
        <v>23</v>
      </c>
      <c r="E5155" s="407">
        <f t="shared" si="160"/>
        <v>12758.83</v>
      </c>
      <c r="F5155">
        <f t="shared" si="161"/>
        <v>98075</v>
      </c>
      <c r="H5155" s="680">
        <v>12758.83</v>
      </c>
      <c r="I5155" s="680">
        <v>13270.4</v>
      </c>
    </row>
    <row r="5156" spans="2:9" ht="30">
      <c r="B5156" s="396">
        <v>98076</v>
      </c>
      <c r="C5156" s="401" t="s">
        <v>8426</v>
      </c>
      <c r="D5156" s="396" t="s">
        <v>23</v>
      </c>
      <c r="E5156" s="405">
        <f t="shared" si="160"/>
        <v>14694.73</v>
      </c>
      <c r="F5156">
        <f t="shared" si="161"/>
        <v>98076</v>
      </c>
      <c r="H5156" s="679">
        <v>14694.73</v>
      </c>
      <c r="I5156" s="679">
        <v>15285.28</v>
      </c>
    </row>
    <row r="5157" spans="2:9" ht="30">
      <c r="B5157" s="395">
        <v>98077</v>
      </c>
      <c r="C5157" s="406" t="s">
        <v>8427</v>
      </c>
      <c r="D5157" s="395" t="s">
        <v>23</v>
      </c>
      <c r="E5157" s="407">
        <f t="shared" si="160"/>
        <v>17295.89</v>
      </c>
      <c r="F5157">
        <f t="shared" si="161"/>
        <v>98077</v>
      </c>
      <c r="H5157" s="680">
        <v>17295.89</v>
      </c>
      <c r="I5157" s="680">
        <v>17991.37</v>
      </c>
    </row>
    <row r="5158" spans="2:9" ht="30">
      <c r="B5158" s="396">
        <v>98078</v>
      </c>
      <c r="C5158" s="401" t="s">
        <v>8428</v>
      </c>
      <c r="D5158" s="396" t="s">
        <v>23</v>
      </c>
      <c r="E5158" s="405">
        <f t="shared" si="160"/>
        <v>4648.8</v>
      </c>
      <c r="F5158">
        <f t="shared" si="161"/>
        <v>98078</v>
      </c>
      <c r="H5158" s="679">
        <v>4648.8</v>
      </c>
      <c r="I5158" s="679">
        <v>4810.6000000000004</v>
      </c>
    </row>
    <row r="5159" spans="2:9" ht="30">
      <c r="B5159" s="395">
        <v>98079</v>
      </c>
      <c r="C5159" s="406" t="s">
        <v>8429</v>
      </c>
      <c r="D5159" s="395" t="s">
        <v>23</v>
      </c>
      <c r="E5159" s="407">
        <f t="shared" si="160"/>
        <v>8123.39</v>
      </c>
      <c r="F5159">
        <f t="shared" si="161"/>
        <v>98079</v>
      </c>
      <c r="H5159" s="680">
        <v>8123.39</v>
      </c>
      <c r="I5159" s="680">
        <v>8407.15</v>
      </c>
    </row>
    <row r="5160" spans="2:9" ht="30">
      <c r="B5160" s="396">
        <v>98080</v>
      </c>
      <c r="C5160" s="401" t="s">
        <v>8430</v>
      </c>
      <c r="D5160" s="396" t="s">
        <v>23</v>
      </c>
      <c r="E5160" s="405">
        <f t="shared" si="160"/>
        <v>10402.83</v>
      </c>
      <c r="F5160">
        <f t="shared" si="161"/>
        <v>98080</v>
      </c>
      <c r="H5160" s="679">
        <v>10402.83</v>
      </c>
      <c r="I5160" s="679">
        <v>10769.73</v>
      </c>
    </row>
    <row r="5161" spans="2:9" ht="30">
      <c r="B5161" s="395">
        <v>98081</v>
      </c>
      <c r="C5161" s="406" t="s">
        <v>8431</v>
      </c>
      <c r="D5161" s="395" t="s">
        <v>23</v>
      </c>
      <c r="E5161" s="407">
        <f t="shared" si="160"/>
        <v>15378.15</v>
      </c>
      <c r="F5161">
        <f t="shared" si="161"/>
        <v>98081</v>
      </c>
      <c r="H5161" s="680">
        <v>15378.15</v>
      </c>
      <c r="I5161" s="680">
        <v>15923.34</v>
      </c>
    </row>
    <row r="5162" spans="2:9" ht="30">
      <c r="B5162" s="396">
        <v>98082</v>
      </c>
      <c r="C5162" s="401" t="s">
        <v>8432</v>
      </c>
      <c r="D5162" s="396" t="s">
        <v>23</v>
      </c>
      <c r="E5162" s="405">
        <f t="shared" si="160"/>
        <v>3598.62</v>
      </c>
      <c r="F5162">
        <f t="shared" si="161"/>
        <v>98082</v>
      </c>
      <c r="H5162" s="679">
        <v>3598.62</v>
      </c>
      <c r="I5162" s="679">
        <v>3748.38</v>
      </c>
    </row>
    <row r="5163" spans="2:9" ht="30">
      <c r="B5163" s="395">
        <v>98083</v>
      </c>
      <c r="C5163" s="406" t="s">
        <v>8433</v>
      </c>
      <c r="D5163" s="395" t="s">
        <v>23</v>
      </c>
      <c r="E5163" s="407">
        <f t="shared" si="160"/>
        <v>4733.6099999999997</v>
      </c>
      <c r="F5163">
        <f t="shared" si="161"/>
        <v>98083</v>
      </c>
      <c r="H5163" s="680">
        <v>4733.6099999999997</v>
      </c>
      <c r="I5163" s="680">
        <v>4932.7</v>
      </c>
    </row>
    <row r="5164" spans="2:9" ht="30">
      <c r="B5164" s="396">
        <v>98084</v>
      </c>
      <c r="C5164" s="401" t="s">
        <v>8434</v>
      </c>
      <c r="D5164" s="396" t="s">
        <v>23</v>
      </c>
      <c r="E5164" s="405">
        <f t="shared" si="160"/>
        <v>6622.82</v>
      </c>
      <c r="F5164">
        <f t="shared" si="161"/>
        <v>98084</v>
      </c>
      <c r="H5164" s="679">
        <v>6622.82</v>
      </c>
      <c r="I5164" s="679">
        <v>6904.46</v>
      </c>
    </row>
    <row r="5165" spans="2:9" ht="30">
      <c r="B5165" s="395">
        <v>98085</v>
      </c>
      <c r="C5165" s="406" t="s">
        <v>8435</v>
      </c>
      <c r="D5165" s="395" t="s">
        <v>23</v>
      </c>
      <c r="E5165" s="407">
        <f t="shared" si="160"/>
        <v>8981.07</v>
      </c>
      <c r="F5165">
        <f t="shared" si="161"/>
        <v>98085</v>
      </c>
      <c r="H5165" s="680">
        <v>8981.07</v>
      </c>
      <c r="I5165" s="680">
        <v>9366.16</v>
      </c>
    </row>
    <row r="5166" spans="2:9" ht="30">
      <c r="B5166" s="396">
        <v>98086</v>
      </c>
      <c r="C5166" s="401" t="s">
        <v>8436</v>
      </c>
      <c r="D5166" s="396" t="s">
        <v>23</v>
      </c>
      <c r="E5166" s="405">
        <f t="shared" si="160"/>
        <v>10119.11</v>
      </c>
      <c r="F5166">
        <f t="shared" si="161"/>
        <v>98086</v>
      </c>
      <c r="H5166" s="679">
        <v>10119.11</v>
      </c>
      <c r="I5166" s="679">
        <v>10554.13</v>
      </c>
    </row>
    <row r="5167" spans="2:9" ht="30">
      <c r="B5167" s="395">
        <v>98087</v>
      </c>
      <c r="C5167" s="406" t="s">
        <v>8437</v>
      </c>
      <c r="D5167" s="395" t="s">
        <v>23</v>
      </c>
      <c r="E5167" s="407">
        <f t="shared" si="160"/>
        <v>10766.55</v>
      </c>
      <c r="F5167">
        <f t="shared" si="161"/>
        <v>98087</v>
      </c>
      <c r="H5167" s="680">
        <v>10766.55</v>
      </c>
      <c r="I5167" s="680">
        <v>11230.17</v>
      </c>
    </row>
    <row r="5168" spans="2:9" ht="30">
      <c r="B5168" s="396">
        <v>98088</v>
      </c>
      <c r="C5168" s="401" t="s">
        <v>8438</v>
      </c>
      <c r="D5168" s="396" t="s">
        <v>23</v>
      </c>
      <c r="E5168" s="405">
        <f t="shared" si="160"/>
        <v>3118.47</v>
      </c>
      <c r="F5168">
        <f t="shared" si="161"/>
        <v>98088</v>
      </c>
      <c r="H5168" s="679">
        <v>3118.47</v>
      </c>
      <c r="I5168" s="679">
        <v>3246.64</v>
      </c>
    </row>
    <row r="5169" spans="2:9" ht="30">
      <c r="B5169" s="395">
        <v>98089</v>
      </c>
      <c r="C5169" s="406" t="s">
        <v>8439</v>
      </c>
      <c r="D5169" s="395" t="s">
        <v>23</v>
      </c>
      <c r="E5169" s="407">
        <f t="shared" si="160"/>
        <v>4928.88</v>
      </c>
      <c r="F5169">
        <f t="shared" si="161"/>
        <v>98089</v>
      </c>
      <c r="H5169" s="680">
        <v>4928.88</v>
      </c>
      <c r="I5169" s="680">
        <v>5133.4399999999996</v>
      </c>
    </row>
    <row r="5170" spans="2:9" ht="30">
      <c r="B5170" s="396">
        <v>98090</v>
      </c>
      <c r="C5170" s="401" t="s">
        <v>8440</v>
      </c>
      <c r="D5170" s="396" t="s">
        <v>23</v>
      </c>
      <c r="E5170" s="405">
        <f t="shared" si="160"/>
        <v>7747.01</v>
      </c>
      <c r="F5170">
        <f t="shared" si="161"/>
        <v>98090</v>
      </c>
      <c r="H5170" s="679">
        <v>7747.01</v>
      </c>
      <c r="I5170" s="679">
        <v>8069.64</v>
      </c>
    </row>
    <row r="5171" spans="2:9" ht="30">
      <c r="B5171" s="395">
        <v>98091</v>
      </c>
      <c r="C5171" s="406" t="s">
        <v>8441</v>
      </c>
      <c r="D5171" s="395" t="s">
        <v>23</v>
      </c>
      <c r="E5171" s="407">
        <f t="shared" si="160"/>
        <v>10122.15</v>
      </c>
      <c r="F5171">
        <f t="shared" si="161"/>
        <v>98091</v>
      </c>
      <c r="H5171" s="680">
        <v>10122.15</v>
      </c>
      <c r="I5171" s="680">
        <v>10544</v>
      </c>
    </row>
    <row r="5172" spans="2:9" ht="30">
      <c r="B5172" s="396">
        <v>98092</v>
      </c>
      <c r="C5172" s="401" t="s">
        <v>8442</v>
      </c>
      <c r="D5172" s="396" t="s">
        <v>23</v>
      </c>
      <c r="E5172" s="405">
        <f t="shared" si="160"/>
        <v>11763.26</v>
      </c>
      <c r="F5172">
        <f t="shared" si="161"/>
        <v>98092</v>
      </c>
      <c r="H5172" s="679">
        <v>11763.26</v>
      </c>
      <c r="I5172" s="679">
        <v>12253.91</v>
      </c>
    </row>
    <row r="5173" spans="2:9" ht="30">
      <c r="B5173" s="395">
        <v>98093</v>
      </c>
      <c r="C5173" s="406" t="s">
        <v>8443</v>
      </c>
      <c r="D5173" s="395" t="s">
        <v>23</v>
      </c>
      <c r="E5173" s="407">
        <f t="shared" si="160"/>
        <v>13887.99</v>
      </c>
      <c r="F5173">
        <f t="shared" si="161"/>
        <v>98093</v>
      </c>
      <c r="H5173" s="680">
        <v>13887.99</v>
      </c>
      <c r="I5173" s="680">
        <v>14467.32</v>
      </c>
    </row>
    <row r="5174" spans="2:9" ht="30">
      <c r="B5174" s="396">
        <v>98094</v>
      </c>
      <c r="C5174" s="401" t="s">
        <v>8444</v>
      </c>
      <c r="D5174" s="396" t="s">
        <v>23</v>
      </c>
      <c r="E5174" s="405">
        <f t="shared" si="160"/>
        <v>2573.66</v>
      </c>
      <c r="F5174">
        <f t="shared" si="161"/>
        <v>98094</v>
      </c>
      <c r="H5174" s="679">
        <v>2573.66</v>
      </c>
      <c r="I5174" s="679">
        <v>2675.87</v>
      </c>
    </row>
    <row r="5175" spans="2:9" ht="30">
      <c r="B5175" s="395">
        <v>98099</v>
      </c>
      <c r="C5175" s="406" t="s">
        <v>8445</v>
      </c>
      <c r="D5175" s="395" t="s">
        <v>23</v>
      </c>
      <c r="E5175" s="407">
        <f t="shared" si="160"/>
        <v>4382.57</v>
      </c>
      <c r="F5175">
        <f t="shared" si="161"/>
        <v>98099</v>
      </c>
      <c r="H5175" s="680">
        <v>4382.57</v>
      </c>
      <c r="I5175" s="680">
        <v>4558.1400000000003</v>
      </c>
    </row>
    <row r="5176" spans="2:9" ht="30">
      <c r="B5176" s="396">
        <v>98100</v>
      </c>
      <c r="C5176" s="401" t="s">
        <v>8446</v>
      </c>
      <c r="D5176" s="396" t="s">
        <v>23</v>
      </c>
      <c r="E5176" s="405">
        <f t="shared" si="160"/>
        <v>5736.52</v>
      </c>
      <c r="F5176">
        <f t="shared" si="161"/>
        <v>98100</v>
      </c>
      <c r="H5176" s="679">
        <v>5736.52</v>
      </c>
      <c r="I5176" s="679">
        <v>5968.23</v>
      </c>
    </row>
    <row r="5177" spans="2:9" ht="30">
      <c r="B5177" s="395">
        <v>98101</v>
      </c>
      <c r="C5177" s="406" t="s">
        <v>8447</v>
      </c>
      <c r="D5177" s="395" t="s">
        <v>23</v>
      </c>
      <c r="E5177" s="407">
        <f t="shared" si="160"/>
        <v>8465.74</v>
      </c>
      <c r="F5177">
        <f t="shared" si="161"/>
        <v>98101</v>
      </c>
      <c r="H5177" s="680">
        <v>8465.74</v>
      </c>
      <c r="I5177" s="680">
        <v>8810.36</v>
      </c>
    </row>
    <row r="5178" spans="2:9" ht="30">
      <c r="B5178" s="396">
        <v>98109</v>
      </c>
      <c r="C5178" s="401" t="s">
        <v>5369</v>
      </c>
      <c r="D5178" s="396" t="s">
        <v>23</v>
      </c>
      <c r="E5178" s="405">
        <f t="shared" si="160"/>
        <v>737.08</v>
      </c>
      <c r="F5178">
        <f t="shared" si="161"/>
        <v>98109</v>
      </c>
      <c r="H5178" s="679">
        <v>737.08</v>
      </c>
      <c r="I5178" s="679">
        <v>777.6</v>
      </c>
    </row>
    <row r="5179" spans="2:9">
      <c r="B5179" s="395">
        <v>98110</v>
      </c>
      <c r="C5179" s="406" t="s">
        <v>5370</v>
      </c>
      <c r="D5179" s="395" t="s">
        <v>23</v>
      </c>
      <c r="E5179" s="407">
        <f t="shared" si="160"/>
        <v>471.87</v>
      </c>
      <c r="F5179">
        <f t="shared" si="161"/>
        <v>98110</v>
      </c>
      <c r="H5179" s="680">
        <v>471.87</v>
      </c>
      <c r="I5179" s="680">
        <v>473.15</v>
      </c>
    </row>
    <row r="5180" spans="2:9">
      <c r="B5180" s="396">
        <v>98111</v>
      </c>
      <c r="C5180" s="401" t="s">
        <v>5371</v>
      </c>
      <c r="D5180" s="396" t="s">
        <v>23</v>
      </c>
      <c r="E5180" s="405">
        <f t="shared" si="160"/>
        <v>61.09</v>
      </c>
      <c r="F5180">
        <f t="shared" si="161"/>
        <v>98111</v>
      </c>
      <c r="H5180" s="679">
        <v>61.09</v>
      </c>
      <c r="I5180" s="679">
        <v>61.78</v>
      </c>
    </row>
    <row r="5181" spans="2:9">
      <c r="B5181" s="395">
        <v>98112</v>
      </c>
      <c r="C5181" s="406" t="s">
        <v>5372</v>
      </c>
      <c r="D5181" s="395" t="s">
        <v>23</v>
      </c>
      <c r="E5181" s="407">
        <f t="shared" si="160"/>
        <v>107.27</v>
      </c>
      <c r="F5181">
        <f t="shared" si="161"/>
        <v>98112</v>
      </c>
      <c r="H5181" s="680">
        <v>107.27</v>
      </c>
      <c r="I5181" s="680">
        <v>109.21</v>
      </c>
    </row>
    <row r="5182" spans="2:9">
      <c r="B5182" s="396">
        <v>98114</v>
      </c>
      <c r="C5182" s="401" t="s">
        <v>5373</v>
      </c>
      <c r="D5182" s="396" t="s">
        <v>23</v>
      </c>
      <c r="E5182" s="405">
        <f t="shared" si="160"/>
        <v>676.28</v>
      </c>
      <c r="F5182">
        <f t="shared" si="161"/>
        <v>98114</v>
      </c>
      <c r="H5182" s="679">
        <v>676.28</v>
      </c>
      <c r="I5182" s="679">
        <v>681.02</v>
      </c>
    </row>
    <row r="5183" spans="2:9" ht="30">
      <c r="B5183" s="395">
        <v>98115</v>
      </c>
      <c r="C5183" s="406" t="s">
        <v>6879</v>
      </c>
      <c r="D5183" s="395" t="s">
        <v>23</v>
      </c>
      <c r="E5183" s="407">
        <f t="shared" si="160"/>
        <v>93.34</v>
      </c>
      <c r="F5183">
        <f t="shared" si="161"/>
        <v>98115</v>
      </c>
      <c r="H5183" s="680">
        <v>93.34</v>
      </c>
      <c r="I5183" s="680">
        <v>98.92</v>
      </c>
    </row>
    <row r="5184" spans="2:9" ht="30">
      <c r="B5184" s="396">
        <v>89957</v>
      </c>
      <c r="C5184" s="401" t="s">
        <v>1684</v>
      </c>
      <c r="D5184" s="396" t="s">
        <v>23</v>
      </c>
      <c r="E5184" s="405">
        <f t="shared" si="160"/>
        <v>129.5</v>
      </c>
      <c r="F5184">
        <f t="shared" si="161"/>
        <v>89957</v>
      </c>
      <c r="H5184" s="679">
        <v>129.5</v>
      </c>
      <c r="I5184" s="679">
        <v>140.79</v>
      </c>
    </row>
    <row r="5185" spans="2:9" ht="30">
      <c r="B5185" s="395">
        <v>89959</v>
      </c>
      <c r="C5185" s="406" t="s">
        <v>1685</v>
      </c>
      <c r="D5185" s="395" t="s">
        <v>23</v>
      </c>
      <c r="E5185" s="407">
        <f t="shared" si="160"/>
        <v>215.83</v>
      </c>
      <c r="F5185">
        <f t="shared" si="161"/>
        <v>89959</v>
      </c>
      <c r="H5185" s="680">
        <v>215.83</v>
      </c>
      <c r="I5185" s="680">
        <v>229.52</v>
      </c>
    </row>
    <row r="5186" spans="2:9">
      <c r="B5186" s="396">
        <v>89349</v>
      </c>
      <c r="C5186" s="401" t="s">
        <v>5891</v>
      </c>
      <c r="D5186" s="396" t="s">
        <v>23</v>
      </c>
      <c r="E5186" s="405">
        <f t="shared" si="160"/>
        <v>19.41</v>
      </c>
      <c r="F5186">
        <f t="shared" si="161"/>
        <v>89349</v>
      </c>
      <c r="H5186" s="679">
        <v>19.41</v>
      </c>
      <c r="I5186" s="679">
        <v>19.75</v>
      </c>
    </row>
    <row r="5187" spans="2:9">
      <c r="B5187" s="395">
        <v>89351</v>
      </c>
      <c r="C5187" s="406" t="s">
        <v>5892</v>
      </c>
      <c r="D5187" s="395" t="s">
        <v>23</v>
      </c>
      <c r="E5187" s="407">
        <f t="shared" ref="E5187:E5250" si="162">IF($K$2=$H$1,H5187,I5187)</f>
        <v>24.15</v>
      </c>
      <c r="F5187">
        <f t="shared" ref="F5187:F5250" si="163">IF(LEN($B5187)=7,CONCATENATE(MID($B5187,1,6),"00",RIGHT($B5187,1)),IF(LEN($B5187)=8,CONCATENATE(MID($B5187,1,6),"0",RIGHT($B5187,2)),$B5187))</f>
        <v>89351</v>
      </c>
      <c r="H5187" s="680">
        <v>24.15</v>
      </c>
      <c r="I5187" s="680">
        <v>24.67</v>
      </c>
    </row>
    <row r="5188" spans="2:9">
      <c r="B5188" s="396">
        <v>89352</v>
      </c>
      <c r="C5188" s="401" t="s">
        <v>5893</v>
      </c>
      <c r="D5188" s="396" t="s">
        <v>23</v>
      </c>
      <c r="E5188" s="405">
        <f t="shared" si="162"/>
        <v>26.17</v>
      </c>
      <c r="F5188">
        <f t="shared" si="163"/>
        <v>89352</v>
      </c>
      <c r="H5188" s="679">
        <v>26.17</v>
      </c>
      <c r="I5188" s="679">
        <v>26.51</v>
      </c>
    </row>
    <row r="5189" spans="2:9">
      <c r="B5189" s="395">
        <v>89353</v>
      </c>
      <c r="C5189" s="406" t="s">
        <v>5894</v>
      </c>
      <c r="D5189" s="395" t="s">
        <v>23</v>
      </c>
      <c r="E5189" s="407">
        <f t="shared" si="162"/>
        <v>28.99</v>
      </c>
      <c r="F5189">
        <f t="shared" si="163"/>
        <v>89353</v>
      </c>
      <c r="H5189" s="680">
        <v>28.99</v>
      </c>
      <c r="I5189" s="680">
        <v>29.51</v>
      </c>
    </row>
    <row r="5190" spans="2:9" ht="30">
      <c r="B5190" s="396">
        <v>89354</v>
      </c>
      <c r="C5190" s="401" t="s">
        <v>5895</v>
      </c>
      <c r="D5190" s="396" t="s">
        <v>23</v>
      </c>
      <c r="E5190" s="405">
        <f t="shared" si="162"/>
        <v>551.66999999999996</v>
      </c>
      <c r="F5190">
        <f t="shared" si="163"/>
        <v>89354</v>
      </c>
      <c r="H5190" s="679">
        <v>551.66999999999996</v>
      </c>
      <c r="I5190" s="679">
        <v>554.51</v>
      </c>
    </row>
    <row r="5191" spans="2:9" ht="30">
      <c r="B5191" s="395">
        <v>89969</v>
      </c>
      <c r="C5191" s="406" t="s">
        <v>1686</v>
      </c>
      <c r="D5191" s="395" t="s">
        <v>23</v>
      </c>
      <c r="E5191" s="407">
        <f t="shared" si="162"/>
        <v>35.130000000000003</v>
      </c>
      <c r="F5191">
        <f t="shared" si="163"/>
        <v>89969</v>
      </c>
      <c r="H5191" s="680">
        <v>35.130000000000003</v>
      </c>
      <c r="I5191" s="680">
        <v>36.229999999999997</v>
      </c>
    </row>
    <row r="5192" spans="2:9" ht="30">
      <c r="B5192" s="396">
        <v>89970</v>
      </c>
      <c r="C5192" s="401" t="s">
        <v>1687</v>
      </c>
      <c r="D5192" s="396" t="s">
        <v>23</v>
      </c>
      <c r="E5192" s="405">
        <f t="shared" si="162"/>
        <v>36.86</v>
      </c>
      <c r="F5192">
        <f t="shared" si="163"/>
        <v>89970</v>
      </c>
      <c r="H5192" s="679">
        <v>36.86</v>
      </c>
      <c r="I5192" s="679">
        <v>38.24</v>
      </c>
    </row>
    <row r="5193" spans="2:9" ht="30">
      <c r="B5193" s="395">
        <v>89971</v>
      </c>
      <c r="C5193" s="406" t="s">
        <v>1688</v>
      </c>
      <c r="D5193" s="395" t="s">
        <v>23</v>
      </c>
      <c r="E5193" s="407">
        <f t="shared" si="162"/>
        <v>36.409999999999997</v>
      </c>
      <c r="F5193">
        <f t="shared" si="163"/>
        <v>89971</v>
      </c>
      <c r="H5193" s="680">
        <v>36.409999999999997</v>
      </c>
      <c r="I5193" s="680">
        <v>37.51</v>
      </c>
    </row>
    <row r="5194" spans="2:9" ht="30">
      <c r="B5194" s="396">
        <v>89972</v>
      </c>
      <c r="C5194" s="401" t="s">
        <v>1689</v>
      </c>
      <c r="D5194" s="396" t="s">
        <v>23</v>
      </c>
      <c r="E5194" s="405">
        <f t="shared" si="162"/>
        <v>40.909999999999997</v>
      </c>
      <c r="F5194">
        <f t="shared" si="163"/>
        <v>89972</v>
      </c>
      <c r="H5194" s="679">
        <v>40.909999999999997</v>
      </c>
      <c r="I5194" s="679">
        <v>42.29</v>
      </c>
    </row>
    <row r="5195" spans="2:9" ht="30">
      <c r="B5195" s="395">
        <v>89973</v>
      </c>
      <c r="C5195" s="406" t="s">
        <v>1690</v>
      </c>
      <c r="D5195" s="395" t="s">
        <v>23</v>
      </c>
      <c r="E5195" s="407">
        <f t="shared" si="162"/>
        <v>753.47</v>
      </c>
      <c r="F5195">
        <f t="shared" si="163"/>
        <v>89973</v>
      </c>
      <c r="H5195" s="680">
        <v>753.47</v>
      </c>
      <c r="I5195" s="680">
        <v>762.45</v>
      </c>
    </row>
    <row r="5196" spans="2:9" ht="30">
      <c r="B5196" s="396">
        <v>89974</v>
      </c>
      <c r="C5196" s="401" t="s">
        <v>1691</v>
      </c>
      <c r="D5196" s="396" t="s">
        <v>23</v>
      </c>
      <c r="E5196" s="405">
        <f t="shared" si="162"/>
        <v>267.52</v>
      </c>
      <c r="F5196">
        <f t="shared" si="163"/>
        <v>89974</v>
      </c>
      <c r="H5196" s="679">
        <v>267.52</v>
      </c>
      <c r="I5196" s="679">
        <v>275.12</v>
      </c>
    </row>
    <row r="5197" spans="2:9" ht="30">
      <c r="B5197" s="395">
        <v>89984</v>
      </c>
      <c r="C5197" s="406" t="s">
        <v>5896</v>
      </c>
      <c r="D5197" s="395" t="s">
        <v>23</v>
      </c>
      <c r="E5197" s="407">
        <f t="shared" si="162"/>
        <v>61.86</v>
      </c>
      <c r="F5197">
        <f t="shared" si="163"/>
        <v>89984</v>
      </c>
      <c r="H5197" s="680">
        <v>61.86</v>
      </c>
      <c r="I5197" s="680">
        <v>62.7</v>
      </c>
    </row>
    <row r="5198" spans="2:9" ht="30">
      <c r="B5198" s="396">
        <v>89985</v>
      </c>
      <c r="C5198" s="401" t="s">
        <v>5897</v>
      </c>
      <c r="D5198" s="396" t="s">
        <v>23</v>
      </c>
      <c r="E5198" s="405">
        <f t="shared" si="162"/>
        <v>65.25</v>
      </c>
      <c r="F5198">
        <f t="shared" si="163"/>
        <v>89985</v>
      </c>
      <c r="H5198" s="679">
        <v>65.25</v>
      </c>
      <c r="I5198" s="679">
        <v>66.260000000000005</v>
      </c>
    </row>
    <row r="5199" spans="2:9" ht="30">
      <c r="B5199" s="395">
        <v>89986</v>
      </c>
      <c r="C5199" s="406" t="s">
        <v>5898</v>
      </c>
      <c r="D5199" s="395" t="s">
        <v>23</v>
      </c>
      <c r="E5199" s="407">
        <f t="shared" si="162"/>
        <v>60.3</v>
      </c>
      <c r="F5199">
        <f t="shared" si="163"/>
        <v>89986</v>
      </c>
      <c r="H5199" s="680">
        <v>60.3</v>
      </c>
      <c r="I5199" s="680">
        <v>61.14</v>
      </c>
    </row>
    <row r="5200" spans="2:9" ht="30">
      <c r="B5200" s="396">
        <v>89987</v>
      </c>
      <c r="C5200" s="401" t="s">
        <v>5899</v>
      </c>
      <c r="D5200" s="396" t="s">
        <v>23</v>
      </c>
      <c r="E5200" s="405">
        <f t="shared" si="162"/>
        <v>68.650000000000006</v>
      </c>
      <c r="F5200">
        <f t="shared" si="163"/>
        <v>89987</v>
      </c>
      <c r="H5200" s="679">
        <v>68.650000000000006</v>
      </c>
      <c r="I5200" s="679">
        <v>69.66</v>
      </c>
    </row>
    <row r="5201" spans="2:9">
      <c r="B5201" s="395">
        <v>90371</v>
      </c>
      <c r="C5201" s="406" t="s">
        <v>5900</v>
      </c>
      <c r="D5201" s="395" t="s">
        <v>23</v>
      </c>
      <c r="E5201" s="407">
        <f t="shared" si="162"/>
        <v>25.98</v>
      </c>
      <c r="F5201">
        <f t="shared" si="163"/>
        <v>90371</v>
      </c>
      <c r="H5201" s="680">
        <v>25.98</v>
      </c>
      <c r="I5201" s="680">
        <v>26.5</v>
      </c>
    </row>
    <row r="5202" spans="2:9">
      <c r="B5202" s="396">
        <v>94489</v>
      </c>
      <c r="C5202" s="401" t="s">
        <v>5901</v>
      </c>
      <c r="D5202" s="396" t="s">
        <v>23</v>
      </c>
      <c r="E5202" s="405">
        <f t="shared" si="162"/>
        <v>26.73</v>
      </c>
      <c r="F5202">
        <f t="shared" si="163"/>
        <v>94489</v>
      </c>
      <c r="H5202" s="679">
        <v>26.73</v>
      </c>
      <c r="I5202" s="679">
        <v>27.09</v>
      </c>
    </row>
    <row r="5203" spans="2:9">
      <c r="B5203" s="395">
        <v>94490</v>
      </c>
      <c r="C5203" s="406" t="s">
        <v>5902</v>
      </c>
      <c r="D5203" s="395" t="s">
        <v>23</v>
      </c>
      <c r="E5203" s="407">
        <f t="shared" si="162"/>
        <v>39.520000000000003</v>
      </c>
      <c r="F5203">
        <f t="shared" si="163"/>
        <v>94490</v>
      </c>
      <c r="H5203" s="680">
        <v>39.520000000000003</v>
      </c>
      <c r="I5203" s="680">
        <v>39.880000000000003</v>
      </c>
    </row>
    <row r="5204" spans="2:9">
      <c r="B5204" s="396">
        <v>94491</v>
      </c>
      <c r="C5204" s="401" t="s">
        <v>5903</v>
      </c>
      <c r="D5204" s="396" t="s">
        <v>23</v>
      </c>
      <c r="E5204" s="405">
        <f t="shared" si="162"/>
        <v>54.04</v>
      </c>
      <c r="F5204">
        <f t="shared" si="163"/>
        <v>94491</v>
      </c>
      <c r="H5204" s="679">
        <v>54.04</v>
      </c>
      <c r="I5204" s="679">
        <v>54.56</v>
      </c>
    </row>
    <row r="5205" spans="2:9">
      <c r="B5205" s="395">
        <v>94492</v>
      </c>
      <c r="C5205" s="406" t="s">
        <v>5904</v>
      </c>
      <c r="D5205" s="395" t="s">
        <v>23</v>
      </c>
      <c r="E5205" s="407">
        <f t="shared" si="162"/>
        <v>55.56</v>
      </c>
      <c r="F5205">
        <f t="shared" si="163"/>
        <v>94492</v>
      </c>
      <c r="H5205" s="680">
        <v>55.56</v>
      </c>
      <c r="I5205" s="680">
        <v>56.08</v>
      </c>
    </row>
    <row r="5206" spans="2:9">
      <c r="B5206" s="396">
        <v>94493</v>
      </c>
      <c r="C5206" s="401" t="s">
        <v>5905</v>
      </c>
      <c r="D5206" s="396" t="s">
        <v>23</v>
      </c>
      <c r="E5206" s="405">
        <f t="shared" si="162"/>
        <v>102.09</v>
      </c>
      <c r="F5206">
        <f t="shared" si="163"/>
        <v>94493</v>
      </c>
      <c r="H5206" s="679">
        <v>102.09</v>
      </c>
      <c r="I5206" s="679">
        <v>102.93</v>
      </c>
    </row>
    <row r="5207" spans="2:9">
      <c r="B5207" s="395">
        <v>94495</v>
      </c>
      <c r="C5207" s="406" t="s">
        <v>5906</v>
      </c>
      <c r="D5207" s="395" t="s">
        <v>23</v>
      </c>
      <c r="E5207" s="407">
        <f t="shared" si="162"/>
        <v>44.72</v>
      </c>
      <c r="F5207">
        <f t="shared" si="163"/>
        <v>94495</v>
      </c>
      <c r="H5207" s="680">
        <v>44.72</v>
      </c>
      <c r="I5207" s="680">
        <v>45.4</v>
      </c>
    </row>
    <row r="5208" spans="2:9">
      <c r="B5208" s="396">
        <v>94496</v>
      </c>
      <c r="C5208" s="401" t="s">
        <v>5907</v>
      </c>
      <c r="D5208" s="396" t="s">
        <v>23</v>
      </c>
      <c r="E5208" s="405">
        <f t="shared" si="162"/>
        <v>60.93</v>
      </c>
      <c r="F5208">
        <f t="shared" si="163"/>
        <v>94496</v>
      </c>
      <c r="H5208" s="679">
        <v>60.93</v>
      </c>
      <c r="I5208" s="679">
        <v>61.85</v>
      </c>
    </row>
    <row r="5209" spans="2:9">
      <c r="B5209" s="395">
        <v>94497</v>
      </c>
      <c r="C5209" s="406" t="s">
        <v>5908</v>
      </c>
      <c r="D5209" s="395" t="s">
        <v>23</v>
      </c>
      <c r="E5209" s="407">
        <f t="shared" si="162"/>
        <v>77.209999999999994</v>
      </c>
      <c r="F5209">
        <f t="shared" si="163"/>
        <v>94497</v>
      </c>
      <c r="H5209" s="680">
        <v>77.209999999999994</v>
      </c>
      <c r="I5209" s="680">
        <v>78.42</v>
      </c>
    </row>
    <row r="5210" spans="2:9">
      <c r="B5210" s="396">
        <v>94498</v>
      </c>
      <c r="C5210" s="401" t="s">
        <v>5909</v>
      </c>
      <c r="D5210" s="396" t="s">
        <v>23</v>
      </c>
      <c r="E5210" s="405">
        <f t="shared" si="162"/>
        <v>106.45</v>
      </c>
      <c r="F5210">
        <f t="shared" si="163"/>
        <v>94498</v>
      </c>
      <c r="H5210" s="679">
        <v>106.45</v>
      </c>
      <c r="I5210" s="679">
        <v>108</v>
      </c>
    </row>
    <row r="5211" spans="2:9">
      <c r="B5211" s="395">
        <v>94499</v>
      </c>
      <c r="C5211" s="406" t="s">
        <v>5910</v>
      </c>
      <c r="D5211" s="395" t="s">
        <v>23</v>
      </c>
      <c r="E5211" s="407">
        <f t="shared" si="162"/>
        <v>210.57</v>
      </c>
      <c r="F5211">
        <f t="shared" si="163"/>
        <v>94499</v>
      </c>
      <c r="H5211" s="680">
        <v>210.57</v>
      </c>
      <c r="I5211" s="680">
        <v>212.66</v>
      </c>
    </row>
    <row r="5212" spans="2:9">
      <c r="B5212" s="396">
        <v>94500</v>
      </c>
      <c r="C5212" s="401" t="s">
        <v>5911</v>
      </c>
      <c r="D5212" s="396" t="s">
        <v>23</v>
      </c>
      <c r="E5212" s="405">
        <f t="shared" si="162"/>
        <v>255.67</v>
      </c>
      <c r="F5212">
        <f t="shared" si="163"/>
        <v>94500</v>
      </c>
      <c r="H5212" s="679">
        <v>255.67</v>
      </c>
      <c r="I5212" s="679">
        <v>258.29000000000002</v>
      </c>
    </row>
    <row r="5213" spans="2:9">
      <c r="B5213" s="395">
        <v>94501</v>
      </c>
      <c r="C5213" s="406" t="s">
        <v>5912</v>
      </c>
      <c r="D5213" s="395" t="s">
        <v>23</v>
      </c>
      <c r="E5213" s="407">
        <f t="shared" si="162"/>
        <v>513.91999999999996</v>
      </c>
      <c r="F5213">
        <f t="shared" si="163"/>
        <v>94501</v>
      </c>
      <c r="H5213" s="680">
        <v>513.91999999999996</v>
      </c>
      <c r="I5213" s="680">
        <v>517.25</v>
      </c>
    </row>
    <row r="5214" spans="2:9" ht="30">
      <c r="B5214" s="396">
        <v>94792</v>
      </c>
      <c r="C5214" s="401" t="s">
        <v>5913</v>
      </c>
      <c r="D5214" s="396" t="s">
        <v>23</v>
      </c>
      <c r="E5214" s="405">
        <f t="shared" si="162"/>
        <v>83.59</v>
      </c>
      <c r="F5214">
        <f t="shared" si="163"/>
        <v>94792</v>
      </c>
      <c r="H5214" s="679">
        <v>83.59</v>
      </c>
      <c r="I5214" s="679">
        <v>84.79</v>
      </c>
    </row>
    <row r="5215" spans="2:9" ht="30">
      <c r="B5215" s="395">
        <v>94793</v>
      </c>
      <c r="C5215" s="406" t="s">
        <v>5914</v>
      </c>
      <c r="D5215" s="395" t="s">
        <v>23</v>
      </c>
      <c r="E5215" s="407">
        <f t="shared" si="162"/>
        <v>114.31</v>
      </c>
      <c r="F5215">
        <f t="shared" si="163"/>
        <v>94793</v>
      </c>
      <c r="H5215" s="680">
        <v>114.31</v>
      </c>
      <c r="I5215" s="680">
        <v>115.74</v>
      </c>
    </row>
    <row r="5216" spans="2:9" ht="30">
      <c r="B5216" s="396">
        <v>94794</v>
      </c>
      <c r="C5216" s="401" t="s">
        <v>5915</v>
      </c>
      <c r="D5216" s="396" t="s">
        <v>23</v>
      </c>
      <c r="E5216" s="405">
        <f t="shared" si="162"/>
        <v>121.43</v>
      </c>
      <c r="F5216">
        <f t="shared" si="163"/>
        <v>94794</v>
      </c>
      <c r="H5216" s="679">
        <v>121.43</v>
      </c>
      <c r="I5216" s="679">
        <v>123.16</v>
      </c>
    </row>
    <row r="5217" spans="2:9">
      <c r="B5217" s="395">
        <v>94795</v>
      </c>
      <c r="C5217" s="406" t="s">
        <v>5916</v>
      </c>
      <c r="D5217" s="395" t="s">
        <v>23</v>
      </c>
      <c r="E5217" s="407">
        <f t="shared" si="162"/>
        <v>39.83</v>
      </c>
      <c r="F5217">
        <f t="shared" si="163"/>
        <v>94795</v>
      </c>
      <c r="H5217" s="680">
        <v>39.83</v>
      </c>
      <c r="I5217" s="680">
        <v>40.409999999999997</v>
      </c>
    </row>
    <row r="5218" spans="2:9">
      <c r="B5218" s="396">
        <v>94796</v>
      </c>
      <c r="C5218" s="401" t="s">
        <v>5917</v>
      </c>
      <c r="D5218" s="396" t="s">
        <v>23</v>
      </c>
      <c r="E5218" s="405">
        <f t="shared" si="162"/>
        <v>45.25</v>
      </c>
      <c r="F5218">
        <f t="shared" si="163"/>
        <v>94796</v>
      </c>
      <c r="H5218" s="679">
        <v>45.25</v>
      </c>
      <c r="I5218" s="679">
        <v>46.12</v>
      </c>
    </row>
    <row r="5219" spans="2:9">
      <c r="B5219" s="395">
        <v>94797</v>
      </c>
      <c r="C5219" s="406" t="s">
        <v>5918</v>
      </c>
      <c r="D5219" s="395" t="s">
        <v>23</v>
      </c>
      <c r="E5219" s="407">
        <f t="shared" si="162"/>
        <v>94.93</v>
      </c>
      <c r="F5219">
        <f t="shared" si="163"/>
        <v>94797</v>
      </c>
      <c r="H5219" s="680">
        <v>94.93</v>
      </c>
      <c r="I5219" s="680">
        <v>96.11</v>
      </c>
    </row>
    <row r="5220" spans="2:9">
      <c r="B5220" s="396">
        <v>94798</v>
      </c>
      <c r="C5220" s="401" t="s">
        <v>5919</v>
      </c>
      <c r="D5220" s="396" t="s">
        <v>23</v>
      </c>
      <c r="E5220" s="405">
        <f t="shared" si="162"/>
        <v>158.18</v>
      </c>
      <c r="F5220">
        <f t="shared" si="163"/>
        <v>94798</v>
      </c>
      <c r="H5220" s="679">
        <v>158.18</v>
      </c>
      <c r="I5220" s="679">
        <v>159.79</v>
      </c>
    </row>
    <row r="5221" spans="2:9">
      <c r="B5221" s="395">
        <v>94799</v>
      </c>
      <c r="C5221" s="406" t="s">
        <v>5920</v>
      </c>
      <c r="D5221" s="395" t="s">
        <v>23</v>
      </c>
      <c r="E5221" s="407">
        <f t="shared" si="162"/>
        <v>193.96</v>
      </c>
      <c r="F5221">
        <f t="shared" si="163"/>
        <v>94799</v>
      </c>
      <c r="H5221" s="680">
        <v>193.96</v>
      </c>
      <c r="I5221" s="680">
        <v>196.05</v>
      </c>
    </row>
    <row r="5222" spans="2:9">
      <c r="B5222" s="396">
        <v>94800</v>
      </c>
      <c r="C5222" s="401" t="s">
        <v>5921</v>
      </c>
      <c r="D5222" s="396" t="s">
        <v>23</v>
      </c>
      <c r="E5222" s="405">
        <f t="shared" si="162"/>
        <v>248.99</v>
      </c>
      <c r="F5222">
        <f t="shared" si="163"/>
        <v>94800</v>
      </c>
      <c r="H5222" s="679">
        <v>248.99</v>
      </c>
      <c r="I5222" s="679">
        <v>251.69</v>
      </c>
    </row>
    <row r="5223" spans="2:9">
      <c r="B5223" s="395">
        <v>95248</v>
      </c>
      <c r="C5223" s="406" t="s">
        <v>5922</v>
      </c>
      <c r="D5223" s="395" t="s">
        <v>23</v>
      </c>
      <c r="E5223" s="407">
        <f t="shared" si="162"/>
        <v>37.76</v>
      </c>
      <c r="F5223">
        <f t="shared" si="163"/>
        <v>95248</v>
      </c>
      <c r="H5223" s="680">
        <v>37.76</v>
      </c>
      <c r="I5223" s="680">
        <v>38.1</v>
      </c>
    </row>
    <row r="5224" spans="2:9">
      <c r="B5224" s="396">
        <v>95249</v>
      </c>
      <c r="C5224" s="401" t="s">
        <v>5923</v>
      </c>
      <c r="D5224" s="396" t="s">
        <v>23</v>
      </c>
      <c r="E5224" s="405">
        <f t="shared" si="162"/>
        <v>44.68</v>
      </c>
      <c r="F5224">
        <f t="shared" si="163"/>
        <v>95249</v>
      </c>
      <c r="H5224" s="679">
        <v>44.68</v>
      </c>
      <c r="I5224" s="679">
        <v>45.2</v>
      </c>
    </row>
    <row r="5225" spans="2:9">
      <c r="B5225" s="395">
        <v>95250</v>
      </c>
      <c r="C5225" s="406" t="s">
        <v>5924</v>
      </c>
      <c r="D5225" s="395" t="s">
        <v>23</v>
      </c>
      <c r="E5225" s="407">
        <f t="shared" si="162"/>
        <v>60.3</v>
      </c>
      <c r="F5225">
        <f t="shared" si="163"/>
        <v>95250</v>
      </c>
      <c r="H5225" s="680">
        <v>60.3</v>
      </c>
      <c r="I5225" s="680">
        <v>60.98</v>
      </c>
    </row>
    <row r="5226" spans="2:9">
      <c r="B5226" s="396">
        <v>95251</v>
      </c>
      <c r="C5226" s="401" t="s">
        <v>5925</v>
      </c>
      <c r="D5226" s="396" t="s">
        <v>23</v>
      </c>
      <c r="E5226" s="405">
        <f t="shared" si="162"/>
        <v>89.08</v>
      </c>
      <c r="F5226">
        <f t="shared" si="163"/>
        <v>95251</v>
      </c>
      <c r="H5226" s="679">
        <v>89.08</v>
      </c>
      <c r="I5226" s="679">
        <v>90</v>
      </c>
    </row>
    <row r="5227" spans="2:9">
      <c r="B5227" s="395">
        <v>95252</v>
      </c>
      <c r="C5227" s="406" t="s">
        <v>5926</v>
      </c>
      <c r="D5227" s="395" t="s">
        <v>23</v>
      </c>
      <c r="E5227" s="407">
        <f t="shared" si="162"/>
        <v>108.11</v>
      </c>
      <c r="F5227">
        <f t="shared" si="163"/>
        <v>95252</v>
      </c>
      <c r="H5227" s="680">
        <v>108.11</v>
      </c>
      <c r="I5227" s="680">
        <v>109.32</v>
      </c>
    </row>
    <row r="5228" spans="2:9">
      <c r="B5228" s="396">
        <v>95253</v>
      </c>
      <c r="C5228" s="401" t="s">
        <v>5927</v>
      </c>
      <c r="D5228" s="396" t="s">
        <v>23</v>
      </c>
      <c r="E5228" s="405">
        <f t="shared" si="162"/>
        <v>164.01</v>
      </c>
      <c r="F5228">
        <f t="shared" si="163"/>
        <v>95253</v>
      </c>
      <c r="H5228" s="679">
        <v>164.01</v>
      </c>
      <c r="I5228" s="679">
        <v>165.56</v>
      </c>
    </row>
    <row r="5229" spans="2:9">
      <c r="B5229" s="395">
        <v>99619</v>
      </c>
      <c r="C5229" s="406" t="s">
        <v>5928</v>
      </c>
      <c r="D5229" s="395" t="s">
        <v>23</v>
      </c>
      <c r="E5229" s="407">
        <f t="shared" si="162"/>
        <v>90.39</v>
      </c>
      <c r="F5229">
        <f t="shared" si="163"/>
        <v>99619</v>
      </c>
      <c r="H5229" s="680">
        <v>90.39</v>
      </c>
      <c r="I5229" s="680">
        <v>90.91</v>
      </c>
    </row>
    <row r="5230" spans="2:9">
      <c r="B5230" s="396">
        <v>99620</v>
      </c>
      <c r="C5230" s="401" t="s">
        <v>5929</v>
      </c>
      <c r="D5230" s="396" t="s">
        <v>23</v>
      </c>
      <c r="E5230" s="405">
        <f t="shared" si="162"/>
        <v>122.79</v>
      </c>
      <c r="F5230">
        <f t="shared" si="163"/>
        <v>99620</v>
      </c>
      <c r="H5230" s="679">
        <v>122.79</v>
      </c>
      <c r="I5230" s="679">
        <v>123.47</v>
      </c>
    </row>
    <row r="5231" spans="2:9">
      <c r="B5231" s="395">
        <v>99621</v>
      </c>
      <c r="C5231" s="406" t="s">
        <v>5930</v>
      </c>
      <c r="D5231" s="395" t="s">
        <v>23</v>
      </c>
      <c r="E5231" s="407">
        <f t="shared" si="162"/>
        <v>182.98</v>
      </c>
      <c r="F5231">
        <f t="shared" si="163"/>
        <v>99621</v>
      </c>
      <c r="H5231" s="680">
        <v>182.98</v>
      </c>
      <c r="I5231" s="680">
        <v>183.9</v>
      </c>
    </row>
    <row r="5232" spans="2:9">
      <c r="B5232" s="396">
        <v>99622</v>
      </c>
      <c r="C5232" s="401" t="s">
        <v>5931</v>
      </c>
      <c r="D5232" s="396" t="s">
        <v>23</v>
      </c>
      <c r="E5232" s="405">
        <f t="shared" si="162"/>
        <v>205.99</v>
      </c>
      <c r="F5232">
        <f t="shared" si="163"/>
        <v>99622</v>
      </c>
      <c r="H5232" s="679">
        <v>205.99</v>
      </c>
      <c r="I5232" s="679">
        <v>207.2</v>
      </c>
    </row>
    <row r="5233" spans="2:9">
      <c r="B5233" s="395">
        <v>99623</v>
      </c>
      <c r="C5233" s="406" t="s">
        <v>5932</v>
      </c>
      <c r="D5233" s="395" t="s">
        <v>23</v>
      </c>
      <c r="E5233" s="407">
        <f t="shared" si="162"/>
        <v>287.39999999999998</v>
      </c>
      <c r="F5233">
        <f t="shared" si="163"/>
        <v>99623</v>
      </c>
      <c r="H5233" s="680">
        <v>287.39999999999998</v>
      </c>
      <c r="I5233" s="680">
        <v>288.95</v>
      </c>
    </row>
    <row r="5234" spans="2:9">
      <c r="B5234" s="396">
        <v>99624</v>
      </c>
      <c r="C5234" s="401" t="s">
        <v>5933</v>
      </c>
      <c r="D5234" s="396" t="s">
        <v>23</v>
      </c>
      <c r="E5234" s="405">
        <f t="shared" si="162"/>
        <v>409.7</v>
      </c>
      <c r="F5234">
        <f t="shared" si="163"/>
        <v>99624</v>
      </c>
      <c r="H5234" s="679">
        <v>409.7</v>
      </c>
      <c r="I5234" s="679">
        <v>411.79</v>
      </c>
    </row>
    <row r="5235" spans="2:9">
      <c r="B5235" s="395">
        <v>99625</v>
      </c>
      <c r="C5235" s="406" t="s">
        <v>5934</v>
      </c>
      <c r="D5235" s="395" t="s">
        <v>23</v>
      </c>
      <c r="E5235" s="407">
        <f t="shared" si="162"/>
        <v>563.46</v>
      </c>
      <c r="F5235">
        <f t="shared" si="163"/>
        <v>99625</v>
      </c>
      <c r="H5235" s="680">
        <v>563.46</v>
      </c>
      <c r="I5235" s="680">
        <v>566.08000000000004</v>
      </c>
    </row>
    <row r="5236" spans="2:9">
      <c r="B5236" s="396">
        <v>99626</v>
      </c>
      <c r="C5236" s="401" t="s">
        <v>5935</v>
      </c>
      <c r="D5236" s="396" t="s">
        <v>23</v>
      </c>
      <c r="E5236" s="405">
        <f t="shared" si="162"/>
        <v>867.42</v>
      </c>
      <c r="F5236">
        <f t="shared" si="163"/>
        <v>99626</v>
      </c>
      <c r="H5236" s="679">
        <v>867.42</v>
      </c>
      <c r="I5236" s="679">
        <v>870.75</v>
      </c>
    </row>
    <row r="5237" spans="2:9">
      <c r="B5237" s="395">
        <v>99627</v>
      </c>
      <c r="C5237" s="406" t="s">
        <v>5936</v>
      </c>
      <c r="D5237" s="395" t="s">
        <v>23</v>
      </c>
      <c r="E5237" s="407">
        <f t="shared" si="162"/>
        <v>54.55</v>
      </c>
      <c r="F5237">
        <f t="shared" si="163"/>
        <v>99627</v>
      </c>
      <c r="H5237" s="680">
        <v>54.55</v>
      </c>
      <c r="I5237" s="680">
        <v>54.89</v>
      </c>
    </row>
    <row r="5238" spans="2:9">
      <c r="B5238" s="396">
        <v>99628</v>
      </c>
      <c r="C5238" s="401" t="s">
        <v>5937</v>
      </c>
      <c r="D5238" s="396" t="s">
        <v>23</v>
      </c>
      <c r="E5238" s="405">
        <f t="shared" si="162"/>
        <v>59.56</v>
      </c>
      <c r="F5238">
        <f t="shared" si="163"/>
        <v>99628</v>
      </c>
      <c r="H5238" s="679">
        <v>59.56</v>
      </c>
      <c r="I5238" s="679">
        <v>60.08</v>
      </c>
    </row>
    <row r="5239" spans="2:9">
      <c r="B5239" s="395">
        <v>99629</v>
      </c>
      <c r="C5239" s="406" t="s">
        <v>5938</v>
      </c>
      <c r="D5239" s="395" t="s">
        <v>23</v>
      </c>
      <c r="E5239" s="407">
        <f t="shared" si="162"/>
        <v>66.22</v>
      </c>
      <c r="F5239">
        <f t="shared" si="163"/>
        <v>99629</v>
      </c>
      <c r="H5239" s="680">
        <v>66.22</v>
      </c>
      <c r="I5239" s="680">
        <v>66.900000000000006</v>
      </c>
    </row>
    <row r="5240" spans="2:9">
      <c r="B5240" s="396">
        <v>99630</v>
      </c>
      <c r="C5240" s="401" t="s">
        <v>5939</v>
      </c>
      <c r="D5240" s="396" t="s">
        <v>23</v>
      </c>
      <c r="E5240" s="405">
        <f t="shared" si="162"/>
        <v>98.49</v>
      </c>
      <c r="F5240">
        <f t="shared" si="163"/>
        <v>99630</v>
      </c>
      <c r="H5240" s="679">
        <v>98.49</v>
      </c>
      <c r="I5240" s="679">
        <v>99.41</v>
      </c>
    </row>
    <row r="5241" spans="2:9">
      <c r="B5241" s="395">
        <v>99631</v>
      </c>
      <c r="C5241" s="406" t="s">
        <v>5940</v>
      </c>
      <c r="D5241" s="395" t="s">
        <v>23</v>
      </c>
      <c r="E5241" s="407">
        <f t="shared" si="162"/>
        <v>114.67</v>
      </c>
      <c r="F5241">
        <f t="shared" si="163"/>
        <v>99631</v>
      </c>
      <c r="H5241" s="680">
        <v>114.67</v>
      </c>
      <c r="I5241" s="680">
        <v>115.88</v>
      </c>
    </row>
    <row r="5242" spans="2:9">
      <c r="B5242" s="396">
        <v>99632</v>
      </c>
      <c r="C5242" s="401" t="s">
        <v>5941</v>
      </c>
      <c r="D5242" s="396" t="s">
        <v>23</v>
      </c>
      <c r="E5242" s="405">
        <f t="shared" si="162"/>
        <v>165.29</v>
      </c>
      <c r="F5242">
        <f t="shared" si="163"/>
        <v>99632</v>
      </c>
      <c r="H5242" s="679">
        <v>165.29</v>
      </c>
      <c r="I5242" s="679">
        <v>166.84</v>
      </c>
    </row>
    <row r="5243" spans="2:9">
      <c r="B5243" s="395">
        <v>99633</v>
      </c>
      <c r="C5243" s="406" t="s">
        <v>5942</v>
      </c>
      <c r="D5243" s="395" t="s">
        <v>23</v>
      </c>
      <c r="E5243" s="407">
        <f t="shared" si="162"/>
        <v>354.54</v>
      </c>
      <c r="F5243">
        <f t="shared" si="163"/>
        <v>99633</v>
      </c>
      <c r="H5243" s="680">
        <v>354.54</v>
      </c>
      <c r="I5243" s="680">
        <v>357.16</v>
      </c>
    </row>
    <row r="5244" spans="2:9">
      <c r="B5244" s="396">
        <v>99634</v>
      </c>
      <c r="C5244" s="401" t="s">
        <v>5943</v>
      </c>
      <c r="D5244" s="396" t="s">
        <v>23</v>
      </c>
      <c r="E5244" s="405">
        <f t="shared" si="162"/>
        <v>604.54999999999995</v>
      </c>
      <c r="F5244">
        <f t="shared" si="163"/>
        <v>99634</v>
      </c>
      <c r="H5244" s="679">
        <v>604.54999999999995</v>
      </c>
      <c r="I5244" s="679">
        <v>607.88</v>
      </c>
    </row>
    <row r="5245" spans="2:9">
      <c r="B5245" s="395">
        <v>99635</v>
      </c>
      <c r="C5245" s="406" t="s">
        <v>5944</v>
      </c>
      <c r="D5245" s="395" t="s">
        <v>23</v>
      </c>
      <c r="E5245" s="407">
        <f t="shared" si="162"/>
        <v>207.1</v>
      </c>
      <c r="F5245">
        <f t="shared" si="163"/>
        <v>99635</v>
      </c>
      <c r="H5245" s="680">
        <v>207.1</v>
      </c>
      <c r="I5245" s="680">
        <v>211.35</v>
      </c>
    </row>
    <row r="5246" spans="2:9">
      <c r="B5246" s="396">
        <v>103008</v>
      </c>
      <c r="C5246" s="401" t="s">
        <v>5945</v>
      </c>
      <c r="D5246" s="396" t="s">
        <v>23</v>
      </c>
      <c r="E5246" s="405">
        <f t="shared" si="162"/>
        <v>73.819999999999993</v>
      </c>
      <c r="F5246">
        <f t="shared" si="163"/>
        <v>103008</v>
      </c>
      <c r="H5246" s="679">
        <v>73.819999999999993</v>
      </c>
      <c r="I5246" s="679">
        <v>74.16</v>
      </c>
    </row>
    <row r="5247" spans="2:9">
      <c r="B5247" s="395">
        <v>103009</v>
      </c>
      <c r="C5247" s="406" t="s">
        <v>5946</v>
      </c>
      <c r="D5247" s="395" t="s">
        <v>23</v>
      </c>
      <c r="E5247" s="407">
        <f t="shared" si="162"/>
        <v>261.18</v>
      </c>
      <c r="F5247">
        <f t="shared" si="163"/>
        <v>103009</v>
      </c>
      <c r="H5247" s="680">
        <v>261.18</v>
      </c>
      <c r="I5247" s="680">
        <v>263.27</v>
      </c>
    </row>
    <row r="5248" spans="2:9">
      <c r="B5248" s="396">
        <v>103010</v>
      </c>
      <c r="C5248" s="401" t="s">
        <v>5947</v>
      </c>
      <c r="D5248" s="396" t="s">
        <v>23</v>
      </c>
      <c r="E5248" s="405">
        <f t="shared" si="162"/>
        <v>55.98</v>
      </c>
      <c r="F5248">
        <f t="shared" si="163"/>
        <v>103010</v>
      </c>
      <c r="H5248" s="679">
        <v>55.98</v>
      </c>
      <c r="I5248" s="679">
        <v>56.23</v>
      </c>
    </row>
    <row r="5249" spans="2:9">
      <c r="B5249" s="395">
        <v>103011</v>
      </c>
      <c r="C5249" s="406" t="s">
        <v>5948</v>
      </c>
      <c r="D5249" s="395" t="s">
        <v>23</v>
      </c>
      <c r="E5249" s="407">
        <f t="shared" si="162"/>
        <v>62.43</v>
      </c>
      <c r="F5249">
        <f t="shared" si="163"/>
        <v>103011</v>
      </c>
      <c r="H5249" s="680">
        <v>62.43</v>
      </c>
      <c r="I5249" s="680">
        <v>62.77</v>
      </c>
    </row>
    <row r="5250" spans="2:9">
      <c r="B5250" s="396">
        <v>103012</v>
      </c>
      <c r="C5250" s="401" t="s">
        <v>5949</v>
      </c>
      <c r="D5250" s="396" t="s">
        <v>23</v>
      </c>
      <c r="E5250" s="405">
        <f t="shared" si="162"/>
        <v>98.42</v>
      </c>
      <c r="F5250">
        <f t="shared" si="163"/>
        <v>103012</v>
      </c>
      <c r="H5250" s="679">
        <v>98.42</v>
      </c>
      <c r="I5250" s="679">
        <v>98.88</v>
      </c>
    </row>
    <row r="5251" spans="2:9">
      <c r="B5251" s="395">
        <v>103013</v>
      </c>
      <c r="C5251" s="406" t="s">
        <v>5950</v>
      </c>
      <c r="D5251" s="395" t="s">
        <v>23</v>
      </c>
      <c r="E5251" s="407">
        <f t="shared" ref="E5251:E5314" si="164">IF($K$2=$H$1,H5251,I5251)</f>
        <v>105.99</v>
      </c>
      <c r="F5251">
        <f t="shared" ref="F5251:F5314" si="165">IF(LEN($B5251)=7,CONCATENATE(MID($B5251,1,6),"00",RIGHT($B5251,1)),IF(LEN($B5251)=8,CONCATENATE(MID($B5251,1,6),"0",RIGHT($B5251,2)),$B5251))</f>
        <v>103013</v>
      </c>
      <c r="H5251" s="680">
        <v>105.99</v>
      </c>
      <c r="I5251" s="680">
        <v>106.58</v>
      </c>
    </row>
    <row r="5252" spans="2:9">
      <c r="B5252" s="396">
        <v>103014</v>
      </c>
      <c r="C5252" s="401" t="s">
        <v>5951</v>
      </c>
      <c r="D5252" s="396" t="s">
        <v>23</v>
      </c>
      <c r="E5252" s="405">
        <f t="shared" si="164"/>
        <v>159.35</v>
      </c>
      <c r="F5252">
        <f t="shared" si="165"/>
        <v>103014</v>
      </c>
      <c r="H5252" s="679">
        <v>159.35</v>
      </c>
      <c r="I5252" s="679">
        <v>160.12</v>
      </c>
    </row>
    <row r="5253" spans="2:9">
      <c r="B5253" s="395">
        <v>103015</v>
      </c>
      <c r="C5253" s="406" t="s">
        <v>5952</v>
      </c>
      <c r="D5253" s="395" t="s">
        <v>23</v>
      </c>
      <c r="E5253" s="407">
        <f t="shared" si="164"/>
        <v>281.67</v>
      </c>
      <c r="F5253">
        <f t="shared" si="165"/>
        <v>103015</v>
      </c>
      <c r="H5253" s="680">
        <v>281.67</v>
      </c>
      <c r="I5253" s="680">
        <v>282.70999999999998</v>
      </c>
    </row>
    <row r="5254" spans="2:9">
      <c r="B5254" s="396">
        <v>103016</v>
      </c>
      <c r="C5254" s="401" t="s">
        <v>5953</v>
      </c>
      <c r="D5254" s="396" t="s">
        <v>23</v>
      </c>
      <c r="E5254" s="405">
        <f t="shared" si="164"/>
        <v>385.02</v>
      </c>
      <c r="F5254">
        <f t="shared" si="165"/>
        <v>103016</v>
      </c>
      <c r="H5254" s="679">
        <v>385.02</v>
      </c>
      <c r="I5254" s="679">
        <v>386.34</v>
      </c>
    </row>
    <row r="5255" spans="2:9">
      <c r="B5255" s="395">
        <v>103017</v>
      </c>
      <c r="C5255" s="406" t="s">
        <v>5954</v>
      </c>
      <c r="D5255" s="395" t="s">
        <v>23</v>
      </c>
      <c r="E5255" s="407">
        <f t="shared" si="164"/>
        <v>671.94</v>
      </c>
      <c r="F5255">
        <f t="shared" si="165"/>
        <v>103017</v>
      </c>
      <c r="H5255" s="680">
        <v>671.94</v>
      </c>
      <c r="I5255" s="680">
        <v>673.6</v>
      </c>
    </row>
    <row r="5256" spans="2:9">
      <c r="B5256" s="396">
        <v>103018</v>
      </c>
      <c r="C5256" s="401" t="s">
        <v>5955</v>
      </c>
      <c r="D5256" s="396" t="s">
        <v>23</v>
      </c>
      <c r="E5256" s="405">
        <f t="shared" si="164"/>
        <v>169.88</v>
      </c>
      <c r="F5256">
        <f t="shared" si="165"/>
        <v>103018</v>
      </c>
      <c r="H5256" s="679">
        <v>169.88</v>
      </c>
      <c r="I5256" s="679">
        <v>173.58</v>
      </c>
    </row>
    <row r="5257" spans="2:9" ht="30">
      <c r="B5257" s="395">
        <v>103019</v>
      </c>
      <c r="C5257" s="406" t="s">
        <v>5956</v>
      </c>
      <c r="D5257" s="395" t="s">
        <v>23</v>
      </c>
      <c r="E5257" s="407">
        <f t="shared" si="164"/>
        <v>198.46</v>
      </c>
      <c r="F5257">
        <f t="shared" si="165"/>
        <v>103019</v>
      </c>
      <c r="H5257" s="680">
        <v>198.46</v>
      </c>
      <c r="I5257" s="680">
        <v>200.55</v>
      </c>
    </row>
    <row r="5258" spans="2:9">
      <c r="B5258" s="396">
        <v>103029</v>
      </c>
      <c r="C5258" s="401" t="s">
        <v>5957</v>
      </c>
      <c r="D5258" s="396" t="s">
        <v>23</v>
      </c>
      <c r="E5258" s="405">
        <f t="shared" si="164"/>
        <v>33.04</v>
      </c>
      <c r="F5258">
        <f t="shared" si="165"/>
        <v>103029</v>
      </c>
      <c r="H5258" s="679">
        <v>33.04</v>
      </c>
      <c r="I5258" s="679">
        <v>33.56</v>
      </c>
    </row>
    <row r="5259" spans="2:9">
      <c r="B5259" s="395">
        <v>103036</v>
      </c>
      <c r="C5259" s="406" t="s">
        <v>5958</v>
      </c>
      <c r="D5259" s="395" t="s">
        <v>23</v>
      </c>
      <c r="E5259" s="407">
        <f t="shared" si="164"/>
        <v>20.87</v>
      </c>
      <c r="F5259">
        <f t="shared" si="165"/>
        <v>103036</v>
      </c>
      <c r="H5259" s="680">
        <v>20.87</v>
      </c>
      <c r="I5259" s="680">
        <v>21.21</v>
      </c>
    </row>
    <row r="5260" spans="2:9">
      <c r="B5260" s="396">
        <v>103037</v>
      </c>
      <c r="C5260" s="401" t="s">
        <v>5959</v>
      </c>
      <c r="D5260" s="396" t="s">
        <v>23</v>
      </c>
      <c r="E5260" s="405">
        <f t="shared" si="164"/>
        <v>41.1</v>
      </c>
      <c r="F5260">
        <f t="shared" si="165"/>
        <v>103037</v>
      </c>
      <c r="H5260" s="679">
        <v>41.1</v>
      </c>
      <c r="I5260" s="679">
        <v>41.78</v>
      </c>
    </row>
    <row r="5261" spans="2:9">
      <c r="B5261" s="395">
        <v>103038</v>
      </c>
      <c r="C5261" s="406" t="s">
        <v>5960</v>
      </c>
      <c r="D5261" s="395" t="s">
        <v>23</v>
      </c>
      <c r="E5261" s="407">
        <f t="shared" si="164"/>
        <v>55.02</v>
      </c>
      <c r="F5261">
        <f t="shared" si="165"/>
        <v>103038</v>
      </c>
      <c r="H5261" s="680">
        <v>55.02</v>
      </c>
      <c r="I5261" s="680">
        <v>55.94</v>
      </c>
    </row>
    <row r="5262" spans="2:9">
      <c r="B5262" s="396">
        <v>103039</v>
      </c>
      <c r="C5262" s="401" t="s">
        <v>5961</v>
      </c>
      <c r="D5262" s="396" t="s">
        <v>23</v>
      </c>
      <c r="E5262" s="405">
        <f t="shared" si="164"/>
        <v>59.82</v>
      </c>
      <c r="F5262">
        <f t="shared" si="165"/>
        <v>103039</v>
      </c>
      <c r="H5262" s="679">
        <v>59.82</v>
      </c>
      <c r="I5262" s="679">
        <v>61.03</v>
      </c>
    </row>
    <row r="5263" spans="2:9">
      <c r="B5263" s="395">
        <v>103040</v>
      </c>
      <c r="C5263" s="406" t="s">
        <v>5962</v>
      </c>
      <c r="D5263" s="395" t="s">
        <v>23</v>
      </c>
      <c r="E5263" s="407">
        <f t="shared" si="164"/>
        <v>88.98</v>
      </c>
      <c r="F5263">
        <f t="shared" si="165"/>
        <v>103040</v>
      </c>
      <c r="H5263" s="680">
        <v>88.98</v>
      </c>
      <c r="I5263" s="680">
        <v>90.53</v>
      </c>
    </row>
    <row r="5264" spans="2:9">
      <c r="B5264" s="396">
        <v>103041</v>
      </c>
      <c r="C5264" s="401" t="s">
        <v>5963</v>
      </c>
      <c r="D5264" s="396" t="s">
        <v>23</v>
      </c>
      <c r="E5264" s="405">
        <f t="shared" si="164"/>
        <v>17.38</v>
      </c>
      <c r="F5264">
        <f t="shared" si="165"/>
        <v>103041</v>
      </c>
      <c r="H5264" s="679">
        <v>17.38</v>
      </c>
      <c r="I5264" s="679">
        <v>17.72</v>
      </c>
    </row>
    <row r="5265" spans="2:9">
      <c r="B5265" s="395">
        <v>103042</v>
      </c>
      <c r="C5265" s="406" t="s">
        <v>5964</v>
      </c>
      <c r="D5265" s="395" t="s">
        <v>23</v>
      </c>
      <c r="E5265" s="407">
        <f t="shared" si="164"/>
        <v>21.46</v>
      </c>
      <c r="F5265">
        <f t="shared" si="165"/>
        <v>103042</v>
      </c>
      <c r="H5265" s="680">
        <v>21.46</v>
      </c>
      <c r="I5265" s="680">
        <v>21.98</v>
      </c>
    </row>
    <row r="5266" spans="2:9">
      <c r="B5266" s="396">
        <v>103043</v>
      </c>
      <c r="C5266" s="401" t="s">
        <v>5965</v>
      </c>
      <c r="D5266" s="396" t="s">
        <v>23</v>
      </c>
      <c r="E5266" s="405">
        <f t="shared" si="164"/>
        <v>20.09</v>
      </c>
      <c r="F5266">
        <f t="shared" si="165"/>
        <v>103043</v>
      </c>
      <c r="H5266" s="679">
        <v>20.09</v>
      </c>
      <c r="I5266" s="679">
        <v>20.43</v>
      </c>
    </row>
    <row r="5267" spans="2:9">
      <c r="B5267" s="395">
        <v>103044</v>
      </c>
      <c r="C5267" s="406" t="s">
        <v>5966</v>
      </c>
      <c r="D5267" s="395" t="s">
        <v>23</v>
      </c>
      <c r="E5267" s="407">
        <f t="shared" si="164"/>
        <v>27.08</v>
      </c>
      <c r="F5267">
        <f t="shared" si="165"/>
        <v>103044</v>
      </c>
      <c r="H5267" s="680">
        <v>27.08</v>
      </c>
      <c r="I5267" s="680">
        <v>27.6</v>
      </c>
    </row>
    <row r="5268" spans="2:9">
      <c r="B5268" s="396">
        <v>103045</v>
      </c>
      <c r="C5268" s="401" t="s">
        <v>5967</v>
      </c>
      <c r="D5268" s="396" t="s">
        <v>23</v>
      </c>
      <c r="E5268" s="405">
        <f t="shared" si="164"/>
        <v>8.5</v>
      </c>
      <c r="F5268">
        <f t="shared" si="165"/>
        <v>103045</v>
      </c>
      <c r="H5268" s="679">
        <v>8.5</v>
      </c>
      <c r="I5268" s="679">
        <v>8.84</v>
      </c>
    </row>
    <row r="5269" spans="2:9">
      <c r="B5269" s="395">
        <v>103046</v>
      </c>
      <c r="C5269" s="406" t="s">
        <v>5968</v>
      </c>
      <c r="D5269" s="395" t="s">
        <v>23</v>
      </c>
      <c r="E5269" s="407">
        <f t="shared" si="164"/>
        <v>20.32</v>
      </c>
      <c r="F5269">
        <f t="shared" si="165"/>
        <v>103046</v>
      </c>
      <c r="H5269" s="680">
        <v>20.32</v>
      </c>
      <c r="I5269" s="680">
        <v>20.84</v>
      </c>
    </row>
    <row r="5270" spans="2:9">
      <c r="B5270" s="396">
        <v>103047</v>
      </c>
      <c r="C5270" s="401" t="s">
        <v>5969</v>
      </c>
      <c r="D5270" s="396" t="s">
        <v>23</v>
      </c>
      <c r="E5270" s="405">
        <f t="shared" si="164"/>
        <v>21.62</v>
      </c>
      <c r="F5270">
        <f t="shared" si="165"/>
        <v>103047</v>
      </c>
      <c r="H5270" s="679">
        <v>21.62</v>
      </c>
      <c r="I5270" s="679">
        <v>22.02</v>
      </c>
    </row>
    <row r="5271" spans="2:9">
      <c r="B5271" s="395">
        <v>103048</v>
      </c>
      <c r="C5271" s="406" t="s">
        <v>5970</v>
      </c>
      <c r="D5271" s="395" t="s">
        <v>23</v>
      </c>
      <c r="E5271" s="407">
        <f t="shared" si="164"/>
        <v>16.260000000000002</v>
      </c>
      <c r="F5271">
        <f t="shared" si="165"/>
        <v>103048</v>
      </c>
      <c r="H5271" s="680">
        <v>16.260000000000002</v>
      </c>
      <c r="I5271" s="680">
        <v>16.66</v>
      </c>
    </row>
    <row r="5272" spans="2:9">
      <c r="B5272" s="396">
        <v>103049</v>
      </c>
      <c r="C5272" s="401" t="s">
        <v>5971</v>
      </c>
      <c r="D5272" s="396" t="s">
        <v>23</v>
      </c>
      <c r="E5272" s="405">
        <f t="shared" si="164"/>
        <v>17.79</v>
      </c>
      <c r="F5272">
        <f t="shared" si="165"/>
        <v>103049</v>
      </c>
      <c r="H5272" s="679">
        <v>17.79</v>
      </c>
      <c r="I5272" s="679">
        <v>18.149999999999999</v>
      </c>
    </row>
    <row r="5273" spans="2:9">
      <c r="B5273" s="395">
        <v>103050</v>
      </c>
      <c r="C5273" s="406" t="s">
        <v>5972</v>
      </c>
      <c r="D5273" s="395" t="s">
        <v>23</v>
      </c>
      <c r="E5273" s="407">
        <f t="shared" si="164"/>
        <v>21.9</v>
      </c>
      <c r="F5273">
        <f t="shared" si="165"/>
        <v>103050</v>
      </c>
      <c r="H5273" s="680">
        <v>21.9</v>
      </c>
      <c r="I5273" s="680">
        <v>23.72</v>
      </c>
    </row>
    <row r="5274" spans="2:9">
      <c r="B5274" s="396">
        <v>103051</v>
      </c>
      <c r="C5274" s="401" t="s">
        <v>5973</v>
      </c>
      <c r="D5274" s="396" t="s">
        <v>23</v>
      </c>
      <c r="E5274" s="405">
        <f t="shared" si="164"/>
        <v>26.41</v>
      </c>
      <c r="F5274">
        <f t="shared" si="165"/>
        <v>103051</v>
      </c>
      <c r="H5274" s="679">
        <v>26.41</v>
      </c>
      <c r="I5274" s="679">
        <v>28.58</v>
      </c>
    </row>
    <row r="5275" spans="2:9">
      <c r="B5275" s="395">
        <v>103052</v>
      </c>
      <c r="C5275" s="406" t="s">
        <v>5974</v>
      </c>
      <c r="D5275" s="395" t="s">
        <v>23</v>
      </c>
      <c r="E5275" s="407">
        <f t="shared" si="164"/>
        <v>36.619999999999997</v>
      </c>
      <c r="F5275">
        <f t="shared" si="165"/>
        <v>103052</v>
      </c>
      <c r="H5275" s="680">
        <v>36.619999999999997</v>
      </c>
      <c r="I5275" s="680">
        <v>39.33</v>
      </c>
    </row>
    <row r="5276" spans="2:9" ht="30">
      <c r="B5276" s="396">
        <v>95634</v>
      </c>
      <c r="C5276" s="401" t="s">
        <v>2939</v>
      </c>
      <c r="D5276" s="396" t="s">
        <v>23</v>
      </c>
      <c r="E5276" s="405">
        <f t="shared" si="164"/>
        <v>244.85</v>
      </c>
      <c r="F5276">
        <f t="shared" si="165"/>
        <v>95634</v>
      </c>
      <c r="H5276" s="679">
        <v>244.85</v>
      </c>
      <c r="I5276" s="679">
        <v>251.62</v>
      </c>
    </row>
    <row r="5277" spans="2:9" ht="30">
      <c r="B5277" s="395">
        <v>95635</v>
      </c>
      <c r="C5277" s="406" t="s">
        <v>2940</v>
      </c>
      <c r="D5277" s="395" t="s">
        <v>23</v>
      </c>
      <c r="E5277" s="407">
        <f t="shared" si="164"/>
        <v>256.8</v>
      </c>
      <c r="F5277">
        <f t="shared" si="165"/>
        <v>95635</v>
      </c>
      <c r="H5277" s="680">
        <v>256.8</v>
      </c>
      <c r="I5277" s="680">
        <v>264.63</v>
      </c>
    </row>
    <row r="5278" spans="2:9" ht="30">
      <c r="B5278" s="396">
        <v>95636</v>
      </c>
      <c r="C5278" s="401" t="s">
        <v>5544</v>
      </c>
      <c r="D5278" s="396" t="s">
        <v>23</v>
      </c>
      <c r="E5278" s="405">
        <f t="shared" si="164"/>
        <v>294.14</v>
      </c>
      <c r="F5278">
        <f t="shared" si="165"/>
        <v>95636</v>
      </c>
      <c r="H5278" s="679">
        <v>294.14</v>
      </c>
      <c r="I5278" s="679">
        <v>309.23</v>
      </c>
    </row>
    <row r="5279" spans="2:9" ht="30">
      <c r="B5279" s="395">
        <v>95637</v>
      </c>
      <c r="C5279" s="406" t="s">
        <v>1692</v>
      </c>
      <c r="D5279" s="395" t="s">
        <v>23</v>
      </c>
      <c r="E5279" s="407">
        <f t="shared" si="164"/>
        <v>455.03</v>
      </c>
      <c r="F5279">
        <f t="shared" si="165"/>
        <v>95637</v>
      </c>
      <c r="H5279" s="680">
        <v>455.03</v>
      </c>
      <c r="I5279" s="680">
        <v>480.87</v>
      </c>
    </row>
    <row r="5280" spans="2:9" ht="30">
      <c r="B5280" s="396">
        <v>95638</v>
      </c>
      <c r="C5280" s="401" t="s">
        <v>1693</v>
      </c>
      <c r="D5280" s="396" t="s">
        <v>23</v>
      </c>
      <c r="E5280" s="405">
        <f t="shared" si="164"/>
        <v>550.6</v>
      </c>
      <c r="F5280">
        <f t="shared" si="165"/>
        <v>95638</v>
      </c>
      <c r="H5280" s="679">
        <v>550.6</v>
      </c>
      <c r="I5280" s="679">
        <v>580.39</v>
      </c>
    </row>
    <row r="5281" spans="2:9" ht="30">
      <c r="B5281" s="395">
        <v>95639</v>
      </c>
      <c r="C5281" s="406" t="s">
        <v>1694</v>
      </c>
      <c r="D5281" s="395" t="s">
        <v>23</v>
      </c>
      <c r="E5281" s="407">
        <f t="shared" si="164"/>
        <v>701.06</v>
      </c>
      <c r="F5281">
        <f t="shared" si="165"/>
        <v>95639</v>
      </c>
      <c r="H5281" s="680">
        <v>701.06</v>
      </c>
      <c r="I5281" s="680">
        <v>731.73</v>
      </c>
    </row>
    <row r="5282" spans="2:9" ht="30">
      <c r="B5282" s="396">
        <v>95641</v>
      </c>
      <c r="C5282" s="401" t="s">
        <v>1695</v>
      </c>
      <c r="D5282" s="396" t="s">
        <v>23</v>
      </c>
      <c r="E5282" s="405">
        <f t="shared" si="164"/>
        <v>283.93</v>
      </c>
      <c r="F5282">
        <f t="shared" si="165"/>
        <v>95641</v>
      </c>
      <c r="H5282" s="679">
        <v>283.93</v>
      </c>
      <c r="I5282" s="679">
        <v>295.64999999999998</v>
      </c>
    </row>
    <row r="5283" spans="2:9" ht="30">
      <c r="B5283" s="395">
        <v>95642</v>
      </c>
      <c r="C5283" s="406" t="s">
        <v>1696</v>
      </c>
      <c r="D5283" s="395" t="s">
        <v>23</v>
      </c>
      <c r="E5283" s="407">
        <f t="shared" si="164"/>
        <v>419.4</v>
      </c>
      <c r="F5283">
        <f t="shared" si="165"/>
        <v>95642</v>
      </c>
      <c r="H5283" s="680">
        <v>419.4</v>
      </c>
      <c r="I5283" s="680">
        <v>436.72</v>
      </c>
    </row>
    <row r="5284" spans="2:9" ht="30">
      <c r="B5284" s="396">
        <v>95643</v>
      </c>
      <c r="C5284" s="401" t="s">
        <v>1697</v>
      </c>
      <c r="D5284" s="396" t="s">
        <v>23</v>
      </c>
      <c r="E5284" s="405">
        <f t="shared" si="164"/>
        <v>548.44000000000005</v>
      </c>
      <c r="F5284">
        <f t="shared" si="165"/>
        <v>95643</v>
      </c>
      <c r="H5284" s="679">
        <v>548.44000000000005</v>
      </c>
      <c r="I5284" s="679">
        <v>570.97</v>
      </c>
    </row>
    <row r="5285" spans="2:9" ht="30">
      <c r="B5285" s="395">
        <v>95644</v>
      </c>
      <c r="C5285" s="406" t="s">
        <v>1698</v>
      </c>
      <c r="D5285" s="395" t="s">
        <v>23</v>
      </c>
      <c r="E5285" s="407">
        <f t="shared" si="164"/>
        <v>210.41</v>
      </c>
      <c r="F5285">
        <f t="shared" si="165"/>
        <v>95644</v>
      </c>
      <c r="H5285" s="680">
        <v>210.41</v>
      </c>
      <c r="I5285" s="680">
        <v>217.83</v>
      </c>
    </row>
    <row r="5286" spans="2:9" ht="30">
      <c r="B5286" s="396">
        <v>95645</v>
      </c>
      <c r="C5286" s="401" t="s">
        <v>1699</v>
      </c>
      <c r="D5286" s="396" t="s">
        <v>23</v>
      </c>
      <c r="E5286" s="405">
        <f t="shared" si="164"/>
        <v>383.7</v>
      </c>
      <c r="F5286">
        <f t="shared" si="165"/>
        <v>95645</v>
      </c>
      <c r="H5286" s="679">
        <v>383.7</v>
      </c>
      <c r="I5286" s="679">
        <v>396.87</v>
      </c>
    </row>
    <row r="5287" spans="2:9" ht="30">
      <c r="B5287" s="395">
        <v>95646</v>
      </c>
      <c r="C5287" s="406" t="s">
        <v>1700</v>
      </c>
      <c r="D5287" s="395" t="s">
        <v>23</v>
      </c>
      <c r="E5287" s="407">
        <f t="shared" si="164"/>
        <v>571.9</v>
      </c>
      <c r="F5287">
        <f t="shared" si="165"/>
        <v>95646</v>
      </c>
      <c r="H5287" s="680">
        <v>571.9</v>
      </c>
      <c r="I5287" s="680">
        <v>591.44000000000005</v>
      </c>
    </row>
    <row r="5288" spans="2:9" ht="30">
      <c r="B5288" s="396">
        <v>95647</v>
      </c>
      <c r="C5288" s="401" t="s">
        <v>1701</v>
      </c>
      <c r="D5288" s="396" t="s">
        <v>23</v>
      </c>
      <c r="E5288" s="405">
        <f t="shared" si="164"/>
        <v>749.46</v>
      </c>
      <c r="F5288">
        <f t="shared" si="165"/>
        <v>95647</v>
      </c>
      <c r="H5288" s="679">
        <v>749.46</v>
      </c>
      <c r="I5288" s="679">
        <v>774.92</v>
      </c>
    </row>
    <row r="5289" spans="2:9" ht="30">
      <c r="B5289" s="395">
        <v>95648</v>
      </c>
      <c r="C5289" s="406" t="s">
        <v>8448</v>
      </c>
      <c r="D5289" s="395" t="s">
        <v>23</v>
      </c>
      <c r="E5289" s="407">
        <f t="shared" si="164"/>
        <v>505.45</v>
      </c>
      <c r="F5289">
        <f t="shared" si="165"/>
        <v>95648</v>
      </c>
      <c r="H5289" s="680">
        <v>505.45</v>
      </c>
      <c r="I5289" s="680">
        <v>512.61</v>
      </c>
    </row>
    <row r="5290" spans="2:9" ht="30">
      <c r="B5290" s="396">
        <v>95649</v>
      </c>
      <c r="C5290" s="401" t="s">
        <v>8449</v>
      </c>
      <c r="D5290" s="396" t="s">
        <v>23</v>
      </c>
      <c r="E5290" s="405">
        <f t="shared" si="164"/>
        <v>865.64</v>
      </c>
      <c r="F5290">
        <f t="shared" si="165"/>
        <v>95649</v>
      </c>
      <c r="H5290" s="679">
        <v>865.64</v>
      </c>
      <c r="I5290" s="679">
        <v>878.2</v>
      </c>
    </row>
    <row r="5291" spans="2:9" ht="30">
      <c r="B5291" s="395">
        <v>95650</v>
      </c>
      <c r="C5291" s="406" t="s">
        <v>8450</v>
      </c>
      <c r="D5291" s="395" t="s">
        <v>23</v>
      </c>
      <c r="E5291" s="407">
        <f t="shared" si="164"/>
        <v>1262.79</v>
      </c>
      <c r="F5291">
        <f t="shared" si="165"/>
        <v>95650</v>
      </c>
      <c r="H5291" s="680">
        <v>1262.79</v>
      </c>
      <c r="I5291" s="680">
        <v>1281.3599999999999</v>
      </c>
    </row>
    <row r="5292" spans="2:9" ht="30">
      <c r="B5292" s="396">
        <v>95651</v>
      </c>
      <c r="C5292" s="401" t="s">
        <v>8451</v>
      </c>
      <c r="D5292" s="396" t="s">
        <v>23</v>
      </c>
      <c r="E5292" s="405">
        <f t="shared" si="164"/>
        <v>1638.15</v>
      </c>
      <c r="F5292">
        <f t="shared" si="165"/>
        <v>95651</v>
      </c>
      <c r="H5292" s="679">
        <v>1638.15</v>
      </c>
      <c r="I5292" s="679">
        <v>1662.31</v>
      </c>
    </row>
    <row r="5293" spans="2:9" ht="30">
      <c r="B5293" s="395">
        <v>95652</v>
      </c>
      <c r="C5293" s="406" t="s">
        <v>8452</v>
      </c>
      <c r="D5293" s="395" t="s">
        <v>23</v>
      </c>
      <c r="E5293" s="407">
        <f t="shared" si="164"/>
        <v>628.03</v>
      </c>
      <c r="F5293">
        <f t="shared" si="165"/>
        <v>95652</v>
      </c>
      <c r="H5293" s="680">
        <v>628.03</v>
      </c>
      <c r="I5293" s="680">
        <v>635.98</v>
      </c>
    </row>
    <row r="5294" spans="2:9" ht="30">
      <c r="B5294" s="396">
        <v>95653</v>
      </c>
      <c r="C5294" s="401" t="s">
        <v>8453</v>
      </c>
      <c r="D5294" s="396" t="s">
        <v>23</v>
      </c>
      <c r="E5294" s="405">
        <f t="shared" si="164"/>
        <v>1109.1099999999999</v>
      </c>
      <c r="F5294">
        <f t="shared" si="165"/>
        <v>95653</v>
      </c>
      <c r="H5294" s="679">
        <v>1109.1099999999999</v>
      </c>
      <c r="I5294" s="679">
        <v>1123.24</v>
      </c>
    </row>
    <row r="5295" spans="2:9" ht="30">
      <c r="B5295" s="395">
        <v>95654</v>
      </c>
      <c r="C5295" s="406" t="s">
        <v>8454</v>
      </c>
      <c r="D5295" s="395" t="s">
        <v>23</v>
      </c>
      <c r="E5295" s="407">
        <f t="shared" si="164"/>
        <v>1632.27</v>
      </c>
      <c r="F5295">
        <f t="shared" si="165"/>
        <v>95654</v>
      </c>
      <c r="H5295" s="680">
        <v>1632.27</v>
      </c>
      <c r="I5295" s="680">
        <v>1653.24</v>
      </c>
    </row>
    <row r="5296" spans="2:9" ht="30">
      <c r="B5296" s="396">
        <v>95655</v>
      </c>
      <c r="C5296" s="401" t="s">
        <v>8455</v>
      </c>
      <c r="D5296" s="396" t="s">
        <v>23</v>
      </c>
      <c r="E5296" s="405">
        <f t="shared" si="164"/>
        <v>2127.39</v>
      </c>
      <c r="F5296">
        <f t="shared" si="165"/>
        <v>95655</v>
      </c>
      <c r="H5296" s="679">
        <v>2127.39</v>
      </c>
      <c r="I5296" s="679">
        <v>2154.6999999999998</v>
      </c>
    </row>
    <row r="5297" spans="2:9" ht="30">
      <c r="B5297" s="395">
        <v>95657</v>
      </c>
      <c r="C5297" s="406" t="s">
        <v>8456</v>
      </c>
      <c r="D5297" s="395" t="s">
        <v>23</v>
      </c>
      <c r="E5297" s="407">
        <f t="shared" si="164"/>
        <v>230.16</v>
      </c>
      <c r="F5297">
        <f t="shared" si="165"/>
        <v>95657</v>
      </c>
      <c r="H5297" s="680">
        <v>230.16</v>
      </c>
      <c r="I5297" s="680">
        <v>236.61</v>
      </c>
    </row>
    <row r="5298" spans="2:9" ht="30">
      <c r="B5298" s="396">
        <v>95658</v>
      </c>
      <c r="C5298" s="401" t="s">
        <v>8457</v>
      </c>
      <c r="D5298" s="396" t="s">
        <v>23</v>
      </c>
      <c r="E5298" s="405">
        <f t="shared" si="164"/>
        <v>430.87</v>
      </c>
      <c r="F5298">
        <f t="shared" si="165"/>
        <v>95658</v>
      </c>
      <c r="H5298" s="679">
        <v>430.87</v>
      </c>
      <c r="I5298" s="679">
        <v>443.33</v>
      </c>
    </row>
    <row r="5299" spans="2:9" ht="30">
      <c r="B5299" s="395">
        <v>95659</v>
      </c>
      <c r="C5299" s="406" t="s">
        <v>8458</v>
      </c>
      <c r="D5299" s="395" t="s">
        <v>23</v>
      </c>
      <c r="E5299" s="407">
        <f t="shared" si="164"/>
        <v>599.49</v>
      </c>
      <c r="F5299">
        <f t="shared" si="165"/>
        <v>95659</v>
      </c>
      <c r="H5299" s="680">
        <v>599.49</v>
      </c>
      <c r="I5299" s="680">
        <v>619</v>
      </c>
    </row>
    <row r="5300" spans="2:9" ht="30">
      <c r="B5300" s="396">
        <v>95660</v>
      </c>
      <c r="C5300" s="401" t="s">
        <v>8459</v>
      </c>
      <c r="D5300" s="396" t="s">
        <v>23</v>
      </c>
      <c r="E5300" s="405">
        <f t="shared" si="164"/>
        <v>857</v>
      </c>
      <c r="F5300">
        <f t="shared" si="165"/>
        <v>95660</v>
      </c>
      <c r="H5300" s="679">
        <v>857</v>
      </c>
      <c r="I5300" s="679">
        <v>882.66</v>
      </c>
    </row>
    <row r="5301" spans="2:9" ht="30">
      <c r="B5301" s="395">
        <v>95661</v>
      </c>
      <c r="C5301" s="406" t="s">
        <v>8460</v>
      </c>
      <c r="D5301" s="395" t="s">
        <v>23</v>
      </c>
      <c r="E5301" s="407">
        <f t="shared" si="164"/>
        <v>294.33</v>
      </c>
      <c r="F5301">
        <f t="shared" si="165"/>
        <v>95661</v>
      </c>
      <c r="H5301" s="680">
        <v>294.33</v>
      </c>
      <c r="I5301" s="680">
        <v>302.01</v>
      </c>
    </row>
    <row r="5302" spans="2:9" ht="30">
      <c r="B5302" s="396">
        <v>95662</v>
      </c>
      <c r="C5302" s="401" t="s">
        <v>8461</v>
      </c>
      <c r="D5302" s="396" t="s">
        <v>23</v>
      </c>
      <c r="E5302" s="405">
        <f t="shared" si="164"/>
        <v>560.15</v>
      </c>
      <c r="F5302">
        <f t="shared" si="165"/>
        <v>95662</v>
      </c>
      <c r="H5302" s="679">
        <v>560.15</v>
      </c>
      <c r="I5302" s="679">
        <v>575.32000000000005</v>
      </c>
    </row>
    <row r="5303" spans="2:9" ht="30">
      <c r="B5303" s="395">
        <v>95663</v>
      </c>
      <c r="C5303" s="406" t="s">
        <v>8462</v>
      </c>
      <c r="D5303" s="395" t="s">
        <v>23</v>
      </c>
      <c r="E5303" s="407">
        <f t="shared" si="164"/>
        <v>845.3</v>
      </c>
      <c r="F5303">
        <f t="shared" si="165"/>
        <v>95663</v>
      </c>
      <c r="H5303" s="680">
        <v>845.3</v>
      </c>
      <c r="I5303" s="680">
        <v>868.56</v>
      </c>
    </row>
    <row r="5304" spans="2:9" ht="30">
      <c r="B5304" s="396">
        <v>95664</v>
      </c>
      <c r="C5304" s="401" t="s">
        <v>8463</v>
      </c>
      <c r="D5304" s="396" t="s">
        <v>23</v>
      </c>
      <c r="E5304" s="405">
        <f t="shared" si="164"/>
        <v>1112.82</v>
      </c>
      <c r="F5304">
        <f t="shared" si="165"/>
        <v>95664</v>
      </c>
      <c r="H5304" s="679">
        <v>1112.82</v>
      </c>
      <c r="I5304" s="679">
        <v>1143.4100000000001</v>
      </c>
    </row>
    <row r="5305" spans="2:9" ht="30">
      <c r="B5305" s="395">
        <v>95665</v>
      </c>
      <c r="C5305" s="406" t="s">
        <v>8464</v>
      </c>
      <c r="D5305" s="395" t="s">
        <v>23</v>
      </c>
      <c r="E5305" s="407">
        <f t="shared" si="164"/>
        <v>241.4</v>
      </c>
      <c r="F5305">
        <f t="shared" si="165"/>
        <v>95665</v>
      </c>
      <c r="H5305" s="680">
        <v>241.4</v>
      </c>
      <c r="I5305" s="680">
        <v>248.14</v>
      </c>
    </row>
    <row r="5306" spans="2:9" ht="30">
      <c r="B5306" s="396">
        <v>95666</v>
      </c>
      <c r="C5306" s="401" t="s">
        <v>8465</v>
      </c>
      <c r="D5306" s="396" t="s">
        <v>23</v>
      </c>
      <c r="E5306" s="405">
        <f t="shared" si="164"/>
        <v>457.29</v>
      </c>
      <c r="F5306">
        <f t="shared" si="165"/>
        <v>95666</v>
      </c>
      <c r="H5306" s="679">
        <v>457.29</v>
      </c>
      <c r="I5306" s="679">
        <v>470.58</v>
      </c>
    </row>
    <row r="5307" spans="2:9" ht="30">
      <c r="B5307" s="395">
        <v>95667</v>
      </c>
      <c r="C5307" s="406" t="s">
        <v>8466</v>
      </c>
      <c r="D5307" s="395" t="s">
        <v>23</v>
      </c>
      <c r="E5307" s="407">
        <f t="shared" si="164"/>
        <v>682.74</v>
      </c>
      <c r="F5307">
        <f t="shared" si="165"/>
        <v>95667</v>
      </c>
      <c r="H5307" s="680">
        <v>682.74</v>
      </c>
      <c r="I5307" s="680">
        <v>703.15</v>
      </c>
    </row>
    <row r="5308" spans="2:9" ht="30">
      <c r="B5308" s="396">
        <v>95668</v>
      </c>
      <c r="C5308" s="401" t="s">
        <v>8467</v>
      </c>
      <c r="D5308" s="396" t="s">
        <v>23</v>
      </c>
      <c r="E5308" s="405">
        <f t="shared" si="164"/>
        <v>894.85</v>
      </c>
      <c r="F5308">
        <f t="shared" si="165"/>
        <v>95668</v>
      </c>
      <c r="H5308" s="679">
        <v>894.85</v>
      </c>
      <c r="I5308" s="679">
        <v>921.69</v>
      </c>
    </row>
    <row r="5309" spans="2:9" ht="30">
      <c r="B5309" s="395">
        <v>95669</v>
      </c>
      <c r="C5309" s="406" t="s">
        <v>8468</v>
      </c>
      <c r="D5309" s="395" t="s">
        <v>23</v>
      </c>
      <c r="E5309" s="407">
        <f t="shared" si="164"/>
        <v>316.58</v>
      </c>
      <c r="F5309">
        <f t="shared" si="165"/>
        <v>95669</v>
      </c>
      <c r="H5309" s="680">
        <v>316.58</v>
      </c>
      <c r="I5309" s="680">
        <v>324.62</v>
      </c>
    </row>
    <row r="5310" spans="2:9" ht="30">
      <c r="B5310" s="396">
        <v>95670</v>
      </c>
      <c r="C5310" s="401" t="s">
        <v>8469</v>
      </c>
      <c r="D5310" s="396" t="s">
        <v>23</v>
      </c>
      <c r="E5310" s="405">
        <f t="shared" si="164"/>
        <v>585.28</v>
      </c>
      <c r="F5310">
        <f t="shared" si="165"/>
        <v>95670</v>
      </c>
      <c r="H5310" s="679">
        <v>585.28</v>
      </c>
      <c r="I5310" s="679">
        <v>601.13</v>
      </c>
    </row>
    <row r="5311" spans="2:9" ht="30">
      <c r="B5311" s="395">
        <v>95671</v>
      </c>
      <c r="C5311" s="406" t="s">
        <v>8470</v>
      </c>
      <c r="D5311" s="395" t="s">
        <v>23</v>
      </c>
      <c r="E5311" s="407">
        <f t="shared" si="164"/>
        <v>878.04</v>
      </c>
      <c r="F5311">
        <f t="shared" si="165"/>
        <v>95671</v>
      </c>
      <c r="H5311" s="680">
        <v>878.04</v>
      </c>
      <c r="I5311" s="680">
        <v>902.38</v>
      </c>
    </row>
    <row r="5312" spans="2:9" ht="30">
      <c r="B5312" s="396">
        <v>95672</v>
      </c>
      <c r="C5312" s="401" t="s">
        <v>8471</v>
      </c>
      <c r="D5312" s="396" t="s">
        <v>23</v>
      </c>
      <c r="E5312" s="405">
        <f t="shared" si="164"/>
        <v>1174.3599999999999</v>
      </c>
      <c r="F5312">
        <f t="shared" si="165"/>
        <v>95672</v>
      </c>
      <c r="H5312" s="679">
        <v>1174.3599999999999</v>
      </c>
      <c r="I5312" s="679">
        <v>1206.3699999999999</v>
      </c>
    </row>
    <row r="5313" spans="2:9">
      <c r="B5313" s="395">
        <v>95673</v>
      </c>
      <c r="C5313" s="406" t="s">
        <v>1702</v>
      </c>
      <c r="D5313" s="395" t="s">
        <v>23</v>
      </c>
      <c r="E5313" s="407">
        <f t="shared" si="164"/>
        <v>105.72</v>
      </c>
      <c r="F5313">
        <f t="shared" si="165"/>
        <v>95673</v>
      </c>
      <c r="H5313" s="680">
        <v>105.72</v>
      </c>
      <c r="I5313" s="680">
        <v>107.81</v>
      </c>
    </row>
    <row r="5314" spans="2:9">
      <c r="B5314" s="396">
        <v>95674</v>
      </c>
      <c r="C5314" s="401" t="s">
        <v>1703</v>
      </c>
      <c r="D5314" s="396" t="s">
        <v>23</v>
      </c>
      <c r="E5314" s="405">
        <f t="shared" si="164"/>
        <v>112.15</v>
      </c>
      <c r="F5314">
        <f t="shared" si="165"/>
        <v>95674</v>
      </c>
      <c r="H5314" s="679">
        <v>112.15</v>
      </c>
      <c r="I5314" s="679">
        <v>114.24</v>
      </c>
    </row>
    <row r="5315" spans="2:9">
      <c r="B5315" s="395">
        <v>95675</v>
      </c>
      <c r="C5315" s="406" t="s">
        <v>568</v>
      </c>
      <c r="D5315" s="395" t="s">
        <v>23</v>
      </c>
      <c r="E5315" s="407">
        <f t="shared" ref="E5315:E5378" si="166">IF($K$2=$H$1,H5315,I5315)</f>
        <v>136.9</v>
      </c>
      <c r="F5315">
        <f t="shared" ref="F5315:F5378" si="167">IF(LEN($B5315)=7,CONCATENATE(MID($B5315,1,6),"00",RIGHT($B5315,1)),IF(LEN($B5315)=8,CONCATENATE(MID($B5315,1,6),"0",RIGHT($B5315,2)),$B5315))</f>
        <v>95675</v>
      </c>
      <c r="H5315" s="680">
        <v>136.9</v>
      </c>
      <c r="I5315" s="680">
        <v>139.32</v>
      </c>
    </row>
    <row r="5316" spans="2:9">
      <c r="B5316" s="396">
        <v>95676</v>
      </c>
      <c r="C5316" s="401" t="s">
        <v>1704</v>
      </c>
      <c r="D5316" s="396" t="s">
        <v>23</v>
      </c>
      <c r="E5316" s="405">
        <f t="shared" si="166"/>
        <v>126.45</v>
      </c>
      <c r="F5316">
        <f t="shared" si="167"/>
        <v>95676</v>
      </c>
      <c r="H5316" s="679">
        <v>126.45</v>
      </c>
      <c r="I5316" s="679">
        <v>127.45</v>
      </c>
    </row>
    <row r="5317" spans="2:9" ht="30">
      <c r="B5317" s="395">
        <v>97741</v>
      </c>
      <c r="C5317" s="406" t="s">
        <v>2579</v>
      </c>
      <c r="D5317" s="395" t="s">
        <v>23</v>
      </c>
      <c r="E5317" s="407">
        <f t="shared" si="166"/>
        <v>159.96</v>
      </c>
      <c r="F5317">
        <f t="shared" si="167"/>
        <v>97741</v>
      </c>
      <c r="H5317" s="680">
        <v>159.96</v>
      </c>
      <c r="I5317" s="680">
        <v>166.64</v>
      </c>
    </row>
    <row r="5318" spans="2:9">
      <c r="B5318" s="396">
        <v>90436</v>
      </c>
      <c r="C5318" s="401" t="s">
        <v>64</v>
      </c>
      <c r="D5318" s="396" t="s">
        <v>23</v>
      </c>
      <c r="E5318" s="405">
        <f t="shared" si="166"/>
        <v>12.07</v>
      </c>
      <c r="F5318">
        <f t="shared" si="167"/>
        <v>90436</v>
      </c>
      <c r="H5318" s="679">
        <v>12.07</v>
      </c>
      <c r="I5318" s="679">
        <v>13.5</v>
      </c>
    </row>
    <row r="5319" spans="2:9">
      <c r="B5319" s="395">
        <v>90437</v>
      </c>
      <c r="C5319" s="406" t="s">
        <v>65</v>
      </c>
      <c r="D5319" s="395" t="s">
        <v>23</v>
      </c>
      <c r="E5319" s="407">
        <f t="shared" si="166"/>
        <v>29.33</v>
      </c>
      <c r="F5319">
        <f t="shared" si="167"/>
        <v>90437</v>
      </c>
      <c r="H5319" s="680">
        <v>29.33</v>
      </c>
      <c r="I5319" s="680">
        <v>32.79</v>
      </c>
    </row>
    <row r="5320" spans="2:9">
      <c r="B5320" s="396">
        <v>90438</v>
      </c>
      <c r="C5320" s="401" t="s">
        <v>66</v>
      </c>
      <c r="D5320" s="396" t="s">
        <v>23</v>
      </c>
      <c r="E5320" s="405">
        <f t="shared" si="166"/>
        <v>42.03</v>
      </c>
      <c r="F5320">
        <f t="shared" si="167"/>
        <v>90438</v>
      </c>
      <c r="H5320" s="679">
        <v>42.03</v>
      </c>
      <c r="I5320" s="679">
        <v>47.01</v>
      </c>
    </row>
    <row r="5321" spans="2:9">
      <c r="B5321" s="395">
        <v>90439</v>
      </c>
      <c r="C5321" s="406" t="s">
        <v>67</v>
      </c>
      <c r="D5321" s="395" t="s">
        <v>23</v>
      </c>
      <c r="E5321" s="407">
        <f t="shared" si="166"/>
        <v>48.03</v>
      </c>
      <c r="F5321">
        <f t="shared" si="167"/>
        <v>90439</v>
      </c>
      <c r="H5321" s="680">
        <v>48.03</v>
      </c>
      <c r="I5321" s="680">
        <v>53.16</v>
      </c>
    </row>
    <row r="5322" spans="2:9">
      <c r="B5322" s="396">
        <v>90440</v>
      </c>
      <c r="C5322" s="401" t="s">
        <v>68</v>
      </c>
      <c r="D5322" s="396" t="s">
        <v>23</v>
      </c>
      <c r="E5322" s="405">
        <f t="shared" si="166"/>
        <v>76.930000000000007</v>
      </c>
      <c r="F5322">
        <f t="shared" si="167"/>
        <v>90440</v>
      </c>
      <c r="H5322" s="679">
        <v>76.930000000000007</v>
      </c>
      <c r="I5322" s="679">
        <v>85.15</v>
      </c>
    </row>
    <row r="5323" spans="2:9">
      <c r="B5323" s="395">
        <v>90441</v>
      </c>
      <c r="C5323" s="406" t="s">
        <v>69</v>
      </c>
      <c r="D5323" s="395" t="s">
        <v>23</v>
      </c>
      <c r="E5323" s="407">
        <f t="shared" si="166"/>
        <v>98.27</v>
      </c>
      <c r="F5323">
        <f t="shared" si="167"/>
        <v>90441</v>
      </c>
      <c r="H5323" s="680">
        <v>98.27</v>
      </c>
      <c r="I5323" s="680">
        <v>108.77</v>
      </c>
    </row>
    <row r="5324" spans="2:9">
      <c r="B5324" s="396">
        <v>90443</v>
      </c>
      <c r="C5324" s="401" t="s">
        <v>27</v>
      </c>
      <c r="D5324" s="396" t="s">
        <v>22</v>
      </c>
      <c r="E5324" s="405">
        <f t="shared" si="166"/>
        <v>10.97</v>
      </c>
      <c r="F5324">
        <f t="shared" si="167"/>
        <v>90443</v>
      </c>
      <c r="H5324" s="679">
        <v>10.97</v>
      </c>
      <c r="I5324" s="679">
        <v>12.27</v>
      </c>
    </row>
    <row r="5325" spans="2:9">
      <c r="B5325" s="395">
        <v>90444</v>
      </c>
      <c r="C5325" s="406" t="s">
        <v>70</v>
      </c>
      <c r="D5325" s="395" t="s">
        <v>22</v>
      </c>
      <c r="E5325" s="407">
        <f t="shared" si="166"/>
        <v>20.61</v>
      </c>
      <c r="F5325">
        <f t="shared" si="167"/>
        <v>90444</v>
      </c>
      <c r="H5325" s="680">
        <v>20.61</v>
      </c>
      <c r="I5325" s="680">
        <v>22.82</v>
      </c>
    </row>
    <row r="5326" spans="2:9" ht="30">
      <c r="B5326" s="396">
        <v>90445</v>
      </c>
      <c r="C5326" s="401" t="s">
        <v>1705</v>
      </c>
      <c r="D5326" s="396" t="s">
        <v>22</v>
      </c>
      <c r="E5326" s="405">
        <f t="shared" si="166"/>
        <v>22</v>
      </c>
      <c r="F5326">
        <f t="shared" si="167"/>
        <v>90445</v>
      </c>
      <c r="H5326" s="679">
        <v>22</v>
      </c>
      <c r="I5326" s="679">
        <v>24.35</v>
      </c>
    </row>
    <row r="5327" spans="2:9">
      <c r="B5327" s="395">
        <v>90446</v>
      </c>
      <c r="C5327" s="406" t="s">
        <v>1706</v>
      </c>
      <c r="D5327" s="395" t="s">
        <v>22</v>
      </c>
      <c r="E5327" s="407">
        <f t="shared" si="166"/>
        <v>23.89</v>
      </c>
      <c r="F5327">
        <f t="shared" si="167"/>
        <v>90446</v>
      </c>
      <c r="H5327" s="680">
        <v>23.89</v>
      </c>
      <c r="I5327" s="680">
        <v>26.46</v>
      </c>
    </row>
    <row r="5328" spans="2:9">
      <c r="B5328" s="396">
        <v>90447</v>
      </c>
      <c r="C5328" s="401" t="s">
        <v>71</v>
      </c>
      <c r="D5328" s="396" t="s">
        <v>22</v>
      </c>
      <c r="E5328" s="405">
        <f t="shared" si="166"/>
        <v>5.52</v>
      </c>
      <c r="F5328">
        <f t="shared" si="167"/>
        <v>90447</v>
      </c>
      <c r="H5328" s="679">
        <v>5.52</v>
      </c>
      <c r="I5328" s="679">
        <v>6.16</v>
      </c>
    </row>
    <row r="5329" spans="2:9">
      <c r="B5329" s="395">
        <v>90451</v>
      </c>
      <c r="C5329" s="406" t="s">
        <v>1707</v>
      </c>
      <c r="D5329" s="395" t="s">
        <v>23</v>
      </c>
      <c r="E5329" s="407">
        <f t="shared" si="166"/>
        <v>3.94</v>
      </c>
      <c r="F5329">
        <f t="shared" si="167"/>
        <v>90451</v>
      </c>
      <c r="H5329" s="680">
        <v>3.94</v>
      </c>
      <c r="I5329" s="680">
        <v>4.28</v>
      </c>
    </row>
    <row r="5330" spans="2:9">
      <c r="B5330" s="396">
        <v>90452</v>
      </c>
      <c r="C5330" s="401" t="s">
        <v>569</v>
      </c>
      <c r="D5330" s="396" t="s">
        <v>23</v>
      </c>
      <c r="E5330" s="405">
        <f t="shared" si="166"/>
        <v>18.62</v>
      </c>
      <c r="F5330">
        <f t="shared" si="167"/>
        <v>90452</v>
      </c>
      <c r="H5330" s="679">
        <v>18.62</v>
      </c>
      <c r="I5330" s="679">
        <v>19.13</v>
      </c>
    </row>
    <row r="5331" spans="2:9">
      <c r="B5331" s="395">
        <v>90453</v>
      </c>
      <c r="C5331" s="406" t="s">
        <v>72</v>
      </c>
      <c r="D5331" s="395" t="s">
        <v>23</v>
      </c>
      <c r="E5331" s="407">
        <f t="shared" si="166"/>
        <v>2.91</v>
      </c>
      <c r="F5331">
        <f t="shared" si="167"/>
        <v>90453</v>
      </c>
      <c r="H5331" s="680">
        <v>2.91</v>
      </c>
      <c r="I5331" s="680">
        <v>3.1</v>
      </c>
    </row>
    <row r="5332" spans="2:9">
      <c r="B5332" s="396">
        <v>90454</v>
      </c>
      <c r="C5332" s="401" t="s">
        <v>73</v>
      </c>
      <c r="D5332" s="396" t="s">
        <v>23</v>
      </c>
      <c r="E5332" s="405">
        <f t="shared" si="166"/>
        <v>5.18</v>
      </c>
      <c r="F5332">
        <f t="shared" si="167"/>
        <v>90454</v>
      </c>
      <c r="H5332" s="679">
        <v>5.18</v>
      </c>
      <c r="I5332" s="679">
        <v>5.47</v>
      </c>
    </row>
    <row r="5333" spans="2:9">
      <c r="B5333" s="395">
        <v>90455</v>
      </c>
      <c r="C5333" s="406" t="s">
        <v>1708</v>
      </c>
      <c r="D5333" s="395" t="s">
        <v>23</v>
      </c>
      <c r="E5333" s="407">
        <f t="shared" si="166"/>
        <v>6.45</v>
      </c>
      <c r="F5333">
        <f t="shared" si="167"/>
        <v>90455</v>
      </c>
      <c r="H5333" s="680">
        <v>6.45</v>
      </c>
      <c r="I5333" s="680">
        <v>6.87</v>
      </c>
    </row>
    <row r="5334" spans="2:9">
      <c r="B5334" s="396">
        <v>90456</v>
      </c>
      <c r="C5334" s="401" t="s">
        <v>1709</v>
      </c>
      <c r="D5334" s="396" t="s">
        <v>23</v>
      </c>
      <c r="E5334" s="405">
        <f t="shared" si="166"/>
        <v>3.52</v>
      </c>
      <c r="F5334">
        <f t="shared" si="167"/>
        <v>90456</v>
      </c>
      <c r="H5334" s="679">
        <v>3.52</v>
      </c>
      <c r="I5334" s="679">
        <v>3.94</v>
      </c>
    </row>
    <row r="5335" spans="2:9">
      <c r="B5335" s="395">
        <v>90457</v>
      </c>
      <c r="C5335" s="406" t="s">
        <v>1710</v>
      </c>
      <c r="D5335" s="395" t="s">
        <v>23</v>
      </c>
      <c r="E5335" s="407">
        <f t="shared" si="166"/>
        <v>8.0299999999999994</v>
      </c>
      <c r="F5335">
        <f t="shared" si="167"/>
        <v>90457</v>
      </c>
      <c r="H5335" s="680">
        <v>8.0299999999999994</v>
      </c>
      <c r="I5335" s="680">
        <v>8.98</v>
      </c>
    </row>
    <row r="5336" spans="2:9">
      <c r="B5336" s="396">
        <v>90458</v>
      </c>
      <c r="C5336" s="401" t="s">
        <v>1711</v>
      </c>
      <c r="D5336" s="396" t="s">
        <v>23</v>
      </c>
      <c r="E5336" s="405">
        <f t="shared" si="166"/>
        <v>22.78</v>
      </c>
      <c r="F5336">
        <f t="shared" si="167"/>
        <v>90458</v>
      </c>
      <c r="H5336" s="679">
        <v>22.78</v>
      </c>
      <c r="I5336" s="679">
        <v>25.49</v>
      </c>
    </row>
    <row r="5337" spans="2:9">
      <c r="B5337" s="395">
        <v>90459</v>
      </c>
      <c r="C5337" s="406" t="s">
        <v>1712</v>
      </c>
      <c r="D5337" s="395" t="s">
        <v>23</v>
      </c>
      <c r="E5337" s="407">
        <f t="shared" si="166"/>
        <v>32.14</v>
      </c>
      <c r="F5337">
        <f t="shared" si="167"/>
        <v>90459</v>
      </c>
      <c r="H5337" s="680">
        <v>32.14</v>
      </c>
      <c r="I5337" s="680">
        <v>35.94</v>
      </c>
    </row>
    <row r="5338" spans="2:9" ht="30">
      <c r="B5338" s="396">
        <v>90460</v>
      </c>
      <c r="C5338" s="401" t="s">
        <v>4036</v>
      </c>
      <c r="D5338" s="396" t="s">
        <v>22</v>
      </c>
      <c r="E5338" s="405">
        <f t="shared" si="166"/>
        <v>12.52</v>
      </c>
      <c r="F5338">
        <f t="shared" si="167"/>
        <v>90460</v>
      </c>
      <c r="H5338" s="679">
        <v>12.52</v>
      </c>
      <c r="I5338" s="679">
        <v>12.67</v>
      </c>
    </row>
    <row r="5339" spans="2:9" ht="30">
      <c r="B5339" s="395">
        <v>90461</v>
      </c>
      <c r="C5339" s="406" t="s">
        <v>4037</v>
      </c>
      <c r="D5339" s="395" t="s">
        <v>22</v>
      </c>
      <c r="E5339" s="407">
        <f t="shared" si="166"/>
        <v>7.8</v>
      </c>
      <c r="F5339">
        <f t="shared" si="167"/>
        <v>90461</v>
      </c>
      <c r="H5339" s="680">
        <v>7.8</v>
      </c>
      <c r="I5339" s="680">
        <v>7.96</v>
      </c>
    </row>
    <row r="5340" spans="2:9" ht="30">
      <c r="B5340" s="396">
        <v>90462</v>
      </c>
      <c r="C5340" s="401" t="s">
        <v>4038</v>
      </c>
      <c r="D5340" s="396" t="s">
        <v>22</v>
      </c>
      <c r="E5340" s="405">
        <f t="shared" si="166"/>
        <v>1.63</v>
      </c>
      <c r="F5340">
        <f t="shared" si="167"/>
        <v>90462</v>
      </c>
      <c r="H5340" s="679">
        <v>1.63</v>
      </c>
      <c r="I5340" s="679">
        <v>1.67</v>
      </c>
    </row>
    <row r="5341" spans="2:9" ht="30">
      <c r="B5341" s="395">
        <v>90463</v>
      </c>
      <c r="C5341" s="406" t="s">
        <v>4039</v>
      </c>
      <c r="D5341" s="395" t="s">
        <v>22</v>
      </c>
      <c r="E5341" s="407">
        <f t="shared" si="166"/>
        <v>1.39</v>
      </c>
      <c r="F5341">
        <f t="shared" si="167"/>
        <v>90463</v>
      </c>
      <c r="H5341" s="680">
        <v>1.39</v>
      </c>
      <c r="I5341" s="680">
        <v>1.44</v>
      </c>
    </row>
    <row r="5342" spans="2:9">
      <c r="B5342" s="396">
        <v>90466</v>
      </c>
      <c r="C5342" s="401" t="s">
        <v>74</v>
      </c>
      <c r="D5342" s="396" t="s">
        <v>22</v>
      </c>
      <c r="E5342" s="405">
        <f t="shared" si="166"/>
        <v>11.63</v>
      </c>
      <c r="F5342">
        <f t="shared" si="167"/>
        <v>90466</v>
      </c>
      <c r="H5342" s="679">
        <v>11.63</v>
      </c>
      <c r="I5342" s="679">
        <v>12.79</v>
      </c>
    </row>
    <row r="5343" spans="2:9" ht="30">
      <c r="B5343" s="395">
        <v>90467</v>
      </c>
      <c r="C5343" s="406" t="s">
        <v>75</v>
      </c>
      <c r="D5343" s="395" t="s">
        <v>22</v>
      </c>
      <c r="E5343" s="407">
        <f t="shared" si="166"/>
        <v>18.45</v>
      </c>
      <c r="F5343">
        <f t="shared" si="167"/>
        <v>90467</v>
      </c>
      <c r="H5343" s="680">
        <v>18.45</v>
      </c>
      <c r="I5343" s="680">
        <v>20.29</v>
      </c>
    </row>
    <row r="5344" spans="2:9">
      <c r="B5344" s="396">
        <v>90468</v>
      </c>
      <c r="C5344" s="401" t="s">
        <v>1713</v>
      </c>
      <c r="D5344" s="396" t="s">
        <v>22</v>
      </c>
      <c r="E5344" s="405">
        <f t="shared" si="166"/>
        <v>5.48</v>
      </c>
      <c r="F5344">
        <f t="shared" si="167"/>
        <v>90468</v>
      </c>
      <c r="H5344" s="679">
        <v>5.48</v>
      </c>
      <c r="I5344" s="679">
        <v>5.92</v>
      </c>
    </row>
    <row r="5345" spans="2:9" ht="30">
      <c r="B5345" s="395">
        <v>90469</v>
      </c>
      <c r="C5345" s="406" t="s">
        <v>1714</v>
      </c>
      <c r="D5345" s="395" t="s">
        <v>22</v>
      </c>
      <c r="E5345" s="407">
        <f t="shared" si="166"/>
        <v>8.83</v>
      </c>
      <c r="F5345">
        <f t="shared" si="167"/>
        <v>90469</v>
      </c>
      <c r="H5345" s="680">
        <v>8.83</v>
      </c>
      <c r="I5345" s="680">
        <v>9.5299999999999994</v>
      </c>
    </row>
    <row r="5346" spans="2:9">
      <c r="B5346" s="396">
        <v>90470</v>
      </c>
      <c r="C5346" s="401" t="s">
        <v>1715</v>
      </c>
      <c r="D5346" s="396" t="s">
        <v>22</v>
      </c>
      <c r="E5346" s="405">
        <f t="shared" si="166"/>
        <v>12.4</v>
      </c>
      <c r="F5346">
        <f t="shared" si="167"/>
        <v>90470</v>
      </c>
      <c r="H5346" s="679">
        <v>12.4</v>
      </c>
      <c r="I5346" s="679">
        <v>13.31</v>
      </c>
    </row>
    <row r="5347" spans="2:9" ht="30">
      <c r="B5347" s="395">
        <v>91166</v>
      </c>
      <c r="C5347" s="406" t="s">
        <v>1716</v>
      </c>
      <c r="D5347" s="395" t="s">
        <v>22</v>
      </c>
      <c r="E5347" s="407">
        <f t="shared" si="166"/>
        <v>3.87</v>
      </c>
      <c r="F5347">
        <f t="shared" si="167"/>
        <v>91166</v>
      </c>
      <c r="H5347" s="680">
        <v>3.87</v>
      </c>
      <c r="I5347" s="680">
        <v>4.07</v>
      </c>
    </row>
    <row r="5348" spans="2:9" ht="30">
      <c r="B5348" s="396">
        <v>91167</v>
      </c>
      <c r="C5348" s="401" t="s">
        <v>1717</v>
      </c>
      <c r="D5348" s="396" t="s">
        <v>22</v>
      </c>
      <c r="E5348" s="405">
        <f t="shared" si="166"/>
        <v>11.66</v>
      </c>
      <c r="F5348">
        <f t="shared" si="167"/>
        <v>91167</v>
      </c>
      <c r="H5348" s="679">
        <v>11.66</v>
      </c>
      <c r="I5348" s="679">
        <v>12.42</v>
      </c>
    </row>
    <row r="5349" spans="2:9" ht="30">
      <c r="B5349" s="395">
        <v>91168</v>
      </c>
      <c r="C5349" s="406" t="s">
        <v>1718</v>
      </c>
      <c r="D5349" s="395" t="s">
        <v>22</v>
      </c>
      <c r="E5349" s="407">
        <f t="shared" si="166"/>
        <v>8.9</v>
      </c>
      <c r="F5349">
        <f t="shared" si="167"/>
        <v>91168</v>
      </c>
      <c r="H5349" s="680">
        <v>8.9</v>
      </c>
      <c r="I5349" s="680">
        <v>9.4600000000000009</v>
      </c>
    </row>
    <row r="5350" spans="2:9" ht="30">
      <c r="B5350" s="396">
        <v>91169</v>
      </c>
      <c r="C5350" s="401" t="s">
        <v>1719</v>
      </c>
      <c r="D5350" s="396" t="s">
        <v>22</v>
      </c>
      <c r="E5350" s="405">
        <f t="shared" si="166"/>
        <v>10.52</v>
      </c>
      <c r="F5350">
        <f t="shared" si="167"/>
        <v>91169</v>
      </c>
      <c r="H5350" s="679">
        <v>10.52</v>
      </c>
      <c r="I5350" s="679">
        <v>11.2</v>
      </c>
    </row>
    <row r="5351" spans="2:9" ht="30">
      <c r="B5351" s="395">
        <v>91170</v>
      </c>
      <c r="C5351" s="406" t="s">
        <v>1720</v>
      </c>
      <c r="D5351" s="395" t="s">
        <v>22</v>
      </c>
      <c r="E5351" s="407">
        <f t="shared" si="166"/>
        <v>2.99</v>
      </c>
      <c r="F5351">
        <f t="shared" si="167"/>
        <v>91170</v>
      </c>
      <c r="H5351" s="680">
        <v>2.99</v>
      </c>
      <c r="I5351" s="680">
        <v>3.19</v>
      </c>
    </row>
    <row r="5352" spans="2:9" ht="30">
      <c r="B5352" s="396">
        <v>91171</v>
      </c>
      <c r="C5352" s="401" t="s">
        <v>1721</v>
      </c>
      <c r="D5352" s="396" t="s">
        <v>22</v>
      </c>
      <c r="E5352" s="405">
        <f t="shared" si="166"/>
        <v>3.78</v>
      </c>
      <c r="F5352">
        <f t="shared" si="167"/>
        <v>91171</v>
      </c>
      <c r="H5352" s="679">
        <v>3.78</v>
      </c>
      <c r="I5352" s="679">
        <v>4.0199999999999996</v>
      </c>
    </row>
    <row r="5353" spans="2:9" ht="30">
      <c r="B5353" s="395">
        <v>91172</v>
      </c>
      <c r="C5353" s="406" t="s">
        <v>1722</v>
      </c>
      <c r="D5353" s="395" t="s">
        <v>22</v>
      </c>
      <c r="E5353" s="407">
        <f t="shared" si="166"/>
        <v>5.55</v>
      </c>
      <c r="F5353">
        <f t="shared" si="167"/>
        <v>91172</v>
      </c>
      <c r="H5353" s="680">
        <v>5.55</v>
      </c>
      <c r="I5353" s="680">
        <v>5.91</v>
      </c>
    </row>
    <row r="5354" spans="2:9" ht="30">
      <c r="B5354" s="396">
        <v>91173</v>
      </c>
      <c r="C5354" s="401" t="s">
        <v>1723</v>
      </c>
      <c r="D5354" s="396" t="s">
        <v>22</v>
      </c>
      <c r="E5354" s="405">
        <f t="shared" si="166"/>
        <v>1.51</v>
      </c>
      <c r="F5354">
        <f t="shared" si="167"/>
        <v>91173</v>
      </c>
      <c r="H5354" s="679">
        <v>1.51</v>
      </c>
      <c r="I5354" s="679">
        <v>1.61</v>
      </c>
    </row>
    <row r="5355" spans="2:9" ht="30">
      <c r="B5355" s="395">
        <v>91174</v>
      </c>
      <c r="C5355" s="406" t="s">
        <v>1724</v>
      </c>
      <c r="D5355" s="395" t="s">
        <v>22</v>
      </c>
      <c r="E5355" s="407">
        <f t="shared" si="166"/>
        <v>3.01</v>
      </c>
      <c r="F5355">
        <f t="shared" si="167"/>
        <v>91174</v>
      </c>
      <c r="H5355" s="680">
        <v>3.01</v>
      </c>
      <c r="I5355" s="680">
        <v>3.19</v>
      </c>
    </row>
    <row r="5356" spans="2:9" ht="30">
      <c r="B5356" s="396">
        <v>91175</v>
      </c>
      <c r="C5356" s="401" t="s">
        <v>1725</v>
      </c>
      <c r="D5356" s="396" t="s">
        <v>22</v>
      </c>
      <c r="E5356" s="405">
        <f t="shared" si="166"/>
        <v>4.88</v>
      </c>
      <c r="F5356">
        <f t="shared" si="167"/>
        <v>91175</v>
      </c>
      <c r="H5356" s="679">
        <v>4.88</v>
      </c>
      <c r="I5356" s="679">
        <v>5.19</v>
      </c>
    </row>
    <row r="5357" spans="2:9" ht="30">
      <c r="B5357" s="395">
        <v>91176</v>
      </c>
      <c r="C5357" s="406" t="s">
        <v>2159</v>
      </c>
      <c r="D5357" s="395" t="s">
        <v>22</v>
      </c>
      <c r="E5357" s="407">
        <f t="shared" si="166"/>
        <v>27.33</v>
      </c>
      <c r="F5357">
        <f t="shared" si="167"/>
        <v>91176</v>
      </c>
      <c r="H5357" s="680">
        <v>27.33</v>
      </c>
      <c r="I5357" s="680">
        <v>28.9</v>
      </c>
    </row>
    <row r="5358" spans="2:9" ht="30">
      <c r="B5358" s="396">
        <v>91177</v>
      </c>
      <c r="C5358" s="401" t="s">
        <v>2160</v>
      </c>
      <c r="D5358" s="396" t="s">
        <v>22</v>
      </c>
      <c r="E5358" s="405">
        <f t="shared" si="166"/>
        <v>12.83</v>
      </c>
      <c r="F5358">
        <f t="shared" si="167"/>
        <v>91177</v>
      </c>
      <c r="H5358" s="679">
        <v>12.83</v>
      </c>
      <c r="I5358" s="679">
        <v>13.71</v>
      </c>
    </row>
    <row r="5359" spans="2:9" ht="30">
      <c r="B5359" s="395">
        <v>91178</v>
      </c>
      <c r="C5359" s="406" t="s">
        <v>2161</v>
      </c>
      <c r="D5359" s="395" t="s">
        <v>22</v>
      </c>
      <c r="E5359" s="407">
        <f t="shared" si="166"/>
        <v>14.93</v>
      </c>
      <c r="F5359">
        <f t="shared" si="167"/>
        <v>91178</v>
      </c>
      <c r="H5359" s="680">
        <v>14.93</v>
      </c>
      <c r="I5359" s="680">
        <v>15.83</v>
      </c>
    </row>
    <row r="5360" spans="2:9" ht="30">
      <c r="B5360" s="396">
        <v>91179</v>
      </c>
      <c r="C5360" s="401" t="s">
        <v>2162</v>
      </c>
      <c r="D5360" s="396" t="s">
        <v>22</v>
      </c>
      <c r="E5360" s="405">
        <f t="shared" si="166"/>
        <v>7</v>
      </c>
      <c r="F5360">
        <f t="shared" si="167"/>
        <v>91179</v>
      </c>
      <c r="H5360" s="679">
        <v>7</v>
      </c>
      <c r="I5360" s="679">
        <v>7.4</v>
      </c>
    </row>
    <row r="5361" spans="2:9" ht="30">
      <c r="B5361" s="395">
        <v>91180</v>
      </c>
      <c r="C5361" s="406" t="s">
        <v>2163</v>
      </c>
      <c r="D5361" s="395" t="s">
        <v>22</v>
      </c>
      <c r="E5361" s="407">
        <f t="shared" si="166"/>
        <v>6.36</v>
      </c>
      <c r="F5361">
        <f t="shared" si="167"/>
        <v>91180</v>
      </c>
      <c r="H5361" s="680">
        <v>6.36</v>
      </c>
      <c r="I5361" s="680">
        <v>6.73</v>
      </c>
    </row>
    <row r="5362" spans="2:9" ht="30">
      <c r="B5362" s="396">
        <v>91181</v>
      </c>
      <c r="C5362" s="401" t="s">
        <v>2164</v>
      </c>
      <c r="D5362" s="396" t="s">
        <v>22</v>
      </c>
      <c r="E5362" s="405">
        <f t="shared" si="166"/>
        <v>6.95</v>
      </c>
      <c r="F5362">
        <f t="shared" si="167"/>
        <v>91181</v>
      </c>
      <c r="H5362" s="679">
        <v>6.95</v>
      </c>
      <c r="I5362" s="679">
        <v>7.42</v>
      </c>
    </row>
    <row r="5363" spans="2:9" ht="30">
      <c r="B5363" s="395">
        <v>91182</v>
      </c>
      <c r="C5363" s="406" t="s">
        <v>1726</v>
      </c>
      <c r="D5363" s="395" t="s">
        <v>22</v>
      </c>
      <c r="E5363" s="407">
        <f t="shared" si="166"/>
        <v>24.32</v>
      </c>
      <c r="F5363">
        <f t="shared" si="167"/>
        <v>91182</v>
      </c>
      <c r="H5363" s="680">
        <v>24.32</v>
      </c>
      <c r="I5363" s="680">
        <v>26.66</v>
      </c>
    </row>
    <row r="5364" spans="2:9" ht="30">
      <c r="B5364" s="396">
        <v>91183</v>
      </c>
      <c r="C5364" s="401" t="s">
        <v>1727</v>
      </c>
      <c r="D5364" s="396" t="s">
        <v>22</v>
      </c>
      <c r="E5364" s="405">
        <f t="shared" si="166"/>
        <v>11.88</v>
      </c>
      <c r="F5364">
        <f t="shared" si="167"/>
        <v>91183</v>
      </c>
      <c r="H5364" s="679">
        <v>11.88</v>
      </c>
      <c r="I5364" s="679">
        <v>13.06</v>
      </c>
    </row>
    <row r="5365" spans="2:9" ht="30">
      <c r="B5365" s="395">
        <v>91184</v>
      </c>
      <c r="C5365" s="406" t="s">
        <v>1728</v>
      </c>
      <c r="D5365" s="395" t="s">
        <v>22</v>
      </c>
      <c r="E5365" s="407">
        <f t="shared" si="166"/>
        <v>11.01</v>
      </c>
      <c r="F5365">
        <f t="shared" si="167"/>
        <v>91184</v>
      </c>
      <c r="H5365" s="680">
        <v>11.01</v>
      </c>
      <c r="I5365" s="680">
        <v>12.13</v>
      </c>
    </row>
    <row r="5366" spans="2:9" ht="30">
      <c r="B5366" s="396">
        <v>91185</v>
      </c>
      <c r="C5366" s="401" t="s">
        <v>1729</v>
      </c>
      <c r="D5366" s="396" t="s">
        <v>22</v>
      </c>
      <c r="E5366" s="405">
        <f t="shared" si="166"/>
        <v>6.24</v>
      </c>
      <c r="F5366">
        <f t="shared" si="167"/>
        <v>91185</v>
      </c>
      <c r="H5366" s="679">
        <v>6.24</v>
      </c>
      <c r="I5366" s="679">
        <v>6.84</v>
      </c>
    </row>
    <row r="5367" spans="2:9" ht="30">
      <c r="B5367" s="395">
        <v>91186</v>
      </c>
      <c r="C5367" s="406" t="s">
        <v>1730</v>
      </c>
      <c r="D5367" s="395" t="s">
        <v>22</v>
      </c>
      <c r="E5367" s="407">
        <f t="shared" si="166"/>
        <v>5.07</v>
      </c>
      <c r="F5367">
        <f t="shared" si="167"/>
        <v>91186</v>
      </c>
      <c r="H5367" s="680">
        <v>5.07</v>
      </c>
      <c r="I5367" s="680">
        <v>5.57</v>
      </c>
    </row>
    <row r="5368" spans="2:9" ht="30">
      <c r="B5368" s="396">
        <v>91187</v>
      </c>
      <c r="C5368" s="401" t="s">
        <v>1731</v>
      </c>
      <c r="D5368" s="396" t="s">
        <v>22</v>
      </c>
      <c r="E5368" s="405">
        <f t="shared" si="166"/>
        <v>5.8</v>
      </c>
      <c r="F5368">
        <f t="shared" si="167"/>
        <v>91187</v>
      </c>
      <c r="H5368" s="679">
        <v>5.8</v>
      </c>
      <c r="I5368" s="679">
        <v>6.4</v>
      </c>
    </row>
    <row r="5369" spans="2:9" ht="30">
      <c r="B5369" s="395">
        <v>91188</v>
      </c>
      <c r="C5369" s="406" t="s">
        <v>1732</v>
      </c>
      <c r="D5369" s="395" t="s">
        <v>23</v>
      </c>
      <c r="E5369" s="407">
        <f t="shared" si="166"/>
        <v>6.96</v>
      </c>
      <c r="F5369">
        <f t="shared" si="167"/>
        <v>91188</v>
      </c>
      <c r="H5369" s="680">
        <v>6.96</v>
      </c>
      <c r="I5369" s="680">
        <v>7.51</v>
      </c>
    </row>
    <row r="5370" spans="2:9" ht="30">
      <c r="B5370" s="396">
        <v>91189</v>
      </c>
      <c r="C5370" s="401" t="s">
        <v>367</v>
      </c>
      <c r="D5370" s="396" t="s">
        <v>23</v>
      </c>
      <c r="E5370" s="405">
        <f t="shared" si="166"/>
        <v>56.65</v>
      </c>
      <c r="F5370">
        <f t="shared" si="167"/>
        <v>91189</v>
      </c>
      <c r="H5370" s="679">
        <v>56.65</v>
      </c>
      <c r="I5370" s="679">
        <v>59.16</v>
      </c>
    </row>
    <row r="5371" spans="2:9">
      <c r="B5371" s="395">
        <v>91190</v>
      </c>
      <c r="C5371" s="406" t="s">
        <v>76</v>
      </c>
      <c r="D5371" s="395" t="s">
        <v>23</v>
      </c>
      <c r="E5371" s="407">
        <f t="shared" si="166"/>
        <v>4.47</v>
      </c>
      <c r="F5371">
        <f t="shared" si="167"/>
        <v>91190</v>
      </c>
      <c r="H5371" s="680">
        <v>4.47</v>
      </c>
      <c r="I5371" s="680">
        <v>4.92</v>
      </c>
    </row>
    <row r="5372" spans="2:9">
      <c r="B5372" s="396">
        <v>91191</v>
      </c>
      <c r="C5372" s="401" t="s">
        <v>368</v>
      </c>
      <c r="D5372" s="396" t="s">
        <v>23</v>
      </c>
      <c r="E5372" s="405">
        <f t="shared" si="166"/>
        <v>4.7300000000000004</v>
      </c>
      <c r="F5372">
        <f t="shared" si="167"/>
        <v>91191</v>
      </c>
      <c r="H5372" s="679">
        <v>4.7300000000000004</v>
      </c>
      <c r="I5372" s="679">
        <v>5.21</v>
      </c>
    </row>
    <row r="5373" spans="2:9">
      <c r="B5373" s="395">
        <v>91192</v>
      </c>
      <c r="C5373" s="406" t="s">
        <v>77</v>
      </c>
      <c r="D5373" s="395" t="s">
        <v>23</v>
      </c>
      <c r="E5373" s="407">
        <f t="shared" si="166"/>
        <v>5.21</v>
      </c>
      <c r="F5373">
        <f t="shared" si="167"/>
        <v>91192</v>
      </c>
      <c r="H5373" s="680">
        <v>5.21</v>
      </c>
      <c r="I5373" s="680">
        <v>5.75</v>
      </c>
    </row>
    <row r="5374" spans="2:9" ht="30">
      <c r="B5374" s="396">
        <v>91222</v>
      </c>
      <c r="C5374" s="401" t="s">
        <v>369</v>
      </c>
      <c r="D5374" s="396" t="s">
        <v>22</v>
      </c>
      <c r="E5374" s="405">
        <f t="shared" si="166"/>
        <v>11.81</v>
      </c>
      <c r="F5374">
        <f t="shared" si="167"/>
        <v>91222</v>
      </c>
      <c r="H5374" s="679">
        <v>11.81</v>
      </c>
      <c r="I5374" s="679">
        <v>13.21</v>
      </c>
    </row>
    <row r="5375" spans="2:9" ht="30">
      <c r="B5375" s="395">
        <v>94480</v>
      </c>
      <c r="C5375" s="406" t="s">
        <v>1733</v>
      </c>
      <c r="D5375" s="395" t="s">
        <v>23</v>
      </c>
      <c r="E5375" s="407">
        <f t="shared" si="166"/>
        <v>2159.6999999999998</v>
      </c>
      <c r="F5375">
        <f t="shared" si="167"/>
        <v>94480</v>
      </c>
      <c r="H5375" s="680">
        <v>2159.6999999999998</v>
      </c>
      <c r="I5375" s="680">
        <v>2241.14</v>
      </c>
    </row>
    <row r="5376" spans="2:9" ht="30">
      <c r="B5376" s="396">
        <v>94481</v>
      </c>
      <c r="C5376" s="401" t="s">
        <v>1734</v>
      </c>
      <c r="D5376" s="396" t="s">
        <v>23</v>
      </c>
      <c r="E5376" s="405">
        <f t="shared" si="166"/>
        <v>1528.28</v>
      </c>
      <c r="F5376">
        <f t="shared" si="167"/>
        <v>94481</v>
      </c>
      <c r="H5376" s="679">
        <v>1528.28</v>
      </c>
      <c r="I5376" s="679">
        <v>1600.7</v>
      </c>
    </row>
    <row r="5377" spans="2:9" ht="30">
      <c r="B5377" s="395">
        <v>94482</v>
      </c>
      <c r="C5377" s="406" t="s">
        <v>1735</v>
      </c>
      <c r="D5377" s="395" t="s">
        <v>23</v>
      </c>
      <c r="E5377" s="407">
        <f t="shared" si="166"/>
        <v>1214.1099999999999</v>
      </c>
      <c r="F5377">
        <f t="shared" si="167"/>
        <v>94482</v>
      </c>
      <c r="H5377" s="680">
        <v>1214.1099999999999</v>
      </c>
      <c r="I5377" s="680">
        <v>1280.06</v>
      </c>
    </row>
    <row r="5378" spans="2:9" ht="30">
      <c r="B5378" s="396">
        <v>94483</v>
      </c>
      <c r="C5378" s="401" t="s">
        <v>1736</v>
      </c>
      <c r="D5378" s="396" t="s">
        <v>23</v>
      </c>
      <c r="E5378" s="405">
        <f t="shared" si="166"/>
        <v>1025.92</v>
      </c>
      <c r="F5378">
        <f t="shared" si="167"/>
        <v>94483</v>
      </c>
      <c r="H5378" s="679">
        <v>1025.92</v>
      </c>
      <c r="I5378" s="679">
        <v>1086.53</v>
      </c>
    </row>
    <row r="5379" spans="2:9">
      <c r="B5379" s="395">
        <v>95541</v>
      </c>
      <c r="C5379" s="406" t="s">
        <v>1737</v>
      </c>
      <c r="D5379" s="395" t="s">
        <v>23</v>
      </c>
      <c r="E5379" s="407">
        <f t="shared" ref="E5379:E5442" si="168">IF($K$2=$H$1,H5379,I5379)</f>
        <v>3.91</v>
      </c>
      <c r="F5379">
        <f t="shared" ref="F5379:F5442" si="169">IF(LEN($B5379)=7,CONCATENATE(MID($B5379,1,6),"00",RIGHT($B5379,1)),IF(LEN($B5379)=8,CONCATENATE(MID($B5379,1,6),"0",RIGHT($B5379,2)),$B5379))</f>
        <v>95541</v>
      </c>
      <c r="H5379" s="680">
        <v>3.91</v>
      </c>
      <c r="I5379" s="680">
        <v>4.37</v>
      </c>
    </row>
    <row r="5380" spans="2:9" ht="30">
      <c r="B5380" s="396">
        <v>96559</v>
      </c>
      <c r="C5380" s="401" t="s">
        <v>4040</v>
      </c>
      <c r="D5380" s="396" t="s">
        <v>0</v>
      </c>
      <c r="E5380" s="405">
        <f t="shared" si="168"/>
        <v>34.83</v>
      </c>
      <c r="F5380">
        <f t="shared" si="169"/>
        <v>96559</v>
      </c>
      <c r="H5380" s="679">
        <v>34.83</v>
      </c>
      <c r="I5380" s="679">
        <v>35.270000000000003</v>
      </c>
    </row>
    <row r="5381" spans="2:9" ht="30">
      <c r="B5381" s="395">
        <v>96560</v>
      </c>
      <c r="C5381" s="406" t="s">
        <v>4041</v>
      </c>
      <c r="D5381" s="395" t="s">
        <v>0</v>
      </c>
      <c r="E5381" s="407">
        <f t="shared" si="168"/>
        <v>22.58</v>
      </c>
      <c r="F5381">
        <f t="shared" si="169"/>
        <v>96560</v>
      </c>
      <c r="H5381" s="680">
        <v>22.58</v>
      </c>
      <c r="I5381" s="680">
        <v>23.01</v>
      </c>
    </row>
    <row r="5382" spans="2:9" ht="30">
      <c r="B5382" s="396">
        <v>96561</v>
      </c>
      <c r="C5382" s="401" t="s">
        <v>4042</v>
      </c>
      <c r="D5382" s="396" t="s">
        <v>0</v>
      </c>
      <c r="E5382" s="405">
        <f t="shared" si="168"/>
        <v>16.59</v>
      </c>
      <c r="F5382">
        <f t="shared" si="169"/>
        <v>96561</v>
      </c>
      <c r="H5382" s="679">
        <v>16.59</v>
      </c>
      <c r="I5382" s="679">
        <v>16.829999999999998</v>
      </c>
    </row>
    <row r="5383" spans="2:9" ht="30">
      <c r="B5383" s="395">
        <v>96562</v>
      </c>
      <c r="C5383" s="406" t="s">
        <v>4043</v>
      </c>
      <c r="D5383" s="395" t="s">
        <v>22</v>
      </c>
      <c r="E5383" s="407">
        <f t="shared" si="168"/>
        <v>20.97</v>
      </c>
      <c r="F5383">
        <f t="shared" si="169"/>
        <v>96562</v>
      </c>
      <c r="H5383" s="680">
        <v>20.97</v>
      </c>
      <c r="I5383" s="680">
        <v>21.43</v>
      </c>
    </row>
    <row r="5384" spans="2:9" ht="30">
      <c r="B5384" s="396">
        <v>96563</v>
      </c>
      <c r="C5384" s="401" t="s">
        <v>5975</v>
      </c>
      <c r="D5384" s="396" t="s">
        <v>22</v>
      </c>
      <c r="E5384" s="405">
        <f t="shared" si="168"/>
        <v>26.45</v>
      </c>
      <c r="F5384">
        <f t="shared" si="169"/>
        <v>96563</v>
      </c>
      <c r="H5384" s="679">
        <v>26.45</v>
      </c>
      <c r="I5384" s="679">
        <v>26.91</v>
      </c>
    </row>
    <row r="5385" spans="2:9">
      <c r="B5385" s="395">
        <v>100128</v>
      </c>
      <c r="C5385" s="406" t="s">
        <v>8472</v>
      </c>
      <c r="D5385" s="395" t="s">
        <v>23</v>
      </c>
      <c r="E5385" s="407">
        <f t="shared" si="168"/>
        <v>1908.74</v>
      </c>
      <c r="F5385">
        <f t="shared" si="169"/>
        <v>100128</v>
      </c>
      <c r="H5385" s="680">
        <v>1908.74</v>
      </c>
      <c r="I5385" s="680">
        <v>1911.54</v>
      </c>
    </row>
    <row r="5386" spans="2:9" ht="30">
      <c r="B5386" s="396">
        <v>101802</v>
      </c>
      <c r="C5386" s="401" t="s">
        <v>5374</v>
      </c>
      <c r="D5386" s="396" t="s">
        <v>23</v>
      </c>
      <c r="E5386" s="405">
        <f t="shared" si="168"/>
        <v>1672.67</v>
      </c>
      <c r="F5386">
        <f t="shared" si="169"/>
        <v>101802</v>
      </c>
      <c r="H5386" s="679">
        <v>1672.67</v>
      </c>
      <c r="I5386" s="679">
        <v>1739.99</v>
      </c>
    </row>
    <row r="5387" spans="2:9" ht="30">
      <c r="B5387" s="395">
        <v>101803</v>
      </c>
      <c r="C5387" s="406" t="s">
        <v>5375</v>
      </c>
      <c r="D5387" s="395" t="s">
        <v>23</v>
      </c>
      <c r="E5387" s="407">
        <f t="shared" si="168"/>
        <v>1049.49</v>
      </c>
      <c r="F5387">
        <f t="shared" si="169"/>
        <v>101803</v>
      </c>
      <c r="H5387" s="680">
        <v>1049.49</v>
      </c>
      <c r="I5387" s="680">
        <v>1096.3900000000001</v>
      </c>
    </row>
    <row r="5388" spans="2:9" ht="30">
      <c r="B5388" s="396">
        <v>101804</v>
      </c>
      <c r="C5388" s="401" t="s">
        <v>5376</v>
      </c>
      <c r="D5388" s="396" t="s">
        <v>23</v>
      </c>
      <c r="E5388" s="405">
        <f t="shared" si="168"/>
        <v>1336.75</v>
      </c>
      <c r="F5388">
        <f t="shared" si="169"/>
        <v>101804</v>
      </c>
      <c r="H5388" s="679">
        <v>1336.75</v>
      </c>
      <c r="I5388" s="679">
        <v>1392</v>
      </c>
    </row>
    <row r="5389" spans="2:9" ht="30">
      <c r="B5389" s="395">
        <v>101805</v>
      </c>
      <c r="C5389" s="406" t="s">
        <v>5377</v>
      </c>
      <c r="D5389" s="395" t="s">
        <v>23</v>
      </c>
      <c r="E5389" s="407">
        <f t="shared" si="168"/>
        <v>1704.13</v>
      </c>
      <c r="F5389">
        <f t="shared" si="169"/>
        <v>101805</v>
      </c>
      <c r="H5389" s="680">
        <v>1704.13</v>
      </c>
      <c r="I5389" s="680">
        <v>1774.54</v>
      </c>
    </row>
    <row r="5390" spans="2:9">
      <c r="B5390" s="396">
        <v>102111</v>
      </c>
      <c r="C5390" s="401" t="s">
        <v>5378</v>
      </c>
      <c r="D5390" s="396" t="s">
        <v>23</v>
      </c>
      <c r="E5390" s="405">
        <f t="shared" si="168"/>
        <v>1026.83</v>
      </c>
      <c r="F5390">
        <f t="shared" si="169"/>
        <v>102111</v>
      </c>
      <c r="H5390" s="679">
        <v>1026.83</v>
      </c>
      <c r="I5390" s="679">
        <v>1039.2</v>
      </c>
    </row>
    <row r="5391" spans="2:9" ht="30">
      <c r="B5391" s="395">
        <v>102112</v>
      </c>
      <c r="C5391" s="406" t="s">
        <v>5379</v>
      </c>
      <c r="D5391" s="395" t="s">
        <v>23</v>
      </c>
      <c r="E5391" s="407">
        <f t="shared" si="168"/>
        <v>115.13</v>
      </c>
      <c r="F5391">
        <f t="shared" si="169"/>
        <v>102112</v>
      </c>
      <c r="H5391" s="680">
        <v>115.13</v>
      </c>
      <c r="I5391" s="680">
        <v>127.5</v>
      </c>
    </row>
    <row r="5392" spans="2:9">
      <c r="B5392" s="396">
        <v>102113</v>
      </c>
      <c r="C5392" s="401" t="s">
        <v>5380</v>
      </c>
      <c r="D5392" s="396" t="s">
        <v>23</v>
      </c>
      <c r="E5392" s="405">
        <f t="shared" si="168"/>
        <v>1654.8</v>
      </c>
      <c r="F5392">
        <f t="shared" si="169"/>
        <v>102113</v>
      </c>
      <c r="H5392" s="679">
        <v>1654.8</v>
      </c>
      <c r="I5392" s="679">
        <v>1667.49</v>
      </c>
    </row>
    <row r="5393" spans="2:9" ht="30">
      <c r="B5393" s="395">
        <v>102114</v>
      </c>
      <c r="C5393" s="406" t="s">
        <v>5381</v>
      </c>
      <c r="D5393" s="395" t="s">
        <v>23</v>
      </c>
      <c r="E5393" s="407">
        <f t="shared" si="168"/>
        <v>117.98</v>
      </c>
      <c r="F5393">
        <f t="shared" si="169"/>
        <v>102114</v>
      </c>
      <c r="H5393" s="680">
        <v>117.98</v>
      </c>
      <c r="I5393" s="680">
        <v>130.66999999999999</v>
      </c>
    </row>
    <row r="5394" spans="2:9">
      <c r="B5394" s="396">
        <v>102115</v>
      </c>
      <c r="C5394" s="401" t="s">
        <v>5382</v>
      </c>
      <c r="D5394" s="396" t="s">
        <v>23</v>
      </c>
      <c r="E5394" s="405">
        <f t="shared" si="168"/>
        <v>2898.32</v>
      </c>
      <c r="F5394">
        <f t="shared" si="169"/>
        <v>102115</v>
      </c>
      <c r="H5394" s="679">
        <v>2898.32</v>
      </c>
      <c r="I5394" s="679">
        <v>2916.42</v>
      </c>
    </row>
    <row r="5395" spans="2:9">
      <c r="B5395" s="395">
        <v>102116</v>
      </c>
      <c r="C5395" s="406" t="s">
        <v>5383</v>
      </c>
      <c r="D5395" s="395" t="s">
        <v>23</v>
      </c>
      <c r="E5395" s="407">
        <f t="shared" si="168"/>
        <v>1768.9</v>
      </c>
      <c r="F5395">
        <f t="shared" si="169"/>
        <v>102116</v>
      </c>
      <c r="H5395" s="680">
        <v>1768.9</v>
      </c>
      <c r="I5395" s="680">
        <v>1782</v>
      </c>
    </row>
    <row r="5396" spans="2:9">
      <c r="B5396" s="396">
        <v>102117</v>
      </c>
      <c r="C5396" s="401" t="s">
        <v>5384</v>
      </c>
      <c r="D5396" s="396" t="s">
        <v>23</v>
      </c>
      <c r="E5396" s="405">
        <f t="shared" si="168"/>
        <v>121.43</v>
      </c>
      <c r="F5396">
        <f t="shared" si="169"/>
        <v>102117</v>
      </c>
      <c r="H5396" s="679">
        <v>121.43</v>
      </c>
      <c r="I5396" s="679">
        <v>134.53</v>
      </c>
    </row>
    <row r="5397" spans="2:9">
      <c r="B5397" s="395">
        <v>102118</v>
      </c>
      <c r="C5397" s="406" t="s">
        <v>5385</v>
      </c>
      <c r="D5397" s="395" t="s">
        <v>23</v>
      </c>
      <c r="E5397" s="407">
        <f t="shared" si="168"/>
        <v>2423.14</v>
      </c>
      <c r="F5397">
        <f t="shared" si="169"/>
        <v>102118</v>
      </c>
      <c r="H5397" s="680">
        <v>2423.14</v>
      </c>
      <c r="I5397" s="680">
        <v>2436.59</v>
      </c>
    </row>
    <row r="5398" spans="2:9" ht="30">
      <c r="B5398" s="396">
        <v>102119</v>
      </c>
      <c r="C5398" s="401" t="s">
        <v>5386</v>
      </c>
      <c r="D5398" s="396" t="s">
        <v>23</v>
      </c>
      <c r="E5398" s="405">
        <f t="shared" si="168"/>
        <v>124.41</v>
      </c>
      <c r="F5398">
        <f t="shared" si="169"/>
        <v>102119</v>
      </c>
      <c r="H5398" s="679">
        <v>124.41</v>
      </c>
      <c r="I5398" s="679">
        <v>137.86000000000001</v>
      </c>
    </row>
    <row r="5399" spans="2:9">
      <c r="B5399" s="395">
        <v>102121</v>
      </c>
      <c r="C5399" s="406" t="s">
        <v>5387</v>
      </c>
      <c r="D5399" s="395" t="s">
        <v>23</v>
      </c>
      <c r="E5399" s="407">
        <f t="shared" si="168"/>
        <v>155.54</v>
      </c>
      <c r="F5399">
        <f t="shared" si="169"/>
        <v>102121</v>
      </c>
      <c r="H5399" s="680">
        <v>155.54</v>
      </c>
      <c r="I5399" s="680">
        <v>172.6</v>
      </c>
    </row>
    <row r="5400" spans="2:9">
      <c r="B5400" s="396">
        <v>102122</v>
      </c>
      <c r="C5400" s="401" t="s">
        <v>5388</v>
      </c>
      <c r="D5400" s="396" t="s">
        <v>23</v>
      </c>
      <c r="E5400" s="405">
        <f t="shared" si="168"/>
        <v>8271.7099999999991</v>
      </c>
      <c r="F5400">
        <f t="shared" si="169"/>
        <v>102122</v>
      </c>
      <c r="H5400" s="679">
        <v>8271.7099999999991</v>
      </c>
      <c r="I5400" s="679">
        <v>8289.81</v>
      </c>
    </row>
    <row r="5401" spans="2:9" ht="30">
      <c r="B5401" s="395">
        <v>102123</v>
      </c>
      <c r="C5401" s="406" t="s">
        <v>5389</v>
      </c>
      <c r="D5401" s="395" t="s">
        <v>23</v>
      </c>
      <c r="E5401" s="407">
        <f t="shared" si="168"/>
        <v>164.4</v>
      </c>
      <c r="F5401">
        <f t="shared" si="169"/>
        <v>102123</v>
      </c>
      <c r="H5401" s="680">
        <v>164.4</v>
      </c>
      <c r="I5401" s="680">
        <v>182.5</v>
      </c>
    </row>
    <row r="5402" spans="2:9">
      <c r="B5402" s="396">
        <v>102136</v>
      </c>
      <c r="C5402" s="401" t="s">
        <v>5390</v>
      </c>
      <c r="D5402" s="396" t="s">
        <v>23</v>
      </c>
      <c r="E5402" s="405">
        <f t="shared" si="168"/>
        <v>59.1</v>
      </c>
      <c r="F5402">
        <f t="shared" si="169"/>
        <v>102136</v>
      </c>
      <c r="H5402" s="679">
        <v>59.1</v>
      </c>
      <c r="I5402" s="679">
        <v>65.680000000000007</v>
      </c>
    </row>
    <row r="5403" spans="2:9">
      <c r="B5403" s="395">
        <v>102137</v>
      </c>
      <c r="C5403" s="406" t="s">
        <v>5391</v>
      </c>
      <c r="D5403" s="395" t="s">
        <v>23</v>
      </c>
      <c r="E5403" s="407">
        <f t="shared" si="168"/>
        <v>83.18</v>
      </c>
      <c r="F5403">
        <f t="shared" si="169"/>
        <v>102137</v>
      </c>
      <c r="H5403" s="680">
        <v>83.18</v>
      </c>
      <c r="I5403" s="680">
        <v>86.15</v>
      </c>
    </row>
    <row r="5404" spans="2:9">
      <c r="B5404" s="396">
        <v>102138</v>
      </c>
      <c r="C5404" s="401" t="s">
        <v>5392</v>
      </c>
      <c r="D5404" s="396" t="s">
        <v>23</v>
      </c>
      <c r="E5404" s="405">
        <f t="shared" si="168"/>
        <v>178.83</v>
      </c>
      <c r="F5404">
        <f t="shared" si="169"/>
        <v>102138</v>
      </c>
      <c r="H5404" s="679">
        <v>178.83</v>
      </c>
      <c r="I5404" s="679">
        <v>198.62</v>
      </c>
    </row>
    <row r="5405" spans="2:9" ht="30">
      <c r="B5405" s="395">
        <v>103517</v>
      </c>
      <c r="C5405" s="406" t="s">
        <v>6405</v>
      </c>
      <c r="D5405" s="395" t="s">
        <v>23</v>
      </c>
      <c r="E5405" s="407">
        <f t="shared" si="168"/>
        <v>3280.43</v>
      </c>
      <c r="F5405">
        <f t="shared" si="169"/>
        <v>103517</v>
      </c>
      <c r="H5405" s="680">
        <v>3280.43</v>
      </c>
      <c r="I5405" s="680">
        <v>3290.81</v>
      </c>
    </row>
    <row r="5406" spans="2:9" ht="30">
      <c r="B5406" s="396">
        <v>103519</v>
      </c>
      <c r="C5406" s="401" t="s">
        <v>6406</v>
      </c>
      <c r="D5406" s="396" t="s">
        <v>23</v>
      </c>
      <c r="E5406" s="405">
        <f t="shared" si="168"/>
        <v>11.49</v>
      </c>
      <c r="F5406">
        <f t="shared" si="169"/>
        <v>103519</v>
      </c>
      <c r="H5406" s="679">
        <v>11.49</v>
      </c>
      <c r="I5406" s="679">
        <v>11.92</v>
      </c>
    </row>
    <row r="5407" spans="2:9" ht="30">
      <c r="B5407" s="395">
        <v>103520</v>
      </c>
      <c r="C5407" s="406" t="s">
        <v>6407</v>
      </c>
      <c r="D5407" s="395" t="s">
        <v>23</v>
      </c>
      <c r="E5407" s="407">
        <f t="shared" si="168"/>
        <v>5434.03</v>
      </c>
      <c r="F5407">
        <f t="shared" si="169"/>
        <v>103520</v>
      </c>
      <c r="H5407" s="680">
        <v>5434.03</v>
      </c>
      <c r="I5407" s="680">
        <v>5436.88</v>
      </c>
    </row>
    <row r="5408" spans="2:9" ht="30">
      <c r="B5408" s="396">
        <v>103521</v>
      </c>
      <c r="C5408" s="401" t="s">
        <v>6408</v>
      </c>
      <c r="D5408" s="396" t="s">
        <v>23</v>
      </c>
      <c r="E5408" s="405">
        <f t="shared" si="168"/>
        <v>7214.72</v>
      </c>
      <c r="F5408">
        <f t="shared" si="169"/>
        <v>103521</v>
      </c>
      <c r="H5408" s="679">
        <v>7214.72</v>
      </c>
      <c r="I5408" s="679">
        <v>7218.82</v>
      </c>
    </row>
    <row r="5409" spans="2:9" ht="30">
      <c r="B5409" s="395">
        <v>103522</v>
      </c>
      <c r="C5409" s="406" t="s">
        <v>6409</v>
      </c>
      <c r="D5409" s="395" t="s">
        <v>23</v>
      </c>
      <c r="E5409" s="407">
        <f t="shared" si="168"/>
        <v>7225.04</v>
      </c>
      <c r="F5409">
        <f t="shared" si="169"/>
        <v>103522</v>
      </c>
      <c r="H5409" s="680">
        <v>7225.04</v>
      </c>
      <c r="I5409" s="680">
        <v>7241.1</v>
      </c>
    </row>
    <row r="5410" spans="2:9" ht="30">
      <c r="B5410" s="396">
        <v>103523</v>
      </c>
      <c r="C5410" s="401" t="s">
        <v>6410</v>
      </c>
      <c r="D5410" s="396" t="s">
        <v>23</v>
      </c>
      <c r="E5410" s="405">
        <f t="shared" si="168"/>
        <v>10898.77</v>
      </c>
      <c r="F5410">
        <f t="shared" si="169"/>
        <v>103523</v>
      </c>
      <c r="H5410" s="679">
        <v>10898.77</v>
      </c>
      <c r="I5410" s="679">
        <v>10915.6</v>
      </c>
    </row>
    <row r="5411" spans="2:9">
      <c r="B5411" s="395">
        <v>104031</v>
      </c>
      <c r="C5411" s="406" t="s">
        <v>8473</v>
      </c>
      <c r="D5411" s="395" t="s">
        <v>23</v>
      </c>
      <c r="E5411" s="407">
        <f t="shared" si="168"/>
        <v>17.899999999999999</v>
      </c>
      <c r="F5411">
        <f t="shared" si="169"/>
        <v>104031</v>
      </c>
      <c r="H5411" s="680">
        <v>17.899999999999999</v>
      </c>
      <c r="I5411" s="680">
        <v>18.739999999999998</v>
      </c>
    </row>
    <row r="5412" spans="2:9">
      <c r="B5412" s="396">
        <v>104032</v>
      </c>
      <c r="C5412" s="401" t="s">
        <v>8474</v>
      </c>
      <c r="D5412" s="396" t="s">
        <v>23</v>
      </c>
      <c r="E5412" s="405">
        <f t="shared" si="168"/>
        <v>23.15</v>
      </c>
      <c r="F5412">
        <f t="shared" si="169"/>
        <v>104032</v>
      </c>
      <c r="H5412" s="679">
        <v>23.15</v>
      </c>
      <c r="I5412" s="679">
        <v>24</v>
      </c>
    </row>
    <row r="5413" spans="2:9">
      <c r="B5413" s="395">
        <v>104033</v>
      </c>
      <c r="C5413" s="406" t="s">
        <v>8475</v>
      </c>
      <c r="D5413" s="395" t="s">
        <v>23</v>
      </c>
      <c r="E5413" s="407">
        <f t="shared" si="168"/>
        <v>20.84</v>
      </c>
      <c r="F5413">
        <f t="shared" si="169"/>
        <v>104033</v>
      </c>
      <c r="H5413" s="680">
        <v>20.84</v>
      </c>
      <c r="I5413" s="680">
        <v>21.71</v>
      </c>
    </row>
    <row r="5414" spans="2:9">
      <c r="B5414" s="396">
        <v>104034</v>
      </c>
      <c r="C5414" s="401" t="s">
        <v>8476</v>
      </c>
      <c r="D5414" s="396" t="s">
        <v>23</v>
      </c>
      <c r="E5414" s="405">
        <f t="shared" si="168"/>
        <v>27.94</v>
      </c>
      <c r="F5414">
        <f t="shared" si="169"/>
        <v>104034</v>
      </c>
      <c r="H5414" s="679">
        <v>27.94</v>
      </c>
      <c r="I5414" s="679">
        <v>28.82</v>
      </c>
    </row>
    <row r="5415" spans="2:9">
      <c r="B5415" s="395">
        <v>104035</v>
      </c>
      <c r="C5415" s="406" t="s">
        <v>8477</v>
      </c>
      <c r="D5415" s="395" t="s">
        <v>23</v>
      </c>
      <c r="E5415" s="407">
        <f t="shared" si="168"/>
        <v>34.64</v>
      </c>
      <c r="F5415">
        <f t="shared" si="169"/>
        <v>104035</v>
      </c>
      <c r="H5415" s="680">
        <v>34.64</v>
      </c>
      <c r="I5415" s="680">
        <v>36.5</v>
      </c>
    </row>
    <row r="5416" spans="2:9">
      <c r="B5416" s="396">
        <v>104036</v>
      </c>
      <c r="C5416" s="401" t="s">
        <v>8478</v>
      </c>
      <c r="D5416" s="396" t="s">
        <v>23</v>
      </c>
      <c r="E5416" s="405">
        <f t="shared" si="168"/>
        <v>35.71</v>
      </c>
      <c r="F5416">
        <f t="shared" si="169"/>
        <v>104036</v>
      </c>
      <c r="H5416" s="679">
        <v>35.71</v>
      </c>
      <c r="I5416" s="679">
        <v>37.65</v>
      </c>
    </row>
    <row r="5417" spans="2:9">
      <c r="B5417" s="395">
        <v>104039</v>
      </c>
      <c r="C5417" s="406" t="s">
        <v>8479</v>
      </c>
      <c r="D5417" s="395" t="s">
        <v>23</v>
      </c>
      <c r="E5417" s="407">
        <f t="shared" si="168"/>
        <v>73.08</v>
      </c>
      <c r="F5417">
        <f t="shared" si="169"/>
        <v>104039</v>
      </c>
      <c r="H5417" s="680">
        <v>73.08</v>
      </c>
      <c r="I5417" s="680">
        <v>74.930000000000007</v>
      </c>
    </row>
    <row r="5418" spans="2:9">
      <c r="B5418" s="396">
        <v>104043</v>
      </c>
      <c r="C5418" s="401" t="s">
        <v>8480</v>
      </c>
      <c r="D5418" s="396" t="s">
        <v>23</v>
      </c>
      <c r="E5418" s="405">
        <f t="shared" si="168"/>
        <v>7.86</v>
      </c>
      <c r="F5418">
        <f t="shared" si="169"/>
        <v>104043</v>
      </c>
      <c r="H5418" s="679">
        <v>7.86</v>
      </c>
      <c r="I5418" s="679">
        <v>8.23</v>
      </c>
    </row>
    <row r="5419" spans="2:9">
      <c r="B5419" s="395">
        <v>104044</v>
      </c>
      <c r="C5419" s="406" t="s">
        <v>8481</v>
      </c>
      <c r="D5419" s="395" t="s">
        <v>23</v>
      </c>
      <c r="E5419" s="407">
        <f t="shared" si="168"/>
        <v>8.2200000000000006</v>
      </c>
      <c r="F5419">
        <f t="shared" si="169"/>
        <v>104044</v>
      </c>
      <c r="H5419" s="680">
        <v>8.2200000000000006</v>
      </c>
      <c r="I5419" s="680">
        <v>8.65</v>
      </c>
    </row>
    <row r="5420" spans="2:9">
      <c r="B5420" s="396">
        <v>104045</v>
      </c>
      <c r="C5420" s="401" t="s">
        <v>8482</v>
      </c>
      <c r="D5420" s="396" t="s">
        <v>23</v>
      </c>
      <c r="E5420" s="405">
        <f t="shared" si="168"/>
        <v>13.51</v>
      </c>
      <c r="F5420">
        <f t="shared" si="169"/>
        <v>104045</v>
      </c>
      <c r="H5420" s="679">
        <v>13.51</v>
      </c>
      <c r="I5420" s="679">
        <v>14.01</v>
      </c>
    </row>
    <row r="5421" spans="2:9" ht="30">
      <c r="B5421" s="395">
        <v>104046</v>
      </c>
      <c r="C5421" s="406" t="s">
        <v>8483</v>
      </c>
      <c r="D5421" s="395" t="s">
        <v>23</v>
      </c>
      <c r="E5421" s="407">
        <f t="shared" si="168"/>
        <v>7.45</v>
      </c>
      <c r="F5421">
        <f t="shared" si="169"/>
        <v>104046</v>
      </c>
      <c r="H5421" s="680">
        <v>7.45</v>
      </c>
      <c r="I5421" s="680">
        <v>7.82</v>
      </c>
    </row>
    <row r="5422" spans="2:9" ht="30">
      <c r="B5422" s="396">
        <v>104047</v>
      </c>
      <c r="C5422" s="401" t="s">
        <v>8484</v>
      </c>
      <c r="D5422" s="396" t="s">
        <v>23</v>
      </c>
      <c r="E5422" s="405">
        <f t="shared" si="168"/>
        <v>8.6300000000000008</v>
      </c>
      <c r="F5422">
        <f t="shared" si="169"/>
        <v>104047</v>
      </c>
      <c r="H5422" s="679">
        <v>8.6300000000000008</v>
      </c>
      <c r="I5422" s="679">
        <v>9.06</v>
      </c>
    </row>
    <row r="5423" spans="2:9" ht="30">
      <c r="B5423" s="395">
        <v>104048</v>
      </c>
      <c r="C5423" s="406" t="s">
        <v>8485</v>
      </c>
      <c r="D5423" s="395" t="s">
        <v>23</v>
      </c>
      <c r="E5423" s="407">
        <f t="shared" si="168"/>
        <v>13.15</v>
      </c>
      <c r="F5423">
        <f t="shared" si="169"/>
        <v>104048</v>
      </c>
      <c r="H5423" s="680">
        <v>13.15</v>
      </c>
      <c r="I5423" s="680">
        <v>13.65</v>
      </c>
    </row>
    <row r="5424" spans="2:9">
      <c r="B5424" s="396">
        <v>104049</v>
      </c>
      <c r="C5424" s="401" t="s">
        <v>8486</v>
      </c>
      <c r="D5424" s="396" t="s">
        <v>23</v>
      </c>
      <c r="E5424" s="405">
        <f t="shared" si="168"/>
        <v>4.93</v>
      </c>
      <c r="F5424">
        <f t="shared" si="169"/>
        <v>104049</v>
      </c>
      <c r="H5424" s="679">
        <v>4.93</v>
      </c>
      <c r="I5424" s="679">
        <v>5.35</v>
      </c>
    </row>
    <row r="5425" spans="2:9">
      <c r="B5425" s="395">
        <v>104050</v>
      </c>
      <c r="C5425" s="406" t="s">
        <v>8487</v>
      </c>
      <c r="D5425" s="395" t="s">
        <v>23</v>
      </c>
      <c r="E5425" s="407">
        <f t="shared" si="168"/>
        <v>7.73</v>
      </c>
      <c r="F5425">
        <f t="shared" si="169"/>
        <v>104050</v>
      </c>
      <c r="H5425" s="680">
        <v>7.73</v>
      </c>
      <c r="I5425" s="680">
        <v>8.2899999999999991</v>
      </c>
    </row>
    <row r="5426" spans="2:9">
      <c r="B5426" s="396">
        <v>104051</v>
      </c>
      <c r="C5426" s="401" t="s">
        <v>8488</v>
      </c>
      <c r="D5426" s="396" t="s">
        <v>23</v>
      </c>
      <c r="E5426" s="405">
        <f t="shared" si="168"/>
        <v>6.94</v>
      </c>
      <c r="F5426">
        <f t="shared" si="169"/>
        <v>104051</v>
      </c>
      <c r="H5426" s="679">
        <v>6.94</v>
      </c>
      <c r="I5426" s="679">
        <v>7.29</v>
      </c>
    </row>
    <row r="5427" spans="2:9">
      <c r="B5427" s="395">
        <v>104052</v>
      </c>
      <c r="C5427" s="406" t="s">
        <v>8489</v>
      </c>
      <c r="D5427" s="395" t="s">
        <v>23</v>
      </c>
      <c r="E5427" s="407">
        <f t="shared" si="168"/>
        <v>9.7799999999999994</v>
      </c>
      <c r="F5427">
        <f t="shared" si="169"/>
        <v>104052</v>
      </c>
      <c r="H5427" s="680">
        <v>9.7799999999999994</v>
      </c>
      <c r="I5427" s="680">
        <v>10.25</v>
      </c>
    </row>
    <row r="5428" spans="2:9">
      <c r="B5428" s="396">
        <v>104053</v>
      </c>
      <c r="C5428" s="401" t="s">
        <v>8490</v>
      </c>
      <c r="D5428" s="396" t="s">
        <v>23</v>
      </c>
      <c r="E5428" s="405">
        <f t="shared" si="168"/>
        <v>8.2899999999999991</v>
      </c>
      <c r="F5428">
        <f t="shared" si="169"/>
        <v>104053</v>
      </c>
      <c r="H5428" s="679">
        <v>8.2899999999999991</v>
      </c>
      <c r="I5428" s="679">
        <v>8.64</v>
      </c>
    </row>
    <row r="5429" spans="2:9">
      <c r="B5429" s="395">
        <v>104054</v>
      </c>
      <c r="C5429" s="406" t="s">
        <v>8491</v>
      </c>
      <c r="D5429" s="395" t="s">
        <v>23</v>
      </c>
      <c r="E5429" s="407">
        <f t="shared" si="168"/>
        <v>17.190000000000001</v>
      </c>
      <c r="F5429">
        <f t="shared" si="169"/>
        <v>104054</v>
      </c>
      <c r="H5429" s="680">
        <v>17.190000000000001</v>
      </c>
      <c r="I5429" s="680">
        <v>17.66</v>
      </c>
    </row>
    <row r="5430" spans="2:9">
      <c r="B5430" s="396">
        <v>104055</v>
      </c>
      <c r="C5430" s="401" t="s">
        <v>8492</v>
      </c>
      <c r="D5430" s="396" t="s">
        <v>23</v>
      </c>
      <c r="E5430" s="405">
        <f t="shared" si="168"/>
        <v>13.57</v>
      </c>
      <c r="F5430">
        <f t="shared" si="169"/>
        <v>104055</v>
      </c>
      <c r="H5430" s="679">
        <v>13.57</v>
      </c>
      <c r="I5430" s="679">
        <v>13.92</v>
      </c>
    </row>
    <row r="5431" spans="2:9">
      <c r="B5431" s="395">
        <v>104056</v>
      </c>
      <c r="C5431" s="406" t="s">
        <v>8493</v>
      </c>
      <c r="D5431" s="395" t="s">
        <v>23</v>
      </c>
      <c r="E5431" s="407">
        <f t="shared" si="168"/>
        <v>20.58</v>
      </c>
      <c r="F5431">
        <f t="shared" si="169"/>
        <v>104056</v>
      </c>
      <c r="H5431" s="680">
        <v>20.58</v>
      </c>
      <c r="I5431" s="680">
        <v>20.98</v>
      </c>
    </row>
    <row r="5432" spans="2:9">
      <c r="B5432" s="396">
        <v>104058</v>
      </c>
      <c r="C5432" s="401" t="s">
        <v>8494</v>
      </c>
      <c r="D5432" s="396" t="s">
        <v>23</v>
      </c>
      <c r="E5432" s="405">
        <f t="shared" si="168"/>
        <v>5.86</v>
      </c>
      <c r="F5432">
        <f t="shared" si="169"/>
        <v>104058</v>
      </c>
      <c r="H5432" s="679">
        <v>5.86</v>
      </c>
      <c r="I5432" s="679">
        <v>6.31</v>
      </c>
    </row>
    <row r="5433" spans="2:9">
      <c r="B5433" s="395">
        <v>104059</v>
      </c>
      <c r="C5433" s="406" t="s">
        <v>8495</v>
      </c>
      <c r="D5433" s="395" t="s">
        <v>23</v>
      </c>
      <c r="E5433" s="407">
        <f t="shared" si="168"/>
        <v>10.52</v>
      </c>
      <c r="F5433">
        <f t="shared" si="169"/>
        <v>104059</v>
      </c>
      <c r="H5433" s="680">
        <v>10.52</v>
      </c>
      <c r="I5433" s="680">
        <v>11.05</v>
      </c>
    </row>
    <row r="5434" spans="2:9">
      <c r="B5434" s="396">
        <v>104060</v>
      </c>
      <c r="C5434" s="401" t="s">
        <v>8496</v>
      </c>
      <c r="D5434" s="396" t="s">
        <v>22</v>
      </c>
      <c r="E5434" s="405">
        <f t="shared" si="168"/>
        <v>8.48</v>
      </c>
      <c r="F5434">
        <f t="shared" si="169"/>
        <v>104060</v>
      </c>
      <c r="H5434" s="679">
        <v>8.48</v>
      </c>
      <c r="I5434" s="679">
        <v>8.7899999999999991</v>
      </c>
    </row>
    <row r="5435" spans="2:9">
      <c r="B5435" s="395">
        <v>104061</v>
      </c>
      <c r="C5435" s="406" t="s">
        <v>8497</v>
      </c>
      <c r="D5435" s="395" t="s">
        <v>22</v>
      </c>
      <c r="E5435" s="407">
        <f t="shared" si="168"/>
        <v>15.49</v>
      </c>
      <c r="F5435">
        <f t="shared" si="169"/>
        <v>104061</v>
      </c>
      <c r="H5435" s="680">
        <v>15.49</v>
      </c>
      <c r="I5435" s="680">
        <v>15.97</v>
      </c>
    </row>
    <row r="5436" spans="2:9" ht="45">
      <c r="B5436" s="396">
        <v>104112</v>
      </c>
      <c r="C5436" s="401" t="s">
        <v>8498</v>
      </c>
      <c r="D5436" s="396" t="s">
        <v>23</v>
      </c>
      <c r="E5436" s="405">
        <f t="shared" si="168"/>
        <v>137.24</v>
      </c>
      <c r="F5436">
        <f t="shared" si="169"/>
        <v>104112</v>
      </c>
      <c r="H5436" s="679">
        <v>137.24</v>
      </c>
      <c r="I5436" s="679">
        <v>144.22</v>
      </c>
    </row>
    <row r="5437" spans="2:9" ht="45">
      <c r="B5437" s="395">
        <v>104114</v>
      </c>
      <c r="C5437" s="406" t="s">
        <v>8499</v>
      </c>
      <c r="D5437" s="395" t="s">
        <v>23</v>
      </c>
      <c r="E5437" s="407">
        <f t="shared" si="168"/>
        <v>205.38</v>
      </c>
      <c r="F5437">
        <f t="shared" si="169"/>
        <v>104114</v>
      </c>
      <c r="H5437" s="680">
        <v>205.38</v>
      </c>
      <c r="I5437" s="680">
        <v>216.03</v>
      </c>
    </row>
    <row r="5438" spans="2:9" ht="45">
      <c r="B5438" s="396">
        <v>104116</v>
      </c>
      <c r="C5438" s="401" t="s">
        <v>8500</v>
      </c>
      <c r="D5438" s="396" t="s">
        <v>23</v>
      </c>
      <c r="E5438" s="405">
        <f t="shared" si="168"/>
        <v>273.54000000000002</v>
      </c>
      <c r="F5438">
        <f t="shared" si="169"/>
        <v>104116</v>
      </c>
      <c r="H5438" s="679">
        <v>273.54000000000002</v>
      </c>
      <c r="I5438" s="679">
        <v>287.83</v>
      </c>
    </row>
    <row r="5439" spans="2:9" ht="45">
      <c r="B5439" s="395">
        <v>104118</v>
      </c>
      <c r="C5439" s="406" t="s">
        <v>8501</v>
      </c>
      <c r="D5439" s="395" t="s">
        <v>23</v>
      </c>
      <c r="E5439" s="407">
        <f t="shared" si="168"/>
        <v>218.14</v>
      </c>
      <c r="F5439">
        <f t="shared" si="169"/>
        <v>104118</v>
      </c>
      <c r="H5439" s="680">
        <v>218.14</v>
      </c>
      <c r="I5439" s="680">
        <v>235.39</v>
      </c>
    </row>
    <row r="5440" spans="2:9" ht="45">
      <c r="B5440" s="396">
        <v>104120</v>
      </c>
      <c r="C5440" s="401" t="s">
        <v>8502</v>
      </c>
      <c r="D5440" s="396" t="s">
        <v>23</v>
      </c>
      <c r="E5440" s="405">
        <f t="shared" si="168"/>
        <v>342.47</v>
      </c>
      <c r="F5440">
        <f t="shared" si="169"/>
        <v>104120</v>
      </c>
      <c r="H5440" s="679">
        <v>342.47</v>
      </c>
      <c r="I5440" s="679">
        <v>370.57</v>
      </c>
    </row>
    <row r="5441" spans="2:9" ht="45">
      <c r="B5441" s="395">
        <v>104122</v>
      </c>
      <c r="C5441" s="406" t="s">
        <v>8503</v>
      </c>
      <c r="D5441" s="395" t="s">
        <v>23</v>
      </c>
      <c r="E5441" s="407">
        <f t="shared" si="168"/>
        <v>466.81</v>
      </c>
      <c r="F5441">
        <f t="shared" si="169"/>
        <v>104122</v>
      </c>
      <c r="H5441" s="680">
        <v>466.81</v>
      </c>
      <c r="I5441" s="680">
        <v>505.74</v>
      </c>
    </row>
    <row r="5442" spans="2:9">
      <c r="B5442" s="396">
        <v>104062</v>
      </c>
      <c r="C5442" s="401" t="s">
        <v>8504</v>
      </c>
      <c r="D5442" s="396" t="s">
        <v>23</v>
      </c>
      <c r="E5442" s="405">
        <f t="shared" si="168"/>
        <v>84.3</v>
      </c>
      <c r="F5442">
        <f t="shared" si="169"/>
        <v>104062</v>
      </c>
      <c r="H5442" s="679">
        <v>84.3</v>
      </c>
      <c r="I5442" s="679">
        <v>84.99</v>
      </c>
    </row>
    <row r="5443" spans="2:9">
      <c r="B5443" s="395">
        <v>104063</v>
      </c>
      <c r="C5443" s="406" t="s">
        <v>8505</v>
      </c>
      <c r="D5443" s="395" t="s">
        <v>23</v>
      </c>
      <c r="E5443" s="407">
        <f t="shared" ref="E5443:E5506" si="170">IF($K$2=$H$1,H5443,I5443)</f>
        <v>79.97</v>
      </c>
      <c r="F5443">
        <f t="shared" ref="F5443:F5506" si="171">IF(LEN($B5443)=7,CONCATENATE(MID($B5443,1,6),"00",RIGHT($B5443,1)),IF(LEN($B5443)=8,CONCATENATE(MID($B5443,1,6),"0",RIGHT($B5443,2)),$B5443))</f>
        <v>104063</v>
      </c>
      <c r="H5443" s="680">
        <v>79.97</v>
      </c>
      <c r="I5443" s="680">
        <v>80.66</v>
      </c>
    </row>
    <row r="5444" spans="2:9">
      <c r="B5444" s="396">
        <v>104064</v>
      </c>
      <c r="C5444" s="401" t="s">
        <v>8506</v>
      </c>
      <c r="D5444" s="396" t="s">
        <v>23</v>
      </c>
      <c r="E5444" s="405">
        <f t="shared" si="170"/>
        <v>210.25</v>
      </c>
      <c r="F5444">
        <f t="shared" si="171"/>
        <v>104064</v>
      </c>
      <c r="H5444" s="679">
        <v>210.25</v>
      </c>
      <c r="I5444" s="679">
        <v>210.98</v>
      </c>
    </row>
    <row r="5445" spans="2:9">
      <c r="B5445" s="395">
        <v>104065</v>
      </c>
      <c r="C5445" s="406" t="s">
        <v>8507</v>
      </c>
      <c r="D5445" s="395" t="s">
        <v>23</v>
      </c>
      <c r="E5445" s="407">
        <f t="shared" si="170"/>
        <v>177.66</v>
      </c>
      <c r="F5445">
        <f t="shared" si="171"/>
        <v>104065</v>
      </c>
      <c r="H5445" s="680">
        <v>177.66</v>
      </c>
      <c r="I5445" s="680">
        <v>178.39</v>
      </c>
    </row>
    <row r="5446" spans="2:9">
      <c r="B5446" s="396">
        <v>104072</v>
      </c>
      <c r="C5446" s="401" t="s">
        <v>8508</v>
      </c>
      <c r="D5446" s="396" t="s">
        <v>23</v>
      </c>
      <c r="E5446" s="405">
        <f t="shared" si="170"/>
        <v>330.81</v>
      </c>
      <c r="F5446">
        <f t="shared" si="171"/>
        <v>104072</v>
      </c>
      <c r="H5446" s="679">
        <v>330.81</v>
      </c>
      <c r="I5446" s="679">
        <v>331.93</v>
      </c>
    </row>
    <row r="5447" spans="2:9">
      <c r="B5447" s="395">
        <v>104076</v>
      </c>
      <c r="C5447" s="406" t="s">
        <v>8509</v>
      </c>
      <c r="D5447" s="395" t="s">
        <v>23</v>
      </c>
      <c r="E5447" s="407">
        <f t="shared" si="170"/>
        <v>50.1</v>
      </c>
      <c r="F5447">
        <f t="shared" si="171"/>
        <v>104076</v>
      </c>
      <c r="H5447" s="680">
        <v>50.1</v>
      </c>
      <c r="I5447" s="680">
        <v>51.18</v>
      </c>
    </row>
    <row r="5448" spans="2:9">
      <c r="B5448" s="396">
        <v>104082</v>
      </c>
      <c r="C5448" s="401" t="s">
        <v>8510</v>
      </c>
      <c r="D5448" s="396" t="s">
        <v>23</v>
      </c>
      <c r="E5448" s="405">
        <f t="shared" si="170"/>
        <v>34.61</v>
      </c>
      <c r="F5448">
        <f t="shared" si="171"/>
        <v>104082</v>
      </c>
      <c r="H5448" s="679">
        <v>34.61</v>
      </c>
      <c r="I5448" s="679">
        <v>34.950000000000003</v>
      </c>
    </row>
    <row r="5449" spans="2:9">
      <c r="B5449" s="395">
        <v>104083</v>
      </c>
      <c r="C5449" s="406" t="s">
        <v>8511</v>
      </c>
      <c r="D5449" s="395" t="s">
        <v>23</v>
      </c>
      <c r="E5449" s="407">
        <f t="shared" si="170"/>
        <v>86.39</v>
      </c>
      <c r="F5449">
        <f t="shared" si="171"/>
        <v>104083</v>
      </c>
      <c r="H5449" s="680">
        <v>86.39</v>
      </c>
      <c r="I5449" s="680">
        <v>86.76</v>
      </c>
    </row>
    <row r="5450" spans="2:9">
      <c r="B5450" s="396">
        <v>104084</v>
      </c>
      <c r="C5450" s="401" t="s">
        <v>8512</v>
      </c>
      <c r="D5450" s="396" t="s">
        <v>23</v>
      </c>
      <c r="E5450" s="405">
        <f t="shared" si="170"/>
        <v>98.68</v>
      </c>
      <c r="F5450">
        <f t="shared" si="171"/>
        <v>104084</v>
      </c>
      <c r="H5450" s="679">
        <v>98.68</v>
      </c>
      <c r="I5450" s="679">
        <v>99.05</v>
      </c>
    </row>
    <row r="5451" spans="2:9">
      <c r="B5451" s="395">
        <v>104085</v>
      </c>
      <c r="C5451" s="406" t="s">
        <v>8513</v>
      </c>
      <c r="D5451" s="395" t="s">
        <v>22</v>
      </c>
      <c r="E5451" s="407">
        <f t="shared" si="170"/>
        <v>60.89</v>
      </c>
      <c r="F5451">
        <f t="shared" si="171"/>
        <v>104085</v>
      </c>
      <c r="H5451" s="680">
        <v>60.89</v>
      </c>
      <c r="I5451" s="680">
        <v>61.83</v>
      </c>
    </row>
    <row r="5452" spans="2:9">
      <c r="B5452" s="396">
        <v>104086</v>
      </c>
      <c r="C5452" s="401" t="s">
        <v>8514</v>
      </c>
      <c r="D5452" s="396" t="s">
        <v>22</v>
      </c>
      <c r="E5452" s="405">
        <f t="shared" si="170"/>
        <v>112.02</v>
      </c>
      <c r="F5452">
        <f t="shared" si="171"/>
        <v>104086</v>
      </c>
      <c r="H5452" s="679">
        <v>112.02</v>
      </c>
      <c r="I5452" s="679">
        <v>113.08</v>
      </c>
    </row>
    <row r="5453" spans="2:9" ht="45">
      <c r="B5453" s="395">
        <v>104124</v>
      </c>
      <c r="C5453" s="406" t="s">
        <v>8515</v>
      </c>
      <c r="D5453" s="395" t="s">
        <v>23</v>
      </c>
      <c r="E5453" s="407">
        <f t="shared" si="170"/>
        <v>362.74</v>
      </c>
      <c r="F5453">
        <f t="shared" si="171"/>
        <v>104124</v>
      </c>
      <c r="H5453" s="680">
        <v>362.74</v>
      </c>
      <c r="I5453" s="680">
        <v>372.77</v>
      </c>
    </row>
    <row r="5454" spans="2:9" ht="45">
      <c r="B5454" s="396">
        <v>104130</v>
      </c>
      <c r="C5454" s="401" t="s">
        <v>8516</v>
      </c>
      <c r="D5454" s="396" t="s">
        <v>23</v>
      </c>
      <c r="E5454" s="405">
        <f t="shared" si="170"/>
        <v>551.14</v>
      </c>
      <c r="F5454">
        <f t="shared" si="171"/>
        <v>104130</v>
      </c>
      <c r="H5454" s="679">
        <v>551.14</v>
      </c>
      <c r="I5454" s="679">
        <v>567.22</v>
      </c>
    </row>
    <row r="5455" spans="2:9" ht="45">
      <c r="B5455" s="395">
        <v>104136</v>
      </c>
      <c r="C5455" s="406" t="s">
        <v>8517</v>
      </c>
      <c r="D5455" s="395" t="s">
        <v>23</v>
      </c>
      <c r="E5455" s="407">
        <f t="shared" si="170"/>
        <v>740.55</v>
      </c>
      <c r="F5455">
        <f t="shared" si="171"/>
        <v>104136</v>
      </c>
      <c r="H5455" s="680">
        <v>740.55</v>
      </c>
      <c r="I5455" s="680">
        <v>762.75</v>
      </c>
    </row>
    <row r="5456" spans="2:9" ht="45">
      <c r="B5456" s="396">
        <v>104142</v>
      </c>
      <c r="C5456" s="401" t="s">
        <v>8518</v>
      </c>
      <c r="D5456" s="396" t="s">
        <v>23</v>
      </c>
      <c r="E5456" s="405">
        <f t="shared" si="170"/>
        <v>481.12</v>
      </c>
      <c r="F5456">
        <f t="shared" si="171"/>
        <v>104142</v>
      </c>
      <c r="H5456" s="679">
        <v>481.12</v>
      </c>
      <c r="I5456" s="679">
        <v>506.1</v>
      </c>
    </row>
    <row r="5457" spans="2:9" ht="45">
      <c r="B5457" s="395">
        <v>104148</v>
      </c>
      <c r="C5457" s="406" t="s">
        <v>8519</v>
      </c>
      <c r="D5457" s="395" t="s">
        <v>23</v>
      </c>
      <c r="E5457" s="407">
        <f t="shared" si="170"/>
        <v>748.26</v>
      </c>
      <c r="F5457">
        <f t="shared" si="171"/>
        <v>104148</v>
      </c>
      <c r="H5457" s="680">
        <v>748.26</v>
      </c>
      <c r="I5457" s="680">
        <v>789.29</v>
      </c>
    </row>
    <row r="5458" spans="2:9" ht="45">
      <c r="B5458" s="396">
        <v>104154</v>
      </c>
      <c r="C5458" s="401" t="s">
        <v>8520</v>
      </c>
      <c r="D5458" s="396" t="s">
        <v>23</v>
      </c>
      <c r="E5458" s="405">
        <f t="shared" si="170"/>
        <v>1017.84</v>
      </c>
      <c r="F5458">
        <f t="shared" si="171"/>
        <v>104154</v>
      </c>
      <c r="H5458" s="679">
        <v>1017.84</v>
      </c>
      <c r="I5458" s="679">
        <v>1075.1600000000001</v>
      </c>
    </row>
    <row r="5459" spans="2:9" ht="30">
      <c r="B5459" s="395">
        <v>96520</v>
      </c>
      <c r="C5459" s="406" t="s">
        <v>5976</v>
      </c>
      <c r="D5459" s="395" t="s">
        <v>20</v>
      </c>
      <c r="E5459" s="407">
        <f t="shared" si="170"/>
        <v>89.54</v>
      </c>
      <c r="F5459">
        <f t="shared" si="171"/>
        <v>96520</v>
      </c>
      <c r="H5459" s="680">
        <v>89.54</v>
      </c>
      <c r="I5459" s="680">
        <v>95.45</v>
      </c>
    </row>
    <row r="5460" spans="2:9" ht="30">
      <c r="B5460" s="396">
        <v>96521</v>
      </c>
      <c r="C5460" s="401" t="s">
        <v>5977</v>
      </c>
      <c r="D5460" s="396" t="s">
        <v>20</v>
      </c>
      <c r="E5460" s="405">
        <f t="shared" si="170"/>
        <v>41.07</v>
      </c>
      <c r="F5460">
        <f t="shared" si="171"/>
        <v>96521</v>
      </c>
      <c r="H5460" s="679">
        <v>41.07</v>
      </c>
      <c r="I5460" s="679">
        <v>42.66</v>
      </c>
    </row>
    <row r="5461" spans="2:9">
      <c r="B5461" s="395">
        <v>96522</v>
      </c>
      <c r="C5461" s="406" t="s">
        <v>5978</v>
      </c>
      <c r="D5461" s="395" t="s">
        <v>20</v>
      </c>
      <c r="E5461" s="407">
        <f t="shared" si="170"/>
        <v>123.78</v>
      </c>
      <c r="F5461">
        <f t="shared" si="171"/>
        <v>96522</v>
      </c>
      <c r="H5461" s="680">
        <v>123.78</v>
      </c>
      <c r="I5461" s="680">
        <v>137.43</v>
      </c>
    </row>
    <row r="5462" spans="2:9" ht="30">
      <c r="B5462" s="396">
        <v>96523</v>
      </c>
      <c r="C5462" s="401" t="s">
        <v>5979</v>
      </c>
      <c r="D5462" s="396" t="s">
        <v>20</v>
      </c>
      <c r="E5462" s="405">
        <f t="shared" si="170"/>
        <v>79.13</v>
      </c>
      <c r="F5462">
        <f t="shared" si="171"/>
        <v>96523</v>
      </c>
      <c r="H5462" s="679">
        <v>79.13</v>
      </c>
      <c r="I5462" s="679">
        <v>87.81</v>
      </c>
    </row>
    <row r="5463" spans="2:9" ht="30">
      <c r="B5463" s="395">
        <v>96524</v>
      </c>
      <c r="C5463" s="406" t="s">
        <v>5980</v>
      </c>
      <c r="D5463" s="395" t="s">
        <v>20</v>
      </c>
      <c r="E5463" s="407">
        <f t="shared" si="170"/>
        <v>153.72</v>
      </c>
      <c r="F5463">
        <f t="shared" si="171"/>
        <v>96524</v>
      </c>
      <c r="H5463" s="680">
        <v>153.72</v>
      </c>
      <c r="I5463" s="680">
        <v>167.52</v>
      </c>
    </row>
    <row r="5464" spans="2:9" ht="30">
      <c r="B5464" s="396">
        <v>96525</v>
      </c>
      <c r="C5464" s="401" t="s">
        <v>5981</v>
      </c>
      <c r="D5464" s="396" t="s">
        <v>20</v>
      </c>
      <c r="E5464" s="405">
        <f t="shared" si="170"/>
        <v>36.79</v>
      </c>
      <c r="F5464">
        <f t="shared" si="171"/>
        <v>96525</v>
      </c>
      <c r="H5464" s="679">
        <v>36.79</v>
      </c>
      <c r="I5464" s="679">
        <v>38.25</v>
      </c>
    </row>
    <row r="5465" spans="2:9">
      <c r="B5465" s="395">
        <v>96526</v>
      </c>
      <c r="C5465" s="406" t="s">
        <v>5982</v>
      </c>
      <c r="D5465" s="395" t="s">
        <v>20</v>
      </c>
      <c r="E5465" s="407">
        <f t="shared" si="170"/>
        <v>249.78</v>
      </c>
      <c r="F5465">
        <f t="shared" si="171"/>
        <v>96526</v>
      </c>
      <c r="H5465" s="680">
        <v>249.78</v>
      </c>
      <c r="I5465" s="680">
        <v>277.39</v>
      </c>
    </row>
    <row r="5466" spans="2:9">
      <c r="B5466" s="396">
        <v>96527</v>
      </c>
      <c r="C5466" s="401" t="s">
        <v>5983</v>
      </c>
      <c r="D5466" s="396" t="s">
        <v>20</v>
      </c>
      <c r="E5466" s="405">
        <f t="shared" si="170"/>
        <v>103.92</v>
      </c>
      <c r="F5466">
        <f t="shared" si="171"/>
        <v>96527</v>
      </c>
      <c r="H5466" s="679">
        <v>103.92</v>
      </c>
      <c r="I5466" s="679">
        <v>115.31</v>
      </c>
    </row>
    <row r="5467" spans="2:9" ht="30">
      <c r="B5467" s="395">
        <v>96528</v>
      </c>
      <c r="C5467" s="406" t="s">
        <v>2165</v>
      </c>
      <c r="D5467" s="395" t="s">
        <v>0</v>
      </c>
      <c r="E5467" s="407">
        <f t="shared" si="170"/>
        <v>197.94</v>
      </c>
      <c r="F5467">
        <f t="shared" si="171"/>
        <v>96528</v>
      </c>
      <c r="H5467" s="680">
        <v>197.94</v>
      </c>
      <c r="I5467" s="680">
        <v>204.12</v>
      </c>
    </row>
    <row r="5468" spans="2:9">
      <c r="B5468" s="396">
        <v>101114</v>
      </c>
      <c r="C5468" s="401" t="s">
        <v>4466</v>
      </c>
      <c r="D5468" s="396" t="s">
        <v>20</v>
      </c>
      <c r="E5468" s="405">
        <f t="shared" si="170"/>
        <v>3.63</v>
      </c>
      <c r="F5468">
        <f t="shared" si="171"/>
        <v>101114</v>
      </c>
      <c r="H5468" s="679">
        <v>3.63</v>
      </c>
      <c r="I5468" s="679">
        <v>3.74</v>
      </c>
    </row>
    <row r="5469" spans="2:9">
      <c r="B5469" s="395">
        <v>101115</v>
      </c>
      <c r="C5469" s="406" t="s">
        <v>4467</v>
      </c>
      <c r="D5469" s="395" t="s">
        <v>20</v>
      </c>
      <c r="E5469" s="407">
        <f t="shared" si="170"/>
        <v>3.12</v>
      </c>
      <c r="F5469">
        <f t="shared" si="171"/>
        <v>101115</v>
      </c>
      <c r="H5469" s="680">
        <v>3.12</v>
      </c>
      <c r="I5469" s="680">
        <v>3.2</v>
      </c>
    </row>
    <row r="5470" spans="2:9">
      <c r="B5470" s="396">
        <v>101116</v>
      </c>
      <c r="C5470" s="401" t="s">
        <v>4468</v>
      </c>
      <c r="D5470" s="396" t="s">
        <v>20</v>
      </c>
      <c r="E5470" s="405">
        <f t="shared" si="170"/>
        <v>1.95</v>
      </c>
      <c r="F5470">
        <f t="shared" si="171"/>
        <v>101116</v>
      </c>
      <c r="H5470" s="679">
        <v>1.95</v>
      </c>
      <c r="I5470" s="679">
        <v>2.0099999999999998</v>
      </c>
    </row>
    <row r="5471" spans="2:9">
      <c r="B5471" s="395">
        <v>101117</v>
      </c>
      <c r="C5471" s="406" t="s">
        <v>4469</v>
      </c>
      <c r="D5471" s="395" t="s">
        <v>20</v>
      </c>
      <c r="E5471" s="407">
        <f t="shared" si="170"/>
        <v>2.87</v>
      </c>
      <c r="F5471">
        <f t="shared" si="171"/>
        <v>101117</v>
      </c>
      <c r="H5471" s="680">
        <v>2.87</v>
      </c>
      <c r="I5471" s="680">
        <v>2.89</v>
      </c>
    </row>
    <row r="5472" spans="2:9">
      <c r="B5472" s="396">
        <v>101118</v>
      </c>
      <c r="C5472" s="401" t="s">
        <v>4470</v>
      </c>
      <c r="D5472" s="396" t="s">
        <v>20</v>
      </c>
      <c r="E5472" s="405">
        <f t="shared" si="170"/>
        <v>3.15</v>
      </c>
      <c r="F5472">
        <f t="shared" si="171"/>
        <v>101118</v>
      </c>
      <c r="H5472" s="679">
        <v>3.15</v>
      </c>
      <c r="I5472" s="679">
        <v>3.24</v>
      </c>
    </row>
    <row r="5473" spans="2:9" ht="30">
      <c r="B5473" s="395">
        <v>101119</v>
      </c>
      <c r="C5473" s="406" t="s">
        <v>4471</v>
      </c>
      <c r="D5473" s="395" t="s">
        <v>20</v>
      </c>
      <c r="E5473" s="407">
        <f t="shared" si="170"/>
        <v>6.91</v>
      </c>
      <c r="F5473">
        <f t="shared" si="171"/>
        <v>101119</v>
      </c>
      <c r="H5473" s="680">
        <v>6.91</v>
      </c>
      <c r="I5473" s="680">
        <v>7.14</v>
      </c>
    </row>
    <row r="5474" spans="2:9" ht="30">
      <c r="B5474" s="396">
        <v>101120</v>
      </c>
      <c r="C5474" s="401" t="s">
        <v>4472</v>
      </c>
      <c r="D5474" s="396" t="s">
        <v>20</v>
      </c>
      <c r="E5474" s="405">
        <f t="shared" si="170"/>
        <v>5.97</v>
      </c>
      <c r="F5474">
        <f t="shared" si="171"/>
        <v>101120</v>
      </c>
      <c r="H5474" s="679">
        <v>5.97</v>
      </c>
      <c r="I5474" s="679">
        <v>6.13</v>
      </c>
    </row>
    <row r="5475" spans="2:9" ht="30">
      <c r="B5475" s="395">
        <v>101121</v>
      </c>
      <c r="C5475" s="406" t="s">
        <v>4473</v>
      </c>
      <c r="D5475" s="395" t="s">
        <v>20</v>
      </c>
      <c r="E5475" s="407">
        <f t="shared" si="170"/>
        <v>3.75</v>
      </c>
      <c r="F5475">
        <f t="shared" si="171"/>
        <v>101121</v>
      </c>
      <c r="H5475" s="680">
        <v>3.75</v>
      </c>
      <c r="I5475" s="680">
        <v>3.85</v>
      </c>
    </row>
    <row r="5476" spans="2:9" ht="30">
      <c r="B5476" s="396">
        <v>101122</v>
      </c>
      <c r="C5476" s="401" t="s">
        <v>4474</v>
      </c>
      <c r="D5476" s="396" t="s">
        <v>20</v>
      </c>
      <c r="E5476" s="405">
        <f t="shared" si="170"/>
        <v>5.45</v>
      </c>
      <c r="F5476">
        <f t="shared" si="171"/>
        <v>101122</v>
      </c>
      <c r="H5476" s="679">
        <v>5.45</v>
      </c>
      <c r="I5476" s="679">
        <v>5.51</v>
      </c>
    </row>
    <row r="5477" spans="2:9" ht="30">
      <c r="B5477" s="395">
        <v>101123</v>
      </c>
      <c r="C5477" s="406" t="s">
        <v>4475</v>
      </c>
      <c r="D5477" s="395" t="s">
        <v>20</v>
      </c>
      <c r="E5477" s="407">
        <f t="shared" si="170"/>
        <v>6.03</v>
      </c>
      <c r="F5477">
        <f t="shared" si="171"/>
        <v>101123</v>
      </c>
      <c r="H5477" s="680">
        <v>6.03</v>
      </c>
      <c r="I5477" s="680">
        <v>6.2</v>
      </c>
    </row>
    <row r="5478" spans="2:9" ht="30">
      <c r="B5478" s="396">
        <v>101124</v>
      </c>
      <c r="C5478" s="401" t="s">
        <v>4476</v>
      </c>
      <c r="D5478" s="396" t="s">
        <v>20</v>
      </c>
      <c r="E5478" s="405">
        <f t="shared" si="170"/>
        <v>13.5</v>
      </c>
      <c r="F5478">
        <f t="shared" si="171"/>
        <v>101124</v>
      </c>
      <c r="H5478" s="679">
        <v>13.5</v>
      </c>
      <c r="I5478" s="679">
        <v>13.76</v>
      </c>
    </row>
    <row r="5479" spans="2:9" ht="30">
      <c r="B5479" s="395">
        <v>101125</v>
      </c>
      <c r="C5479" s="406" t="s">
        <v>4477</v>
      </c>
      <c r="D5479" s="395" t="s">
        <v>20</v>
      </c>
      <c r="E5479" s="407">
        <f t="shared" si="170"/>
        <v>12.99</v>
      </c>
      <c r="F5479">
        <f t="shared" si="171"/>
        <v>101125</v>
      </c>
      <c r="H5479" s="680">
        <v>12.99</v>
      </c>
      <c r="I5479" s="680">
        <v>13.22</v>
      </c>
    </row>
    <row r="5480" spans="2:9" ht="30">
      <c r="B5480" s="396">
        <v>101126</v>
      </c>
      <c r="C5480" s="401" t="s">
        <v>4478</v>
      </c>
      <c r="D5480" s="396" t="s">
        <v>20</v>
      </c>
      <c r="E5480" s="405">
        <f t="shared" si="170"/>
        <v>11.82</v>
      </c>
      <c r="F5480">
        <f t="shared" si="171"/>
        <v>101126</v>
      </c>
      <c r="H5480" s="679">
        <v>11.82</v>
      </c>
      <c r="I5480" s="679">
        <v>12.03</v>
      </c>
    </row>
    <row r="5481" spans="2:9" ht="30">
      <c r="B5481" s="395">
        <v>101127</v>
      </c>
      <c r="C5481" s="406" t="s">
        <v>4479</v>
      </c>
      <c r="D5481" s="395" t="s">
        <v>20</v>
      </c>
      <c r="E5481" s="407">
        <f t="shared" si="170"/>
        <v>12.74</v>
      </c>
      <c r="F5481">
        <f t="shared" si="171"/>
        <v>101127</v>
      </c>
      <c r="H5481" s="680">
        <v>12.74</v>
      </c>
      <c r="I5481" s="680">
        <v>12.91</v>
      </c>
    </row>
    <row r="5482" spans="2:9" ht="30">
      <c r="B5482" s="396">
        <v>101128</v>
      </c>
      <c r="C5482" s="401" t="s">
        <v>4480</v>
      </c>
      <c r="D5482" s="396" t="s">
        <v>20</v>
      </c>
      <c r="E5482" s="405">
        <f t="shared" si="170"/>
        <v>13.02</v>
      </c>
      <c r="F5482">
        <f t="shared" si="171"/>
        <v>101128</v>
      </c>
      <c r="H5482" s="679">
        <v>13.02</v>
      </c>
      <c r="I5482" s="679">
        <v>13.26</v>
      </c>
    </row>
    <row r="5483" spans="2:9" ht="30">
      <c r="B5483" s="395">
        <v>101129</v>
      </c>
      <c r="C5483" s="406" t="s">
        <v>4481</v>
      </c>
      <c r="D5483" s="395" t="s">
        <v>20</v>
      </c>
      <c r="E5483" s="407">
        <f t="shared" si="170"/>
        <v>17.18</v>
      </c>
      <c r="F5483">
        <f t="shared" si="171"/>
        <v>101129</v>
      </c>
      <c r="H5483" s="680">
        <v>17.18</v>
      </c>
      <c r="I5483" s="680">
        <v>17.559999999999999</v>
      </c>
    </row>
    <row r="5484" spans="2:9" ht="30">
      <c r="B5484" s="396">
        <v>101130</v>
      </c>
      <c r="C5484" s="401" t="s">
        <v>4482</v>
      </c>
      <c r="D5484" s="396" t="s">
        <v>20</v>
      </c>
      <c r="E5484" s="405">
        <f t="shared" si="170"/>
        <v>16.239999999999998</v>
      </c>
      <c r="F5484">
        <f t="shared" si="171"/>
        <v>101130</v>
      </c>
      <c r="H5484" s="679">
        <v>16.239999999999998</v>
      </c>
      <c r="I5484" s="679">
        <v>16.55</v>
      </c>
    </row>
    <row r="5485" spans="2:9" ht="30">
      <c r="B5485" s="395">
        <v>101131</v>
      </c>
      <c r="C5485" s="406" t="s">
        <v>4483</v>
      </c>
      <c r="D5485" s="395" t="s">
        <v>20</v>
      </c>
      <c r="E5485" s="407">
        <f t="shared" si="170"/>
        <v>14.02</v>
      </c>
      <c r="F5485">
        <f t="shared" si="171"/>
        <v>101131</v>
      </c>
      <c r="H5485" s="680">
        <v>14.02</v>
      </c>
      <c r="I5485" s="680">
        <v>14.27</v>
      </c>
    </row>
    <row r="5486" spans="2:9" ht="30">
      <c r="B5486" s="396">
        <v>101132</v>
      </c>
      <c r="C5486" s="401" t="s">
        <v>4484</v>
      </c>
      <c r="D5486" s="396" t="s">
        <v>20</v>
      </c>
      <c r="E5486" s="405">
        <f t="shared" si="170"/>
        <v>15.72</v>
      </c>
      <c r="F5486">
        <f t="shared" si="171"/>
        <v>101132</v>
      </c>
      <c r="H5486" s="679">
        <v>15.72</v>
      </c>
      <c r="I5486" s="679">
        <v>15.93</v>
      </c>
    </row>
    <row r="5487" spans="2:9" ht="30">
      <c r="B5487" s="395">
        <v>101133</v>
      </c>
      <c r="C5487" s="406" t="s">
        <v>4485</v>
      </c>
      <c r="D5487" s="395" t="s">
        <v>20</v>
      </c>
      <c r="E5487" s="407">
        <f t="shared" si="170"/>
        <v>16.3</v>
      </c>
      <c r="F5487">
        <f t="shared" si="171"/>
        <v>101133</v>
      </c>
      <c r="H5487" s="680">
        <v>16.3</v>
      </c>
      <c r="I5487" s="680">
        <v>16.62</v>
      </c>
    </row>
    <row r="5488" spans="2:9" ht="30">
      <c r="B5488" s="396">
        <v>101134</v>
      </c>
      <c r="C5488" s="401" t="s">
        <v>4486</v>
      </c>
      <c r="D5488" s="396" t="s">
        <v>20</v>
      </c>
      <c r="E5488" s="405">
        <f t="shared" si="170"/>
        <v>14.12</v>
      </c>
      <c r="F5488">
        <f t="shared" si="171"/>
        <v>101134</v>
      </c>
      <c r="H5488" s="679">
        <v>14.12</v>
      </c>
      <c r="I5488" s="679">
        <v>14.39</v>
      </c>
    </row>
    <row r="5489" spans="2:9" ht="30">
      <c r="B5489" s="395">
        <v>101135</v>
      </c>
      <c r="C5489" s="406" t="s">
        <v>4487</v>
      </c>
      <c r="D5489" s="395" t="s">
        <v>20</v>
      </c>
      <c r="E5489" s="407">
        <f t="shared" si="170"/>
        <v>13.61</v>
      </c>
      <c r="F5489">
        <f t="shared" si="171"/>
        <v>101135</v>
      </c>
      <c r="H5489" s="680">
        <v>13.61</v>
      </c>
      <c r="I5489" s="680">
        <v>13.85</v>
      </c>
    </row>
    <row r="5490" spans="2:9" ht="30">
      <c r="B5490" s="396">
        <v>101136</v>
      </c>
      <c r="C5490" s="401" t="s">
        <v>4488</v>
      </c>
      <c r="D5490" s="396" t="s">
        <v>20</v>
      </c>
      <c r="E5490" s="405">
        <f t="shared" si="170"/>
        <v>12.44</v>
      </c>
      <c r="F5490">
        <f t="shared" si="171"/>
        <v>101136</v>
      </c>
      <c r="H5490" s="679">
        <v>12.44</v>
      </c>
      <c r="I5490" s="679">
        <v>12.66</v>
      </c>
    </row>
    <row r="5491" spans="2:9" ht="30">
      <c r="B5491" s="395">
        <v>101137</v>
      </c>
      <c r="C5491" s="406" t="s">
        <v>4489</v>
      </c>
      <c r="D5491" s="395" t="s">
        <v>20</v>
      </c>
      <c r="E5491" s="407">
        <f t="shared" si="170"/>
        <v>13.36</v>
      </c>
      <c r="F5491">
        <f t="shared" si="171"/>
        <v>101137</v>
      </c>
      <c r="H5491" s="680">
        <v>13.36</v>
      </c>
      <c r="I5491" s="680">
        <v>13.54</v>
      </c>
    </row>
    <row r="5492" spans="2:9" ht="30">
      <c r="B5492" s="396">
        <v>101138</v>
      </c>
      <c r="C5492" s="401" t="s">
        <v>4490</v>
      </c>
      <c r="D5492" s="396" t="s">
        <v>20</v>
      </c>
      <c r="E5492" s="405">
        <f t="shared" si="170"/>
        <v>13.64</v>
      </c>
      <c r="F5492">
        <f t="shared" si="171"/>
        <v>101138</v>
      </c>
      <c r="H5492" s="679">
        <v>13.64</v>
      </c>
      <c r="I5492" s="679">
        <v>13.89</v>
      </c>
    </row>
    <row r="5493" spans="2:9" ht="30">
      <c r="B5493" s="395">
        <v>101139</v>
      </c>
      <c r="C5493" s="406" t="s">
        <v>4491</v>
      </c>
      <c r="D5493" s="395" t="s">
        <v>20</v>
      </c>
      <c r="E5493" s="407">
        <f t="shared" si="170"/>
        <v>17.829999999999998</v>
      </c>
      <c r="F5493">
        <f t="shared" si="171"/>
        <v>101139</v>
      </c>
      <c r="H5493" s="680">
        <v>17.829999999999998</v>
      </c>
      <c r="I5493" s="680">
        <v>18.21</v>
      </c>
    </row>
    <row r="5494" spans="2:9" ht="30">
      <c r="B5494" s="396">
        <v>101140</v>
      </c>
      <c r="C5494" s="401" t="s">
        <v>4492</v>
      </c>
      <c r="D5494" s="396" t="s">
        <v>20</v>
      </c>
      <c r="E5494" s="405">
        <f t="shared" si="170"/>
        <v>16.89</v>
      </c>
      <c r="F5494">
        <f t="shared" si="171"/>
        <v>101140</v>
      </c>
      <c r="H5494" s="679">
        <v>16.89</v>
      </c>
      <c r="I5494" s="679">
        <v>17.2</v>
      </c>
    </row>
    <row r="5495" spans="2:9" ht="30">
      <c r="B5495" s="395">
        <v>101141</v>
      </c>
      <c r="C5495" s="406" t="s">
        <v>4493</v>
      </c>
      <c r="D5495" s="395" t="s">
        <v>20</v>
      </c>
      <c r="E5495" s="407">
        <f t="shared" si="170"/>
        <v>14.67</v>
      </c>
      <c r="F5495">
        <f t="shared" si="171"/>
        <v>101141</v>
      </c>
      <c r="H5495" s="680">
        <v>14.67</v>
      </c>
      <c r="I5495" s="680">
        <v>14.92</v>
      </c>
    </row>
    <row r="5496" spans="2:9" ht="30">
      <c r="B5496" s="396">
        <v>101142</v>
      </c>
      <c r="C5496" s="401" t="s">
        <v>4494</v>
      </c>
      <c r="D5496" s="396" t="s">
        <v>20</v>
      </c>
      <c r="E5496" s="405">
        <f t="shared" si="170"/>
        <v>16.37</v>
      </c>
      <c r="F5496">
        <f t="shared" si="171"/>
        <v>101142</v>
      </c>
      <c r="H5496" s="679">
        <v>16.37</v>
      </c>
      <c r="I5496" s="679">
        <v>16.579999999999998</v>
      </c>
    </row>
    <row r="5497" spans="2:9" ht="30">
      <c r="B5497" s="395">
        <v>101143</v>
      </c>
      <c r="C5497" s="406" t="s">
        <v>4495</v>
      </c>
      <c r="D5497" s="395" t="s">
        <v>20</v>
      </c>
      <c r="E5497" s="407">
        <f t="shared" si="170"/>
        <v>16.95</v>
      </c>
      <c r="F5497">
        <f t="shared" si="171"/>
        <v>101143</v>
      </c>
      <c r="H5497" s="680">
        <v>16.95</v>
      </c>
      <c r="I5497" s="680">
        <v>17.27</v>
      </c>
    </row>
    <row r="5498" spans="2:9" ht="30">
      <c r="B5498" s="396">
        <v>101144</v>
      </c>
      <c r="C5498" s="401" t="s">
        <v>4496</v>
      </c>
      <c r="D5498" s="396" t="s">
        <v>20</v>
      </c>
      <c r="E5498" s="405">
        <f t="shared" si="170"/>
        <v>13.71</v>
      </c>
      <c r="F5498">
        <f t="shared" si="171"/>
        <v>101144</v>
      </c>
      <c r="H5498" s="679">
        <v>13.71</v>
      </c>
      <c r="I5498" s="679">
        <v>13.94</v>
      </c>
    </row>
    <row r="5499" spans="2:9" ht="30">
      <c r="B5499" s="395">
        <v>101145</v>
      </c>
      <c r="C5499" s="406" t="s">
        <v>4497</v>
      </c>
      <c r="D5499" s="395" t="s">
        <v>20</v>
      </c>
      <c r="E5499" s="407">
        <f t="shared" si="170"/>
        <v>13.2</v>
      </c>
      <c r="F5499">
        <f t="shared" si="171"/>
        <v>101145</v>
      </c>
      <c r="H5499" s="680">
        <v>13.2</v>
      </c>
      <c r="I5499" s="680">
        <v>13.4</v>
      </c>
    </row>
    <row r="5500" spans="2:9" ht="30">
      <c r="B5500" s="396">
        <v>101146</v>
      </c>
      <c r="C5500" s="401" t="s">
        <v>4498</v>
      </c>
      <c r="D5500" s="396" t="s">
        <v>20</v>
      </c>
      <c r="E5500" s="405">
        <f t="shared" si="170"/>
        <v>12.03</v>
      </c>
      <c r="F5500">
        <f t="shared" si="171"/>
        <v>101146</v>
      </c>
      <c r="H5500" s="679">
        <v>12.03</v>
      </c>
      <c r="I5500" s="679">
        <v>12.21</v>
      </c>
    </row>
    <row r="5501" spans="2:9" ht="30">
      <c r="B5501" s="395">
        <v>101147</v>
      </c>
      <c r="C5501" s="406" t="s">
        <v>4499</v>
      </c>
      <c r="D5501" s="395" t="s">
        <v>20</v>
      </c>
      <c r="E5501" s="407">
        <f t="shared" si="170"/>
        <v>12.95</v>
      </c>
      <c r="F5501">
        <f t="shared" si="171"/>
        <v>101147</v>
      </c>
      <c r="H5501" s="680">
        <v>12.95</v>
      </c>
      <c r="I5501" s="680">
        <v>13.09</v>
      </c>
    </row>
    <row r="5502" spans="2:9" ht="30">
      <c r="B5502" s="396">
        <v>101148</v>
      </c>
      <c r="C5502" s="401" t="s">
        <v>4500</v>
      </c>
      <c r="D5502" s="396" t="s">
        <v>20</v>
      </c>
      <c r="E5502" s="405">
        <f t="shared" si="170"/>
        <v>13.23</v>
      </c>
      <c r="F5502">
        <f t="shared" si="171"/>
        <v>101148</v>
      </c>
      <c r="H5502" s="679">
        <v>13.23</v>
      </c>
      <c r="I5502" s="679">
        <v>13.44</v>
      </c>
    </row>
    <row r="5503" spans="2:9" ht="30">
      <c r="B5503" s="395">
        <v>101149</v>
      </c>
      <c r="C5503" s="406" t="s">
        <v>4501</v>
      </c>
      <c r="D5503" s="395" t="s">
        <v>20</v>
      </c>
      <c r="E5503" s="407">
        <f t="shared" si="170"/>
        <v>17.39</v>
      </c>
      <c r="F5503">
        <f t="shared" si="171"/>
        <v>101149</v>
      </c>
      <c r="H5503" s="680">
        <v>17.39</v>
      </c>
      <c r="I5503" s="680">
        <v>17.75</v>
      </c>
    </row>
    <row r="5504" spans="2:9" ht="30">
      <c r="B5504" s="396">
        <v>101150</v>
      </c>
      <c r="C5504" s="401" t="s">
        <v>4502</v>
      </c>
      <c r="D5504" s="396" t="s">
        <v>20</v>
      </c>
      <c r="E5504" s="405">
        <f t="shared" si="170"/>
        <v>16.45</v>
      </c>
      <c r="F5504">
        <f t="shared" si="171"/>
        <v>101150</v>
      </c>
      <c r="H5504" s="679">
        <v>16.45</v>
      </c>
      <c r="I5504" s="679">
        <v>16.739999999999998</v>
      </c>
    </row>
    <row r="5505" spans="2:9" ht="30">
      <c r="B5505" s="395">
        <v>101151</v>
      </c>
      <c r="C5505" s="406" t="s">
        <v>4503</v>
      </c>
      <c r="D5505" s="395" t="s">
        <v>20</v>
      </c>
      <c r="E5505" s="407">
        <f t="shared" si="170"/>
        <v>14.23</v>
      </c>
      <c r="F5505">
        <f t="shared" si="171"/>
        <v>101151</v>
      </c>
      <c r="H5505" s="680">
        <v>14.23</v>
      </c>
      <c r="I5505" s="680">
        <v>14.46</v>
      </c>
    </row>
    <row r="5506" spans="2:9" ht="30">
      <c r="B5506" s="396">
        <v>101152</v>
      </c>
      <c r="C5506" s="401" t="s">
        <v>4504</v>
      </c>
      <c r="D5506" s="396" t="s">
        <v>20</v>
      </c>
      <c r="E5506" s="405">
        <f t="shared" si="170"/>
        <v>15.93</v>
      </c>
      <c r="F5506">
        <f t="shared" si="171"/>
        <v>101152</v>
      </c>
      <c r="H5506" s="679">
        <v>15.93</v>
      </c>
      <c r="I5506" s="679">
        <v>16.12</v>
      </c>
    </row>
    <row r="5507" spans="2:9" ht="30">
      <c r="B5507" s="395">
        <v>101153</v>
      </c>
      <c r="C5507" s="406" t="s">
        <v>4505</v>
      </c>
      <c r="D5507" s="395" t="s">
        <v>20</v>
      </c>
      <c r="E5507" s="407">
        <f t="shared" ref="E5507:E5570" si="172">IF($K$2=$H$1,H5507,I5507)</f>
        <v>16.510000000000002</v>
      </c>
      <c r="F5507">
        <f t="shared" ref="F5507:F5570" si="173">IF(LEN($B5507)=7,CONCATENATE(MID($B5507,1,6),"00",RIGHT($B5507,1)),IF(LEN($B5507)=8,CONCATENATE(MID($B5507,1,6),"0",RIGHT($B5507,2)),$B5507))</f>
        <v>101153</v>
      </c>
      <c r="H5507" s="680">
        <v>16.510000000000002</v>
      </c>
      <c r="I5507" s="680">
        <v>16.809999999999999</v>
      </c>
    </row>
    <row r="5508" spans="2:9" ht="45">
      <c r="B5508" s="396">
        <v>101206</v>
      </c>
      <c r="C5508" s="401" t="s">
        <v>4044</v>
      </c>
      <c r="D5508" s="396" t="s">
        <v>20</v>
      </c>
      <c r="E5508" s="405">
        <f t="shared" si="172"/>
        <v>11.13</v>
      </c>
      <c r="F5508">
        <f t="shared" si="173"/>
        <v>101206</v>
      </c>
      <c r="H5508" s="679">
        <v>11.13</v>
      </c>
      <c r="I5508" s="679">
        <v>11.29</v>
      </c>
    </row>
    <row r="5509" spans="2:9" ht="45">
      <c r="B5509" s="395">
        <v>101207</v>
      </c>
      <c r="C5509" s="406" t="s">
        <v>4045</v>
      </c>
      <c r="D5509" s="395" t="s">
        <v>20</v>
      </c>
      <c r="E5509" s="407">
        <f t="shared" si="172"/>
        <v>9.93</v>
      </c>
      <c r="F5509">
        <f t="shared" si="173"/>
        <v>101207</v>
      </c>
      <c r="H5509" s="680">
        <v>9.93</v>
      </c>
      <c r="I5509" s="680">
        <v>10.029999999999999</v>
      </c>
    </row>
    <row r="5510" spans="2:9" ht="45">
      <c r="B5510" s="396">
        <v>101208</v>
      </c>
      <c r="C5510" s="401" t="s">
        <v>4046</v>
      </c>
      <c r="D5510" s="396" t="s">
        <v>20</v>
      </c>
      <c r="E5510" s="405">
        <f t="shared" si="172"/>
        <v>9.5399999999999991</v>
      </c>
      <c r="F5510">
        <f t="shared" si="173"/>
        <v>101208</v>
      </c>
      <c r="H5510" s="679">
        <v>9.5399999999999991</v>
      </c>
      <c r="I5510" s="679">
        <v>9.65</v>
      </c>
    </row>
    <row r="5511" spans="2:9" ht="45">
      <c r="B5511" s="395">
        <v>101209</v>
      </c>
      <c r="C5511" s="406" t="s">
        <v>4047</v>
      </c>
      <c r="D5511" s="395" t="s">
        <v>20</v>
      </c>
      <c r="E5511" s="407">
        <f t="shared" si="172"/>
        <v>8.89</v>
      </c>
      <c r="F5511">
        <f t="shared" si="173"/>
        <v>101209</v>
      </c>
      <c r="H5511" s="680">
        <v>8.89</v>
      </c>
      <c r="I5511" s="680">
        <v>8.98</v>
      </c>
    </row>
    <row r="5512" spans="2:9" ht="45">
      <c r="B5512" s="396">
        <v>101210</v>
      </c>
      <c r="C5512" s="401" t="s">
        <v>4048</v>
      </c>
      <c r="D5512" s="396" t="s">
        <v>20</v>
      </c>
      <c r="E5512" s="405">
        <f t="shared" si="172"/>
        <v>15.83</v>
      </c>
      <c r="F5512">
        <f t="shared" si="173"/>
        <v>101210</v>
      </c>
      <c r="H5512" s="679">
        <v>15.83</v>
      </c>
      <c r="I5512" s="679">
        <v>16</v>
      </c>
    </row>
    <row r="5513" spans="2:9" ht="45">
      <c r="B5513" s="395">
        <v>101211</v>
      </c>
      <c r="C5513" s="406" t="s">
        <v>4049</v>
      </c>
      <c r="D5513" s="395" t="s">
        <v>20</v>
      </c>
      <c r="E5513" s="407">
        <f t="shared" si="172"/>
        <v>17</v>
      </c>
      <c r="F5513">
        <f t="shared" si="173"/>
        <v>101211</v>
      </c>
      <c r="H5513" s="680">
        <v>17</v>
      </c>
      <c r="I5513" s="680">
        <v>17.170000000000002</v>
      </c>
    </row>
    <row r="5514" spans="2:9" ht="45">
      <c r="B5514" s="396">
        <v>101212</v>
      </c>
      <c r="C5514" s="401" t="s">
        <v>4050</v>
      </c>
      <c r="D5514" s="396" t="s">
        <v>20</v>
      </c>
      <c r="E5514" s="405">
        <f t="shared" si="172"/>
        <v>19.75</v>
      </c>
      <c r="F5514">
        <f t="shared" si="173"/>
        <v>101212</v>
      </c>
      <c r="H5514" s="679">
        <v>19.75</v>
      </c>
      <c r="I5514" s="679">
        <v>19.95</v>
      </c>
    </row>
    <row r="5515" spans="2:9" ht="45">
      <c r="B5515" s="395">
        <v>101213</v>
      </c>
      <c r="C5515" s="406" t="s">
        <v>4051</v>
      </c>
      <c r="D5515" s="395" t="s">
        <v>20</v>
      </c>
      <c r="E5515" s="407">
        <f t="shared" si="172"/>
        <v>21.94</v>
      </c>
      <c r="F5515">
        <f t="shared" si="173"/>
        <v>101213</v>
      </c>
      <c r="H5515" s="680">
        <v>21.94</v>
      </c>
      <c r="I5515" s="680">
        <v>22.17</v>
      </c>
    </row>
    <row r="5516" spans="2:9" ht="45">
      <c r="B5516" s="396">
        <v>101214</v>
      </c>
      <c r="C5516" s="401" t="s">
        <v>4052</v>
      </c>
      <c r="D5516" s="396" t="s">
        <v>20</v>
      </c>
      <c r="E5516" s="405">
        <f t="shared" si="172"/>
        <v>26.67</v>
      </c>
      <c r="F5516">
        <f t="shared" si="173"/>
        <v>101214</v>
      </c>
      <c r="H5516" s="679">
        <v>26.67</v>
      </c>
      <c r="I5516" s="679">
        <v>26.92</v>
      </c>
    </row>
    <row r="5517" spans="2:9" ht="45">
      <c r="B5517" s="395">
        <v>101215</v>
      </c>
      <c r="C5517" s="406" t="s">
        <v>4053</v>
      </c>
      <c r="D5517" s="395" t="s">
        <v>20</v>
      </c>
      <c r="E5517" s="407">
        <f t="shared" si="172"/>
        <v>15.18</v>
      </c>
      <c r="F5517">
        <f t="shared" si="173"/>
        <v>101215</v>
      </c>
      <c r="H5517" s="680">
        <v>15.18</v>
      </c>
      <c r="I5517" s="680">
        <v>15.34</v>
      </c>
    </row>
    <row r="5518" spans="2:9" ht="45">
      <c r="B5518" s="396">
        <v>101216</v>
      </c>
      <c r="C5518" s="401" t="s">
        <v>4054</v>
      </c>
      <c r="D5518" s="396" t="s">
        <v>20</v>
      </c>
      <c r="E5518" s="405">
        <f t="shared" si="172"/>
        <v>16.010000000000002</v>
      </c>
      <c r="F5518">
        <f t="shared" si="173"/>
        <v>101216</v>
      </c>
      <c r="H5518" s="679">
        <v>16.010000000000002</v>
      </c>
      <c r="I5518" s="679">
        <v>16.16</v>
      </c>
    </row>
    <row r="5519" spans="2:9" ht="45">
      <c r="B5519" s="395">
        <v>101217</v>
      </c>
      <c r="C5519" s="406" t="s">
        <v>4055</v>
      </c>
      <c r="D5519" s="395" t="s">
        <v>20</v>
      </c>
      <c r="E5519" s="407">
        <f t="shared" si="172"/>
        <v>18.54</v>
      </c>
      <c r="F5519">
        <f t="shared" si="173"/>
        <v>101217</v>
      </c>
      <c r="H5519" s="680">
        <v>18.54</v>
      </c>
      <c r="I5519" s="680">
        <v>18.73</v>
      </c>
    </row>
    <row r="5520" spans="2:9" ht="45">
      <c r="B5520" s="396">
        <v>101218</v>
      </c>
      <c r="C5520" s="401" t="s">
        <v>4056</v>
      </c>
      <c r="D5520" s="396" t="s">
        <v>20</v>
      </c>
      <c r="E5520" s="405">
        <f t="shared" si="172"/>
        <v>19.760000000000002</v>
      </c>
      <c r="F5520">
        <f t="shared" si="173"/>
        <v>101218</v>
      </c>
      <c r="H5520" s="679">
        <v>19.760000000000002</v>
      </c>
      <c r="I5520" s="679">
        <v>19.93</v>
      </c>
    </row>
    <row r="5521" spans="2:9" ht="45">
      <c r="B5521" s="395">
        <v>101219</v>
      </c>
      <c r="C5521" s="406" t="s">
        <v>4057</v>
      </c>
      <c r="D5521" s="395" t="s">
        <v>20</v>
      </c>
      <c r="E5521" s="407">
        <f t="shared" si="172"/>
        <v>24.01</v>
      </c>
      <c r="F5521">
        <f t="shared" si="173"/>
        <v>101219</v>
      </c>
      <c r="H5521" s="680">
        <v>24.01</v>
      </c>
      <c r="I5521" s="680">
        <v>24.22</v>
      </c>
    </row>
    <row r="5522" spans="2:9" ht="45">
      <c r="B5522" s="396">
        <v>101220</v>
      </c>
      <c r="C5522" s="401" t="s">
        <v>4058</v>
      </c>
      <c r="D5522" s="396" t="s">
        <v>20</v>
      </c>
      <c r="E5522" s="405">
        <f t="shared" si="172"/>
        <v>14.87</v>
      </c>
      <c r="F5522">
        <f t="shared" si="173"/>
        <v>101220</v>
      </c>
      <c r="H5522" s="679">
        <v>14.87</v>
      </c>
      <c r="I5522" s="679">
        <v>15.03</v>
      </c>
    </row>
    <row r="5523" spans="2:9" ht="45">
      <c r="B5523" s="395">
        <v>101221</v>
      </c>
      <c r="C5523" s="406" t="s">
        <v>4059</v>
      </c>
      <c r="D5523" s="395" t="s">
        <v>20</v>
      </c>
      <c r="E5523" s="407">
        <f t="shared" si="172"/>
        <v>15.81</v>
      </c>
      <c r="F5523">
        <f t="shared" si="173"/>
        <v>101221</v>
      </c>
      <c r="H5523" s="680">
        <v>15.81</v>
      </c>
      <c r="I5523" s="680">
        <v>15.96</v>
      </c>
    </row>
    <row r="5524" spans="2:9" ht="45">
      <c r="B5524" s="396">
        <v>101222</v>
      </c>
      <c r="C5524" s="401" t="s">
        <v>4060</v>
      </c>
      <c r="D5524" s="396" t="s">
        <v>20</v>
      </c>
      <c r="E5524" s="405">
        <f t="shared" si="172"/>
        <v>18.36</v>
      </c>
      <c r="F5524">
        <f t="shared" si="173"/>
        <v>101222</v>
      </c>
      <c r="H5524" s="679">
        <v>18.36</v>
      </c>
      <c r="I5524" s="679">
        <v>18.53</v>
      </c>
    </row>
    <row r="5525" spans="2:9" ht="45">
      <c r="B5525" s="395">
        <v>101223</v>
      </c>
      <c r="C5525" s="406" t="s">
        <v>4061</v>
      </c>
      <c r="D5525" s="395" t="s">
        <v>20</v>
      </c>
      <c r="E5525" s="407">
        <f t="shared" si="172"/>
        <v>20.350000000000001</v>
      </c>
      <c r="F5525">
        <f t="shared" si="173"/>
        <v>101223</v>
      </c>
      <c r="H5525" s="680">
        <v>20.350000000000001</v>
      </c>
      <c r="I5525" s="680">
        <v>20.55</v>
      </c>
    </row>
    <row r="5526" spans="2:9" ht="45">
      <c r="B5526" s="396">
        <v>101224</v>
      </c>
      <c r="C5526" s="401" t="s">
        <v>4062</v>
      </c>
      <c r="D5526" s="396" t="s">
        <v>20</v>
      </c>
      <c r="E5526" s="405">
        <f t="shared" si="172"/>
        <v>25.5</v>
      </c>
      <c r="F5526">
        <f t="shared" si="173"/>
        <v>101224</v>
      </c>
      <c r="H5526" s="679">
        <v>25.5</v>
      </c>
      <c r="I5526" s="679">
        <v>25.73</v>
      </c>
    </row>
    <row r="5527" spans="2:9" ht="45">
      <c r="B5527" s="395">
        <v>101225</v>
      </c>
      <c r="C5527" s="406" t="s">
        <v>4063</v>
      </c>
      <c r="D5527" s="395" t="s">
        <v>20</v>
      </c>
      <c r="E5527" s="407">
        <f t="shared" si="172"/>
        <v>13.7</v>
      </c>
      <c r="F5527">
        <f t="shared" si="173"/>
        <v>101225</v>
      </c>
      <c r="H5527" s="680">
        <v>13.7</v>
      </c>
      <c r="I5527" s="680">
        <v>13.83</v>
      </c>
    </row>
    <row r="5528" spans="2:9" ht="45">
      <c r="B5528" s="396">
        <v>101226</v>
      </c>
      <c r="C5528" s="401" t="s">
        <v>4064</v>
      </c>
      <c r="D5528" s="396" t="s">
        <v>20</v>
      </c>
      <c r="E5528" s="405">
        <f t="shared" si="172"/>
        <v>14.53</v>
      </c>
      <c r="F5528">
        <f t="shared" si="173"/>
        <v>101226</v>
      </c>
      <c r="H5528" s="679">
        <v>14.53</v>
      </c>
      <c r="I5528" s="679">
        <v>14.66</v>
      </c>
    </row>
    <row r="5529" spans="2:9" ht="45">
      <c r="B5529" s="395">
        <v>101227</v>
      </c>
      <c r="C5529" s="406" t="s">
        <v>4065</v>
      </c>
      <c r="D5529" s="395" t="s">
        <v>20</v>
      </c>
      <c r="E5529" s="407">
        <f t="shared" si="172"/>
        <v>16.809999999999999</v>
      </c>
      <c r="F5529">
        <f t="shared" si="173"/>
        <v>101227</v>
      </c>
      <c r="H5529" s="680">
        <v>16.809999999999999</v>
      </c>
      <c r="I5529" s="680">
        <v>16.97</v>
      </c>
    </row>
    <row r="5530" spans="2:9" ht="45">
      <c r="B5530" s="396">
        <v>101228</v>
      </c>
      <c r="C5530" s="401" t="s">
        <v>4066</v>
      </c>
      <c r="D5530" s="396" t="s">
        <v>20</v>
      </c>
      <c r="E5530" s="405">
        <f t="shared" si="172"/>
        <v>18.059999999999999</v>
      </c>
      <c r="F5530">
        <f t="shared" si="173"/>
        <v>101228</v>
      </c>
      <c r="H5530" s="679">
        <v>18.059999999999999</v>
      </c>
      <c r="I5530" s="679">
        <v>18.2</v>
      </c>
    </row>
    <row r="5531" spans="2:9" ht="45">
      <c r="B5531" s="395">
        <v>101229</v>
      </c>
      <c r="C5531" s="406" t="s">
        <v>4067</v>
      </c>
      <c r="D5531" s="395" t="s">
        <v>20</v>
      </c>
      <c r="E5531" s="407">
        <f t="shared" si="172"/>
        <v>22.68</v>
      </c>
      <c r="F5531">
        <f t="shared" si="173"/>
        <v>101229</v>
      </c>
      <c r="H5531" s="680">
        <v>22.68</v>
      </c>
      <c r="I5531" s="680">
        <v>22.87</v>
      </c>
    </row>
    <row r="5532" spans="2:9" ht="45">
      <c r="B5532" s="396">
        <v>101230</v>
      </c>
      <c r="C5532" s="401" t="s">
        <v>4068</v>
      </c>
      <c r="D5532" s="396" t="s">
        <v>20</v>
      </c>
      <c r="E5532" s="405">
        <f t="shared" si="172"/>
        <v>9.8699999999999992</v>
      </c>
      <c r="F5532">
        <f t="shared" si="173"/>
        <v>101230</v>
      </c>
      <c r="H5532" s="679">
        <v>9.8699999999999992</v>
      </c>
      <c r="I5532" s="679">
        <v>10</v>
      </c>
    </row>
    <row r="5533" spans="2:9" ht="45">
      <c r="B5533" s="395">
        <v>101231</v>
      </c>
      <c r="C5533" s="406" t="s">
        <v>4069</v>
      </c>
      <c r="D5533" s="395" t="s">
        <v>20</v>
      </c>
      <c r="E5533" s="407">
        <f t="shared" si="172"/>
        <v>9.44</v>
      </c>
      <c r="F5533">
        <f t="shared" si="173"/>
        <v>101231</v>
      </c>
      <c r="H5533" s="680">
        <v>9.44</v>
      </c>
      <c r="I5533" s="680">
        <v>9.5299999999999994</v>
      </c>
    </row>
    <row r="5534" spans="2:9" ht="45">
      <c r="B5534" s="396">
        <v>101232</v>
      </c>
      <c r="C5534" s="401" t="s">
        <v>4070</v>
      </c>
      <c r="D5534" s="396" t="s">
        <v>20</v>
      </c>
      <c r="E5534" s="405">
        <f t="shared" si="172"/>
        <v>8.56</v>
      </c>
      <c r="F5534">
        <f t="shared" si="173"/>
        <v>101232</v>
      </c>
      <c r="H5534" s="679">
        <v>8.56</v>
      </c>
      <c r="I5534" s="679">
        <v>8.65</v>
      </c>
    </row>
    <row r="5535" spans="2:9" ht="45">
      <c r="B5535" s="395">
        <v>101233</v>
      </c>
      <c r="C5535" s="406" t="s">
        <v>4071</v>
      </c>
      <c r="D5535" s="395" t="s">
        <v>20</v>
      </c>
      <c r="E5535" s="407">
        <f t="shared" si="172"/>
        <v>7.93</v>
      </c>
      <c r="F5535">
        <f t="shared" si="173"/>
        <v>101233</v>
      </c>
      <c r="H5535" s="680">
        <v>7.93</v>
      </c>
      <c r="I5535" s="680">
        <v>8.02</v>
      </c>
    </row>
    <row r="5536" spans="2:9" ht="45">
      <c r="B5536" s="396">
        <v>101234</v>
      </c>
      <c r="C5536" s="401" t="s">
        <v>4072</v>
      </c>
      <c r="D5536" s="396" t="s">
        <v>20</v>
      </c>
      <c r="E5536" s="405">
        <f t="shared" si="172"/>
        <v>15.34</v>
      </c>
      <c r="F5536">
        <f t="shared" si="173"/>
        <v>101234</v>
      </c>
      <c r="H5536" s="679">
        <v>15.34</v>
      </c>
      <c r="I5536" s="679">
        <v>15.52</v>
      </c>
    </row>
    <row r="5537" spans="2:9" ht="45">
      <c r="B5537" s="395">
        <v>101235</v>
      </c>
      <c r="C5537" s="406" t="s">
        <v>4073</v>
      </c>
      <c r="D5537" s="395" t="s">
        <v>20</v>
      </c>
      <c r="E5537" s="407">
        <f t="shared" si="172"/>
        <v>16.260000000000002</v>
      </c>
      <c r="F5537">
        <f t="shared" si="173"/>
        <v>101235</v>
      </c>
      <c r="H5537" s="680">
        <v>16.260000000000002</v>
      </c>
      <c r="I5537" s="680">
        <v>16.43</v>
      </c>
    </row>
    <row r="5538" spans="2:9" ht="45">
      <c r="B5538" s="396">
        <v>101236</v>
      </c>
      <c r="C5538" s="401" t="s">
        <v>4074</v>
      </c>
      <c r="D5538" s="396" t="s">
        <v>20</v>
      </c>
      <c r="E5538" s="405">
        <f t="shared" si="172"/>
        <v>18.91</v>
      </c>
      <c r="F5538">
        <f t="shared" si="173"/>
        <v>101236</v>
      </c>
      <c r="H5538" s="679">
        <v>18.91</v>
      </c>
      <c r="I5538" s="679">
        <v>19.11</v>
      </c>
    </row>
    <row r="5539" spans="2:9" ht="45">
      <c r="B5539" s="395">
        <v>101237</v>
      </c>
      <c r="C5539" s="406" t="s">
        <v>4075</v>
      </c>
      <c r="D5539" s="395" t="s">
        <v>20</v>
      </c>
      <c r="E5539" s="407">
        <f t="shared" si="172"/>
        <v>20.28</v>
      </c>
      <c r="F5539">
        <f t="shared" si="173"/>
        <v>101237</v>
      </c>
      <c r="H5539" s="680">
        <v>20.28</v>
      </c>
      <c r="I5539" s="680">
        <v>20.48</v>
      </c>
    </row>
    <row r="5540" spans="2:9" ht="45">
      <c r="B5540" s="396">
        <v>101238</v>
      </c>
      <c r="C5540" s="401" t="s">
        <v>4076</v>
      </c>
      <c r="D5540" s="396" t="s">
        <v>20</v>
      </c>
      <c r="E5540" s="405">
        <f t="shared" si="172"/>
        <v>25.57</v>
      </c>
      <c r="F5540">
        <f t="shared" si="173"/>
        <v>101238</v>
      </c>
      <c r="H5540" s="679">
        <v>25.57</v>
      </c>
      <c r="I5540" s="679">
        <v>25.81</v>
      </c>
    </row>
    <row r="5541" spans="2:9" ht="45">
      <c r="B5541" s="395">
        <v>101239</v>
      </c>
      <c r="C5541" s="406" t="s">
        <v>4077</v>
      </c>
      <c r="D5541" s="395" t="s">
        <v>20</v>
      </c>
      <c r="E5541" s="407">
        <f t="shared" si="172"/>
        <v>13.72</v>
      </c>
      <c r="F5541">
        <f t="shared" si="173"/>
        <v>101239</v>
      </c>
      <c r="H5541" s="680">
        <v>13.72</v>
      </c>
      <c r="I5541" s="680">
        <v>13.84</v>
      </c>
    </row>
    <row r="5542" spans="2:9" ht="45">
      <c r="B5542" s="396">
        <v>101240</v>
      </c>
      <c r="C5542" s="401" t="s">
        <v>4078</v>
      </c>
      <c r="D5542" s="396" t="s">
        <v>20</v>
      </c>
      <c r="E5542" s="405">
        <f t="shared" si="172"/>
        <v>14.57</v>
      </c>
      <c r="F5542">
        <f t="shared" si="173"/>
        <v>101240</v>
      </c>
      <c r="H5542" s="679">
        <v>14.57</v>
      </c>
      <c r="I5542" s="679">
        <v>14.69</v>
      </c>
    </row>
    <row r="5543" spans="2:9" ht="45">
      <c r="B5543" s="395">
        <v>101241</v>
      </c>
      <c r="C5543" s="406" t="s">
        <v>4079</v>
      </c>
      <c r="D5543" s="395" t="s">
        <v>20</v>
      </c>
      <c r="E5543" s="407">
        <f t="shared" si="172"/>
        <v>16.95</v>
      </c>
      <c r="F5543">
        <f t="shared" si="173"/>
        <v>101241</v>
      </c>
      <c r="H5543" s="680">
        <v>16.95</v>
      </c>
      <c r="I5543" s="680">
        <v>17.09</v>
      </c>
    </row>
    <row r="5544" spans="2:9" ht="45">
      <c r="B5544" s="396">
        <v>101242</v>
      </c>
      <c r="C5544" s="401" t="s">
        <v>4080</v>
      </c>
      <c r="D5544" s="396" t="s">
        <v>20</v>
      </c>
      <c r="E5544" s="405">
        <f t="shared" si="172"/>
        <v>18.829999999999998</v>
      </c>
      <c r="F5544">
        <f t="shared" si="173"/>
        <v>101242</v>
      </c>
      <c r="H5544" s="679">
        <v>18.829999999999998</v>
      </c>
      <c r="I5544" s="679">
        <v>19</v>
      </c>
    </row>
    <row r="5545" spans="2:9" ht="45">
      <c r="B5545" s="395">
        <v>101243</v>
      </c>
      <c r="C5545" s="406" t="s">
        <v>4081</v>
      </c>
      <c r="D5545" s="395" t="s">
        <v>20</v>
      </c>
      <c r="E5545" s="407">
        <f t="shared" si="172"/>
        <v>22.96</v>
      </c>
      <c r="F5545">
        <f t="shared" si="173"/>
        <v>101243</v>
      </c>
      <c r="H5545" s="680">
        <v>22.96</v>
      </c>
      <c r="I5545" s="680">
        <v>23.14</v>
      </c>
    </row>
    <row r="5546" spans="2:9" ht="45">
      <c r="B5546" s="396">
        <v>101244</v>
      </c>
      <c r="C5546" s="401" t="s">
        <v>4082</v>
      </c>
      <c r="D5546" s="396" t="s">
        <v>20</v>
      </c>
      <c r="E5546" s="405">
        <f t="shared" si="172"/>
        <v>14.23</v>
      </c>
      <c r="F5546">
        <f t="shared" si="173"/>
        <v>101244</v>
      </c>
      <c r="H5546" s="679">
        <v>14.23</v>
      </c>
      <c r="I5546" s="679">
        <v>14.38</v>
      </c>
    </row>
    <row r="5547" spans="2:9" ht="45">
      <c r="B5547" s="395">
        <v>101245</v>
      </c>
      <c r="C5547" s="406" t="s">
        <v>4083</v>
      </c>
      <c r="D5547" s="395" t="s">
        <v>20</v>
      </c>
      <c r="E5547" s="407">
        <f t="shared" si="172"/>
        <v>15.16</v>
      </c>
      <c r="F5547">
        <f t="shared" si="173"/>
        <v>101245</v>
      </c>
      <c r="H5547" s="680">
        <v>15.16</v>
      </c>
      <c r="I5547" s="680">
        <v>15.3</v>
      </c>
    </row>
    <row r="5548" spans="2:9" ht="45">
      <c r="B5548" s="396">
        <v>101246</v>
      </c>
      <c r="C5548" s="401" t="s">
        <v>4084</v>
      </c>
      <c r="D5548" s="396" t="s">
        <v>20</v>
      </c>
      <c r="E5548" s="405">
        <f t="shared" si="172"/>
        <v>17.62</v>
      </c>
      <c r="F5548">
        <f t="shared" si="173"/>
        <v>101246</v>
      </c>
      <c r="H5548" s="679">
        <v>17.62</v>
      </c>
      <c r="I5548" s="679">
        <v>17.79</v>
      </c>
    </row>
    <row r="5549" spans="2:9" ht="45">
      <c r="B5549" s="395">
        <v>101247</v>
      </c>
      <c r="C5549" s="406" t="s">
        <v>4085</v>
      </c>
      <c r="D5549" s="395" t="s">
        <v>20</v>
      </c>
      <c r="E5549" s="407">
        <f t="shared" si="172"/>
        <v>19.52</v>
      </c>
      <c r="F5549">
        <f t="shared" si="173"/>
        <v>101247</v>
      </c>
      <c r="H5549" s="680">
        <v>19.52</v>
      </c>
      <c r="I5549" s="680">
        <v>19.7</v>
      </c>
    </row>
    <row r="5550" spans="2:9" ht="45">
      <c r="B5550" s="396">
        <v>101248</v>
      </c>
      <c r="C5550" s="401" t="s">
        <v>4086</v>
      </c>
      <c r="D5550" s="396" t="s">
        <v>20</v>
      </c>
      <c r="E5550" s="405">
        <f t="shared" si="172"/>
        <v>24.47</v>
      </c>
      <c r="F5550">
        <f t="shared" si="173"/>
        <v>101248</v>
      </c>
      <c r="H5550" s="679">
        <v>24.47</v>
      </c>
      <c r="I5550" s="679">
        <v>24.69</v>
      </c>
    </row>
    <row r="5551" spans="2:9" ht="45">
      <c r="B5551" s="395">
        <v>101249</v>
      </c>
      <c r="C5551" s="406" t="s">
        <v>4087</v>
      </c>
      <c r="D5551" s="395" t="s">
        <v>20</v>
      </c>
      <c r="E5551" s="407">
        <f t="shared" si="172"/>
        <v>12.57</v>
      </c>
      <c r="F5551">
        <f t="shared" si="173"/>
        <v>101249</v>
      </c>
      <c r="H5551" s="680">
        <v>12.57</v>
      </c>
      <c r="I5551" s="680">
        <v>12.69</v>
      </c>
    </row>
    <row r="5552" spans="2:9" ht="45">
      <c r="B5552" s="396">
        <v>101250</v>
      </c>
      <c r="C5552" s="401" t="s">
        <v>4088</v>
      </c>
      <c r="D5552" s="396" t="s">
        <v>20</v>
      </c>
      <c r="E5552" s="405">
        <f t="shared" si="172"/>
        <v>13.88</v>
      </c>
      <c r="F5552">
        <f t="shared" si="173"/>
        <v>101250</v>
      </c>
      <c r="H5552" s="679">
        <v>13.88</v>
      </c>
      <c r="I5552" s="679">
        <v>14.01</v>
      </c>
    </row>
    <row r="5553" spans="2:9" ht="45">
      <c r="B5553" s="395">
        <v>101251</v>
      </c>
      <c r="C5553" s="406" t="s">
        <v>4089</v>
      </c>
      <c r="D5553" s="395" t="s">
        <v>20</v>
      </c>
      <c r="E5553" s="407">
        <f t="shared" si="172"/>
        <v>15.94</v>
      </c>
      <c r="F5553">
        <f t="shared" si="173"/>
        <v>101251</v>
      </c>
      <c r="H5553" s="680">
        <v>15.94</v>
      </c>
      <c r="I5553" s="680">
        <v>16.07</v>
      </c>
    </row>
    <row r="5554" spans="2:9" ht="45">
      <c r="B5554" s="396">
        <v>101252</v>
      </c>
      <c r="C5554" s="401" t="s">
        <v>4090</v>
      </c>
      <c r="D5554" s="396" t="s">
        <v>20</v>
      </c>
      <c r="E5554" s="405">
        <f t="shared" si="172"/>
        <v>17.28</v>
      </c>
      <c r="F5554">
        <f t="shared" si="173"/>
        <v>101252</v>
      </c>
      <c r="H5554" s="679">
        <v>17.28</v>
      </c>
      <c r="I5554" s="679">
        <v>17.43</v>
      </c>
    </row>
    <row r="5555" spans="2:9" ht="45">
      <c r="B5555" s="395">
        <v>101253</v>
      </c>
      <c r="C5555" s="406" t="s">
        <v>4091</v>
      </c>
      <c r="D5555" s="395" t="s">
        <v>20</v>
      </c>
      <c r="E5555" s="407">
        <f t="shared" si="172"/>
        <v>21.76</v>
      </c>
      <c r="F5555">
        <f t="shared" si="173"/>
        <v>101253</v>
      </c>
      <c r="H5555" s="680">
        <v>21.76</v>
      </c>
      <c r="I5555" s="680">
        <v>21.95</v>
      </c>
    </row>
    <row r="5556" spans="2:9" ht="45">
      <c r="B5556" s="396">
        <v>101254</v>
      </c>
      <c r="C5556" s="401" t="s">
        <v>4092</v>
      </c>
      <c r="D5556" s="396" t="s">
        <v>20</v>
      </c>
      <c r="E5556" s="405">
        <f t="shared" si="172"/>
        <v>11.9</v>
      </c>
      <c r="F5556">
        <f t="shared" si="173"/>
        <v>101254</v>
      </c>
      <c r="H5556" s="679">
        <v>11.9</v>
      </c>
      <c r="I5556" s="679">
        <v>12.07</v>
      </c>
    </row>
    <row r="5557" spans="2:9" ht="45">
      <c r="B5557" s="395">
        <v>101255</v>
      </c>
      <c r="C5557" s="406" t="s">
        <v>4093</v>
      </c>
      <c r="D5557" s="395" t="s">
        <v>20</v>
      </c>
      <c r="E5557" s="407">
        <f t="shared" si="172"/>
        <v>10.64</v>
      </c>
      <c r="F5557">
        <f t="shared" si="173"/>
        <v>101255</v>
      </c>
      <c r="H5557" s="680">
        <v>10.64</v>
      </c>
      <c r="I5557" s="680">
        <v>10.77</v>
      </c>
    </row>
    <row r="5558" spans="2:9" ht="45">
      <c r="B5558" s="396">
        <v>101256</v>
      </c>
      <c r="C5558" s="401" t="s">
        <v>4094</v>
      </c>
      <c r="D5558" s="396" t="s">
        <v>20</v>
      </c>
      <c r="E5558" s="405">
        <f t="shared" si="172"/>
        <v>18.45</v>
      </c>
      <c r="F5558">
        <f t="shared" si="173"/>
        <v>101256</v>
      </c>
      <c r="H5558" s="679">
        <v>18.45</v>
      </c>
      <c r="I5558" s="679">
        <v>18.68</v>
      </c>
    </row>
    <row r="5559" spans="2:9" ht="45">
      <c r="B5559" s="395">
        <v>101257</v>
      </c>
      <c r="C5559" s="406" t="s">
        <v>4095</v>
      </c>
      <c r="D5559" s="395" t="s">
        <v>20</v>
      </c>
      <c r="E5559" s="407">
        <f t="shared" si="172"/>
        <v>19.559999999999999</v>
      </c>
      <c r="F5559">
        <f t="shared" si="173"/>
        <v>101257</v>
      </c>
      <c r="H5559" s="680">
        <v>19.559999999999999</v>
      </c>
      <c r="I5559" s="680">
        <v>19.78</v>
      </c>
    </row>
    <row r="5560" spans="2:9" ht="45">
      <c r="B5560" s="396">
        <v>101258</v>
      </c>
      <c r="C5560" s="401" t="s">
        <v>4096</v>
      </c>
      <c r="D5560" s="396" t="s">
        <v>20</v>
      </c>
      <c r="E5560" s="405">
        <f t="shared" si="172"/>
        <v>22.67</v>
      </c>
      <c r="F5560">
        <f t="shared" si="173"/>
        <v>101258</v>
      </c>
      <c r="H5560" s="679">
        <v>22.67</v>
      </c>
      <c r="I5560" s="679">
        <v>22.94</v>
      </c>
    </row>
    <row r="5561" spans="2:9" ht="45">
      <c r="B5561" s="395">
        <v>101259</v>
      </c>
      <c r="C5561" s="406" t="s">
        <v>4097</v>
      </c>
      <c r="D5561" s="395" t="s">
        <v>20</v>
      </c>
      <c r="E5561" s="407">
        <f t="shared" si="172"/>
        <v>25.13</v>
      </c>
      <c r="F5561">
        <f t="shared" si="173"/>
        <v>101259</v>
      </c>
      <c r="H5561" s="680">
        <v>25.13</v>
      </c>
      <c r="I5561" s="680">
        <v>25.42</v>
      </c>
    </row>
    <row r="5562" spans="2:9" ht="45">
      <c r="B5562" s="396">
        <v>101260</v>
      </c>
      <c r="C5562" s="401" t="s">
        <v>4098</v>
      </c>
      <c r="D5562" s="396" t="s">
        <v>20</v>
      </c>
      <c r="E5562" s="405">
        <f t="shared" si="172"/>
        <v>31.43</v>
      </c>
      <c r="F5562">
        <f t="shared" si="173"/>
        <v>101260</v>
      </c>
      <c r="H5562" s="679">
        <v>31.43</v>
      </c>
      <c r="I5562" s="679">
        <v>31.77</v>
      </c>
    </row>
    <row r="5563" spans="2:9" ht="45">
      <c r="B5563" s="395">
        <v>101261</v>
      </c>
      <c r="C5563" s="406" t="s">
        <v>4099</v>
      </c>
      <c r="D5563" s="395" t="s">
        <v>20</v>
      </c>
      <c r="E5563" s="407">
        <f t="shared" si="172"/>
        <v>17.510000000000002</v>
      </c>
      <c r="F5563">
        <f t="shared" si="173"/>
        <v>101261</v>
      </c>
      <c r="H5563" s="680">
        <v>17.510000000000002</v>
      </c>
      <c r="I5563" s="680">
        <v>17.71</v>
      </c>
    </row>
    <row r="5564" spans="2:9" ht="45">
      <c r="B5564" s="396">
        <v>101262</v>
      </c>
      <c r="C5564" s="401" t="s">
        <v>4100</v>
      </c>
      <c r="D5564" s="396" t="s">
        <v>20</v>
      </c>
      <c r="E5564" s="405">
        <f t="shared" si="172"/>
        <v>18.59</v>
      </c>
      <c r="F5564">
        <f t="shared" si="173"/>
        <v>101262</v>
      </c>
      <c r="H5564" s="679">
        <v>18.59</v>
      </c>
      <c r="I5564" s="679">
        <v>18.8</v>
      </c>
    </row>
    <row r="5565" spans="2:9" ht="45">
      <c r="B5565" s="395">
        <v>101263</v>
      </c>
      <c r="C5565" s="406" t="s">
        <v>4101</v>
      </c>
      <c r="D5565" s="395" t="s">
        <v>20</v>
      </c>
      <c r="E5565" s="407">
        <f t="shared" si="172"/>
        <v>21.53</v>
      </c>
      <c r="F5565">
        <f t="shared" si="173"/>
        <v>101263</v>
      </c>
      <c r="H5565" s="680">
        <v>21.53</v>
      </c>
      <c r="I5565" s="680">
        <v>21.77</v>
      </c>
    </row>
    <row r="5566" spans="2:9" ht="45">
      <c r="B5566" s="396">
        <v>101264</v>
      </c>
      <c r="C5566" s="401" t="s">
        <v>4102</v>
      </c>
      <c r="D5566" s="396" t="s">
        <v>20</v>
      </c>
      <c r="E5566" s="405">
        <f t="shared" si="172"/>
        <v>23.83</v>
      </c>
      <c r="F5566">
        <f t="shared" si="173"/>
        <v>101264</v>
      </c>
      <c r="H5566" s="679">
        <v>23.83</v>
      </c>
      <c r="I5566" s="679">
        <v>24.09</v>
      </c>
    </row>
    <row r="5567" spans="2:9" ht="45">
      <c r="B5567" s="395">
        <v>101265</v>
      </c>
      <c r="C5567" s="406" t="s">
        <v>4103</v>
      </c>
      <c r="D5567" s="395" t="s">
        <v>20</v>
      </c>
      <c r="E5567" s="407">
        <f t="shared" si="172"/>
        <v>29.77</v>
      </c>
      <c r="F5567">
        <f t="shared" si="173"/>
        <v>101265</v>
      </c>
      <c r="H5567" s="680">
        <v>29.77</v>
      </c>
      <c r="I5567" s="680">
        <v>30.07</v>
      </c>
    </row>
    <row r="5568" spans="2:9" ht="45">
      <c r="B5568" s="396">
        <v>101266</v>
      </c>
      <c r="C5568" s="401" t="s">
        <v>4104</v>
      </c>
      <c r="D5568" s="396" t="s">
        <v>20</v>
      </c>
      <c r="E5568" s="405">
        <f t="shared" si="172"/>
        <v>10.66</v>
      </c>
      <c r="F5568">
        <f t="shared" si="173"/>
        <v>101266</v>
      </c>
      <c r="H5568" s="679">
        <v>10.66</v>
      </c>
      <c r="I5568" s="679">
        <v>10.78</v>
      </c>
    </row>
    <row r="5569" spans="2:9" ht="45">
      <c r="B5569" s="395">
        <v>101267</v>
      </c>
      <c r="C5569" s="406" t="s">
        <v>4105</v>
      </c>
      <c r="D5569" s="395" t="s">
        <v>20</v>
      </c>
      <c r="E5569" s="407">
        <f t="shared" si="172"/>
        <v>10.19</v>
      </c>
      <c r="F5569">
        <f t="shared" si="173"/>
        <v>101267</v>
      </c>
      <c r="H5569" s="680">
        <v>10.19</v>
      </c>
      <c r="I5569" s="680">
        <v>10.33</v>
      </c>
    </row>
    <row r="5570" spans="2:9" ht="45">
      <c r="B5570" s="396">
        <v>101268</v>
      </c>
      <c r="C5570" s="401" t="s">
        <v>4106</v>
      </c>
      <c r="D5570" s="396" t="s">
        <v>20</v>
      </c>
      <c r="E5570" s="405">
        <f t="shared" si="172"/>
        <v>16.91</v>
      </c>
      <c r="F5570">
        <f t="shared" si="173"/>
        <v>101268</v>
      </c>
      <c r="H5570" s="679">
        <v>16.91</v>
      </c>
      <c r="I5570" s="679">
        <v>17.09</v>
      </c>
    </row>
    <row r="5571" spans="2:9" ht="45">
      <c r="B5571" s="395">
        <v>101269</v>
      </c>
      <c r="C5571" s="406" t="s">
        <v>4107</v>
      </c>
      <c r="D5571" s="395" t="s">
        <v>20</v>
      </c>
      <c r="E5571" s="407">
        <f t="shared" ref="E5571:E5634" si="174">IF($K$2=$H$1,H5571,I5571)</f>
        <v>18.739999999999998</v>
      </c>
      <c r="F5571">
        <f t="shared" ref="F5571:F5634" si="175">IF(LEN($B5571)=7,CONCATENATE(MID($B5571,1,6),"00",RIGHT($B5571,1)),IF(LEN($B5571)=8,CONCATENATE(MID($B5571,1,6),"0",RIGHT($B5571,2)),$B5571))</f>
        <v>101269</v>
      </c>
      <c r="H5571" s="680">
        <v>18.739999999999998</v>
      </c>
      <c r="I5571" s="680">
        <v>18.940000000000001</v>
      </c>
    </row>
    <row r="5572" spans="2:9" ht="45">
      <c r="B5572" s="396">
        <v>101270</v>
      </c>
      <c r="C5572" s="401" t="s">
        <v>4108</v>
      </c>
      <c r="D5572" s="396" t="s">
        <v>20</v>
      </c>
      <c r="E5572" s="405">
        <f t="shared" si="174"/>
        <v>21.73</v>
      </c>
      <c r="F5572">
        <f t="shared" si="175"/>
        <v>101270</v>
      </c>
      <c r="H5572" s="679">
        <v>21.73</v>
      </c>
      <c r="I5572" s="679">
        <v>21.97</v>
      </c>
    </row>
    <row r="5573" spans="2:9" ht="45">
      <c r="B5573" s="395">
        <v>101271</v>
      </c>
      <c r="C5573" s="406" t="s">
        <v>4109</v>
      </c>
      <c r="D5573" s="395" t="s">
        <v>20</v>
      </c>
      <c r="E5573" s="407">
        <f t="shared" si="174"/>
        <v>24.07</v>
      </c>
      <c r="F5573">
        <f t="shared" si="175"/>
        <v>101271</v>
      </c>
      <c r="H5573" s="680">
        <v>24.07</v>
      </c>
      <c r="I5573" s="680">
        <v>24.33</v>
      </c>
    </row>
    <row r="5574" spans="2:9" ht="45">
      <c r="B5574" s="396">
        <v>101272</v>
      </c>
      <c r="C5574" s="401" t="s">
        <v>4110</v>
      </c>
      <c r="D5574" s="396" t="s">
        <v>20</v>
      </c>
      <c r="E5574" s="405">
        <f t="shared" si="174"/>
        <v>30.11</v>
      </c>
      <c r="F5574">
        <f t="shared" si="175"/>
        <v>101272</v>
      </c>
      <c r="H5574" s="679">
        <v>30.11</v>
      </c>
      <c r="I5574" s="679">
        <v>30.41</v>
      </c>
    </row>
    <row r="5575" spans="2:9" ht="45">
      <c r="B5575" s="395">
        <v>101273</v>
      </c>
      <c r="C5575" s="406" t="s">
        <v>4111</v>
      </c>
      <c r="D5575" s="395" t="s">
        <v>20</v>
      </c>
      <c r="E5575" s="407">
        <f t="shared" si="174"/>
        <v>16.18</v>
      </c>
      <c r="F5575">
        <f t="shared" si="175"/>
        <v>101273</v>
      </c>
      <c r="H5575" s="680">
        <v>16.18</v>
      </c>
      <c r="I5575" s="680">
        <v>16.36</v>
      </c>
    </row>
    <row r="5576" spans="2:9" ht="45">
      <c r="B5576" s="396">
        <v>101274</v>
      </c>
      <c r="C5576" s="401" t="s">
        <v>4112</v>
      </c>
      <c r="D5576" s="396" t="s">
        <v>20</v>
      </c>
      <c r="E5576" s="405">
        <f t="shared" si="174"/>
        <v>17.84</v>
      </c>
      <c r="F5576">
        <f t="shared" si="175"/>
        <v>101274</v>
      </c>
      <c r="H5576" s="679">
        <v>17.84</v>
      </c>
      <c r="I5576" s="679">
        <v>18.03</v>
      </c>
    </row>
    <row r="5577" spans="2:9" ht="45">
      <c r="B5577" s="395">
        <v>101275</v>
      </c>
      <c r="C5577" s="406" t="s">
        <v>4113</v>
      </c>
      <c r="D5577" s="395" t="s">
        <v>20</v>
      </c>
      <c r="E5577" s="407">
        <f t="shared" si="174"/>
        <v>20.72</v>
      </c>
      <c r="F5577">
        <f t="shared" si="175"/>
        <v>101275</v>
      </c>
      <c r="H5577" s="680">
        <v>20.72</v>
      </c>
      <c r="I5577" s="680">
        <v>20.93</v>
      </c>
    </row>
    <row r="5578" spans="2:9" ht="45">
      <c r="B5578" s="396">
        <v>101276</v>
      </c>
      <c r="C5578" s="401" t="s">
        <v>4114</v>
      </c>
      <c r="D5578" s="396" t="s">
        <v>20</v>
      </c>
      <c r="E5578" s="405">
        <f t="shared" si="174"/>
        <v>22.89</v>
      </c>
      <c r="F5578">
        <f t="shared" si="175"/>
        <v>101276</v>
      </c>
      <c r="H5578" s="679">
        <v>22.89</v>
      </c>
      <c r="I5578" s="679">
        <v>23.12</v>
      </c>
    </row>
    <row r="5579" spans="2:9" ht="45">
      <c r="B5579" s="395">
        <v>101277</v>
      </c>
      <c r="C5579" s="406" t="s">
        <v>4115</v>
      </c>
      <c r="D5579" s="395" t="s">
        <v>20</v>
      </c>
      <c r="E5579" s="407">
        <f t="shared" si="174"/>
        <v>29.22</v>
      </c>
      <c r="F5579">
        <f t="shared" si="175"/>
        <v>101277</v>
      </c>
      <c r="H5579" s="680">
        <v>29.22</v>
      </c>
      <c r="I5579" s="680">
        <v>29.51</v>
      </c>
    </row>
    <row r="5580" spans="2:9" ht="30">
      <c r="B5580" s="396">
        <v>102354</v>
      </c>
      <c r="C5580" s="401" t="s">
        <v>5512</v>
      </c>
      <c r="D5580" s="396" t="s">
        <v>20</v>
      </c>
      <c r="E5580" s="405">
        <f t="shared" si="174"/>
        <v>132.88</v>
      </c>
      <c r="F5580">
        <f t="shared" si="175"/>
        <v>102354</v>
      </c>
      <c r="H5580" s="679">
        <v>132.88</v>
      </c>
      <c r="I5580" s="679">
        <v>136.62</v>
      </c>
    </row>
    <row r="5581" spans="2:9" ht="30">
      <c r="B5581" s="395">
        <v>102355</v>
      </c>
      <c r="C5581" s="406" t="s">
        <v>5513</v>
      </c>
      <c r="D5581" s="395" t="s">
        <v>20</v>
      </c>
      <c r="E5581" s="407">
        <f t="shared" si="174"/>
        <v>150.91999999999999</v>
      </c>
      <c r="F5581">
        <f t="shared" si="175"/>
        <v>102355</v>
      </c>
      <c r="H5581" s="680">
        <v>150.91999999999999</v>
      </c>
      <c r="I5581" s="680">
        <v>155.91</v>
      </c>
    </row>
    <row r="5582" spans="2:9" ht="30">
      <c r="B5582" s="396">
        <v>102360</v>
      </c>
      <c r="C5582" s="401" t="s">
        <v>5514</v>
      </c>
      <c r="D5582" s="396" t="s">
        <v>20</v>
      </c>
      <c r="E5582" s="405">
        <f t="shared" si="174"/>
        <v>20.93</v>
      </c>
      <c r="F5582">
        <f t="shared" si="175"/>
        <v>102360</v>
      </c>
      <c r="H5582" s="679">
        <v>20.93</v>
      </c>
      <c r="I5582" s="679">
        <v>21.53</v>
      </c>
    </row>
    <row r="5583" spans="2:9" ht="30">
      <c r="B5583" s="395">
        <v>102361</v>
      </c>
      <c r="C5583" s="406" t="s">
        <v>5515</v>
      </c>
      <c r="D5583" s="395" t="s">
        <v>20</v>
      </c>
      <c r="E5583" s="407">
        <f t="shared" si="174"/>
        <v>30.74</v>
      </c>
      <c r="F5583">
        <f t="shared" si="175"/>
        <v>102361</v>
      </c>
      <c r="H5583" s="680">
        <v>30.74</v>
      </c>
      <c r="I5583" s="680">
        <v>32.020000000000003</v>
      </c>
    </row>
    <row r="5584" spans="2:9" ht="45">
      <c r="B5584" s="396">
        <v>90082</v>
      </c>
      <c r="C5584" s="401" t="s">
        <v>6129</v>
      </c>
      <c r="D5584" s="396" t="s">
        <v>20</v>
      </c>
      <c r="E5584" s="405">
        <f t="shared" si="174"/>
        <v>10.26</v>
      </c>
      <c r="F5584">
        <f t="shared" si="175"/>
        <v>90082</v>
      </c>
      <c r="H5584" s="679">
        <v>10.26</v>
      </c>
      <c r="I5584" s="679">
        <v>10.56</v>
      </c>
    </row>
    <row r="5585" spans="2:9" ht="45">
      <c r="B5585" s="395">
        <v>90084</v>
      </c>
      <c r="C5585" s="406" t="s">
        <v>6130</v>
      </c>
      <c r="D5585" s="395" t="s">
        <v>20</v>
      </c>
      <c r="E5585" s="407">
        <f t="shared" si="174"/>
        <v>9.9499999999999993</v>
      </c>
      <c r="F5585">
        <f t="shared" si="175"/>
        <v>90084</v>
      </c>
      <c r="H5585" s="680">
        <v>9.9499999999999993</v>
      </c>
      <c r="I5585" s="680">
        <v>10.220000000000001</v>
      </c>
    </row>
    <row r="5586" spans="2:9" ht="45">
      <c r="B5586" s="396">
        <v>90086</v>
      </c>
      <c r="C5586" s="401" t="s">
        <v>6131</v>
      </c>
      <c r="D5586" s="396" t="s">
        <v>20</v>
      </c>
      <c r="E5586" s="405">
        <f t="shared" si="174"/>
        <v>9.4</v>
      </c>
      <c r="F5586">
        <f t="shared" si="175"/>
        <v>90086</v>
      </c>
      <c r="H5586" s="679">
        <v>9.4</v>
      </c>
      <c r="I5586" s="679">
        <v>9.67</v>
      </c>
    </row>
    <row r="5587" spans="2:9" ht="45">
      <c r="B5587" s="395">
        <v>90087</v>
      </c>
      <c r="C5587" s="406" t="s">
        <v>6132</v>
      </c>
      <c r="D5587" s="395" t="s">
        <v>20</v>
      </c>
      <c r="E5587" s="407">
        <f t="shared" si="174"/>
        <v>8.69</v>
      </c>
      <c r="F5587">
        <f t="shared" si="175"/>
        <v>90087</v>
      </c>
      <c r="H5587" s="680">
        <v>8.69</v>
      </c>
      <c r="I5587" s="680">
        <v>8.91</v>
      </c>
    </row>
    <row r="5588" spans="2:9" ht="45">
      <c r="B5588" s="396">
        <v>90090</v>
      </c>
      <c r="C5588" s="401" t="s">
        <v>6133</v>
      </c>
      <c r="D5588" s="396" t="s">
        <v>20</v>
      </c>
      <c r="E5588" s="405">
        <f t="shared" si="174"/>
        <v>8.5</v>
      </c>
      <c r="F5588">
        <f t="shared" si="175"/>
        <v>90090</v>
      </c>
      <c r="H5588" s="679">
        <v>8.5</v>
      </c>
      <c r="I5588" s="679">
        <v>8.7200000000000006</v>
      </c>
    </row>
    <row r="5589" spans="2:9" ht="45">
      <c r="B5589" s="395">
        <v>90091</v>
      </c>
      <c r="C5589" s="406" t="s">
        <v>6134</v>
      </c>
      <c r="D5589" s="395" t="s">
        <v>20</v>
      </c>
      <c r="E5589" s="407">
        <f t="shared" si="174"/>
        <v>5.54</v>
      </c>
      <c r="F5589">
        <f t="shared" si="175"/>
        <v>90091</v>
      </c>
      <c r="H5589" s="680">
        <v>5.54</v>
      </c>
      <c r="I5589" s="680">
        <v>5.7</v>
      </c>
    </row>
    <row r="5590" spans="2:9" ht="45">
      <c r="B5590" s="396">
        <v>90092</v>
      </c>
      <c r="C5590" s="401" t="s">
        <v>6135</v>
      </c>
      <c r="D5590" s="396" t="s">
        <v>20</v>
      </c>
      <c r="E5590" s="405">
        <f t="shared" si="174"/>
        <v>5.47</v>
      </c>
      <c r="F5590">
        <f t="shared" si="175"/>
        <v>90092</v>
      </c>
      <c r="H5590" s="679">
        <v>5.47</v>
      </c>
      <c r="I5590" s="679">
        <v>5.64</v>
      </c>
    </row>
    <row r="5591" spans="2:9" ht="45">
      <c r="B5591" s="395">
        <v>90094</v>
      </c>
      <c r="C5591" s="406" t="s">
        <v>6136</v>
      </c>
      <c r="D5591" s="395" t="s">
        <v>20</v>
      </c>
      <c r="E5591" s="407">
        <f t="shared" si="174"/>
        <v>5.19</v>
      </c>
      <c r="F5591">
        <f t="shared" si="175"/>
        <v>90094</v>
      </c>
      <c r="H5591" s="680">
        <v>5.19</v>
      </c>
      <c r="I5591" s="680">
        <v>5.33</v>
      </c>
    </row>
    <row r="5592" spans="2:9" ht="45">
      <c r="B5592" s="396">
        <v>90095</v>
      </c>
      <c r="C5592" s="401" t="s">
        <v>6137</v>
      </c>
      <c r="D5592" s="396" t="s">
        <v>20</v>
      </c>
      <c r="E5592" s="405">
        <f t="shared" si="174"/>
        <v>4.78</v>
      </c>
      <c r="F5592">
        <f t="shared" si="175"/>
        <v>90095</v>
      </c>
      <c r="H5592" s="679">
        <v>4.78</v>
      </c>
      <c r="I5592" s="679">
        <v>4.9000000000000004</v>
      </c>
    </row>
    <row r="5593" spans="2:9" ht="45">
      <c r="B5593" s="395">
        <v>90098</v>
      </c>
      <c r="C5593" s="406" t="s">
        <v>6138</v>
      </c>
      <c r="D5593" s="395" t="s">
        <v>20</v>
      </c>
      <c r="E5593" s="407">
        <f t="shared" si="174"/>
        <v>4.7</v>
      </c>
      <c r="F5593">
        <f t="shared" si="175"/>
        <v>90098</v>
      </c>
      <c r="H5593" s="680">
        <v>4.7</v>
      </c>
      <c r="I5593" s="680">
        <v>4.8099999999999996</v>
      </c>
    </row>
    <row r="5594" spans="2:9" ht="45">
      <c r="B5594" s="396">
        <v>90099</v>
      </c>
      <c r="C5594" s="401" t="s">
        <v>6139</v>
      </c>
      <c r="D5594" s="396" t="s">
        <v>20</v>
      </c>
      <c r="E5594" s="405">
        <f t="shared" si="174"/>
        <v>14.09</v>
      </c>
      <c r="F5594">
        <f t="shared" si="175"/>
        <v>90099</v>
      </c>
      <c r="H5594" s="679">
        <v>14.09</v>
      </c>
      <c r="I5594" s="679">
        <v>14.65</v>
      </c>
    </row>
    <row r="5595" spans="2:9" ht="45">
      <c r="B5595" s="395">
        <v>90100</v>
      </c>
      <c r="C5595" s="406" t="s">
        <v>6140</v>
      </c>
      <c r="D5595" s="395" t="s">
        <v>20</v>
      </c>
      <c r="E5595" s="407">
        <f t="shared" si="174"/>
        <v>11.96</v>
      </c>
      <c r="F5595">
        <f t="shared" si="175"/>
        <v>90100</v>
      </c>
      <c r="H5595" s="680">
        <v>11.96</v>
      </c>
      <c r="I5595" s="680">
        <v>12.43</v>
      </c>
    </row>
    <row r="5596" spans="2:9" ht="45">
      <c r="B5596" s="396">
        <v>90101</v>
      </c>
      <c r="C5596" s="401" t="s">
        <v>6141</v>
      </c>
      <c r="D5596" s="396" t="s">
        <v>20</v>
      </c>
      <c r="E5596" s="405">
        <f t="shared" si="174"/>
        <v>11.8</v>
      </c>
      <c r="F5596">
        <f t="shared" si="175"/>
        <v>90101</v>
      </c>
      <c r="H5596" s="679">
        <v>11.8</v>
      </c>
      <c r="I5596" s="679">
        <v>12.29</v>
      </c>
    </row>
    <row r="5597" spans="2:9" ht="45">
      <c r="B5597" s="395">
        <v>90102</v>
      </c>
      <c r="C5597" s="406" t="s">
        <v>6142</v>
      </c>
      <c r="D5597" s="395" t="s">
        <v>20</v>
      </c>
      <c r="E5597" s="407">
        <f t="shared" si="174"/>
        <v>10.75</v>
      </c>
      <c r="F5597">
        <f t="shared" si="175"/>
        <v>90102</v>
      </c>
      <c r="H5597" s="680">
        <v>10.75</v>
      </c>
      <c r="I5597" s="680">
        <v>11.18</v>
      </c>
    </row>
    <row r="5598" spans="2:9" ht="45">
      <c r="B5598" s="396">
        <v>90105</v>
      </c>
      <c r="C5598" s="401" t="s">
        <v>6143</v>
      </c>
      <c r="D5598" s="396" t="s">
        <v>20</v>
      </c>
      <c r="E5598" s="405">
        <f t="shared" si="174"/>
        <v>7.76</v>
      </c>
      <c r="F5598">
        <f t="shared" si="175"/>
        <v>90105</v>
      </c>
      <c r="H5598" s="679">
        <v>7.76</v>
      </c>
      <c r="I5598" s="679">
        <v>8.08</v>
      </c>
    </row>
    <row r="5599" spans="2:9" ht="45">
      <c r="B5599" s="395">
        <v>90106</v>
      </c>
      <c r="C5599" s="406" t="s">
        <v>6144</v>
      </c>
      <c r="D5599" s="395" t="s">
        <v>20</v>
      </c>
      <c r="E5599" s="407">
        <f t="shared" si="174"/>
        <v>6.61</v>
      </c>
      <c r="F5599">
        <f t="shared" si="175"/>
        <v>90106</v>
      </c>
      <c r="H5599" s="680">
        <v>6.61</v>
      </c>
      <c r="I5599" s="680">
        <v>6.86</v>
      </c>
    </row>
    <row r="5600" spans="2:9" ht="45">
      <c r="B5600" s="396">
        <v>90107</v>
      </c>
      <c r="C5600" s="401" t="s">
        <v>6145</v>
      </c>
      <c r="D5600" s="396" t="s">
        <v>20</v>
      </c>
      <c r="E5600" s="405">
        <f t="shared" si="174"/>
        <v>6.51</v>
      </c>
      <c r="F5600">
        <f t="shared" si="175"/>
        <v>90107</v>
      </c>
      <c r="H5600" s="679">
        <v>6.51</v>
      </c>
      <c r="I5600" s="679">
        <v>6.77</v>
      </c>
    </row>
    <row r="5601" spans="2:9" ht="45">
      <c r="B5601" s="395">
        <v>90108</v>
      </c>
      <c r="C5601" s="406" t="s">
        <v>6146</v>
      </c>
      <c r="D5601" s="395" t="s">
        <v>20</v>
      </c>
      <c r="E5601" s="407">
        <f t="shared" si="174"/>
        <v>5.93</v>
      </c>
      <c r="F5601">
        <f t="shared" si="175"/>
        <v>90108</v>
      </c>
      <c r="H5601" s="680">
        <v>5.93</v>
      </c>
      <c r="I5601" s="680">
        <v>6.17</v>
      </c>
    </row>
    <row r="5602" spans="2:9">
      <c r="B5602" s="396">
        <v>93358</v>
      </c>
      <c r="C5602" s="401" t="s">
        <v>5511</v>
      </c>
      <c r="D5602" s="396" t="s">
        <v>20</v>
      </c>
      <c r="E5602" s="405">
        <f t="shared" si="174"/>
        <v>68.91</v>
      </c>
      <c r="F5602">
        <f t="shared" si="175"/>
        <v>93358</v>
      </c>
      <c r="H5602" s="679">
        <v>68.91</v>
      </c>
      <c r="I5602" s="679">
        <v>76.31</v>
      </c>
    </row>
    <row r="5603" spans="2:9" ht="45">
      <c r="B5603" s="395">
        <v>102276</v>
      </c>
      <c r="C5603" s="406" t="s">
        <v>6147</v>
      </c>
      <c r="D5603" s="395" t="s">
        <v>20</v>
      </c>
      <c r="E5603" s="407">
        <f t="shared" si="174"/>
        <v>11.55</v>
      </c>
      <c r="F5603">
        <f t="shared" si="175"/>
        <v>102276</v>
      </c>
      <c r="H5603" s="680">
        <v>11.55</v>
      </c>
      <c r="I5603" s="680">
        <v>11.87</v>
      </c>
    </row>
    <row r="5604" spans="2:9" ht="45">
      <c r="B5604" s="396">
        <v>102277</v>
      </c>
      <c r="C5604" s="401" t="s">
        <v>6148</v>
      </c>
      <c r="D5604" s="396" t="s">
        <v>20</v>
      </c>
      <c r="E5604" s="405">
        <f t="shared" si="174"/>
        <v>9.1199999999999992</v>
      </c>
      <c r="F5604">
        <f t="shared" si="175"/>
        <v>102277</v>
      </c>
      <c r="H5604" s="679">
        <v>9.1199999999999992</v>
      </c>
      <c r="I5604" s="679">
        <v>9.3800000000000008</v>
      </c>
    </row>
    <row r="5605" spans="2:9" ht="45">
      <c r="B5605" s="395">
        <v>102278</v>
      </c>
      <c r="C5605" s="406" t="s">
        <v>6149</v>
      </c>
      <c r="D5605" s="395" t="s">
        <v>20</v>
      </c>
      <c r="E5605" s="407">
        <f t="shared" si="174"/>
        <v>9.06</v>
      </c>
      <c r="F5605">
        <f t="shared" si="175"/>
        <v>102278</v>
      </c>
      <c r="H5605" s="680">
        <v>9.06</v>
      </c>
      <c r="I5605" s="680">
        <v>9.2899999999999991</v>
      </c>
    </row>
    <row r="5606" spans="2:9" ht="45">
      <c r="B5606" s="396">
        <v>102279</v>
      </c>
      <c r="C5606" s="401" t="s">
        <v>6150</v>
      </c>
      <c r="D5606" s="396" t="s">
        <v>20</v>
      </c>
      <c r="E5606" s="405">
        <f t="shared" si="174"/>
        <v>6.36</v>
      </c>
      <c r="F5606">
        <f t="shared" si="175"/>
        <v>102279</v>
      </c>
      <c r="H5606" s="679">
        <v>6.36</v>
      </c>
      <c r="I5606" s="679">
        <v>6.55</v>
      </c>
    </row>
    <row r="5607" spans="2:9" ht="45">
      <c r="B5607" s="395">
        <v>102280</v>
      </c>
      <c r="C5607" s="406" t="s">
        <v>6151</v>
      </c>
      <c r="D5607" s="395" t="s">
        <v>20</v>
      </c>
      <c r="E5607" s="407">
        <f t="shared" si="174"/>
        <v>5.03</v>
      </c>
      <c r="F5607">
        <f t="shared" si="175"/>
        <v>102280</v>
      </c>
      <c r="H5607" s="680">
        <v>5.03</v>
      </c>
      <c r="I5607" s="680">
        <v>5.17</v>
      </c>
    </row>
    <row r="5608" spans="2:9" ht="45">
      <c r="B5608" s="396">
        <v>102281</v>
      </c>
      <c r="C5608" s="401" t="s">
        <v>6152</v>
      </c>
      <c r="D5608" s="396" t="s">
        <v>20</v>
      </c>
      <c r="E5608" s="405">
        <f t="shared" si="174"/>
        <v>4.99</v>
      </c>
      <c r="F5608">
        <f t="shared" si="175"/>
        <v>102281</v>
      </c>
      <c r="H5608" s="679">
        <v>4.99</v>
      </c>
      <c r="I5608" s="679">
        <v>5.13</v>
      </c>
    </row>
    <row r="5609" spans="2:9" ht="30">
      <c r="B5609" s="395">
        <v>102282</v>
      </c>
      <c r="C5609" s="406" t="s">
        <v>6153</v>
      </c>
      <c r="D5609" s="395" t="s">
        <v>20</v>
      </c>
      <c r="E5609" s="407">
        <f t="shared" si="174"/>
        <v>12.83</v>
      </c>
      <c r="F5609">
        <f t="shared" si="175"/>
        <v>102282</v>
      </c>
      <c r="H5609" s="680">
        <v>12.83</v>
      </c>
      <c r="I5609" s="680">
        <v>13.19</v>
      </c>
    </row>
    <row r="5610" spans="2:9" ht="30">
      <c r="B5610" s="396">
        <v>102283</v>
      </c>
      <c r="C5610" s="401" t="s">
        <v>6154</v>
      </c>
      <c r="D5610" s="396" t="s">
        <v>20</v>
      </c>
      <c r="E5610" s="405">
        <f t="shared" si="174"/>
        <v>11.39</v>
      </c>
      <c r="F5610">
        <f t="shared" si="175"/>
        <v>102283</v>
      </c>
      <c r="H5610" s="679">
        <v>11.39</v>
      </c>
      <c r="I5610" s="679">
        <v>11.71</v>
      </c>
    </row>
    <row r="5611" spans="2:9" ht="30">
      <c r="B5611" s="395">
        <v>102284</v>
      </c>
      <c r="C5611" s="406" t="s">
        <v>6155</v>
      </c>
      <c r="D5611" s="395" t="s">
        <v>20</v>
      </c>
      <c r="E5611" s="407">
        <f t="shared" si="174"/>
        <v>11.02</v>
      </c>
      <c r="F5611">
        <f t="shared" si="175"/>
        <v>102284</v>
      </c>
      <c r="H5611" s="680">
        <v>11.02</v>
      </c>
      <c r="I5611" s="680">
        <v>11.35</v>
      </c>
    </row>
    <row r="5612" spans="2:9" ht="45">
      <c r="B5612" s="396">
        <v>102285</v>
      </c>
      <c r="C5612" s="401" t="s">
        <v>6156</v>
      </c>
      <c r="D5612" s="396" t="s">
        <v>20</v>
      </c>
      <c r="E5612" s="405">
        <f t="shared" si="174"/>
        <v>10.43</v>
      </c>
      <c r="F5612">
        <f t="shared" si="175"/>
        <v>102285</v>
      </c>
      <c r="H5612" s="679">
        <v>10.43</v>
      </c>
      <c r="I5612" s="679">
        <v>10.72</v>
      </c>
    </row>
    <row r="5613" spans="2:9" ht="45">
      <c r="B5613" s="395">
        <v>102286</v>
      </c>
      <c r="C5613" s="406" t="s">
        <v>6157</v>
      </c>
      <c r="D5613" s="395" t="s">
        <v>20</v>
      </c>
      <c r="E5613" s="407">
        <f t="shared" si="174"/>
        <v>10.14</v>
      </c>
      <c r="F5613">
        <f t="shared" si="175"/>
        <v>102286</v>
      </c>
      <c r="H5613" s="680">
        <v>10.14</v>
      </c>
      <c r="I5613" s="680">
        <v>10.44</v>
      </c>
    </row>
    <row r="5614" spans="2:9" ht="45">
      <c r="B5614" s="396">
        <v>102287</v>
      </c>
      <c r="C5614" s="401" t="s">
        <v>6158</v>
      </c>
      <c r="D5614" s="396" t="s">
        <v>20</v>
      </c>
      <c r="E5614" s="405">
        <f t="shared" si="174"/>
        <v>10.08</v>
      </c>
      <c r="F5614">
        <f t="shared" si="175"/>
        <v>102287</v>
      </c>
      <c r="H5614" s="679">
        <v>10.08</v>
      </c>
      <c r="I5614" s="679">
        <v>10.34</v>
      </c>
    </row>
    <row r="5615" spans="2:9" ht="45">
      <c r="B5615" s="395">
        <v>102288</v>
      </c>
      <c r="C5615" s="406" t="s">
        <v>6159</v>
      </c>
      <c r="D5615" s="395" t="s">
        <v>20</v>
      </c>
      <c r="E5615" s="407">
        <f t="shared" si="174"/>
        <v>9.68</v>
      </c>
      <c r="F5615">
        <f t="shared" si="175"/>
        <v>102288</v>
      </c>
      <c r="H5615" s="680">
        <v>9.68</v>
      </c>
      <c r="I5615" s="680">
        <v>9.92</v>
      </c>
    </row>
    <row r="5616" spans="2:9" ht="45">
      <c r="B5616" s="396">
        <v>102289</v>
      </c>
      <c r="C5616" s="401" t="s">
        <v>6160</v>
      </c>
      <c r="D5616" s="396" t="s">
        <v>20</v>
      </c>
      <c r="E5616" s="405">
        <f t="shared" si="174"/>
        <v>9.4600000000000009</v>
      </c>
      <c r="F5616">
        <f t="shared" si="175"/>
        <v>102289</v>
      </c>
      <c r="H5616" s="679">
        <v>9.4600000000000009</v>
      </c>
      <c r="I5616" s="679">
        <v>9.69</v>
      </c>
    </row>
    <row r="5617" spans="2:9" ht="30">
      <c r="B5617" s="395">
        <v>102290</v>
      </c>
      <c r="C5617" s="406" t="s">
        <v>6161</v>
      </c>
      <c r="D5617" s="395" t="s">
        <v>20</v>
      </c>
      <c r="E5617" s="407">
        <f t="shared" si="174"/>
        <v>7.07</v>
      </c>
      <c r="F5617">
        <f t="shared" si="175"/>
        <v>102290</v>
      </c>
      <c r="H5617" s="680">
        <v>7.07</v>
      </c>
      <c r="I5617" s="680">
        <v>7.27</v>
      </c>
    </row>
    <row r="5618" spans="2:9" ht="30">
      <c r="B5618" s="396">
        <v>102291</v>
      </c>
      <c r="C5618" s="401" t="s">
        <v>6162</v>
      </c>
      <c r="D5618" s="396" t="s">
        <v>20</v>
      </c>
      <c r="E5618" s="405">
        <f t="shared" si="174"/>
        <v>6.28</v>
      </c>
      <c r="F5618">
        <f t="shared" si="175"/>
        <v>102291</v>
      </c>
      <c r="H5618" s="679">
        <v>6.28</v>
      </c>
      <c r="I5618" s="679">
        <v>6.46</v>
      </c>
    </row>
    <row r="5619" spans="2:9" ht="45">
      <c r="B5619" s="395">
        <v>102292</v>
      </c>
      <c r="C5619" s="406" t="s">
        <v>6163</v>
      </c>
      <c r="D5619" s="395" t="s">
        <v>20</v>
      </c>
      <c r="E5619" s="407">
        <f t="shared" si="174"/>
        <v>6.09</v>
      </c>
      <c r="F5619">
        <f t="shared" si="175"/>
        <v>102292</v>
      </c>
      <c r="H5619" s="680">
        <v>6.09</v>
      </c>
      <c r="I5619" s="680">
        <v>6.26</v>
      </c>
    </row>
    <row r="5620" spans="2:9" ht="45">
      <c r="B5620" s="396">
        <v>102293</v>
      </c>
      <c r="C5620" s="401" t="s">
        <v>6164</v>
      </c>
      <c r="D5620" s="396" t="s">
        <v>20</v>
      </c>
      <c r="E5620" s="405">
        <f t="shared" si="174"/>
        <v>5.77</v>
      </c>
      <c r="F5620">
        <f t="shared" si="175"/>
        <v>102293</v>
      </c>
      <c r="H5620" s="679">
        <v>5.77</v>
      </c>
      <c r="I5620" s="679">
        <v>5.92</v>
      </c>
    </row>
    <row r="5621" spans="2:9" ht="45">
      <c r="B5621" s="395">
        <v>102294</v>
      </c>
      <c r="C5621" s="406" t="s">
        <v>6165</v>
      </c>
      <c r="D5621" s="395" t="s">
        <v>20</v>
      </c>
      <c r="E5621" s="407">
        <f t="shared" si="174"/>
        <v>5.6</v>
      </c>
      <c r="F5621">
        <f t="shared" si="175"/>
        <v>102294</v>
      </c>
      <c r="H5621" s="680">
        <v>5.6</v>
      </c>
      <c r="I5621" s="680">
        <v>5.76</v>
      </c>
    </row>
    <row r="5622" spans="2:9" ht="45">
      <c r="B5622" s="396">
        <v>102295</v>
      </c>
      <c r="C5622" s="401" t="s">
        <v>6166</v>
      </c>
      <c r="D5622" s="396" t="s">
        <v>20</v>
      </c>
      <c r="E5622" s="405">
        <f t="shared" si="174"/>
        <v>5.56</v>
      </c>
      <c r="F5622">
        <f t="shared" si="175"/>
        <v>102295</v>
      </c>
      <c r="H5622" s="679">
        <v>5.56</v>
      </c>
      <c r="I5622" s="679">
        <v>5.7</v>
      </c>
    </row>
    <row r="5623" spans="2:9" ht="30">
      <c r="B5623" s="395">
        <v>102296</v>
      </c>
      <c r="C5623" s="406" t="s">
        <v>6167</v>
      </c>
      <c r="D5623" s="395" t="s">
        <v>20</v>
      </c>
      <c r="E5623" s="407">
        <f t="shared" si="174"/>
        <v>5.33</v>
      </c>
      <c r="F5623">
        <f t="shared" si="175"/>
        <v>102296</v>
      </c>
      <c r="H5623" s="680">
        <v>5.33</v>
      </c>
      <c r="I5623" s="680">
        <v>5.46</v>
      </c>
    </row>
    <row r="5624" spans="2:9" ht="30">
      <c r="B5624" s="396">
        <v>102297</v>
      </c>
      <c r="C5624" s="401" t="s">
        <v>6168</v>
      </c>
      <c r="D5624" s="396" t="s">
        <v>20</v>
      </c>
      <c r="E5624" s="405">
        <f t="shared" si="174"/>
        <v>5.21</v>
      </c>
      <c r="F5624">
        <f t="shared" si="175"/>
        <v>102297</v>
      </c>
      <c r="H5624" s="679">
        <v>5.21</v>
      </c>
      <c r="I5624" s="679">
        <v>5.35</v>
      </c>
    </row>
    <row r="5625" spans="2:9" ht="30">
      <c r="B5625" s="395">
        <v>102298</v>
      </c>
      <c r="C5625" s="406" t="s">
        <v>6169</v>
      </c>
      <c r="D5625" s="395" t="s">
        <v>20</v>
      </c>
      <c r="E5625" s="407">
        <f t="shared" si="174"/>
        <v>15.65</v>
      </c>
      <c r="F5625">
        <f t="shared" si="175"/>
        <v>102298</v>
      </c>
      <c r="H5625" s="680">
        <v>15.65</v>
      </c>
      <c r="I5625" s="680">
        <v>16.27</v>
      </c>
    </row>
    <row r="5626" spans="2:9" ht="30">
      <c r="B5626" s="396">
        <v>102299</v>
      </c>
      <c r="C5626" s="401" t="s">
        <v>6170</v>
      </c>
      <c r="D5626" s="396" t="s">
        <v>20</v>
      </c>
      <c r="E5626" s="405">
        <f t="shared" si="174"/>
        <v>13.29</v>
      </c>
      <c r="F5626">
        <f t="shared" si="175"/>
        <v>102299</v>
      </c>
      <c r="H5626" s="679">
        <v>13.29</v>
      </c>
      <c r="I5626" s="679">
        <v>13.83</v>
      </c>
    </row>
    <row r="5627" spans="2:9" ht="45">
      <c r="B5627" s="395">
        <v>102300</v>
      </c>
      <c r="C5627" s="406" t="s">
        <v>6171</v>
      </c>
      <c r="D5627" s="395" t="s">
        <v>20</v>
      </c>
      <c r="E5627" s="407">
        <f t="shared" si="174"/>
        <v>13.12</v>
      </c>
      <c r="F5627">
        <f t="shared" si="175"/>
        <v>102300</v>
      </c>
      <c r="H5627" s="680">
        <v>13.12</v>
      </c>
      <c r="I5627" s="680">
        <v>13.65</v>
      </c>
    </row>
    <row r="5628" spans="2:9" ht="45">
      <c r="B5628" s="396">
        <v>102301</v>
      </c>
      <c r="C5628" s="401" t="s">
        <v>6172</v>
      </c>
      <c r="D5628" s="396" t="s">
        <v>20</v>
      </c>
      <c r="E5628" s="405">
        <f t="shared" si="174"/>
        <v>11.92</v>
      </c>
      <c r="F5628">
        <f t="shared" si="175"/>
        <v>102301</v>
      </c>
      <c r="H5628" s="679">
        <v>11.92</v>
      </c>
      <c r="I5628" s="679">
        <v>12.41</v>
      </c>
    </row>
    <row r="5629" spans="2:9" ht="30">
      <c r="B5629" s="395">
        <v>102302</v>
      </c>
      <c r="C5629" s="406" t="s">
        <v>6173</v>
      </c>
      <c r="D5629" s="395" t="s">
        <v>20</v>
      </c>
      <c r="E5629" s="407">
        <f t="shared" si="174"/>
        <v>8.6199999999999992</v>
      </c>
      <c r="F5629">
        <f t="shared" si="175"/>
        <v>102302</v>
      </c>
      <c r="H5629" s="680">
        <v>8.6199999999999992</v>
      </c>
      <c r="I5629" s="680">
        <v>8.9700000000000006</v>
      </c>
    </row>
    <row r="5630" spans="2:9" ht="30">
      <c r="B5630" s="396">
        <v>102303</v>
      </c>
      <c r="C5630" s="401" t="s">
        <v>6174</v>
      </c>
      <c r="D5630" s="396" t="s">
        <v>20</v>
      </c>
      <c r="E5630" s="405">
        <f t="shared" si="174"/>
        <v>7.32</v>
      </c>
      <c r="F5630">
        <f t="shared" si="175"/>
        <v>102303</v>
      </c>
      <c r="H5630" s="679">
        <v>7.32</v>
      </c>
      <c r="I5630" s="679">
        <v>7.62</v>
      </c>
    </row>
    <row r="5631" spans="2:9" ht="45">
      <c r="B5631" s="395">
        <v>102304</v>
      </c>
      <c r="C5631" s="406" t="s">
        <v>6175</v>
      </c>
      <c r="D5631" s="395" t="s">
        <v>20</v>
      </c>
      <c r="E5631" s="407">
        <f t="shared" si="174"/>
        <v>7.23</v>
      </c>
      <c r="F5631">
        <f t="shared" si="175"/>
        <v>102304</v>
      </c>
      <c r="H5631" s="680">
        <v>7.23</v>
      </c>
      <c r="I5631" s="680">
        <v>7.51</v>
      </c>
    </row>
    <row r="5632" spans="2:9" ht="30">
      <c r="B5632" s="396">
        <v>102305</v>
      </c>
      <c r="C5632" s="401" t="s">
        <v>6176</v>
      </c>
      <c r="D5632" s="396" t="s">
        <v>20</v>
      </c>
      <c r="E5632" s="405">
        <f t="shared" si="174"/>
        <v>6.58</v>
      </c>
      <c r="F5632">
        <f t="shared" si="175"/>
        <v>102305</v>
      </c>
      <c r="H5632" s="679">
        <v>6.58</v>
      </c>
      <c r="I5632" s="679">
        <v>6.85</v>
      </c>
    </row>
    <row r="5633" spans="2:9" ht="30">
      <c r="B5633" s="395">
        <v>102306</v>
      </c>
      <c r="C5633" s="406" t="s">
        <v>6177</v>
      </c>
      <c r="D5633" s="395" t="s">
        <v>20</v>
      </c>
      <c r="E5633" s="407">
        <f t="shared" si="174"/>
        <v>14.44</v>
      </c>
      <c r="F5633">
        <f t="shared" si="175"/>
        <v>102306</v>
      </c>
      <c r="H5633" s="680">
        <v>14.44</v>
      </c>
      <c r="I5633" s="680">
        <v>14.86</v>
      </c>
    </row>
    <row r="5634" spans="2:9" ht="45">
      <c r="B5634" s="396">
        <v>102307</v>
      </c>
      <c r="C5634" s="401" t="s">
        <v>6178</v>
      </c>
      <c r="D5634" s="396" t="s">
        <v>20</v>
      </c>
      <c r="E5634" s="405">
        <f t="shared" si="174"/>
        <v>12.83</v>
      </c>
      <c r="F5634">
        <f t="shared" si="175"/>
        <v>102307</v>
      </c>
      <c r="H5634" s="679">
        <v>12.83</v>
      </c>
      <c r="I5634" s="679">
        <v>13.18</v>
      </c>
    </row>
    <row r="5635" spans="2:9" ht="45">
      <c r="B5635" s="395">
        <v>102308</v>
      </c>
      <c r="C5635" s="406" t="s">
        <v>6179</v>
      </c>
      <c r="D5635" s="395" t="s">
        <v>20</v>
      </c>
      <c r="E5635" s="407">
        <f t="shared" ref="E5635:E5698" si="176">IF($K$2=$H$1,H5635,I5635)</f>
        <v>12.42</v>
      </c>
      <c r="F5635">
        <f t="shared" ref="F5635:F5698" si="177">IF(LEN($B5635)=7,CONCATENATE(MID($B5635,1,6),"00",RIGHT($B5635,1)),IF(LEN($B5635)=8,CONCATENATE(MID($B5635,1,6),"0",RIGHT($B5635,2)),$B5635))</f>
        <v>102308</v>
      </c>
      <c r="H5635" s="680">
        <v>12.42</v>
      </c>
      <c r="I5635" s="680">
        <v>12.78</v>
      </c>
    </row>
    <row r="5636" spans="2:9" ht="45">
      <c r="B5636" s="396">
        <v>102309</v>
      </c>
      <c r="C5636" s="401" t="s">
        <v>6180</v>
      </c>
      <c r="D5636" s="396" t="s">
        <v>20</v>
      </c>
      <c r="E5636" s="405">
        <f t="shared" si="176"/>
        <v>11.76</v>
      </c>
      <c r="F5636">
        <f t="shared" si="177"/>
        <v>102309</v>
      </c>
      <c r="H5636" s="679">
        <v>11.76</v>
      </c>
      <c r="I5636" s="679">
        <v>12.1</v>
      </c>
    </row>
    <row r="5637" spans="2:9" ht="45">
      <c r="B5637" s="395">
        <v>102310</v>
      </c>
      <c r="C5637" s="406" t="s">
        <v>6181</v>
      </c>
      <c r="D5637" s="395" t="s">
        <v>20</v>
      </c>
      <c r="E5637" s="407">
        <f t="shared" si="176"/>
        <v>11.42</v>
      </c>
      <c r="F5637">
        <f t="shared" si="177"/>
        <v>102310</v>
      </c>
      <c r="H5637" s="680">
        <v>11.42</v>
      </c>
      <c r="I5637" s="680">
        <v>11.75</v>
      </c>
    </row>
    <row r="5638" spans="2:9" ht="45">
      <c r="B5638" s="396">
        <v>102311</v>
      </c>
      <c r="C5638" s="401" t="s">
        <v>6182</v>
      </c>
      <c r="D5638" s="396" t="s">
        <v>20</v>
      </c>
      <c r="E5638" s="405">
        <f t="shared" si="176"/>
        <v>11.33</v>
      </c>
      <c r="F5638">
        <f t="shared" si="177"/>
        <v>102311</v>
      </c>
      <c r="H5638" s="679">
        <v>11.33</v>
      </c>
      <c r="I5638" s="679">
        <v>11.6</v>
      </c>
    </row>
    <row r="5639" spans="2:9" ht="45">
      <c r="B5639" s="395">
        <v>102312</v>
      </c>
      <c r="C5639" s="406" t="s">
        <v>6183</v>
      </c>
      <c r="D5639" s="395" t="s">
        <v>20</v>
      </c>
      <c r="E5639" s="407">
        <f t="shared" si="176"/>
        <v>10.88</v>
      </c>
      <c r="F5639">
        <f t="shared" si="177"/>
        <v>102312</v>
      </c>
      <c r="H5639" s="680">
        <v>10.88</v>
      </c>
      <c r="I5639" s="680">
        <v>11.15</v>
      </c>
    </row>
    <row r="5640" spans="2:9" ht="45">
      <c r="B5640" s="396">
        <v>102313</v>
      </c>
      <c r="C5640" s="401" t="s">
        <v>6184</v>
      </c>
      <c r="D5640" s="396" t="s">
        <v>20</v>
      </c>
      <c r="E5640" s="405">
        <f t="shared" si="176"/>
        <v>10.64</v>
      </c>
      <c r="F5640">
        <f t="shared" si="177"/>
        <v>102313</v>
      </c>
      <c r="H5640" s="679">
        <v>10.64</v>
      </c>
      <c r="I5640" s="679">
        <v>10.91</v>
      </c>
    </row>
    <row r="5641" spans="2:9" ht="45">
      <c r="B5641" s="395">
        <v>102314</v>
      </c>
      <c r="C5641" s="406" t="s">
        <v>6185</v>
      </c>
      <c r="D5641" s="395" t="s">
        <v>20</v>
      </c>
      <c r="E5641" s="407">
        <f t="shared" si="176"/>
        <v>7.96</v>
      </c>
      <c r="F5641">
        <f t="shared" si="177"/>
        <v>102314</v>
      </c>
      <c r="H5641" s="680">
        <v>7.96</v>
      </c>
      <c r="I5641" s="680">
        <v>8.19</v>
      </c>
    </row>
    <row r="5642" spans="2:9" ht="45">
      <c r="B5642" s="396">
        <v>102315</v>
      </c>
      <c r="C5642" s="401" t="s">
        <v>6186</v>
      </c>
      <c r="D5642" s="396" t="s">
        <v>20</v>
      </c>
      <c r="E5642" s="405">
        <f t="shared" si="176"/>
        <v>7.07</v>
      </c>
      <c r="F5642">
        <f t="shared" si="177"/>
        <v>102315</v>
      </c>
      <c r="H5642" s="679">
        <v>7.07</v>
      </c>
      <c r="I5642" s="679">
        <v>7.27</v>
      </c>
    </row>
    <row r="5643" spans="2:9" ht="45">
      <c r="B5643" s="395">
        <v>102316</v>
      </c>
      <c r="C5643" s="406" t="s">
        <v>6187</v>
      </c>
      <c r="D5643" s="395" t="s">
        <v>20</v>
      </c>
      <c r="E5643" s="407">
        <f t="shared" si="176"/>
        <v>6.85</v>
      </c>
      <c r="F5643">
        <f t="shared" si="177"/>
        <v>102316</v>
      </c>
      <c r="H5643" s="680">
        <v>6.85</v>
      </c>
      <c r="I5643" s="680">
        <v>7.05</v>
      </c>
    </row>
    <row r="5644" spans="2:9" ht="45">
      <c r="B5644" s="396">
        <v>102317</v>
      </c>
      <c r="C5644" s="401" t="s">
        <v>6188</v>
      </c>
      <c r="D5644" s="396" t="s">
        <v>20</v>
      </c>
      <c r="E5644" s="405">
        <f t="shared" si="176"/>
        <v>6.47</v>
      </c>
      <c r="F5644">
        <f t="shared" si="177"/>
        <v>102317</v>
      </c>
      <c r="H5644" s="679">
        <v>6.47</v>
      </c>
      <c r="I5644" s="679">
        <v>6.65</v>
      </c>
    </row>
    <row r="5645" spans="2:9" ht="45">
      <c r="B5645" s="395">
        <v>102318</v>
      </c>
      <c r="C5645" s="406" t="s">
        <v>6189</v>
      </c>
      <c r="D5645" s="395" t="s">
        <v>20</v>
      </c>
      <c r="E5645" s="407">
        <f t="shared" si="176"/>
        <v>6.3</v>
      </c>
      <c r="F5645">
        <f t="shared" si="177"/>
        <v>102318</v>
      </c>
      <c r="H5645" s="680">
        <v>6.3</v>
      </c>
      <c r="I5645" s="680">
        <v>6.48</v>
      </c>
    </row>
    <row r="5646" spans="2:9" ht="45">
      <c r="B5646" s="396">
        <v>102319</v>
      </c>
      <c r="C5646" s="401" t="s">
        <v>6190</v>
      </c>
      <c r="D5646" s="396" t="s">
        <v>20</v>
      </c>
      <c r="E5646" s="405">
        <f t="shared" si="176"/>
        <v>6.25</v>
      </c>
      <c r="F5646">
        <f t="shared" si="177"/>
        <v>102319</v>
      </c>
      <c r="H5646" s="679">
        <v>6.25</v>
      </c>
      <c r="I5646" s="679">
        <v>6.4</v>
      </c>
    </row>
    <row r="5647" spans="2:9" ht="45">
      <c r="B5647" s="395">
        <v>102320</v>
      </c>
      <c r="C5647" s="406" t="s">
        <v>6191</v>
      </c>
      <c r="D5647" s="395" t="s">
        <v>20</v>
      </c>
      <c r="E5647" s="407">
        <f t="shared" si="176"/>
        <v>5.99</v>
      </c>
      <c r="F5647">
        <f t="shared" si="177"/>
        <v>102320</v>
      </c>
      <c r="H5647" s="680">
        <v>5.99</v>
      </c>
      <c r="I5647" s="680">
        <v>6.14</v>
      </c>
    </row>
    <row r="5648" spans="2:9" ht="45">
      <c r="B5648" s="396">
        <v>102321</v>
      </c>
      <c r="C5648" s="401" t="s">
        <v>6192</v>
      </c>
      <c r="D5648" s="396" t="s">
        <v>20</v>
      </c>
      <c r="E5648" s="405">
        <f t="shared" si="176"/>
        <v>5.88</v>
      </c>
      <c r="F5648">
        <f t="shared" si="177"/>
        <v>102321</v>
      </c>
      <c r="H5648" s="679">
        <v>5.88</v>
      </c>
      <c r="I5648" s="679">
        <v>6.02</v>
      </c>
    </row>
    <row r="5649" spans="2:9" ht="45">
      <c r="B5649" s="395">
        <v>102322</v>
      </c>
      <c r="C5649" s="406" t="s">
        <v>6193</v>
      </c>
      <c r="D5649" s="395" t="s">
        <v>20</v>
      </c>
      <c r="E5649" s="407">
        <f t="shared" si="176"/>
        <v>17.61</v>
      </c>
      <c r="F5649">
        <f t="shared" si="177"/>
        <v>102322</v>
      </c>
      <c r="H5649" s="680">
        <v>17.61</v>
      </c>
      <c r="I5649" s="680">
        <v>18.309999999999999</v>
      </c>
    </row>
    <row r="5650" spans="2:9" ht="45">
      <c r="B5650" s="396">
        <v>102323</v>
      </c>
      <c r="C5650" s="401" t="s">
        <v>6194</v>
      </c>
      <c r="D5650" s="396" t="s">
        <v>20</v>
      </c>
      <c r="E5650" s="405">
        <f t="shared" si="176"/>
        <v>14.95</v>
      </c>
      <c r="F5650">
        <f t="shared" si="177"/>
        <v>102323</v>
      </c>
      <c r="H5650" s="679">
        <v>14.95</v>
      </c>
      <c r="I5650" s="679">
        <v>15.55</v>
      </c>
    </row>
    <row r="5651" spans="2:9" ht="45">
      <c r="B5651" s="395">
        <v>102324</v>
      </c>
      <c r="C5651" s="406" t="s">
        <v>6195</v>
      </c>
      <c r="D5651" s="395" t="s">
        <v>20</v>
      </c>
      <c r="E5651" s="407">
        <f t="shared" si="176"/>
        <v>14.76</v>
      </c>
      <c r="F5651">
        <f t="shared" si="177"/>
        <v>102324</v>
      </c>
      <c r="H5651" s="680">
        <v>14.76</v>
      </c>
      <c r="I5651" s="680">
        <v>15.35</v>
      </c>
    </row>
    <row r="5652" spans="2:9" ht="45">
      <c r="B5652" s="396">
        <v>102325</v>
      </c>
      <c r="C5652" s="401" t="s">
        <v>6196</v>
      </c>
      <c r="D5652" s="396" t="s">
        <v>20</v>
      </c>
      <c r="E5652" s="405">
        <f t="shared" si="176"/>
        <v>13.43</v>
      </c>
      <c r="F5652">
        <f t="shared" si="177"/>
        <v>102325</v>
      </c>
      <c r="H5652" s="679">
        <v>13.43</v>
      </c>
      <c r="I5652" s="679">
        <v>13.98</v>
      </c>
    </row>
    <row r="5653" spans="2:9" ht="45">
      <c r="B5653" s="395">
        <v>102326</v>
      </c>
      <c r="C5653" s="406" t="s">
        <v>6197</v>
      </c>
      <c r="D5653" s="395" t="s">
        <v>20</v>
      </c>
      <c r="E5653" s="407">
        <f t="shared" si="176"/>
        <v>9.7200000000000006</v>
      </c>
      <c r="F5653">
        <f t="shared" si="177"/>
        <v>102326</v>
      </c>
      <c r="H5653" s="680">
        <v>9.7200000000000006</v>
      </c>
      <c r="I5653" s="680">
        <v>10.1</v>
      </c>
    </row>
    <row r="5654" spans="2:9" ht="45">
      <c r="B5654" s="396">
        <v>102327</v>
      </c>
      <c r="C5654" s="401" t="s">
        <v>6198</v>
      </c>
      <c r="D5654" s="396" t="s">
        <v>20</v>
      </c>
      <c r="E5654" s="405">
        <f t="shared" si="176"/>
        <v>8.25</v>
      </c>
      <c r="F5654">
        <f t="shared" si="177"/>
        <v>102327</v>
      </c>
      <c r="H5654" s="679">
        <v>8.25</v>
      </c>
      <c r="I5654" s="679">
        <v>8.58</v>
      </c>
    </row>
    <row r="5655" spans="2:9" ht="45">
      <c r="B5655" s="395">
        <v>102328</v>
      </c>
      <c r="C5655" s="406" t="s">
        <v>6199</v>
      </c>
      <c r="D5655" s="395" t="s">
        <v>20</v>
      </c>
      <c r="E5655" s="407">
        <f t="shared" si="176"/>
        <v>8.14</v>
      </c>
      <c r="F5655">
        <f t="shared" si="177"/>
        <v>102328</v>
      </c>
      <c r="H5655" s="680">
        <v>8.14</v>
      </c>
      <c r="I5655" s="680">
        <v>8.4600000000000009</v>
      </c>
    </row>
    <row r="5656" spans="2:9" ht="45">
      <c r="B5656" s="396">
        <v>102329</v>
      </c>
      <c r="C5656" s="401" t="s">
        <v>6200</v>
      </c>
      <c r="D5656" s="396" t="s">
        <v>20</v>
      </c>
      <c r="E5656" s="405">
        <f t="shared" si="176"/>
        <v>7.42</v>
      </c>
      <c r="F5656">
        <f t="shared" si="177"/>
        <v>102329</v>
      </c>
      <c r="H5656" s="679">
        <v>7.42</v>
      </c>
      <c r="I5656" s="679">
        <v>7.71</v>
      </c>
    </row>
    <row r="5657" spans="2:9" ht="30">
      <c r="B5657" s="395">
        <v>94304</v>
      </c>
      <c r="C5657" s="406" t="s">
        <v>1738</v>
      </c>
      <c r="D5657" s="395" t="s">
        <v>20</v>
      </c>
      <c r="E5657" s="407">
        <f t="shared" si="176"/>
        <v>63.87</v>
      </c>
      <c r="F5657">
        <f t="shared" si="177"/>
        <v>94304</v>
      </c>
      <c r="H5657" s="680">
        <v>63.87</v>
      </c>
      <c r="I5657" s="680">
        <v>64.540000000000006</v>
      </c>
    </row>
    <row r="5658" spans="2:9" ht="30">
      <c r="B5658" s="396">
        <v>94305</v>
      </c>
      <c r="C5658" s="401" t="s">
        <v>1739</v>
      </c>
      <c r="D5658" s="396" t="s">
        <v>20</v>
      </c>
      <c r="E5658" s="405">
        <f t="shared" si="176"/>
        <v>60.72</v>
      </c>
      <c r="F5658">
        <f t="shared" si="177"/>
        <v>94305</v>
      </c>
      <c r="H5658" s="679">
        <v>60.72</v>
      </c>
      <c r="I5658" s="679">
        <v>61.24</v>
      </c>
    </row>
    <row r="5659" spans="2:9" ht="30">
      <c r="B5659" s="395">
        <v>94306</v>
      </c>
      <c r="C5659" s="406" t="s">
        <v>1740</v>
      </c>
      <c r="D5659" s="395" t="s">
        <v>20</v>
      </c>
      <c r="E5659" s="407">
        <f t="shared" si="176"/>
        <v>56.74</v>
      </c>
      <c r="F5659">
        <f t="shared" si="177"/>
        <v>94306</v>
      </c>
      <c r="H5659" s="680">
        <v>56.74</v>
      </c>
      <c r="I5659" s="680">
        <v>57.04</v>
      </c>
    </row>
    <row r="5660" spans="2:9" ht="30">
      <c r="B5660" s="396">
        <v>94307</v>
      </c>
      <c r="C5660" s="401" t="s">
        <v>1741</v>
      </c>
      <c r="D5660" s="396" t="s">
        <v>20</v>
      </c>
      <c r="E5660" s="405">
        <f t="shared" si="176"/>
        <v>57.67</v>
      </c>
      <c r="F5660">
        <f t="shared" si="177"/>
        <v>94307</v>
      </c>
      <c r="H5660" s="679">
        <v>57.67</v>
      </c>
      <c r="I5660" s="679">
        <v>58.02</v>
      </c>
    </row>
    <row r="5661" spans="2:9" ht="30">
      <c r="B5661" s="395">
        <v>94308</v>
      </c>
      <c r="C5661" s="406" t="s">
        <v>1742</v>
      </c>
      <c r="D5661" s="395" t="s">
        <v>20</v>
      </c>
      <c r="E5661" s="407">
        <f t="shared" si="176"/>
        <v>55.11</v>
      </c>
      <c r="F5661">
        <f t="shared" si="177"/>
        <v>94308</v>
      </c>
      <c r="H5661" s="680">
        <v>55.11</v>
      </c>
      <c r="I5661" s="680">
        <v>55.35</v>
      </c>
    </row>
    <row r="5662" spans="2:9" ht="30">
      <c r="B5662" s="396">
        <v>94309</v>
      </c>
      <c r="C5662" s="401" t="s">
        <v>1743</v>
      </c>
      <c r="D5662" s="396" t="s">
        <v>20</v>
      </c>
      <c r="E5662" s="405">
        <f t="shared" si="176"/>
        <v>56.31</v>
      </c>
      <c r="F5662">
        <f t="shared" si="177"/>
        <v>94309</v>
      </c>
      <c r="H5662" s="679">
        <v>56.31</v>
      </c>
      <c r="I5662" s="679">
        <v>56.57</v>
      </c>
    </row>
    <row r="5663" spans="2:9" ht="30">
      <c r="B5663" s="395">
        <v>94310</v>
      </c>
      <c r="C5663" s="406" t="s">
        <v>1744</v>
      </c>
      <c r="D5663" s="395" t="s">
        <v>20</v>
      </c>
      <c r="E5663" s="407">
        <f t="shared" si="176"/>
        <v>54.26</v>
      </c>
      <c r="F5663">
        <f t="shared" si="177"/>
        <v>94310</v>
      </c>
      <c r="H5663" s="680">
        <v>54.26</v>
      </c>
      <c r="I5663" s="680">
        <v>54.47</v>
      </c>
    </row>
    <row r="5664" spans="2:9" ht="30">
      <c r="B5664" s="396">
        <v>94315</v>
      </c>
      <c r="C5664" s="401" t="s">
        <v>459</v>
      </c>
      <c r="D5664" s="396" t="s">
        <v>20</v>
      </c>
      <c r="E5664" s="405">
        <f t="shared" si="176"/>
        <v>67.87</v>
      </c>
      <c r="F5664">
        <f t="shared" si="177"/>
        <v>94315</v>
      </c>
      <c r="H5664" s="679">
        <v>67.87</v>
      </c>
      <c r="I5664" s="679">
        <v>69.22</v>
      </c>
    </row>
    <row r="5665" spans="2:9" ht="30">
      <c r="B5665" s="395">
        <v>94316</v>
      </c>
      <c r="C5665" s="406" t="s">
        <v>1745</v>
      </c>
      <c r="D5665" s="395" t="s">
        <v>20</v>
      </c>
      <c r="E5665" s="407">
        <f t="shared" si="176"/>
        <v>61.15</v>
      </c>
      <c r="F5665">
        <f t="shared" si="177"/>
        <v>94316</v>
      </c>
      <c r="H5665" s="680">
        <v>61.15</v>
      </c>
      <c r="I5665" s="680">
        <v>62.04</v>
      </c>
    </row>
    <row r="5666" spans="2:9" ht="30">
      <c r="B5666" s="396">
        <v>94317</v>
      </c>
      <c r="C5666" s="401" t="s">
        <v>460</v>
      </c>
      <c r="D5666" s="396" t="s">
        <v>20</v>
      </c>
      <c r="E5666" s="405">
        <f t="shared" si="176"/>
        <v>58.17</v>
      </c>
      <c r="F5666">
        <f t="shared" si="177"/>
        <v>94317</v>
      </c>
      <c r="H5666" s="679">
        <v>58.17</v>
      </c>
      <c r="I5666" s="679">
        <v>58.86</v>
      </c>
    </row>
    <row r="5667" spans="2:9" ht="30">
      <c r="B5667" s="395">
        <v>94318</v>
      </c>
      <c r="C5667" s="406" t="s">
        <v>1746</v>
      </c>
      <c r="D5667" s="395" t="s">
        <v>20</v>
      </c>
      <c r="E5667" s="407">
        <f t="shared" si="176"/>
        <v>54.38</v>
      </c>
      <c r="F5667">
        <f t="shared" si="177"/>
        <v>94318</v>
      </c>
      <c r="H5667" s="680">
        <v>54.38</v>
      </c>
      <c r="I5667" s="680">
        <v>54.78</v>
      </c>
    </row>
    <row r="5668" spans="2:9">
      <c r="B5668" s="396">
        <v>94319</v>
      </c>
      <c r="C5668" s="401" t="s">
        <v>1747</v>
      </c>
      <c r="D5668" s="396" t="s">
        <v>20</v>
      </c>
      <c r="E5668" s="405">
        <f t="shared" si="176"/>
        <v>69.959999999999994</v>
      </c>
      <c r="F5668">
        <f t="shared" si="177"/>
        <v>94319</v>
      </c>
      <c r="H5668" s="679">
        <v>69.959999999999994</v>
      </c>
      <c r="I5668" s="679">
        <v>72.22</v>
      </c>
    </row>
    <row r="5669" spans="2:9" ht="30">
      <c r="B5669" s="395">
        <v>94327</v>
      </c>
      <c r="C5669" s="406" t="s">
        <v>1748</v>
      </c>
      <c r="D5669" s="395" t="s">
        <v>20</v>
      </c>
      <c r="E5669" s="407">
        <f t="shared" si="176"/>
        <v>98.2</v>
      </c>
      <c r="F5669">
        <f t="shared" si="177"/>
        <v>94327</v>
      </c>
      <c r="H5669" s="680">
        <v>98.2</v>
      </c>
      <c r="I5669" s="680">
        <v>98.87</v>
      </c>
    </row>
    <row r="5670" spans="2:9" ht="30">
      <c r="B5670" s="396">
        <v>94328</v>
      </c>
      <c r="C5670" s="401" t="s">
        <v>1749</v>
      </c>
      <c r="D5670" s="396" t="s">
        <v>20</v>
      </c>
      <c r="E5670" s="405">
        <f t="shared" si="176"/>
        <v>95.05</v>
      </c>
      <c r="F5670">
        <f t="shared" si="177"/>
        <v>94328</v>
      </c>
      <c r="H5670" s="679">
        <v>95.05</v>
      </c>
      <c r="I5670" s="679">
        <v>95.57</v>
      </c>
    </row>
    <row r="5671" spans="2:9" ht="30">
      <c r="B5671" s="395">
        <v>94329</v>
      </c>
      <c r="C5671" s="406" t="s">
        <v>1750</v>
      </c>
      <c r="D5671" s="395" t="s">
        <v>20</v>
      </c>
      <c r="E5671" s="407">
        <f t="shared" si="176"/>
        <v>91.07</v>
      </c>
      <c r="F5671">
        <f t="shared" si="177"/>
        <v>94329</v>
      </c>
      <c r="H5671" s="680">
        <v>91.07</v>
      </c>
      <c r="I5671" s="680">
        <v>91.37</v>
      </c>
    </row>
    <row r="5672" spans="2:9" ht="30">
      <c r="B5672" s="396">
        <v>94330</v>
      </c>
      <c r="C5672" s="401" t="s">
        <v>1751</v>
      </c>
      <c r="D5672" s="396" t="s">
        <v>20</v>
      </c>
      <c r="E5672" s="405">
        <f t="shared" si="176"/>
        <v>92</v>
      </c>
      <c r="F5672">
        <f t="shared" si="177"/>
        <v>94330</v>
      </c>
      <c r="H5672" s="679">
        <v>92</v>
      </c>
      <c r="I5672" s="679">
        <v>92.35</v>
      </c>
    </row>
    <row r="5673" spans="2:9" ht="30">
      <c r="B5673" s="395">
        <v>94331</v>
      </c>
      <c r="C5673" s="406" t="s">
        <v>1752</v>
      </c>
      <c r="D5673" s="395" t="s">
        <v>20</v>
      </c>
      <c r="E5673" s="407">
        <f t="shared" si="176"/>
        <v>89.44</v>
      </c>
      <c r="F5673">
        <f t="shared" si="177"/>
        <v>94331</v>
      </c>
      <c r="H5673" s="680">
        <v>89.44</v>
      </c>
      <c r="I5673" s="680">
        <v>89.68</v>
      </c>
    </row>
    <row r="5674" spans="2:9" ht="30">
      <c r="B5674" s="396">
        <v>94332</v>
      </c>
      <c r="C5674" s="401" t="s">
        <v>1753</v>
      </c>
      <c r="D5674" s="396" t="s">
        <v>20</v>
      </c>
      <c r="E5674" s="405">
        <f t="shared" si="176"/>
        <v>90.64</v>
      </c>
      <c r="F5674">
        <f t="shared" si="177"/>
        <v>94332</v>
      </c>
      <c r="H5674" s="679">
        <v>90.64</v>
      </c>
      <c r="I5674" s="679">
        <v>90.9</v>
      </c>
    </row>
    <row r="5675" spans="2:9" ht="30">
      <c r="B5675" s="395">
        <v>94333</v>
      </c>
      <c r="C5675" s="406" t="s">
        <v>1754</v>
      </c>
      <c r="D5675" s="395" t="s">
        <v>20</v>
      </c>
      <c r="E5675" s="407">
        <f t="shared" si="176"/>
        <v>88.59</v>
      </c>
      <c r="F5675">
        <f t="shared" si="177"/>
        <v>94333</v>
      </c>
      <c r="H5675" s="680">
        <v>88.59</v>
      </c>
      <c r="I5675" s="680">
        <v>88.8</v>
      </c>
    </row>
    <row r="5676" spans="2:9" ht="30">
      <c r="B5676" s="396">
        <v>94338</v>
      </c>
      <c r="C5676" s="401" t="s">
        <v>461</v>
      </c>
      <c r="D5676" s="396" t="s">
        <v>20</v>
      </c>
      <c r="E5676" s="405">
        <f t="shared" si="176"/>
        <v>102.2</v>
      </c>
      <c r="F5676">
        <f t="shared" si="177"/>
        <v>94338</v>
      </c>
      <c r="H5676" s="679">
        <v>102.2</v>
      </c>
      <c r="I5676" s="679">
        <v>103.55</v>
      </c>
    </row>
    <row r="5677" spans="2:9" ht="30">
      <c r="B5677" s="395">
        <v>94339</v>
      </c>
      <c r="C5677" s="406" t="s">
        <v>1755</v>
      </c>
      <c r="D5677" s="395" t="s">
        <v>20</v>
      </c>
      <c r="E5677" s="407">
        <f t="shared" si="176"/>
        <v>95.48</v>
      </c>
      <c r="F5677">
        <f t="shared" si="177"/>
        <v>94339</v>
      </c>
      <c r="H5677" s="680">
        <v>95.48</v>
      </c>
      <c r="I5677" s="680">
        <v>96.37</v>
      </c>
    </row>
    <row r="5678" spans="2:9" ht="30">
      <c r="B5678" s="396">
        <v>94340</v>
      </c>
      <c r="C5678" s="401" t="s">
        <v>462</v>
      </c>
      <c r="D5678" s="396" t="s">
        <v>20</v>
      </c>
      <c r="E5678" s="405">
        <f t="shared" si="176"/>
        <v>92.5</v>
      </c>
      <c r="F5678">
        <f t="shared" si="177"/>
        <v>94340</v>
      </c>
      <c r="H5678" s="679">
        <v>92.5</v>
      </c>
      <c r="I5678" s="679">
        <v>93.19</v>
      </c>
    </row>
    <row r="5679" spans="2:9" ht="30">
      <c r="B5679" s="395">
        <v>94341</v>
      </c>
      <c r="C5679" s="406" t="s">
        <v>1756</v>
      </c>
      <c r="D5679" s="395" t="s">
        <v>20</v>
      </c>
      <c r="E5679" s="407">
        <f t="shared" si="176"/>
        <v>88.71</v>
      </c>
      <c r="F5679">
        <f t="shared" si="177"/>
        <v>94341</v>
      </c>
      <c r="H5679" s="680">
        <v>88.71</v>
      </c>
      <c r="I5679" s="680">
        <v>89.11</v>
      </c>
    </row>
    <row r="5680" spans="2:9">
      <c r="B5680" s="396">
        <v>94342</v>
      </c>
      <c r="C5680" s="401" t="s">
        <v>463</v>
      </c>
      <c r="D5680" s="396" t="s">
        <v>20</v>
      </c>
      <c r="E5680" s="405">
        <f t="shared" si="176"/>
        <v>104.29</v>
      </c>
      <c r="F5680">
        <f t="shared" si="177"/>
        <v>94342</v>
      </c>
      <c r="H5680" s="679">
        <v>104.29</v>
      </c>
      <c r="I5680" s="679">
        <v>106.55</v>
      </c>
    </row>
    <row r="5681" spans="2:9" ht="30">
      <c r="B5681" s="395">
        <v>96385</v>
      </c>
      <c r="C5681" s="406" t="s">
        <v>3648</v>
      </c>
      <c r="D5681" s="395" t="s">
        <v>20</v>
      </c>
      <c r="E5681" s="407">
        <f t="shared" si="176"/>
        <v>10.17</v>
      </c>
      <c r="F5681">
        <f t="shared" si="177"/>
        <v>96385</v>
      </c>
      <c r="H5681" s="680">
        <v>10.17</v>
      </c>
      <c r="I5681" s="680">
        <v>10.48</v>
      </c>
    </row>
    <row r="5682" spans="2:9" ht="30">
      <c r="B5682" s="396">
        <v>96386</v>
      </c>
      <c r="C5682" s="401" t="s">
        <v>3649</v>
      </c>
      <c r="D5682" s="396" t="s">
        <v>20</v>
      </c>
      <c r="E5682" s="405">
        <f t="shared" si="176"/>
        <v>7.53</v>
      </c>
      <c r="F5682">
        <f t="shared" si="177"/>
        <v>96386</v>
      </c>
      <c r="H5682" s="679">
        <v>7.53</v>
      </c>
      <c r="I5682" s="679">
        <v>7.73</v>
      </c>
    </row>
    <row r="5683" spans="2:9" ht="45">
      <c r="B5683" s="395">
        <v>93360</v>
      </c>
      <c r="C5683" s="406" t="s">
        <v>2873</v>
      </c>
      <c r="D5683" s="395" t="s">
        <v>20</v>
      </c>
      <c r="E5683" s="407">
        <f t="shared" si="176"/>
        <v>19.57</v>
      </c>
      <c r="F5683">
        <f t="shared" si="177"/>
        <v>93360</v>
      </c>
      <c r="H5683" s="680">
        <v>19.57</v>
      </c>
      <c r="I5683" s="680">
        <v>20.28</v>
      </c>
    </row>
    <row r="5684" spans="2:9" ht="45">
      <c r="B5684" s="396">
        <v>93361</v>
      </c>
      <c r="C5684" s="401" t="s">
        <v>2874</v>
      </c>
      <c r="D5684" s="396" t="s">
        <v>20</v>
      </c>
      <c r="E5684" s="405">
        <f t="shared" si="176"/>
        <v>16.55</v>
      </c>
      <c r="F5684">
        <f t="shared" si="177"/>
        <v>93361</v>
      </c>
      <c r="H5684" s="679">
        <v>16.55</v>
      </c>
      <c r="I5684" s="679">
        <v>17.11</v>
      </c>
    </row>
    <row r="5685" spans="2:9" ht="45">
      <c r="B5685" s="395">
        <v>93362</v>
      </c>
      <c r="C5685" s="406" t="s">
        <v>2875</v>
      </c>
      <c r="D5685" s="395" t="s">
        <v>20</v>
      </c>
      <c r="E5685" s="407">
        <f t="shared" si="176"/>
        <v>12.46</v>
      </c>
      <c r="F5685">
        <f t="shared" si="177"/>
        <v>93362</v>
      </c>
      <c r="H5685" s="680">
        <v>12.46</v>
      </c>
      <c r="I5685" s="680">
        <v>12.8</v>
      </c>
    </row>
    <row r="5686" spans="2:9" ht="45">
      <c r="B5686" s="396">
        <v>93363</v>
      </c>
      <c r="C5686" s="401" t="s">
        <v>2876</v>
      </c>
      <c r="D5686" s="396" t="s">
        <v>20</v>
      </c>
      <c r="E5686" s="405">
        <f t="shared" si="176"/>
        <v>13.39</v>
      </c>
      <c r="F5686">
        <f t="shared" si="177"/>
        <v>93363</v>
      </c>
      <c r="H5686" s="679">
        <v>13.39</v>
      </c>
      <c r="I5686" s="679">
        <v>13.76</v>
      </c>
    </row>
    <row r="5687" spans="2:9" ht="45">
      <c r="B5687" s="395">
        <v>93364</v>
      </c>
      <c r="C5687" s="406" t="s">
        <v>1757</v>
      </c>
      <c r="D5687" s="395" t="s">
        <v>20</v>
      </c>
      <c r="E5687" s="407">
        <f t="shared" si="176"/>
        <v>10.8</v>
      </c>
      <c r="F5687">
        <f t="shared" si="177"/>
        <v>93364</v>
      </c>
      <c r="H5687" s="680">
        <v>10.8</v>
      </c>
      <c r="I5687" s="680">
        <v>11.09</v>
      </c>
    </row>
    <row r="5688" spans="2:9" ht="45">
      <c r="B5688" s="396">
        <v>93365</v>
      </c>
      <c r="C5688" s="401" t="s">
        <v>2877</v>
      </c>
      <c r="D5688" s="396" t="s">
        <v>20</v>
      </c>
      <c r="E5688" s="405">
        <f t="shared" si="176"/>
        <v>11.94</v>
      </c>
      <c r="F5688">
        <f t="shared" si="177"/>
        <v>93365</v>
      </c>
      <c r="H5688" s="679">
        <v>11.94</v>
      </c>
      <c r="I5688" s="679">
        <v>12.25</v>
      </c>
    </row>
    <row r="5689" spans="2:9" ht="45">
      <c r="B5689" s="395">
        <v>93366</v>
      </c>
      <c r="C5689" s="406" t="s">
        <v>2878</v>
      </c>
      <c r="D5689" s="395" t="s">
        <v>20</v>
      </c>
      <c r="E5689" s="407">
        <f t="shared" si="176"/>
        <v>9.99</v>
      </c>
      <c r="F5689">
        <f t="shared" si="177"/>
        <v>93366</v>
      </c>
      <c r="H5689" s="680">
        <v>9.99</v>
      </c>
      <c r="I5689" s="680">
        <v>10.23</v>
      </c>
    </row>
    <row r="5690" spans="2:9" ht="45">
      <c r="B5690" s="396">
        <v>93367</v>
      </c>
      <c r="C5690" s="401" t="s">
        <v>2879</v>
      </c>
      <c r="D5690" s="396" t="s">
        <v>20</v>
      </c>
      <c r="E5690" s="405">
        <f t="shared" si="176"/>
        <v>18.21</v>
      </c>
      <c r="F5690">
        <f t="shared" si="177"/>
        <v>93367</v>
      </c>
      <c r="H5690" s="679">
        <v>18.21</v>
      </c>
      <c r="I5690" s="679">
        <v>18.89</v>
      </c>
    </row>
    <row r="5691" spans="2:9" ht="45">
      <c r="B5691" s="395">
        <v>93368</v>
      </c>
      <c r="C5691" s="406" t="s">
        <v>2880</v>
      </c>
      <c r="D5691" s="395" t="s">
        <v>20</v>
      </c>
      <c r="E5691" s="407">
        <f t="shared" si="176"/>
        <v>15.08</v>
      </c>
      <c r="F5691">
        <f t="shared" si="177"/>
        <v>93368</v>
      </c>
      <c r="H5691" s="680">
        <v>15.08</v>
      </c>
      <c r="I5691" s="680">
        <v>15.6</v>
      </c>
    </row>
    <row r="5692" spans="2:9" ht="45">
      <c r="B5692" s="396">
        <v>93369</v>
      </c>
      <c r="C5692" s="401" t="s">
        <v>1758</v>
      </c>
      <c r="D5692" s="396" t="s">
        <v>20</v>
      </c>
      <c r="E5692" s="405">
        <f t="shared" si="176"/>
        <v>11.11</v>
      </c>
      <c r="F5692">
        <f t="shared" si="177"/>
        <v>93369</v>
      </c>
      <c r="H5692" s="679">
        <v>11.11</v>
      </c>
      <c r="I5692" s="679">
        <v>11.41</v>
      </c>
    </row>
    <row r="5693" spans="2:9" ht="45">
      <c r="B5693" s="395">
        <v>93370</v>
      </c>
      <c r="C5693" s="406" t="s">
        <v>2881</v>
      </c>
      <c r="D5693" s="395" t="s">
        <v>20</v>
      </c>
      <c r="E5693" s="407">
        <f t="shared" si="176"/>
        <v>12.04</v>
      </c>
      <c r="F5693">
        <f t="shared" si="177"/>
        <v>93370</v>
      </c>
      <c r="H5693" s="680">
        <v>12.04</v>
      </c>
      <c r="I5693" s="680">
        <v>12.39</v>
      </c>
    </row>
    <row r="5694" spans="2:9" ht="45">
      <c r="B5694" s="396">
        <v>93371</v>
      </c>
      <c r="C5694" s="401" t="s">
        <v>1759</v>
      </c>
      <c r="D5694" s="396" t="s">
        <v>20</v>
      </c>
      <c r="E5694" s="405">
        <f t="shared" si="176"/>
        <v>9.48</v>
      </c>
      <c r="F5694">
        <f t="shared" si="177"/>
        <v>93371</v>
      </c>
      <c r="H5694" s="679">
        <v>9.48</v>
      </c>
      <c r="I5694" s="679">
        <v>9.7100000000000009</v>
      </c>
    </row>
    <row r="5695" spans="2:9" ht="45">
      <c r="B5695" s="395">
        <v>93372</v>
      </c>
      <c r="C5695" s="406" t="s">
        <v>2882</v>
      </c>
      <c r="D5695" s="395" t="s">
        <v>20</v>
      </c>
      <c r="E5695" s="407">
        <f t="shared" si="176"/>
        <v>10.67</v>
      </c>
      <c r="F5695">
        <f t="shared" si="177"/>
        <v>93372</v>
      </c>
      <c r="H5695" s="680">
        <v>10.67</v>
      </c>
      <c r="I5695" s="680">
        <v>10.94</v>
      </c>
    </row>
    <row r="5696" spans="2:9" ht="45">
      <c r="B5696" s="396">
        <v>93373</v>
      </c>
      <c r="C5696" s="401" t="s">
        <v>1760</v>
      </c>
      <c r="D5696" s="396" t="s">
        <v>20</v>
      </c>
      <c r="E5696" s="405">
        <f t="shared" si="176"/>
        <v>8.64</v>
      </c>
      <c r="F5696">
        <f t="shared" si="177"/>
        <v>93373</v>
      </c>
      <c r="H5696" s="679">
        <v>8.64</v>
      </c>
      <c r="I5696" s="679">
        <v>8.85</v>
      </c>
    </row>
    <row r="5697" spans="2:9" ht="45">
      <c r="B5697" s="395">
        <v>93374</v>
      </c>
      <c r="C5697" s="406" t="s">
        <v>1761</v>
      </c>
      <c r="D5697" s="395" t="s">
        <v>20</v>
      </c>
      <c r="E5697" s="407">
        <f t="shared" si="176"/>
        <v>21</v>
      </c>
      <c r="F5697">
        <f t="shared" si="177"/>
        <v>93374</v>
      </c>
      <c r="H5697" s="680">
        <v>21</v>
      </c>
      <c r="I5697" s="680">
        <v>22.15</v>
      </c>
    </row>
    <row r="5698" spans="2:9" ht="45">
      <c r="B5698" s="396">
        <v>93375</v>
      </c>
      <c r="C5698" s="401" t="s">
        <v>2883</v>
      </c>
      <c r="D5698" s="396" t="s">
        <v>20</v>
      </c>
      <c r="E5698" s="405">
        <f t="shared" si="176"/>
        <v>16.239999999999998</v>
      </c>
      <c r="F5698">
        <f t="shared" si="177"/>
        <v>93375</v>
      </c>
      <c r="H5698" s="679">
        <v>16.239999999999998</v>
      </c>
      <c r="I5698" s="679">
        <v>17.12</v>
      </c>
    </row>
    <row r="5699" spans="2:9" ht="45">
      <c r="B5699" s="395">
        <v>93376</v>
      </c>
      <c r="C5699" s="406" t="s">
        <v>2884</v>
      </c>
      <c r="D5699" s="395" t="s">
        <v>20</v>
      </c>
      <c r="E5699" s="407">
        <f t="shared" ref="E5699:E5762" si="178">IF($K$2=$H$1,H5699,I5699)</f>
        <v>13.43</v>
      </c>
      <c r="F5699">
        <f t="shared" ref="F5699:F5762" si="179">IF(LEN($B5699)=7,CONCATENATE(MID($B5699,1,6),"00",RIGHT($B5699,1)),IF(LEN($B5699)=8,CONCATENATE(MID($B5699,1,6),"0",RIGHT($B5699,2)),$B5699))</f>
        <v>93376</v>
      </c>
      <c r="H5699" s="680">
        <v>13.43</v>
      </c>
      <c r="I5699" s="680">
        <v>14.14</v>
      </c>
    </row>
    <row r="5700" spans="2:9" ht="45">
      <c r="B5700" s="396">
        <v>93377</v>
      </c>
      <c r="C5700" s="401" t="s">
        <v>1762</v>
      </c>
      <c r="D5700" s="396" t="s">
        <v>20</v>
      </c>
      <c r="E5700" s="405">
        <f t="shared" si="178"/>
        <v>9.3800000000000008</v>
      </c>
      <c r="F5700">
        <f t="shared" si="179"/>
        <v>93377</v>
      </c>
      <c r="H5700" s="679">
        <v>9.3800000000000008</v>
      </c>
      <c r="I5700" s="679">
        <v>9.81</v>
      </c>
    </row>
    <row r="5701" spans="2:9" ht="45">
      <c r="B5701" s="395">
        <v>93378</v>
      </c>
      <c r="C5701" s="406" t="s">
        <v>2885</v>
      </c>
      <c r="D5701" s="395" t="s">
        <v>20</v>
      </c>
      <c r="E5701" s="407">
        <f t="shared" si="178"/>
        <v>19.48</v>
      </c>
      <c r="F5701">
        <f t="shared" si="179"/>
        <v>93378</v>
      </c>
      <c r="H5701" s="680">
        <v>19.48</v>
      </c>
      <c r="I5701" s="680">
        <v>20.58</v>
      </c>
    </row>
    <row r="5702" spans="2:9" ht="45">
      <c r="B5702" s="396">
        <v>93379</v>
      </c>
      <c r="C5702" s="401" t="s">
        <v>2886</v>
      </c>
      <c r="D5702" s="396" t="s">
        <v>20</v>
      </c>
      <c r="E5702" s="405">
        <f t="shared" si="178"/>
        <v>15.07</v>
      </c>
      <c r="F5702">
        <f t="shared" si="179"/>
        <v>93379</v>
      </c>
      <c r="H5702" s="679">
        <v>15.07</v>
      </c>
      <c r="I5702" s="679">
        <v>15.93</v>
      </c>
    </row>
    <row r="5703" spans="2:9" ht="45">
      <c r="B5703" s="395">
        <v>93380</v>
      </c>
      <c r="C5703" s="406" t="s">
        <v>2887</v>
      </c>
      <c r="D5703" s="395" t="s">
        <v>20</v>
      </c>
      <c r="E5703" s="407">
        <f t="shared" si="178"/>
        <v>12.52</v>
      </c>
      <c r="F5703">
        <f t="shared" si="179"/>
        <v>93380</v>
      </c>
      <c r="H5703" s="680">
        <v>12.52</v>
      </c>
      <c r="I5703" s="680">
        <v>13.21</v>
      </c>
    </row>
    <row r="5704" spans="2:9" ht="45">
      <c r="B5704" s="396">
        <v>93381</v>
      </c>
      <c r="C5704" s="401" t="s">
        <v>1763</v>
      </c>
      <c r="D5704" s="396" t="s">
        <v>20</v>
      </c>
      <c r="E5704" s="405">
        <f t="shared" si="178"/>
        <v>8.74</v>
      </c>
      <c r="F5704">
        <f t="shared" si="179"/>
        <v>93381</v>
      </c>
      <c r="H5704" s="679">
        <v>8.74</v>
      </c>
      <c r="I5704" s="679">
        <v>9.15</v>
      </c>
    </row>
    <row r="5705" spans="2:9">
      <c r="B5705" s="395">
        <v>93382</v>
      </c>
      <c r="C5705" s="406" t="s">
        <v>445</v>
      </c>
      <c r="D5705" s="395" t="s">
        <v>20</v>
      </c>
      <c r="E5705" s="407">
        <f t="shared" si="178"/>
        <v>24.33</v>
      </c>
      <c r="F5705">
        <f t="shared" si="179"/>
        <v>93382</v>
      </c>
      <c r="H5705" s="680">
        <v>24.33</v>
      </c>
      <c r="I5705" s="680">
        <v>26.58</v>
      </c>
    </row>
    <row r="5706" spans="2:9">
      <c r="B5706" s="396">
        <v>96995</v>
      </c>
      <c r="C5706" s="401" t="s">
        <v>2537</v>
      </c>
      <c r="D5706" s="396" t="s">
        <v>20</v>
      </c>
      <c r="E5706" s="405">
        <f t="shared" si="178"/>
        <v>41.78</v>
      </c>
      <c r="F5706">
        <f t="shared" si="179"/>
        <v>96995</v>
      </c>
      <c r="H5706" s="679">
        <v>41.78</v>
      </c>
      <c r="I5706" s="679">
        <v>46.26</v>
      </c>
    </row>
    <row r="5707" spans="2:9">
      <c r="B5707" s="395">
        <v>97916</v>
      </c>
      <c r="C5707" s="406" t="s">
        <v>4327</v>
      </c>
      <c r="D5707" s="395" t="s">
        <v>78</v>
      </c>
      <c r="E5707" s="407">
        <f t="shared" si="178"/>
        <v>2.25</v>
      </c>
      <c r="F5707">
        <f t="shared" si="179"/>
        <v>97916</v>
      </c>
      <c r="H5707" s="680">
        <v>2.25</v>
      </c>
      <c r="I5707" s="680">
        <v>2.2799999999999998</v>
      </c>
    </row>
    <row r="5708" spans="2:9">
      <c r="B5708" s="396">
        <v>97917</v>
      </c>
      <c r="C5708" s="401" t="s">
        <v>4328</v>
      </c>
      <c r="D5708" s="396" t="s">
        <v>78</v>
      </c>
      <c r="E5708" s="405">
        <f t="shared" si="178"/>
        <v>1.93</v>
      </c>
      <c r="F5708">
        <f t="shared" si="179"/>
        <v>97917</v>
      </c>
      <c r="H5708" s="679">
        <v>1.93</v>
      </c>
      <c r="I5708" s="679">
        <v>1.96</v>
      </c>
    </row>
    <row r="5709" spans="2:9" ht="30">
      <c r="B5709" s="395">
        <v>97918</v>
      </c>
      <c r="C5709" s="406" t="s">
        <v>4329</v>
      </c>
      <c r="D5709" s="395" t="s">
        <v>78</v>
      </c>
      <c r="E5709" s="407">
        <f t="shared" si="178"/>
        <v>1.78</v>
      </c>
      <c r="F5709">
        <f t="shared" si="179"/>
        <v>97918</v>
      </c>
      <c r="H5709" s="680">
        <v>1.78</v>
      </c>
      <c r="I5709" s="680">
        <v>1.81</v>
      </c>
    </row>
    <row r="5710" spans="2:9" ht="30">
      <c r="B5710" s="396">
        <v>97919</v>
      </c>
      <c r="C5710" s="401" t="s">
        <v>4330</v>
      </c>
      <c r="D5710" s="396" t="s">
        <v>78</v>
      </c>
      <c r="E5710" s="405">
        <f t="shared" si="178"/>
        <v>0.7</v>
      </c>
      <c r="F5710">
        <f t="shared" si="179"/>
        <v>97919</v>
      </c>
      <c r="H5710" s="679">
        <v>0.7</v>
      </c>
      <c r="I5710" s="679">
        <v>0.71</v>
      </c>
    </row>
    <row r="5711" spans="2:9">
      <c r="B5711" s="395">
        <v>101616</v>
      </c>
      <c r="C5711" s="406" t="s">
        <v>4677</v>
      </c>
      <c r="D5711" s="395" t="s">
        <v>0</v>
      </c>
      <c r="E5711" s="407">
        <f t="shared" si="178"/>
        <v>5.0199999999999996</v>
      </c>
      <c r="F5711">
        <f t="shared" si="179"/>
        <v>101616</v>
      </c>
      <c r="H5711" s="680">
        <v>5.0199999999999996</v>
      </c>
      <c r="I5711" s="680">
        <v>5.58</v>
      </c>
    </row>
    <row r="5712" spans="2:9" ht="30">
      <c r="B5712" s="396">
        <v>101617</v>
      </c>
      <c r="C5712" s="401" t="s">
        <v>4678</v>
      </c>
      <c r="D5712" s="396" t="s">
        <v>0</v>
      </c>
      <c r="E5712" s="405">
        <f t="shared" si="178"/>
        <v>2.4700000000000002</v>
      </c>
      <c r="F5712">
        <f t="shared" si="179"/>
        <v>101617</v>
      </c>
      <c r="H5712" s="679">
        <v>2.4700000000000002</v>
      </c>
      <c r="I5712" s="679">
        <v>2.76</v>
      </c>
    </row>
    <row r="5713" spans="2:9">
      <c r="B5713" s="395">
        <v>101618</v>
      </c>
      <c r="C5713" s="406" t="s">
        <v>4679</v>
      </c>
      <c r="D5713" s="395" t="s">
        <v>20</v>
      </c>
      <c r="E5713" s="407">
        <f t="shared" si="178"/>
        <v>240.53</v>
      </c>
      <c r="F5713">
        <f t="shared" si="179"/>
        <v>101618</v>
      </c>
      <c r="H5713" s="680">
        <v>240.53</v>
      </c>
      <c r="I5713" s="680">
        <v>251.52</v>
      </c>
    </row>
    <row r="5714" spans="2:9">
      <c r="B5714" s="396">
        <v>101619</v>
      </c>
      <c r="C5714" s="401" t="s">
        <v>4680</v>
      </c>
      <c r="D5714" s="396" t="s">
        <v>20</v>
      </c>
      <c r="E5714" s="405">
        <f t="shared" si="178"/>
        <v>263.5</v>
      </c>
      <c r="F5714">
        <f t="shared" si="179"/>
        <v>101619</v>
      </c>
      <c r="H5714" s="679">
        <v>263.5</v>
      </c>
      <c r="I5714" s="679">
        <v>276.99</v>
      </c>
    </row>
    <row r="5715" spans="2:9" ht="30">
      <c r="B5715" s="395">
        <v>101620</v>
      </c>
      <c r="C5715" s="406" t="s">
        <v>4681</v>
      </c>
      <c r="D5715" s="395" t="s">
        <v>20</v>
      </c>
      <c r="E5715" s="407">
        <f t="shared" si="178"/>
        <v>220.54</v>
      </c>
      <c r="F5715">
        <f t="shared" si="179"/>
        <v>101620</v>
      </c>
      <c r="H5715" s="680">
        <v>220.54</v>
      </c>
      <c r="I5715" s="680">
        <v>229.34</v>
      </c>
    </row>
    <row r="5716" spans="2:9" ht="30">
      <c r="B5716" s="396">
        <v>101621</v>
      </c>
      <c r="C5716" s="401" t="s">
        <v>4682</v>
      </c>
      <c r="D5716" s="396" t="s">
        <v>20</v>
      </c>
      <c r="E5716" s="405">
        <f t="shared" si="178"/>
        <v>243.51</v>
      </c>
      <c r="F5716">
        <f t="shared" si="179"/>
        <v>101621</v>
      </c>
      <c r="H5716" s="679">
        <v>243.51</v>
      </c>
      <c r="I5716" s="679">
        <v>254.81</v>
      </c>
    </row>
    <row r="5717" spans="2:9">
      <c r="B5717" s="395">
        <v>101622</v>
      </c>
      <c r="C5717" s="406" t="s">
        <v>4683</v>
      </c>
      <c r="D5717" s="395" t="s">
        <v>20</v>
      </c>
      <c r="E5717" s="407">
        <f t="shared" si="178"/>
        <v>220.37</v>
      </c>
      <c r="F5717">
        <f t="shared" si="179"/>
        <v>101622</v>
      </c>
      <c r="H5717" s="680">
        <v>220.37</v>
      </c>
      <c r="I5717" s="680">
        <v>226.13</v>
      </c>
    </row>
    <row r="5718" spans="2:9">
      <c r="B5718" s="396">
        <v>101623</v>
      </c>
      <c r="C5718" s="401" t="s">
        <v>4684</v>
      </c>
      <c r="D5718" s="396" t="s">
        <v>20</v>
      </c>
      <c r="E5718" s="405">
        <f t="shared" si="178"/>
        <v>238.66</v>
      </c>
      <c r="F5718">
        <f t="shared" si="179"/>
        <v>101623</v>
      </c>
      <c r="H5718" s="679">
        <v>238.66</v>
      </c>
      <c r="I5718" s="679">
        <v>245.69</v>
      </c>
    </row>
    <row r="5719" spans="2:9" ht="30">
      <c r="B5719" s="395">
        <v>101624</v>
      </c>
      <c r="C5719" s="406" t="s">
        <v>4685</v>
      </c>
      <c r="D5719" s="395" t="s">
        <v>20</v>
      </c>
      <c r="E5719" s="407">
        <f t="shared" si="178"/>
        <v>201.15</v>
      </c>
      <c r="F5719">
        <f t="shared" si="179"/>
        <v>101624</v>
      </c>
      <c r="H5719" s="680">
        <v>201.15</v>
      </c>
      <c r="I5719" s="680">
        <v>205.49</v>
      </c>
    </row>
    <row r="5720" spans="2:9" ht="30">
      <c r="B5720" s="396">
        <v>101625</v>
      </c>
      <c r="C5720" s="401" t="s">
        <v>4686</v>
      </c>
      <c r="D5720" s="396" t="s">
        <v>20</v>
      </c>
      <c r="E5720" s="405">
        <f t="shared" si="178"/>
        <v>187.67</v>
      </c>
      <c r="F5720">
        <f t="shared" si="179"/>
        <v>101625</v>
      </c>
      <c r="H5720" s="679">
        <v>187.67</v>
      </c>
      <c r="I5720" s="679">
        <v>191.06</v>
      </c>
    </row>
    <row r="5721" spans="2:9">
      <c r="B5721" s="395">
        <v>95606</v>
      </c>
      <c r="C5721" s="406" t="s">
        <v>1764</v>
      </c>
      <c r="D5721" s="395" t="s">
        <v>20</v>
      </c>
      <c r="E5721" s="407">
        <f t="shared" si="178"/>
        <v>2.17</v>
      </c>
      <c r="F5721">
        <f t="shared" si="179"/>
        <v>95606</v>
      </c>
      <c r="H5721" s="680">
        <v>2.17</v>
      </c>
      <c r="I5721" s="680">
        <v>2.21</v>
      </c>
    </row>
    <row r="5722" spans="2:9" ht="30">
      <c r="B5722" s="396">
        <v>101159</v>
      </c>
      <c r="C5722" s="401" t="s">
        <v>4116</v>
      </c>
      <c r="D5722" s="396" t="s">
        <v>0</v>
      </c>
      <c r="E5722" s="405">
        <f t="shared" si="178"/>
        <v>142.63</v>
      </c>
      <c r="F5722">
        <f t="shared" si="179"/>
        <v>101159</v>
      </c>
      <c r="H5722" s="679">
        <v>142.63</v>
      </c>
      <c r="I5722" s="679">
        <v>149.53</v>
      </c>
    </row>
    <row r="5723" spans="2:9" ht="30">
      <c r="B5723" s="395">
        <v>103322</v>
      </c>
      <c r="C5723" s="406" t="s">
        <v>6411</v>
      </c>
      <c r="D5723" s="395" t="s">
        <v>0</v>
      </c>
      <c r="E5723" s="407">
        <f t="shared" si="178"/>
        <v>63.58</v>
      </c>
      <c r="F5723">
        <f t="shared" si="179"/>
        <v>103322</v>
      </c>
      <c r="H5723" s="680">
        <v>63.58</v>
      </c>
      <c r="I5723" s="680">
        <v>65.7</v>
      </c>
    </row>
    <row r="5724" spans="2:9" ht="30">
      <c r="B5724" s="396">
        <v>103323</v>
      </c>
      <c r="C5724" s="401" t="s">
        <v>6412</v>
      </c>
      <c r="D5724" s="396" t="s">
        <v>0</v>
      </c>
      <c r="E5724" s="405">
        <f t="shared" si="178"/>
        <v>64.73</v>
      </c>
      <c r="F5724">
        <f t="shared" si="179"/>
        <v>103323</v>
      </c>
      <c r="H5724" s="679">
        <v>64.73</v>
      </c>
      <c r="I5724" s="679">
        <v>66.989999999999995</v>
      </c>
    </row>
    <row r="5725" spans="2:9" ht="30">
      <c r="B5725" s="395">
        <v>103324</v>
      </c>
      <c r="C5725" s="406" t="s">
        <v>6413</v>
      </c>
      <c r="D5725" s="395" t="s">
        <v>0</v>
      </c>
      <c r="E5725" s="407">
        <f t="shared" si="178"/>
        <v>84.1</v>
      </c>
      <c r="F5725">
        <f t="shared" si="179"/>
        <v>103324</v>
      </c>
      <c r="H5725" s="680">
        <v>84.1</v>
      </c>
      <c r="I5725" s="680">
        <v>87.15</v>
      </c>
    </row>
    <row r="5726" spans="2:9" ht="30">
      <c r="B5726" s="396">
        <v>103325</v>
      </c>
      <c r="C5726" s="401" t="s">
        <v>6414</v>
      </c>
      <c r="D5726" s="396" t="s">
        <v>0</v>
      </c>
      <c r="E5726" s="405">
        <f t="shared" si="178"/>
        <v>85.41</v>
      </c>
      <c r="F5726">
        <f t="shared" si="179"/>
        <v>103325</v>
      </c>
      <c r="H5726" s="679">
        <v>85.41</v>
      </c>
      <c r="I5726" s="679">
        <v>88.6</v>
      </c>
    </row>
    <row r="5727" spans="2:9" ht="30">
      <c r="B5727" s="395">
        <v>103326</v>
      </c>
      <c r="C5727" s="406" t="s">
        <v>6415</v>
      </c>
      <c r="D5727" s="395" t="s">
        <v>0</v>
      </c>
      <c r="E5727" s="407">
        <f t="shared" si="178"/>
        <v>102.48</v>
      </c>
      <c r="F5727">
        <f t="shared" si="179"/>
        <v>103326</v>
      </c>
      <c r="H5727" s="680">
        <v>102.48</v>
      </c>
      <c r="I5727" s="680">
        <v>105.98</v>
      </c>
    </row>
    <row r="5728" spans="2:9" ht="30">
      <c r="B5728" s="396">
        <v>103327</v>
      </c>
      <c r="C5728" s="401" t="s">
        <v>6416</v>
      </c>
      <c r="D5728" s="396" t="s">
        <v>0</v>
      </c>
      <c r="E5728" s="405">
        <f t="shared" si="178"/>
        <v>104.01</v>
      </c>
      <c r="F5728">
        <f t="shared" si="179"/>
        <v>103327</v>
      </c>
      <c r="H5728" s="679">
        <v>104.01</v>
      </c>
      <c r="I5728" s="679">
        <v>107.68</v>
      </c>
    </row>
    <row r="5729" spans="2:9" ht="30">
      <c r="B5729" s="395">
        <v>103328</v>
      </c>
      <c r="C5729" s="406" t="s">
        <v>6417</v>
      </c>
      <c r="D5729" s="395" t="s">
        <v>0</v>
      </c>
      <c r="E5729" s="407">
        <f t="shared" si="178"/>
        <v>86.64</v>
      </c>
      <c r="F5729">
        <f t="shared" si="179"/>
        <v>103328</v>
      </c>
      <c r="H5729" s="680">
        <v>86.64</v>
      </c>
      <c r="I5729" s="680">
        <v>92.24</v>
      </c>
    </row>
    <row r="5730" spans="2:9" ht="30">
      <c r="B5730" s="396">
        <v>103329</v>
      </c>
      <c r="C5730" s="401" t="s">
        <v>6418</v>
      </c>
      <c r="D5730" s="396" t="s">
        <v>0</v>
      </c>
      <c r="E5730" s="405">
        <f t="shared" si="178"/>
        <v>87.64</v>
      </c>
      <c r="F5730">
        <f t="shared" si="179"/>
        <v>103329</v>
      </c>
      <c r="H5730" s="679">
        <v>87.64</v>
      </c>
      <c r="I5730" s="679">
        <v>93.36</v>
      </c>
    </row>
    <row r="5731" spans="2:9" ht="30">
      <c r="B5731" s="395">
        <v>103330</v>
      </c>
      <c r="C5731" s="406" t="s">
        <v>6419</v>
      </c>
      <c r="D5731" s="395" t="s">
        <v>0</v>
      </c>
      <c r="E5731" s="407">
        <f t="shared" si="178"/>
        <v>85.36</v>
      </c>
      <c r="F5731">
        <f t="shared" si="179"/>
        <v>103330</v>
      </c>
      <c r="H5731" s="680">
        <v>85.36</v>
      </c>
      <c r="I5731" s="680">
        <v>89.56</v>
      </c>
    </row>
    <row r="5732" spans="2:9" ht="30">
      <c r="B5732" s="396">
        <v>103331</v>
      </c>
      <c r="C5732" s="401" t="s">
        <v>6420</v>
      </c>
      <c r="D5732" s="396" t="s">
        <v>0</v>
      </c>
      <c r="E5732" s="405">
        <f t="shared" si="178"/>
        <v>86.44</v>
      </c>
      <c r="F5732">
        <f t="shared" si="179"/>
        <v>103331</v>
      </c>
      <c r="H5732" s="679">
        <v>86.44</v>
      </c>
      <c r="I5732" s="679">
        <v>90.77</v>
      </c>
    </row>
    <row r="5733" spans="2:9" ht="30">
      <c r="B5733" s="395">
        <v>103332</v>
      </c>
      <c r="C5733" s="406" t="s">
        <v>6421</v>
      </c>
      <c r="D5733" s="395" t="s">
        <v>0</v>
      </c>
      <c r="E5733" s="407">
        <f t="shared" si="178"/>
        <v>112.54</v>
      </c>
      <c r="F5733">
        <f t="shared" si="179"/>
        <v>103332</v>
      </c>
      <c r="H5733" s="680">
        <v>112.54</v>
      </c>
      <c r="I5733" s="680">
        <v>120.17</v>
      </c>
    </row>
    <row r="5734" spans="2:9" ht="30">
      <c r="B5734" s="396">
        <v>103333</v>
      </c>
      <c r="C5734" s="401" t="s">
        <v>6422</v>
      </c>
      <c r="D5734" s="396" t="s">
        <v>0</v>
      </c>
      <c r="E5734" s="405">
        <f t="shared" si="178"/>
        <v>113.7</v>
      </c>
      <c r="F5734">
        <f t="shared" si="179"/>
        <v>103333</v>
      </c>
      <c r="H5734" s="679">
        <v>113.7</v>
      </c>
      <c r="I5734" s="679">
        <v>121.47</v>
      </c>
    </row>
    <row r="5735" spans="2:9" ht="30">
      <c r="B5735" s="395">
        <v>103334</v>
      </c>
      <c r="C5735" s="406" t="s">
        <v>6423</v>
      </c>
      <c r="D5735" s="395" t="s">
        <v>0</v>
      </c>
      <c r="E5735" s="407">
        <f t="shared" si="178"/>
        <v>142.22</v>
      </c>
      <c r="F5735">
        <f t="shared" si="179"/>
        <v>103334</v>
      </c>
      <c r="H5735" s="680">
        <v>142.22</v>
      </c>
      <c r="I5735" s="680">
        <v>150.34</v>
      </c>
    </row>
    <row r="5736" spans="2:9" ht="30">
      <c r="B5736" s="396">
        <v>103335</v>
      </c>
      <c r="C5736" s="401" t="s">
        <v>6424</v>
      </c>
      <c r="D5736" s="396" t="s">
        <v>0</v>
      </c>
      <c r="E5736" s="405">
        <f t="shared" si="178"/>
        <v>144.25</v>
      </c>
      <c r="F5736">
        <f t="shared" si="179"/>
        <v>103335</v>
      </c>
      <c r="H5736" s="679">
        <v>144.25</v>
      </c>
      <c r="I5736" s="679">
        <v>152.6</v>
      </c>
    </row>
    <row r="5737" spans="2:9" ht="30">
      <c r="B5737" s="395">
        <v>103350</v>
      </c>
      <c r="C5737" s="406" t="s">
        <v>6425</v>
      </c>
      <c r="D5737" s="395" t="s">
        <v>0</v>
      </c>
      <c r="E5737" s="407">
        <f t="shared" si="178"/>
        <v>174.28</v>
      </c>
      <c r="F5737">
        <f t="shared" si="179"/>
        <v>103350</v>
      </c>
      <c r="H5737" s="680">
        <v>174.28</v>
      </c>
      <c r="I5737" s="680">
        <v>184.78</v>
      </c>
    </row>
    <row r="5738" spans="2:9" ht="30">
      <c r="B5738" s="396">
        <v>103351</v>
      </c>
      <c r="C5738" s="401" t="s">
        <v>6426</v>
      </c>
      <c r="D5738" s="396" t="s">
        <v>0</v>
      </c>
      <c r="E5738" s="405">
        <f t="shared" si="178"/>
        <v>175.76</v>
      </c>
      <c r="F5738">
        <f t="shared" si="179"/>
        <v>103351</v>
      </c>
      <c r="H5738" s="679">
        <v>175.76</v>
      </c>
      <c r="I5738" s="679">
        <v>186.43</v>
      </c>
    </row>
    <row r="5739" spans="2:9" ht="30">
      <c r="B5739" s="395">
        <v>103356</v>
      </c>
      <c r="C5739" s="406" t="s">
        <v>6427</v>
      </c>
      <c r="D5739" s="395" t="s">
        <v>0</v>
      </c>
      <c r="E5739" s="407">
        <f t="shared" si="178"/>
        <v>57.92</v>
      </c>
      <c r="F5739">
        <f t="shared" si="179"/>
        <v>103356</v>
      </c>
      <c r="H5739" s="680">
        <v>57.92</v>
      </c>
      <c r="I5739" s="680">
        <v>60.63</v>
      </c>
    </row>
    <row r="5740" spans="2:9" ht="30">
      <c r="B5740" s="396">
        <v>103357</v>
      </c>
      <c r="C5740" s="401" t="s">
        <v>6428</v>
      </c>
      <c r="D5740" s="396" t="s">
        <v>0</v>
      </c>
      <c r="E5740" s="405">
        <f t="shared" si="178"/>
        <v>58.77</v>
      </c>
      <c r="F5740">
        <f t="shared" si="179"/>
        <v>103357</v>
      </c>
      <c r="H5740" s="679">
        <v>58.77</v>
      </c>
      <c r="I5740" s="679">
        <v>61.58</v>
      </c>
    </row>
    <row r="5741" spans="2:9" ht="30">
      <c r="B5741" s="395">
        <v>89282</v>
      </c>
      <c r="C5741" s="406" t="s">
        <v>1765</v>
      </c>
      <c r="D5741" s="395" t="s">
        <v>0</v>
      </c>
      <c r="E5741" s="407">
        <f t="shared" si="178"/>
        <v>85.6</v>
      </c>
      <c r="F5741">
        <f t="shared" si="179"/>
        <v>89282</v>
      </c>
      <c r="H5741" s="680">
        <v>85.6</v>
      </c>
      <c r="I5741" s="680">
        <v>87.98</v>
      </c>
    </row>
    <row r="5742" spans="2:9" ht="30">
      <c r="B5742" s="396">
        <v>89283</v>
      </c>
      <c r="C5742" s="401" t="s">
        <v>1766</v>
      </c>
      <c r="D5742" s="396" t="s">
        <v>0</v>
      </c>
      <c r="E5742" s="405">
        <f t="shared" si="178"/>
        <v>86.95</v>
      </c>
      <c r="F5742">
        <f t="shared" si="179"/>
        <v>89283</v>
      </c>
      <c r="H5742" s="679">
        <v>86.95</v>
      </c>
      <c r="I5742" s="679">
        <v>89.49</v>
      </c>
    </row>
    <row r="5743" spans="2:9" ht="30">
      <c r="B5743" s="395">
        <v>89284</v>
      </c>
      <c r="C5743" s="406" t="s">
        <v>1767</v>
      </c>
      <c r="D5743" s="395" t="s">
        <v>0</v>
      </c>
      <c r="E5743" s="407">
        <f t="shared" si="178"/>
        <v>79</v>
      </c>
      <c r="F5743">
        <f t="shared" si="179"/>
        <v>89284</v>
      </c>
      <c r="H5743" s="680">
        <v>79</v>
      </c>
      <c r="I5743" s="680">
        <v>81.02</v>
      </c>
    </row>
    <row r="5744" spans="2:9" ht="30">
      <c r="B5744" s="396">
        <v>89285</v>
      </c>
      <c r="C5744" s="401" t="s">
        <v>1768</v>
      </c>
      <c r="D5744" s="396" t="s">
        <v>0</v>
      </c>
      <c r="E5744" s="405">
        <f t="shared" si="178"/>
        <v>80.349999999999994</v>
      </c>
      <c r="F5744">
        <f t="shared" si="179"/>
        <v>89285</v>
      </c>
      <c r="H5744" s="679">
        <v>80.349999999999994</v>
      </c>
      <c r="I5744" s="679">
        <v>82.53</v>
      </c>
    </row>
    <row r="5745" spans="2:9" ht="30">
      <c r="B5745" s="395">
        <v>89286</v>
      </c>
      <c r="C5745" s="406" t="s">
        <v>1769</v>
      </c>
      <c r="D5745" s="395" t="s">
        <v>0</v>
      </c>
      <c r="E5745" s="407">
        <f t="shared" si="178"/>
        <v>90.57</v>
      </c>
      <c r="F5745">
        <f t="shared" si="179"/>
        <v>89286</v>
      </c>
      <c r="H5745" s="680">
        <v>90.57</v>
      </c>
      <c r="I5745" s="680">
        <v>93.33</v>
      </c>
    </row>
    <row r="5746" spans="2:9" ht="30">
      <c r="B5746" s="396">
        <v>89287</v>
      </c>
      <c r="C5746" s="401" t="s">
        <v>1770</v>
      </c>
      <c r="D5746" s="396" t="s">
        <v>0</v>
      </c>
      <c r="E5746" s="405">
        <f t="shared" si="178"/>
        <v>91.92</v>
      </c>
      <c r="F5746">
        <f t="shared" si="179"/>
        <v>89287</v>
      </c>
      <c r="H5746" s="679">
        <v>91.92</v>
      </c>
      <c r="I5746" s="679">
        <v>94.84</v>
      </c>
    </row>
    <row r="5747" spans="2:9" ht="30">
      <c r="B5747" s="395">
        <v>89288</v>
      </c>
      <c r="C5747" s="406" t="s">
        <v>1771</v>
      </c>
      <c r="D5747" s="395" t="s">
        <v>0</v>
      </c>
      <c r="E5747" s="407">
        <f t="shared" si="178"/>
        <v>81.83</v>
      </c>
      <c r="F5747">
        <f t="shared" si="179"/>
        <v>89288</v>
      </c>
      <c r="H5747" s="680">
        <v>81.83</v>
      </c>
      <c r="I5747" s="680">
        <v>84.03</v>
      </c>
    </row>
    <row r="5748" spans="2:9" ht="30">
      <c r="B5748" s="396">
        <v>89289</v>
      </c>
      <c r="C5748" s="401" t="s">
        <v>1772</v>
      </c>
      <c r="D5748" s="396" t="s">
        <v>0</v>
      </c>
      <c r="E5748" s="405">
        <f t="shared" si="178"/>
        <v>83.18</v>
      </c>
      <c r="F5748">
        <f t="shared" si="179"/>
        <v>89289</v>
      </c>
      <c r="H5748" s="679">
        <v>83.18</v>
      </c>
      <c r="I5748" s="679">
        <v>85.54</v>
      </c>
    </row>
    <row r="5749" spans="2:9" ht="30">
      <c r="B5749" s="395">
        <v>89290</v>
      </c>
      <c r="C5749" s="406" t="s">
        <v>1773</v>
      </c>
      <c r="D5749" s="395" t="s">
        <v>0</v>
      </c>
      <c r="E5749" s="407">
        <f t="shared" si="178"/>
        <v>95.36</v>
      </c>
      <c r="F5749">
        <f t="shared" si="179"/>
        <v>89290</v>
      </c>
      <c r="H5749" s="680">
        <v>95.36</v>
      </c>
      <c r="I5749" s="680">
        <v>98.65</v>
      </c>
    </row>
    <row r="5750" spans="2:9" ht="30">
      <c r="B5750" s="396">
        <v>89291</v>
      </c>
      <c r="C5750" s="401" t="s">
        <v>1774</v>
      </c>
      <c r="D5750" s="396" t="s">
        <v>0</v>
      </c>
      <c r="E5750" s="405">
        <f t="shared" si="178"/>
        <v>96.86</v>
      </c>
      <c r="F5750">
        <f t="shared" si="179"/>
        <v>89291</v>
      </c>
      <c r="H5750" s="679">
        <v>96.86</v>
      </c>
      <c r="I5750" s="679">
        <v>100.32</v>
      </c>
    </row>
    <row r="5751" spans="2:9" ht="30">
      <c r="B5751" s="395">
        <v>89292</v>
      </c>
      <c r="C5751" s="406" t="s">
        <v>1775</v>
      </c>
      <c r="D5751" s="395" t="s">
        <v>0</v>
      </c>
      <c r="E5751" s="407">
        <f t="shared" si="178"/>
        <v>88.72</v>
      </c>
      <c r="F5751">
        <f t="shared" si="179"/>
        <v>89292</v>
      </c>
      <c r="H5751" s="680">
        <v>88.72</v>
      </c>
      <c r="I5751" s="680">
        <v>91.63</v>
      </c>
    </row>
    <row r="5752" spans="2:9" ht="30">
      <c r="B5752" s="396">
        <v>89293</v>
      </c>
      <c r="C5752" s="401" t="s">
        <v>1776</v>
      </c>
      <c r="D5752" s="396" t="s">
        <v>0</v>
      </c>
      <c r="E5752" s="405">
        <f t="shared" si="178"/>
        <v>90.22</v>
      </c>
      <c r="F5752">
        <f t="shared" si="179"/>
        <v>89293</v>
      </c>
      <c r="H5752" s="679">
        <v>90.22</v>
      </c>
      <c r="I5752" s="679">
        <v>93.3</v>
      </c>
    </row>
    <row r="5753" spans="2:9" ht="30">
      <c r="B5753" s="395">
        <v>89294</v>
      </c>
      <c r="C5753" s="406" t="s">
        <v>1777</v>
      </c>
      <c r="D5753" s="395" t="s">
        <v>0</v>
      </c>
      <c r="E5753" s="407">
        <f t="shared" si="178"/>
        <v>102.46</v>
      </c>
      <c r="F5753">
        <f t="shared" si="179"/>
        <v>89294</v>
      </c>
      <c r="H5753" s="680">
        <v>102.46</v>
      </c>
      <c r="I5753" s="680">
        <v>106.3</v>
      </c>
    </row>
    <row r="5754" spans="2:9" ht="30">
      <c r="B5754" s="396">
        <v>89295</v>
      </c>
      <c r="C5754" s="401" t="s">
        <v>1778</v>
      </c>
      <c r="D5754" s="396" t="s">
        <v>0</v>
      </c>
      <c r="E5754" s="405">
        <f t="shared" si="178"/>
        <v>103.96</v>
      </c>
      <c r="F5754">
        <f t="shared" si="179"/>
        <v>89295</v>
      </c>
      <c r="H5754" s="679">
        <v>103.96</v>
      </c>
      <c r="I5754" s="679">
        <v>107.97</v>
      </c>
    </row>
    <row r="5755" spans="2:9" ht="30">
      <c r="B5755" s="395">
        <v>89296</v>
      </c>
      <c r="C5755" s="406" t="s">
        <v>1779</v>
      </c>
      <c r="D5755" s="395" t="s">
        <v>0</v>
      </c>
      <c r="E5755" s="407">
        <f t="shared" si="178"/>
        <v>92.51</v>
      </c>
      <c r="F5755">
        <f t="shared" si="179"/>
        <v>89296</v>
      </c>
      <c r="H5755" s="680">
        <v>92.51</v>
      </c>
      <c r="I5755" s="680">
        <v>95.74</v>
      </c>
    </row>
    <row r="5756" spans="2:9" ht="30">
      <c r="B5756" s="396">
        <v>89297</v>
      </c>
      <c r="C5756" s="401" t="s">
        <v>1780</v>
      </c>
      <c r="D5756" s="396" t="s">
        <v>0</v>
      </c>
      <c r="E5756" s="405">
        <f t="shared" si="178"/>
        <v>94.01</v>
      </c>
      <c r="F5756">
        <f t="shared" si="179"/>
        <v>89297</v>
      </c>
      <c r="H5756" s="679">
        <v>94.01</v>
      </c>
      <c r="I5756" s="679">
        <v>97.41</v>
      </c>
    </row>
    <row r="5757" spans="2:9" ht="30">
      <c r="B5757" s="395">
        <v>89298</v>
      </c>
      <c r="C5757" s="406" t="s">
        <v>1781</v>
      </c>
      <c r="D5757" s="395" t="s">
        <v>0</v>
      </c>
      <c r="E5757" s="407">
        <f t="shared" si="178"/>
        <v>97.48</v>
      </c>
      <c r="F5757">
        <f t="shared" si="179"/>
        <v>89298</v>
      </c>
      <c r="H5757" s="680">
        <v>97.48</v>
      </c>
      <c r="I5757" s="680">
        <v>100.9</v>
      </c>
    </row>
    <row r="5758" spans="2:9" ht="30">
      <c r="B5758" s="396">
        <v>89299</v>
      </c>
      <c r="C5758" s="401" t="s">
        <v>1782</v>
      </c>
      <c r="D5758" s="396" t="s">
        <v>0</v>
      </c>
      <c r="E5758" s="405">
        <f t="shared" si="178"/>
        <v>99.39</v>
      </c>
      <c r="F5758">
        <f t="shared" si="179"/>
        <v>89299</v>
      </c>
      <c r="H5758" s="679">
        <v>99.39</v>
      </c>
      <c r="I5758" s="679">
        <v>103.03</v>
      </c>
    </row>
    <row r="5759" spans="2:9" ht="45">
      <c r="B5759" s="395">
        <v>89300</v>
      </c>
      <c r="C5759" s="406" t="s">
        <v>1783</v>
      </c>
      <c r="D5759" s="395" t="s">
        <v>0</v>
      </c>
      <c r="E5759" s="407">
        <f t="shared" si="178"/>
        <v>90.88</v>
      </c>
      <c r="F5759">
        <f t="shared" si="179"/>
        <v>89300</v>
      </c>
      <c r="H5759" s="680">
        <v>90.88</v>
      </c>
      <c r="I5759" s="680">
        <v>93.93</v>
      </c>
    </row>
    <row r="5760" spans="2:9" ht="30">
      <c r="B5760" s="396">
        <v>89301</v>
      </c>
      <c r="C5760" s="401" t="s">
        <v>1784</v>
      </c>
      <c r="D5760" s="396" t="s">
        <v>0</v>
      </c>
      <c r="E5760" s="405">
        <f t="shared" si="178"/>
        <v>92.79</v>
      </c>
      <c r="F5760">
        <f t="shared" si="179"/>
        <v>89301</v>
      </c>
      <c r="H5760" s="679">
        <v>92.79</v>
      </c>
      <c r="I5760" s="679">
        <v>96.06</v>
      </c>
    </row>
    <row r="5761" spans="2:9" ht="30">
      <c r="B5761" s="395">
        <v>89302</v>
      </c>
      <c r="C5761" s="406" t="s">
        <v>1785</v>
      </c>
      <c r="D5761" s="395" t="s">
        <v>0</v>
      </c>
      <c r="E5761" s="407">
        <f t="shared" si="178"/>
        <v>105.69</v>
      </c>
      <c r="F5761">
        <f t="shared" si="179"/>
        <v>89302</v>
      </c>
      <c r="H5761" s="680">
        <v>105.69</v>
      </c>
      <c r="I5761" s="680">
        <v>109.83</v>
      </c>
    </row>
    <row r="5762" spans="2:9" ht="30">
      <c r="B5762" s="396">
        <v>89303</v>
      </c>
      <c r="C5762" s="401" t="s">
        <v>1786</v>
      </c>
      <c r="D5762" s="396" t="s">
        <v>0</v>
      </c>
      <c r="E5762" s="405">
        <f t="shared" si="178"/>
        <v>107.6</v>
      </c>
      <c r="F5762">
        <f t="shared" si="179"/>
        <v>89303</v>
      </c>
      <c r="H5762" s="679">
        <v>107.6</v>
      </c>
      <c r="I5762" s="679">
        <v>111.96</v>
      </c>
    </row>
    <row r="5763" spans="2:9" ht="45">
      <c r="B5763" s="395">
        <v>89304</v>
      </c>
      <c r="C5763" s="406" t="s">
        <v>1787</v>
      </c>
      <c r="D5763" s="395" t="s">
        <v>0</v>
      </c>
      <c r="E5763" s="407">
        <f t="shared" ref="E5763:E5826" si="180">IF($K$2=$H$1,H5763,I5763)</f>
        <v>95.72</v>
      </c>
      <c r="F5763">
        <f t="shared" ref="F5763:F5826" si="181">IF(LEN($B5763)=7,CONCATENATE(MID($B5763,1,6),"00",RIGHT($B5763,1)),IF(LEN($B5763)=8,CONCATENATE(MID($B5763,1,6),"0",RIGHT($B5763,2)),$B5763))</f>
        <v>89304</v>
      </c>
      <c r="H5763" s="680">
        <v>95.72</v>
      </c>
      <c r="I5763" s="680">
        <v>99.17</v>
      </c>
    </row>
    <row r="5764" spans="2:9" ht="45">
      <c r="B5764" s="396">
        <v>89305</v>
      </c>
      <c r="C5764" s="401" t="s">
        <v>1788</v>
      </c>
      <c r="D5764" s="396" t="s">
        <v>0</v>
      </c>
      <c r="E5764" s="405">
        <f t="shared" si="180"/>
        <v>97.63</v>
      </c>
      <c r="F5764">
        <f t="shared" si="181"/>
        <v>89305</v>
      </c>
      <c r="H5764" s="679">
        <v>97.63</v>
      </c>
      <c r="I5764" s="679">
        <v>101.3</v>
      </c>
    </row>
    <row r="5765" spans="2:9" ht="30">
      <c r="B5765" s="395">
        <v>89306</v>
      </c>
      <c r="C5765" s="406" t="s">
        <v>1789</v>
      </c>
      <c r="D5765" s="395" t="s">
        <v>0</v>
      </c>
      <c r="E5765" s="407">
        <f t="shared" si="180"/>
        <v>107.59</v>
      </c>
      <c r="F5765">
        <f t="shared" si="181"/>
        <v>89306</v>
      </c>
      <c r="H5765" s="680">
        <v>107.59</v>
      </c>
      <c r="I5765" s="680">
        <v>111.91</v>
      </c>
    </row>
    <row r="5766" spans="2:9" ht="30">
      <c r="B5766" s="396">
        <v>89307</v>
      </c>
      <c r="C5766" s="401" t="s">
        <v>1790</v>
      </c>
      <c r="D5766" s="396" t="s">
        <v>0</v>
      </c>
      <c r="E5766" s="405">
        <f t="shared" si="180"/>
        <v>109.72</v>
      </c>
      <c r="F5766">
        <f t="shared" si="181"/>
        <v>89307</v>
      </c>
      <c r="H5766" s="679">
        <v>109.72</v>
      </c>
      <c r="I5766" s="679">
        <v>114.28</v>
      </c>
    </row>
    <row r="5767" spans="2:9" ht="45">
      <c r="B5767" s="395">
        <v>89308</v>
      </c>
      <c r="C5767" s="406" t="s">
        <v>1791</v>
      </c>
      <c r="D5767" s="395" t="s">
        <v>0</v>
      </c>
      <c r="E5767" s="407">
        <f t="shared" si="180"/>
        <v>100.95</v>
      </c>
      <c r="F5767">
        <f t="shared" si="181"/>
        <v>89308</v>
      </c>
      <c r="H5767" s="680">
        <v>100.95</v>
      </c>
      <c r="I5767" s="680">
        <v>104.9</v>
      </c>
    </row>
    <row r="5768" spans="2:9" ht="30">
      <c r="B5768" s="396">
        <v>89309</v>
      </c>
      <c r="C5768" s="401" t="s">
        <v>1792</v>
      </c>
      <c r="D5768" s="396" t="s">
        <v>0</v>
      </c>
      <c r="E5768" s="405">
        <f t="shared" si="180"/>
        <v>103.08</v>
      </c>
      <c r="F5768">
        <f t="shared" si="181"/>
        <v>89309</v>
      </c>
      <c r="H5768" s="679">
        <v>103.08</v>
      </c>
      <c r="I5768" s="679">
        <v>107.27</v>
      </c>
    </row>
    <row r="5769" spans="2:9" ht="30">
      <c r="B5769" s="395">
        <v>89310</v>
      </c>
      <c r="C5769" s="406" t="s">
        <v>1793</v>
      </c>
      <c r="D5769" s="395" t="s">
        <v>0</v>
      </c>
      <c r="E5769" s="407">
        <f t="shared" si="180"/>
        <v>121.23</v>
      </c>
      <c r="F5769">
        <f t="shared" si="181"/>
        <v>89310</v>
      </c>
      <c r="H5769" s="680">
        <v>121.23</v>
      </c>
      <c r="I5769" s="680">
        <v>126.46</v>
      </c>
    </row>
    <row r="5770" spans="2:9" ht="30">
      <c r="B5770" s="396">
        <v>89311</v>
      </c>
      <c r="C5770" s="401" t="s">
        <v>1794</v>
      </c>
      <c r="D5770" s="396" t="s">
        <v>0</v>
      </c>
      <c r="E5770" s="405">
        <f t="shared" si="180"/>
        <v>123.36</v>
      </c>
      <c r="F5770">
        <f t="shared" si="181"/>
        <v>89311</v>
      </c>
      <c r="H5770" s="679">
        <v>123.36</v>
      </c>
      <c r="I5770" s="679">
        <v>128.83000000000001</v>
      </c>
    </row>
    <row r="5771" spans="2:9" ht="45">
      <c r="B5771" s="395">
        <v>89312</v>
      </c>
      <c r="C5771" s="406" t="s">
        <v>1795</v>
      </c>
      <c r="D5771" s="395" t="s">
        <v>0</v>
      </c>
      <c r="E5771" s="407">
        <f t="shared" si="180"/>
        <v>106.75</v>
      </c>
      <c r="F5771">
        <f t="shared" si="181"/>
        <v>89312</v>
      </c>
      <c r="H5771" s="680">
        <v>106.75</v>
      </c>
      <c r="I5771" s="680">
        <v>111.24</v>
      </c>
    </row>
    <row r="5772" spans="2:9" ht="45">
      <c r="B5772" s="396">
        <v>89313</v>
      </c>
      <c r="C5772" s="401" t="s">
        <v>1796</v>
      </c>
      <c r="D5772" s="396" t="s">
        <v>0</v>
      </c>
      <c r="E5772" s="405">
        <f t="shared" si="180"/>
        <v>108.88</v>
      </c>
      <c r="F5772">
        <f t="shared" si="181"/>
        <v>89313</v>
      </c>
      <c r="H5772" s="679">
        <v>108.88</v>
      </c>
      <c r="I5772" s="679">
        <v>113.61</v>
      </c>
    </row>
    <row r="5773" spans="2:9">
      <c r="B5773" s="395">
        <v>101157</v>
      </c>
      <c r="C5773" s="406" t="s">
        <v>6201</v>
      </c>
      <c r="D5773" s="395" t="s">
        <v>0</v>
      </c>
      <c r="E5773" s="407">
        <f t="shared" si="180"/>
        <v>67.47</v>
      </c>
      <c r="F5773">
        <f t="shared" si="181"/>
        <v>101157</v>
      </c>
      <c r="H5773" s="680">
        <v>67.47</v>
      </c>
      <c r="I5773" s="680">
        <v>69.13</v>
      </c>
    </row>
    <row r="5774" spans="2:9">
      <c r="B5774" s="396">
        <v>101158</v>
      </c>
      <c r="C5774" s="401" t="s">
        <v>6202</v>
      </c>
      <c r="D5774" s="396" t="s">
        <v>0</v>
      </c>
      <c r="E5774" s="405">
        <f t="shared" si="180"/>
        <v>89.16</v>
      </c>
      <c r="F5774">
        <f t="shared" si="181"/>
        <v>101158</v>
      </c>
      <c r="H5774" s="679">
        <v>89.16</v>
      </c>
      <c r="I5774" s="679">
        <v>91.11</v>
      </c>
    </row>
    <row r="5775" spans="2:9" ht="30">
      <c r="B5775" s="395">
        <v>101162</v>
      </c>
      <c r="C5775" s="406" t="s">
        <v>4117</v>
      </c>
      <c r="D5775" s="395" t="s">
        <v>0</v>
      </c>
      <c r="E5775" s="407">
        <f t="shared" si="180"/>
        <v>161.68</v>
      </c>
      <c r="F5775">
        <f t="shared" si="181"/>
        <v>101162</v>
      </c>
      <c r="H5775" s="680">
        <v>161.68</v>
      </c>
      <c r="I5775" s="680">
        <v>169.44</v>
      </c>
    </row>
    <row r="5776" spans="2:9" ht="30">
      <c r="B5776" s="396">
        <v>103316</v>
      </c>
      <c r="C5776" s="401" t="s">
        <v>6429</v>
      </c>
      <c r="D5776" s="396" t="s">
        <v>0</v>
      </c>
      <c r="E5776" s="405">
        <f t="shared" si="180"/>
        <v>73.290000000000006</v>
      </c>
      <c r="F5776">
        <f t="shared" si="181"/>
        <v>103316</v>
      </c>
      <c r="H5776" s="679">
        <v>73.290000000000006</v>
      </c>
      <c r="I5776" s="679">
        <v>75.88</v>
      </c>
    </row>
    <row r="5777" spans="2:9" ht="30">
      <c r="B5777" s="395">
        <v>103317</v>
      </c>
      <c r="C5777" s="406" t="s">
        <v>6430</v>
      </c>
      <c r="D5777" s="395" t="s">
        <v>0</v>
      </c>
      <c r="E5777" s="407">
        <f t="shared" si="180"/>
        <v>74.25</v>
      </c>
      <c r="F5777">
        <f t="shared" si="181"/>
        <v>103317</v>
      </c>
      <c r="H5777" s="680">
        <v>74.25</v>
      </c>
      <c r="I5777" s="680">
        <v>76.95</v>
      </c>
    </row>
    <row r="5778" spans="2:9" ht="30">
      <c r="B5778" s="396">
        <v>103318</v>
      </c>
      <c r="C5778" s="401" t="s">
        <v>6431</v>
      </c>
      <c r="D5778" s="396" t="s">
        <v>0</v>
      </c>
      <c r="E5778" s="405">
        <f t="shared" si="180"/>
        <v>94.68</v>
      </c>
      <c r="F5778">
        <f t="shared" si="181"/>
        <v>103318</v>
      </c>
      <c r="H5778" s="679">
        <v>94.68</v>
      </c>
      <c r="I5778" s="679">
        <v>98.19</v>
      </c>
    </row>
    <row r="5779" spans="2:9" ht="30">
      <c r="B5779" s="395">
        <v>103319</v>
      </c>
      <c r="C5779" s="406" t="s">
        <v>6432</v>
      </c>
      <c r="D5779" s="395" t="s">
        <v>0</v>
      </c>
      <c r="E5779" s="407">
        <f t="shared" si="180"/>
        <v>95.8</v>
      </c>
      <c r="F5779">
        <f t="shared" si="181"/>
        <v>103319</v>
      </c>
      <c r="H5779" s="680">
        <v>95.8</v>
      </c>
      <c r="I5779" s="680">
        <v>99.45</v>
      </c>
    </row>
    <row r="5780" spans="2:9" ht="30">
      <c r="B5780" s="396">
        <v>103320</v>
      </c>
      <c r="C5780" s="401" t="s">
        <v>6433</v>
      </c>
      <c r="D5780" s="396" t="s">
        <v>0</v>
      </c>
      <c r="E5780" s="405">
        <f t="shared" si="180"/>
        <v>114.9</v>
      </c>
      <c r="F5780">
        <f t="shared" si="181"/>
        <v>103320</v>
      </c>
      <c r="H5780" s="679">
        <v>114.9</v>
      </c>
      <c r="I5780" s="679">
        <v>118.88</v>
      </c>
    </row>
    <row r="5781" spans="2:9" ht="30">
      <c r="B5781" s="395">
        <v>103321</v>
      </c>
      <c r="C5781" s="406" t="s">
        <v>6434</v>
      </c>
      <c r="D5781" s="395" t="s">
        <v>0</v>
      </c>
      <c r="E5781" s="407">
        <f t="shared" si="180"/>
        <v>116.31</v>
      </c>
      <c r="F5781">
        <f t="shared" si="181"/>
        <v>103321</v>
      </c>
      <c r="H5781" s="680">
        <v>116.31</v>
      </c>
      <c r="I5781" s="680">
        <v>120.46</v>
      </c>
    </row>
    <row r="5782" spans="2:9" ht="30">
      <c r="B5782" s="396">
        <v>103336</v>
      </c>
      <c r="C5782" s="401" t="s">
        <v>6435</v>
      </c>
      <c r="D5782" s="396" t="s">
        <v>0</v>
      </c>
      <c r="E5782" s="405">
        <f t="shared" si="180"/>
        <v>80.83</v>
      </c>
      <c r="F5782">
        <f t="shared" si="181"/>
        <v>103336</v>
      </c>
      <c r="H5782" s="679">
        <v>80.83</v>
      </c>
      <c r="I5782" s="679">
        <v>84.17</v>
      </c>
    </row>
    <row r="5783" spans="2:9" ht="30">
      <c r="B5783" s="395">
        <v>103337</v>
      </c>
      <c r="C5783" s="406" t="s">
        <v>6436</v>
      </c>
      <c r="D5783" s="395" t="s">
        <v>0</v>
      </c>
      <c r="E5783" s="407">
        <f t="shared" si="180"/>
        <v>81.790000000000006</v>
      </c>
      <c r="F5783">
        <f t="shared" si="181"/>
        <v>103337</v>
      </c>
      <c r="H5783" s="680">
        <v>81.790000000000006</v>
      </c>
      <c r="I5783" s="680">
        <v>85.24</v>
      </c>
    </row>
    <row r="5784" spans="2:9" ht="30">
      <c r="B5784" s="396">
        <v>103338</v>
      </c>
      <c r="C5784" s="401" t="s">
        <v>6437</v>
      </c>
      <c r="D5784" s="396" t="s">
        <v>0</v>
      </c>
      <c r="E5784" s="405">
        <f t="shared" si="180"/>
        <v>105.87</v>
      </c>
      <c r="F5784">
        <f t="shared" si="181"/>
        <v>103338</v>
      </c>
      <c r="H5784" s="679">
        <v>105.87</v>
      </c>
      <c r="I5784" s="679">
        <v>110.41</v>
      </c>
    </row>
    <row r="5785" spans="2:9" ht="30">
      <c r="B5785" s="395">
        <v>103339</v>
      </c>
      <c r="C5785" s="406" t="s">
        <v>6438</v>
      </c>
      <c r="D5785" s="395" t="s">
        <v>0</v>
      </c>
      <c r="E5785" s="407">
        <f t="shared" si="180"/>
        <v>106.99</v>
      </c>
      <c r="F5785">
        <f t="shared" si="181"/>
        <v>103339</v>
      </c>
      <c r="H5785" s="680">
        <v>106.99</v>
      </c>
      <c r="I5785" s="680">
        <v>111.67</v>
      </c>
    </row>
    <row r="5786" spans="2:9" ht="30">
      <c r="B5786" s="396">
        <v>103340</v>
      </c>
      <c r="C5786" s="401" t="s">
        <v>6439</v>
      </c>
      <c r="D5786" s="396" t="s">
        <v>0</v>
      </c>
      <c r="E5786" s="405">
        <f t="shared" si="180"/>
        <v>129.63999999999999</v>
      </c>
      <c r="F5786">
        <f t="shared" si="181"/>
        <v>103340</v>
      </c>
      <c r="H5786" s="679">
        <v>129.63999999999999</v>
      </c>
      <c r="I5786" s="679">
        <v>134.78</v>
      </c>
    </row>
    <row r="5787" spans="2:9" ht="30">
      <c r="B5787" s="395">
        <v>103341</v>
      </c>
      <c r="C5787" s="406" t="s">
        <v>6440</v>
      </c>
      <c r="D5787" s="395" t="s">
        <v>0</v>
      </c>
      <c r="E5787" s="407">
        <f t="shared" si="180"/>
        <v>131.05000000000001</v>
      </c>
      <c r="F5787">
        <f t="shared" si="181"/>
        <v>103341</v>
      </c>
      <c r="H5787" s="680">
        <v>131.05000000000001</v>
      </c>
      <c r="I5787" s="680">
        <v>136.36000000000001</v>
      </c>
    </row>
    <row r="5788" spans="2:9" ht="30">
      <c r="B5788" s="396">
        <v>103342</v>
      </c>
      <c r="C5788" s="401" t="s">
        <v>6441</v>
      </c>
      <c r="D5788" s="396" t="s">
        <v>0</v>
      </c>
      <c r="E5788" s="405">
        <f t="shared" si="180"/>
        <v>110.89</v>
      </c>
      <c r="F5788">
        <f t="shared" si="181"/>
        <v>103342</v>
      </c>
      <c r="H5788" s="679">
        <v>110.89</v>
      </c>
      <c r="I5788" s="679">
        <v>114.86</v>
      </c>
    </row>
    <row r="5789" spans="2:9" ht="30">
      <c r="B5789" s="395">
        <v>103343</v>
      </c>
      <c r="C5789" s="406" t="s">
        <v>6442</v>
      </c>
      <c r="D5789" s="395" t="s">
        <v>0</v>
      </c>
      <c r="E5789" s="407">
        <f t="shared" si="180"/>
        <v>112.14</v>
      </c>
      <c r="F5789">
        <f t="shared" si="181"/>
        <v>103343</v>
      </c>
      <c r="H5789" s="680">
        <v>112.14</v>
      </c>
      <c r="I5789" s="680">
        <v>116.25</v>
      </c>
    </row>
    <row r="5790" spans="2:9" ht="30">
      <c r="B5790" s="396">
        <v>89453</v>
      </c>
      <c r="C5790" s="401" t="s">
        <v>8521</v>
      </c>
      <c r="D5790" s="396" t="s">
        <v>0</v>
      </c>
      <c r="E5790" s="405">
        <f t="shared" si="180"/>
        <v>86.29</v>
      </c>
      <c r="F5790">
        <f t="shared" si="181"/>
        <v>89453</v>
      </c>
      <c r="H5790" s="679">
        <v>86.29</v>
      </c>
      <c r="I5790" s="679">
        <v>88.35</v>
      </c>
    </row>
    <row r="5791" spans="2:9" ht="30">
      <c r="B5791" s="395">
        <v>89455</v>
      </c>
      <c r="C5791" s="406" t="s">
        <v>8522</v>
      </c>
      <c r="D5791" s="395" t="s">
        <v>0</v>
      </c>
      <c r="E5791" s="407">
        <f t="shared" si="180"/>
        <v>106.44</v>
      </c>
      <c r="F5791">
        <f t="shared" si="181"/>
        <v>89455</v>
      </c>
      <c r="H5791" s="680">
        <v>106.44</v>
      </c>
      <c r="I5791" s="680">
        <v>108.6</v>
      </c>
    </row>
    <row r="5792" spans="2:9" ht="30">
      <c r="B5792" s="396">
        <v>89462</v>
      </c>
      <c r="C5792" s="401" t="s">
        <v>8523</v>
      </c>
      <c r="D5792" s="396" t="s">
        <v>0</v>
      </c>
      <c r="E5792" s="405">
        <f t="shared" si="180"/>
        <v>111.65</v>
      </c>
      <c r="F5792">
        <f t="shared" si="181"/>
        <v>89462</v>
      </c>
      <c r="H5792" s="679">
        <v>111.65</v>
      </c>
      <c r="I5792" s="679">
        <v>114.98</v>
      </c>
    </row>
    <row r="5793" spans="2:9" ht="30">
      <c r="B5793" s="395">
        <v>89464</v>
      </c>
      <c r="C5793" s="406" t="s">
        <v>8523</v>
      </c>
      <c r="D5793" s="395" t="s">
        <v>0</v>
      </c>
      <c r="E5793" s="407">
        <f t="shared" si="180"/>
        <v>133.27000000000001</v>
      </c>
      <c r="F5793">
        <f t="shared" si="181"/>
        <v>89464</v>
      </c>
      <c r="H5793" s="680">
        <v>133.27000000000001</v>
      </c>
      <c r="I5793" s="680">
        <v>136.85</v>
      </c>
    </row>
    <row r="5794" spans="2:9" ht="30">
      <c r="B5794" s="396">
        <v>89470</v>
      </c>
      <c r="C5794" s="401" t="s">
        <v>8524</v>
      </c>
      <c r="D5794" s="396" t="s">
        <v>0</v>
      </c>
      <c r="E5794" s="405">
        <f t="shared" si="180"/>
        <v>95.91</v>
      </c>
      <c r="F5794">
        <f t="shared" si="181"/>
        <v>89470</v>
      </c>
      <c r="H5794" s="679">
        <v>95.91</v>
      </c>
      <c r="I5794" s="679">
        <v>98.74</v>
      </c>
    </row>
    <row r="5795" spans="2:9" ht="30">
      <c r="B5795" s="395">
        <v>89472</v>
      </c>
      <c r="C5795" s="406" t="s">
        <v>8525</v>
      </c>
      <c r="D5795" s="395" t="s">
        <v>0</v>
      </c>
      <c r="E5795" s="407">
        <f t="shared" si="180"/>
        <v>117.15</v>
      </c>
      <c r="F5795">
        <f t="shared" si="181"/>
        <v>89472</v>
      </c>
      <c r="H5795" s="680">
        <v>117.15</v>
      </c>
      <c r="I5795" s="680">
        <v>120.19</v>
      </c>
    </row>
    <row r="5796" spans="2:9" ht="30">
      <c r="B5796" s="396">
        <v>89478</v>
      </c>
      <c r="C5796" s="401" t="s">
        <v>8526</v>
      </c>
      <c r="D5796" s="396" t="s">
        <v>0</v>
      </c>
      <c r="E5796" s="405">
        <f t="shared" si="180"/>
        <v>127.14</v>
      </c>
      <c r="F5796">
        <f t="shared" si="181"/>
        <v>89478</v>
      </c>
      <c r="H5796" s="679">
        <v>127.14</v>
      </c>
      <c r="I5796" s="679">
        <v>131.86000000000001</v>
      </c>
    </row>
    <row r="5797" spans="2:9" ht="30">
      <c r="B5797" s="395">
        <v>89480</v>
      </c>
      <c r="C5797" s="406" t="s">
        <v>8527</v>
      </c>
      <c r="D5797" s="395" t="s">
        <v>0</v>
      </c>
      <c r="E5797" s="407">
        <f t="shared" si="180"/>
        <v>149.88</v>
      </c>
      <c r="F5797">
        <f t="shared" si="181"/>
        <v>89480</v>
      </c>
      <c r="H5797" s="680">
        <v>149.88</v>
      </c>
      <c r="I5797" s="680">
        <v>154.94999999999999</v>
      </c>
    </row>
    <row r="5798" spans="2:9" ht="30">
      <c r="B5798" s="396">
        <v>91815</v>
      </c>
      <c r="C5798" s="401" t="s">
        <v>1797</v>
      </c>
      <c r="D5798" s="396" t="s">
        <v>0</v>
      </c>
      <c r="E5798" s="405">
        <f t="shared" si="180"/>
        <v>86.29</v>
      </c>
      <c r="F5798">
        <f t="shared" si="181"/>
        <v>91815</v>
      </c>
      <c r="H5798" s="679">
        <v>86.29</v>
      </c>
      <c r="I5798" s="679">
        <v>88.35</v>
      </c>
    </row>
    <row r="5799" spans="2:9" ht="30">
      <c r="B5799" s="395">
        <v>91816</v>
      </c>
      <c r="C5799" s="406" t="s">
        <v>1798</v>
      </c>
      <c r="D5799" s="395" t="s">
        <v>0</v>
      </c>
      <c r="E5799" s="407">
        <f t="shared" si="180"/>
        <v>111.65</v>
      </c>
      <c r="F5799">
        <f t="shared" si="181"/>
        <v>91816</v>
      </c>
      <c r="H5799" s="680">
        <v>111.65</v>
      </c>
      <c r="I5799" s="680">
        <v>114.98</v>
      </c>
    </row>
    <row r="5800" spans="2:9" ht="30">
      <c r="B5800" s="396">
        <v>101161</v>
      </c>
      <c r="C5800" s="401" t="s">
        <v>4118</v>
      </c>
      <c r="D5800" s="396" t="s">
        <v>0</v>
      </c>
      <c r="E5800" s="405">
        <f t="shared" si="180"/>
        <v>220.23</v>
      </c>
      <c r="F5800">
        <f t="shared" si="181"/>
        <v>101161</v>
      </c>
      <c r="H5800" s="679">
        <v>220.23</v>
      </c>
      <c r="I5800" s="679">
        <v>227.35</v>
      </c>
    </row>
    <row r="5801" spans="2:9" ht="30">
      <c r="B5801" s="395">
        <v>101163</v>
      </c>
      <c r="C5801" s="406" t="s">
        <v>4119</v>
      </c>
      <c r="D5801" s="395" t="s">
        <v>0</v>
      </c>
      <c r="E5801" s="407">
        <f t="shared" si="180"/>
        <v>791.68</v>
      </c>
      <c r="F5801">
        <f t="shared" si="181"/>
        <v>101163</v>
      </c>
      <c r="H5801" s="680">
        <v>791.68</v>
      </c>
      <c r="I5801" s="680">
        <v>806.18</v>
      </c>
    </row>
    <row r="5802" spans="2:9" ht="30">
      <c r="B5802" s="396">
        <v>101164</v>
      </c>
      <c r="C5802" s="401" t="s">
        <v>4120</v>
      </c>
      <c r="D5802" s="396" t="s">
        <v>0</v>
      </c>
      <c r="E5802" s="405">
        <f t="shared" si="180"/>
        <v>803.6</v>
      </c>
      <c r="F5802">
        <f t="shared" si="181"/>
        <v>101164</v>
      </c>
      <c r="H5802" s="679">
        <v>803.6</v>
      </c>
      <c r="I5802" s="679">
        <v>818.15</v>
      </c>
    </row>
    <row r="5803" spans="2:9" ht="30">
      <c r="B5803" s="395">
        <v>96358</v>
      </c>
      <c r="C5803" s="406" t="s">
        <v>8528</v>
      </c>
      <c r="D5803" s="395" t="s">
        <v>0</v>
      </c>
      <c r="E5803" s="407">
        <f t="shared" si="180"/>
        <v>103.47</v>
      </c>
      <c r="F5803">
        <f t="shared" si="181"/>
        <v>96358</v>
      </c>
      <c r="H5803" s="680">
        <v>103.47</v>
      </c>
      <c r="I5803" s="680">
        <v>104.69</v>
      </c>
    </row>
    <row r="5804" spans="2:9" ht="30">
      <c r="B5804" s="396">
        <v>96359</v>
      </c>
      <c r="C5804" s="401" t="s">
        <v>8529</v>
      </c>
      <c r="D5804" s="396" t="s">
        <v>0</v>
      </c>
      <c r="E5804" s="405">
        <f t="shared" si="180"/>
        <v>117.14</v>
      </c>
      <c r="F5804">
        <f t="shared" si="181"/>
        <v>96359</v>
      </c>
      <c r="H5804" s="679">
        <v>117.14</v>
      </c>
      <c r="I5804" s="679">
        <v>118.54</v>
      </c>
    </row>
    <row r="5805" spans="2:9" ht="30">
      <c r="B5805" s="395">
        <v>96360</v>
      </c>
      <c r="C5805" s="406" t="s">
        <v>8530</v>
      </c>
      <c r="D5805" s="395" t="s">
        <v>0</v>
      </c>
      <c r="E5805" s="407">
        <f t="shared" si="180"/>
        <v>139.71</v>
      </c>
      <c r="F5805">
        <f t="shared" si="181"/>
        <v>96360</v>
      </c>
      <c r="H5805" s="680">
        <v>139.71</v>
      </c>
      <c r="I5805" s="680">
        <v>141.25</v>
      </c>
    </row>
    <row r="5806" spans="2:9" ht="30">
      <c r="B5806" s="396">
        <v>96361</v>
      </c>
      <c r="C5806" s="401" t="s">
        <v>8531</v>
      </c>
      <c r="D5806" s="396" t="s">
        <v>0</v>
      </c>
      <c r="E5806" s="405">
        <f t="shared" si="180"/>
        <v>166.62</v>
      </c>
      <c r="F5806">
        <f t="shared" si="181"/>
        <v>96361</v>
      </c>
      <c r="H5806" s="679">
        <v>166.62</v>
      </c>
      <c r="I5806" s="679">
        <v>168.49</v>
      </c>
    </row>
    <row r="5807" spans="2:9" ht="30">
      <c r="B5807" s="395">
        <v>96362</v>
      </c>
      <c r="C5807" s="406" t="s">
        <v>8532</v>
      </c>
      <c r="D5807" s="395" t="s">
        <v>0</v>
      </c>
      <c r="E5807" s="407">
        <f t="shared" si="180"/>
        <v>133.57</v>
      </c>
      <c r="F5807">
        <f t="shared" si="181"/>
        <v>96362</v>
      </c>
      <c r="H5807" s="680">
        <v>133.57</v>
      </c>
      <c r="I5807" s="680">
        <v>135.01</v>
      </c>
    </row>
    <row r="5808" spans="2:9" ht="30">
      <c r="B5808" s="396">
        <v>96363</v>
      </c>
      <c r="C5808" s="401" t="s">
        <v>8533</v>
      </c>
      <c r="D5808" s="396" t="s">
        <v>0</v>
      </c>
      <c r="E5808" s="405">
        <f t="shared" si="180"/>
        <v>147.54</v>
      </c>
      <c r="F5808">
        <f t="shared" si="181"/>
        <v>96363</v>
      </c>
      <c r="H5808" s="679">
        <v>147.54</v>
      </c>
      <c r="I5808" s="679">
        <v>149.18</v>
      </c>
    </row>
    <row r="5809" spans="2:9" ht="30">
      <c r="B5809" s="395">
        <v>96364</v>
      </c>
      <c r="C5809" s="406" t="s">
        <v>8534</v>
      </c>
      <c r="D5809" s="395" t="s">
        <v>0</v>
      </c>
      <c r="E5809" s="407">
        <f t="shared" si="180"/>
        <v>169.81</v>
      </c>
      <c r="F5809">
        <f t="shared" si="181"/>
        <v>96364</v>
      </c>
      <c r="H5809" s="680">
        <v>169.81</v>
      </c>
      <c r="I5809" s="680">
        <v>171.57</v>
      </c>
    </row>
    <row r="5810" spans="2:9" ht="30">
      <c r="B5810" s="396">
        <v>96365</v>
      </c>
      <c r="C5810" s="401" t="s">
        <v>8535</v>
      </c>
      <c r="D5810" s="396" t="s">
        <v>0</v>
      </c>
      <c r="E5810" s="405">
        <f t="shared" si="180"/>
        <v>197</v>
      </c>
      <c r="F5810">
        <f t="shared" si="181"/>
        <v>96365</v>
      </c>
      <c r="H5810" s="679">
        <v>197</v>
      </c>
      <c r="I5810" s="679">
        <v>199.11</v>
      </c>
    </row>
    <row r="5811" spans="2:9" ht="30">
      <c r="B5811" s="395">
        <v>96366</v>
      </c>
      <c r="C5811" s="406" t="s">
        <v>8536</v>
      </c>
      <c r="D5811" s="395" t="s">
        <v>0</v>
      </c>
      <c r="E5811" s="407">
        <f t="shared" si="180"/>
        <v>163.66</v>
      </c>
      <c r="F5811">
        <f t="shared" si="181"/>
        <v>96366</v>
      </c>
      <c r="H5811" s="680">
        <v>163.66</v>
      </c>
      <c r="I5811" s="680">
        <v>165.31</v>
      </c>
    </row>
    <row r="5812" spans="2:9" ht="30">
      <c r="B5812" s="396">
        <v>96367</v>
      </c>
      <c r="C5812" s="401" t="s">
        <v>8537</v>
      </c>
      <c r="D5812" s="396" t="s">
        <v>0</v>
      </c>
      <c r="E5812" s="405">
        <f t="shared" si="180"/>
        <v>177.88</v>
      </c>
      <c r="F5812">
        <f t="shared" si="181"/>
        <v>96367</v>
      </c>
      <c r="H5812" s="679">
        <v>177.88</v>
      </c>
      <c r="I5812" s="679">
        <v>179.77</v>
      </c>
    </row>
    <row r="5813" spans="2:9" ht="30">
      <c r="B5813" s="395">
        <v>96368</v>
      </c>
      <c r="C5813" s="406" t="s">
        <v>2052</v>
      </c>
      <c r="D5813" s="395" t="s">
        <v>0</v>
      </c>
      <c r="E5813" s="407">
        <f t="shared" si="180"/>
        <v>199.9</v>
      </c>
      <c r="F5813">
        <f t="shared" si="181"/>
        <v>96368</v>
      </c>
      <c r="H5813" s="680">
        <v>199.9</v>
      </c>
      <c r="I5813" s="680">
        <v>201.87</v>
      </c>
    </row>
    <row r="5814" spans="2:9" ht="30">
      <c r="B5814" s="396">
        <v>96369</v>
      </c>
      <c r="C5814" s="401" t="s">
        <v>8538</v>
      </c>
      <c r="D5814" s="396" t="s">
        <v>0</v>
      </c>
      <c r="E5814" s="405">
        <f t="shared" si="180"/>
        <v>227.36</v>
      </c>
      <c r="F5814">
        <f t="shared" si="181"/>
        <v>96369</v>
      </c>
      <c r="H5814" s="679">
        <v>227.36</v>
      </c>
      <c r="I5814" s="679">
        <v>229.72</v>
      </c>
    </row>
    <row r="5815" spans="2:9" ht="30">
      <c r="B5815" s="395">
        <v>96370</v>
      </c>
      <c r="C5815" s="406" t="s">
        <v>8539</v>
      </c>
      <c r="D5815" s="395" t="s">
        <v>0</v>
      </c>
      <c r="E5815" s="407">
        <f t="shared" si="180"/>
        <v>70.3</v>
      </c>
      <c r="F5815">
        <f t="shared" si="181"/>
        <v>96370</v>
      </c>
      <c r="H5815" s="680">
        <v>70.3</v>
      </c>
      <c r="I5815" s="680">
        <v>71.11</v>
      </c>
    </row>
    <row r="5816" spans="2:9" ht="30">
      <c r="B5816" s="396">
        <v>96371</v>
      </c>
      <c r="C5816" s="401" t="s">
        <v>8540</v>
      </c>
      <c r="D5816" s="396" t="s">
        <v>0</v>
      </c>
      <c r="E5816" s="405">
        <f t="shared" si="180"/>
        <v>83.82</v>
      </c>
      <c r="F5816">
        <f t="shared" si="181"/>
        <v>96371</v>
      </c>
      <c r="H5816" s="679">
        <v>83.82</v>
      </c>
      <c r="I5816" s="679">
        <v>84.79</v>
      </c>
    </row>
    <row r="5817" spans="2:9">
      <c r="B5817" s="395">
        <v>96373</v>
      </c>
      <c r="C5817" s="406" t="s">
        <v>2053</v>
      </c>
      <c r="D5817" s="395" t="s">
        <v>22</v>
      </c>
      <c r="E5817" s="407">
        <f t="shared" si="180"/>
        <v>13.23</v>
      </c>
      <c r="F5817">
        <f t="shared" si="181"/>
        <v>96373</v>
      </c>
      <c r="H5817" s="680">
        <v>13.23</v>
      </c>
      <c r="I5817" s="680">
        <v>13.37</v>
      </c>
    </row>
    <row r="5818" spans="2:9">
      <c r="B5818" s="396">
        <v>96374</v>
      </c>
      <c r="C5818" s="401" t="s">
        <v>2054</v>
      </c>
      <c r="D5818" s="396" t="s">
        <v>22</v>
      </c>
      <c r="E5818" s="405">
        <f t="shared" si="180"/>
        <v>25.88</v>
      </c>
      <c r="F5818">
        <f t="shared" si="181"/>
        <v>96374</v>
      </c>
      <c r="H5818" s="679">
        <v>25.88</v>
      </c>
      <c r="I5818" s="679">
        <v>26.07</v>
      </c>
    </row>
    <row r="5819" spans="2:9">
      <c r="B5819" s="395">
        <v>102235</v>
      </c>
      <c r="C5819" s="406" t="s">
        <v>5468</v>
      </c>
      <c r="D5819" s="395" t="s">
        <v>0</v>
      </c>
      <c r="E5819" s="407">
        <f t="shared" si="180"/>
        <v>471.64</v>
      </c>
      <c r="F5819">
        <f t="shared" si="181"/>
        <v>102235</v>
      </c>
      <c r="H5819" s="680">
        <v>471.64</v>
      </c>
      <c r="I5819" s="680">
        <v>477.06</v>
      </c>
    </row>
    <row r="5820" spans="2:9" ht="30">
      <c r="B5820" s="396">
        <v>102253</v>
      </c>
      <c r="C5820" s="401" t="s">
        <v>5469</v>
      </c>
      <c r="D5820" s="396" t="s">
        <v>0</v>
      </c>
      <c r="E5820" s="405">
        <f t="shared" si="180"/>
        <v>1064</v>
      </c>
      <c r="F5820">
        <f t="shared" si="181"/>
        <v>102253</v>
      </c>
      <c r="H5820" s="679">
        <v>1064</v>
      </c>
      <c r="I5820" s="679">
        <v>1071.47</v>
      </c>
    </row>
    <row r="5821" spans="2:9" ht="30">
      <c r="B5821" s="395">
        <v>102254</v>
      </c>
      <c r="C5821" s="406" t="s">
        <v>5470</v>
      </c>
      <c r="D5821" s="395" t="s">
        <v>0</v>
      </c>
      <c r="E5821" s="407">
        <f t="shared" si="180"/>
        <v>738.08</v>
      </c>
      <c r="F5821">
        <f t="shared" si="181"/>
        <v>102254</v>
      </c>
      <c r="H5821" s="680">
        <v>738.08</v>
      </c>
      <c r="I5821" s="680">
        <v>745.55</v>
      </c>
    </row>
    <row r="5822" spans="2:9">
      <c r="B5822" s="396">
        <v>102255</v>
      </c>
      <c r="C5822" s="401" t="s">
        <v>5471</v>
      </c>
      <c r="D5822" s="396" t="s">
        <v>0</v>
      </c>
      <c r="E5822" s="405">
        <f t="shared" si="180"/>
        <v>1051.58</v>
      </c>
      <c r="F5822">
        <f t="shared" si="181"/>
        <v>102255</v>
      </c>
      <c r="H5822" s="679">
        <v>1051.58</v>
      </c>
      <c r="I5822" s="679">
        <v>1066</v>
      </c>
    </row>
    <row r="5823" spans="2:9">
      <c r="B5823" s="395">
        <v>102256</v>
      </c>
      <c r="C5823" s="406" t="s">
        <v>5472</v>
      </c>
      <c r="D5823" s="395" t="s">
        <v>0</v>
      </c>
      <c r="E5823" s="407">
        <f t="shared" si="180"/>
        <v>856.55</v>
      </c>
      <c r="F5823">
        <f t="shared" si="181"/>
        <v>102256</v>
      </c>
      <c r="H5823" s="680">
        <v>856.55</v>
      </c>
      <c r="I5823" s="680">
        <v>875.82</v>
      </c>
    </row>
    <row r="5824" spans="2:9" ht="30">
      <c r="B5824" s="396">
        <v>102257</v>
      </c>
      <c r="C5824" s="401" t="s">
        <v>5473</v>
      </c>
      <c r="D5824" s="396" t="s">
        <v>0</v>
      </c>
      <c r="E5824" s="405">
        <f t="shared" si="180"/>
        <v>332.26</v>
      </c>
      <c r="F5824">
        <f t="shared" si="181"/>
        <v>102257</v>
      </c>
      <c r="H5824" s="679">
        <v>332.26</v>
      </c>
      <c r="I5824" s="679">
        <v>339</v>
      </c>
    </row>
    <row r="5825" spans="2:9">
      <c r="B5825" s="395">
        <v>102258</v>
      </c>
      <c r="C5825" s="406" t="s">
        <v>5474</v>
      </c>
      <c r="D5825" s="395" t="s">
        <v>0</v>
      </c>
      <c r="E5825" s="407">
        <f t="shared" si="180"/>
        <v>349.19</v>
      </c>
      <c r="F5825">
        <f t="shared" si="181"/>
        <v>102258</v>
      </c>
      <c r="H5825" s="680">
        <v>349.19</v>
      </c>
      <c r="I5825" s="680">
        <v>362.31</v>
      </c>
    </row>
    <row r="5826" spans="2:9" ht="30">
      <c r="B5826" s="396">
        <v>101154</v>
      </c>
      <c r="C5826" s="401" t="s">
        <v>4121</v>
      </c>
      <c r="D5826" s="396" t="s">
        <v>0</v>
      </c>
      <c r="E5826" s="405">
        <f t="shared" si="180"/>
        <v>101.57</v>
      </c>
      <c r="F5826">
        <f t="shared" si="181"/>
        <v>101154</v>
      </c>
      <c r="H5826" s="679">
        <v>101.57</v>
      </c>
      <c r="I5826" s="679">
        <v>104.46</v>
      </c>
    </row>
    <row r="5827" spans="2:9" ht="30">
      <c r="B5827" s="395">
        <v>101155</v>
      </c>
      <c r="C5827" s="406" t="s">
        <v>4122</v>
      </c>
      <c r="D5827" s="395" t="s">
        <v>0</v>
      </c>
      <c r="E5827" s="407">
        <f t="shared" ref="E5827:E5890" si="182">IF($K$2=$H$1,H5827,I5827)</f>
        <v>141.97</v>
      </c>
      <c r="F5827">
        <f t="shared" ref="F5827:F5890" si="183">IF(LEN($B5827)=7,CONCATENATE(MID($B5827,1,6),"00",RIGHT($B5827,1)),IF(LEN($B5827)=8,CONCATENATE(MID($B5827,1,6),"0",RIGHT($B5827,2)),$B5827))</f>
        <v>101155</v>
      </c>
      <c r="H5827" s="680">
        <v>141.97</v>
      </c>
      <c r="I5827" s="680">
        <v>145.79</v>
      </c>
    </row>
    <row r="5828" spans="2:9" ht="30">
      <c r="B5828" s="396">
        <v>101156</v>
      </c>
      <c r="C5828" s="401" t="s">
        <v>4123</v>
      </c>
      <c r="D5828" s="396" t="s">
        <v>0</v>
      </c>
      <c r="E5828" s="405">
        <f t="shared" si="182"/>
        <v>207.57</v>
      </c>
      <c r="F5828">
        <f t="shared" si="183"/>
        <v>101156</v>
      </c>
      <c r="H5828" s="679">
        <v>207.57</v>
      </c>
      <c r="I5828" s="679">
        <v>212.77</v>
      </c>
    </row>
    <row r="5829" spans="2:9" ht="30">
      <c r="B5829" s="395">
        <v>101814</v>
      </c>
      <c r="C5829" s="406" t="s">
        <v>5587</v>
      </c>
      <c r="D5829" s="395" t="s">
        <v>0</v>
      </c>
      <c r="E5829" s="407">
        <f t="shared" si="182"/>
        <v>43.96</v>
      </c>
      <c r="F5829">
        <f t="shared" si="183"/>
        <v>101814</v>
      </c>
      <c r="H5829" s="680">
        <v>43.96</v>
      </c>
      <c r="I5829" s="680">
        <v>46.57</v>
      </c>
    </row>
    <row r="5830" spans="2:9" ht="30">
      <c r="B5830" s="396">
        <v>101816</v>
      </c>
      <c r="C5830" s="401" t="s">
        <v>5588</v>
      </c>
      <c r="D5830" s="396" t="s">
        <v>0</v>
      </c>
      <c r="E5830" s="405">
        <f t="shared" si="182"/>
        <v>71.010000000000005</v>
      </c>
      <c r="F5830">
        <f t="shared" si="183"/>
        <v>101816</v>
      </c>
      <c r="H5830" s="679">
        <v>71.010000000000005</v>
      </c>
      <c r="I5830" s="679">
        <v>74.260000000000005</v>
      </c>
    </row>
    <row r="5831" spans="2:9" ht="30">
      <c r="B5831" s="395">
        <v>101817</v>
      </c>
      <c r="C5831" s="406" t="s">
        <v>5589</v>
      </c>
      <c r="D5831" s="395" t="s">
        <v>0</v>
      </c>
      <c r="E5831" s="407">
        <f t="shared" si="182"/>
        <v>46.8</v>
      </c>
      <c r="F5831">
        <f t="shared" si="183"/>
        <v>101817</v>
      </c>
      <c r="H5831" s="680">
        <v>46.8</v>
      </c>
      <c r="I5831" s="680">
        <v>49.98</v>
      </c>
    </row>
    <row r="5832" spans="2:9" ht="30">
      <c r="B5832" s="396">
        <v>101819</v>
      </c>
      <c r="C5832" s="401" t="s">
        <v>5590</v>
      </c>
      <c r="D5832" s="396" t="s">
        <v>0</v>
      </c>
      <c r="E5832" s="405">
        <f t="shared" si="182"/>
        <v>61.26</v>
      </c>
      <c r="F5832">
        <f t="shared" si="183"/>
        <v>101819</v>
      </c>
      <c r="H5832" s="679">
        <v>61.26</v>
      </c>
      <c r="I5832" s="679">
        <v>64.930000000000007</v>
      </c>
    </row>
    <row r="5833" spans="2:9" ht="30">
      <c r="B5833" s="395">
        <v>101820</v>
      </c>
      <c r="C5833" s="406" t="s">
        <v>5591</v>
      </c>
      <c r="D5833" s="395" t="s">
        <v>0</v>
      </c>
      <c r="E5833" s="407">
        <f t="shared" si="182"/>
        <v>35.86</v>
      </c>
      <c r="F5833">
        <f t="shared" si="183"/>
        <v>101820</v>
      </c>
      <c r="H5833" s="680">
        <v>35.86</v>
      </c>
      <c r="I5833" s="680">
        <v>38.880000000000003</v>
      </c>
    </row>
    <row r="5834" spans="2:9" ht="30">
      <c r="B5834" s="396">
        <v>101822</v>
      </c>
      <c r="C5834" s="401" t="s">
        <v>5592</v>
      </c>
      <c r="D5834" s="396" t="s">
        <v>20</v>
      </c>
      <c r="E5834" s="405">
        <f t="shared" si="182"/>
        <v>92.67</v>
      </c>
      <c r="F5834">
        <f t="shared" si="183"/>
        <v>101822</v>
      </c>
      <c r="H5834" s="679">
        <v>92.67</v>
      </c>
      <c r="I5834" s="679">
        <v>102.5</v>
      </c>
    </row>
    <row r="5835" spans="2:9" ht="30">
      <c r="B5835" s="395">
        <v>101823</v>
      </c>
      <c r="C5835" s="406" t="s">
        <v>5593</v>
      </c>
      <c r="D5835" s="395" t="s">
        <v>20</v>
      </c>
      <c r="E5835" s="407">
        <f t="shared" si="182"/>
        <v>136.99</v>
      </c>
      <c r="F5835">
        <f t="shared" si="183"/>
        <v>101823</v>
      </c>
      <c r="H5835" s="680">
        <v>136.99</v>
      </c>
      <c r="I5835" s="680">
        <v>146.82</v>
      </c>
    </row>
    <row r="5836" spans="2:9" ht="30">
      <c r="B5836" s="396">
        <v>101824</v>
      </c>
      <c r="C5836" s="401" t="s">
        <v>5594</v>
      </c>
      <c r="D5836" s="396" t="s">
        <v>20</v>
      </c>
      <c r="E5836" s="405">
        <f t="shared" si="182"/>
        <v>178.25</v>
      </c>
      <c r="F5836">
        <f t="shared" si="183"/>
        <v>101824</v>
      </c>
      <c r="H5836" s="679">
        <v>178.25</v>
      </c>
      <c r="I5836" s="679">
        <v>188.08</v>
      </c>
    </row>
    <row r="5837" spans="2:9" ht="30">
      <c r="B5837" s="395">
        <v>101825</v>
      </c>
      <c r="C5837" s="406" t="s">
        <v>5595</v>
      </c>
      <c r="D5837" s="395" t="s">
        <v>20</v>
      </c>
      <c r="E5837" s="407">
        <f t="shared" si="182"/>
        <v>218.4</v>
      </c>
      <c r="F5837">
        <f t="shared" si="183"/>
        <v>101825</v>
      </c>
      <c r="H5837" s="680">
        <v>218.4</v>
      </c>
      <c r="I5837" s="680">
        <v>228.23</v>
      </c>
    </row>
    <row r="5838" spans="2:9" ht="30">
      <c r="B5838" s="396">
        <v>101826</v>
      </c>
      <c r="C5838" s="401" t="s">
        <v>5596</v>
      </c>
      <c r="D5838" s="396" t="s">
        <v>20</v>
      </c>
      <c r="E5838" s="405">
        <f t="shared" si="182"/>
        <v>258.02</v>
      </c>
      <c r="F5838">
        <f t="shared" si="183"/>
        <v>101826</v>
      </c>
      <c r="H5838" s="679">
        <v>258.02</v>
      </c>
      <c r="I5838" s="679">
        <v>267.85000000000002</v>
      </c>
    </row>
    <row r="5839" spans="2:9" ht="30">
      <c r="B5839" s="395">
        <v>101827</v>
      </c>
      <c r="C5839" s="406" t="s">
        <v>5597</v>
      </c>
      <c r="D5839" s="395" t="s">
        <v>20</v>
      </c>
      <c r="E5839" s="407">
        <f t="shared" si="182"/>
        <v>184.34</v>
      </c>
      <c r="F5839">
        <f t="shared" si="183"/>
        <v>101827</v>
      </c>
      <c r="H5839" s="680">
        <v>184.34</v>
      </c>
      <c r="I5839" s="680">
        <v>194.17</v>
      </c>
    </row>
    <row r="5840" spans="2:9" ht="30">
      <c r="B5840" s="396">
        <v>101828</v>
      </c>
      <c r="C5840" s="401" t="s">
        <v>5598</v>
      </c>
      <c r="D5840" s="396" t="s">
        <v>20</v>
      </c>
      <c r="E5840" s="405">
        <f t="shared" si="182"/>
        <v>169.06</v>
      </c>
      <c r="F5840">
        <f t="shared" si="183"/>
        <v>101828</v>
      </c>
      <c r="H5840" s="679">
        <v>169.06</v>
      </c>
      <c r="I5840" s="679">
        <v>178.89</v>
      </c>
    </row>
    <row r="5841" spans="2:9" ht="30">
      <c r="B5841" s="395">
        <v>101829</v>
      </c>
      <c r="C5841" s="406" t="s">
        <v>6287</v>
      </c>
      <c r="D5841" s="395" t="s">
        <v>20</v>
      </c>
      <c r="E5841" s="407">
        <f t="shared" si="182"/>
        <v>266.25</v>
      </c>
      <c r="F5841">
        <f t="shared" si="183"/>
        <v>101829</v>
      </c>
      <c r="H5841" s="680">
        <v>266.25</v>
      </c>
      <c r="I5841" s="680">
        <v>276.08</v>
      </c>
    </row>
    <row r="5842" spans="2:9" ht="30">
      <c r="B5842" s="396">
        <v>101830</v>
      </c>
      <c r="C5842" s="401" t="s">
        <v>6288</v>
      </c>
      <c r="D5842" s="396" t="s">
        <v>20</v>
      </c>
      <c r="E5842" s="405">
        <f t="shared" si="182"/>
        <v>304.57</v>
      </c>
      <c r="F5842">
        <f t="shared" si="183"/>
        <v>101830</v>
      </c>
      <c r="H5842" s="679">
        <v>304.57</v>
      </c>
      <c r="I5842" s="679">
        <v>314.39999999999998</v>
      </c>
    </row>
    <row r="5843" spans="2:9" ht="30">
      <c r="B5843" s="395">
        <v>101831</v>
      </c>
      <c r="C5843" s="406" t="s">
        <v>6289</v>
      </c>
      <c r="D5843" s="395" t="s">
        <v>20</v>
      </c>
      <c r="E5843" s="407">
        <f t="shared" si="182"/>
        <v>342.35</v>
      </c>
      <c r="F5843">
        <f t="shared" si="183"/>
        <v>101831</v>
      </c>
      <c r="H5843" s="680">
        <v>342.35</v>
      </c>
      <c r="I5843" s="680">
        <v>352.18</v>
      </c>
    </row>
    <row r="5844" spans="2:9" ht="30">
      <c r="B5844" s="396">
        <v>101832</v>
      </c>
      <c r="C5844" s="401" t="s">
        <v>5599</v>
      </c>
      <c r="D5844" s="396" t="s">
        <v>20</v>
      </c>
      <c r="E5844" s="405">
        <f t="shared" si="182"/>
        <v>251.59</v>
      </c>
      <c r="F5844">
        <f t="shared" si="183"/>
        <v>101832</v>
      </c>
      <c r="H5844" s="679">
        <v>251.59</v>
      </c>
      <c r="I5844" s="679">
        <v>261.42</v>
      </c>
    </row>
    <row r="5845" spans="2:9" ht="30">
      <c r="B5845" s="395">
        <v>101833</v>
      </c>
      <c r="C5845" s="406" t="s">
        <v>5600</v>
      </c>
      <c r="D5845" s="395" t="s">
        <v>20</v>
      </c>
      <c r="E5845" s="407">
        <f t="shared" si="182"/>
        <v>290.2</v>
      </c>
      <c r="F5845">
        <f t="shared" si="183"/>
        <v>101833</v>
      </c>
      <c r="H5845" s="680">
        <v>290.2</v>
      </c>
      <c r="I5845" s="680">
        <v>300.02999999999997</v>
      </c>
    </row>
    <row r="5846" spans="2:9" ht="30">
      <c r="B5846" s="396">
        <v>101834</v>
      </c>
      <c r="C5846" s="401" t="s">
        <v>5601</v>
      </c>
      <c r="D5846" s="396" t="s">
        <v>20</v>
      </c>
      <c r="E5846" s="405">
        <f t="shared" si="182"/>
        <v>328.3</v>
      </c>
      <c r="F5846">
        <f t="shared" si="183"/>
        <v>101834</v>
      </c>
      <c r="H5846" s="679">
        <v>328.3</v>
      </c>
      <c r="I5846" s="679">
        <v>338.13</v>
      </c>
    </row>
    <row r="5847" spans="2:9" ht="30">
      <c r="B5847" s="395">
        <v>101835</v>
      </c>
      <c r="C5847" s="406" t="s">
        <v>5602</v>
      </c>
      <c r="D5847" s="395" t="s">
        <v>20</v>
      </c>
      <c r="E5847" s="407">
        <f t="shared" si="182"/>
        <v>267.69</v>
      </c>
      <c r="F5847">
        <f t="shared" si="183"/>
        <v>101835</v>
      </c>
      <c r="H5847" s="680">
        <v>267.69</v>
      </c>
      <c r="I5847" s="680">
        <v>277.68</v>
      </c>
    </row>
    <row r="5848" spans="2:9" ht="30">
      <c r="B5848" s="396">
        <v>101836</v>
      </c>
      <c r="C5848" s="401" t="s">
        <v>5603</v>
      </c>
      <c r="D5848" s="396" t="s">
        <v>20</v>
      </c>
      <c r="E5848" s="405">
        <f t="shared" si="182"/>
        <v>23.38</v>
      </c>
      <c r="F5848">
        <f t="shared" si="183"/>
        <v>101836</v>
      </c>
      <c r="H5848" s="679">
        <v>23.38</v>
      </c>
      <c r="I5848" s="679">
        <v>24.21</v>
      </c>
    </row>
    <row r="5849" spans="2:9" ht="30">
      <c r="B5849" s="395">
        <v>101837</v>
      </c>
      <c r="C5849" s="406" t="s">
        <v>5604</v>
      </c>
      <c r="D5849" s="395" t="s">
        <v>20</v>
      </c>
      <c r="E5849" s="407">
        <f t="shared" si="182"/>
        <v>67.7</v>
      </c>
      <c r="F5849">
        <f t="shared" si="183"/>
        <v>101837</v>
      </c>
      <c r="H5849" s="680">
        <v>67.7</v>
      </c>
      <c r="I5849" s="680">
        <v>68.53</v>
      </c>
    </row>
    <row r="5850" spans="2:9" ht="30">
      <c r="B5850" s="396">
        <v>101838</v>
      </c>
      <c r="C5850" s="401" t="s">
        <v>5605</v>
      </c>
      <c r="D5850" s="396" t="s">
        <v>20</v>
      </c>
      <c r="E5850" s="405">
        <f t="shared" si="182"/>
        <v>108.96</v>
      </c>
      <c r="F5850">
        <f t="shared" si="183"/>
        <v>101838</v>
      </c>
      <c r="H5850" s="679">
        <v>108.96</v>
      </c>
      <c r="I5850" s="679">
        <v>109.79</v>
      </c>
    </row>
    <row r="5851" spans="2:9" ht="30">
      <c r="B5851" s="395">
        <v>101839</v>
      </c>
      <c r="C5851" s="406" t="s">
        <v>5606</v>
      </c>
      <c r="D5851" s="395" t="s">
        <v>20</v>
      </c>
      <c r="E5851" s="407">
        <f t="shared" si="182"/>
        <v>149.1</v>
      </c>
      <c r="F5851">
        <f t="shared" si="183"/>
        <v>101839</v>
      </c>
      <c r="H5851" s="680">
        <v>149.1</v>
      </c>
      <c r="I5851" s="680">
        <v>149.93</v>
      </c>
    </row>
    <row r="5852" spans="2:9" ht="30">
      <c r="B5852" s="396">
        <v>101840</v>
      </c>
      <c r="C5852" s="401" t="s">
        <v>5607</v>
      </c>
      <c r="D5852" s="396" t="s">
        <v>20</v>
      </c>
      <c r="E5852" s="405">
        <f t="shared" si="182"/>
        <v>227.98</v>
      </c>
      <c r="F5852">
        <f t="shared" si="183"/>
        <v>101840</v>
      </c>
      <c r="H5852" s="679">
        <v>227.98</v>
      </c>
      <c r="I5852" s="679">
        <v>230.71</v>
      </c>
    </row>
    <row r="5853" spans="2:9" ht="30">
      <c r="B5853" s="395">
        <v>101841</v>
      </c>
      <c r="C5853" s="406" t="s">
        <v>5608</v>
      </c>
      <c r="D5853" s="395" t="s">
        <v>20</v>
      </c>
      <c r="E5853" s="407">
        <f t="shared" si="182"/>
        <v>115.05</v>
      </c>
      <c r="F5853">
        <f t="shared" si="183"/>
        <v>101841</v>
      </c>
      <c r="H5853" s="680">
        <v>115.05</v>
      </c>
      <c r="I5853" s="680">
        <v>115.88</v>
      </c>
    </row>
    <row r="5854" spans="2:9" ht="30">
      <c r="B5854" s="396">
        <v>101842</v>
      </c>
      <c r="C5854" s="401" t="s">
        <v>5609</v>
      </c>
      <c r="D5854" s="396" t="s">
        <v>20</v>
      </c>
      <c r="E5854" s="405">
        <f t="shared" si="182"/>
        <v>99.77</v>
      </c>
      <c r="F5854">
        <f t="shared" si="183"/>
        <v>101842</v>
      </c>
      <c r="H5854" s="679">
        <v>99.77</v>
      </c>
      <c r="I5854" s="679">
        <v>100.6</v>
      </c>
    </row>
    <row r="5855" spans="2:9" ht="30">
      <c r="B5855" s="395">
        <v>101843</v>
      </c>
      <c r="C5855" s="406" t="s">
        <v>6290</v>
      </c>
      <c r="D5855" s="395" t="s">
        <v>20</v>
      </c>
      <c r="E5855" s="407">
        <f t="shared" si="182"/>
        <v>196.96</v>
      </c>
      <c r="F5855">
        <f t="shared" si="183"/>
        <v>101843</v>
      </c>
      <c r="H5855" s="680">
        <v>196.96</v>
      </c>
      <c r="I5855" s="680">
        <v>197.79</v>
      </c>
    </row>
    <row r="5856" spans="2:9" ht="30">
      <c r="B5856" s="396">
        <v>101844</v>
      </c>
      <c r="C5856" s="401" t="s">
        <v>6291</v>
      </c>
      <c r="D5856" s="396" t="s">
        <v>20</v>
      </c>
      <c r="E5856" s="405">
        <f t="shared" si="182"/>
        <v>235.28</v>
      </c>
      <c r="F5856">
        <f t="shared" si="183"/>
        <v>101844</v>
      </c>
      <c r="H5856" s="679">
        <v>235.28</v>
      </c>
      <c r="I5856" s="679">
        <v>236.11</v>
      </c>
    </row>
    <row r="5857" spans="2:9" ht="30">
      <c r="B5857" s="395">
        <v>101845</v>
      </c>
      <c r="C5857" s="406" t="s">
        <v>6292</v>
      </c>
      <c r="D5857" s="395" t="s">
        <v>20</v>
      </c>
      <c r="E5857" s="407">
        <f t="shared" si="182"/>
        <v>273.06</v>
      </c>
      <c r="F5857">
        <f t="shared" si="183"/>
        <v>101845</v>
      </c>
      <c r="H5857" s="680">
        <v>273.06</v>
      </c>
      <c r="I5857" s="680">
        <v>273.89</v>
      </c>
    </row>
    <row r="5858" spans="2:9" ht="30">
      <c r="B5858" s="396">
        <v>101846</v>
      </c>
      <c r="C5858" s="401" t="s">
        <v>5610</v>
      </c>
      <c r="D5858" s="396" t="s">
        <v>20</v>
      </c>
      <c r="E5858" s="405">
        <f t="shared" si="182"/>
        <v>182.3</v>
      </c>
      <c r="F5858">
        <f t="shared" si="183"/>
        <v>101846</v>
      </c>
      <c r="H5858" s="679">
        <v>182.3</v>
      </c>
      <c r="I5858" s="679">
        <v>183.13</v>
      </c>
    </row>
    <row r="5859" spans="2:9" ht="30">
      <c r="B5859" s="395">
        <v>101847</v>
      </c>
      <c r="C5859" s="406" t="s">
        <v>5611</v>
      </c>
      <c r="D5859" s="395" t="s">
        <v>20</v>
      </c>
      <c r="E5859" s="407">
        <f t="shared" si="182"/>
        <v>220.91</v>
      </c>
      <c r="F5859">
        <f t="shared" si="183"/>
        <v>101847</v>
      </c>
      <c r="H5859" s="680">
        <v>220.91</v>
      </c>
      <c r="I5859" s="680">
        <v>221.74</v>
      </c>
    </row>
    <row r="5860" spans="2:9" ht="30">
      <c r="B5860" s="396">
        <v>101848</v>
      </c>
      <c r="C5860" s="401" t="s">
        <v>5612</v>
      </c>
      <c r="D5860" s="396" t="s">
        <v>20</v>
      </c>
      <c r="E5860" s="405">
        <f t="shared" si="182"/>
        <v>259.01</v>
      </c>
      <c r="F5860">
        <f t="shared" si="183"/>
        <v>101848</v>
      </c>
      <c r="H5860" s="679">
        <v>259.01</v>
      </c>
      <c r="I5860" s="679">
        <v>259.83999999999997</v>
      </c>
    </row>
    <row r="5861" spans="2:9" ht="30">
      <c r="B5861" s="395">
        <v>101849</v>
      </c>
      <c r="C5861" s="406" t="s">
        <v>5613</v>
      </c>
      <c r="D5861" s="395" t="s">
        <v>20</v>
      </c>
      <c r="E5861" s="407">
        <f t="shared" si="182"/>
        <v>198.4</v>
      </c>
      <c r="F5861">
        <f t="shared" si="183"/>
        <v>101849</v>
      </c>
      <c r="H5861" s="680">
        <v>198.4</v>
      </c>
      <c r="I5861" s="680">
        <v>199.39</v>
      </c>
    </row>
    <row r="5862" spans="2:9" ht="30">
      <c r="B5862" s="396">
        <v>101850</v>
      </c>
      <c r="C5862" s="401" t="s">
        <v>5614</v>
      </c>
      <c r="D5862" s="396" t="s">
        <v>0</v>
      </c>
      <c r="E5862" s="405">
        <f t="shared" si="182"/>
        <v>54.91</v>
      </c>
      <c r="F5862">
        <f t="shared" si="183"/>
        <v>101850</v>
      </c>
      <c r="H5862" s="679">
        <v>54.91</v>
      </c>
      <c r="I5862" s="679">
        <v>58.1</v>
      </c>
    </row>
    <row r="5863" spans="2:9" ht="30">
      <c r="B5863" s="395">
        <v>101852</v>
      </c>
      <c r="C5863" s="406" t="s">
        <v>5615</v>
      </c>
      <c r="D5863" s="395" t="s">
        <v>0</v>
      </c>
      <c r="E5863" s="407">
        <f t="shared" si="182"/>
        <v>69.75</v>
      </c>
      <c r="F5863">
        <f t="shared" si="183"/>
        <v>101852</v>
      </c>
      <c r="H5863" s="680">
        <v>69.75</v>
      </c>
      <c r="I5863" s="680">
        <v>73.39</v>
      </c>
    </row>
    <row r="5864" spans="2:9" ht="30">
      <c r="B5864" s="396">
        <v>101853</v>
      </c>
      <c r="C5864" s="401" t="s">
        <v>5616</v>
      </c>
      <c r="D5864" s="396" t="s">
        <v>0</v>
      </c>
      <c r="E5864" s="405">
        <f t="shared" si="182"/>
        <v>50.42</v>
      </c>
      <c r="F5864">
        <f t="shared" si="183"/>
        <v>101853</v>
      </c>
      <c r="H5864" s="679">
        <v>50.42</v>
      </c>
      <c r="I5864" s="679">
        <v>53.03</v>
      </c>
    </row>
    <row r="5865" spans="2:9" ht="30">
      <c r="B5865" s="395">
        <v>101855</v>
      </c>
      <c r="C5865" s="406" t="s">
        <v>5617</v>
      </c>
      <c r="D5865" s="395" t="s">
        <v>0</v>
      </c>
      <c r="E5865" s="407">
        <f t="shared" si="182"/>
        <v>77.739999999999995</v>
      </c>
      <c r="F5865">
        <f t="shared" si="183"/>
        <v>101855</v>
      </c>
      <c r="H5865" s="680">
        <v>77.739999999999995</v>
      </c>
      <c r="I5865" s="680">
        <v>80.95</v>
      </c>
    </row>
    <row r="5866" spans="2:9" ht="30">
      <c r="B5866" s="396">
        <v>101856</v>
      </c>
      <c r="C5866" s="401" t="s">
        <v>5618</v>
      </c>
      <c r="D5866" s="396" t="s">
        <v>0</v>
      </c>
      <c r="E5866" s="405">
        <f t="shared" si="182"/>
        <v>23.33</v>
      </c>
      <c r="F5866">
        <f t="shared" si="183"/>
        <v>101856</v>
      </c>
      <c r="H5866" s="679">
        <v>23.33</v>
      </c>
      <c r="I5866" s="679">
        <v>25.03</v>
      </c>
    </row>
    <row r="5867" spans="2:9" ht="30">
      <c r="B5867" s="395">
        <v>101857</v>
      </c>
      <c r="C5867" s="406" t="s">
        <v>5619</v>
      </c>
      <c r="D5867" s="395" t="s">
        <v>0</v>
      </c>
      <c r="E5867" s="407">
        <f t="shared" si="182"/>
        <v>28.58</v>
      </c>
      <c r="F5867">
        <f t="shared" si="183"/>
        <v>101857</v>
      </c>
      <c r="H5867" s="680">
        <v>28.58</v>
      </c>
      <c r="I5867" s="680">
        <v>30.86</v>
      </c>
    </row>
    <row r="5868" spans="2:9" ht="30">
      <c r="B5868" s="396">
        <v>101858</v>
      </c>
      <c r="C5868" s="401" t="s">
        <v>5620</v>
      </c>
      <c r="D5868" s="396" t="s">
        <v>0</v>
      </c>
      <c r="E5868" s="405">
        <f t="shared" si="182"/>
        <v>23.78</v>
      </c>
      <c r="F5868">
        <f t="shared" si="183"/>
        <v>101858</v>
      </c>
      <c r="H5868" s="679">
        <v>23.78</v>
      </c>
      <c r="I5868" s="679">
        <v>25.53</v>
      </c>
    </row>
    <row r="5869" spans="2:9" ht="30">
      <c r="B5869" s="395">
        <v>101859</v>
      </c>
      <c r="C5869" s="406" t="s">
        <v>5621</v>
      </c>
      <c r="D5869" s="395" t="s">
        <v>0</v>
      </c>
      <c r="E5869" s="407">
        <f t="shared" si="182"/>
        <v>26.03</v>
      </c>
      <c r="F5869">
        <f t="shared" si="183"/>
        <v>101859</v>
      </c>
      <c r="H5869" s="680">
        <v>26.03</v>
      </c>
      <c r="I5869" s="680">
        <v>28.02</v>
      </c>
    </row>
    <row r="5870" spans="2:9" ht="30">
      <c r="B5870" s="396">
        <v>101860</v>
      </c>
      <c r="C5870" s="401" t="s">
        <v>5622</v>
      </c>
      <c r="D5870" s="396" t="s">
        <v>0</v>
      </c>
      <c r="E5870" s="405">
        <f t="shared" si="182"/>
        <v>29.58</v>
      </c>
      <c r="F5870">
        <f t="shared" si="183"/>
        <v>101860</v>
      </c>
      <c r="H5870" s="679">
        <v>29.58</v>
      </c>
      <c r="I5870" s="679">
        <v>31.96</v>
      </c>
    </row>
    <row r="5871" spans="2:9" ht="30">
      <c r="B5871" s="395">
        <v>101861</v>
      </c>
      <c r="C5871" s="406" t="s">
        <v>5623</v>
      </c>
      <c r="D5871" s="395" t="s">
        <v>0</v>
      </c>
      <c r="E5871" s="407">
        <f t="shared" si="182"/>
        <v>27.81</v>
      </c>
      <c r="F5871">
        <f t="shared" si="183"/>
        <v>101861</v>
      </c>
      <c r="H5871" s="680">
        <v>27.81</v>
      </c>
      <c r="I5871" s="680">
        <v>30</v>
      </c>
    </row>
    <row r="5872" spans="2:9" ht="30">
      <c r="B5872" s="396">
        <v>101862</v>
      </c>
      <c r="C5872" s="401" t="s">
        <v>5624</v>
      </c>
      <c r="D5872" s="396" t="s">
        <v>0</v>
      </c>
      <c r="E5872" s="405">
        <f t="shared" si="182"/>
        <v>30.12</v>
      </c>
      <c r="F5872">
        <f t="shared" si="183"/>
        <v>101862</v>
      </c>
      <c r="H5872" s="679">
        <v>30.12</v>
      </c>
      <c r="I5872" s="679">
        <v>32.549999999999997</v>
      </c>
    </row>
    <row r="5873" spans="2:9" ht="30">
      <c r="B5873" s="395">
        <v>101863</v>
      </c>
      <c r="C5873" s="406" t="s">
        <v>5625</v>
      </c>
      <c r="D5873" s="395" t="s">
        <v>0</v>
      </c>
      <c r="E5873" s="407">
        <f t="shared" si="182"/>
        <v>24.08</v>
      </c>
      <c r="F5873">
        <f t="shared" si="183"/>
        <v>101863</v>
      </c>
      <c r="H5873" s="680">
        <v>24.08</v>
      </c>
      <c r="I5873" s="680">
        <v>25.87</v>
      </c>
    </row>
    <row r="5874" spans="2:9" ht="30">
      <c r="B5874" s="396">
        <v>101864</v>
      </c>
      <c r="C5874" s="401" t="s">
        <v>5626</v>
      </c>
      <c r="D5874" s="396" t="s">
        <v>0</v>
      </c>
      <c r="E5874" s="405">
        <f t="shared" si="182"/>
        <v>27.64</v>
      </c>
      <c r="F5874">
        <f t="shared" si="183"/>
        <v>101864</v>
      </c>
      <c r="H5874" s="679">
        <v>27.64</v>
      </c>
      <c r="I5874" s="679">
        <v>29.8</v>
      </c>
    </row>
    <row r="5875" spans="2:9" ht="30">
      <c r="B5875" s="395">
        <v>101865</v>
      </c>
      <c r="C5875" s="406" t="s">
        <v>5627</v>
      </c>
      <c r="D5875" s="395" t="s">
        <v>0</v>
      </c>
      <c r="E5875" s="407">
        <f t="shared" si="182"/>
        <v>31.18</v>
      </c>
      <c r="F5875">
        <f t="shared" si="183"/>
        <v>101865</v>
      </c>
      <c r="H5875" s="680">
        <v>31.18</v>
      </c>
      <c r="I5875" s="680">
        <v>33.74</v>
      </c>
    </row>
    <row r="5876" spans="2:9" ht="30">
      <c r="B5876" s="396">
        <v>101866</v>
      </c>
      <c r="C5876" s="401" t="s">
        <v>5628</v>
      </c>
      <c r="D5876" s="396" t="s">
        <v>0</v>
      </c>
      <c r="E5876" s="405">
        <f t="shared" si="182"/>
        <v>27.99</v>
      </c>
      <c r="F5876">
        <f t="shared" si="183"/>
        <v>101866</v>
      </c>
      <c r="H5876" s="679">
        <v>27.99</v>
      </c>
      <c r="I5876" s="679">
        <v>30.2</v>
      </c>
    </row>
    <row r="5877" spans="2:9" ht="30">
      <c r="B5877" s="395">
        <v>101867</v>
      </c>
      <c r="C5877" s="406" t="s">
        <v>5629</v>
      </c>
      <c r="D5877" s="395" t="s">
        <v>0</v>
      </c>
      <c r="E5877" s="407">
        <f t="shared" si="182"/>
        <v>31.53</v>
      </c>
      <c r="F5877">
        <f t="shared" si="183"/>
        <v>101867</v>
      </c>
      <c r="H5877" s="680">
        <v>31.53</v>
      </c>
      <c r="I5877" s="680">
        <v>34.130000000000003</v>
      </c>
    </row>
    <row r="5878" spans="2:9" ht="30">
      <c r="B5878" s="396">
        <v>101868</v>
      </c>
      <c r="C5878" s="401" t="s">
        <v>5630</v>
      </c>
      <c r="D5878" s="396" t="s">
        <v>0</v>
      </c>
      <c r="E5878" s="405">
        <f t="shared" si="182"/>
        <v>25.52</v>
      </c>
      <c r="F5878">
        <f t="shared" si="183"/>
        <v>101868</v>
      </c>
      <c r="H5878" s="679">
        <v>25.52</v>
      </c>
      <c r="I5878" s="679">
        <v>27.45</v>
      </c>
    </row>
    <row r="5879" spans="2:9" ht="30">
      <c r="B5879" s="395">
        <v>101869</v>
      </c>
      <c r="C5879" s="406" t="s">
        <v>5631</v>
      </c>
      <c r="D5879" s="395" t="s">
        <v>0</v>
      </c>
      <c r="E5879" s="407">
        <f t="shared" si="182"/>
        <v>29.06</v>
      </c>
      <c r="F5879">
        <f t="shared" si="183"/>
        <v>101869</v>
      </c>
      <c r="H5879" s="680">
        <v>29.06</v>
      </c>
      <c r="I5879" s="680">
        <v>31.38</v>
      </c>
    </row>
    <row r="5880" spans="2:9" ht="30">
      <c r="B5880" s="396">
        <v>101870</v>
      </c>
      <c r="C5880" s="401" t="s">
        <v>5632</v>
      </c>
      <c r="D5880" s="396" t="s">
        <v>0</v>
      </c>
      <c r="E5880" s="405">
        <f t="shared" si="182"/>
        <v>32.61</v>
      </c>
      <c r="F5880">
        <f t="shared" si="183"/>
        <v>101870</v>
      </c>
      <c r="H5880" s="679">
        <v>32.61</v>
      </c>
      <c r="I5880" s="679">
        <v>35.31</v>
      </c>
    </row>
    <row r="5881" spans="2:9" ht="30">
      <c r="B5881" s="395">
        <v>102098</v>
      </c>
      <c r="C5881" s="406" t="s">
        <v>5633</v>
      </c>
      <c r="D5881" s="395" t="s">
        <v>20</v>
      </c>
      <c r="E5881" s="407">
        <f t="shared" si="182"/>
        <v>1776.14</v>
      </c>
      <c r="F5881">
        <f t="shared" si="183"/>
        <v>102098</v>
      </c>
      <c r="H5881" s="680">
        <v>1776.14</v>
      </c>
      <c r="I5881" s="680">
        <v>1794.53</v>
      </c>
    </row>
    <row r="5882" spans="2:9" ht="30">
      <c r="B5882" s="396">
        <v>102988</v>
      </c>
      <c r="C5882" s="401" t="s">
        <v>5984</v>
      </c>
      <c r="D5882" s="396" t="s">
        <v>0</v>
      </c>
      <c r="E5882" s="405">
        <f t="shared" si="182"/>
        <v>47.09</v>
      </c>
      <c r="F5882">
        <f t="shared" si="183"/>
        <v>102988</v>
      </c>
      <c r="H5882" s="679">
        <v>47.09</v>
      </c>
      <c r="I5882" s="679">
        <v>51.3</v>
      </c>
    </row>
    <row r="5883" spans="2:9">
      <c r="B5883" s="395">
        <v>100576</v>
      </c>
      <c r="C5883" s="406" t="s">
        <v>3650</v>
      </c>
      <c r="D5883" s="395" t="s">
        <v>0</v>
      </c>
      <c r="E5883" s="407">
        <f t="shared" si="182"/>
        <v>2.17</v>
      </c>
      <c r="F5883">
        <f t="shared" si="183"/>
        <v>100576</v>
      </c>
      <c r="H5883" s="680">
        <v>2.17</v>
      </c>
      <c r="I5883" s="680">
        <v>2.25</v>
      </c>
    </row>
    <row r="5884" spans="2:9">
      <c r="B5884" s="396">
        <v>100577</v>
      </c>
      <c r="C5884" s="401" t="s">
        <v>3651</v>
      </c>
      <c r="D5884" s="396" t="s">
        <v>0</v>
      </c>
      <c r="E5884" s="405">
        <f t="shared" si="182"/>
        <v>1.08</v>
      </c>
      <c r="F5884">
        <f t="shared" si="183"/>
        <v>100577</v>
      </c>
      <c r="H5884" s="679">
        <v>1.08</v>
      </c>
      <c r="I5884" s="679">
        <v>1.1000000000000001</v>
      </c>
    </row>
    <row r="5885" spans="2:9" ht="30">
      <c r="B5885" s="395">
        <v>96388</v>
      </c>
      <c r="C5885" s="406" t="s">
        <v>3652</v>
      </c>
      <c r="D5885" s="395" t="s">
        <v>20</v>
      </c>
      <c r="E5885" s="407">
        <f t="shared" si="182"/>
        <v>10.6</v>
      </c>
      <c r="F5885">
        <f t="shared" si="183"/>
        <v>96388</v>
      </c>
      <c r="H5885" s="680">
        <v>10.6</v>
      </c>
      <c r="I5885" s="680">
        <v>10.88</v>
      </c>
    </row>
    <row r="5886" spans="2:9" ht="30">
      <c r="B5886" s="396">
        <v>96389</v>
      </c>
      <c r="C5886" s="401" t="s">
        <v>4005</v>
      </c>
      <c r="D5886" s="396" t="s">
        <v>20</v>
      </c>
      <c r="E5886" s="405">
        <f t="shared" si="182"/>
        <v>59.41</v>
      </c>
      <c r="F5886">
        <f t="shared" si="183"/>
        <v>96389</v>
      </c>
      <c r="H5886" s="679">
        <v>59.41</v>
      </c>
      <c r="I5886" s="679">
        <v>59.86</v>
      </c>
    </row>
    <row r="5887" spans="2:9" ht="30">
      <c r="B5887" s="395">
        <v>96390</v>
      </c>
      <c r="C5887" s="406" t="s">
        <v>4006</v>
      </c>
      <c r="D5887" s="395" t="s">
        <v>20</v>
      </c>
      <c r="E5887" s="407">
        <f t="shared" si="182"/>
        <v>98.86</v>
      </c>
      <c r="F5887">
        <f t="shared" si="183"/>
        <v>96390</v>
      </c>
      <c r="H5887" s="680">
        <v>98.86</v>
      </c>
      <c r="I5887" s="680">
        <v>99.31</v>
      </c>
    </row>
    <row r="5888" spans="2:9" ht="30">
      <c r="B5888" s="396">
        <v>96391</v>
      </c>
      <c r="C5888" s="401" t="s">
        <v>3653</v>
      </c>
      <c r="D5888" s="396" t="s">
        <v>20</v>
      </c>
      <c r="E5888" s="405">
        <f t="shared" si="182"/>
        <v>139.63</v>
      </c>
      <c r="F5888">
        <f t="shared" si="183"/>
        <v>96391</v>
      </c>
      <c r="H5888" s="679">
        <v>139.63</v>
      </c>
      <c r="I5888" s="679">
        <v>140.1</v>
      </c>
    </row>
    <row r="5889" spans="2:9" ht="30">
      <c r="B5889" s="395">
        <v>96392</v>
      </c>
      <c r="C5889" s="406" t="s">
        <v>3654</v>
      </c>
      <c r="D5889" s="395" t="s">
        <v>20</v>
      </c>
      <c r="E5889" s="407">
        <f t="shared" si="182"/>
        <v>179.25</v>
      </c>
      <c r="F5889">
        <f t="shared" si="183"/>
        <v>96392</v>
      </c>
      <c r="H5889" s="680">
        <v>179.25</v>
      </c>
      <c r="I5889" s="680">
        <v>179.72</v>
      </c>
    </row>
    <row r="5890" spans="2:9" ht="30">
      <c r="B5890" s="396">
        <v>96396</v>
      </c>
      <c r="C5890" s="401" t="s">
        <v>3655</v>
      </c>
      <c r="D5890" s="396" t="s">
        <v>20</v>
      </c>
      <c r="E5890" s="405">
        <f t="shared" si="182"/>
        <v>186.81</v>
      </c>
      <c r="F5890">
        <f t="shared" si="183"/>
        <v>96396</v>
      </c>
      <c r="H5890" s="679">
        <v>186.81</v>
      </c>
      <c r="I5890" s="679">
        <v>187.26</v>
      </c>
    </row>
    <row r="5891" spans="2:9" ht="30">
      <c r="B5891" s="395">
        <v>96397</v>
      </c>
      <c r="C5891" s="406" t="s">
        <v>3656</v>
      </c>
      <c r="D5891" s="395" t="s">
        <v>20</v>
      </c>
      <c r="E5891" s="407">
        <f t="shared" ref="E5891:E5954" si="184">IF($K$2=$H$1,H5891,I5891)</f>
        <v>265.66000000000003</v>
      </c>
      <c r="F5891">
        <f t="shared" ref="F5891:F5954" si="185">IF(LEN($B5891)=7,CONCATENATE(MID($B5891,1,6),"00",RIGHT($B5891,1)),IF(LEN($B5891)=8,CONCATENATE(MID($B5891,1,6),"0",RIGHT($B5891,2)),$B5891))</f>
        <v>96397</v>
      </c>
      <c r="H5891" s="680">
        <v>265.66000000000003</v>
      </c>
      <c r="I5891" s="680">
        <v>266.17</v>
      </c>
    </row>
    <row r="5892" spans="2:9" ht="30">
      <c r="B5892" s="396">
        <v>96398</v>
      </c>
      <c r="C5892" s="401" t="s">
        <v>3657</v>
      </c>
      <c r="D5892" s="396" t="s">
        <v>20</v>
      </c>
      <c r="E5892" s="405">
        <f t="shared" si="184"/>
        <v>370.05</v>
      </c>
      <c r="F5892">
        <f t="shared" si="185"/>
        <v>96398</v>
      </c>
      <c r="H5892" s="679">
        <v>370.05</v>
      </c>
      <c r="I5892" s="679">
        <v>370.6</v>
      </c>
    </row>
    <row r="5893" spans="2:9" ht="30">
      <c r="B5893" s="395">
        <v>96399</v>
      </c>
      <c r="C5893" s="406" t="s">
        <v>4007</v>
      </c>
      <c r="D5893" s="395" t="s">
        <v>20</v>
      </c>
      <c r="E5893" s="407">
        <f t="shared" si="184"/>
        <v>127.99</v>
      </c>
      <c r="F5893">
        <f t="shared" si="185"/>
        <v>96399</v>
      </c>
      <c r="H5893" s="680">
        <v>127.99</v>
      </c>
      <c r="I5893" s="680">
        <v>128.43</v>
      </c>
    </row>
    <row r="5894" spans="2:9" ht="30">
      <c r="B5894" s="396">
        <v>96400</v>
      </c>
      <c r="C5894" s="401" t="s">
        <v>3658</v>
      </c>
      <c r="D5894" s="396" t="s">
        <v>20</v>
      </c>
      <c r="E5894" s="405">
        <f t="shared" si="184"/>
        <v>165.68</v>
      </c>
      <c r="F5894">
        <f t="shared" si="185"/>
        <v>96400</v>
      </c>
      <c r="H5894" s="679">
        <v>165.68</v>
      </c>
      <c r="I5894" s="679">
        <v>166.27</v>
      </c>
    </row>
    <row r="5895" spans="2:9" ht="30">
      <c r="B5895" s="395">
        <v>100564</v>
      </c>
      <c r="C5895" s="406" t="s">
        <v>3659</v>
      </c>
      <c r="D5895" s="395" t="s">
        <v>20</v>
      </c>
      <c r="E5895" s="407">
        <f t="shared" si="184"/>
        <v>111.45</v>
      </c>
      <c r="F5895">
        <f t="shared" si="185"/>
        <v>100564</v>
      </c>
      <c r="H5895" s="680">
        <v>111.45</v>
      </c>
      <c r="I5895" s="680">
        <v>112.19</v>
      </c>
    </row>
    <row r="5896" spans="2:9" ht="30">
      <c r="B5896" s="396">
        <v>100565</v>
      </c>
      <c r="C5896" s="401" t="s">
        <v>3660</v>
      </c>
      <c r="D5896" s="396" t="s">
        <v>20</v>
      </c>
      <c r="E5896" s="405">
        <f t="shared" si="184"/>
        <v>96.23</v>
      </c>
      <c r="F5896">
        <f t="shared" si="185"/>
        <v>100565</v>
      </c>
      <c r="H5896" s="679">
        <v>96.23</v>
      </c>
      <c r="I5896" s="679">
        <v>96.97</v>
      </c>
    </row>
    <row r="5897" spans="2:9" ht="30">
      <c r="B5897" s="395">
        <v>100566</v>
      </c>
      <c r="C5897" s="406" t="s">
        <v>3661</v>
      </c>
      <c r="D5897" s="395" t="s">
        <v>20</v>
      </c>
      <c r="E5897" s="407">
        <f t="shared" si="184"/>
        <v>193.37</v>
      </c>
      <c r="F5897">
        <f t="shared" si="185"/>
        <v>100566</v>
      </c>
      <c r="H5897" s="680">
        <v>193.37</v>
      </c>
      <c r="I5897" s="680">
        <v>194.11</v>
      </c>
    </row>
    <row r="5898" spans="2:9" ht="30">
      <c r="B5898" s="396">
        <v>100567</v>
      </c>
      <c r="C5898" s="401" t="s">
        <v>3662</v>
      </c>
      <c r="D5898" s="396" t="s">
        <v>20</v>
      </c>
      <c r="E5898" s="405">
        <f t="shared" si="184"/>
        <v>231.74</v>
      </c>
      <c r="F5898">
        <f t="shared" si="185"/>
        <v>100567</v>
      </c>
      <c r="H5898" s="679">
        <v>231.74</v>
      </c>
      <c r="I5898" s="679">
        <v>232.48</v>
      </c>
    </row>
    <row r="5899" spans="2:9" ht="30">
      <c r="B5899" s="395">
        <v>100568</v>
      </c>
      <c r="C5899" s="406" t="s">
        <v>3663</v>
      </c>
      <c r="D5899" s="395" t="s">
        <v>20</v>
      </c>
      <c r="E5899" s="407">
        <f t="shared" si="184"/>
        <v>269.47000000000003</v>
      </c>
      <c r="F5899">
        <f t="shared" si="185"/>
        <v>100568</v>
      </c>
      <c r="H5899" s="680">
        <v>269.47000000000003</v>
      </c>
      <c r="I5899" s="680">
        <v>270.20999999999998</v>
      </c>
    </row>
    <row r="5900" spans="2:9" ht="30">
      <c r="B5900" s="396">
        <v>100569</v>
      </c>
      <c r="C5900" s="401" t="s">
        <v>3664</v>
      </c>
      <c r="D5900" s="396" t="s">
        <v>20</v>
      </c>
      <c r="E5900" s="405">
        <f t="shared" si="184"/>
        <v>178.7</v>
      </c>
      <c r="F5900">
        <f t="shared" si="185"/>
        <v>100569</v>
      </c>
      <c r="H5900" s="679">
        <v>178.7</v>
      </c>
      <c r="I5900" s="679">
        <v>179.44</v>
      </c>
    </row>
    <row r="5901" spans="2:9" ht="30">
      <c r="B5901" s="395">
        <v>100570</v>
      </c>
      <c r="C5901" s="406" t="s">
        <v>3665</v>
      </c>
      <c r="D5901" s="395" t="s">
        <v>20</v>
      </c>
      <c r="E5901" s="407">
        <f t="shared" si="184"/>
        <v>219.63</v>
      </c>
      <c r="F5901">
        <f t="shared" si="185"/>
        <v>100570</v>
      </c>
      <c r="H5901" s="680">
        <v>219.63</v>
      </c>
      <c r="I5901" s="680">
        <v>220.39</v>
      </c>
    </row>
    <row r="5902" spans="2:9" ht="30">
      <c r="B5902" s="396">
        <v>100571</v>
      </c>
      <c r="C5902" s="401" t="s">
        <v>3666</v>
      </c>
      <c r="D5902" s="396" t="s">
        <v>20</v>
      </c>
      <c r="E5902" s="405">
        <f t="shared" si="184"/>
        <v>255.47</v>
      </c>
      <c r="F5902">
        <f t="shared" si="185"/>
        <v>100571</v>
      </c>
      <c r="H5902" s="679">
        <v>255.47</v>
      </c>
      <c r="I5902" s="679">
        <v>256.20999999999998</v>
      </c>
    </row>
    <row r="5903" spans="2:9" ht="30">
      <c r="B5903" s="395">
        <v>100572</v>
      </c>
      <c r="C5903" s="406" t="s">
        <v>3667</v>
      </c>
      <c r="D5903" s="395" t="s">
        <v>20</v>
      </c>
      <c r="E5903" s="407">
        <f t="shared" si="184"/>
        <v>115.96</v>
      </c>
      <c r="F5903">
        <f t="shared" si="185"/>
        <v>100572</v>
      </c>
      <c r="H5903" s="680">
        <v>115.96</v>
      </c>
      <c r="I5903" s="680">
        <v>116.95</v>
      </c>
    </row>
    <row r="5904" spans="2:9" ht="30">
      <c r="B5904" s="396">
        <v>100573</v>
      </c>
      <c r="C5904" s="401" t="s">
        <v>3668</v>
      </c>
      <c r="D5904" s="396" t="s">
        <v>20</v>
      </c>
      <c r="E5904" s="405">
        <f t="shared" si="184"/>
        <v>100.74</v>
      </c>
      <c r="F5904">
        <f t="shared" si="185"/>
        <v>100573</v>
      </c>
      <c r="H5904" s="679">
        <v>100.74</v>
      </c>
      <c r="I5904" s="679">
        <v>101.73</v>
      </c>
    </row>
    <row r="5905" spans="2:9">
      <c r="B5905" s="395">
        <v>100574</v>
      </c>
      <c r="C5905" s="406" t="s">
        <v>3669</v>
      </c>
      <c r="D5905" s="395" t="s">
        <v>20</v>
      </c>
      <c r="E5905" s="407">
        <f t="shared" si="184"/>
        <v>1.25</v>
      </c>
      <c r="F5905">
        <f t="shared" si="185"/>
        <v>100574</v>
      </c>
      <c r="H5905" s="680">
        <v>1.25</v>
      </c>
      <c r="I5905" s="680">
        <v>1.28</v>
      </c>
    </row>
    <row r="5906" spans="2:9">
      <c r="B5906" s="396">
        <v>100575</v>
      </c>
      <c r="C5906" s="401" t="s">
        <v>3670</v>
      </c>
      <c r="D5906" s="396" t="s">
        <v>0</v>
      </c>
      <c r="E5906" s="405">
        <f t="shared" si="184"/>
        <v>0.1</v>
      </c>
      <c r="F5906">
        <f t="shared" si="185"/>
        <v>100575</v>
      </c>
      <c r="H5906" s="679">
        <v>0.1</v>
      </c>
      <c r="I5906" s="679">
        <v>0.1</v>
      </c>
    </row>
    <row r="5907" spans="2:9" ht="30">
      <c r="B5907" s="395">
        <v>101767</v>
      </c>
      <c r="C5907" s="406" t="s">
        <v>4687</v>
      </c>
      <c r="D5907" s="395" t="s">
        <v>20</v>
      </c>
      <c r="E5907" s="407">
        <f t="shared" si="184"/>
        <v>24.3</v>
      </c>
      <c r="F5907">
        <f t="shared" si="185"/>
        <v>101767</v>
      </c>
      <c r="H5907" s="680">
        <v>24.3</v>
      </c>
      <c r="I5907" s="680">
        <v>25.24</v>
      </c>
    </row>
    <row r="5908" spans="2:9" ht="30">
      <c r="B5908" s="396">
        <v>101768</v>
      </c>
      <c r="C5908" s="401" t="s">
        <v>4688</v>
      </c>
      <c r="D5908" s="396" t="s">
        <v>20</v>
      </c>
      <c r="E5908" s="405">
        <f t="shared" si="184"/>
        <v>40.020000000000003</v>
      </c>
      <c r="F5908">
        <f t="shared" si="185"/>
        <v>101768</v>
      </c>
      <c r="H5908" s="679">
        <v>40.020000000000003</v>
      </c>
      <c r="I5908" s="679">
        <v>40.9</v>
      </c>
    </row>
    <row r="5909" spans="2:9">
      <c r="B5909" s="395">
        <v>92391</v>
      </c>
      <c r="C5909" s="406" t="s">
        <v>8541</v>
      </c>
      <c r="D5909" s="395" t="s">
        <v>0</v>
      </c>
      <c r="E5909" s="407">
        <f t="shared" si="184"/>
        <v>82.72</v>
      </c>
      <c r="F5909">
        <f t="shared" si="185"/>
        <v>92391</v>
      </c>
      <c r="H5909" s="680">
        <v>82.72</v>
      </c>
      <c r="I5909" s="680">
        <v>83.12</v>
      </c>
    </row>
    <row r="5910" spans="2:9">
      <c r="B5910" s="396">
        <v>92392</v>
      </c>
      <c r="C5910" s="401" t="s">
        <v>8542</v>
      </c>
      <c r="D5910" s="396" t="s">
        <v>0</v>
      </c>
      <c r="E5910" s="405">
        <f t="shared" si="184"/>
        <v>172.73</v>
      </c>
      <c r="F5910">
        <f t="shared" si="185"/>
        <v>92392</v>
      </c>
      <c r="H5910" s="679">
        <v>172.73</v>
      </c>
      <c r="I5910" s="679">
        <v>173.17</v>
      </c>
    </row>
    <row r="5911" spans="2:9">
      <c r="B5911" s="395">
        <v>92393</v>
      </c>
      <c r="C5911" s="406" t="s">
        <v>8543</v>
      </c>
      <c r="D5911" s="395" t="s">
        <v>0</v>
      </c>
      <c r="E5911" s="407">
        <f t="shared" si="184"/>
        <v>80.790000000000006</v>
      </c>
      <c r="F5911">
        <f t="shared" si="185"/>
        <v>92393</v>
      </c>
      <c r="H5911" s="680">
        <v>80.790000000000006</v>
      </c>
      <c r="I5911" s="680">
        <v>81.31</v>
      </c>
    </row>
    <row r="5912" spans="2:9">
      <c r="B5912" s="396">
        <v>92394</v>
      </c>
      <c r="C5912" s="401" t="s">
        <v>8544</v>
      </c>
      <c r="D5912" s="396" t="s">
        <v>0</v>
      </c>
      <c r="E5912" s="405">
        <f t="shared" si="184"/>
        <v>100.18</v>
      </c>
      <c r="F5912">
        <f t="shared" si="185"/>
        <v>92394</v>
      </c>
      <c r="H5912" s="679">
        <v>100.18</v>
      </c>
      <c r="I5912" s="679">
        <v>100.86</v>
      </c>
    </row>
    <row r="5913" spans="2:9">
      <c r="B5913" s="395">
        <v>92395</v>
      </c>
      <c r="C5913" s="406" t="s">
        <v>8545</v>
      </c>
      <c r="D5913" s="395" t="s">
        <v>0</v>
      </c>
      <c r="E5913" s="407">
        <f t="shared" si="184"/>
        <v>119.72</v>
      </c>
      <c r="F5913">
        <f t="shared" si="185"/>
        <v>92395</v>
      </c>
      <c r="H5913" s="680">
        <v>119.72</v>
      </c>
      <c r="I5913" s="680">
        <v>120.66</v>
      </c>
    </row>
    <row r="5914" spans="2:9" ht="30">
      <c r="B5914" s="396">
        <v>92396</v>
      </c>
      <c r="C5914" s="401" t="s">
        <v>8546</v>
      </c>
      <c r="D5914" s="396" t="s">
        <v>0</v>
      </c>
      <c r="E5914" s="405">
        <f t="shared" si="184"/>
        <v>92.32</v>
      </c>
      <c r="F5914">
        <f t="shared" si="185"/>
        <v>92396</v>
      </c>
      <c r="H5914" s="679">
        <v>92.32</v>
      </c>
      <c r="I5914" s="679">
        <v>93.85</v>
      </c>
    </row>
    <row r="5915" spans="2:9" ht="30">
      <c r="B5915" s="395">
        <v>92397</v>
      </c>
      <c r="C5915" s="406" t="s">
        <v>8547</v>
      </c>
      <c r="D5915" s="395" t="s">
        <v>0</v>
      </c>
      <c r="E5915" s="407">
        <f t="shared" si="184"/>
        <v>83.64</v>
      </c>
      <c r="F5915">
        <f t="shared" si="185"/>
        <v>92397</v>
      </c>
      <c r="H5915" s="680">
        <v>83.64</v>
      </c>
      <c r="I5915" s="680">
        <v>84.46</v>
      </c>
    </row>
    <row r="5916" spans="2:9" ht="30">
      <c r="B5916" s="396">
        <v>92398</v>
      </c>
      <c r="C5916" s="401" t="s">
        <v>8548</v>
      </c>
      <c r="D5916" s="396" t="s">
        <v>0</v>
      </c>
      <c r="E5916" s="405">
        <f t="shared" si="184"/>
        <v>103.81</v>
      </c>
      <c r="F5916">
        <f t="shared" si="185"/>
        <v>92398</v>
      </c>
      <c r="H5916" s="679">
        <v>103.81</v>
      </c>
      <c r="I5916" s="679">
        <v>104.89</v>
      </c>
    </row>
    <row r="5917" spans="2:9">
      <c r="B5917" s="395">
        <v>92400</v>
      </c>
      <c r="C5917" s="406" t="s">
        <v>8549</v>
      </c>
      <c r="D5917" s="395" t="s">
        <v>0</v>
      </c>
      <c r="E5917" s="407">
        <f t="shared" si="184"/>
        <v>121.48</v>
      </c>
      <c r="F5917">
        <f t="shared" si="185"/>
        <v>92400</v>
      </c>
      <c r="H5917" s="680">
        <v>121.48</v>
      </c>
      <c r="I5917" s="680">
        <v>122.82</v>
      </c>
    </row>
    <row r="5918" spans="2:9">
      <c r="B5918" s="396">
        <v>92402</v>
      </c>
      <c r="C5918" s="401" t="s">
        <v>8550</v>
      </c>
      <c r="D5918" s="396" t="s">
        <v>0</v>
      </c>
      <c r="E5918" s="405">
        <f t="shared" si="184"/>
        <v>90.8</v>
      </c>
      <c r="F5918">
        <f t="shared" si="185"/>
        <v>92402</v>
      </c>
      <c r="H5918" s="679">
        <v>90.8</v>
      </c>
      <c r="I5918" s="679">
        <v>92.12</v>
      </c>
    </row>
    <row r="5919" spans="2:9">
      <c r="B5919" s="395">
        <v>92403</v>
      </c>
      <c r="C5919" s="406" t="s">
        <v>8551</v>
      </c>
      <c r="D5919" s="395" t="s">
        <v>0</v>
      </c>
      <c r="E5919" s="407">
        <f t="shared" si="184"/>
        <v>81.7</v>
      </c>
      <c r="F5919">
        <f t="shared" si="185"/>
        <v>92403</v>
      </c>
      <c r="H5919" s="680">
        <v>81.7</v>
      </c>
      <c r="I5919" s="680">
        <v>82.32</v>
      </c>
    </row>
    <row r="5920" spans="2:9">
      <c r="B5920" s="396">
        <v>92404</v>
      </c>
      <c r="C5920" s="401" t="s">
        <v>8552</v>
      </c>
      <c r="D5920" s="396" t="s">
        <v>0</v>
      </c>
      <c r="E5920" s="405">
        <f t="shared" si="184"/>
        <v>101.87</v>
      </c>
      <c r="F5920">
        <f t="shared" si="185"/>
        <v>92404</v>
      </c>
      <c r="H5920" s="679">
        <v>101.87</v>
      </c>
      <c r="I5920" s="679">
        <v>102.75</v>
      </c>
    </row>
    <row r="5921" spans="2:9">
      <c r="B5921" s="395">
        <v>92406</v>
      </c>
      <c r="C5921" s="406" t="s">
        <v>8553</v>
      </c>
      <c r="D5921" s="395" t="s">
        <v>0</v>
      </c>
      <c r="E5921" s="407">
        <f t="shared" si="184"/>
        <v>121.78</v>
      </c>
      <c r="F5921">
        <f t="shared" si="185"/>
        <v>92406</v>
      </c>
      <c r="H5921" s="680">
        <v>121.78</v>
      </c>
      <c r="I5921" s="680">
        <v>122.91</v>
      </c>
    </row>
    <row r="5922" spans="2:9">
      <c r="B5922" s="396">
        <v>93679</v>
      </c>
      <c r="C5922" s="401" t="s">
        <v>8554</v>
      </c>
      <c r="D5922" s="396" t="s">
        <v>0</v>
      </c>
      <c r="E5922" s="405">
        <f t="shared" si="184"/>
        <v>103.3</v>
      </c>
      <c r="F5922">
        <f t="shared" si="185"/>
        <v>93679</v>
      </c>
      <c r="H5922" s="679">
        <v>103.3</v>
      </c>
      <c r="I5922" s="679">
        <v>104.83</v>
      </c>
    </row>
    <row r="5923" spans="2:9" ht="30">
      <c r="B5923" s="395">
        <v>93680</v>
      </c>
      <c r="C5923" s="406" t="s">
        <v>8555</v>
      </c>
      <c r="D5923" s="395" t="s">
        <v>0</v>
      </c>
      <c r="E5923" s="407">
        <f t="shared" si="184"/>
        <v>94.34</v>
      </c>
      <c r="F5923">
        <f t="shared" si="185"/>
        <v>93680</v>
      </c>
      <c r="H5923" s="680">
        <v>94.34</v>
      </c>
      <c r="I5923" s="680">
        <v>95.16</v>
      </c>
    </row>
    <row r="5924" spans="2:9" ht="30">
      <c r="B5924" s="396">
        <v>93681</v>
      </c>
      <c r="C5924" s="401" t="s">
        <v>8556</v>
      </c>
      <c r="D5924" s="396" t="s">
        <v>0</v>
      </c>
      <c r="E5924" s="405">
        <f t="shared" si="184"/>
        <v>112.39</v>
      </c>
      <c r="F5924">
        <f t="shared" si="185"/>
        <v>93681</v>
      </c>
      <c r="H5924" s="679">
        <v>112.39</v>
      </c>
      <c r="I5924" s="679">
        <v>113.47</v>
      </c>
    </row>
    <row r="5925" spans="2:9">
      <c r="B5925" s="395">
        <v>97104</v>
      </c>
      <c r="C5925" s="406" t="s">
        <v>6736</v>
      </c>
      <c r="D5925" s="395" t="s">
        <v>0</v>
      </c>
      <c r="E5925" s="407">
        <f t="shared" si="184"/>
        <v>169.53</v>
      </c>
      <c r="F5925">
        <f t="shared" si="185"/>
        <v>97104</v>
      </c>
      <c r="H5925" s="680">
        <v>169.53</v>
      </c>
      <c r="I5925" s="680">
        <v>171.02</v>
      </c>
    </row>
    <row r="5926" spans="2:9">
      <c r="B5926" s="396">
        <v>97105</v>
      </c>
      <c r="C5926" s="401" t="s">
        <v>6737</v>
      </c>
      <c r="D5926" s="396" t="s">
        <v>0</v>
      </c>
      <c r="E5926" s="405">
        <f t="shared" si="184"/>
        <v>192.6</v>
      </c>
      <c r="F5926">
        <f t="shared" si="185"/>
        <v>97105</v>
      </c>
      <c r="H5926" s="679">
        <v>192.6</v>
      </c>
      <c r="I5926" s="679">
        <v>194.19</v>
      </c>
    </row>
    <row r="5927" spans="2:9">
      <c r="B5927" s="395">
        <v>97106</v>
      </c>
      <c r="C5927" s="406" t="s">
        <v>6738</v>
      </c>
      <c r="D5927" s="395" t="s">
        <v>0</v>
      </c>
      <c r="E5927" s="407">
        <f t="shared" si="184"/>
        <v>214.96</v>
      </c>
      <c r="F5927">
        <f t="shared" si="185"/>
        <v>97106</v>
      </c>
      <c r="H5927" s="680">
        <v>214.96</v>
      </c>
      <c r="I5927" s="680">
        <v>216.65</v>
      </c>
    </row>
    <row r="5928" spans="2:9">
      <c r="B5928" s="396">
        <v>97107</v>
      </c>
      <c r="C5928" s="401" t="s">
        <v>6739</v>
      </c>
      <c r="D5928" s="396" t="s">
        <v>0</v>
      </c>
      <c r="E5928" s="405">
        <f t="shared" si="184"/>
        <v>245.32</v>
      </c>
      <c r="F5928">
        <f t="shared" si="185"/>
        <v>97107</v>
      </c>
      <c r="H5928" s="679">
        <v>245.32</v>
      </c>
      <c r="I5928" s="679">
        <v>247.12</v>
      </c>
    </row>
    <row r="5929" spans="2:9">
      <c r="B5929" s="395">
        <v>97108</v>
      </c>
      <c r="C5929" s="406" t="s">
        <v>6740</v>
      </c>
      <c r="D5929" s="395" t="s">
        <v>0</v>
      </c>
      <c r="E5929" s="407">
        <f t="shared" si="184"/>
        <v>281.12</v>
      </c>
      <c r="F5929">
        <f t="shared" si="185"/>
        <v>97108</v>
      </c>
      <c r="H5929" s="680">
        <v>281.12</v>
      </c>
      <c r="I5929" s="680">
        <v>282.99</v>
      </c>
    </row>
    <row r="5930" spans="2:9">
      <c r="B5930" s="396">
        <v>97109</v>
      </c>
      <c r="C5930" s="401" t="s">
        <v>6741</v>
      </c>
      <c r="D5930" s="396" t="s">
        <v>0</v>
      </c>
      <c r="E5930" s="405">
        <f t="shared" si="184"/>
        <v>311.23</v>
      </c>
      <c r="F5930">
        <f t="shared" si="185"/>
        <v>97109</v>
      </c>
      <c r="H5930" s="679">
        <v>311.23</v>
      </c>
      <c r="I5930" s="679">
        <v>313.29000000000002</v>
      </c>
    </row>
    <row r="5931" spans="2:9">
      <c r="B5931" s="395">
        <v>97111</v>
      </c>
      <c r="C5931" s="406" t="s">
        <v>6742</v>
      </c>
      <c r="D5931" s="395" t="s">
        <v>0</v>
      </c>
      <c r="E5931" s="407">
        <f t="shared" si="184"/>
        <v>347.37</v>
      </c>
      <c r="F5931">
        <f t="shared" si="185"/>
        <v>97111</v>
      </c>
      <c r="H5931" s="680">
        <v>347.37</v>
      </c>
      <c r="I5931" s="680">
        <v>349.34</v>
      </c>
    </row>
    <row r="5932" spans="2:9">
      <c r="B5932" s="396">
        <v>97112</v>
      </c>
      <c r="C5932" s="401" t="s">
        <v>6743</v>
      </c>
      <c r="D5932" s="396" t="s">
        <v>0</v>
      </c>
      <c r="E5932" s="405">
        <f t="shared" si="184"/>
        <v>301.02999999999997</v>
      </c>
      <c r="F5932">
        <f t="shared" si="185"/>
        <v>97112</v>
      </c>
      <c r="H5932" s="679">
        <v>301.02999999999997</v>
      </c>
      <c r="I5932" s="679">
        <v>302.88</v>
      </c>
    </row>
    <row r="5933" spans="2:9">
      <c r="B5933" s="395">
        <v>97113</v>
      </c>
      <c r="C5933" s="406" t="s">
        <v>6744</v>
      </c>
      <c r="D5933" s="395" t="s">
        <v>0</v>
      </c>
      <c r="E5933" s="407">
        <f t="shared" si="184"/>
        <v>2.0299999999999998</v>
      </c>
      <c r="F5933">
        <f t="shared" si="185"/>
        <v>97113</v>
      </c>
      <c r="H5933" s="680">
        <v>2.0299999999999998</v>
      </c>
      <c r="I5933" s="680">
        <v>2.0499999999999998</v>
      </c>
    </row>
    <row r="5934" spans="2:9">
      <c r="B5934" s="396">
        <v>97114</v>
      </c>
      <c r="C5934" s="401" t="s">
        <v>6745</v>
      </c>
      <c r="D5934" s="396" t="s">
        <v>22</v>
      </c>
      <c r="E5934" s="405">
        <f t="shared" si="184"/>
        <v>0.3</v>
      </c>
      <c r="F5934">
        <f t="shared" si="185"/>
        <v>97114</v>
      </c>
      <c r="H5934" s="679">
        <v>0.3</v>
      </c>
      <c r="I5934" s="679">
        <v>0.34</v>
      </c>
    </row>
    <row r="5935" spans="2:9">
      <c r="B5935" s="395">
        <v>97115</v>
      </c>
      <c r="C5935" s="406" t="s">
        <v>6746</v>
      </c>
      <c r="D5935" s="395" t="s">
        <v>21</v>
      </c>
      <c r="E5935" s="407">
        <f t="shared" si="184"/>
        <v>50</v>
      </c>
      <c r="F5935">
        <f t="shared" si="185"/>
        <v>97115</v>
      </c>
      <c r="H5935" s="680">
        <v>50</v>
      </c>
      <c r="I5935" s="680">
        <v>51.21</v>
      </c>
    </row>
    <row r="5936" spans="2:9" ht="30">
      <c r="B5936" s="396">
        <v>97116</v>
      </c>
      <c r="C5936" s="401" t="s">
        <v>6747</v>
      </c>
      <c r="D5936" s="396" t="s">
        <v>21</v>
      </c>
      <c r="E5936" s="405">
        <f t="shared" si="184"/>
        <v>26.47</v>
      </c>
      <c r="F5936">
        <f t="shared" si="185"/>
        <v>97116</v>
      </c>
      <c r="H5936" s="679">
        <v>26.47</v>
      </c>
      <c r="I5936" s="679">
        <v>27.34</v>
      </c>
    </row>
    <row r="5937" spans="2:9" ht="30">
      <c r="B5937" s="395">
        <v>97117</v>
      </c>
      <c r="C5937" s="406" t="s">
        <v>6748</v>
      </c>
      <c r="D5937" s="395" t="s">
        <v>21</v>
      </c>
      <c r="E5937" s="407">
        <f t="shared" si="184"/>
        <v>24.35</v>
      </c>
      <c r="F5937">
        <f t="shared" si="185"/>
        <v>97117</v>
      </c>
      <c r="H5937" s="680">
        <v>24.35</v>
      </c>
      <c r="I5937" s="680">
        <v>24.9</v>
      </c>
    </row>
    <row r="5938" spans="2:9" ht="30">
      <c r="B5938" s="396">
        <v>97118</v>
      </c>
      <c r="C5938" s="401" t="s">
        <v>6749</v>
      </c>
      <c r="D5938" s="396" t="s">
        <v>21</v>
      </c>
      <c r="E5938" s="405">
        <f t="shared" si="184"/>
        <v>20.82</v>
      </c>
      <c r="F5938">
        <f t="shared" si="185"/>
        <v>97118</v>
      </c>
      <c r="H5938" s="679">
        <v>20.82</v>
      </c>
      <c r="I5938" s="679">
        <v>21.18</v>
      </c>
    </row>
    <row r="5939" spans="2:9" ht="30">
      <c r="B5939" s="395">
        <v>97119</v>
      </c>
      <c r="C5939" s="406" t="s">
        <v>6750</v>
      </c>
      <c r="D5939" s="395" t="s">
        <v>21</v>
      </c>
      <c r="E5939" s="407">
        <f t="shared" si="184"/>
        <v>19.39</v>
      </c>
      <c r="F5939">
        <f t="shared" si="185"/>
        <v>97119</v>
      </c>
      <c r="H5939" s="680">
        <v>19.39</v>
      </c>
      <c r="I5939" s="680">
        <v>19.600000000000001</v>
      </c>
    </row>
    <row r="5940" spans="2:9" ht="30">
      <c r="B5940" s="396">
        <v>97120</v>
      </c>
      <c r="C5940" s="401" t="s">
        <v>6751</v>
      </c>
      <c r="D5940" s="396" t="s">
        <v>21</v>
      </c>
      <c r="E5940" s="405">
        <f t="shared" si="184"/>
        <v>12.53</v>
      </c>
      <c r="F5940">
        <f t="shared" si="185"/>
        <v>97120</v>
      </c>
      <c r="H5940" s="679">
        <v>12.53</v>
      </c>
      <c r="I5940" s="679">
        <v>12.66</v>
      </c>
    </row>
    <row r="5941" spans="2:9">
      <c r="B5941" s="395">
        <v>101167</v>
      </c>
      <c r="C5941" s="406" t="s">
        <v>4124</v>
      </c>
      <c r="D5941" s="395" t="s">
        <v>0</v>
      </c>
      <c r="E5941" s="407">
        <f t="shared" si="184"/>
        <v>215.35</v>
      </c>
      <c r="F5941">
        <f t="shared" si="185"/>
        <v>101167</v>
      </c>
      <c r="H5941" s="680">
        <v>215.35</v>
      </c>
      <c r="I5941" s="680">
        <v>216.92</v>
      </c>
    </row>
    <row r="5942" spans="2:9">
      <c r="B5942" s="396">
        <v>101169</v>
      </c>
      <c r="C5942" s="401" t="s">
        <v>4125</v>
      </c>
      <c r="D5942" s="396" t="s">
        <v>0</v>
      </c>
      <c r="E5942" s="405">
        <f t="shared" si="184"/>
        <v>230.24</v>
      </c>
      <c r="F5942">
        <f t="shared" si="185"/>
        <v>101169</v>
      </c>
      <c r="H5942" s="679">
        <v>230.24</v>
      </c>
      <c r="I5942" s="679">
        <v>232.25</v>
      </c>
    </row>
    <row r="5943" spans="2:9">
      <c r="B5943" s="395">
        <v>101170</v>
      </c>
      <c r="C5943" s="406" t="s">
        <v>4126</v>
      </c>
      <c r="D5943" s="395" t="s">
        <v>0</v>
      </c>
      <c r="E5943" s="407">
        <f t="shared" si="184"/>
        <v>48.61</v>
      </c>
      <c r="F5943">
        <f t="shared" si="185"/>
        <v>101170</v>
      </c>
      <c r="H5943" s="680">
        <v>48.61</v>
      </c>
      <c r="I5943" s="680">
        <v>49.84</v>
      </c>
    </row>
    <row r="5944" spans="2:9">
      <c r="B5944" s="396">
        <v>101172</v>
      </c>
      <c r="C5944" s="401" t="s">
        <v>4127</v>
      </c>
      <c r="D5944" s="396" t="s">
        <v>0</v>
      </c>
      <c r="E5944" s="405">
        <f t="shared" si="184"/>
        <v>76.08</v>
      </c>
      <c r="F5944">
        <f t="shared" si="185"/>
        <v>101172</v>
      </c>
      <c r="H5944" s="679">
        <v>76.08</v>
      </c>
      <c r="I5944" s="679">
        <v>77.92</v>
      </c>
    </row>
    <row r="5945" spans="2:9">
      <c r="B5945" s="395">
        <v>103904</v>
      </c>
      <c r="C5945" s="406" t="s">
        <v>6752</v>
      </c>
      <c r="D5945" s="395" t="s">
        <v>0</v>
      </c>
      <c r="E5945" s="407">
        <f t="shared" si="184"/>
        <v>164.34</v>
      </c>
      <c r="F5945">
        <f t="shared" si="185"/>
        <v>103904</v>
      </c>
      <c r="H5945" s="680">
        <v>164.34</v>
      </c>
      <c r="I5945" s="680">
        <v>165.83</v>
      </c>
    </row>
    <row r="5946" spans="2:9">
      <c r="B5946" s="396">
        <v>103905</v>
      </c>
      <c r="C5946" s="401" t="s">
        <v>6753</v>
      </c>
      <c r="D5946" s="396" t="s">
        <v>0</v>
      </c>
      <c r="E5946" s="405">
        <f t="shared" si="184"/>
        <v>173.61</v>
      </c>
      <c r="F5946">
        <f t="shared" si="185"/>
        <v>103905</v>
      </c>
      <c r="H5946" s="679">
        <v>173.61</v>
      </c>
      <c r="I5946" s="679">
        <v>175.15</v>
      </c>
    </row>
    <row r="5947" spans="2:9">
      <c r="B5947" s="395">
        <v>103906</v>
      </c>
      <c r="C5947" s="406" t="s">
        <v>6754</v>
      </c>
      <c r="D5947" s="395" t="s">
        <v>0</v>
      </c>
      <c r="E5947" s="407">
        <f t="shared" si="184"/>
        <v>200.56</v>
      </c>
      <c r="F5947">
        <f t="shared" si="185"/>
        <v>103906</v>
      </c>
      <c r="H5947" s="680">
        <v>200.56</v>
      </c>
      <c r="I5947" s="680">
        <v>202.62</v>
      </c>
    </row>
    <row r="5948" spans="2:9">
      <c r="B5948" s="396">
        <v>103907</v>
      </c>
      <c r="C5948" s="401" t="s">
        <v>6755</v>
      </c>
      <c r="D5948" s="396" t="s">
        <v>0</v>
      </c>
      <c r="E5948" s="405">
        <f t="shared" si="184"/>
        <v>184.61</v>
      </c>
      <c r="F5948">
        <f t="shared" si="185"/>
        <v>103907</v>
      </c>
      <c r="H5948" s="679">
        <v>184.61</v>
      </c>
      <c r="I5948" s="679">
        <v>186.18</v>
      </c>
    </row>
    <row r="5949" spans="2:9">
      <c r="B5949" s="395">
        <v>103908</v>
      </c>
      <c r="C5949" s="406" t="s">
        <v>6756</v>
      </c>
      <c r="D5949" s="395" t="s">
        <v>0</v>
      </c>
      <c r="E5949" s="407">
        <f t="shared" si="184"/>
        <v>208.05</v>
      </c>
      <c r="F5949">
        <f t="shared" si="185"/>
        <v>103908</v>
      </c>
      <c r="H5949" s="680">
        <v>208.05</v>
      </c>
      <c r="I5949" s="680">
        <v>209.74</v>
      </c>
    </row>
    <row r="5950" spans="2:9">
      <c r="B5950" s="396">
        <v>103909</v>
      </c>
      <c r="C5950" s="401" t="s">
        <v>6757</v>
      </c>
      <c r="D5950" s="396" t="s">
        <v>0</v>
      </c>
      <c r="E5950" s="405">
        <f t="shared" si="184"/>
        <v>237.54</v>
      </c>
      <c r="F5950">
        <f t="shared" si="185"/>
        <v>103909</v>
      </c>
      <c r="H5950" s="679">
        <v>237.54</v>
      </c>
      <c r="I5950" s="679">
        <v>239.34</v>
      </c>
    </row>
    <row r="5951" spans="2:9">
      <c r="B5951" s="395">
        <v>103911</v>
      </c>
      <c r="C5951" s="406" t="s">
        <v>6758</v>
      </c>
      <c r="D5951" s="395" t="s">
        <v>0</v>
      </c>
      <c r="E5951" s="407">
        <f t="shared" si="184"/>
        <v>272.47000000000003</v>
      </c>
      <c r="F5951">
        <f t="shared" si="185"/>
        <v>103911</v>
      </c>
      <c r="H5951" s="680">
        <v>272.47000000000003</v>
      </c>
      <c r="I5951" s="680">
        <v>274.33999999999997</v>
      </c>
    </row>
    <row r="5952" spans="2:9">
      <c r="B5952" s="396">
        <v>103912</v>
      </c>
      <c r="C5952" s="401" t="s">
        <v>6759</v>
      </c>
      <c r="D5952" s="396" t="s">
        <v>0</v>
      </c>
      <c r="E5952" s="405">
        <f t="shared" si="184"/>
        <v>103.54</v>
      </c>
      <c r="F5952">
        <f t="shared" si="185"/>
        <v>103912</v>
      </c>
      <c r="H5952" s="679">
        <v>103.54</v>
      </c>
      <c r="I5952" s="679">
        <v>105.6</v>
      </c>
    </row>
    <row r="5953" spans="2:9">
      <c r="B5953" s="395">
        <v>103913</v>
      </c>
      <c r="C5953" s="406" t="s">
        <v>6760</v>
      </c>
      <c r="D5953" s="395" t="s">
        <v>0</v>
      </c>
      <c r="E5953" s="407">
        <f t="shared" si="184"/>
        <v>163.28</v>
      </c>
      <c r="F5953">
        <f t="shared" si="185"/>
        <v>103913</v>
      </c>
      <c r="H5953" s="680">
        <v>163.28</v>
      </c>
      <c r="I5953" s="680">
        <v>164.4</v>
      </c>
    </row>
    <row r="5954" spans="2:9">
      <c r="B5954" s="396">
        <v>103914</v>
      </c>
      <c r="C5954" s="401" t="s">
        <v>6761</v>
      </c>
      <c r="D5954" s="396" t="s">
        <v>0</v>
      </c>
      <c r="E5954" s="405">
        <f t="shared" si="184"/>
        <v>190.75</v>
      </c>
      <c r="F5954">
        <f t="shared" si="185"/>
        <v>103914</v>
      </c>
      <c r="H5954" s="679">
        <v>190.75</v>
      </c>
      <c r="I5954" s="679">
        <v>192.02</v>
      </c>
    </row>
    <row r="5955" spans="2:9">
      <c r="B5955" s="395">
        <v>103915</v>
      </c>
      <c r="C5955" s="406" t="s">
        <v>6762</v>
      </c>
      <c r="D5955" s="395" t="s">
        <v>0</v>
      </c>
      <c r="E5955" s="407">
        <f t="shared" ref="E5955:E6018" si="186">IF($K$2=$H$1,H5955,I5955)</f>
        <v>209.13</v>
      </c>
      <c r="F5955">
        <f t="shared" ref="F5955:F6018" si="187">IF(LEN($B5955)=7,CONCATENATE(MID($B5955,1,6),"00",RIGHT($B5955,1)),IF(LEN($B5955)=8,CONCATENATE(MID($B5955,1,6),"0",RIGHT($B5955,2)),$B5955))</f>
        <v>103915</v>
      </c>
      <c r="H5955" s="680">
        <v>209.13</v>
      </c>
      <c r="I5955" s="680">
        <v>210.48</v>
      </c>
    </row>
    <row r="5956" spans="2:9">
      <c r="B5956" s="396">
        <v>103916</v>
      </c>
      <c r="C5956" s="401" t="s">
        <v>6763</v>
      </c>
      <c r="D5956" s="396" t="s">
        <v>0</v>
      </c>
      <c r="E5956" s="405">
        <f t="shared" si="186"/>
        <v>239.64</v>
      </c>
      <c r="F5956">
        <f t="shared" si="187"/>
        <v>103916</v>
      </c>
      <c r="H5956" s="679">
        <v>239.64</v>
      </c>
      <c r="I5956" s="679">
        <v>241.17</v>
      </c>
    </row>
    <row r="5957" spans="2:9">
      <c r="B5957" s="395">
        <v>103917</v>
      </c>
      <c r="C5957" s="406" t="s">
        <v>6764</v>
      </c>
      <c r="D5957" s="395" t="s">
        <v>0</v>
      </c>
      <c r="E5957" s="407">
        <f t="shared" si="186"/>
        <v>277.79000000000002</v>
      </c>
      <c r="F5957">
        <f t="shared" si="187"/>
        <v>103917</v>
      </c>
      <c r="H5957" s="680">
        <v>277.79000000000002</v>
      </c>
      <c r="I5957" s="680">
        <v>279.43</v>
      </c>
    </row>
    <row r="5958" spans="2:9">
      <c r="B5958" s="396">
        <v>103918</v>
      </c>
      <c r="C5958" s="401" t="s">
        <v>6765</v>
      </c>
      <c r="D5958" s="396" t="s">
        <v>0</v>
      </c>
      <c r="E5958" s="405">
        <f t="shared" si="186"/>
        <v>293.60000000000002</v>
      </c>
      <c r="F5958">
        <f t="shared" si="187"/>
        <v>103918</v>
      </c>
      <c r="H5958" s="679">
        <v>293.60000000000002</v>
      </c>
      <c r="I5958" s="679">
        <v>295.32</v>
      </c>
    </row>
    <row r="5959" spans="2:9">
      <c r="B5959" s="395">
        <v>104432</v>
      </c>
      <c r="C5959" s="406" t="s">
        <v>8557</v>
      </c>
      <c r="D5959" s="395" t="s">
        <v>0</v>
      </c>
      <c r="E5959" s="407">
        <f t="shared" si="186"/>
        <v>96.36</v>
      </c>
      <c r="F5959">
        <f t="shared" si="187"/>
        <v>104432</v>
      </c>
      <c r="H5959" s="680">
        <v>96.36</v>
      </c>
      <c r="I5959" s="680">
        <v>98.15</v>
      </c>
    </row>
    <row r="5960" spans="2:9">
      <c r="B5960" s="396">
        <v>104433</v>
      </c>
      <c r="C5960" s="401" t="s">
        <v>8558</v>
      </c>
      <c r="D5960" s="396" t="s">
        <v>0</v>
      </c>
      <c r="E5960" s="405">
        <f t="shared" si="186"/>
        <v>86.65</v>
      </c>
      <c r="F5960">
        <f t="shared" si="187"/>
        <v>104433</v>
      </c>
      <c r="H5960" s="679">
        <v>86.65</v>
      </c>
      <c r="I5960" s="679">
        <v>87.64</v>
      </c>
    </row>
    <row r="5961" spans="2:9" ht="30">
      <c r="B5961" s="395">
        <v>103694</v>
      </c>
      <c r="C5961" s="406" t="s">
        <v>6488</v>
      </c>
      <c r="D5961" s="395" t="s">
        <v>23</v>
      </c>
      <c r="E5961" s="407">
        <f t="shared" si="186"/>
        <v>120.12</v>
      </c>
      <c r="F5961">
        <f t="shared" si="187"/>
        <v>103694</v>
      </c>
      <c r="H5961" s="680">
        <v>120.12</v>
      </c>
      <c r="I5961" s="680">
        <v>123.75</v>
      </c>
    </row>
    <row r="5962" spans="2:9" ht="30">
      <c r="B5962" s="396">
        <v>103695</v>
      </c>
      <c r="C5962" s="401" t="s">
        <v>6766</v>
      </c>
      <c r="D5962" s="396" t="s">
        <v>23</v>
      </c>
      <c r="E5962" s="405">
        <f t="shared" si="186"/>
        <v>106.66</v>
      </c>
      <c r="F5962">
        <f t="shared" si="187"/>
        <v>103695</v>
      </c>
      <c r="H5962" s="679">
        <v>106.66</v>
      </c>
      <c r="I5962" s="679">
        <v>110.04</v>
      </c>
    </row>
    <row r="5963" spans="2:9" ht="30">
      <c r="B5963" s="395">
        <v>103696</v>
      </c>
      <c r="C5963" s="406" t="s">
        <v>6489</v>
      </c>
      <c r="D5963" s="395" t="s">
        <v>23</v>
      </c>
      <c r="E5963" s="407">
        <f t="shared" si="186"/>
        <v>142.34</v>
      </c>
      <c r="F5963">
        <f t="shared" si="187"/>
        <v>103696</v>
      </c>
      <c r="H5963" s="680">
        <v>142.34</v>
      </c>
      <c r="I5963" s="680">
        <v>148.41</v>
      </c>
    </row>
    <row r="5964" spans="2:9" ht="30">
      <c r="B5964" s="396">
        <v>103697</v>
      </c>
      <c r="C5964" s="401" t="s">
        <v>6767</v>
      </c>
      <c r="D5964" s="396" t="s">
        <v>23</v>
      </c>
      <c r="E5964" s="405">
        <f t="shared" si="186"/>
        <v>128.88</v>
      </c>
      <c r="F5964">
        <f t="shared" si="187"/>
        <v>103697</v>
      </c>
      <c r="H5964" s="679">
        <v>128.88</v>
      </c>
      <c r="I5964" s="679">
        <v>134.69999999999999</v>
      </c>
    </row>
    <row r="5965" spans="2:9" ht="30">
      <c r="B5965" s="395">
        <v>95995</v>
      </c>
      <c r="C5965" s="406" t="s">
        <v>3671</v>
      </c>
      <c r="D5965" s="395" t="s">
        <v>20</v>
      </c>
      <c r="E5965" s="407">
        <f t="shared" si="186"/>
        <v>1447.14</v>
      </c>
      <c r="F5965">
        <f t="shared" si="187"/>
        <v>95995</v>
      </c>
      <c r="H5965" s="680">
        <v>1447.14</v>
      </c>
      <c r="I5965" s="680">
        <v>1450.19</v>
      </c>
    </row>
    <row r="5966" spans="2:9" ht="30">
      <c r="B5966" s="396">
        <v>95996</v>
      </c>
      <c r="C5966" s="401" t="s">
        <v>3672</v>
      </c>
      <c r="D5966" s="396" t="s">
        <v>20</v>
      </c>
      <c r="E5966" s="405">
        <f t="shared" si="186"/>
        <v>1252.18</v>
      </c>
      <c r="F5966">
        <f t="shared" si="187"/>
        <v>95996</v>
      </c>
      <c r="H5966" s="679">
        <v>1252.18</v>
      </c>
      <c r="I5966" s="679">
        <v>1254.33</v>
      </c>
    </row>
    <row r="5967" spans="2:9">
      <c r="B5967" s="395">
        <v>96001</v>
      </c>
      <c r="C5967" s="406" t="s">
        <v>3673</v>
      </c>
      <c r="D5967" s="395" t="s">
        <v>0</v>
      </c>
      <c r="E5967" s="407">
        <f t="shared" si="186"/>
        <v>7.49</v>
      </c>
      <c r="F5967">
        <f t="shared" si="187"/>
        <v>96001</v>
      </c>
      <c r="H5967" s="680">
        <v>7.49</v>
      </c>
      <c r="I5967" s="680">
        <v>7.58</v>
      </c>
    </row>
    <row r="5968" spans="2:9">
      <c r="B5968" s="396">
        <v>96393</v>
      </c>
      <c r="C5968" s="401" t="s">
        <v>4008</v>
      </c>
      <c r="D5968" s="396" t="s">
        <v>20</v>
      </c>
      <c r="E5968" s="405">
        <f t="shared" si="186"/>
        <v>175.02</v>
      </c>
      <c r="F5968">
        <f t="shared" si="187"/>
        <v>96393</v>
      </c>
      <c r="H5968" s="679">
        <v>175.02</v>
      </c>
      <c r="I5968" s="679">
        <v>175.18</v>
      </c>
    </row>
    <row r="5969" spans="2:9">
      <c r="B5969" s="395">
        <v>96394</v>
      </c>
      <c r="C5969" s="406" t="s">
        <v>4009</v>
      </c>
      <c r="D5969" s="395" t="s">
        <v>20</v>
      </c>
      <c r="E5969" s="407">
        <f t="shared" si="186"/>
        <v>252.35</v>
      </c>
      <c r="F5969">
        <f t="shared" si="187"/>
        <v>96394</v>
      </c>
      <c r="H5969" s="680">
        <v>252.35</v>
      </c>
      <c r="I5969" s="680">
        <v>252.51</v>
      </c>
    </row>
    <row r="5970" spans="2:9">
      <c r="B5970" s="396">
        <v>96395</v>
      </c>
      <c r="C5970" s="401" t="s">
        <v>4010</v>
      </c>
      <c r="D5970" s="396" t="s">
        <v>20</v>
      </c>
      <c r="E5970" s="405">
        <f t="shared" si="186"/>
        <v>358.26</v>
      </c>
      <c r="F5970">
        <f t="shared" si="187"/>
        <v>96395</v>
      </c>
      <c r="H5970" s="679">
        <v>358.26</v>
      </c>
      <c r="I5970" s="679">
        <v>358.52</v>
      </c>
    </row>
    <row r="5971" spans="2:9" ht="30">
      <c r="B5971" s="395">
        <v>88411</v>
      </c>
      <c r="C5971" s="406" t="s">
        <v>1799</v>
      </c>
      <c r="D5971" s="395" t="s">
        <v>0</v>
      </c>
      <c r="E5971" s="407">
        <f t="shared" si="186"/>
        <v>2.2400000000000002</v>
      </c>
      <c r="F5971">
        <f t="shared" si="187"/>
        <v>88411</v>
      </c>
      <c r="H5971" s="680">
        <v>2.2400000000000002</v>
      </c>
      <c r="I5971" s="680">
        <v>2.39</v>
      </c>
    </row>
    <row r="5972" spans="2:9" ht="30">
      <c r="B5972" s="396">
        <v>88412</v>
      </c>
      <c r="C5972" s="401" t="s">
        <v>1800</v>
      </c>
      <c r="D5972" s="396" t="s">
        <v>0</v>
      </c>
      <c r="E5972" s="405">
        <f t="shared" si="186"/>
        <v>1.63</v>
      </c>
      <c r="F5972">
        <f t="shared" si="187"/>
        <v>88412</v>
      </c>
      <c r="H5972" s="679">
        <v>1.63</v>
      </c>
      <c r="I5972" s="679">
        <v>1.7</v>
      </c>
    </row>
    <row r="5973" spans="2:9" ht="30">
      <c r="B5973" s="395">
        <v>88413</v>
      </c>
      <c r="C5973" s="406" t="s">
        <v>370</v>
      </c>
      <c r="D5973" s="395" t="s">
        <v>0</v>
      </c>
      <c r="E5973" s="407">
        <f t="shared" si="186"/>
        <v>3.48</v>
      </c>
      <c r="F5973">
        <f t="shared" si="187"/>
        <v>88413</v>
      </c>
      <c r="H5973" s="680">
        <v>3.48</v>
      </c>
      <c r="I5973" s="680">
        <v>3.75</v>
      </c>
    </row>
    <row r="5974" spans="2:9" ht="30">
      <c r="B5974" s="396">
        <v>88414</v>
      </c>
      <c r="C5974" s="401" t="s">
        <v>371</v>
      </c>
      <c r="D5974" s="396" t="s">
        <v>0</v>
      </c>
      <c r="E5974" s="405">
        <f t="shared" si="186"/>
        <v>3.87</v>
      </c>
      <c r="F5974">
        <f t="shared" si="187"/>
        <v>88414</v>
      </c>
      <c r="H5974" s="679">
        <v>3.87</v>
      </c>
      <c r="I5974" s="679">
        <v>4.18</v>
      </c>
    </row>
    <row r="5975" spans="2:9">
      <c r="B5975" s="395">
        <v>88415</v>
      </c>
      <c r="C5975" s="406" t="s">
        <v>1801</v>
      </c>
      <c r="D5975" s="395" t="s">
        <v>0</v>
      </c>
      <c r="E5975" s="407">
        <f t="shared" si="186"/>
        <v>2.44</v>
      </c>
      <c r="F5975">
        <f t="shared" si="187"/>
        <v>88415</v>
      </c>
      <c r="H5975" s="680">
        <v>2.44</v>
      </c>
      <c r="I5975" s="680">
        <v>2.61</v>
      </c>
    </row>
    <row r="5976" spans="2:9" ht="30">
      <c r="B5976" s="396">
        <v>88416</v>
      </c>
      <c r="C5976" s="401" t="s">
        <v>1802</v>
      </c>
      <c r="D5976" s="396" t="s">
        <v>0</v>
      </c>
      <c r="E5976" s="405">
        <f t="shared" si="186"/>
        <v>16.559999999999999</v>
      </c>
      <c r="F5976">
        <f t="shared" si="187"/>
        <v>88416</v>
      </c>
      <c r="H5976" s="679">
        <v>16.559999999999999</v>
      </c>
      <c r="I5976" s="679">
        <v>17</v>
      </c>
    </row>
    <row r="5977" spans="2:9" ht="30">
      <c r="B5977" s="395">
        <v>88417</v>
      </c>
      <c r="C5977" s="406" t="s">
        <v>1803</v>
      </c>
      <c r="D5977" s="395" t="s">
        <v>0</v>
      </c>
      <c r="E5977" s="407">
        <f t="shared" si="186"/>
        <v>14.39</v>
      </c>
      <c r="F5977">
        <f t="shared" si="187"/>
        <v>88417</v>
      </c>
      <c r="H5977" s="680">
        <v>14.39</v>
      </c>
      <c r="I5977" s="680">
        <v>14.6</v>
      </c>
    </row>
    <row r="5978" spans="2:9" ht="30">
      <c r="B5978" s="396">
        <v>88420</v>
      </c>
      <c r="C5978" s="401" t="s">
        <v>1804</v>
      </c>
      <c r="D5978" s="396" t="s">
        <v>0</v>
      </c>
      <c r="E5978" s="405">
        <f t="shared" si="186"/>
        <v>20.94</v>
      </c>
      <c r="F5978">
        <f t="shared" si="187"/>
        <v>88420</v>
      </c>
      <c r="H5978" s="679">
        <v>20.94</v>
      </c>
      <c r="I5978" s="679">
        <v>21.86</v>
      </c>
    </row>
    <row r="5979" spans="2:9" ht="30">
      <c r="B5979" s="395">
        <v>88421</v>
      </c>
      <c r="C5979" s="406" t="s">
        <v>1805</v>
      </c>
      <c r="D5979" s="395" t="s">
        <v>0</v>
      </c>
      <c r="E5979" s="407">
        <f t="shared" si="186"/>
        <v>22.33</v>
      </c>
      <c r="F5979">
        <f t="shared" si="187"/>
        <v>88421</v>
      </c>
      <c r="H5979" s="680">
        <v>22.33</v>
      </c>
      <c r="I5979" s="680">
        <v>23.4</v>
      </c>
    </row>
    <row r="5980" spans="2:9">
      <c r="B5980" s="396">
        <v>88423</v>
      </c>
      <c r="C5980" s="401" t="s">
        <v>372</v>
      </c>
      <c r="D5980" s="396" t="s">
        <v>0</v>
      </c>
      <c r="E5980" s="405">
        <f t="shared" si="186"/>
        <v>17.239999999999998</v>
      </c>
      <c r="F5980">
        <f t="shared" si="187"/>
        <v>88423</v>
      </c>
      <c r="H5980" s="679">
        <v>17.239999999999998</v>
      </c>
      <c r="I5980" s="679">
        <v>17.75</v>
      </c>
    </row>
    <row r="5981" spans="2:9" ht="30">
      <c r="B5981" s="395">
        <v>88424</v>
      </c>
      <c r="C5981" s="406" t="s">
        <v>1806</v>
      </c>
      <c r="D5981" s="395" t="s">
        <v>0</v>
      </c>
      <c r="E5981" s="407">
        <f t="shared" si="186"/>
        <v>19.54</v>
      </c>
      <c r="F5981">
        <f t="shared" si="187"/>
        <v>88424</v>
      </c>
      <c r="H5981" s="680">
        <v>19.54</v>
      </c>
      <c r="I5981" s="680">
        <v>20.309999999999999</v>
      </c>
    </row>
    <row r="5982" spans="2:9" ht="30">
      <c r="B5982" s="396">
        <v>88426</v>
      </c>
      <c r="C5982" s="401" t="s">
        <v>1807</v>
      </c>
      <c r="D5982" s="396" t="s">
        <v>0</v>
      </c>
      <c r="E5982" s="405">
        <f t="shared" si="186"/>
        <v>15.79</v>
      </c>
      <c r="F5982">
        <f t="shared" si="187"/>
        <v>88426</v>
      </c>
      <c r="H5982" s="679">
        <v>15.79</v>
      </c>
      <c r="I5982" s="679">
        <v>16.149999999999999</v>
      </c>
    </row>
    <row r="5983" spans="2:9" ht="30">
      <c r="B5983" s="395">
        <v>88428</v>
      </c>
      <c r="C5983" s="406" t="s">
        <v>1808</v>
      </c>
      <c r="D5983" s="395" t="s">
        <v>0</v>
      </c>
      <c r="E5983" s="407">
        <f t="shared" si="186"/>
        <v>27.09</v>
      </c>
      <c r="F5983">
        <f t="shared" si="187"/>
        <v>88428</v>
      </c>
      <c r="H5983" s="680">
        <v>27.09</v>
      </c>
      <c r="I5983" s="680">
        <v>28.67</v>
      </c>
    </row>
    <row r="5984" spans="2:9" ht="30">
      <c r="B5984" s="396">
        <v>88429</v>
      </c>
      <c r="C5984" s="401" t="s">
        <v>1809</v>
      </c>
      <c r="D5984" s="396" t="s">
        <v>0</v>
      </c>
      <c r="E5984" s="405">
        <f t="shared" si="186"/>
        <v>29.5</v>
      </c>
      <c r="F5984">
        <f t="shared" si="187"/>
        <v>88429</v>
      </c>
      <c r="H5984" s="679">
        <v>29.5</v>
      </c>
      <c r="I5984" s="679">
        <v>31.34</v>
      </c>
    </row>
    <row r="5985" spans="2:9">
      <c r="B5985" s="395">
        <v>88431</v>
      </c>
      <c r="C5985" s="406" t="s">
        <v>373</v>
      </c>
      <c r="D5985" s="395" t="s">
        <v>0</v>
      </c>
      <c r="E5985" s="407">
        <f t="shared" si="186"/>
        <v>20.73</v>
      </c>
      <c r="F5985">
        <f t="shared" si="187"/>
        <v>88431</v>
      </c>
      <c r="H5985" s="680">
        <v>20.73</v>
      </c>
      <c r="I5985" s="680">
        <v>21.62</v>
      </c>
    </row>
    <row r="5986" spans="2:9" ht="30">
      <c r="B5986" s="396">
        <v>88432</v>
      </c>
      <c r="C5986" s="401" t="s">
        <v>374</v>
      </c>
      <c r="D5986" s="396" t="s">
        <v>0</v>
      </c>
      <c r="E5986" s="405">
        <f t="shared" si="186"/>
        <v>15.25</v>
      </c>
      <c r="F5986">
        <f t="shared" si="187"/>
        <v>88432</v>
      </c>
      <c r="H5986" s="679">
        <v>15.25</v>
      </c>
      <c r="I5986" s="679">
        <v>16.350000000000001</v>
      </c>
    </row>
    <row r="5987" spans="2:9">
      <c r="B5987" s="395">
        <v>88484</v>
      </c>
      <c r="C5987" s="406" t="s">
        <v>81</v>
      </c>
      <c r="D5987" s="395" t="s">
        <v>0</v>
      </c>
      <c r="E5987" s="407">
        <f t="shared" si="186"/>
        <v>2.46</v>
      </c>
      <c r="F5987">
        <f t="shared" si="187"/>
        <v>88484</v>
      </c>
      <c r="H5987" s="680">
        <v>2.46</v>
      </c>
      <c r="I5987" s="680">
        <v>2.62</v>
      </c>
    </row>
    <row r="5988" spans="2:9">
      <c r="B5988" s="396">
        <v>88485</v>
      </c>
      <c r="C5988" s="401" t="s">
        <v>24</v>
      </c>
      <c r="D5988" s="396" t="s">
        <v>0</v>
      </c>
      <c r="E5988" s="405">
        <f t="shared" si="186"/>
        <v>2.09</v>
      </c>
      <c r="F5988">
        <f t="shared" si="187"/>
        <v>88485</v>
      </c>
      <c r="H5988" s="679">
        <v>2.09</v>
      </c>
      <c r="I5988" s="679">
        <v>2.2200000000000002</v>
      </c>
    </row>
    <row r="5989" spans="2:9">
      <c r="B5989" s="395">
        <v>88488</v>
      </c>
      <c r="C5989" s="406" t="s">
        <v>1810</v>
      </c>
      <c r="D5989" s="395" t="s">
        <v>0</v>
      </c>
      <c r="E5989" s="407">
        <f t="shared" si="186"/>
        <v>16.03</v>
      </c>
      <c r="F5989">
        <f t="shared" si="187"/>
        <v>88488</v>
      </c>
      <c r="H5989" s="680">
        <v>16.03</v>
      </c>
      <c r="I5989" s="680">
        <v>16.8</v>
      </c>
    </row>
    <row r="5990" spans="2:9">
      <c r="B5990" s="396">
        <v>88489</v>
      </c>
      <c r="C5990" s="401" t="s">
        <v>26</v>
      </c>
      <c r="D5990" s="396" t="s">
        <v>0</v>
      </c>
      <c r="E5990" s="405">
        <f t="shared" si="186"/>
        <v>14.37</v>
      </c>
      <c r="F5990">
        <f t="shared" si="187"/>
        <v>88489</v>
      </c>
      <c r="H5990" s="679">
        <v>14.37</v>
      </c>
      <c r="I5990" s="679">
        <v>14.96</v>
      </c>
    </row>
    <row r="5991" spans="2:9">
      <c r="B5991" s="395">
        <v>88494</v>
      </c>
      <c r="C5991" s="406" t="s">
        <v>82</v>
      </c>
      <c r="D5991" s="395" t="s">
        <v>0</v>
      </c>
      <c r="E5991" s="407">
        <f t="shared" si="186"/>
        <v>19.399999999999999</v>
      </c>
      <c r="F5991">
        <f t="shared" si="187"/>
        <v>88494</v>
      </c>
      <c r="H5991" s="680">
        <v>19.399999999999999</v>
      </c>
      <c r="I5991" s="680">
        <v>21</v>
      </c>
    </row>
    <row r="5992" spans="2:9">
      <c r="B5992" s="396">
        <v>88495</v>
      </c>
      <c r="C5992" s="401" t="s">
        <v>25</v>
      </c>
      <c r="D5992" s="396" t="s">
        <v>0</v>
      </c>
      <c r="E5992" s="405">
        <f t="shared" si="186"/>
        <v>11.44</v>
      </c>
      <c r="F5992">
        <f t="shared" si="187"/>
        <v>88495</v>
      </c>
      <c r="H5992" s="679">
        <v>11.44</v>
      </c>
      <c r="I5992" s="679">
        <v>12.19</v>
      </c>
    </row>
    <row r="5993" spans="2:9">
      <c r="B5993" s="395">
        <v>88496</v>
      </c>
      <c r="C5993" s="406" t="s">
        <v>83</v>
      </c>
      <c r="D5993" s="395" t="s">
        <v>0</v>
      </c>
      <c r="E5993" s="407">
        <f t="shared" si="186"/>
        <v>26.62</v>
      </c>
      <c r="F5993">
        <f t="shared" si="187"/>
        <v>88496</v>
      </c>
      <c r="H5993" s="680">
        <v>26.62</v>
      </c>
      <c r="I5993" s="680">
        <v>28.75</v>
      </c>
    </row>
    <row r="5994" spans="2:9">
      <c r="B5994" s="396">
        <v>88497</v>
      </c>
      <c r="C5994" s="401" t="s">
        <v>1811</v>
      </c>
      <c r="D5994" s="396" t="s">
        <v>0</v>
      </c>
      <c r="E5994" s="405">
        <f t="shared" si="186"/>
        <v>15.99</v>
      </c>
      <c r="F5994">
        <f t="shared" si="187"/>
        <v>88497</v>
      </c>
      <c r="H5994" s="679">
        <v>15.99</v>
      </c>
      <c r="I5994" s="679">
        <v>16.98</v>
      </c>
    </row>
    <row r="5995" spans="2:9">
      <c r="B5995" s="395">
        <v>95305</v>
      </c>
      <c r="C5995" s="406" t="s">
        <v>556</v>
      </c>
      <c r="D5995" s="395" t="s">
        <v>0</v>
      </c>
      <c r="E5995" s="407">
        <f t="shared" si="186"/>
        <v>12.83</v>
      </c>
      <c r="F5995">
        <f t="shared" si="187"/>
        <v>95305</v>
      </c>
      <c r="H5995" s="680">
        <v>12.83</v>
      </c>
      <c r="I5995" s="680">
        <v>13.43</v>
      </c>
    </row>
    <row r="5996" spans="2:9">
      <c r="B5996" s="396">
        <v>95306</v>
      </c>
      <c r="C5996" s="401" t="s">
        <v>557</v>
      </c>
      <c r="D5996" s="396" t="s">
        <v>0</v>
      </c>
      <c r="E5996" s="405">
        <f t="shared" si="186"/>
        <v>14.94</v>
      </c>
      <c r="F5996">
        <f t="shared" si="187"/>
        <v>95306</v>
      </c>
      <c r="H5996" s="679">
        <v>14.94</v>
      </c>
      <c r="I5996" s="679">
        <v>15.77</v>
      </c>
    </row>
    <row r="5997" spans="2:9" ht="30">
      <c r="B5997" s="395">
        <v>95622</v>
      </c>
      <c r="C5997" s="406" t="s">
        <v>570</v>
      </c>
      <c r="D5997" s="395" t="s">
        <v>0</v>
      </c>
      <c r="E5997" s="407">
        <f t="shared" si="186"/>
        <v>13.83</v>
      </c>
      <c r="F5997">
        <f t="shared" si="187"/>
        <v>95622</v>
      </c>
      <c r="H5997" s="680">
        <v>13.83</v>
      </c>
      <c r="I5997" s="680">
        <v>14.74</v>
      </c>
    </row>
    <row r="5998" spans="2:9" ht="30">
      <c r="B5998" s="396">
        <v>95623</v>
      </c>
      <c r="C5998" s="401" t="s">
        <v>571</v>
      </c>
      <c r="D5998" s="396" t="s">
        <v>0</v>
      </c>
      <c r="E5998" s="405">
        <f t="shared" si="186"/>
        <v>10.87</v>
      </c>
      <c r="F5998">
        <f t="shared" si="187"/>
        <v>95623</v>
      </c>
      <c r="H5998" s="679">
        <v>10.87</v>
      </c>
      <c r="I5998" s="679">
        <v>11.46</v>
      </c>
    </row>
    <row r="5999" spans="2:9" ht="30">
      <c r="B5999" s="395">
        <v>95624</v>
      </c>
      <c r="C5999" s="406" t="s">
        <v>1812</v>
      </c>
      <c r="D5999" s="395" t="s">
        <v>0</v>
      </c>
      <c r="E5999" s="407">
        <f t="shared" si="186"/>
        <v>19.86</v>
      </c>
      <c r="F5999">
        <f t="shared" si="187"/>
        <v>95624</v>
      </c>
      <c r="H5999" s="680">
        <v>19.86</v>
      </c>
      <c r="I5999" s="680">
        <v>21.43</v>
      </c>
    </row>
    <row r="6000" spans="2:9" ht="30">
      <c r="B6000" s="396">
        <v>95625</v>
      </c>
      <c r="C6000" s="401" t="s">
        <v>1813</v>
      </c>
      <c r="D6000" s="396" t="s">
        <v>0</v>
      </c>
      <c r="E6000" s="405">
        <f t="shared" si="186"/>
        <v>21.77</v>
      </c>
      <c r="F6000">
        <f t="shared" si="187"/>
        <v>95625</v>
      </c>
      <c r="H6000" s="679">
        <v>21.77</v>
      </c>
      <c r="I6000" s="679">
        <v>23.54</v>
      </c>
    </row>
    <row r="6001" spans="2:9">
      <c r="B6001" s="395">
        <v>95626</v>
      </c>
      <c r="C6001" s="406" t="s">
        <v>572</v>
      </c>
      <c r="D6001" s="395" t="s">
        <v>0</v>
      </c>
      <c r="E6001" s="407">
        <f t="shared" si="186"/>
        <v>14.79</v>
      </c>
      <c r="F6001">
        <f t="shared" si="187"/>
        <v>95626</v>
      </c>
      <c r="H6001" s="680">
        <v>14.79</v>
      </c>
      <c r="I6001" s="680">
        <v>15.81</v>
      </c>
    </row>
    <row r="6002" spans="2:9" ht="30">
      <c r="B6002" s="396">
        <v>96126</v>
      </c>
      <c r="C6002" s="401" t="s">
        <v>2166</v>
      </c>
      <c r="D6002" s="396" t="s">
        <v>0</v>
      </c>
      <c r="E6002" s="405">
        <f t="shared" si="186"/>
        <v>18.72</v>
      </c>
      <c r="F6002">
        <f t="shared" si="187"/>
        <v>96126</v>
      </c>
      <c r="H6002" s="679">
        <v>18.72</v>
      </c>
      <c r="I6002" s="679">
        <v>19.87</v>
      </c>
    </row>
    <row r="6003" spans="2:9" ht="30">
      <c r="B6003" s="395">
        <v>96127</v>
      </c>
      <c r="C6003" s="406" t="s">
        <v>2167</v>
      </c>
      <c r="D6003" s="395" t="s">
        <v>0</v>
      </c>
      <c r="E6003" s="407">
        <f t="shared" si="186"/>
        <v>15.02</v>
      </c>
      <c r="F6003">
        <f t="shared" si="187"/>
        <v>96127</v>
      </c>
      <c r="H6003" s="680">
        <v>15.02</v>
      </c>
      <c r="I6003" s="680">
        <v>15.76</v>
      </c>
    </row>
    <row r="6004" spans="2:9" ht="30">
      <c r="B6004" s="396">
        <v>96128</v>
      </c>
      <c r="C6004" s="401" t="s">
        <v>2168</v>
      </c>
      <c r="D6004" s="396" t="s">
        <v>0</v>
      </c>
      <c r="E6004" s="405">
        <f t="shared" si="186"/>
        <v>26.23</v>
      </c>
      <c r="F6004">
        <f t="shared" si="187"/>
        <v>96128</v>
      </c>
      <c r="H6004" s="679">
        <v>26.23</v>
      </c>
      <c r="I6004" s="679">
        <v>28.18</v>
      </c>
    </row>
    <row r="6005" spans="2:9" ht="30">
      <c r="B6005" s="395">
        <v>96129</v>
      </c>
      <c r="C6005" s="406" t="s">
        <v>2169</v>
      </c>
      <c r="D6005" s="395" t="s">
        <v>0</v>
      </c>
      <c r="E6005" s="407">
        <f t="shared" si="186"/>
        <v>28.62</v>
      </c>
      <c r="F6005">
        <f t="shared" si="187"/>
        <v>96129</v>
      </c>
      <c r="H6005" s="680">
        <v>28.62</v>
      </c>
      <c r="I6005" s="680">
        <v>30.83</v>
      </c>
    </row>
    <row r="6006" spans="2:9">
      <c r="B6006" s="396">
        <v>96130</v>
      </c>
      <c r="C6006" s="401" t="s">
        <v>2170</v>
      </c>
      <c r="D6006" s="396" t="s">
        <v>0</v>
      </c>
      <c r="E6006" s="405">
        <f t="shared" si="186"/>
        <v>19.89</v>
      </c>
      <c r="F6006">
        <f t="shared" si="187"/>
        <v>96130</v>
      </c>
      <c r="H6006" s="679">
        <v>19.89</v>
      </c>
      <c r="I6006" s="679">
        <v>21.16</v>
      </c>
    </row>
    <row r="6007" spans="2:9" ht="30">
      <c r="B6007" s="395">
        <v>96131</v>
      </c>
      <c r="C6007" s="406" t="s">
        <v>2171</v>
      </c>
      <c r="D6007" s="395" t="s">
        <v>0</v>
      </c>
      <c r="E6007" s="407">
        <f t="shared" si="186"/>
        <v>26.2</v>
      </c>
      <c r="F6007">
        <f t="shared" si="187"/>
        <v>96131</v>
      </c>
      <c r="H6007" s="680">
        <v>26.2</v>
      </c>
      <c r="I6007" s="680">
        <v>27.72</v>
      </c>
    </row>
    <row r="6008" spans="2:9" ht="30">
      <c r="B6008" s="396">
        <v>96132</v>
      </c>
      <c r="C6008" s="401" t="s">
        <v>2172</v>
      </c>
      <c r="D6008" s="396" t="s">
        <v>0</v>
      </c>
      <c r="E6008" s="405">
        <f t="shared" si="186"/>
        <v>21.27</v>
      </c>
      <c r="F6008">
        <f t="shared" si="187"/>
        <v>96132</v>
      </c>
      <c r="H6008" s="679">
        <v>21.27</v>
      </c>
      <c r="I6008" s="679">
        <v>22.26</v>
      </c>
    </row>
    <row r="6009" spans="2:9" ht="30">
      <c r="B6009" s="395">
        <v>96133</v>
      </c>
      <c r="C6009" s="406" t="s">
        <v>2173</v>
      </c>
      <c r="D6009" s="395" t="s">
        <v>0</v>
      </c>
      <c r="E6009" s="407">
        <f t="shared" si="186"/>
        <v>36.19</v>
      </c>
      <c r="F6009">
        <f t="shared" si="187"/>
        <v>96133</v>
      </c>
      <c r="H6009" s="680">
        <v>36.19</v>
      </c>
      <c r="I6009" s="680">
        <v>38.79</v>
      </c>
    </row>
    <row r="6010" spans="2:9" ht="30">
      <c r="B6010" s="396">
        <v>96134</v>
      </c>
      <c r="C6010" s="401" t="s">
        <v>2174</v>
      </c>
      <c r="D6010" s="396" t="s">
        <v>0</v>
      </c>
      <c r="E6010" s="405">
        <f t="shared" si="186"/>
        <v>39.380000000000003</v>
      </c>
      <c r="F6010">
        <f t="shared" si="187"/>
        <v>96134</v>
      </c>
      <c r="H6010" s="679">
        <v>39.380000000000003</v>
      </c>
      <c r="I6010" s="679">
        <v>42.31</v>
      </c>
    </row>
    <row r="6011" spans="2:9">
      <c r="B6011" s="395">
        <v>96135</v>
      </c>
      <c r="C6011" s="406" t="s">
        <v>2175</v>
      </c>
      <c r="D6011" s="395" t="s">
        <v>0</v>
      </c>
      <c r="E6011" s="407">
        <f t="shared" si="186"/>
        <v>27.79</v>
      </c>
      <c r="F6011">
        <f t="shared" si="187"/>
        <v>96135</v>
      </c>
      <c r="H6011" s="680">
        <v>27.79</v>
      </c>
      <c r="I6011" s="680">
        <v>29.47</v>
      </c>
    </row>
    <row r="6012" spans="2:9">
      <c r="B6012" s="396">
        <v>102193</v>
      </c>
      <c r="C6012" s="401" t="s">
        <v>5475</v>
      </c>
      <c r="D6012" s="396" t="s">
        <v>0</v>
      </c>
      <c r="E6012" s="405">
        <f t="shared" si="186"/>
        <v>1.82</v>
      </c>
      <c r="F6012">
        <f t="shared" si="187"/>
        <v>102193</v>
      </c>
      <c r="H6012" s="679">
        <v>1.82</v>
      </c>
      <c r="I6012" s="679">
        <v>1.96</v>
      </c>
    </row>
    <row r="6013" spans="2:9">
      <c r="B6013" s="395">
        <v>102194</v>
      </c>
      <c r="C6013" s="406" t="s">
        <v>5476</v>
      </c>
      <c r="D6013" s="395" t="s">
        <v>0</v>
      </c>
      <c r="E6013" s="407">
        <f t="shared" si="186"/>
        <v>6.73</v>
      </c>
      <c r="F6013">
        <f t="shared" si="187"/>
        <v>102194</v>
      </c>
      <c r="H6013" s="680">
        <v>6.73</v>
      </c>
      <c r="I6013" s="680">
        <v>7.38</v>
      </c>
    </row>
    <row r="6014" spans="2:9">
      <c r="B6014" s="396">
        <v>102197</v>
      </c>
      <c r="C6014" s="401" t="s">
        <v>5477</v>
      </c>
      <c r="D6014" s="396" t="s">
        <v>0</v>
      </c>
      <c r="E6014" s="405">
        <f t="shared" si="186"/>
        <v>28.52</v>
      </c>
      <c r="F6014">
        <f t="shared" si="187"/>
        <v>102197</v>
      </c>
      <c r="H6014" s="679">
        <v>28.52</v>
      </c>
      <c r="I6014" s="679">
        <v>29.22</v>
      </c>
    </row>
    <row r="6015" spans="2:9">
      <c r="B6015" s="395">
        <v>102200</v>
      </c>
      <c r="C6015" s="406" t="s">
        <v>5478</v>
      </c>
      <c r="D6015" s="395" t="s">
        <v>0</v>
      </c>
      <c r="E6015" s="407">
        <f t="shared" si="186"/>
        <v>20.69</v>
      </c>
      <c r="F6015">
        <f t="shared" si="187"/>
        <v>102200</v>
      </c>
      <c r="H6015" s="680">
        <v>20.69</v>
      </c>
      <c r="I6015" s="680">
        <v>21.61</v>
      </c>
    </row>
    <row r="6016" spans="2:9">
      <c r="B6016" s="396">
        <v>102201</v>
      </c>
      <c r="C6016" s="401" t="s">
        <v>6446</v>
      </c>
      <c r="D6016" s="396" t="s">
        <v>0</v>
      </c>
      <c r="E6016" s="405">
        <f t="shared" si="186"/>
        <v>17.649999999999999</v>
      </c>
      <c r="F6016">
        <f t="shared" si="187"/>
        <v>102201</v>
      </c>
      <c r="H6016" s="679">
        <v>17.649999999999999</v>
      </c>
      <c r="I6016" s="679">
        <v>18.78</v>
      </c>
    </row>
    <row r="6017" spans="2:9">
      <c r="B6017" s="395">
        <v>102202</v>
      </c>
      <c r="C6017" s="406" t="s">
        <v>5479</v>
      </c>
      <c r="D6017" s="395" t="s">
        <v>0</v>
      </c>
      <c r="E6017" s="407">
        <f t="shared" si="186"/>
        <v>56.75</v>
      </c>
      <c r="F6017">
        <f t="shared" si="187"/>
        <v>102202</v>
      </c>
      <c r="H6017" s="680">
        <v>56.75</v>
      </c>
      <c r="I6017" s="680">
        <v>57.67</v>
      </c>
    </row>
    <row r="6018" spans="2:9">
      <c r="B6018" s="396">
        <v>102203</v>
      </c>
      <c r="C6018" s="401" t="s">
        <v>5480</v>
      </c>
      <c r="D6018" s="396" t="s">
        <v>0</v>
      </c>
      <c r="E6018" s="405">
        <f t="shared" si="186"/>
        <v>8.3800000000000008</v>
      </c>
      <c r="F6018">
        <f t="shared" si="187"/>
        <v>102203</v>
      </c>
      <c r="H6018" s="679">
        <v>8.3800000000000008</v>
      </c>
      <c r="I6018" s="679">
        <v>8.9600000000000009</v>
      </c>
    </row>
    <row r="6019" spans="2:9">
      <c r="B6019" s="395">
        <v>102204</v>
      </c>
      <c r="C6019" s="406" t="s">
        <v>5481</v>
      </c>
      <c r="D6019" s="395" t="s">
        <v>0</v>
      </c>
      <c r="E6019" s="407">
        <f t="shared" ref="E6019:E6082" si="188">IF($K$2=$H$1,H6019,I6019)</f>
        <v>8.65</v>
      </c>
      <c r="F6019">
        <f t="shared" ref="F6019:F6082" si="189">IF(LEN($B6019)=7,CONCATENATE(MID($B6019,1,6),"00",RIGHT($B6019,1)),IF(LEN($B6019)=8,CONCATENATE(MID($B6019,1,6),"0",RIGHT($B6019,2)),$B6019))</f>
        <v>102204</v>
      </c>
      <c r="H6019" s="680">
        <v>8.65</v>
      </c>
      <c r="I6019" s="680">
        <v>9.23</v>
      </c>
    </row>
    <row r="6020" spans="2:9">
      <c r="B6020" s="396">
        <v>102205</v>
      </c>
      <c r="C6020" s="401" t="s">
        <v>5482</v>
      </c>
      <c r="D6020" s="396" t="s">
        <v>0</v>
      </c>
      <c r="E6020" s="405">
        <f t="shared" si="188"/>
        <v>7.79</v>
      </c>
      <c r="F6020">
        <f t="shared" si="189"/>
        <v>102205</v>
      </c>
      <c r="H6020" s="679">
        <v>7.79</v>
      </c>
      <c r="I6020" s="679">
        <v>8.3699999999999992</v>
      </c>
    </row>
    <row r="6021" spans="2:9">
      <c r="B6021" s="395">
        <v>102207</v>
      </c>
      <c r="C6021" s="406" t="s">
        <v>5483</v>
      </c>
      <c r="D6021" s="395" t="s">
        <v>0</v>
      </c>
      <c r="E6021" s="407">
        <f t="shared" si="188"/>
        <v>7.25</v>
      </c>
      <c r="F6021">
        <f t="shared" si="189"/>
        <v>102207</v>
      </c>
      <c r="H6021" s="680">
        <v>7.25</v>
      </c>
      <c r="I6021" s="680">
        <v>7.72</v>
      </c>
    </row>
    <row r="6022" spans="2:9">
      <c r="B6022" s="396">
        <v>102208</v>
      </c>
      <c r="C6022" s="401" t="s">
        <v>5484</v>
      </c>
      <c r="D6022" s="396" t="s">
        <v>0</v>
      </c>
      <c r="E6022" s="405">
        <f t="shared" si="188"/>
        <v>6.88</v>
      </c>
      <c r="F6022">
        <f t="shared" si="189"/>
        <v>102208</v>
      </c>
      <c r="H6022" s="679">
        <v>6.88</v>
      </c>
      <c r="I6022" s="679">
        <v>7.35</v>
      </c>
    </row>
    <row r="6023" spans="2:9">
      <c r="B6023" s="395">
        <v>102209</v>
      </c>
      <c r="C6023" s="406" t="s">
        <v>5485</v>
      </c>
      <c r="D6023" s="395" t="s">
        <v>0</v>
      </c>
      <c r="E6023" s="407">
        <f t="shared" si="188"/>
        <v>7.12</v>
      </c>
      <c r="F6023">
        <f t="shared" si="189"/>
        <v>102209</v>
      </c>
      <c r="H6023" s="680">
        <v>7.12</v>
      </c>
      <c r="I6023" s="680">
        <v>7.59</v>
      </c>
    </row>
    <row r="6024" spans="2:9">
      <c r="B6024" s="396">
        <v>102210</v>
      </c>
      <c r="C6024" s="401" t="s">
        <v>5486</v>
      </c>
      <c r="D6024" s="396" t="s">
        <v>0</v>
      </c>
      <c r="E6024" s="405">
        <f t="shared" si="188"/>
        <v>6.76</v>
      </c>
      <c r="F6024">
        <f t="shared" si="189"/>
        <v>102210</v>
      </c>
      <c r="H6024" s="679">
        <v>6.76</v>
      </c>
      <c r="I6024" s="679">
        <v>7.23</v>
      </c>
    </row>
    <row r="6025" spans="2:9">
      <c r="B6025" s="395">
        <v>102213</v>
      </c>
      <c r="C6025" s="406" t="s">
        <v>5487</v>
      </c>
      <c r="D6025" s="395" t="s">
        <v>0</v>
      </c>
      <c r="E6025" s="407">
        <f t="shared" si="188"/>
        <v>16.77</v>
      </c>
      <c r="F6025">
        <f t="shared" si="189"/>
        <v>102213</v>
      </c>
      <c r="H6025" s="680">
        <v>16.77</v>
      </c>
      <c r="I6025" s="680">
        <v>17.940000000000001</v>
      </c>
    </row>
    <row r="6026" spans="2:9">
      <c r="B6026" s="396">
        <v>102214</v>
      </c>
      <c r="C6026" s="401" t="s">
        <v>5488</v>
      </c>
      <c r="D6026" s="396" t="s">
        <v>0</v>
      </c>
      <c r="E6026" s="405">
        <f t="shared" si="188"/>
        <v>17.309999999999999</v>
      </c>
      <c r="F6026">
        <f t="shared" si="189"/>
        <v>102214</v>
      </c>
      <c r="H6026" s="679">
        <v>17.309999999999999</v>
      </c>
      <c r="I6026" s="679">
        <v>18.48</v>
      </c>
    </row>
    <row r="6027" spans="2:9">
      <c r="B6027" s="395">
        <v>102215</v>
      </c>
      <c r="C6027" s="406" t="s">
        <v>5489</v>
      </c>
      <c r="D6027" s="395" t="s">
        <v>0</v>
      </c>
      <c r="E6027" s="407">
        <f t="shared" si="188"/>
        <v>15.59</v>
      </c>
      <c r="F6027">
        <f t="shared" si="189"/>
        <v>102215</v>
      </c>
      <c r="H6027" s="680">
        <v>15.59</v>
      </c>
      <c r="I6027" s="680">
        <v>16.760000000000002</v>
      </c>
    </row>
    <row r="6028" spans="2:9">
      <c r="B6028" s="396">
        <v>102217</v>
      </c>
      <c r="C6028" s="401" t="s">
        <v>5490</v>
      </c>
      <c r="D6028" s="396" t="s">
        <v>0</v>
      </c>
      <c r="E6028" s="405">
        <f t="shared" si="188"/>
        <v>14.5</v>
      </c>
      <c r="F6028">
        <f t="shared" si="189"/>
        <v>102217</v>
      </c>
      <c r="H6028" s="679">
        <v>14.5</v>
      </c>
      <c r="I6028" s="679">
        <v>15.45</v>
      </c>
    </row>
    <row r="6029" spans="2:9">
      <c r="B6029" s="395">
        <v>102218</v>
      </c>
      <c r="C6029" s="406" t="s">
        <v>5491</v>
      </c>
      <c r="D6029" s="395" t="s">
        <v>0</v>
      </c>
      <c r="E6029" s="407">
        <f t="shared" si="188"/>
        <v>13.75</v>
      </c>
      <c r="F6029">
        <f t="shared" si="189"/>
        <v>102218</v>
      </c>
      <c r="H6029" s="680">
        <v>13.75</v>
      </c>
      <c r="I6029" s="680">
        <v>14.7</v>
      </c>
    </row>
    <row r="6030" spans="2:9">
      <c r="B6030" s="396">
        <v>102219</v>
      </c>
      <c r="C6030" s="401" t="s">
        <v>5492</v>
      </c>
      <c r="D6030" s="396" t="s">
        <v>0</v>
      </c>
      <c r="E6030" s="405">
        <f t="shared" si="188"/>
        <v>14.25</v>
      </c>
      <c r="F6030">
        <f t="shared" si="189"/>
        <v>102219</v>
      </c>
      <c r="H6030" s="679">
        <v>14.25</v>
      </c>
      <c r="I6030" s="679">
        <v>15.2</v>
      </c>
    </row>
    <row r="6031" spans="2:9">
      <c r="B6031" s="395">
        <v>102220</v>
      </c>
      <c r="C6031" s="406" t="s">
        <v>5493</v>
      </c>
      <c r="D6031" s="395" t="s">
        <v>0</v>
      </c>
      <c r="E6031" s="407">
        <f t="shared" si="188"/>
        <v>13.51</v>
      </c>
      <c r="F6031">
        <f t="shared" si="189"/>
        <v>102220</v>
      </c>
      <c r="H6031" s="680">
        <v>13.51</v>
      </c>
      <c r="I6031" s="680">
        <v>14.46</v>
      </c>
    </row>
    <row r="6032" spans="2:9">
      <c r="B6032" s="396">
        <v>102223</v>
      </c>
      <c r="C6032" s="401" t="s">
        <v>5494</v>
      </c>
      <c r="D6032" s="396" t="s">
        <v>0</v>
      </c>
      <c r="E6032" s="405">
        <f t="shared" si="188"/>
        <v>25.16</v>
      </c>
      <c r="F6032">
        <f t="shared" si="189"/>
        <v>102223</v>
      </c>
      <c r="H6032" s="679">
        <v>25.16</v>
      </c>
      <c r="I6032" s="679">
        <v>26.92</v>
      </c>
    </row>
    <row r="6033" spans="2:9">
      <c r="B6033" s="395">
        <v>102224</v>
      </c>
      <c r="C6033" s="406" t="s">
        <v>5495</v>
      </c>
      <c r="D6033" s="395" t="s">
        <v>0</v>
      </c>
      <c r="E6033" s="407">
        <f t="shared" si="188"/>
        <v>25.97</v>
      </c>
      <c r="F6033">
        <f t="shared" si="189"/>
        <v>102224</v>
      </c>
      <c r="H6033" s="680">
        <v>25.97</v>
      </c>
      <c r="I6033" s="680">
        <v>27.73</v>
      </c>
    </row>
    <row r="6034" spans="2:9">
      <c r="B6034" s="396">
        <v>102225</v>
      </c>
      <c r="C6034" s="401" t="s">
        <v>5496</v>
      </c>
      <c r="D6034" s="396" t="s">
        <v>0</v>
      </c>
      <c r="E6034" s="405">
        <f t="shared" si="188"/>
        <v>23.39</v>
      </c>
      <c r="F6034">
        <f t="shared" si="189"/>
        <v>102225</v>
      </c>
      <c r="H6034" s="679">
        <v>23.39</v>
      </c>
      <c r="I6034" s="679">
        <v>25.15</v>
      </c>
    </row>
    <row r="6035" spans="2:9">
      <c r="B6035" s="395">
        <v>102227</v>
      </c>
      <c r="C6035" s="406" t="s">
        <v>5497</v>
      </c>
      <c r="D6035" s="395" t="s">
        <v>0</v>
      </c>
      <c r="E6035" s="407">
        <f t="shared" si="188"/>
        <v>21.76</v>
      </c>
      <c r="F6035">
        <f t="shared" si="189"/>
        <v>102227</v>
      </c>
      <c r="H6035" s="680">
        <v>21.76</v>
      </c>
      <c r="I6035" s="680">
        <v>23.18</v>
      </c>
    </row>
    <row r="6036" spans="2:9">
      <c r="B6036" s="396">
        <v>102228</v>
      </c>
      <c r="C6036" s="401" t="s">
        <v>5498</v>
      </c>
      <c r="D6036" s="396" t="s">
        <v>0</v>
      </c>
      <c r="E6036" s="405">
        <f t="shared" si="188"/>
        <v>20.66</v>
      </c>
      <c r="F6036">
        <f t="shared" si="189"/>
        <v>102228</v>
      </c>
      <c r="H6036" s="679">
        <v>20.66</v>
      </c>
      <c r="I6036" s="679">
        <v>22.08</v>
      </c>
    </row>
    <row r="6037" spans="2:9">
      <c r="B6037" s="395">
        <v>102229</v>
      </c>
      <c r="C6037" s="406" t="s">
        <v>5499</v>
      </c>
      <c r="D6037" s="395" t="s">
        <v>0</v>
      </c>
      <c r="E6037" s="407">
        <f t="shared" si="188"/>
        <v>21.38</v>
      </c>
      <c r="F6037">
        <f t="shared" si="189"/>
        <v>102229</v>
      </c>
      <c r="H6037" s="680">
        <v>21.38</v>
      </c>
      <c r="I6037" s="680">
        <v>22.8</v>
      </c>
    </row>
    <row r="6038" spans="2:9">
      <c r="B6038" s="396">
        <v>102230</v>
      </c>
      <c r="C6038" s="401" t="s">
        <v>5500</v>
      </c>
      <c r="D6038" s="396" t="s">
        <v>0</v>
      </c>
      <c r="E6038" s="405">
        <f t="shared" si="188"/>
        <v>20.27</v>
      </c>
      <c r="F6038">
        <f t="shared" si="189"/>
        <v>102230</v>
      </c>
      <c r="H6038" s="679">
        <v>20.27</v>
      </c>
      <c r="I6038" s="679">
        <v>21.69</v>
      </c>
    </row>
    <row r="6039" spans="2:9">
      <c r="B6039" s="395">
        <v>102233</v>
      </c>
      <c r="C6039" s="406" t="s">
        <v>5501</v>
      </c>
      <c r="D6039" s="395" t="s">
        <v>0</v>
      </c>
      <c r="E6039" s="407">
        <f t="shared" si="188"/>
        <v>15.79</v>
      </c>
      <c r="F6039">
        <f t="shared" si="189"/>
        <v>102233</v>
      </c>
      <c r="H6039" s="680">
        <v>15.79</v>
      </c>
      <c r="I6039" s="680">
        <v>16.350000000000001</v>
      </c>
    </row>
    <row r="6040" spans="2:9">
      <c r="B6040" s="396">
        <v>102234</v>
      </c>
      <c r="C6040" s="401" t="s">
        <v>5502</v>
      </c>
      <c r="D6040" s="396" t="s">
        <v>0</v>
      </c>
      <c r="E6040" s="405">
        <f t="shared" si="188"/>
        <v>31.58</v>
      </c>
      <c r="F6040">
        <f t="shared" si="189"/>
        <v>102234</v>
      </c>
      <c r="H6040" s="679">
        <v>31.58</v>
      </c>
      <c r="I6040" s="679">
        <v>32.71</v>
      </c>
    </row>
    <row r="6041" spans="2:9">
      <c r="B6041" s="395">
        <v>100716</v>
      </c>
      <c r="C6041" s="406" t="s">
        <v>3932</v>
      </c>
      <c r="D6041" s="395" t="s">
        <v>0</v>
      </c>
      <c r="E6041" s="407">
        <f t="shared" si="188"/>
        <v>26.42</v>
      </c>
      <c r="F6041">
        <f t="shared" si="189"/>
        <v>100716</v>
      </c>
      <c r="H6041" s="680">
        <v>26.42</v>
      </c>
      <c r="I6041" s="680">
        <v>26.76</v>
      </c>
    </row>
    <row r="6042" spans="2:9">
      <c r="B6042" s="396">
        <v>100717</v>
      </c>
      <c r="C6042" s="401" t="s">
        <v>3933</v>
      </c>
      <c r="D6042" s="396" t="s">
        <v>0</v>
      </c>
      <c r="E6042" s="405">
        <f t="shared" si="188"/>
        <v>8.18</v>
      </c>
      <c r="F6042">
        <f t="shared" si="189"/>
        <v>100717</v>
      </c>
      <c r="H6042" s="679">
        <v>8.18</v>
      </c>
      <c r="I6042" s="679">
        <v>8.93</v>
      </c>
    </row>
    <row r="6043" spans="2:9">
      <c r="B6043" s="395">
        <v>100718</v>
      </c>
      <c r="C6043" s="406" t="s">
        <v>3934</v>
      </c>
      <c r="D6043" s="395" t="s">
        <v>22</v>
      </c>
      <c r="E6043" s="407">
        <f t="shared" si="188"/>
        <v>1.17</v>
      </c>
      <c r="F6043">
        <f t="shared" si="189"/>
        <v>100718</v>
      </c>
      <c r="H6043" s="680">
        <v>1.17</v>
      </c>
      <c r="I6043" s="680">
        <v>1.27</v>
      </c>
    </row>
    <row r="6044" spans="2:9" ht="30">
      <c r="B6044" s="396">
        <v>100719</v>
      </c>
      <c r="C6044" s="401" t="s">
        <v>8559</v>
      </c>
      <c r="D6044" s="396" t="s">
        <v>0</v>
      </c>
      <c r="E6044" s="405">
        <f t="shared" si="188"/>
        <v>9.92</v>
      </c>
      <c r="F6044">
        <f t="shared" si="189"/>
        <v>100719</v>
      </c>
      <c r="H6044" s="679">
        <v>9.92</v>
      </c>
      <c r="I6044" s="679">
        <v>10.08</v>
      </c>
    </row>
    <row r="6045" spans="2:9" ht="30">
      <c r="B6045" s="395">
        <v>100720</v>
      </c>
      <c r="C6045" s="406" t="s">
        <v>3935</v>
      </c>
      <c r="D6045" s="395" t="s">
        <v>0</v>
      </c>
      <c r="E6045" s="407">
        <f t="shared" si="188"/>
        <v>9.27</v>
      </c>
      <c r="F6045">
        <f t="shared" si="189"/>
        <v>100720</v>
      </c>
      <c r="H6045" s="680">
        <v>9.27</v>
      </c>
      <c r="I6045" s="680">
        <v>9.81</v>
      </c>
    </row>
    <row r="6046" spans="2:9" ht="30">
      <c r="B6046" s="396">
        <v>100721</v>
      </c>
      <c r="C6046" s="401" t="s">
        <v>8560</v>
      </c>
      <c r="D6046" s="396" t="s">
        <v>0</v>
      </c>
      <c r="E6046" s="405">
        <f t="shared" si="188"/>
        <v>21.31</v>
      </c>
      <c r="F6046">
        <f t="shared" si="189"/>
        <v>100721</v>
      </c>
      <c r="H6046" s="679">
        <v>21.31</v>
      </c>
      <c r="I6046" s="679">
        <v>22.62</v>
      </c>
    </row>
    <row r="6047" spans="2:9" ht="30">
      <c r="B6047" s="395">
        <v>100722</v>
      </c>
      <c r="C6047" s="406" t="s">
        <v>3936</v>
      </c>
      <c r="D6047" s="395" t="s">
        <v>0</v>
      </c>
      <c r="E6047" s="407">
        <f t="shared" si="188"/>
        <v>20.09</v>
      </c>
      <c r="F6047">
        <f t="shared" si="189"/>
        <v>100722</v>
      </c>
      <c r="H6047" s="680">
        <v>20.09</v>
      </c>
      <c r="I6047" s="680">
        <v>21.78</v>
      </c>
    </row>
    <row r="6048" spans="2:9" ht="30">
      <c r="B6048" s="396">
        <v>100723</v>
      </c>
      <c r="C6048" s="401" t="s">
        <v>8561</v>
      </c>
      <c r="D6048" s="396" t="s">
        <v>0</v>
      </c>
      <c r="E6048" s="405">
        <f t="shared" si="188"/>
        <v>10.66</v>
      </c>
      <c r="F6048">
        <f t="shared" si="189"/>
        <v>100723</v>
      </c>
      <c r="H6048" s="679">
        <v>10.66</v>
      </c>
      <c r="I6048" s="679">
        <v>10.82</v>
      </c>
    </row>
    <row r="6049" spans="2:9" ht="30">
      <c r="B6049" s="395">
        <v>100724</v>
      </c>
      <c r="C6049" s="406" t="s">
        <v>3937</v>
      </c>
      <c r="D6049" s="395" t="s">
        <v>0</v>
      </c>
      <c r="E6049" s="407">
        <f t="shared" si="188"/>
        <v>12.3</v>
      </c>
      <c r="F6049">
        <f t="shared" si="189"/>
        <v>100724</v>
      </c>
      <c r="H6049" s="680">
        <v>12.3</v>
      </c>
      <c r="I6049" s="680">
        <v>12.84</v>
      </c>
    </row>
    <row r="6050" spans="2:9" ht="30">
      <c r="B6050" s="396">
        <v>100725</v>
      </c>
      <c r="C6050" s="401" t="s">
        <v>8562</v>
      </c>
      <c r="D6050" s="396" t="s">
        <v>0</v>
      </c>
      <c r="E6050" s="405">
        <f t="shared" si="188"/>
        <v>21.56</v>
      </c>
      <c r="F6050">
        <f t="shared" si="189"/>
        <v>100725</v>
      </c>
      <c r="H6050" s="679">
        <v>21.56</v>
      </c>
      <c r="I6050" s="679">
        <v>22.87</v>
      </c>
    </row>
    <row r="6051" spans="2:9" ht="30">
      <c r="B6051" s="395">
        <v>100726</v>
      </c>
      <c r="C6051" s="406" t="s">
        <v>3938</v>
      </c>
      <c r="D6051" s="395" t="s">
        <v>0</v>
      </c>
      <c r="E6051" s="407">
        <f t="shared" si="188"/>
        <v>23.04</v>
      </c>
      <c r="F6051">
        <f t="shared" si="189"/>
        <v>100726</v>
      </c>
      <c r="H6051" s="680">
        <v>23.04</v>
      </c>
      <c r="I6051" s="680">
        <v>24.73</v>
      </c>
    </row>
    <row r="6052" spans="2:9" ht="30">
      <c r="B6052" s="396">
        <v>100727</v>
      </c>
      <c r="C6052" s="401" t="s">
        <v>8563</v>
      </c>
      <c r="D6052" s="396" t="s">
        <v>0</v>
      </c>
      <c r="E6052" s="405">
        <f t="shared" si="188"/>
        <v>24.79</v>
      </c>
      <c r="F6052">
        <f t="shared" si="189"/>
        <v>100727</v>
      </c>
      <c r="H6052" s="679">
        <v>24.79</v>
      </c>
      <c r="I6052" s="679">
        <v>24.95</v>
      </c>
    </row>
    <row r="6053" spans="2:9" ht="30">
      <c r="B6053" s="395">
        <v>100728</v>
      </c>
      <c r="C6053" s="406" t="s">
        <v>3939</v>
      </c>
      <c r="D6053" s="395" t="s">
        <v>0</v>
      </c>
      <c r="E6053" s="407">
        <f t="shared" si="188"/>
        <v>21.63</v>
      </c>
      <c r="F6053">
        <f t="shared" si="189"/>
        <v>100728</v>
      </c>
      <c r="H6053" s="680">
        <v>21.63</v>
      </c>
      <c r="I6053" s="680">
        <v>22.17</v>
      </c>
    </row>
    <row r="6054" spans="2:9" ht="30">
      <c r="B6054" s="396">
        <v>100729</v>
      </c>
      <c r="C6054" s="401" t="s">
        <v>8564</v>
      </c>
      <c r="D6054" s="396" t="s">
        <v>0</v>
      </c>
      <c r="E6054" s="405">
        <f t="shared" si="188"/>
        <v>18.61</v>
      </c>
      <c r="F6054">
        <f t="shared" si="189"/>
        <v>100729</v>
      </c>
      <c r="H6054" s="679">
        <v>18.61</v>
      </c>
      <c r="I6054" s="679">
        <v>18.77</v>
      </c>
    </row>
    <row r="6055" spans="2:9" ht="30">
      <c r="B6055" s="395">
        <v>100730</v>
      </c>
      <c r="C6055" s="406" t="s">
        <v>3940</v>
      </c>
      <c r="D6055" s="395" t="s">
        <v>0</v>
      </c>
      <c r="E6055" s="407">
        <f t="shared" si="188"/>
        <v>21.23</v>
      </c>
      <c r="F6055">
        <f t="shared" si="189"/>
        <v>100730</v>
      </c>
      <c r="H6055" s="680">
        <v>21.23</v>
      </c>
      <c r="I6055" s="680">
        <v>21.77</v>
      </c>
    </row>
    <row r="6056" spans="2:9" ht="30">
      <c r="B6056" s="396">
        <v>100733</v>
      </c>
      <c r="C6056" s="401" t="s">
        <v>8565</v>
      </c>
      <c r="D6056" s="396" t="s">
        <v>0</v>
      </c>
      <c r="E6056" s="405">
        <f t="shared" si="188"/>
        <v>9.23</v>
      </c>
      <c r="F6056">
        <f t="shared" si="189"/>
        <v>100733</v>
      </c>
      <c r="H6056" s="679">
        <v>9.23</v>
      </c>
      <c r="I6056" s="679">
        <v>9.99</v>
      </c>
    </row>
    <row r="6057" spans="2:9" ht="30">
      <c r="B6057" s="395">
        <v>100734</v>
      </c>
      <c r="C6057" s="406" t="s">
        <v>3941</v>
      </c>
      <c r="D6057" s="395" t="s">
        <v>0</v>
      </c>
      <c r="E6057" s="407">
        <f t="shared" si="188"/>
        <v>12.16</v>
      </c>
      <c r="F6057">
        <f t="shared" si="189"/>
        <v>100734</v>
      </c>
      <c r="H6057" s="680">
        <v>12.16</v>
      </c>
      <c r="I6057" s="680">
        <v>13.29</v>
      </c>
    </row>
    <row r="6058" spans="2:9" ht="30">
      <c r="B6058" s="396">
        <v>100735</v>
      </c>
      <c r="C6058" s="401" t="s">
        <v>8566</v>
      </c>
      <c r="D6058" s="396" t="s">
        <v>0</v>
      </c>
      <c r="E6058" s="405">
        <f t="shared" si="188"/>
        <v>9.1999999999999993</v>
      </c>
      <c r="F6058">
        <f t="shared" si="189"/>
        <v>100735</v>
      </c>
      <c r="H6058" s="679">
        <v>9.1999999999999993</v>
      </c>
      <c r="I6058" s="679">
        <v>9.9600000000000009</v>
      </c>
    </row>
    <row r="6059" spans="2:9" ht="30">
      <c r="B6059" s="395">
        <v>100736</v>
      </c>
      <c r="C6059" s="406" t="s">
        <v>3942</v>
      </c>
      <c r="D6059" s="395" t="s">
        <v>0</v>
      </c>
      <c r="E6059" s="407">
        <f t="shared" si="188"/>
        <v>12.01</v>
      </c>
      <c r="F6059">
        <f t="shared" si="189"/>
        <v>100736</v>
      </c>
      <c r="H6059" s="680">
        <v>12.01</v>
      </c>
      <c r="I6059" s="680">
        <v>13.14</v>
      </c>
    </row>
    <row r="6060" spans="2:9" ht="30">
      <c r="B6060" s="396">
        <v>100739</v>
      </c>
      <c r="C6060" s="401" t="s">
        <v>8567</v>
      </c>
      <c r="D6060" s="396" t="s">
        <v>0</v>
      </c>
      <c r="E6060" s="405">
        <f t="shared" si="188"/>
        <v>9.76</v>
      </c>
      <c r="F6060">
        <f t="shared" si="189"/>
        <v>100739</v>
      </c>
      <c r="H6060" s="679">
        <v>9.76</v>
      </c>
      <c r="I6060" s="679">
        <v>9.92</v>
      </c>
    </row>
    <row r="6061" spans="2:9" ht="30">
      <c r="B6061" s="395">
        <v>100740</v>
      </c>
      <c r="C6061" s="406" t="s">
        <v>3943</v>
      </c>
      <c r="D6061" s="395" t="s">
        <v>0</v>
      </c>
      <c r="E6061" s="407">
        <f t="shared" si="188"/>
        <v>9.8000000000000007</v>
      </c>
      <c r="F6061">
        <f t="shared" si="189"/>
        <v>100740</v>
      </c>
      <c r="H6061" s="680">
        <v>9.8000000000000007</v>
      </c>
      <c r="I6061" s="680">
        <v>10.34</v>
      </c>
    </row>
    <row r="6062" spans="2:9" ht="30">
      <c r="B6062" s="396">
        <v>100741</v>
      </c>
      <c r="C6062" s="401" t="s">
        <v>8568</v>
      </c>
      <c r="D6062" s="396" t="s">
        <v>0</v>
      </c>
      <c r="E6062" s="405">
        <f t="shared" si="188"/>
        <v>20.95</v>
      </c>
      <c r="F6062">
        <f t="shared" si="189"/>
        <v>100741</v>
      </c>
      <c r="H6062" s="679">
        <v>20.95</v>
      </c>
      <c r="I6062" s="679">
        <v>22.26</v>
      </c>
    </row>
    <row r="6063" spans="2:9" ht="30">
      <c r="B6063" s="395">
        <v>100742</v>
      </c>
      <c r="C6063" s="406" t="s">
        <v>3944</v>
      </c>
      <c r="D6063" s="395" t="s">
        <v>0</v>
      </c>
      <c r="E6063" s="407">
        <f t="shared" si="188"/>
        <v>20.6</v>
      </c>
      <c r="F6063">
        <f t="shared" si="189"/>
        <v>100742</v>
      </c>
      <c r="H6063" s="680">
        <v>20.6</v>
      </c>
      <c r="I6063" s="680">
        <v>22.29</v>
      </c>
    </row>
    <row r="6064" spans="2:9" ht="30">
      <c r="B6064" s="396">
        <v>100743</v>
      </c>
      <c r="C6064" s="401" t="s">
        <v>8569</v>
      </c>
      <c r="D6064" s="396" t="s">
        <v>0</v>
      </c>
      <c r="E6064" s="405">
        <f t="shared" si="188"/>
        <v>9.5299999999999994</v>
      </c>
      <c r="F6064">
        <f t="shared" si="189"/>
        <v>100743</v>
      </c>
      <c r="H6064" s="679">
        <v>9.5299999999999994</v>
      </c>
      <c r="I6064" s="679">
        <v>9.69</v>
      </c>
    </row>
    <row r="6065" spans="2:9" ht="30">
      <c r="B6065" s="395">
        <v>100744</v>
      </c>
      <c r="C6065" s="406" t="s">
        <v>3945</v>
      </c>
      <c r="D6065" s="395" t="s">
        <v>0</v>
      </c>
      <c r="E6065" s="407">
        <f t="shared" si="188"/>
        <v>9.65</v>
      </c>
      <c r="F6065">
        <f t="shared" si="189"/>
        <v>100744</v>
      </c>
      <c r="H6065" s="680">
        <v>9.65</v>
      </c>
      <c r="I6065" s="680">
        <v>10.19</v>
      </c>
    </row>
    <row r="6066" spans="2:9" ht="30">
      <c r="B6066" s="396">
        <v>100745</v>
      </c>
      <c r="C6066" s="401" t="s">
        <v>8570</v>
      </c>
      <c r="D6066" s="396" t="s">
        <v>0</v>
      </c>
      <c r="E6066" s="405">
        <f t="shared" si="188"/>
        <v>20.71</v>
      </c>
      <c r="F6066">
        <f t="shared" si="189"/>
        <v>100745</v>
      </c>
      <c r="H6066" s="679">
        <v>20.71</v>
      </c>
      <c r="I6066" s="679">
        <v>22.02</v>
      </c>
    </row>
    <row r="6067" spans="2:9" ht="30">
      <c r="B6067" s="395">
        <v>100746</v>
      </c>
      <c r="C6067" s="406" t="s">
        <v>3946</v>
      </c>
      <c r="D6067" s="395" t="s">
        <v>0</v>
      </c>
      <c r="E6067" s="407">
        <f t="shared" si="188"/>
        <v>20.45</v>
      </c>
      <c r="F6067">
        <f t="shared" si="189"/>
        <v>100746</v>
      </c>
      <c r="H6067" s="680">
        <v>20.45</v>
      </c>
      <c r="I6067" s="680">
        <v>22.14</v>
      </c>
    </row>
    <row r="6068" spans="2:9" ht="30">
      <c r="B6068" s="396">
        <v>100747</v>
      </c>
      <c r="C6068" s="401" t="s">
        <v>8571</v>
      </c>
      <c r="D6068" s="396" t="s">
        <v>0</v>
      </c>
      <c r="E6068" s="405">
        <f t="shared" si="188"/>
        <v>9.6199999999999992</v>
      </c>
      <c r="F6068">
        <f t="shared" si="189"/>
        <v>100747</v>
      </c>
      <c r="H6068" s="679">
        <v>9.6199999999999992</v>
      </c>
      <c r="I6068" s="679">
        <v>9.7799999999999994</v>
      </c>
    </row>
    <row r="6069" spans="2:9" ht="30">
      <c r="B6069" s="395">
        <v>100748</v>
      </c>
      <c r="C6069" s="406" t="s">
        <v>3947</v>
      </c>
      <c r="D6069" s="395" t="s">
        <v>0</v>
      </c>
      <c r="E6069" s="407">
        <f t="shared" si="188"/>
        <v>9.7100000000000009</v>
      </c>
      <c r="F6069">
        <f t="shared" si="189"/>
        <v>100748</v>
      </c>
      <c r="H6069" s="680">
        <v>9.7100000000000009</v>
      </c>
      <c r="I6069" s="680">
        <v>10.25</v>
      </c>
    </row>
    <row r="6070" spans="2:9" ht="30">
      <c r="B6070" s="396">
        <v>100749</v>
      </c>
      <c r="C6070" s="401" t="s">
        <v>8572</v>
      </c>
      <c r="D6070" s="396" t="s">
        <v>0</v>
      </c>
      <c r="E6070" s="405">
        <f t="shared" si="188"/>
        <v>20.81</v>
      </c>
      <c r="F6070">
        <f t="shared" si="189"/>
        <v>100749</v>
      </c>
      <c r="H6070" s="679">
        <v>20.81</v>
      </c>
      <c r="I6070" s="679">
        <v>22.12</v>
      </c>
    </row>
    <row r="6071" spans="2:9" ht="30">
      <c r="B6071" s="395">
        <v>100750</v>
      </c>
      <c r="C6071" s="406" t="s">
        <v>3948</v>
      </c>
      <c r="D6071" s="395" t="s">
        <v>0</v>
      </c>
      <c r="E6071" s="407">
        <f t="shared" si="188"/>
        <v>20.51</v>
      </c>
      <c r="F6071">
        <f t="shared" si="189"/>
        <v>100750</v>
      </c>
      <c r="H6071" s="680">
        <v>20.51</v>
      </c>
      <c r="I6071" s="680">
        <v>22.2</v>
      </c>
    </row>
    <row r="6072" spans="2:9" ht="30">
      <c r="B6072" s="396">
        <v>100751</v>
      </c>
      <c r="C6072" s="401" t="s">
        <v>8573</v>
      </c>
      <c r="D6072" s="396" t="s">
        <v>0</v>
      </c>
      <c r="E6072" s="405">
        <f t="shared" si="188"/>
        <v>37.229999999999997</v>
      </c>
      <c r="F6072">
        <f t="shared" si="189"/>
        <v>100751</v>
      </c>
      <c r="H6072" s="679">
        <v>37.229999999999997</v>
      </c>
      <c r="I6072" s="679">
        <v>37.549999999999997</v>
      </c>
    </row>
    <row r="6073" spans="2:9" ht="30">
      <c r="B6073" s="395">
        <v>100752</v>
      </c>
      <c r="C6073" s="406" t="s">
        <v>3949</v>
      </c>
      <c r="D6073" s="395" t="s">
        <v>0</v>
      </c>
      <c r="E6073" s="407">
        <f t="shared" si="188"/>
        <v>42.48</v>
      </c>
      <c r="F6073">
        <f t="shared" si="189"/>
        <v>100752</v>
      </c>
      <c r="H6073" s="680">
        <v>42.48</v>
      </c>
      <c r="I6073" s="680">
        <v>43.55</v>
      </c>
    </row>
    <row r="6074" spans="2:9" ht="30">
      <c r="B6074" s="396">
        <v>100753</v>
      </c>
      <c r="C6074" s="401" t="s">
        <v>8574</v>
      </c>
      <c r="D6074" s="396" t="s">
        <v>0</v>
      </c>
      <c r="E6074" s="405">
        <f t="shared" si="188"/>
        <v>18.43</v>
      </c>
      <c r="F6074">
        <f t="shared" si="189"/>
        <v>100753</v>
      </c>
      <c r="H6074" s="679">
        <v>18.43</v>
      </c>
      <c r="I6074" s="679">
        <v>19.940000000000001</v>
      </c>
    </row>
    <row r="6075" spans="2:9" ht="30">
      <c r="B6075" s="395">
        <v>100754</v>
      </c>
      <c r="C6075" s="406" t="s">
        <v>3950</v>
      </c>
      <c r="D6075" s="395" t="s">
        <v>0</v>
      </c>
      <c r="E6075" s="407">
        <f t="shared" si="188"/>
        <v>24.03</v>
      </c>
      <c r="F6075">
        <f t="shared" si="189"/>
        <v>100754</v>
      </c>
      <c r="H6075" s="680">
        <v>24.03</v>
      </c>
      <c r="I6075" s="680">
        <v>26.3</v>
      </c>
    </row>
    <row r="6076" spans="2:9" ht="30">
      <c r="B6076" s="396">
        <v>100757</v>
      </c>
      <c r="C6076" s="401" t="s">
        <v>8575</v>
      </c>
      <c r="D6076" s="396" t="s">
        <v>0</v>
      </c>
      <c r="E6076" s="405">
        <f t="shared" si="188"/>
        <v>41.93</v>
      </c>
      <c r="F6076">
        <f t="shared" si="189"/>
        <v>100757</v>
      </c>
      <c r="H6076" s="679">
        <v>41.93</v>
      </c>
      <c r="I6076" s="679">
        <v>44.55</v>
      </c>
    </row>
    <row r="6077" spans="2:9" ht="30">
      <c r="B6077" s="395">
        <v>100758</v>
      </c>
      <c r="C6077" s="406" t="s">
        <v>3951</v>
      </c>
      <c r="D6077" s="395" t="s">
        <v>0</v>
      </c>
      <c r="E6077" s="407">
        <f t="shared" si="188"/>
        <v>41.23</v>
      </c>
      <c r="F6077">
        <f t="shared" si="189"/>
        <v>100758</v>
      </c>
      <c r="H6077" s="680">
        <v>41.23</v>
      </c>
      <c r="I6077" s="680">
        <v>44.6</v>
      </c>
    </row>
    <row r="6078" spans="2:9" ht="30">
      <c r="B6078" s="396">
        <v>100759</v>
      </c>
      <c r="C6078" s="401" t="s">
        <v>8576</v>
      </c>
      <c r="D6078" s="396" t="s">
        <v>0</v>
      </c>
      <c r="E6078" s="405">
        <f t="shared" si="188"/>
        <v>41.44</v>
      </c>
      <c r="F6078">
        <f t="shared" si="189"/>
        <v>100759</v>
      </c>
      <c r="H6078" s="679">
        <v>41.44</v>
      </c>
      <c r="I6078" s="679">
        <v>44.06</v>
      </c>
    </row>
    <row r="6079" spans="2:9" ht="30">
      <c r="B6079" s="395">
        <v>100760</v>
      </c>
      <c r="C6079" s="406" t="s">
        <v>3952</v>
      </c>
      <c r="D6079" s="395" t="s">
        <v>0</v>
      </c>
      <c r="E6079" s="407">
        <f t="shared" si="188"/>
        <v>40.93</v>
      </c>
      <c r="F6079">
        <f t="shared" si="189"/>
        <v>100760</v>
      </c>
      <c r="H6079" s="680">
        <v>40.93</v>
      </c>
      <c r="I6079" s="680">
        <v>44.3</v>
      </c>
    </row>
    <row r="6080" spans="2:9" ht="30">
      <c r="B6080" s="396">
        <v>100761</v>
      </c>
      <c r="C6080" s="401" t="s">
        <v>8577</v>
      </c>
      <c r="D6080" s="396" t="s">
        <v>0</v>
      </c>
      <c r="E6080" s="405">
        <f t="shared" si="188"/>
        <v>41.65</v>
      </c>
      <c r="F6080">
        <f t="shared" si="189"/>
        <v>100761</v>
      </c>
      <c r="H6080" s="679">
        <v>41.65</v>
      </c>
      <c r="I6080" s="679">
        <v>44.27</v>
      </c>
    </row>
    <row r="6081" spans="2:9" ht="30">
      <c r="B6081" s="395">
        <v>100762</v>
      </c>
      <c r="C6081" s="406" t="s">
        <v>3953</v>
      </c>
      <c r="D6081" s="395" t="s">
        <v>0</v>
      </c>
      <c r="E6081" s="407">
        <f t="shared" si="188"/>
        <v>41.05</v>
      </c>
      <c r="F6081">
        <f t="shared" si="189"/>
        <v>100762</v>
      </c>
      <c r="H6081" s="680">
        <v>41.05</v>
      </c>
      <c r="I6081" s="680">
        <v>44.42</v>
      </c>
    </row>
    <row r="6082" spans="2:9">
      <c r="B6082" s="396">
        <v>102488</v>
      </c>
      <c r="C6082" s="401" t="s">
        <v>5634</v>
      </c>
      <c r="D6082" s="396" t="s">
        <v>0</v>
      </c>
      <c r="E6082" s="405">
        <f t="shared" si="188"/>
        <v>2.86</v>
      </c>
      <c r="F6082">
        <f t="shared" si="189"/>
        <v>102488</v>
      </c>
      <c r="H6082" s="679">
        <v>2.86</v>
      </c>
      <c r="I6082" s="679">
        <v>3.18</v>
      </c>
    </row>
    <row r="6083" spans="2:9">
      <c r="B6083" s="395">
        <v>102489</v>
      </c>
      <c r="C6083" s="406" t="s">
        <v>5635</v>
      </c>
      <c r="D6083" s="395" t="s">
        <v>0</v>
      </c>
      <c r="E6083" s="407">
        <f t="shared" ref="E6083:E6146" si="190">IF($K$2=$H$1,H6083,I6083)</f>
        <v>27.33</v>
      </c>
      <c r="F6083">
        <f t="shared" ref="F6083:F6146" si="191">IF(LEN($B6083)=7,CONCATENATE(MID($B6083,1,6),"00",RIGHT($B6083,1)),IF(LEN($B6083)=8,CONCATENATE(MID($B6083,1,6),"0",RIGHT($B6083,2)),$B6083))</f>
        <v>102489</v>
      </c>
      <c r="H6083" s="680">
        <v>27.33</v>
      </c>
      <c r="I6083" s="680">
        <v>28.51</v>
      </c>
    </row>
    <row r="6084" spans="2:9">
      <c r="B6084" s="396">
        <v>102491</v>
      </c>
      <c r="C6084" s="401" t="s">
        <v>5636</v>
      </c>
      <c r="D6084" s="396" t="s">
        <v>0</v>
      </c>
      <c r="E6084" s="405">
        <f t="shared" si="190"/>
        <v>17.100000000000001</v>
      </c>
      <c r="F6084">
        <f t="shared" si="191"/>
        <v>102491</v>
      </c>
      <c r="H6084" s="679">
        <v>17.100000000000001</v>
      </c>
      <c r="I6084" s="679">
        <v>17.989999999999998</v>
      </c>
    </row>
    <row r="6085" spans="2:9">
      <c r="B6085" s="395">
        <v>102492</v>
      </c>
      <c r="C6085" s="406" t="s">
        <v>5637</v>
      </c>
      <c r="D6085" s="395" t="s">
        <v>0</v>
      </c>
      <c r="E6085" s="407">
        <f t="shared" si="190"/>
        <v>21.75</v>
      </c>
      <c r="F6085">
        <f t="shared" si="191"/>
        <v>102492</v>
      </c>
      <c r="H6085" s="680">
        <v>21.75</v>
      </c>
      <c r="I6085" s="680">
        <v>22.94</v>
      </c>
    </row>
    <row r="6086" spans="2:9">
      <c r="B6086" s="396">
        <v>102494</v>
      </c>
      <c r="C6086" s="401" t="s">
        <v>5638</v>
      </c>
      <c r="D6086" s="396" t="s">
        <v>0</v>
      </c>
      <c r="E6086" s="405">
        <f t="shared" si="190"/>
        <v>57.66</v>
      </c>
      <c r="F6086">
        <f t="shared" si="191"/>
        <v>102494</v>
      </c>
      <c r="H6086" s="679">
        <v>57.66</v>
      </c>
      <c r="I6086" s="679">
        <v>58.55</v>
      </c>
    </row>
    <row r="6087" spans="2:9">
      <c r="B6087" s="395">
        <v>102496</v>
      </c>
      <c r="C6087" s="406" t="s">
        <v>5639</v>
      </c>
      <c r="D6087" s="395" t="s">
        <v>22</v>
      </c>
      <c r="E6087" s="407">
        <f t="shared" si="190"/>
        <v>11.77</v>
      </c>
      <c r="F6087">
        <f t="shared" si="191"/>
        <v>102496</v>
      </c>
      <c r="H6087" s="680">
        <v>11.77</v>
      </c>
      <c r="I6087" s="680">
        <v>12.2</v>
      </c>
    </row>
    <row r="6088" spans="2:9">
      <c r="B6088" s="396">
        <v>102497</v>
      </c>
      <c r="C6088" s="401" t="s">
        <v>5640</v>
      </c>
      <c r="D6088" s="396" t="s">
        <v>22</v>
      </c>
      <c r="E6088" s="405">
        <f t="shared" si="190"/>
        <v>4.0999999999999996</v>
      </c>
      <c r="F6088">
        <f t="shared" si="191"/>
        <v>102497</v>
      </c>
      <c r="H6088" s="679">
        <v>4.0999999999999996</v>
      </c>
      <c r="I6088" s="679">
        <v>4.38</v>
      </c>
    </row>
    <row r="6089" spans="2:9">
      <c r="B6089" s="395">
        <v>102498</v>
      </c>
      <c r="C6089" s="406" t="s">
        <v>5641</v>
      </c>
      <c r="D6089" s="395" t="s">
        <v>22</v>
      </c>
      <c r="E6089" s="407">
        <f t="shared" si="190"/>
        <v>1.28</v>
      </c>
      <c r="F6089">
        <f t="shared" si="191"/>
        <v>102498</v>
      </c>
      <c r="H6089" s="680">
        <v>1.28</v>
      </c>
      <c r="I6089" s="680">
        <v>1.4</v>
      </c>
    </row>
    <row r="6090" spans="2:9">
      <c r="B6090" s="396">
        <v>102499</v>
      </c>
      <c r="C6090" s="401" t="s">
        <v>5642</v>
      </c>
      <c r="D6090" s="396" t="s">
        <v>0</v>
      </c>
      <c r="E6090" s="405">
        <f t="shared" si="190"/>
        <v>2.71</v>
      </c>
      <c r="F6090">
        <f t="shared" si="191"/>
        <v>102499</v>
      </c>
      <c r="H6090" s="679">
        <v>2.71</v>
      </c>
      <c r="I6090" s="679">
        <v>2.85</v>
      </c>
    </row>
    <row r="6091" spans="2:9">
      <c r="B6091" s="395">
        <v>102500</v>
      </c>
      <c r="C6091" s="406" t="s">
        <v>5643</v>
      </c>
      <c r="D6091" s="395" t="s">
        <v>22</v>
      </c>
      <c r="E6091" s="407">
        <f t="shared" si="190"/>
        <v>3.72</v>
      </c>
      <c r="F6091">
        <f t="shared" si="191"/>
        <v>102500</v>
      </c>
      <c r="H6091" s="680">
        <v>3.72</v>
      </c>
      <c r="I6091" s="680">
        <v>4</v>
      </c>
    </row>
    <row r="6092" spans="2:9">
      <c r="B6092" s="396">
        <v>102501</v>
      </c>
      <c r="C6092" s="401" t="s">
        <v>5644</v>
      </c>
      <c r="D6092" s="396" t="s">
        <v>0</v>
      </c>
      <c r="E6092" s="405">
        <f t="shared" si="190"/>
        <v>20.91</v>
      </c>
      <c r="F6092">
        <f t="shared" si="191"/>
        <v>102501</v>
      </c>
      <c r="H6092" s="679">
        <v>20.91</v>
      </c>
      <c r="I6092" s="679">
        <v>22.33</v>
      </c>
    </row>
    <row r="6093" spans="2:9">
      <c r="B6093" s="395">
        <v>102504</v>
      </c>
      <c r="C6093" s="406" t="s">
        <v>5645</v>
      </c>
      <c r="D6093" s="395" t="s">
        <v>22</v>
      </c>
      <c r="E6093" s="407">
        <f t="shared" si="190"/>
        <v>8.06</v>
      </c>
      <c r="F6093">
        <f t="shared" si="191"/>
        <v>102504</v>
      </c>
      <c r="H6093" s="680">
        <v>8.06</v>
      </c>
      <c r="I6093" s="680">
        <v>8.83</v>
      </c>
    </row>
    <row r="6094" spans="2:9">
      <c r="B6094" s="396">
        <v>102505</v>
      </c>
      <c r="C6094" s="401" t="s">
        <v>5646</v>
      </c>
      <c r="D6094" s="396" t="s">
        <v>22</v>
      </c>
      <c r="E6094" s="405">
        <f t="shared" si="190"/>
        <v>8.2200000000000006</v>
      </c>
      <c r="F6094">
        <f t="shared" si="191"/>
        <v>102505</v>
      </c>
      <c r="H6094" s="679">
        <v>8.2200000000000006</v>
      </c>
      <c r="I6094" s="679">
        <v>8.99</v>
      </c>
    </row>
    <row r="6095" spans="2:9">
      <c r="B6095" s="395">
        <v>102506</v>
      </c>
      <c r="C6095" s="406" t="s">
        <v>5647</v>
      </c>
      <c r="D6095" s="395" t="s">
        <v>22</v>
      </c>
      <c r="E6095" s="407">
        <f t="shared" si="190"/>
        <v>9</v>
      </c>
      <c r="F6095">
        <f t="shared" si="191"/>
        <v>102506</v>
      </c>
      <c r="H6095" s="680">
        <v>9</v>
      </c>
      <c r="I6095" s="680">
        <v>9.77</v>
      </c>
    </row>
    <row r="6096" spans="2:9">
      <c r="B6096" s="396">
        <v>102507</v>
      </c>
      <c r="C6096" s="401" t="s">
        <v>5648</v>
      </c>
      <c r="D6096" s="396" t="s">
        <v>22</v>
      </c>
      <c r="E6096" s="405">
        <f t="shared" si="190"/>
        <v>5.57</v>
      </c>
      <c r="F6096">
        <f t="shared" si="191"/>
        <v>102507</v>
      </c>
      <c r="H6096" s="679">
        <v>5.57</v>
      </c>
      <c r="I6096" s="679">
        <v>5.85</v>
      </c>
    </row>
    <row r="6097" spans="2:9">
      <c r="B6097" s="395">
        <v>102508</v>
      </c>
      <c r="C6097" s="406" t="s">
        <v>5649</v>
      </c>
      <c r="D6097" s="395" t="s">
        <v>0</v>
      </c>
      <c r="E6097" s="407">
        <f t="shared" si="190"/>
        <v>39.82</v>
      </c>
      <c r="F6097">
        <f t="shared" si="191"/>
        <v>102508</v>
      </c>
      <c r="H6097" s="680">
        <v>39.82</v>
      </c>
      <c r="I6097" s="680">
        <v>41.24</v>
      </c>
    </row>
    <row r="6098" spans="2:9" ht="30">
      <c r="B6098" s="396">
        <v>102509</v>
      </c>
      <c r="C6098" s="401" t="s">
        <v>5650</v>
      </c>
      <c r="D6098" s="396" t="s">
        <v>0</v>
      </c>
      <c r="E6098" s="405">
        <f t="shared" si="190"/>
        <v>20.98</v>
      </c>
      <c r="F6098">
        <f t="shared" si="191"/>
        <v>102509</v>
      </c>
      <c r="H6098" s="679">
        <v>20.98</v>
      </c>
      <c r="I6098" s="679">
        <v>22.17</v>
      </c>
    </row>
    <row r="6099" spans="2:9" ht="30">
      <c r="B6099" s="395">
        <v>102512</v>
      </c>
      <c r="C6099" s="406" t="s">
        <v>5651</v>
      </c>
      <c r="D6099" s="395" t="s">
        <v>22</v>
      </c>
      <c r="E6099" s="407">
        <f t="shared" si="190"/>
        <v>4.3899999999999997</v>
      </c>
      <c r="F6099">
        <f t="shared" si="191"/>
        <v>102512</v>
      </c>
      <c r="H6099" s="680">
        <v>4.3899999999999997</v>
      </c>
      <c r="I6099" s="680">
        <v>4.58</v>
      </c>
    </row>
    <row r="6100" spans="2:9">
      <c r="B6100" s="396">
        <v>102513</v>
      </c>
      <c r="C6100" s="401" t="s">
        <v>5652</v>
      </c>
      <c r="D6100" s="396" t="s">
        <v>0</v>
      </c>
      <c r="E6100" s="405">
        <f t="shared" si="190"/>
        <v>39.33</v>
      </c>
      <c r="F6100">
        <f t="shared" si="191"/>
        <v>102513</v>
      </c>
      <c r="H6100" s="679">
        <v>39.33</v>
      </c>
      <c r="I6100" s="679">
        <v>42.47</v>
      </c>
    </row>
    <row r="6101" spans="2:9">
      <c r="B6101" s="395">
        <v>102520</v>
      </c>
      <c r="C6101" s="406" t="s">
        <v>5653</v>
      </c>
      <c r="D6101" s="395" t="s">
        <v>0</v>
      </c>
      <c r="E6101" s="407">
        <f t="shared" si="190"/>
        <v>66.88</v>
      </c>
      <c r="F6101">
        <f t="shared" si="191"/>
        <v>102520</v>
      </c>
      <c r="H6101" s="680">
        <v>66.88</v>
      </c>
      <c r="I6101" s="680">
        <v>72.52</v>
      </c>
    </row>
    <row r="6102" spans="2:9" ht="30">
      <c r="B6102" s="396">
        <v>101749</v>
      </c>
      <c r="C6102" s="401" t="s">
        <v>4689</v>
      </c>
      <c r="D6102" s="396" t="s">
        <v>0</v>
      </c>
      <c r="E6102" s="405">
        <f t="shared" si="190"/>
        <v>55.87</v>
      </c>
      <c r="F6102">
        <f t="shared" si="191"/>
        <v>101749</v>
      </c>
      <c r="H6102" s="679">
        <v>55.87</v>
      </c>
      <c r="I6102" s="679">
        <v>57.71</v>
      </c>
    </row>
    <row r="6103" spans="2:9" ht="30">
      <c r="B6103" s="395">
        <v>101750</v>
      </c>
      <c r="C6103" s="406" t="s">
        <v>4690</v>
      </c>
      <c r="D6103" s="395" t="s">
        <v>0</v>
      </c>
      <c r="E6103" s="407">
        <f t="shared" si="190"/>
        <v>53.7</v>
      </c>
      <c r="F6103">
        <f t="shared" si="191"/>
        <v>101750</v>
      </c>
      <c r="H6103" s="680">
        <v>53.7</v>
      </c>
      <c r="I6103" s="680">
        <v>55.35</v>
      </c>
    </row>
    <row r="6104" spans="2:9">
      <c r="B6104" s="396">
        <v>101729</v>
      </c>
      <c r="C6104" s="401" t="s">
        <v>4691</v>
      </c>
      <c r="D6104" s="396" t="s">
        <v>0</v>
      </c>
      <c r="E6104" s="405">
        <f t="shared" si="190"/>
        <v>201.08</v>
      </c>
      <c r="F6104">
        <f t="shared" si="191"/>
        <v>101729</v>
      </c>
      <c r="H6104" s="679">
        <v>201.08</v>
      </c>
      <c r="I6104" s="679">
        <v>202.37</v>
      </c>
    </row>
    <row r="6105" spans="2:9">
      <c r="B6105" s="395">
        <v>101746</v>
      </c>
      <c r="C6105" s="406" t="s">
        <v>4692</v>
      </c>
      <c r="D6105" s="395" t="s">
        <v>0</v>
      </c>
      <c r="E6105" s="407">
        <f t="shared" si="190"/>
        <v>315.10000000000002</v>
      </c>
      <c r="F6105">
        <f t="shared" si="191"/>
        <v>101746</v>
      </c>
      <c r="H6105" s="680">
        <v>315.10000000000002</v>
      </c>
      <c r="I6105" s="680">
        <v>316.60000000000002</v>
      </c>
    </row>
    <row r="6106" spans="2:9">
      <c r="B6106" s="396">
        <v>101751</v>
      </c>
      <c r="C6106" s="401" t="s">
        <v>4693</v>
      </c>
      <c r="D6106" s="396" t="s">
        <v>0</v>
      </c>
      <c r="E6106" s="405">
        <f t="shared" si="190"/>
        <v>206.23</v>
      </c>
      <c r="F6106">
        <f t="shared" si="191"/>
        <v>101751</v>
      </c>
      <c r="H6106" s="679">
        <v>206.23</v>
      </c>
      <c r="I6106" s="679">
        <v>208.1</v>
      </c>
    </row>
    <row r="6107" spans="2:9" ht="30">
      <c r="B6107" s="395">
        <v>87246</v>
      </c>
      <c r="C6107" s="406" t="s">
        <v>13833</v>
      </c>
      <c r="D6107" s="395" t="s">
        <v>0</v>
      </c>
      <c r="E6107" s="407">
        <f t="shared" si="190"/>
        <v>66.08</v>
      </c>
      <c r="F6107">
        <f t="shared" si="191"/>
        <v>87246</v>
      </c>
      <c r="H6107" s="680">
        <v>66.08</v>
      </c>
      <c r="I6107" s="680">
        <v>68.16</v>
      </c>
    </row>
    <row r="6108" spans="2:9" ht="30">
      <c r="B6108" s="396">
        <v>87247</v>
      </c>
      <c r="C6108" s="401" t="s">
        <v>13834</v>
      </c>
      <c r="D6108" s="396" t="s">
        <v>0</v>
      </c>
      <c r="E6108" s="405">
        <f t="shared" si="190"/>
        <v>59.71</v>
      </c>
      <c r="F6108">
        <f t="shared" si="191"/>
        <v>87247</v>
      </c>
      <c r="H6108" s="679">
        <v>59.71</v>
      </c>
      <c r="I6108" s="679">
        <v>61.16</v>
      </c>
    </row>
    <row r="6109" spans="2:9" ht="30">
      <c r="B6109" s="395">
        <v>87248</v>
      </c>
      <c r="C6109" s="406" t="s">
        <v>13835</v>
      </c>
      <c r="D6109" s="395" t="s">
        <v>0</v>
      </c>
      <c r="E6109" s="407">
        <f t="shared" si="190"/>
        <v>54.72</v>
      </c>
      <c r="F6109">
        <f t="shared" si="191"/>
        <v>87248</v>
      </c>
      <c r="H6109" s="680">
        <v>54.72</v>
      </c>
      <c r="I6109" s="680">
        <v>55.6</v>
      </c>
    </row>
    <row r="6110" spans="2:9" ht="30">
      <c r="B6110" s="396">
        <v>87249</v>
      </c>
      <c r="C6110" s="401" t="s">
        <v>13836</v>
      </c>
      <c r="D6110" s="396" t="s">
        <v>0</v>
      </c>
      <c r="E6110" s="405">
        <f t="shared" si="190"/>
        <v>72.63</v>
      </c>
      <c r="F6110">
        <f t="shared" si="191"/>
        <v>87249</v>
      </c>
      <c r="H6110" s="679">
        <v>72.63</v>
      </c>
      <c r="I6110" s="679">
        <v>75.239999999999995</v>
      </c>
    </row>
    <row r="6111" spans="2:9" ht="30">
      <c r="B6111" s="395">
        <v>87250</v>
      </c>
      <c r="C6111" s="406" t="s">
        <v>13837</v>
      </c>
      <c r="D6111" s="395" t="s">
        <v>0</v>
      </c>
      <c r="E6111" s="407">
        <f t="shared" si="190"/>
        <v>62.56</v>
      </c>
      <c r="F6111">
        <f t="shared" si="191"/>
        <v>87250</v>
      </c>
      <c r="H6111" s="680">
        <v>62.56</v>
      </c>
      <c r="I6111" s="680">
        <v>64.180000000000007</v>
      </c>
    </row>
    <row r="6112" spans="2:9" ht="30">
      <c r="B6112" s="396">
        <v>87251</v>
      </c>
      <c r="C6112" s="401" t="s">
        <v>13838</v>
      </c>
      <c r="D6112" s="396" t="s">
        <v>0</v>
      </c>
      <c r="E6112" s="405">
        <f t="shared" si="190"/>
        <v>56.14</v>
      </c>
      <c r="F6112">
        <f t="shared" si="191"/>
        <v>87251</v>
      </c>
      <c r="H6112" s="679">
        <v>56.14</v>
      </c>
      <c r="I6112" s="679">
        <v>57.07</v>
      </c>
    </row>
    <row r="6113" spans="2:9" ht="30">
      <c r="B6113" s="395">
        <v>87255</v>
      </c>
      <c r="C6113" s="406" t="s">
        <v>13839</v>
      </c>
      <c r="D6113" s="395" t="s">
        <v>0</v>
      </c>
      <c r="E6113" s="407">
        <f t="shared" si="190"/>
        <v>123.07</v>
      </c>
      <c r="F6113">
        <f t="shared" si="191"/>
        <v>87255</v>
      </c>
      <c r="H6113" s="680">
        <v>123.07</v>
      </c>
      <c r="I6113" s="680">
        <v>126.02</v>
      </c>
    </row>
    <row r="6114" spans="2:9" ht="30">
      <c r="B6114" s="396">
        <v>87256</v>
      </c>
      <c r="C6114" s="401" t="s">
        <v>13840</v>
      </c>
      <c r="D6114" s="396" t="s">
        <v>0</v>
      </c>
      <c r="E6114" s="405">
        <f t="shared" si="190"/>
        <v>110.4</v>
      </c>
      <c r="F6114">
        <f t="shared" si="191"/>
        <v>87256</v>
      </c>
      <c r="H6114" s="679">
        <v>110.4</v>
      </c>
      <c r="I6114" s="679">
        <v>112.25</v>
      </c>
    </row>
    <row r="6115" spans="2:9" ht="30">
      <c r="B6115" s="395">
        <v>87257</v>
      </c>
      <c r="C6115" s="406" t="s">
        <v>13841</v>
      </c>
      <c r="D6115" s="395" t="s">
        <v>0</v>
      </c>
      <c r="E6115" s="407">
        <f t="shared" si="190"/>
        <v>102.75</v>
      </c>
      <c r="F6115">
        <f t="shared" si="191"/>
        <v>87257</v>
      </c>
      <c r="H6115" s="680">
        <v>102.75</v>
      </c>
      <c r="I6115" s="680">
        <v>103.83</v>
      </c>
    </row>
    <row r="6116" spans="2:9" ht="30">
      <c r="B6116" s="396">
        <v>87258</v>
      </c>
      <c r="C6116" s="401" t="s">
        <v>13842</v>
      </c>
      <c r="D6116" s="396" t="s">
        <v>0</v>
      </c>
      <c r="E6116" s="405">
        <f t="shared" si="190"/>
        <v>168.99</v>
      </c>
      <c r="F6116">
        <f t="shared" si="191"/>
        <v>87258</v>
      </c>
      <c r="H6116" s="679">
        <v>168.99</v>
      </c>
      <c r="I6116" s="679">
        <v>171.98</v>
      </c>
    </row>
    <row r="6117" spans="2:9" ht="30">
      <c r="B6117" s="395">
        <v>87259</v>
      </c>
      <c r="C6117" s="406" t="s">
        <v>13843</v>
      </c>
      <c r="D6117" s="395" t="s">
        <v>0</v>
      </c>
      <c r="E6117" s="407">
        <f t="shared" si="190"/>
        <v>156.91</v>
      </c>
      <c r="F6117">
        <f t="shared" si="191"/>
        <v>87259</v>
      </c>
      <c r="H6117" s="680">
        <v>156.91</v>
      </c>
      <c r="I6117" s="680">
        <v>158.9</v>
      </c>
    </row>
    <row r="6118" spans="2:9" ht="30">
      <c r="B6118" s="396">
        <v>87260</v>
      </c>
      <c r="C6118" s="401" t="s">
        <v>13844</v>
      </c>
      <c r="D6118" s="396" t="s">
        <v>0</v>
      </c>
      <c r="E6118" s="405">
        <f t="shared" si="190"/>
        <v>150.05000000000001</v>
      </c>
      <c r="F6118">
        <f t="shared" si="191"/>
        <v>87260</v>
      </c>
      <c r="H6118" s="679">
        <v>150.05000000000001</v>
      </c>
      <c r="I6118" s="679">
        <v>151.38</v>
      </c>
    </row>
    <row r="6119" spans="2:9" ht="30">
      <c r="B6119" s="395">
        <v>87261</v>
      </c>
      <c r="C6119" s="406" t="s">
        <v>13845</v>
      </c>
      <c r="D6119" s="395" t="s">
        <v>0</v>
      </c>
      <c r="E6119" s="407">
        <f t="shared" si="190"/>
        <v>194.53</v>
      </c>
      <c r="F6119">
        <f t="shared" si="191"/>
        <v>87261</v>
      </c>
      <c r="H6119" s="680">
        <v>194.53</v>
      </c>
      <c r="I6119" s="680">
        <v>197.86</v>
      </c>
    </row>
    <row r="6120" spans="2:9" ht="30">
      <c r="B6120" s="396">
        <v>87262</v>
      </c>
      <c r="C6120" s="401" t="s">
        <v>13846</v>
      </c>
      <c r="D6120" s="396" t="s">
        <v>0</v>
      </c>
      <c r="E6120" s="405">
        <f t="shared" si="190"/>
        <v>180.05</v>
      </c>
      <c r="F6120">
        <f t="shared" si="191"/>
        <v>87262</v>
      </c>
      <c r="H6120" s="679">
        <v>180.05</v>
      </c>
      <c r="I6120" s="679">
        <v>182.29</v>
      </c>
    </row>
    <row r="6121" spans="2:9" ht="30">
      <c r="B6121" s="395">
        <v>87263</v>
      </c>
      <c r="C6121" s="406" t="s">
        <v>13847</v>
      </c>
      <c r="D6121" s="395" t="s">
        <v>0</v>
      </c>
      <c r="E6121" s="407">
        <f t="shared" si="190"/>
        <v>171.95</v>
      </c>
      <c r="F6121">
        <f t="shared" si="191"/>
        <v>87263</v>
      </c>
      <c r="H6121" s="680">
        <v>171.95</v>
      </c>
      <c r="I6121" s="680">
        <v>173.42</v>
      </c>
    </row>
    <row r="6122" spans="2:9" ht="30">
      <c r="B6122" s="396">
        <v>89046</v>
      </c>
      <c r="C6122" s="401" t="s">
        <v>5197</v>
      </c>
      <c r="D6122" s="396" t="s">
        <v>0</v>
      </c>
      <c r="E6122" s="405">
        <f t="shared" si="190"/>
        <v>59.48</v>
      </c>
      <c r="F6122">
        <f t="shared" si="191"/>
        <v>89046</v>
      </c>
      <c r="H6122" s="679">
        <v>59.48</v>
      </c>
      <c r="I6122" s="679">
        <v>60.9</v>
      </c>
    </row>
    <row r="6123" spans="2:9" ht="30">
      <c r="B6123" s="395">
        <v>89171</v>
      </c>
      <c r="C6123" s="406" t="s">
        <v>5198</v>
      </c>
      <c r="D6123" s="395" t="s">
        <v>0</v>
      </c>
      <c r="E6123" s="407">
        <f t="shared" si="190"/>
        <v>57.01</v>
      </c>
      <c r="F6123">
        <f t="shared" si="191"/>
        <v>89171</v>
      </c>
      <c r="H6123" s="680">
        <v>57.01</v>
      </c>
      <c r="I6123" s="680">
        <v>58.15</v>
      </c>
    </row>
    <row r="6124" spans="2:9" ht="30">
      <c r="B6124" s="396">
        <v>93389</v>
      </c>
      <c r="C6124" s="401" t="s">
        <v>13848</v>
      </c>
      <c r="D6124" s="396" t="s">
        <v>0</v>
      </c>
      <c r="E6124" s="405">
        <f t="shared" si="190"/>
        <v>59.02</v>
      </c>
      <c r="F6124">
        <f t="shared" si="191"/>
        <v>93389</v>
      </c>
      <c r="H6124" s="679">
        <v>59.02</v>
      </c>
      <c r="I6124" s="679">
        <v>61.1</v>
      </c>
    </row>
    <row r="6125" spans="2:9" ht="30">
      <c r="B6125" s="395">
        <v>93390</v>
      </c>
      <c r="C6125" s="406" t="s">
        <v>13849</v>
      </c>
      <c r="D6125" s="395" t="s">
        <v>0</v>
      </c>
      <c r="E6125" s="407">
        <f t="shared" si="190"/>
        <v>52.77</v>
      </c>
      <c r="F6125">
        <f t="shared" si="191"/>
        <v>93390</v>
      </c>
      <c r="H6125" s="680">
        <v>52.77</v>
      </c>
      <c r="I6125" s="680">
        <v>54.22</v>
      </c>
    </row>
    <row r="6126" spans="2:9" ht="30">
      <c r="B6126" s="396">
        <v>93391</v>
      </c>
      <c r="C6126" s="401" t="s">
        <v>13850</v>
      </c>
      <c r="D6126" s="396" t="s">
        <v>0</v>
      </c>
      <c r="E6126" s="405">
        <f t="shared" si="190"/>
        <v>47.78</v>
      </c>
      <c r="F6126">
        <f t="shared" si="191"/>
        <v>93391</v>
      </c>
      <c r="H6126" s="679">
        <v>47.78</v>
      </c>
      <c r="I6126" s="679">
        <v>48.66</v>
      </c>
    </row>
    <row r="6127" spans="2:9">
      <c r="B6127" s="395">
        <v>98671</v>
      </c>
      <c r="C6127" s="406" t="s">
        <v>4694</v>
      </c>
      <c r="D6127" s="395" t="s">
        <v>0</v>
      </c>
      <c r="E6127" s="407">
        <f t="shared" si="190"/>
        <v>544.91999999999996</v>
      </c>
      <c r="F6127">
        <f t="shared" si="191"/>
        <v>98671</v>
      </c>
      <c r="H6127" s="680">
        <v>544.91999999999996</v>
      </c>
      <c r="I6127" s="680">
        <v>548.99</v>
      </c>
    </row>
    <row r="6128" spans="2:9">
      <c r="B6128" s="396">
        <v>98672</v>
      </c>
      <c r="C6128" s="401" t="s">
        <v>4695</v>
      </c>
      <c r="D6128" s="396" t="s">
        <v>0</v>
      </c>
      <c r="E6128" s="405">
        <f t="shared" si="190"/>
        <v>527.41999999999996</v>
      </c>
      <c r="F6128">
        <f t="shared" si="191"/>
        <v>98672</v>
      </c>
      <c r="H6128" s="679">
        <v>527.41999999999996</v>
      </c>
      <c r="I6128" s="679">
        <v>531.49</v>
      </c>
    </row>
    <row r="6129" spans="2:9">
      <c r="B6129" s="395">
        <v>98678</v>
      </c>
      <c r="C6129" s="406" t="s">
        <v>4696</v>
      </c>
      <c r="D6129" s="395" t="s">
        <v>0</v>
      </c>
      <c r="E6129" s="407">
        <f t="shared" si="190"/>
        <v>472.67</v>
      </c>
      <c r="F6129">
        <f t="shared" si="191"/>
        <v>98678</v>
      </c>
      <c r="H6129" s="680">
        <v>472.67</v>
      </c>
      <c r="I6129" s="680">
        <v>474.08</v>
      </c>
    </row>
    <row r="6130" spans="2:9" ht="30">
      <c r="B6130" s="396">
        <v>98679</v>
      </c>
      <c r="C6130" s="401" t="s">
        <v>4697</v>
      </c>
      <c r="D6130" s="396" t="s">
        <v>0</v>
      </c>
      <c r="E6130" s="405">
        <f t="shared" si="190"/>
        <v>37.119999999999997</v>
      </c>
      <c r="F6130">
        <f t="shared" si="191"/>
        <v>98679</v>
      </c>
      <c r="H6130" s="679">
        <v>37.119999999999997</v>
      </c>
      <c r="I6130" s="679">
        <v>38.58</v>
      </c>
    </row>
    <row r="6131" spans="2:9" ht="30">
      <c r="B6131" s="395">
        <v>98680</v>
      </c>
      <c r="C6131" s="406" t="s">
        <v>4698</v>
      </c>
      <c r="D6131" s="395" t="s">
        <v>0</v>
      </c>
      <c r="E6131" s="407">
        <f t="shared" si="190"/>
        <v>47.43</v>
      </c>
      <c r="F6131">
        <f t="shared" si="191"/>
        <v>98680</v>
      </c>
      <c r="H6131" s="680">
        <v>47.43</v>
      </c>
      <c r="I6131" s="680">
        <v>49.11</v>
      </c>
    </row>
    <row r="6132" spans="2:9" ht="30">
      <c r="B6132" s="396">
        <v>98681</v>
      </c>
      <c r="C6132" s="401" t="s">
        <v>4699</v>
      </c>
      <c r="D6132" s="396" t="s">
        <v>0</v>
      </c>
      <c r="E6132" s="405">
        <f t="shared" si="190"/>
        <v>34.950000000000003</v>
      </c>
      <c r="F6132">
        <f t="shared" si="191"/>
        <v>98681</v>
      </c>
      <c r="H6132" s="679">
        <v>34.950000000000003</v>
      </c>
      <c r="I6132" s="679">
        <v>36.22</v>
      </c>
    </row>
    <row r="6133" spans="2:9" ht="30">
      <c r="B6133" s="395">
        <v>98682</v>
      </c>
      <c r="C6133" s="406" t="s">
        <v>4700</v>
      </c>
      <c r="D6133" s="395" t="s">
        <v>0</v>
      </c>
      <c r="E6133" s="407">
        <f t="shared" si="190"/>
        <v>45.25</v>
      </c>
      <c r="F6133">
        <f t="shared" si="191"/>
        <v>98682</v>
      </c>
      <c r="H6133" s="680">
        <v>45.25</v>
      </c>
      <c r="I6133" s="680">
        <v>46.75</v>
      </c>
    </row>
    <row r="6134" spans="2:9">
      <c r="B6134" s="396">
        <v>98685</v>
      </c>
      <c r="C6134" s="401" t="s">
        <v>4701</v>
      </c>
      <c r="D6134" s="396" t="s">
        <v>22</v>
      </c>
      <c r="E6134" s="405">
        <f t="shared" si="190"/>
        <v>97.57</v>
      </c>
      <c r="F6134">
        <f t="shared" si="191"/>
        <v>98685</v>
      </c>
      <c r="H6134" s="679">
        <v>97.57</v>
      </c>
      <c r="I6134" s="679">
        <v>98.59</v>
      </c>
    </row>
    <row r="6135" spans="2:9">
      <c r="B6135" s="395">
        <v>98686</v>
      </c>
      <c r="C6135" s="406" t="s">
        <v>4702</v>
      </c>
      <c r="D6135" s="395" t="s">
        <v>22</v>
      </c>
      <c r="E6135" s="407">
        <f t="shared" si="190"/>
        <v>36.1</v>
      </c>
      <c r="F6135">
        <f t="shared" si="191"/>
        <v>98686</v>
      </c>
      <c r="H6135" s="680">
        <v>36.1</v>
      </c>
      <c r="I6135" s="680">
        <v>38.9</v>
      </c>
    </row>
    <row r="6136" spans="2:9">
      <c r="B6136" s="396">
        <v>98688</v>
      </c>
      <c r="C6136" s="401" t="s">
        <v>4703</v>
      </c>
      <c r="D6136" s="396" t="s">
        <v>22</v>
      </c>
      <c r="E6136" s="405">
        <f t="shared" si="190"/>
        <v>77.87</v>
      </c>
      <c r="F6136">
        <f t="shared" si="191"/>
        <v>98688</v>
      </c>
      <c r="H6136" s="679">
        <v>77.87</v>
      </c>
      <c r="I6136" s="679">
        <v>78.23</v>
      </c>
    </row>
    <row r="6137" spans="2:9">
      <c r="B6137" s="395">
        <v>98689</v>
      </c>
      <c r="C6137" s="406" t="s">
        <v>4704</v>
      </c>
      <c r="D6137" s="395" t="s">
        <v>22</v>
      </c>
      <c r="E6137" s="407">
        <f t="shared" si="190"/>
        <v>136.47</v>
      </c>
      <c r="F6137">
        <f t="shared" si="191"/>
        <v>98689</v>
      </c>
      <c r="H6137" s="680">
        <v>136.47</v>
      </c>
      <c r="I6137" s="680">
        <v>138.34</v>
      </c>
    </row>
    <row r="6138" spans="2:9" ht="30">
      <c r="B6138" s="396">
        <v>101090</v>
      </c>
      <c r="C6138" s="401" t="s">
        <v>4128</v>
      </c>
      <c r="D6138" s="396" t="s">
        <v>0</v>
      </c>
      <c r="E6138" s="405">
        <f t="shared" si="190"/>
        <v>215.03</v>
      </c>
      <c r="F6138">
        <f t="shared" si="191"/>
        <v>101090</v>
      </c>
      <c r="H6138" s="679">
        <v>215.03</v>
      </c>
      <c r="I6138" s="679">
        <v>217.71</v>
      </c>
    </row>
    <row r="6139" spans="2:9">
      <c r="B6139" s="395">
        <v>101091</v>
      </c>
      <c r="C6139" s="406" t="s">
        <v>4129</v>
      </c>
      <c r="D6139" s="395" t="s">
        <v>0</v>
      </c>
      <c r="E6139" s="407">
        <f t="shared" si="190"/>
        <v>135.87</v>
      </c>
      <c r="F6139">
        <f t="shared" si="191"/>
        <v>101091</v>
      </c>
      <c r="H6139" s="680">
        <v>135.87</v>
      </c>
      <c r="I6139" s="680">
        <v>140.11000000000001</v>
      </c>
    </row>
    <row r="6140" spans="2:9" ht="30">
      <c r="B6140" s="396">
        <v>101725</v>
      </c>
      <c r="C6140" s="401" t="s">
        <v>4705</v>
      </c>
      <c r="D6140" s="396" t="s">
        <v>0</v>
      </c>
      <c r="E6140" s="405">
        <f t="shared" si="190"/>
        <v>242.81</v>
      </c>
      <c r="F6140">
        <f t="shared" si="191"/>
        <v>101725</v>
      </c>
      <c r="H6140" s="679">
        <v>242.81</v>
      </c>
      <c r="I6140" s="679">
        <v>258.54000000000002</v>
      </c>
    </row>
    <row r="6141" spans="2:9" ht="30">
      <c r="B6141" s="395">
        <v>101726</v>
      </c>
      <c r="C6141" s="406" t="s">
        <v>4706</v>
      </c>
      <c r="D6141" s="395" t="s">
        <v>0</v>
      </c>
      <c r="E6141" s="407">
        <f t="shared" si="190"/>
        <v>169.94</v>
      </c>
      <c r="F6141">
        <f t="shared" si="191"/>
        <v>101726</v>
      </c>
      <c r="H6141" s="680">
        <v>169.94</v>
      </c>
      <c r="I6141" s="680">
        <v>177.46</v>
      </c>
    </row>
    <row r="6142" spans="2:9">
      <c r="B6142" s="396">
        <v>101731</v>
      </c>
      <c r="C6142" s="401" t="s">
        <v>4707</v>
      </c>
      <c r="D6142" s="396" t="s">
        <v>0</v>
      </c>
      <c r="E6142" s="405">
        <f t="shared" si="190"/>
        <v>307.12</v>
      </c>
      <c r="F6142">
        <f t="shared" si="191"/>
        <v>101731</v>
      </c>
      <c r="H6142" s="679">
        <v>307.12</v>
      </c>
      <c r="I6142" s="679">
        <v>311.73</v>
      </c>
    </row>
    <row r="6143" spans="2:9">
      <c r="B6143" s="395">
        <v>101732</v>
      </c>
      <c r="C6143" s="406" t="s">
        <v>4708</v>
      </c>
      <c r="D6143" s="395" t="s">
        <v>0</v>
      </c>
      <c r="E6143" s="407">
        <f t="shared" si="190"/>
        <v>92.92</v>
      </c>
      <c r="F6143">
        <f t="shared" si="191"/>
        <v>101732</v>
      </c>
      <c r="H6143" s="680">
        <v>92.92</v>
      </c>
      <c r="I6143" s="680">
        <v>96.05</v>
      </c>
    </row>
    <row r="6144" spans="2:9">
      <c r="B6144" s="396">
        <v>101094</v>
      </c>
      <c r="C6144" s="401" t="s">
        <v>8578</v>
      </c>
      <c r="D6144" s="396" t="s">
        <v>22</v>
      </c>
      <c r="E6144" s="405">
        <f t="shared" si="190"/>
        <v>219.31</v>
      </c>
      <c r="F6144">
        <f t="shared" si="191"/>
        <v>101094</v>
      </c>
      <c r="H6144" s="679">
        <v>219.31</v>
      </c>
      <c r="I6144" s="679">
        <v>220.82</v>
      </c>
    </row>
    <row r="6145" spans="2:9">
      <c r="B6145" s="395">
        <v>101727</v>
      </c>
      <c r="C6145" s="406" t="s">
        <v>4709</v>
      </c>
      <c r="D6145" s="395" t="s">
        <v>0</v>
      </c>
      <c r="E6145" s="407">
        <f t="shared" si="190"/>
        <v>262.45</v>
      </c>
      <c r="F6145">
        <f t="shared" si="191"/>
        <v>101727</v>
      </c>
      <c r="H6145" s="680">
        <v>262.45</v>
      </c>
      <c r="I6145" s="680">
        <v>263.02999999999997</v>
      </c>
    </row>
    <row r="6146" spans="2:9">
      <c r="B6146" s="396">
        <v>101733</v>
      </c>
      <c r="C6146" s="401" t="s">
        <v>4710</v>
      </c>
      <c r="D6146" s="396" t="s">
        <v>0</v>
      </c>
      <c r="E6146" s="405">
        <f t="shared" si="190"/>
        <v>346.47</v>
      </c>
      <c r="F6146">
        <f t="shared" si="191"/>
        <v>101733</v>
      </c>
      <c r="H6146" s="679">
        <v>346.47</v>
      </c>
      <c r="I6146" s="679">
        <v>348.95</v>
      </c>
    </row>
    <row r="6147" spans="2:9">
      <c r="B6147" s="395">
        <v>101734</v>
      </c>
      <c r="C6147" s="406" t="s">
        <v>4711</v>
      </c>
      <c r="D6147" s="395" t="s">
        <v>0</v>
      </c>
      <c r="E6147" s="407">
        <f t="shared" ref="E6147:E6210" si="192">IF($K$2=$H$1,H6147,I6147)</f>
        <v>536.17999999999995</v>
      </c>
      <c r="F6147">
        <f t="shared" ref="F6147:F6210" si="193">IF(LEN($B6147)=7,CONCATENATE(MID($B6147,1,6),"00",RIGHT($B6147,1)),IF(LEN($B6147)=8,CONCATENATE(MID($B6147,1,6),"0",RIGHT($B6147,2)),$B6147))</f>
        <v>101734</v>
      </c>
      <c r="H6147" s="680">
        <v>536.17999999999995</v>
      </c>
      <c r="I6147" s="680">
        <v>538.66</v>
      </c>
    </row>
    <row r="6148" spans="2:9">
      <c r="B6148" s="396">
        <v>101735</v>
      </c>
      <c r="C6148" s="401" t="s">
        <v>4712</v>
      </c>
      <c r="D6148" s="396" t="s">
        <v>0</v>
      </c>
      <c r="E6148" s="405">
        <f t="shared" si="192"/>
        <v>549.95000000000005</v>
      </c>
      <c r="F6148">
        <f t="shared" si="193"/>
        <v>101735</v>
      </c>
      <c r="H6148" s="679">
        <v>549.95000000000005</v>
      </c>
      <c r="I6148" s="679">
        <v>552.42999999999995</v>
      </c>
    </row>
    <row r="6149" spans="2:9">
      <c r="B6149" s="395">
        <v>101736</v>
      </c>
      <c r="C6149" s="406" t="s">
        <v>4713</v>
      </c>
      <c r="D6149" s="395" t="s">
        <v>0</v>
      </c>
      <c r="E6149" s="407">
        <f t="shared" si="192"/>
        <v>115.34</v>
      </c>
      <c r="F6149">
        <f t="shared" si="193"/>
        <v>101736</v>
      </c>
      <c r="H6149" s="680">
        <v>115.34</v>
      </c>
      <c r="I6149" s="680">
        <v>116.92</v>
      </c>
    </row>
    <row r="6150" spans="2:9">
      <c r="B6150" s="396">
        <v>101737</v>
      </c>
      <c r="C6150" s="401" t="s">
        <v>4714</v>
      </c>
      <c r="D6150" s="396" t="s">
        <v>0</v>
      </c>
      <c r="E6150" s="405">
        <f t="shared" si="192"/>
        <v>142.56</v>
      </c>
      <c r="F6150">
        <f t="shared" si="193"/>
        <v>101737</v>
      </c>
      <c r="H6150" s="679">
        <v>142.56</v>
      </c>
      <c r="I6150" s="679">
        <v>144.13999999999999</v>
      </c>
    </row>
    <row r="6151" spans="2:9">
      <c r="B6151" s="395">
        <v>101748</v>
      </c>
      <c r="C6151" s="406" t="s">
        <v>4715</v>
      </c>
      <c r="D6151" s="395" t="s">
        <v>0</v>
      </c>
      <c r="E6151" s="407">
        <f t="shared" si="192"/>
        <v>2.9</v>
      </c>
      <c r="F6151">
        <f t="shared" si="193"/>
        <v>101748</v>
      </c>
      <c r="H6151" s="680">
        <v>2.9</v>
      </c>
      <c r="I6151" s="680">
        <v>3.2</v>
      </c>
    </row>
    <row r="6152" spans="2:9" ht="45">
      <c r="B6152" s="396">
        <v>104162</v>
      </c>
      <c r="C6152" s="401" t="s">
        <v>8579</v>
      </c>
      <c r="D6152" s="396" t="s">
        <v>0</v>
      </c>
      <c r="E6152" s="405">
        <f t="shared" si="192"/>
        <v>99.21</v>
      </c>
      <c r="F6152">
        <f t="shared" si="193"/>
        <v>104162</v>
      </c>
      <c r="H6152" s="679">
        <v>99.21</v>
      </c>
      <c r="I6152" s="679">
        <v>102.87</v>
      </c>
    </row>
    <row r="6153" spans="2:9">
      <c r="B6153" s="395">
        <v>101092</v>
      </c>
      <c r="C6153" s="406" t="s">
        <v>4130</v>
      </c>
      <c r="D6153" s="395" t="s">
        <v>0</v>
      </c>
      <c r="E6153" s="407">
        <f t="shared" si="192"/>
        <v>553.66</v>
      </c>
      <c r="F6153">
        <f t="shared" si="193"/>
        <v>101092</v>
      </c>
      <c r="H6153" s="680">
        <v>553.66</v>
      </c>
      <c r="I6153" s="680">
        <v>558.71</v>
      </c>
    </row>
    <row r="6154" spans="2:9">
      <c r="B6154" s="396">
        <v>101093</v>
      </c>
      <c r="C6154" s="401" t="s">
        <v>4131</v>
      </c>
      <c r="D6154" s="396" t="s">
        <v>0</v>
      </c>
      <c r="E6154" s="405">
        <f t="shared" si="192"/>
        <v>536.16</v>
      </c>
      <c r="F6154">
        <f t="shared" si="193"/>
        <v>101093</v>
      </c>
      <c r="H6154" s="679">
        <v>536.16</v>
      </c>
      <c r="I6154" s="679">
        <v>541.21</v>
      </c>
    </row>
    <row r="6155" spans="2:9">
      <c r="B6155" s="395">
        <v>98695</v>
      </c>
      <c r="C6155" s="406" t="s">
        <v>4716</v>
      </c>
      <c r="D6155" s="395" t="s">
        <v>22</v>
      </c>
      <c r="E6155" s="407">
        <f t="shared" si="192"/>
        <v>91.66</v>
      </c>
      <c r="F6155">
        <f t="shared" si="193"/>
        <v>98695</v>
      </c>
      <c r="H6155" s="680">
        <v>91.66</v>
      </c>
      <c r="I6155" s="680">
        <v>93.53</v>
      </c>
    </row>
    <row r="6156" spans="2:9">
      <c r="B6156" s="396">
        <v>98697</v>
      </c>
      <c r="C6156" s="401" t="s">
        <v>4717</v>
      </c>
      <c r="D6156" s="396" t="s">
        <v>22</v>
      </c>
      <c r="E6156" s="405">
        <f t="shared" si="192"/>
        <v>60.96</v>
      </c>
      <c r="F6156">
        <f t="shared" si="193"/>
        <v>98697</v>
      </c>
      <c r="H6156" s="679">
        <v>60.96</v>
      </c>
      <c r="I6156" s="679">
        <v>61.98</v>
      </c>
    </row>
    <row r="6157" spans="2:9">
      <c r="B6157" s="395">
        <v>101738</v>
      </c>
      <c r="C6157" s="406" t="s">
        <v>4718</v>
      </c>
      <c r="D6157" s="395" t="s">
        <v>22</v>
      </c>
      <c r="E6157" s="407">
        <f t="shared" si="192"/>
        <v>27.99</v>
      </c>
      <c r="F6157">
        <f t="shared" si="193"/>
        <v>101738</v>
      </c>
      <c r="H6157" s="680">
        <v>27.99</v>
      </c>
      <c r="I6157" s="680">
        <v>29.18</v>
      </c>
    </row>
    <row r="6158" spans="2:9">
      <c r="B6158" s="396">
        <v>101739</v>
      </c>
      <c r="C6158" s="401" t="s">
        <v>4719</v>
      </c>
      <c r="D6158" s="396" t="s">
        <v>22</v>
      </c>
      <c r="E6158" s="405">
        <f t="shared" si="192"/>
        <v>30.49</v>
      </c>
      <c r="F6158">
        <f t="shared" si="193"/>
        <v>101739</v>
      </c>
      <c r="H6158" s="679">
        <v>30.49</v>
      </c>
      <c r="I6158" s="679">
        <v>31.87</v>
      </c>
    </row>
    <row r="6159" spans="2:9">
      <c r="B6159" s="395">
        <v>88648</v>
      </c>
      <c r="C6159" s="406" t="s">
        <v>13851</v>
      </c>
      <c r="D6159" s="395" t="s">
        <v>22</v>
      </c>
      <c r="E6159" s="407">
        <f t="shared" si="192"/>
        <v>7.86</v>
      </c>
      <c r="F6159">
        <f t="shared" si="193"/>
        <v>88648</v>
      </c>
      <c r="H6159" s="680">
        <v>7.86</v>
      </c>
      <c r="I6159" s="680">
        <v>8.08</v>
      </c>
    </row>
    <row r="6160" spans="2:9">
      <c r="B6160" s="396">
        <v>88649</v>
      </c>
      <c r="C6160" s="401" t="s">
        <v>13852</v>
      </c>
      <c r="D6160" s="396" t="s">
        <v>22</v>
      </c>
      <c r="E6160" s="405">
        <f t="shared" si="192"/>
        <v>8.98</v>
      </c>
      <c r="F6160">
        <f t="shared" si="193"/>
        <v>88649</v>
      </c>
      <c r="H6160" s="679">
        <v>8.98</v>
      </c>
      <c r="I6160" s="679">
        <v>9.2200000000000006</v>
      </c>
    </row>
    <row r="6161" spans="2:9">
      <c r="B6161" s="395">
        <v>88650</v>
      </c>
      <c r="C6161" s="406" t="s">
        <v>13853</v>
      </c>
      <c r="D6161" s="395" t="s">
        <v>22</v>
      </c>
      <c r="E6161" s="407">
        <f t="shared" si="192"/>
        <v>18.16</v>
      </c>
      <c r="F6161">
        <f t="shared" si="193"/>
        <v>88650</v>
      </c>
      <c r="H6161" s="680">
        <v>18.16</v>
      </c>
      <c r="I6161" s="680">
        <v>18.420000000000002</v>
      </c>
    </row>
    <row r="6162" spans="2:9" ht="30">
      <c r="B6162" s="396">
        <v>96467</v>
      </c>
      <c r="C6162" s="401" t="s">
        <v>13854</v>
      </c>
      <c r="D6162" s="396" t="s">
        <v>22</v>
      </c>
      <c r="E6162" s="405">
        <f t="shared" si="192"/>
        <v>7.06</v>
      </c>
      <c r="F6162">
        <f t="shared" si="193"/>
        <v>96467</v>
      </c>
      <c r="H6162" s="679">
        <v>7.06</v>
      </c>
      <c r="I6162" s="679">
        <v>7.28</v>
      </c>
    </row>
    <row r="6163" spans="2:9">
      <c r="B6163" s="395">
        <v>101740</v>
      </c>
      <c r="C6163" s="406" t="s">
        <v>4720</v>
      </c>
      <c r="D6163" s="395" t="s">
        <v>22</v>
      </c>
      <c r="E6163" s="407">
        <f t="shared" si="192"/>
        <v>42.86</v>
      </c>
      <c r="F6163">
        <f t="shared" si="193"/>
        <v>101740</v>
      </c>
      <c r="H6163" s="680">
        <v>42.86</v>
      </c>
      <c r="I6163" s="680">
        <v>45.65</v>
      </c>
    </row>
    <row r="6164" spans="2:9">
      <c r="B6164" s="396">
        <v>101741</v>
      </c>
      <c r="C6164" s="401" t="s">
        <v>4721</v>
      </c>
      <c r="D6164" s="396" t="s">
        <v>22</v>
      </c>
      <c r="E6164" s="405">
        <f t="shared" si="192"/>
        <v>19.55</v>
      </c>
      <c r="F6164">
        <f t="shared" si="193"/>
        <v>101741</v>
      </c>
      <c r="H6164" s="679">
        <v>19.55</v>
      </c>
      <c r="I6164" s="679">
        <v>21.48</v>
      </c>
    </row>
    <row r="6165" spans="2:9" ht="30">
      <c r="B6165" s="395">
        <v>94990</v>
      </c>
      <c r="C6165" s="406" t="s">
        <v>8580</v>
      </c>
      <c r="D6165" s="395" t="s">
        <v>20</v>
      </c>
      <c r="E6165" s="407">
        <f t="shared" si="192"/>
        <v>811.73</v>
      </c>
      <c r="F6165">
        <f t="shared" si="193"/>
        <v>94990</v>
      </c>
      <c r="H6165" s="680">
        <v>811.73</v>
      </c>
      <c r="I6165" s="680">
        <v>834.28</v>
      </c>
    </row>
    <row r="6166" spans="2:9" ht="30">
      <c r="B6166" s="396">
        <v>94991</v>
      </c>
      <c r="C6166" s="401" t="s">
        <v>8581</v>
      </c>
      <c r="D6166" s="396" t="s">
        <v>20</v>
      </c>
      <c r="E6166" s="405">
        <f t="shared" si="192"/>
        <v>957.51</v>
      </c>
      <c r="F6166">
        <f t="shared" si="193"/>
        <v>94991</v>
      </c>
      <c r="H6166" s="679">
        <v>957.51</v>
      </c>
      <c r="I6166" s="679">
        <v>965.27</v>
      </c>
    </row>
    <row r="6167" spans="2:9" ht="30">
      <c r="B6167" s="395">
        <v>94992</v>
      </c>
      <c r="C6167" s="406" t="s">
        <v>8582</v>
      </c>
      <c r="D6167" s="395" t="s">
        <v>0</v>
      </c>
      <c r="E6167" s="407">
        <f t="shared" si="192"/>
        <v>97.24</v>
      </c>
      <c r="F6167">
        <f t="shared" si="193"/>
        <v>94992</v>
      </c>
      <c r="H6167" s="680">
        <v>97.24</v>
      </c>
      <c r="I6167" s="680">
        <v>98.87</v>
      </c>
    </row>
    <row r="6168" spans="2:9" ht="30">
      <c r="B6168" s="396">
        <v>94993</v>
      </c>
      <c r="C6168" s="401" t="s">
        <v>8583</v>
      </c>
      <c r="D6168" s="396" t="s">
        <v>0</v>
      </c>
      <c r="E6168" s="405">
        <f t="shared" si="192"/>
        <v>105.98</v>
      </c>
      <c r="F6168">
        <f t="shared" si="193"/>
        <v>94993</v>
      </c>
      <c r="H6168" s="679">
        <v>105.98</v>
      </c>
      <c r="I6168" s="679">
        <v>106.72</v>
      </c>
    </row>
    <row r="6169" spans="2:9" ht="30">
      <c r="B6169" s="395">
        <v>94994</v>
      </c>
      <c r="C6169" s="406" t="s">
        <v>8584</v>
      </c>
      <c r="D6169" s="395" t="s">
        <v>0</v>
      </c>
      <c r="E6169" s="407">
        <f t="shared" si="192"/>
        <v>113.64</v>
      </c>
      <c r="F6169">
        <f t="shared" si="193"/>
        <v>94994</v>
      </c>
      <c r="H6169" s="680">
        <v>113.64</v>
      </c>
      <c r="I6169" s="680">
        <v>115.77</v>
      </c>
    </row>
    <row r="6170" spans="2:9" ht="30">
      <c r="B6170" s="396">
        <v>94995</v>
      </c>
      <c r="C6170" s="401" t="s">
        <v>8585</v>
      </c>
      <c r="D6170" s="396" t="s">
        <v>0</v>
      </c>
      <c r="E6170" s="405">
        <f t="shared" si="192"/>
        <v>125.3</v>
      </c>
      <c r="F6170">
        <f t="shared" si="193"/>
        <v>94995</v>
      </c>
      <c r="H6170" s="679">
        <v>125.3</v>
      </c>
      <c r="I6170" s="679">
        <v>126.24</v>
      </c>
    </row>
    <row r="6171" spans="2:9">
      <c r="B6171" s="395">
        <v>101747</v>
      </c>
      <c r="C6171" s="406" t="s">
        <v>4722</v>
      </c>
      <c r="D6171" s="395" t="s">
        <v>0</v>
      </c>
      <c r="E6171" s="407">
        <f t="shared" si="192"/>
        <v>100.66</v>
      </c>
      <c r="F6171">
        <f t="shared" si="193"/>
        <v>101747</v>
      </c>
      <c r="H6171" s="680">
        <v>100.66</v>
      </c>
      <c r="I6171" s="680">
        <v>101.02</v>
      </c>
    </row>
    <row r="6172" spans="2:9" ht="30">
      <c r="B6172" s="396">
        <v>87620</v>
      </c>
      <c r="C6172" s="401" t="s">
        <v>5815</v>
      </c>
      <c r="D6172" s="396" t="s">
        <v>0</v>
      </c>
      <c r="E6172" s="405">
        <f t="shared" si="192"/>
        <v>35.28</v>
      </c>
      <c r="F6172">
        <f t="shared" si="193"/>
        <v>87620</v>
      </c>
      <c r="H6172" s="679">
        <v>35.28</v>
      </c>
      <c r="I6172" s="679">
        <v>36.28</v>
      </c>
    </row>
    <row r="6173" spans="2:9" ht="30">
      <c r="B6173" s="395">
        <v>87622</v>
      </c>
      <c r="C6173" s="406" t="s">
        <v>5816</v>
      </c>
      <c r="D6173" s="395" t="s">
        <v>0</v>
      </c>
      <c r="E6173" s="407">
        <f t="shared" si="192"/>
        <v>38.549999999999997</v>
      </c>
      <c r="F6173">
        <f t="shared" si="193"/>
        <v>87622</v>
      </c>
      <c r="H6173" s="680">
        <v>38.549999999999997</v>
      </c>
      <c r="I6173" s="680">
        <v>39.92</v>
      </c>
    </row>
    <row r="6174" spans="2:9" ht="30">
      <c r="B6174" s="396">
        <v>87623</v>
      </c>
      <c r="C6174" s="401" t="s">
        <v>5817</v>
      </c>
      <c r="D6174" s="396" t="s">
        <v>0</v>
      </c>
      <c r="E6174" s="405">
        <f t="shared" si="192"/>
        <v>89.18</v>
      </c>
      <c r="F6174">
        <f t="shared" si="193"/>
        <v>87623</v>
      </c>
      <c r="H6174" s="679">
        <v>89.18</v>
      </c>
      <c r="I6174" s="679">
        <v>90.13</v>
      </c>
    </row>
    <row r="6175" spans="2:9" ht="30">
      <c r="B6175" s="395">
        <v>87624</v>
      </c>
      <c r="C6175" s="406" t="s">
        <v>5817</v>
      </c>
      <c r="D6175" s="395" t="s">
        <v>0</v>
      </c>
      <c r="E6175" s="407">
        <f t="shared" si="192"/>
        <v>95.35</v>
      </c>
      <c r="F6175">
        <f t="shared" si="193"/>
        <v>87624</v>
      </c>
      <c r="H6175" s="680">
        <v>95.35</v>
      </c>
      <c r="I6175" s="680">
        <v>96.86</v>
      </c>
    </row>
    <row r="6176" spans="2:9" ht="30">
      <c r="B6176" s="396">
        <v>87630</v>
      </c>
      <c r="C6176" s="401" t="s">
        <v>5818</v>
      </c>
      <c r="D6176" s="396" t="s">
        <v>0</v>
      </c>
      <c r="E6176" s="405">
        <f t="shared" si="192"/>
        <v>44.43</v>
      </c>
      <c r="F6176">
        <f t="shared" si="193"/>
        <v>87630</v>
      </c>
      <c r="H6176" s="679">
        <v>44.43</v>
      </c>
      <c r="I6176" s="679">
        <v>45.64</v>
      </c>
    </row>
    <row r="6177" spans="2:9" ht="30">
      <c r="B6177" s="395">
        <v>87632</v>
      </c>
      <c r="C6177" s="406" t="s">
        <v>5819</v>
      </c>
      <c r="D6177" s="395" t="s">
        <v>0</v>
      </c>
      <c r="E6177" s="407">
        <f t="shared" si="192"/>
        <v>48.98</v>
      </c>
      <c r="F6177">
        <f t="shared" si="193"/>
        <v>87632</v>
      </c>
      <c r="H6177" s="680">
        <v>48.98</v>
      </c>
      <c r="I6177" s="680">
        <v>50.72</v>
      </c>
    </row>
    <row r="6178" spans="2:9" ht="30">
      <c r="B6178" s="396">
        <v>87633</v>
      </c>
      <c r="C6178" s="401" t="s">
        <v>5820</v>
      </c>
      <c r="D6178" s="396" t="s">
        <v>0</v>
      </c>
      <c r="E6178" s="405">
        <f t="shared" si="192"/>
        <v>119.36</v>
      </c>
      <c r="F6178">
        <f t="shared" si="193"/>
        <v>87633</v>
      </c>
      <c r="H6178" s="679">
        <v>119.36</v>
      </c>
      <c r="I6178" s="679">
        <v>120.52</v>
      </c>
    </row>
    <row r="6179" spans="2:9" ht="30">
      <c r="B6179" s="395">
        <v>87634</v>
      </c>
      <c r="C6179" s="406" t="s">
        <v>5821</v>
      </c>
      <c r="D6179" s="395" t="s">
        <v>0</v>
      </c>
      <c r="E6179" s="407">
        <f t="shared" si="192"/>
        <v>127.94</v>
      </c>
      <c r="F6179">
        <f t="shared" si="193"/>
        <v>87634</v>
      </c>
      <c r="H6179" s="680">
        <v>127.94</v>
      </c>
      <c r="I6179" s="680">
        <v>129.88</v>
      </c>
    </row>
    <row r="6180" spans="2:9" ht="30">
      <c r="B6180" s="396">
        <v>87640</v>
      </c>
      <c r="C6180" s="401" t="s">
        <v>5822</v>
      </c>
      <c r="D6180" s="396" t="s">
        <v>0</v>
      </c>
      <c r="E6180" s="405">
        <f t="shared" si="192"/>
        <v>51.92</v>
      </c>
      <c r="F6180">
        <f t="shared" si="193"/>
        <v>87640</v>
      </c>
      <c r="H6180" s="679">
        <v>51.92</v>
      </c>
      <c r="I6180" s="679">
        <v>53.31</v>
      </c>
    </row>
    <row r="6181" spans="2:9" ht="30">
      <c r="B6181" s="395">
        <v>87642</v>
      </c>
      <c r="C6181" s="406" t="s">
        <v>5823</v>
      </c>
      <c r="D6181" s="395" t="s">
        <v>0</v>
      </c>
      <c r="E6181" s="407">
        <f t="shared" si="192"/>
        <v>57.52</v>
      </c>
      <c r="F6181">
        <f t="shared" si="193"/>
        <v>87642</v>
      </c>
      <c r="H6181" s="680">
        <v>57.52</v>
      </c>
      <c r="I6181" s="680">
        <v>59.55</v>
      </c>
    </row>
    <row r="6182" spans="2:9" ht="30">
      <c r="B6182" s="396">
        <v>87643</v>
      </c>
      <c r="C6182" s="401" t="s">
        <v>5824</v>
      </c>
      <c r="D6182" s="396" t="s">
        <v>0</v>
      </c>
      <c r="E6182" s="405">
        <f t="shared" si="192"/>
        <v>144.07</v>
      </c>
      <c r="F6182">
        <f t="shared" si="193"/>
        <v>87643</v>
      </c>
      <c r="H6182" s="679">
        <v>144.07</v>
      </c>
      <c r="I6182" s="679">
        <v>145.38999999999999</v>
      </c>
    </row>
    <row r="6183" spans="2:9" ht="30">
      <c r="B6183" s="395">
        <v>87644</v>
      </c>
      <c r="C6183" s="406" t="s">
        <v>5825</v>
      </c>
      <c r="D6183" s="395" t="s">
        <v>0</v>
      </c>
      <c r="E6183" s="407">
        <f t="shared" si="192"/>
        <v>154.62</v>
      </c>
      <c r="F6183">
        <f t="shared" si="193"/>
        <v>87644</v>
      </c>
      <c r="H6183" s="680">
        <v>154.62</v>
      </c>
      <c r="I6183" s="680">
        <v>156.9</v>
      </c>
    </row>
    <row r="6184" spans="2:9" ht="30">
      <c r="B6184" s="396">
        <v>87680</v>
      </c>
      <c r="C6184" s="401" t="s">
        <v>5826</v>
      </c>
      <c r="D6184" s="396" t="s">
        <v>0</v>
      </c>
      <c r="E6184" s="405">
        <f t="shared" si="192"/>
        <v>43.46</v>
      </c>
      <c r="F6184">
        <f t="shared" si="193"/>
        <v>87680</v>
      </c>
      <c r="H6184" s="679">
        <v>43.46</v>
      </c>
      <c r="I6184" s="679">
        <v>44.76</v>
      </c>
    </row>
    <row r="6185" spans="2:9" ht="30">
      <c r="B6185" s="395">
        <v>87682</v>
      </c>
      <c r="C6185" s="406" t="s">
        <v>5827</v>
      </c>
      <c r="D6185" s="395" t="s">
        <v>0</v>
      </c>
      <c r="E6185" s="407">
        <f t="shared" si="192"/>
        <v>49.06</v>
      </c>
      <c r="F6185">
        <f t="shared" si="193"/>
        <v>87682</v>
      </c>
      <c r="H6185" s="680">
        <v>49.06</v>
      </c>
      <c r="I6185" s="680">
        <v>51</v>
      </c>
    </row>
    <row r="6186" spans="2:9" ht="30">
      <c r="B6186" s="396">
        <v>87683</v>
      </c>
      <c r="C6186" s="401" t="s">
        <v>5828</v>
      </c>
      <c r="D6186" s="396" t="s">
        <v>0</v>
      </c>
      <c r="E6186" s="405">
        <f t="shared" si="192"/>
        <v>135.61000000000001</v>
      </c>
      <c r="F6186">
        <f t="shared" si="193"/>
        <v>87683</v>
      </c>
      <c r="H6186" s="679">
        <v>135.61000000000001</v>
      </c>
      <c r="I6186" s="679">
        <v>136.84</v>
      </c>
    </row>
    <row r="6187" spans="2:9" ht="30">
      <c r="B6187" s="395">
        <v>87684</v>
      </c>
      <c r="C6187" s="406" t="s">
        <v>5829</v>
      </c>
      <c r="D6187" s="395" t="s">
        <v>0</v>
      </c>
      <c r="E6187" s="407">
        <f t="shared" si="192"/>
        <v>146.16</v>
      </c>
      <c r="F6187">
        <f t="shared" si="193"/>
        <v>87684</v>
      </c>
      <c r="H6187" s="680">
        <v>146.16</v>
      </c>
      <c r="I6187" s="680">
        <v>148.35</v>
      </c>
    </row>
    <row r="6188" spans="2:9" ht="30">
      <c r="B6188" s="396">
        <v>87690</v>
      </c>
      <c r="C6188" s="401" t="s">
        <v>5830</v>
      </c>
      <c r="D6188" s="396" t="s">
        <v>0</v>
      </c>
      <c r="E6188" s="405">
        <f t="shared" si="192"/>
        <v>49.8</v>
      </c>
      <c r="F6188">
        <f t="shared" si="193"/>
        <v>87690</v>
      </c>
      <c r="H6188" s="679">
        <v>49.8</v>
      </c>
      <c r="I6188" s="679">
        <v>51.29</v>
      </c>
    </row>
    <row r="6189" spans="2:9" ht="30">
      <c r="B6189" s="395">
        <v>87692</v>
      </c>
      <c r="C6189" s="406" t="s">
        <v>5831</v>
      </c>
      <c r="D6189" s="395" t="s">
        <v>0</v>
      </c>
      <c r="E6189" s="407">
        <f t="shared" si="192"/>
        <v>56.21</v>
      </c>
      <c r="F6189">
        <f t="shared" si="193"/>
        <v>87692</v>
      </c>
      <c r="H6189" s="680">
        <v>56.21</v>
      </c>
      <c r="I6189" s="680">
        <v>58.43</v>
      </c>
    </row>
    <row r="6190" spans="2:9" ht="30">
      <c r="B6190" s="396">
        <v>87693</v>
      </c>
      <c r="C6190" s="401" t="s">
        <v>5832</v>
      </c>
      <c r="D6190" s="396" t="s">
        <v>0</v>
      </c>
      <c r="E6190" s="405">
        <f t="shared" si="192"/>
        <v>155.33000000000001</v>
      </c>
      <c r="F6190">
        <f t="shared" si="193"/>
        <v>87693</v>
      </c>
      <c r="H6190" s="679">
        <v>155.33000000000001</v>
      </c>
      <c r="I6190" s="679">
        <v>156.72999999999999</v>
      </c>
    </row>
    <row r="6191" spans="2:9" ht="30">
      <c r="B6191" s="395">
        <v>87694</v>
      </c>
      <c r="C6191" s="406" t="s">
        <v>5833</v>
      </c>
      <c r="D6191" s="395" t="s">
        <v>0</v>
      </c>
      <c r="E6191" s="407">
        <f t="shared" si="192"/>
        <v>167.41</v>
      </c>
      <c r="F6191">
        <f t="shared" si="193"/>
        <v>87694</v>
      </c>
      <c r="H6191" s="680">
        <v>167.41</v>
      </c>
      <c r="I6191" s="680">
        <v>169.92</v>
      </c>
    </row>
    <row r="6192" spans="2:9" ht="30">
      <c r="B6192" s="396">
        <v>87700</v>
      </c>
      <c r="C6192" s="401" t="s">
        <v>5834</v>
      </c>
      <c r="D6192" s="396" t="s">
        <v>0</v>
      </c>
      <c r="E6192" s="405">
        <f t="shared" si="192"/>
        <v>53.87</v>
      </c>
      <c r="F6192">
        <f t="shared" si="193"/>
        <v>87700</v>
      </c>
      <c r="H6192" s="679">
        <v>53.87</v>
      </c>
      <c r="I6192" s="679">
        <v>55.47</v>
      </c>
    </row>
    <row r="6193" spans="2:9" ht="30">
      <c r="B6193" s="395">
        <v>87702</v>
      </c>
      <c r="C6193" s="406" t="s">
        <v>5835</v>
      </c>
      <c r="D6193" s="395" t="s">
        <v>0</v>
      </c>
      <c r="E6193" s="407">
        <f t="shared" si="192"/>
        <v>60.85</v>
      </c>
      <c r="F6193">
        <f t="shared" si="193"/>
        <v>87702</v>
      </c>
      <c r="H6193" s="680">
        <v>60.85</v>
      </c>
      <c r="I6193" s="680">
        <v>63.25</v>
      </c>
    </row>
    <row r="6194" spans="2:9" ht="30">
      <c r="B6194" s="396">
        <v>87703</v>
      </c>
      <c r="C6194" s="401" t="s">
        <v>5836</v>
      </c>
      <c r="D6194" s="396" t="s">
        <v>0</v>
      </c>
      <c r="E6194" s="405">
        <f t="shared" si="192"/>
        <v>168.8</v>
      </c>
      <c r="F6194">
        <f t="shared" si="193"/>
        <v>87703</v>
      </c>
      <c r="H6194" s="679">
        <v>168.8</v>
      </c>
      <c r="I6194" s="679">
        <v>170.3</v>
      </c>
    </row>
    <row r="6195" spans="2:9" ht="30">
      <c r="B6195" s="395">
        <v>87704</v>
      </c>
      <c r="C6195" s="406" t="s">
        <v>5837</v>
      </c>
      <c r="D6195" s="395" t="s">
        <v>0</v>
      </c>
      <c r="E6195" s="407">
        <f t="shared" si="192"/>
        <v>181.96</v>
      </c>
      <c r="F6195">
        <f t="shared" si="193"/>
        <v>87704</v>
      </c>
      <c r="H6195" s="680">
        <v>181.96</v>
      </c>
      <c r="I6195" s="680">
        <v>184.66</v>
      </c>
    </row>
    <row r="6196" spans="2:9" ht="30">
      <c r="B6196" s="396">
        <v>87735</v>
      </c>
      <c r="C6196" s="401" t="s">
        <v>5838</v>
      </c>
      <c r="D6196" s="396" t="s">
        <v>0</v>
      </c>
      <c r="E6196" s="405">
        <f t="shared" si="192"/>
        <v>44.9</v>
      </c>
      <c r="F6196">
        <f t="shared" si="193"/>
        <v>87735</v>
      </c>
      <c r="H6196" s="679">
        <v>44.9</v>
      </c>
      <c r="I6196" s="679">
        <v>47</v>
      </c>
    </row>
    <row r="6197" spans="2:9" ht="30">
      <c r="B6197" s="395">
        <v>87737</v>
      </c>
      <c r="C6197" s="406" t="s">
        <v>5839</v>
      </c>
      <c r="D6197" s="395" t="s">
        <v>0</v>
      </c>
      <c r="E6197" s="407">
        <f t="shared" si="192"/>
        <v>48.17</v>
      </c>
      <c r="F6197">
        <f t="shared" si="193"/>
        <v>87737</v>
      </c>
      <c r="H6197" s="680">
        <v>48.17</v>
      </c>
      <c r="I6197" s="680">
        <v>50.64</v>
      </c>
    </row>
    <row r="6198" spans="2:9" ht="30">
      <c r="B6198" s="396">
        <v>87738</v>
      </c>
      <c r="C6198" s="401" t="s">
        <v>5840</v>
      </c>
      <c r="D6198" s="396" t="s">
        <v>0</v>
      </c>
      <c r="E6198" s="405">
        <f t="shared" si="192"/>
        <v>98.8</v>
      </c>
      <c r="F6198">
        <f t="shared" si="193"/>
        <v>87738</v>
      </c>
      <c r="H6198" s="679">
        <v>98.8</v>
      </c>
      <c r="I6198" s="679">
        <v>100.85</v>
      </c>
    </row>
    <row r="6199" spans="2:9" ht="30">
      <c r="B6199" s="395">
        <v>87739</v>
      </c>
      <c r="C6199" s="406" t="s">
        <v>5841</v>
      </c>
      <c r="D6199" s="395" t="s">
        <v>0</v>
      </c>
      <c r="E6199" s="407">
        <f t="shared" si="192"/>
        <v>104.97</v>
      </c>
      <c r="F6199">
        <f t="shared" si="193"/>
        <v>87739</v>
      </c>
      <c r="H6199" s="680">
        <v>104.97</v>
      </c>
      <c r="I6199" s="680">
        <v>107.58</v>
      </c>
    </row>
    <row r="6200" spans="2:9" ht="30">
      <c r="B6200" s="396">
        <v>87745</v>
      </c>
      <c r="C6200" s="401" t="s">
        <v>5842</v>
      </c>
      <c r="D6200" s="396" t="s">
        <v>0</v>
      </c>
      <c r="E6200" s="405">
        <f t="shared" si="192"/>
        <v>54.06</v>
      </c>
      <c r="F6200">
        <f t="shared" si="193"/>
        <v>87745</v>
      </c>
      <c r="H6200" s="679">
        <v>54.06</v>
      </c>
      <c r="I6200" s="679">
        <v>56.35</v>
      </c>
    </row>
    <row r="6201" spans="2:9" ht="30">
      <c r="B6201" s="395">
        <v>87747</v>
      </c>
      <c r="C6201" s="406" t="s">
        <v>5843</v>
      </c>
      <c r="D6201" s="395" t="s">
        <v>0</v>
      </c>
      <c r="E6201" s="407">
        <f t="shared" si="192"/>
        <v>58.61</v>
      </c>
      <c r="F6201">
        <f t="shared" si="193"/>
        <v>87747</v>
      </c>
      <c r="H6201" s="680">
        <v>58.61</v>
      </c>
      <c r="I6201" s="680">
        <v>61.43</v>
      </c>
    </row>
    <row r="6202" spans="2:9" ht="30">
      <c r="B6202" s="396">
        <v>87748</v>
      </c>
      <c r="C6202" s="401" t="s">
        <v>5844</v>
      </c>
      <c r="D6202" s="396" t="s">
        <v>0</v>
      </c>
      <c r="E6202" s="405">
        <f t="shared" si="192"/>
        <v>128.99</v>
      </c>
      <c r="F6202">
        <f t="shared" si="193"/>
        <v>87748</v>
      </c>
      <c r="H6202" s="679">
        <v>128.99</v>
      </c>
      <c r="I6202" s="679">
        <v>131.22999999999999</v>
      </c>
    </row>
    <row r="6203" spans="2:9" ht="30">
      <c r="B6203" s="395">
        <v>87749</v>
      </c>
      <c r="C6203" s="406" t="s">
        <v>5845</v>
      </c>
      <c r="D6203" s="395" t="s">
        <v>0</v>
      </c>
      <c r="E6203" s="407">
        <f t="shared" si="192"/>
        <v>137.57</v>
      </c>
      <c r="F6203">
        <f t="shared" si="193"/>
        <v>87749</v>
      </c>
      <c r="H6203" s="680">
        <v>137.57</v>
      </c>
      <c r="I6203" s="680">
        <v>140.59</v>
      </c>
    </row>
    <row r="6204" spans="2:9" ht="30">
      <c r="B6204" s="396">
        <v>87755</v>
      </c>
      <c r="C6204" s="401" t="s">
        <v>5846</v>
      </c>
      <c r="D6204" s="396" t="s">
        <v>0</v>
      </c>
      <c r="E6204" s="405">
        <f t="shared" si="192"/>
        <v>47.62</v>
      </c>
      <c r="F6204">
        <f t="shared" si="193"/>
        <v>87755</v>
      </c>
      <c r="H6204" s="679">
        <v>47.62</v>
      </c>
      <c r="I6204" s="679">
        <v>50.01</v>
      </c>
    </row>
    <row r="6205" spans="2:9" ht="30">
      <c r="B6205" s="395">
        <v>87757</v>
      </c>
      <c r="C6205" s="406" t="s">
        <v>5847</v>
      </c>
      <c r="D6205" s="395" t="s">
        <v>0</v>
      </c>
      <c r="E6205" s="407">
        <f t="shared" si="192"/>
        <v>52.17</v>
      </c>
      <c r="F6205">
        <f t="shared" si="193"/>
        <v>87757</v>
      </c>
      <c r="H6205" s="680">
        <v>52.17</v>
      </c>
      <c r="I6205" s="680">
        <v>55.09</v>
      </c>
    </row>
    <row r="6206" spans="2:9" ht="30">
      <c r="B6206" s="396">
        <v>87758</v>
      </c>
      <c r="C6206" s="401" t="s">
        <v>5848</v>
      </c>
      <c r="D6206" s="396" t="s">
        <v>0</v>
      </c>
      <c r="E6206" s="405">
        <f t="shared" si="192"/>
        <v>122.55</v>
      </c>
      <c r="F6206">
        <f t="shared" si="193"/>
        <v>87758</v>
      </c>
      <c r="H6206" s="679">
        <v>122.55</v>
      </c>
      <c r="I6206" s="679">
        <v>124.89</v>
      </c>
    </row>
    <row r="6207" spans="2:9" ht="30">
      <c r="B6207" s="395">
        <v>87759</v>
      </c>
      <c r="C6207" s="406" t="s">
        <v>5849</v>
      </c>
      <c r="D6207" s="395" t="s">
        <v>0</v>
      </c>
      <c r="E6207" s="407">
        <f t="shared" si="192"/>
        <v>131.13</v>
      </c>
      <c r="F6207">
        <f t="shared" si="193"/>
        <v>87759</v>
      </c>
      <c r="H6207" s="680">
        <v>131.13</v>
      </c>
      <c r="I6207" s="680">
        <v>134.25</v>
      </c>
    </row>
    <row r="6208" spans="2:9" ht="30">
      <c r="B6208" s="396">
        <v>87765</v>
      </c>
      <c r="C6208" s="401" t="s">
        <v>5850</v>
      </c>
      <c r="D6208" s="396" t="s">
        <v>0</v>
      </c>
      <c r="E6208" s="405">
        <f t="shared" si="192"/>
        <v>55.15</v>
      </c>
      <c r="F6208">
        <f t="shared" si="193"/>
        <v>87765</v>
      </c>
      <c r="H6208" s="679">
        <v>55.15</v>
      </c>
      <c r="I6208" s="679">
        <v>57.72</v>
      </c>
    </row>
    <row r="6209" spans="2:9" ht="30">
      <c r="B6209" s="395">
        <v>87767</v>
      </c>
      <c r="C6209" s="406" t="s">
        <v>5851</v>
      </c>
      <c r="D6209" s="395" t="s">
        <v>0</v>
      </c>
      <c r="E6209" s="407">
        <f t="shared" si="192"/>
        <v>60.75</v>
      </c>
      <c r="F6209">
        <f t="shared" si="193"/>
        <v>87767</v>
      </c>
      <c r="H6209" s="680">
        <v>60.75</v>
      </c>
      <c r="I6209" s="680">
        <v>63.96</v>
      </c>
    </row>
    <row r="6210" spans="2:9" ht="30">
      <c r="B6210" s="396">
        <v>87768</v>
      </c>
      <c r="C6210" s="401" t="s">
        <v>5852</v>
      </c>
      <c r="D6210" s="396" t="s">
        <v>0</v>
      </c>
      <c r="E6210" s="405">
        <f t="shared" si="192"/>
        <v>147.30000000000001</v>
      </c>
      <c r="F6210">
        <f t="shared" si="193"/>
        <v>87768</v>
      </c>
      <c r="H6210" s="679">
        <v>147.30000000000001</v>
      </c>
      <c r="I6210" s="679">
        <v>149.80000000000001</v>
      </c>
    </row>
    <row r="6211" spans="2:9" ht="30">
      <c r="B6211" s="395">
        <v>87769</v>
      </c>
      <c r="C6211" s="406" t="s">
        <v>5853</v>
      </c>
      <c r="D6211" s="395" t="s">
        <v>0</v>
      </c>
      <c r="E6211" s="407">
        <f t="shared" ref="E6211:E6274" si="194">IF($K$2=$H$1,H6211,I6211)</f>
        <v>157.85</v>
      </c>
      <c r="F6211">
        <f t="shared" ref="F6211:F6274" si="195">IF(LEN($B6211)=7,CONCATENATE(MID($B6211,1,6),"00",RIGHT($B6211,1)),IF(LEN($B6211)=8,CONCATENATE(MID($B6211,1,6),"0",RIGHT($B6211,2)),$B6211))</f>
        <v>87769</v>
      </c>
      <c r="H6211" s="680">
        <v>157.85</v>
      </c>
      <c r="I6211" s="680">
        <v>161.31</v>
      </c>
    </row>
    <row r="6212" spans="2:9">
      <c r="B6212" s="396">
        <v>88470</v>
      </c>
      <c r="C6212" s="401" t="s">
        <v>5854</v>
      </c>
      <c r="D6212" s="396" t="s">
        <v>0</v>
      </c>
      <c r="E6212" s="405">
        <f t="shared" si="194"/>
        <v>34.86</v>
      </c>
      <c r="F6212">
        <f t="shared" si="195"/>
        <v>88470</v>
      </c>
      <c r="H6212" s="679">
        <v>34.86</v>
      </c>
      <c r="I6212" s="679">
        <v>35.14</v>
      </c>
    </row>
    <row r="6213" spans="2:9">
      <c r="B6213" s="395">
        <v>88471</v>
      </c>
      <c r="C6213" s="406" t="s">
        <v>5855</v>
      </c>
      <c r="D6213" s="395" t="s">
        <v>0</v>
      </c>
      <c r="E6213" s="407">
        <f t="shared" si="194"/>
        <v>43.36</v>
      </c>
      <c r="F6213">
        <f t="shared" si="195"/>
        <v>88471</v>
      </c>
      <c r="H6213" s="680">
        <v>43.36</v>
      </c>
      <c r="I6213" s="680">
        <v>43.74</v>
      </c>
    </row>
    <row r="6214" spans="2:9">
      <c r="B6214" s="396">
        <v>88472</v>
      </c>
      <c r="C6214" s="401" t="s">
        <v>5856</v>
      </c>
      <c r="D6214" s="396" t="s">
        <v>0</v>
      </c>
      <c r="E6214" s="405">
        <f t="shared" si="194"/>
        <v>50.11</v>
      </c>
      <c r="F6214">
        <f t="shared" si="195"/>
        <v>88472</v>
      </c>
      <c r="H6214" s="679">
        <v>50.11</v>
      </c>
      <c r="I6214" s="679">
        <v>50.6</v>
      </c>
    </row>
    <row r="6215" spans="2:9">
      <c r="B6215" s="395">
        <v>88476</v>
      </c>
      <c r="C6215" s="406" t="s">
        <v>5857</v>
      </c>
      <c r="D6215" s="395" t="s">
        <v>0</v>
      </c>
      <c r="E6215" s="407">
        <f t="shared" si="194"/>
        <v>32.200000000000003</v>
      </c>
      <c r="F6215">
        <f t="shared" si="195"/>
        <v>88476</v>
      </c>
      <c r="H6215" s="680">
        <v>32.200000000000003</v>
      </c>
      <c r="I6215" s="680">
        <v>32.380000000000003</v>
      </c>
    </row>
    <row r="6216" spans="2:9">
      <c r="B6216" s="396">
        <v>88477</v>
      </c>
      <c r="C6216" s="401" t="s">
        <v>5858</v>
      </c>
      <c r="D6216" s="396" t="s">
        <v>0</v>
      </c>
      <c r="E6216" s="405">
        <f t="shared" si="194"/>
        <v>42.67</v>
      </c>
      <c r="F6216">
        <f t="shared" si="195"/>
        <v>88477</v>
      </c>
      <c r="H6216" s="679">
        <v>42.67</v>
      </c>
      <c r="I6216" s="679">
        <v>43.01</v>
      </c>
    </row>
    <row r="6217" spans="2:9">
      <c r="B6217" s="395">
        <v>88478</v>
      </c>
      <c r="C6217" s="406" t="s">
        <v>5859</v>
      </c>
      <c r="D6217" s="395" t="s">
        <v>0</v>
      </c>
      <c r="E6217" s="407">
        <f t="shared" si="194"/>
        <v>51.35</v>
      </c>
      <c r="F6217">
        <f t="shared" si="195"/>
        <v>88478</v>
      </c>
      <c r="H6217" s="680">
        <v>51.35</v>
      </c>
      <c r="I6217" s="680">
        <v>51.82</v>
      </c>
    </row>
    <row r="6218" spans="2:9" ht="30">
      <c r="B6218" s="396">
        <v>90930</v>
      </c>
      <c r="C6218" s="401" t="s">
        <v>5860</v>
      </c>
      <c r="D6218" s="396" t="s">
        <v>0</v>
      </c>
      <c r="E6218" s="405">
        <f t="shared" si="194"/>
        <v>87.17</v>
      </c>
      <c r="F6218">
        <f t="shared" si="195"/>
        <v>90930</v>
      </c>
      <c r="H6218" s="679">
        <v>87.17</v>
      </c>
      <c r="I6218" s="679">
        <v>89.24</v>
      </c>
    </row>
    <row r="6219" spans="2:9" ht="30">
      <c r="B6219" s="395">
        <v>90932</v>
      </c>
      <c r="C6219" s="406" t="s">
        <v>5861</v>
      </c>
      <c r="D6219" s="395" t="s">
        <v>0</v>
      </c>
      <c r="E6219" s="407">
        <f t="shared" si="194"/>
        <v>93.58</v>
      </c>
      <c r="F6219">
        <f t="shared" si="195"/>
        <v>90932</v>
      </c>
      <c r="H6219" s="680">
        <v>93.58</v>
      </c>
      <c r="I6219" s="680">
        <v>96.38</v>
      </c>
    </row>
    <row r="6220" spans="2:9" ht="30">
      <c r="B6220" s="396">
        <v>90933</v>
      </c>
      <c r="C6220" s="401" t="s">
        <v>5862</v>
      </c>
      <c r="D6220" s="396" t="s">
        <v>0</v>
      </c>
      <c r="E6220" s="405">
        <f t="shared" si="194"/>
        <v>192.7</v>
      </c>
      <c r="F6220">
        <f t="shared" si="195"/>
        <v>90933</v>
      </c>
      <c r="H6220" s="679">
        <v>192.7</v>
      </c>
      <c r="I6220" s="679">
        <v>194.68</v>
      </c>
    </row>
    <row r="6221" spans="2:9" ht="30">
      <c r="B6221" s="395">
        <v>90934</v>
      </c>
      <c r="C6221" s="406" t="s">
        <v>5863</v>
      </c>
      <c r="D6221" s="395" t="s">
        <v>0</v>
      </c>
      <c r="E6221" s="407">
        <f t="shared" si="194"/>
        <v>204.78</v>
      </c>
      <c r="F6221">
        <f t="shared" si="195"/>
        <v>90934</v>
      </c>
      <c r="H6221" s="680">
        <v>204.78</v>
      </c>
      <c r="I6221" s="680">
        <v>207.87</v>
      </c>
    </row>
    <row r="6222" spans="2:9" ht="30">
      <c r="B6222" s="396">
        <v>90940</v>
      </c>
      <c r="C6222" s="401" t="s">
        <v>5864</v>
      </c>
      <c r="D6222" s="396" t="s">
        <v>0</v>
      </c>
      <c r="E6222" s="405">
        <f t="shared" si="194"/>
        <v>92.28</v>
      </c>
      <c r="F6222">
        <f t="shared" si="195"/>
        <v>90940</v>
      </c>
      <c r="H6222" s="679">
        <v>92.28</v>
      </c>
      <c r="I6222" s="679">
        <v>94.58</v>
      </c>
    </row>
    <row r="6223" spans="2:9" ht="30">
      <c r="B6223" s="395">
        <v>90942</v>
      </c>
      <c r="C6223" s="406" t="s">
        <v>5865</v>
      </c>
      <c r="D6223" s="395" t="s">
        <v>0</v>
      </c>
      <c r="E6223" s="407">
        <f t="shared" si="194"/>
        <v>99.26</v>
      </c>
      <c r="F6223">
        <f t="shared" si="195"/>
        <v>90942</v>
      </c>
      <c r="H6223" s="680">
        <v>99.26</v>
      </c>
      <c r="I6223" s="680">
        <v>102.36</v>
      </c>
    </row>
    <row r="6224" spans="2:9" ht="30">
      <c r="B6224" s="396">
        <v>90943</v>
      </c>
      <c r="C6224" s="401" t="s">
        <v>5866</v>
      </c>
      <c r="D6224" s="396" t="s">
        <v>0</v>
      </c>
      <c r="E6224" s="405">
        <f t="shared" si="194"/>
        <v>207.21</v>
      </c>
      <c r="F6224">
        <f t="shared" si="195"/>
        <v>90943</v>
      </c>
      <c r="H6224" s="679">
        <v>207.21</v>
      </c>
      <c r="I6224" s="679">
        <v>209.41</v>
      </c>
    </row>
    <row r="6225" spans="2:9" ht="30">
      <c r="B6225" s="395">
        <v>90944</v>
      </c>
      <c r="C6225" s="406" t="s">
        <v>5867</v>
      </c>
      <c r="D6225" s="395" t="s">
        <v>0</v>
      </c>
      <c r="E6225" s="407">
        <f t="shared" si="194"/>
        <v>220.37</v>
      </c>
      <c r="F6225">
        <f t="shared" si="195"/>
        <v>90944</v>
      </c>
      <c r="H6225" s="680">
        <v>220.37</v>
      </c>
      <c r="I6225" s="680">
        <v>223.77</v>
      </c>
    </row>
    <row r="6226" spans="2:9" ht="30">
      <c r="B6226" s="396">
        <v>90950</v>
      </c>
      <c r="C6226" s="401" t="s">
        <v>5868</v>
      </c>
      <c r="D6226" s="396" t="s">
        <v>0</v>
      </c>
      <c r="E6226" s="405">
        <f t="shared" si="194"/>
        <v>101.65</v>
      </c>
      <c r="F6226">
        <f t="shared" si="195"/>
        <v>90950</v>
      </c>
      <c r="H6226" s="679">
        <v>101.65</v>
      </c>
      <c r="I6226" s="679">
        <v>104.34</v>
      </c>
    </row>
    <row r="6227" spans="2:9" ht="30">
      <c r="B6227" s="395">
        <v>90952</v>
      </c>
      <c r="C6227" s="406" t="s">
        <v>5869</v>
      </c>
      <c r="D6227" s="395" t="s">
        <v>0</v>
      </c>
      <c r="E6227" s="407">
        <f t="shared" si="194"/>
        <v>109.68</v>
      </c>
      <c r="F6227">
        <f t="shared" si="195"/>
        <v>90952</v>
      </c>
      <c r="H6227" s="680">
        <v>109.68</v>
      </c>
      <c r="I6227" s="680">
        <v>113.28</v>
      </c>
    </row>
    <row r="6228" spans="2:9" ht="30">
      <c r="B6228" s="396">
        <v>90953</v>
      </c>
      <c r="C6228" s="401" t="s">
        <v>5870</v>
      </c>
      <c r="D6228" s="396" t="s">
        <v>0</v>
      </c>
      <c r="E6228" s="405">
        <f t="shared" si="194"/>
        <v>233.79</v>
      </c>
      <c r="F6228">
        <f t="shared" si="195"/>
        <v>90953</v>
      </c>
      <c r="H6228" s="679">
        <v>233.79</v>
      </c>
      <c r="I6228" s="679">
        <v>236.37</v>
      </c>
    </row>
    <row r="6229" spans="2:9" ht="30">
      <c r="B6229" s="395">
        <v>90954</v>
      </c>
      <c r="C6229" s="406" t="s">
        <v>5871</v>
      </c>
      <c r="D6229" s="395" t="s">
        <v>0</v>
      </c>
      <c r="E6229" s="407">
        <f t="shared" si="194"/>
        <v>248.91</v>
      </c>
      <c r="F6229">
        <f t="shared" si="195"/>
        <v>90954</v>
      </c>
      <c r="H6229" s="680">
        <v>248.91</v>
      </c>
      <c r="I6229" s="680">
        <v>252.88</v>
      </c>
    </row>
    <row r="6230" spans="2:9" ht="45">
      <c r="B6230" s="396">
        <v>94438</v>
      </c>
      <c r="C6230" s="401" t="s">
        <v>1814</v>
      </c>
      <c r="D6230" s="396" t="s">
        <v>0</v>
      </c>
      <c r="E6230" s="405">
        <f t="shared" si="194"/>
        <v>46.86</v>
      </c>
      <c r="F6230">
        <f t="shared" si="195"/>
        <v>94438</v>
      </c>
      <c r="H6230" s="679">
        <v>46.86</v>
      </c>
      <c r="I6230" s="679">
        <v>48.47</v>
      </c>
    </row>
    <row r="6231" spans="2:9" ht="45">
      <c r="B6231" s="395">
        <v>94439</v>
      </c>
      <c r="C6231" s="406" t="s">
        <v>6203</v>
      </c>
      <c r="D6231" s="395" t="s">
        <v>0</v>
      </c>
      <c r="E6231" s="407">
        <f t="shared" si="194"/>
        <v>52.87</v>
      </c>
      <c r="F6231">
        <f t="shared" si="195"/>
        <v>94439</v>
      </c>
      <c r="H6231" s="680">
        <v>52.87</v>
      </c>
      <c r="I6231" s="680">
        <v>54.61</v>
      </c>
    </row>
    <row r="6232" spans="2:9" ht="30">
      <c r="B6232" s="396">
        <v>94779</v>
      </c>
      <c r="C6232" s="401" t="s">
        <v>1815</v>
      </c>
      <c r="D6232" s="396" t="s">
        <v>0</v>
      </c>
      <c r="E6232" s="405">
        <f t="shared" si="194"/>
        <v>45.85</v>
      </c>
      <c r="F6232">
        <f t="shared" si="195"/>
        <v>94779</v>
      </c>
      <c r="H6232" s="679">
        <v>45.85</v>
      </c>
      <c r="I6232" s="679">
        <v>47.32</v>
      </c>
    </row>
    <row r="6233" spans="2:9" ht="45">
      <c r="B6233" s="395">
        <v>94782</v>
      </c>
      <c r="C6233" s="406" t="s">
        <v>6204</v>
      </c>
      <c r="D6233" s="395" t="s">
        <v>0</v>
      </c>
      <c r="E6233" s="407">
        <f t="shared" si="194"/>
        <v>52.51</v>
      </c>
      <c r="F6233">
        <f t="shared" si="195"/>
        <v>94782</v>
      </c>
      <c r="H6233" s="680">
        <v>52.51</v>
      </c>
      <c r="I6233" s="680">
        <v>54.14</v>
      </c>
    </row>
    <row r="6234" spans="2:9">
      <c r="B6234" s="396">
        <v>102803</v>
      </c>
      <c r="C6234" s="401" t="s">
        <v>5872</v>
      </c>
      <c r="D6234" s="396" t="s">
        <v>0</v>
      </c>
      <c r="E6234" s="405">
        <f t="shared" si="194"/>
        <v>2.04</v>
      </c>
      <c r="F6234">
        <f t="shared" si="195"/>
        <v>102803</v>
      </c>
      <c r="H6234" s="679">
        <v>2.04</v>
      </c>
      <c r="I6234" s="679">
        <v>2.2200000000000002</v>
      </c>
    </row>
    <row r="6235" spans="2:9">
      <c r="B6235" s="395">
        <v>101742</v>
      </c>
      <c r="C6235" s="406" t="s">
        <v>4723</v>
      </c>
      <c r="D6235" s="395" t="s">
        <v>22</v>
      </c>
      <c r="E6235" s="407">
        <f t="shared" si="194"/>
        <v>67.069999999999993</v>
      </c>
      <c r="F6235">
        <f t="shared" si="195"/>
        <v>101742</v>
      </c>
      <c r="H6235" s="680">
        <v>67.069999999999993</v>
      </c>
      <c r="I6235" s="680">
        <v>69.34</v>
      </c>
    </row>
    <row r="6236" spans="2:9" ht="30">
      <c r="B6236" s="396">
        <v>87878</v>
      </c>
      <c r="C6236" s="401" t="s">
        <v>8586</v>
      </c>
      <c r="D6236" s="396" t="s">
        <v>0</v>
      </c>
      <c r="E6236" s="405">
        <f t="shared" si="194"/>
        <v>4.51</v>
      </c>
      <c r="F6236">
        <f t="shared" si="195"/>
        <v>87878</v>
      </c>
      <c r="H6236" s="679">
        <v>4.51</v>
      </c>
      <c r="I6236" s="679">
        <v>4.8099999999999996</v>
      </c>
    </row>
    <row r="6237" spans="2:9" ht="30">
      <c r="B6237" s="395">
        <v>87879</v>
      </c>
      <c r="C6237" s="406" t="s">
        <v>8587</v>
      </c>
      <c r="D6237" s="395" t="s">
        <v>0</v>
      </c>
      <c r="E6237" s="407">
        <f t="shared" si="194"/>
        <v>4.09</v>
      </c>
      <c r="F6237">
        <f t="shared" si="195"/>
        <v>87879</v>
      </c>
      <c r="H6237" s="680">
        <v>4.09</v>
      </c>
      <c r="I6237" s="680">
        <v>4.33</v>
      </c>
    </row>
    <row r="6238" spans="2:9" ht="30">
      <c r="B6238" s="396">
        <v>87881</v>
      </c>
      <c r="C6238" s="401" t="s">
        <v>8588</v>
      </c>
      <c r="D6238" s="396" t="s">
        <v>0</v>
      </c>
      <c r="E6238" s="405">
        <f t="shared" si="194"/>
        <v>11.74</v>
      </c>
      <c r="F6238">
        <f t="shared" si="195"/>
        <v>87881</v>
      </c>
      <c r="H6238" s="679">
        <v>11.74</v>
      </c>
      <c r="I6238" s="679">
        <v>11.9</v>
      </c>
    </row>
    <row r="6239" spans="2:9" ht="30">
      <c r="B6239" s="395">
        <v>87882</v>
      </c>
      <c r="C6239" s="406" t="s">
        <v>8589</v>
      </c>
      <c r="D6239" s="395" t="s">
        <v>0</v>
      </c>
      <c r="E6239" s="407">
        <f t="shared" si="194"/>
        <v>11.6</v>
      </c>
      <c r="F6239">
        <f t="shared" si="195"/>
        <v>87882</v>
      </c>
      <c r="H6239" s="680">
        <v>11.6</v>
      </c>
      <c r="I6239" s="680">
        <v>11.74</v>
      </c>
    </row>
    <row r="6240" spans="2:9" ht="30">
      <c r="B6240" s="396">
        <v>87884</v>
      </c>
      <c r="C6240" s="401" t="s">
        <v>8590</v>
      </c>
      <c r="D6240" s="396" t="s">
        <v>0</v>
      </c>
      <c r="E6240" s="405">
        <f t="shared" si="194"/>
        <v>11.31</v>
      </c>
      <c r="F6240">
        <f t="shared" si="195"/>
        <v>87884</v>
      </c>
      <c r="H6240" s="679">
        <v>11.31</v>
      </c>
      <c r="I6240" s="679">
        <v>11.49</v>
      </c>
    </row>
    <row r="6241" spans="2:9" ht="30">
      <c r="B6241" s="395">
        <v>87885</v>
      </c>
      <c r="C6241" s="406" t="s">
        <v>8591</v>
      </c>
      <c r="D6241" s="395" t="s">
        <v>0</v>
      </c>
      <c r="E6241" s="407">
        <f t="shared" si="194"/>
        <v>10.96</v>
      </c>
      <c r="F6241">
        <f t="shared" si="195"/>
        <v>87885</v>
      </c>
      <c r="H6241" s="680">
        <v>10.96</v>
      </c>
      <c r="I6241" s="680">
        <v>11.1</v>
      </c>
    </row>
    <row r="6242" spans="2:9" ht="30">
      <c r="B6242" s="396">
        <v>87886</v>
      </c>
      <c r="C6242" s="401" t="s">
        <v>8592</v>
      </c>
      <c r="D6242" s="396" t="s">
        <v>0</v>
      </c>
      <c r="E6242" s="405">
        <f t="shared" si="194"/>
        <v>18.43</v>
      </c>
      <c r="F6242">
        <f t="shared" si="195"/>
        <v>87886</v>
      </c>
      <c r="H6242" s="679">
        <v>18.43</v>
      </c>
      <c r="I6242" s="679">
        <v>18.95</v>
      </c>
    </row>
    <row r="6243" spans="2:9" ht="30">
      <c r="B6243" s="395">
        <v>87887</v>
      </c>
      <c r="C6243" s="406" t="s">
        <v>8593</v>
      </c>
      <c r="D6243" s="395" t="s">
        <v>0</v>
      </c>
      <c r="E6243" s="407">
        <f t="shared" si="194"/>
        <v>17.68</v>
      </c>
      <c r="F6243">
        <f t="shared" si="195"/>
        <v>87887</v>
      </c>
      <c r="H6243" s="680">
        <v>17.68</v>
      </c>
      <c r="I6243" s="680">
        <v>18.13</v>
      </c>
    </row>
    <row r="6244" spans="2:9" ht="30">
      <c r="B6244" s="396">
        <v>87888</v>
      </c>
      <c r="C6244" s="401" t="s">
        <v>8594</v>
      </c>
      <c r="D6244" s="396" t="s">
        <v>0</v>
      </c>
      <c r="E6244" s="405">
        <f t="shared" si="194"/>
        <v>13.04</v>
      </c>
      <c r="F6244">
        <f t="shared" si="195"/>
        <v>87888</v>
      </c>
      <c r="H6244" s="679">
        <v>13.04</v>
      </c>
      <c r="I6244" s="679">
        <v>13.34</v>
      </c>
    </row>
    <row r="6245" spans="2:9" ht="30">
      <c r="B6245" s="395">
        <v>87889</v>
      </c>
      <c r="C6245" s="406" t="s">
        <v>8595</v>
      </c>
      <c r="D6245" s="395" t="s">
        <v>0</v>
      </c>
      <c r="E6245" s="407">
        <f t="shared" si="194"/>
        <v>12.9</v>
      </c>
      <c r="F6245">
        <f t="shared" si="195"/>
        <v>87889</v>
      </c>
      <c r="H6245" s="680">
        <v>12.9</v>
      </c>
      <c r="I6245" s="680">
        <v>13.18</v>
      </c>
    </row>
    <row r="6246" spans="2:9" ht="30">
      <c r="B6246" s="396">
        <v>87891</v>
      </c>
      <c r="C6246" s="401" t="s">
        <v>8596</v>
      </c>
      <c r="D6246" s="396" t="s">
        <v>0</v>
      </c>
      <c r="E6246" s="405">
        <f t="shared" si="194"/>
        <v>12.61</v>
      </c>
      <c r="F6246">
        <f t="shared" si="195"/>
        <v>87891</v>
      </c>
      <c r="H6246" s="679">
        <v>12.61</v>
      </c>
      <c r="I6246" s="679">
        <v>12.93</v>
      </c>
    </row>
    <row r="6247" spans="2:9" ht="30">
      <c r="B6247" s="395">
        <v>87892</v>
      </c>
      <c r="C6247" s="406" t="s">
        <v>8597</v>
      </c>
      <c r="D6247" s="395" t="s">
        <v>0</v>
      </c>
      <c r="E6247" s="407">
        <f t="shared" si="194"/>
        <v>12.26</v>
      </c>
      <c r="F6247">
        <f t="shared" si="195"/>
        <v>87892</v>
      </c>
      <c r="H6247" s="680">
        <v>12.26</v>
      </c>
      <c r="I6247" s="680">
        <v>12.54</v>
      </c>
    </row>
    <row r="6248" spans="2:9" ht="30">
      <c r="B6248" s="396">
        <v>87893</v>
      </c>
      <c r="C6248" s="401" t="s">
        <v>8598</v>
      </c>
      <c r="D6248" s="396" t="s">
        <v>0</v>
      </c>
      <c r="E6248" s="405">
        <f t="shared" si="194"/>
        <v>6.44</v>
      </c>
      <c r="F6248">
        <f t="shared" si="195"/>
        <v>87893</v>
      </c>
      <c r="H6248" s="679">
        <v>6.44</v>
      </c>
      <c r="I6248" s="679">
        <v>6.95</v>
      </c>
    </row>
    <row r="6249" spans="2:9" ht="30">
      <c r="B6249" s="395">
        <v>87894</v>
      </c>
      <c r="C6249" s="406" t="s">
        <v>8599</v>
      </c>
      <c r="D6249" s="395" t="s">
        <v>0</v>
      </c>
      <c r="E6249" s="407">
        <f t="shared" si="194"/>
        <v>6.02</v>
      </c>
      <c r="F6249">
        <f t="shared" si="195"/>
        <v>87894</v>
      </c>
      <c r="H6249" s="680">
        <v>6.02</v>
      </c>
      <c r="I6249" s="680">
        <v>6.47</v>
      </c>
    </row>
    <row r="6250" spans="2:9" ht="30">
      <c r="B6250" s="396">
        <v>87896</v>
      </c>
      <c r="C6250" s="401" t="s">
        <v>8600</v>
      </c>
      <c r="D6250" s="396" t="s">
        <v>0</v>
      </c>
      <c r="E6250" s="405">
        <f t="shared" si="194"/>
        <v>5.09</v>
      </c>
      <c r="F6250">
        <f t="shared" si="195"/>
        <v>87896</v>
      </c>
      <c r="H6250" s="679">
        <v>5.09</v>
      </c>
      <c r="I6250" s="679">
        <v>5.39</v>
      </c>
    </row>
    <row r="6251" spans="2:9" ht="30">
      <c r="B6251" s="395">
        <v>87897</v>
      </c>
      <c r="C6251" s="406" t="s">
        <v>8601</v>
      </c>
      <c r="D6251" s="395" t="s">
        <v>0</v>
      </c>
      <c r="E6251" s="407">
        <f t="shared" si="194"/>
        <v>4.67</v>
      </c>
      <c r="F6251">
        <f t="shared" si="195"/>
        <v>87897</v>
      </c>
      <c r="H6251" s="680">
        <v>4.67</v>
      </c>
      <c r="I6251" s="680">
        <v>4.91</v>
      </c>
    </row>
    <row r="6252" spans="2:9" ht="30">
      <c r="B6252" s="396">
        <v>87899</v>
      </c>
      <c r="C6252" s="401" t="s">
        <v>8602</v>
      </c>
      <c r="D6252" s="396" t="s">
        <v>0</v>
      </c>
      <c r="E6252" s="405">
        <f t="shared" si="194"/>
        <v>13.61</v>
      </c>
      <c r="F6252">
        <f t="shared" si="195"/>
        <v>87899</v>
      </c>
      <c r="H6252" s="679">
        <v>13.61</v>
      </c>
      <c r="I6252" s="679">
        <v>13.98</v>
      </c>
    </row>
    <row r="6253" spans="2:9" ht="30">
      <c r="B6253" s="395">
        <v>87900</v>
      </c>
      <c r="C6253" s="406" t="s">
        <v>8603</v>
      </c>
      <c r="D6253" s="395" t="s">
        <v>0</v>
      </c>
      <c r="E6253" s="407">
        <f t="shared" si="194"/>
        <v>13.47</v>
      </c>
      <c r="F6253">
        <f t="shared" si="195"/>
        <v>87900</v>
      </c>
      <c r="H6253" s="680">
        <v>13.47</v>
      </c>
      <c r="I6253" s="680">
        <v>13.82</v>
      </c>
    </row>
    <row r="6254" spans="2:9" ht="30">
      <c r="B6254" s="396">
        <v>87902</v>
      </c>
      <c r="C6254" s="401" t="s">
        <v>8604</v>
      </c>
      <c r="D6254" s="396" t="s">
        <v>0</v>
      </c>
      <c r="E6254" s="405">
        <f t="shared" si="194"/>
        <v>13.18</v>
      </c>
      <c r="F6254">
        <f t="shared" si="195"/>
        <v>87902</v>
      </c>
      <c r="H6254" s="679">
        <v>13.18</v>
      </c>
      <c r="I6254" s="679">
        <v>13.57</v>
      </c>
    </row>
    <row r="6255" spans="2:9" ht="30">
      <c r="B6255" s="395">
        <v>87903</v>
      </c>
      <c r="C6255" s="406" t="s">
        <v>8605</v>
      </c>
      <c r="D6255" s="395" t="s">
        <v>0</v>
      </c>
      <c r="E6255" s="407">
        <f t="shared" si="194"/>
        <v>12.83</v>
      </c>
      <c r="F6255">
        <f t="shared" si="195"/>
        <v>87903</v>
      </c>
      <c r="H6255" s="680">
        <v>12.83</v>
      </c>
      <c r="I6255" s="680">
        <v>13.18</v>
      </c>
    </row>
    <row r="6256" spans="2:9" ht="30">
      <c r="B6256" s="396">
        <v>87904</v>
      </c>
      <c r="C6256" s="401" t="s">
        <v>8606</v>
      </c>
      <c r="D6256" s="396" t="s">
        <v>0</v>
      </c>
      <c r="E6256" s="405">
        <f t="shared" si="194"/>
        <v>7.35</v>
      </c>
      <c r="F6256">
        <f t="shared" si="195"/>
        <v>87904</v>
      </c>
      <c r="H6256" s="679">
        <v>7.35</v>
      </c>
      <c r="I6256" s="679">
        <v>7.96</v>
      </c>
    </row>
    <row r="6257" spans="2:9" ht="30">
      <c r="B6257" s="395">
        <v>87905</v>
      </c>
      <c r="C6257" s="406" t="s">
        <v>8607</v>
      </c>
      <c r="D6257" s="395" t="s">
        <v>0</v>
      </c>
      <c r="E6257" s="407">
        <f t="shared" si="194"/>
        <v>6.93</v>
      </c>
      <c r="F6257">
        <f t="shared" si="195"/>
        <v>87905</v>
      </c>
      <c r="H6257" s="680">
        <v>6.93</v>
      </c>
      <c r="I6257" s="680">
        <v>7.48</v>
      </c>
    </row>
    <row r="6258" spans="2:9" ht="30">
      <c r="B6258" s="396">
        <v>87907</v>
      </c>
      <c r="C6258" s="401" t="s">
        <v>8608</v>
      </c>
      <c r="D6258" s="396" t="s">
        <v>0</v>
      </c>
      <c r="E6258" s="405">
        <f t="shared" si="194"/>
        <v>5.99</v>
      </c>
      <c r="F6258">
        <f t="shared" si="195"/>
        <v>87907</v>
      </c>
      <c r="H6258" s="679">
        <v>5.99</v>
      </c>
      <c r="I6258" s="679">
        <v>6.37</v>
      </c>
    </row>
    <row r="6259" spans="2:9" ht="30">
      <c r="B6259" s="395">
        <v>87908</v>
      </c>
      <c r="C6259" s="406" t="s">
        <v>8609</v>
      </c>
      <c r="D6259" s="395" t="s">
        <v>0</v>
      </c>
      <c r="E6259" s="407">
        <f t="shared" si="194"/>
        <v>5.57</v>
      </c>
      <c r="F6259">
        <f t="shared" si="195"/>
        <v>87908</v>
      </c>
      <c r="H6259" s="680">
        <v>5.57</v>
      </c>
      <c r="I6259" s="680">
        <v>5.89</v>
      </c>
    </row>
    <row r="6260" spans="2:9" ht="30">
      <c r="B6260" s="396">
        <v>87910</v>
      </c>
      <c r="C6260" s="401" t="s">
        <v>8610</v>
      </c>
      <c r="D6260" s="396" t="s">
        <v>0</v>
      </c>
      <c r="E6260" s="405">
        <f t="shared" si="194"/>
        <v>22.75</v>
      </c>
      <c r="F6260">
        <f t="shared" si="195"/>
        <v>87910</v>
      </c>
      <c r="H6260" s="679">
        <v>22.75</v>
      </c>
      <c r="I6260" s="679">
        <v>23.75</v>
      </c>
    </row>
    <row r="6261" spans="2:9" ht="30">
      <c r="B6261" s="395">
        <v>87911</v>
      </c>
      <c r="C6261" s="406" t="s">
        <v>8611</v>
      </c>
      <c r="D6261" s="395" t="s">
        <v>0</v>
      </c>
      <c r="E6261" s="407">
        <f t="shared" si="194"/>
        <v>22</v>
      </c>
      <c r="F6261">
        <f t="shared" si="195"/>
        <v>87911</v>
      </c>
      <c r="H6261" s="680">
        <v>22</v>
      </c>
      <c r="I6261" s="680">
        <v>22.93</v>
      </c>
    </row>
    <row r="6262" spans="2:9" ht="30">
      <c r="B6262" s="396">
        <v>104410</v>
      </c>
      <c r="C6262" s="401" t="s">
        <v>8612</v>
      </c>
      <c r="D6262" s="396" t="s">
        <v>0</v>
      </c>
      <c r="E6262" s="405">
        <f t="shared" si="194"/>
        <v>4.82</v>
      </c>
      <c r="F6262">
        <f t="shared" si="195"/>
        <v>104410</v>
      </c>
      <c r="H6262" s="679">
        <v>4.82</v>
      </c>
      <c r="I6262" s="679">
        <v>5.07</v>
      </c>
    </row>
    <row r="6263" spans="2:9" ht="30">
      <c r="B6263" s="395">
        <v>104411</v>
      </c>
      <c r="C6263" s="406" t="s">
        <v>8613</v>
      </c>
      <c r="D6263" s="395" t="s">
        <v>0</v>
      </c>
      <c r="E6263" s="407">
        <f t="shared" si="194"/>
        <v>4.82</v>
      </c>
      <c r="F6263">
        <f t="shared" si="195"/>
        <v>104411</v>
      </c>
      <c r="H6263" s="680">
        <v>4.82</v>
      </c>
      <c r="I6263" s="680">
        <v>5.07</v>
      </c>
    </row>
    <row r="6264" spans="2:9" ht="30">
      <c r="B6264" s="396">
        <v>87411</v>
      </c>
      <c r="C6264" s="401" t="s">
        <v>1816</v>
      </c>
      <c r="D6264" s="396" t="s">
        <v>0</v>
      </c>
      <c r="E6264" s="405">
        <f t="shared" si="194"/>
        <v>16.670000000000002</v>
      </c>
      <c r="F6264">
        <f t="shared" si="195"/>
        <v>87411</v>
      </c>
      <c r="H6264" s="679">
        <v>16.670000000000002</v>
      </c>
      <c r="I6264" s="679">
        <v>17.5</v>
      </c>
    </row>
    <row r="6265" spans="2:9" ht="30">
      <c r="B6265" s="395">
        <v>87412</v>
      </c>
      <c r="C6265" s="406" t="s">
        <v>1817</v>
      </c>
      <c r="D6265" s="395" t="s">
        <v>0</v>
      </c>
      <c r="E6265" s="407">
        <f t="shared" si="194"/>
        <v>22.36</v>
      </c>
      <c r="F6265">
        <f t="shared" si="195"/>
        <v>87412</v>
      </c>
      <c r="H6265" s="680">
        <v>22.36</v>
      </c>
      <c r="I6265" s="680">
        <v>23.82</v>
      </c>
    </row>
    <row r="6266" spans="2:9" ht="30">
      <c r="B6266" s="396">
        <v>87413</v>
      </c>
      <c r="C6266" s="401" t="s">
        <v>1818</v>
      </c>
      <c r="D6266" s="396" t="s">
        <v>0</v>
      </c>
      <c r="E6266" s="405">
        <f t="shared" si="194"/>
        <v>25.6</v>
      </c>
      <c r="F6266">
        <f t="shared" si="195"/>
        <v>87413</v>
      </c>
      <c r="H6266" s="679">
        <v>25.6</v>
      </c>
      <c r="I6266" s="679">
        <v>27.43</v>
      </c>
    </row>
    <row r="6267" spans="2:9" ht="30">
      <c r="B6267" s="395">
        <v>87414</v>
      </c>
      <c r="C6267" s="406" t="s">
        <v>1819</v>
      </c>
      <c r="D6267" s="395" t="s">
        <v>0</v>
      </c>
      <c r="E6267" s="407">
        <f t="shared" si="194"/>
        <v>25.74</v>
      </c>
      <c r="F6267">
        <f t="shared" si="195"/>
        <v>87414</v>
      </c>
      <c r="H6267" s="680">
        <v>25.74</v>
      </c>
      <c r="I6267" s="680">
        <v>26.77</v>
      </c>
    </row>
    <row r="6268" spans="2:9" ht="30">
      <c r="B6268" s="396">
        <v>87415</v>
      </c>
      <c r="C6268" s="401" t="s">
        <v>1820</v>
      </c>
      <c r="D6268" s="396" t="s">
        <v>0</v>
      </c>
      <c r="E6268" s="405">
        <f t="shared" si="194"/>
        <v>31.25</v>
      </c>
      <c r="F6268">
        <f t="shared" si="195"/>
        <v>87415</v>
      </c>
      <c r="H6268" s="679">
        <v>31.25</v>
      </c>
      <c r="I6268" s="679">
        <v>32.9</v>
      </c>
    </row>
    <row r="6269" spans="2:9" ht="30">
      <c r="B6269" s="395">
        <v>87416</v>
      </c>
      <c r="C6269" s="406" t="s">
        <v>1821</v>
      </c>
      <c r="D6269" s="395" t="s">
        <v>0</v>
      </c>
      <c r="E6269" s="407">
        <f t="shared" si="194"/>
        <v>34.700000000000003</v>
      </c>
      <c r="F6269">
        <f t="shared" si="195"/>
        <v>87416</v>
      </c>
      <c r="H6269" s="680">
        <v>34.700000000000003</v>
      </c>
      <c r="I6269" s="680">
        <v>36.74</v>
      </c>
    </row>
    <row r="6270" spans="2:9" ht="30">
      <c r="B6270" s="396">
        <v>87417</v>
      </c>
      <c r="C6270" s="401" t="s">
        <v>1822</v>
      </c>
      <c r="D6270" s="396" t="s">
        <v>0</v>
      </c>
      <c r="E6270" s="405">
        <f t="shared" si="194"/>
        <v>17.47</v>
      </c>
      <c r="F6270">
        <f t="shared" si="195"/>
        <v>87417</v>
      </c>
      <c r="H6270" s="679">
        <v>17.47</v>
      </c>
      <c r="I6270" s="679">
        <v>18.39</v>
      </c>
    </row>
    <row r="6271" spans="2:9" ht="30">
      <c r="B6271" s="395">
        <v>87418</v>
      </c>
      <c r="C6271" s="406" t="s">
        <v>1823</v>
      </c>
      <c r="D6271" s="395" t="s">
        <v>0</v>
      </c>
      <c r="E6271" s="407">
        <f t="shared" si="194"/>
        <v>17.89</v>
      </c>
      <c r="F6271">
        <f t="shared" si="195"/>
        <v>87418</v>
      </c>
      <c r="H6271" s="680">
        <v>17.89</v>
      </c>
      <c r="I6271" s="680">
        <v>18.86</v>
      </c>
    </row>
    <row r="6272" spans="2:9" ht="30">
      <c r="B6272" s="396">
        <v>87419</v>
      </c>
      <c r="C6272" s="401" t="s">
        <v>1824</v>
      </c>
      <c r="D6272" s="396" t="s">
        <v>0</v>
      </c>
      <c r="E6272" s="405">
        <f t="shared" si="194"/>
        <v>19.12</v>
      </c>
      <c r="F6272">
        <f t="shared" si="195"/>
        <v>87419</v>
      </c>
      <c r="H6272" s="679">
        <v>19.12</v>
      </c>
      <c r="I6272" s="679">
        <v>20.22</v>
      </c>
    </row>
    <row r="6273" spans="2:9" ht="30">
      <c r="B6273" s="395">
        <v>87420</v>
      </c>
      <c r="C6273" s="406" t="s">
        <v>1825</v>
      </c>
      <c r="D6273" s="395" t="s">
        <v>0</v>
      </c>
      <c r="E6273" s="407">
        <f t="shared" si="194"/>
        <v>27.16</v>
      </c>
      <c r="F6273">
        <f t="shared" si="195"/>
        <v>87420</v>
      </c>
      <c r="H6273" s="680">
        <v>27.16</v>
      </c>
      <c r="I6273" s="680">
        <v>28.35</v>
      </c>
    </row>
    <row r="6274" spans="2:9" ht="30">
      <c r="B6274" s="396">
        <v>87421</v>
      </c>
      <c r="C6274" s="401" t="s">
        <v>1826</v>
      </c>
      <c r="D6274" s="396" t="s">
        <v>0</v>
      </c>
      <c r="E6274" s="405">
        <f t="shared" si="194"/>
        <v>27.58</v>
      </c>
      <c r="F6274">
        <f t="shared" si="195"/>
        <v>87421</v>
      </c>
      <c r="H6274" s="679">
        <v>27.58</v>
      </c>
      <c r="I6274" s="679">
        <v>28.82</v>
      </c>
    </row>
    <row r="6275" spans="2:9" ht="30">
      <c r="B6275" s="395">
        <v>87422</v>
      </c>
      <c r="C6275" s="406" t="s">
        <v>1827</v>
      </c>
      <c r="D6275" s="395" t="s">
        <v>0</v>
      </c>
      <c r="E6275" s="407">
        <f t="shared" ref="E6275:E6338" si="196">IF($K$2=$H$1,H6275,I6275)</f>
        <v>28.81</v>
      </c>
      <c r="F6275">
        <f t="shared" ref="F6275:F6338" si="197">IF(LEN($B6275)=7,CONCATENATE(MID($B6275,1,6),"00",RIGHT($B6275,1)),IF(LEN($B6275)=8,CONCATENATE(MID($B6275,1,6),"0",RIGHT($B6275,2)),$B6275))</f>
        <v>87422</v>
      </c>
      <c r="H6275" s="680">
        <v>28.81</v>
      </c>
      <c r="I6275" s="680">
        <v>30.18</v>
      </c>
    </row>
    <row r="6276" spans="2:9" ht="30">
      <c r="B6276" s="396">
        <v>87423</v>
      </c>
      <c r="C6276" s="401" t="s">
        <v>1828</v>
      </c>
      <c r="D6276" s="396" t="s">
        <v>0</v>
      </c>
      <c r="E6276" s="405">
        <f t="shared" si="196"/>
        <v>34.08</v>
      </c>
      <c r="F6276">
        <f t="shared" si="197"/>
        <v>87423</v>
      </c>
      <c r="H6276" s="679">
        <v>34.08</v>
      </c>
      <c r="I6276" s="679">
        <v>36.04</v>
      </c>
    </row>
    <row r="6277" spans="2:9" ht="30">
      <c r="B6277" s="395">
        <v>87424</v>
      </c>
      <c r="C6277" s="406" t="s">
        <v>1829</v>
      </c>
      <c r="D6277" s="395" t="s">
        <v>0</v>
      </c>
      <c r="E6277" s="407">
        <f t="shared" si="196"/>
        <v>34.700000000000003</v>
      </c>
      <c r="F6277">
        <f t="shared" si="197"/>
        <v>87424</v>
      </c>
      <c r="H6277" s="680">
        <v>34.700000000000003</v>
      </c>
      <c r="I6277" s="680">
        <v>36.74</v>
      </c>
    </row>
    <row r="6278" spans="2:9" ht="30">
      <c r="B6278" s="396">
        <v>87425</v>
      </c>
      <c r="C6278" s="401" t="s">
        <v>1830</v>
      </c>
      <c r="D6278" s="396" t="s">
        <v>0</v>
      </c>
      <c r="E6278" s="405">
        <f t="shared" si="196"/>
        <v>35.71</v>
      </c>
      <c r="F6278">
        <f t="shared" si="197"/>
        <v>87425</v>
      </c>
      <c r="H6278" s="679">
        <v>35.71</v>
      </c>
      <c r="I6278" s="679">
        <v>37.86</v>
      </c>
    </row>
    <row r="6279" spans="2:9" ht="30">
      <c r="B6279" s="395">
        <v>87426</v>
      </c>
      <c r="C6279" s="406" t="s">
        <v>1831</v>
      </c>
      <c r="D6279" s="395" t="s">
        <v>0</v>
      </c>
      <c r="E6279" s="407">
        <f t="shared" si="196"/>
        <v>40.85</v>
      </c>
      <c r="F6279">
        <f t="shared" si="197"/>
        <v>87426</v>
      </c>
      <c r="H6279" s="680">
        <v>40.85</v>
      </c>
      <c r="I6279" s="680">
        <v>43</v>
      </c>
    </row>
    <row r="6280" spans="2:9" ht="30">
      <c r="B6280" s="396">
        <v>87427</v>
      </c>
      <c r="C6280" s="401" t="s">
        <v>1832</v>
      </c>
      <c r="D6280" s="396" t="s">
        <v>0</v>
      </c>
      <c r="E6280" s="405">
        <f t="shared" si="196"/>
        <v>41.48</v>
      </c>
      <c r="F6280">
        <f t="shared" si="197"/>
        <v>87427</v>
      </c>
      <c r="H6280" s="679">
        <v>41.48</v>
      </c>
      <c r="I6280" s="679">
        <v>43.7</v>
      </c>
    </row>
    <row r="6281" spans="2:9" ht="30">
      <c r="B6281" s="395">
        <v>87428</v>
      </c>
      <c r="C6281" s="406" t="s">
        <v>1833</v>
      </c>
      <c r="D6281" s="395" t="s">
        <v>0</v>
      </c>
      <c r="E6281" s="407">
        <f t="shared" si="196"/>
        <v>42.5</v>
      </c>
      <c r="F6281">
        <f t="shared" si="197"/>
        <v>87428</v>
      </c>
      <c r="H6281" s="680">
        <v>42.5</v>
      </c>
      <c r="I6281" s="680">
        <v>44.82</v>
      </c>
    </row>
    <row r="6282" spans="2:9" ht="30">
      <c r="B6282" s="396">
        <v>87429</v>
      </c>
      <c r="C6282" s="401" t="s">
        <v>1834</v>
      </c>
      <c r="D6282" s="396" t="s">
        <v>0</v>
      </c>
      <c r="E6282" s="405">
        <f t="shared" si="196"/>
        <v>17.41</v>
      </c>
      <c r="F6282">
        <f t="shared" si="197"/>
        <v>87429</v>
      </c>
      <c r="H6282" s="679">
        <v>17.41</v>
      </c>
      <c r="I6282" s="679">
        <v>18.43</v>
      </c>
    </row>
    <row r="6283" spans="2:9" ht="30">
      <c r="B6283" s="395">
        <v>87430</v>
      </c>
      <c r="C6283" s="406" t="s">
        <v>1835</v>
      </c>
      <c r="D6283" s="395" t="s">
        <v>0</v>
      </c>
      <c r="E6283" s="407">
        <f t="shared" si="196"/>
        <v>17.829999999999998</v>
      </c>
      <c r="F6283">
        <f t="shared" si="197"/>
        <v>87430</v>
      </c>
      <c r="H6283" s="680">
        <v>17.829999999999998</v>
      </c>
      <c r="I6283" s="680">
        <v>18.899999999999999</v>
      </c>
    </row>
    <row r="6284" spans="2:9" ht="30">
      <c r="B6284" s="396">
        <v>87431</v>
      </c>
      <c r="C6284" s="401" t="s">
        <v>1836</v>
      </c>
      <c r="D6284" s="396" t="s">
        <v>0</v>
      </c>
      <c r="E6284" s="405">
        <f t="shared" si="196"/>
        <v>18.04</v>
      </c>
      <c r="F6284">
        <f t="shared" si="197"/>
        <v>87431</v>
      </c>
      <c r="H6284" s="679">
        <v>18.04</v>
      </c>
      <c r="I6284" s="679">
        <v>19.13</v>
      </c>
    </row>
    <row r="6285" spans="2:9" ht="30">
      <c r="B6285" s="395">
        <v>87432</v>
      </c>
      <c r="C6285" s="406" t="s">
        <v>1837</v>
      </c>
      <c r="D6285" s="395" t="s">
        <v>0</v>
      </c>
      <c r="E6285" s="407">
        <f t="shared" si="196"/>
        <v>25.62</v>
      </c>
      <c r="F6285">
        <f t="shared" si="197"/>
        <v>87432</v>
      </c>
      <c r="H6285" s="680">
        <v>25.62</v>
      </c>
      <c r="I6285" s="680">
        <v>26.83</v>
      </c>
    </row>
    <row r="6286" spans="2:9" ht="30">
      <c r="B6286" s="396">
        <v>87433</v>
      </c>
      <c r="C6286" s="401" t="s">
        <v>1838</v>
      </c>
      <c r="D6286" s="396" t="s">
        <v>0</v>
      </c>
      <c r="E6286" s="405">
        <f t="shared" si="196"/>
        <v>26.46</v>
      </c>
      <c r="F6286">
        <f t="shared" si="197"/>
        <v>87433</v>
      </c>
      <c r="H6286" s="679">
        <v>26.46</v>
      </c>
      <c r="I6286" s="679">
        <v>27.76</v>
      </c>
    </row>
    <row r="6287" spans="2:9" ht="30">
      <c r="B6287" s="395">
        <v>87434</v>
      </c>
      <c r="C6287" s="406" t="s">
        <v>1839</v>
      </c>
      <c r="D6287" s="395" t="s">
        <v>0</v>
      </c>
      <c r="E6287" s="407">
        <f t="shared" si="196"/>
        <v>27.04</v>
      </c>
      <c r="F6287">
        <f t="shared" si="197"/>
        <v>87434</v>
      </c>
      <c r="H6287" s="680">
        <v>27.04</v>
      </c>
      <c r="I6287" s="680">
        <v>28.41</v>
      </c>
    </row>
    <row r="6288" spans="2:9" ht="30">
      <c r="B6288" s="396">
        <v>87435</v>
      </c>
      <c r="C6288" s="401" t="s">
        <v>1840</v>
      </c>
      <c r="D6288" s="396" t="s">
        <v>0</v>
      </c>
      <c r="E6288" s="405">
        <f t="shared" si="196"/>
        <v>28.27</v>
      </c>
      <c r="F6288">
        <f t="shared" si="197"/>
        <v>87435</v>
      </c>
      <c r="H6288" s="679">
        <v>28.27</v>
      </c>
      <c r="I6288" s="679">
        <v>29.77</v>
      </c>
    </row>
    <row r="6289" spans="2:9" ht="30">
      <c r="B6289" s="395">
        <v>87436</v>
      </c>
      <c r="C6289" s="406" t="s">
        <v>1841</v>
      </c>
      <c r="D6289" s="395" t="s">
        <v>0</v>
      </c>
      <c r="E6289" s="407">
        <f t="shared" si="196"/>
        <v>29.7</v>
      </c>
      <c r="F6289">
        <f t="shared" si="197"/>
        <v>87436</v>
      </c>
      <c r="H6289" s="680">
        <v>29.7</v>
      </c>
      <c r="I6289" s="680">
        <v>31.37</v>
      </c>
    </row>
    <row r="6290" spans="2:9" ht="30">
      <c r="B6290" s="396">
        <v>87437</v>
      </c>
      <c r="C6290" s="401" t="s">
        <v>375</v>
      </c>
      <c r="D6290" s="396" t="s">
        <v>0</v>
      </c>
      <c r="E6290" s="405">
        <f t="shared" si="196"/>
        <v>30.71</v>
      </c>
      <c r="F6290">
        <f t="shared" si="197"/>
        <v>87437</v>
      </c>
      <c r="H6290" s="679">
        <v>30.71</v>
      </c>
      <c r="I6290" s="679">
        <v>32.49</v>
      </c>
    </row>
    <row r="6291" spans="2:9" ht="30">
      <c r="B6291" s="395">
        <v>87438</v>
      </c>
      <c r="C6291" s="406" t="s">
        <v>1842</v>
      </c>
      <c r="D6291" s="395" t="s">
        <v>0</v>
      </c>
      <c r="E6291" s="407">
        <f t="shared" si="196"/>
        <v>35.090000000000003</v>
      </c>
      <c r="F6291">
        <f t="shared" si="197"/>
        <v>87438</v>
      </c>
      <c r="H6291" s="680">
        <v>35.090000000000003</v>
      </c>
      <c r="I6291" s="680">
        <v>36.840000000000003</v>
      </c>
    </row>
    <row r="6292" spans="2:9" ht="30">
      <c r="B6292" s="396">
        <v>87439</v>
      </c>
      <c r="C6292" s="401" t="s">
        <v>1843</v>
      </c>
      <c r="D6292" s="396" t="s">
        <v>0</v>
      </c>
      <c r="E6292" s="405">
        <f t="shared" si="196"/>
        <v>36.9</v>
      </c>
      <c r="F6292">
        <f t="shared" si="197"/>
        <v>87439</v>
      </c>
      <c r="H6292" s="679">
        <v>36.9</v>
      </c>
      <c r="I6292" s="679">
        <v>38.85</v>
      </c>
    </row>
    <row r="6293" spans="2:9" ht="30">
      <c r="B6293" s="395">
        <v>87440</v>
      </c>
      <c r="C6293" s="406" t="s">
        <v>376</v>
      </c>
      <c r="D6293" s="395" t="s">
        <v>0</v>
      </c>
      <c r="E6293" s="407">
        <f t="shared" si="196"/>
        <v>37.74</v>
      </c>
      <c r="F6293">
        <f t="shared" si="197"/>
        <v>87440</v>
      </c>
      <c r="H6293" s="680">
        <v>37.74</v>
      </c>
      <c r="I6293" s="680">
        <v>39.78</v>
      </c>
    </row>
    <row r="6294" spans="2:9" ht="45">
      <c r="B6294" s="396">
        <v>87527</v>
      </c>
      <c r="C6294" s="401" t="s">
        <v>1844</v>
      </c>
      <c r="D6294" s="396" t="s">
        <v>0</v>
      </c>
      <c r="E6294" s="405">
        <f t="shared" si="196"/>
        <v>37.57</v>
      </c>
      <c r="F6294">
        <f t="shared" si="197"/>
        <v>87527</v>
      </c>
      <c r="H6294" s="679">
        <v>37.57</v>
      </c>
      <c r="I6294" s="679">
        <v>39.72</v>
      </c>
    </row>
    <row r="6295" spans="2:9" ht="45">
      <c r="B6295" s="395">
        <v>87528</v>
      </c>
      <c r="C6295" s="406" t="s">
        <v>1845</v>
      </c>
      <c r="D6295" s="395" t="s">
        <v>0</v>
      </c>
      <c r="E6295" s="407">
        <f t="shared" si="196"/>
        <v>41.72</v>
      </c>
      <c r="F6295">
        <f t="shared" si="197"/>
        <v>87528</v>
      </c>
      <c r="H6295" s="680">
        <v>41.72</v>
      </c>
      <c r="I6295" s="680">
        <v>44.35</v>
      </c>
    </row>
    <row r="6296" spans="2:9" ht="30">
      <c r="B6296" s="396">
        <v>87529</v>
      </c>
      <c r="C6296" s="401" t="s">
        <v>1846</v>
      </c>
      <c r="D6296" s="396" t="s">
        <v>0</v>
      </c>
      <c r="E6296" s="405">
        <f t="shared" si="196"/>
        <v>34.47</v>
      </c>
      <c r="F6296">
        <f t="shared" si="197"/>
        <v>87529</v>
      </c>
      <c r="H6296" s="679">
        <v>34.47</v>
      </c>
      <c r="I6296" s="679">
        <v>36.26</v>
      </c>
    </row>
    <row r="6297" spans="2:9" ht="30">
      <c r="B6297" s="395">
        <v>87530</v>
      </c>
      <c r="C6297" s="406" t="s">
        <v>1847</v>
      </c>
      <c r="D6297" s="395" t="s">
        <v>0</v>
      </c>
      <c r="E6297" s="407">
        <f t="shared" si="196"/>
        <v>38.619999999999997</v>
      </c>
      <c r="F6297">
        <f t="shared" si="197"/>
        <v>87530</v>
      </c>
      <c r="H6297" s="680">
        <v>38.619999999999997</v>
      </c>
      <c r="I6297" s="680">
        <v>40.89</v>
      </c>
    </row>
    <row r="6298" spans="2:9" ht="45">
      <c r="B6298" s="396">
        <v>87531</v>
      </c>
      <c r="C6298" s="401" t="s">
        <v>1848</v>
      </c>
      <c r="D6298" s="396" t="s">
        <v>0</v>
      </c>
      <c r="E6298" s="405">
        <f t="shared" si="196"/>
        <v>33.369999999999997</v>
      </c>
      <c r="F6298">
        <f t="shared" si="197"/>
        <v>87531</v>
      </c>
      <c r="H6298" s="679">
        <v>33.369999999999997</v>
      </c>
      <c r="I6298" s="679">
        <v>35.04</v>
      </c>
    </row>
    <row r="6299" spans="2:9" ht="45">
      <c r="B6299" s="395">
        <v>87532</v>
      </c>
      <c r="C6299" s="406" t="s">
        <v>1849</v>
      </c>
      <c r="D6299" s="395" t="s">
        <v>0</v>
      </c>
      <c r="E6299" s="407">
        <f t="shared" si="196"/>
        <v>37.520000000000003</v>
      </c>
      <c r="F6299">
        <f t="shared" si="197"/>
        <v>87532</v>
      </c>
      <c r="H6299" s="680">
        <v>37.520000000000003</v>
      </c>
      <c r="I6299" s="680">
        <v>39.67</v>
      </c>
    </row>
    <row r="6300" spans="2:9" ht="45">
      <c r="B6300" s="396">
        <v>87535</v>
      </c>
      <c r="C6300" s="401" t="s">
        <v>1850</v>
      </c>
      <c r="D6300" s="396" t="s">
        <v>0</v>
      </c>
      <c r="E6300" s="405">
        <f t="shared" si="196"/>
        <v>30.27</v>
      </c>
      <c r="F6300">
        <f t="shared" si="197"/>
        <v>87535</v>
      </c>
      <c r="H6300" s="679">
        <v>30.27</v>
      </c>
      <c r="I6300" s="679">
        <v>31.59</v>
      </c>
    </row>
    <row r="6301" spans="2:9" ht="45">
      <c r="B6301" s="395">
        <v>87536</v>
      </c>
      <c r="C6301" s="406" t="s">
        <v>1851</v>
      </c>
      <c r="D6301" s="395" t="s">
        <v>0</v>
      </c>
      <c r="E6301" s="407">
        <f t="shared" si="196"/>
        <v>34.42</v>
      </c>
      <c r="F6301">
        <f t="shared" si="197"/>
        <v>87536</v>
      </c>
      <c r="H6301" s="680">
        <v>34.42</v>
      </c>
      <c r="I6301" s="680">
        <v>36.22</v>
      </c>
    </row>
    <row r="6302" spans="2:9" ht="45">
      <c r="B6302" s="396">
        <v>87537</v>
      </c>
      <c r="C6302" s="401" t="s">
        <v>1852</v>
      </c>
      <c r="D6302" s="396" t="s">
        <v>0</v>
      </c>
      <c r="E6302" s="405">
        <f t="shared" si="196"/>
        <v>92.83</v>
      </c>
      <c r="F6302">
        <f t="shared" si="197"/>
        <v>87537</v>
      </c>
      <c r="H6302" s="679">
        <v>92.83</v>
      </c>
      <c r="I6302" s="679">
        <v>94.59</v>
      </c>
    </row>
    <row r="6303" spans="2:9" ht="45">
      <c r="B6303" s="395">
        <v>87538</v>
      </c>
      <c r="C6303" s="406" t="s">
        <v>1853</v>
      </c>
      <c r="D6303" s="395" t="s">
        <v>0</v>
      </c>
      <c r="E6303" s="407">
        <f t="shared" si="196"/>
        <v>90.19</v>
      </c>
      <c r="F6303">
        <f t="shared" si="197"/>
        <v>87538</v>
      </c>
      <c r="H6303" s="680">
        <v>90.19</v>
      </c>
      <c r="I6303" s="680">
        <v>91.65</v>
      </c>
    </row>
    <row r="6304" spans="2:9" ht="45">
      <c r="B6304" s="396">
        <v>87539</v>
      </c>
      <c r="C6304" s="401" t="s">
        <v>1854</v>
      </c>
      <c r="D6304" s="396" t="s">
        <v>0</v>
      </c>
      <c r="E6304" s="405">
        <f t="shared" si="196"/>
        <v>89.25</v>
      </c>
      <c r="F6304">
        <f t="shared" si="197"/>
        <v>87539</v>
      </c>
      <c r="H6304" s="679">
        <v>89.25</v>
      </c>
      <c r="I6304" s="679">
        <v>90.59</v>
      </c>
    </row>
    <row r="6305" spans="2:9" ht="45">
      <c r="B6305" s="395">
        <v>87541</v>
      </c>
      <c r="C6305" s="406" t="s">
        <v>1855</v>
      </c>
      <c r="D6305" s="395" t="s">
        <v>0</v>
      </c>
      <c r="E6305" s="407">
        <f t="shared" si="196"/>
        <v>86.6</v>
      </c>
      <c r="F6305">
        <f t="shared" si="197"/>
        <v>87541</v>
      </c>
      <c r="H6305" s="680">
        <v>86.6</v>
      </c>
      <c r="I6305" s="680">
        <v>87.65</v>
      </c>
    </row>
    <row r="6306" spans="2:9" ht="45">
      <c r="B6306" s="396">
        <v>87543</v>
      </c>
      <c r="C6306" s="401" t="s">
        <v>2580</v>
      </c>
      <c r="D6306" s="396" t="s">
        <v>0</v>
      </c>
      <c r="E6306" s="405">
        <f t="shared" si="196"/>
        <v>28.8</v>
      </c>
      <c r="F6306">
        <f t="shared" si="197"/>
        <v>87543</v>
      </c>
      <c r="H6306" s="679">
        <v>28.8</v>
      </c>
      <c r="I6306" s="679">
        <v>29.43</v>
      </c>
    </row>
    <row r="6307" spans="2:9" ht="45">
      <c r="B6307" s="395">
        <v>87545</v>
      </c>
      <c r="C6307" s="406" t="s">
        <v>1856</v>
      </c>
      <c r="D6307" s="395" t="s">
        <v>0</v>
      </c>
      <c r="E6307" s="407">
        <f t="shared" si="196"/>
        <v>24.97</v>
      </c>
      <c r="F6307">
        <f t="shared" si="197"/>
        <v>87545</v>
      </c>
      <c r="H6307" s="680">
        <v>24.97</v>
      </c>
      <c r="I6307" s="680">
        <v>26.61</v>
      </c>
    </row>
    <row r="6308" spans="2:9" ht="45">
      <c r="B6308" s="396">
        <v>87546</v>
      </c>
      <c r="C6308" s="401" t="s">
        <v>1857</v>
      </c>
      <c r="D6308" s="396" t="s">
        <v>0</v>
      </c>
      <c r="E6308" s="405">
        <f t="shared" si="196"/>
        <v>27.32</v>
      </c>
      <c r="F6308">
        <f t="shared" si="197"/>
        <v>87546</v>
      </c>
      <c r="H6308" s="679">
        <v>27.32</v>
      </c>
      <c r="I6308" s="679">
        <v>29.23</v>
      </c>
    </row>
    <row r="6309" spans="2:9" ht="30">
      <c r="B6309" s="395">
        <v>87547</v>
      </c>
      <c r="C6309" s="406" t="s">
        <v>1858</v>
      </c>
      <c r="D6309" s="395" t="s">
        <v>0</v>
      </c>
      <c r="E6309" s="407">
        <f t="shared" si="196"/>
        <v>21.89</v>
      </c>
      <c r="F6309">
        <f t="shared" si="197"/>
        <v>87547</v>
      </c>
      <c r="H6309" s="680">
        <v>21.89</v>
      </c>
      <c r="I6309" s="680">
        <v>23.17</v>
      </c>
    </row>
    <row r="6310" spans="2:9" ht="30">
      <c r="B6310" s="396">
        <v>87548</v>
      </c>
      <c r="C6310" s="401" t="s">
        <v>1859</v>
      </c>
      <c r="D6310" s="396" t="s">
        <v>0</v>
      </c>
      <c r="E6310" s="405">
        <f t="shared" si="196"/>
        <v>24.24</v>
      </c>
      <c r="F6310">
        <f t="shared" si="197"/>
        <v>87548</v>
      </c>
      <c r="H6310" s="679">
        <v>24.24</v>
      </c>
      <c r="I6310" s="679">
        <v>25.79</v>
      </c>
    </row>
    <row r="6311" spans="2:9" ht="45">
      <c r="B6311" s="395">
        <v>87549</v>
      </c>
      <c r="C6311" s="406" t="s">
        <v>1860</v>
      </c>
      <c r="D6311" s="395" t="s">
        <v>0</v>
      </c>
      <c r="E6311" s="407">
        <f t="shared" si="196"/>
        <v>20.77</v>
      </c>
      <c r="F6311">
        <f t="shared" si="197"/>
        <v>87549</v>
      </c>
      <c r="H6311" s="680">
        <v>20.77</v>
      </c>
      <c r="I6311" s="680">
        <v>21.93</v>
      </c>
    </row>
    <row r="6312" spans="2:9" ht="45">
      <c r="B6312" s="396">
        <v>87550</v>
      </c>
      <c r="C6312" s="401" t="s">
        <v>1861</v>
      </c>
      <c r="D6312" s="396" t="s">
        <v>0</v>
      </c>
      <c r="E6312" s="405">
        <f t="shared" si="196"/>
        <v>23.12</v>
      </c>
      <c r="F6312">
        <f t="shared" si="197"/>
        <v>87550</v>
      </c>
      <c r="H6312" s="679">
        <v>23.12</v>
      </c>
      <c r="I6312" s="679">
        <v>24.55</v>
      </c>
    </row>
    <row r="6313" spans="2:9" ht="45">
      <c r="B6313" s="395">
        <v>87553</v>
      </c>
      <c r="C6313" s="406" t="s">
        <v>1862</v>
      </c>
      <c r="D6313" s="395" t="s">
        <v>0</v>
      </c>
      <c r="E6313" s="407">
        <f t="shared" si="196"/>
        <v>17.670000000000002</v>
      </c>
      <c r="F6313">
        <f t="shared" si="197"/>
        <v>87553</v>
      </c>
      <c r="H6313" s="680">
        <v>17.670000000000002</v>
      </c>
      <c r="I6313" s="680">
        <v>18.48</v>
      </c>
    </row>
    <row r="6314" spans="2:9" ht="45">
      <c r="B6314" s="396">
        <v>87554</v>
      </c>
      <c r="C6314" s="401" t="s">
        <v>1863</v>
      </c>
      <c r="D6314" s="396" t="s">
        <v>0</v>
      </c>
      <c r="E6314" s="405">
        <f t="shared" si="196"/>
        <v>20.02</v>
      </c>
      <c r="F6314">
        <f t="shared" si="197"/>
        <v>87554</v>
      </c>
      <c r="H6314" s="679">
        <v>20.02</v>
      </c>
      <c r="I6314" s="679">
        <v>21.1</v>
      </c>
    </row>
    <row r="6315" spans="2:9" ht="45">
      <c r="B6315" s="395">
        <v>87555</v>
      </c>
      <c r="C6315" s="406" t="s">
        <v>1864</v>
      </c>
      <c r="D6315" s="395" t="s">
        <v>0</v>
      </c>
      <c r="E6315" s="407">
        <f t="shared" si="196"/>
        <v>55.32</v>
      </c>
      <c r="F6315">
        <f t="shared" si="197"/>
        <v>87555</v>
      </c>
      <c r="H6315" s="680">
        <v>55.32</v>
      </c>
      <c r="I6315" s="680">
        <v>56.62</v>
      </c>
    </row>
    <row r="6316" spans="2:9" ht="45">
      <c r="B6316" s="396">
        <v>87556</v>
      </c>
      <c r="C6316" s="401" t="s">
        <v>1865</v>
      </c>
      <c r="D6316" s="396" t="s">
        <v>0</v>
      </c>
      <c r="E6316" s="405">
        <f t="shared" si="196"/>
        <v>52.69</v>
      </c>
      <c r="F6316">
        <f t="shared" si="197"/>
        <v>87556</v>
      </c>
      <c r="H6316" s="679">
        <v>52.69</v>
      </c>
      <c r="I6316" s="679">
        <v>53.7</v>
      </c>
    </row>
    <row r="6317" spans="2:9" ht="45">
      <c r="B6317" s="395">
        <v>87557</v>
      </c>
      <c r="C6317" s="406" t="s">
        <v>1866</v>
      </c>
      <c r="D6317" s="395" t="s">
        <v>0</v>
      </c>
      <c r="E6317" s="407">
        <f t="shared" si="196"/>
        <v>51.74</v>
      </c>
      <c r="F6317">
        <f t="shared" si="197"/>
        <v>87557</v>
      </c>
      <c r="H6317" s="680">
        <v>51.74</v>
      </c>
      <c r="I6317" s="680">
        <v>52.62</v>
      </c>
    </row>
    <row r="6318" spans="2:9" ht="45">
      <c r="B6318" s="396">
        <v>87559</v>
      </c>
      <c r="C6318" s="401" t="s">
        <v>1867</v>
      </c>
      <c r="D6318" s="396" t="s">
        <v>0</v>
      </c>
      <c r="E6318" s="405">
        <f t="shared" si="196"/>
        <v>49.09</v>
      </c>
      <c r="F6318">
        <f t="shared" si="197"/>
        <v>87559</v>
      </c>
      <c r="H6318" s="679">
        <v>49.09</v>
      </c>
      <c r="I6318" s="679">
        <v>49.68</v>
      </c>
    </row>
    <row r="6319" spans="2:9" ht="45">
      <c r="B6319" s="395">
        <v>87561</v>
      </c>
      <c r="C6319" s="406" t="s">
        <v>1868</v>
      </c>
      <c r="D6319" s="395" t="s">
        <v>0</v>
      </c>
      <c r="E6319" s="407">
        <f t="shared" si="196"/>
        <v>51.97</v>
      </c>
      <c r="F6319">
        <f t="shared" si="197"/>
        <v>87561</v>
      </c>
      <c r="H6319" s="680">
        <v>51.97</v>
      </c>
      <c r="I6319" s="680">
        <v>52.89</v>
      </c>
    </row>
    <row r="6320" spans="2:9" ht="30">
      <c r="B6320" s="396">
        <v>87775</v>
      </c>
      <c r="C6320" s="401" t="s">
        <v>8614</v>
      </c>
      <c r="D6320" s="396" t="s">
        <v>0</v>
      </c>
      <c r="E6320" s="405">
        <f t="shared" si="196"/>
        <v>48.19</v>
      </c>
      <c r="F6320">
        <f t="shared" si="197"/>
        <v>87775</v>
      </c>
      <c r="H6320" s="679">
        <v>48.19</v>
      </c>
      <c r="I6320" s="679">
        <v>51.4</v>
      </c>
    </row>
    <row r="6321" spans="2:9" ht="30">
      <c r="B6321" s="395">
        <v>87777</v>
      </c>
      <c r="C6321" s="406" t="s">
        <v>8615</v>
      </c>
      <c r="D6321" s="395" t="s">
        <v>0</v>
      </c>
      <c r="E6321" s="407">
        <f t="shared" si="196"/>
        <v>51.66</v>
      </c>
      <c r="F6321">
        <f t="shared" si="197"/>
        <v>87777</v>
      </c>
      <c r="H6321" s="680">
        <v>51.66</v>
      </c>
      <c r="I6321" s="680">
        <v>55.28</v>
      </c>
    </row>
    <row r="6322" spans="2:9" ht="30">
      <c r="B6322" s="396">
        <v>87778</v>
      </c>
      <c r="C6322" s="401" t="s">
        <v>8616</v>
      </c>
      <c r="D6322" s="396" t="s">
        <v>0</v>
      </c>
      <c r="E6322" s="405">
        <f t="shared" si="196"/>
        <v>94.73</v>
      </c>
      <c r="F6322">
        <f t="shared" si="197"/>
        <v>87778</v>
      </c>
      <c r="H6322" s="679">
        <v>94.73</v>
      </c>
      <c r="I6322" s="679">
        <v>97.67</v>
      </c>
    </row>
    <row r="6323" spans="2:9" ht="30">
      <c r="B6323" s="395">
        <v>87779</v>
      </c>
      <c r="C6323" s="406" t="s">
        <v>8617</v>
      </c>
      <c r="D6323" s="395" t="s">
        <v>0</v>
      </c>
      <c r="E6323" s="407">
        <f t="shared" si="196"/>
        <v>61.69</v>
      </c>
      <c r="F6323">
        <f t="shared" si="197"/>
        <v>87779</v>
      </c>
      <c r="H6323" s="680">
        <v>61.69</v>
      </c>
      <c r="I6323" s="680">
        <v>65.819999999999993</v>
      </c>
    </row>
    <row r="6324" spans="2:9" ht="30">
      <c r="B6324" s="396">
        <v>87781</v>
      </c>
      <c r="C6324" s="401" t="s">
        <v>8618</v>
      </c>
      <c r="D6324" s="396" t="s">
        <v>0</v>
      </c>
      <c r="E6324" s="405">
        <f t="shared" si="196"/>
        <v>66.34</v>
      </c>
      <c r="F6324">
        <f t="shared" si="197"/>
        <v>87781</v>
      </c>
      <c r="H6324" s="679">
        <v>66.34</v>
      </c>
      <c r="I6324" s="679">
        <v>71.02</v>
      </c>
    </row>
    <row r="6325" spans="2:9" ht="30">
      <c r="B6325" s="395">
        <v>87783</v>
      </c>
      <c r="C6325" s="406" t="s">
        <v>8619</v>
      </c>
      <c r="D6325" s="395" t="s">
        <v>0</v>
      </c>
      <c r="E6325" s="407">
        <f t="shared" si="196"/>
        <v>124.29</v>
      </c>
      <c r="F6325">
        <f t="shared" si="197"/>
        <v>87783</v>
      </c>
      <c r="H6325" s="680">
        <v>124.29</v>
      </c>
      <c r="I6325" s="680">
        <v>128.07</v>
      </c>
    </row>
    <row r="6326" spans="2:9" ht="30">
      <c r="B6326" s="396">
        <v>87784</v>
      </c>
      <c r="C6326" s="401" t="s">
        <v>8620</v>
      </c>
      <c r="D6326" s="396" t="s">
        <v>0</v>
      </c>
      <c r="E6326" s="405">
        <f t="shared" si="196"/>
        <v>67.739999999999995</v>
      </c>
      <c r="F6326">
        <f t="shared" si="197"/>
        <v>87784</v>
      </c>
      <c r="H6326" s="679">
        <v>67.739999999999995</v>
      </c>
      <c r="I6326" s="679">
        <v>71.95</v>
      </c>
    </row>
    <row r="6327" spans="2:9" ht="30">
      <c r="B6327" s="395">
        <v>87786</v>
      </c>
      <c r="C6327" s="406" t="s">
        <v>8621</v>
      </c>
      <c r="D6327" s="395" t="s">
        <v>0</v>
      </c>
      <c r="E6327" s="407">
        <f t="shared" si="196"/>
        <v>73.569999999999993</v>
      </c>
      <c r="F6327">
        <f t="shared" si="197"/>
        <v>87786</v>
      </c>
      <c r="H6327" s="680">
        <v>73.569999999999993</v>
      </c>
      <c r="I6327" s="680">
        <v>78.47</v>
      </c>
    </row>
    <row r="6328" spans="2:9" ht="30">
      <c r="B6328" s="396">
        <v>87787</v>
      </c>
      <c r="C6328" s="401" t="s">
        <v>8622</v>
      </c>
      <c r="D6328" s="396" t="s">
        <v>0</v>
      </c>
      <c r="E6328" s="405">
        <f t="shared" si="196"/>
        <v>147.03</v>
      </c>
      <c r="F6328">
        <f t="shared" si="197"/>
        <v>87787</v>
      </c>
      <c r="H6328" s="679">
        <v>147.03</v>
      </c>
      <c r="I6328" s="679">
        <v>150.88999999999999</v>
      </c>
    </row>
    <row r="6329" spans="2:9" ht="30">
      <c r="B6329" s="395">
        <v>87788</v>
      </c>
      <c r="C6329" s="406" t="s">
        <v>8623</v>
      </c>
      <c r="D6329" s="395" t="s">
        <v>0</v>
      </c>
      <c r="E6329" s="407">
        <f t="shared" si="196"/>
        <v>79.209999999999994</v>
      </c>
      <c r="F6329">
        <f t="shared" si="197"/>
        <v>87788</v>
      </c>
      <c r="H6329" s="680">
        <v>79.209999999999994</v>
      </c>
      <c r="I6329" s="680">
        <v>84.4</v>
      </c>
    </row>
    <row r="6330" spans="2:9" ht="30">
      <c r="B6330" s="396">
        <v>87790</v>
      </c>
      <c r="C6330" s="401" t="s">
        <v>1869</v>
      </c>
      <c r="D6330" s="396" t="s">
        <v>0</v>
      </c>
      <c r="E6330" s="405">
        <f t="shared" si="196"/>
        <v>85.63</v>
      </c>
      <c r="F6330">
        <f t="shared" si="197"/>
        <v>87790</v>
      </c>
      <c r="H6330" s="679">
        <v>85.63</v>
      </c>
      <c r="I6330" s="679">
        <v>91.57</v>
      </c>
    </row>
    <row r="6331" spans="2:9" ht="45">
      <c r="B6331" s="395">
        <v>87791</v>
      </c>
      <c r="C6331" s="406" t="s">
        <v>8624</v>
      </c>
      <c r="D6331" s="395" t="s">
        <v>0</v>
      </c>
      <c r="E6331" s="407">
        <f t="shared" si="196"/>
        <v>161.79</v>
      </c>
      <c r="F6331">
        <f t="shared" si="197"/>
        <v>87791</v>
      </c>
      <c r="H6331" s="680">
        <v>161.79</v>
      </c>
      <c r="I6331" s="680">
        <v>166.08</v>
      </c>
    </row>
    <row r="6332" spans="2:9" ht="30">
      <c r="B6332" s="396">
        <v>87792</v>
      </c>
      <c r="C6332" s="401" t="s">
        <v>8625</v>
      </c>
      <c r="D6332" s="396" t="s">
        <v>0</v>
      </c>
      <c r="E6332" s="405">
        <f t="shared" si="196"/>
        <v>36.92</v>
      </c>
      <c r="F6332">
        <f t="shared" si="197"/>
        <v>87792</v>
      </c>
      <c r="H6332" s="679">
        <v>36.92</v>
      </c>
      <c r="I6332" s="679">
        <v>38.94</v>
      </c>
    </row>
    <row r="6333" spans="2:9" ht="30">
      <c r="B6333" s="395">
        <v>87794</v>
      </c>
      <c r="C6333" s="406" t="s">
        <v>8626</v>
      </c>
      <c r="D6333" s="395" t="s">
        <v>0</v>
      </c>
      <c r="E6333" s="407">
        <f t="shared" si="196"/>
        <v>40.159999999999997</v>
      </c>
      <c r="F6333">
        <f t="shared" si="197"/>
        <v>87794</v>
      </c>
      <c r="H6333" s="680">
        <v>40.159999999999997</v>
      </c>
      <c r="I6333" s="680">
        <v>42.55</v>
      </c>
    </row>
    <row r="6334" spans="2:9" ht="45">
      <c r="B6334" s="396">
        <v>87795</v>
      </c>
      <c r="C6334" s="401" t="s">
        <v>8627</v>
      </c>
      <c r="D6334" s="396" t="s">
        <v>0</v>
      </c>
      <c r="E6334" s="405">
        <f t="shared" si="196"/>
        <v>81.19</v>
      </c>
      <c r="F6334">
        <f t="shared" si="197"/>
        <v>87795</v>
      </c>
      <c r="H6334" s="679">
        <v>81.19</v>
      </c>
      <c r="I6334" s="679">
        <v>83.02</v>
      </c>
    </row>
    <row r="6335" spans="2:9" ht="30">
      <c r="B6335" s="395">
        <v>87797</v>
      </c>
      <c r="C6335" s="406" t="s">
        <v>8628</v>
      </c>
      <c r="D6335" s="395" t="s">
        <v>0</v>
      </c>
      <c r="E6335" s="407">
        <f t="shared" si="196"/>
        <v>50.07</v>
      </c>
      <c r="F6335">
        <f t="shared" si="197"/>
        <v>87797</v>
      </c>
      <c r="H6335" s="680">
        <v>50.07</v>
      </c>
      <c r="I6335" s="680">
        <v>53</v>
      </c>
    </row>
    <row r="6336" spans="2:9" ht="30">
      <c r="B6336" s="396">
        <v>87799</v>
      </c>
      <c r="C6336" s="401" t="s">
        <v>8629</v>
      </c>
      <c r="D6336" s="396" t="s">
        <v>0</v>
      </c>
      <c r="E6336" s="405">
        <f t="shared" si="196"/>
        <v>54.41</v>
      </c>
      <c r="F6336">
        <f t="shared" si="197"/>
        <v>87799</v>
      </c>
      <c r="H6336" s="679">
        <v>54.41</v>
      </c>
      <c r="I6336" s="679">
        <v>57.85</v>
      </c>
    </row>
    <row r="6337" spans="2:9" ht="45">
      <c r="B6337" s="395">
        <v>87800</v>
      </c>
      <c r="C6337" s="406" t="s">
        <v>8630</v>
      </c>
      <c r="D6337" s="395" t="s">
        <v>0</v>
      </c>
      <c r="E6337" s="407">
        <f t="shared" si="196"/>
        <v>109.21</v>
      </c>
      <c r="F6337">
        <f t="shared" si="197"/>
        <v>87800</v>
      </c>
      <c r="H6337" s="680">
        <v>109.21</v>
      </c>
      <c r="I6337" s="680">
        <v>111.89</v>
      </c>
    </row>
    <row r="6338" spans="2:9" ht="30">
      <c r="B6338" s="396">
        <v>87801</v>
      </c>
      <c r="C6338" s="401" t="s">
        <v>8631</v>
      </c>
      <c r="D6338" s="396" t="s">
        <v>0</v>
      </c>
      <c r="E6338" s="405">
        <f t="shared" si="196"/>
        <v>55.72</v>
      </c>
      <c r="F6338">
        <f t="shared" si="197"/>
        <v>87801</v>
      </c>
      <c r="H6338" s="679">
        <v>55.72</v>
      </c>
      <c r="I6338" s="679">
        <v>58.73</v>
      </c>
    </row>
    <row r="6339" spans="2:9" ht="30">
      <c r="B6339" s="395">
        <v>87803</v>
      </c>
      <c r="C6339" s="406" t="s">
        <v>8632</v>
      </c>
      <c r="D6339" s="395" t="s">
        <v>0</v>
      </c>
      <c r="E6339" s="407">
        <f t="shared" ref="E6339:E6402" si="198">IF($K$2=$H$1,H6339,I6339)</f>
        <v>61.17</v>
      </c>
      <c r="F6339">
        <f t="shared" ref="F6339:F6402" si="199">IF(LEN($B6339)=7,CONCATENATE(MID($B6339,1,6),"00",RIGHT($B6339,1)),IF(LEN($B6339)=8,CONCATENATE(MID($B6339,1,6),"0",RIGHT($B6339,2)),$B6339))</f>
        <v>87803</v>
      </c>
      <c r="H6339" s="680">
        <v>61.17</v>
      </c>
      <c r="I6339" s="680">
        <v>64.81</v>
      </c>
    </row>
    <row r="6340" spans="2:9" ht="45">
      <c r="B6340" s="396">
        <v>87804</v>
      </c>
      <c r="C6340" s="401" t="s">
        <v>8633</v>
      </c>
      <c r="D6340" s="396" t="s">
        <v>0</v>
      </c>
      <c r="E6340" s="405">
        <f t="shared" si="198"/>
        <v>130.46</v>
      </c>
      <c r="F6340">
        <f t="shared" si="199"/>
        <v>87804</v>
      </c>
      <c r="H6340" s="679">
        <v>130.46</v>
      </c>
      <c r="I6340" s="679">
        <v>133.21</v>
      </c>
    </row>
    <row r="6341" spans="2:9" ht="30">
      <c r="B6341" s="395">
        <v>87805</v>
      </c>
      <c r="C6341" s="406" t="s">
        <v>8634</v>
      </c>
      <c r="D6341" s="395" t="s">
        <v>0</v>
      </c>
      <c r="E6341" s="407">
        <f t="shared" si="198"/>
        <v>60.7</v>
      </c>
      <c r="F6341">
        <f t="shared" si="199"/>
        <v>87805</v>
      </c>
      <c r="H6341" s="680">
        <v>60.7</v>
      </c>
      <c r="I6341" s="680">
        <v>63.99</v>
      </c>
    </row>
    <row r="6342" spans="2:9" ht="30">
      <c r="B6342" s="396">
        <v>87807</v>
      </c>
      <c r="C6342" s="401" t="s">
        <v>8635</v>
      </c>
      <c r="D6342" s="396" t="s">
        <v>0</v>
      </c>
      <c r="E6342" s="405">
        <f t="shared" si="198"/>
        <v>66.7</v>
      </c>
      <c r="F6342">
        <f t="shared" si="199"/>
        <v>87807</v>
      </c>
      <c r="H6342" s="679">
        <v>66.7</v>
      </c>
      <c r="I6342" s="679">
        <v>70.69</v>
      </c>
    </row>
    <row r="6343" spans="2:9" ht="45">
      <c r="B6343" s="395">
        <v>87808</v>
      </c>
      <c r="C6343" s="406" t="s">
        <v>8636</v>
      </c>
      <c r="D6343" s="395" t="s">
        <v>0</v>
      </c>
      <c r="E6343" s="407">
        <f t="shared" si="198"/>
        <v>140.55000000000001</v>
      </c>
      <c r="F6343">
        <f t="shared" si="199"/>
        <v>87808</v>
      </c>
      <c r="H6343" s="680">
        <v>140.55000000000001</v>
      </c>
      <c r="I6343" s="680">
        <v>143.26</v>
      </c>
    </row>
    <row r="6344" spans="2:9" ht="45">
      <c r="B6344" s="396">
        <v>87809</v>
      </c>
      <c r="C6344" s="401" t="s">
        <v>8637</v>
      </c>
      <c r="D6344" s="396" t="s">
        <v>0</v>
      </c>
      <c r="E6344" s="405">
        <f t="shared" si="198"/>
        <v>64.27</v>
      </c>
      <c r="F6344">
        <f t="shared" si="199"/>
        <v>87809</v>
      </c>
      <c r="H6344" s="679">
        <v>64.27</v>
      </c>
      <c r="I6344" s="679">
        <v>69.81</v>
      </c>
    </row>
    <row r="6345" spans="2:9" ht="30">
      <c r="B6345" s="395">
        <v>87811</v>
      </c>
      <c r="C6345" s="406" t="s">
        <v>8638</v>
      </c>
      <c r="D6345" s="395" t="s">
        <v>0</v>
      </c>
      <c r="E6345" s="407">
        <f t="shared" si="198"/>
        <v>67.510000000000005</v>
      </c>
      <c r="F6345">
        <f t="shared" si="199"/>
        <v>87811</v>
      </c>
      <c r="H6345" s="680">
        <v>67.510000000000005</v>
      </c>
      <c r="I6345" s="680">
        <v>73.42</v>
      </c>
    </row>
    <row r="6346" spans="2:9" ht="30">
      <c r="B6346" s="396">
        <v>87812</v>
      </c>
      <c r="C6346" s="401" t="s">
        <v>8639</v>
      </c>
      <c r="D6346" s="396" t="s">
        <v>0</v>
      </c>
      <c r="E6346" s="405">
        <f t="shared" si="198"/>
        <v>105.62</v>
      </c>
      <c r="F6346">
        <f t="shared" si="199"/>
        <v>87812</v>
      </c>
      <c r="H6346" s="679">
        <v>105.62</v>
      </c>
      <c r="I6346" s="679">
        <v>110.66</v>
      </c>
    </row>
    <row r="6347" spans="2:9" ht="45">
      <c r="B6347" s="395">
        <v>87813</v>
      </c>
      <c r="C6347" s="406" t="s">
        <v>8640</v>
      </c>
      <c r="D6347" s="395" t="s">
        <v>0</v>
      </c>
      <c r="E6347" s="407">
        <f t="shared" si="198"/>
        <v>77.41</v>
      </c>
      <c r="F6347">
        <f t="shared" si="199"/>
        <v>87813</v>
      </c>
      <c r="H6347" s="680">
        <v>77.41</v>
      </c>
      <c r="I6347" s="680">
        <v>83.88</v>
      </c>
    </row>
    <row r="6348" spans="2:9" ht="30">
      <c r="B6348" s="396">
        <v>87815</v>
      </c>
      <c r="C6348" s="401" t="s">
        <v>8641</v>
      </c>
      <c r="D6348" s="396" t="s">
        <v>0</v>
      </c>
      <c r="E6348" s="405">
        <f t="shared" si="198"/>
        <v>81.75</v>
      </c>
      <c r="F6348">
        <f t="shared" si="199"/>
        <v>87815</v>
      </c>
      <c r="H6348" s="679">
        <v>81.75</v>
      </c>
      <c r="I6348" s="679">
        <v>88.73</v>
      </c>
    </row>
    <row r="6349" spans="2:9" ht="30">
      <c r="B6349" s="395">
        <v>87816</v>
      </c>
      <c r="C6349" s="406" t="s">
        <v>8642</v>
      </c>
      <c r="D6349" s="395" t="s">
        <v>0</v>
      </c>
      <c r="E6349" s="407">
        <f t="shared" si="198"/>
        <v>133.69999999999999</v>
      </c>
      <c r="F6349">
        <f t="shared" si="199"/>
        <v>87816</v>
      </c>
      <c r="H6349" s="680">
        <v>133.69999999999999</v>
      </c>
      <c r="I6349" s="680">
        <v>139.58000000000001</v>
      </c>
    </row>
    <row r="6350" spans="2:9" ht="45">
      <c r="B6350" s="396">
        <v>87817</v>
      </c>
      <c r="C6350" s="401" t="s">
        <v>8643</v>
      </c>
      <c r="D6350" s="396" t="s">
        <v>0</v>
      </c>
      <c r="E6350" s="405">
        <f t="shared" si="198"/>
        <v>83.06</v>
      </c>
      <c r="F6350">
        <f t="shared" si="199"/>
        <v>87817</v>
      </c>
      <c r="H6350" s="679">
        <v>83.06</v>
      </c>
      <c r="I6350" s="679">
        <v>89.61</v>
      </c>
    </row>
    <row r="6351" spans="2:9" ht="30">
      <c r="B6351" s="395">
        <v>87819</v>
      </c>
      <c r="C6351" s="406" t="s">
        <v>8644</v>
      </c>
      <c r="D6351" s="395" t="s">
        <v>0</v>
      </c>
      <c r="E6351" s="407">
        <f t="shared" si="198"/>
        <v>88.51</v>
      </c>
      <c r="F6351">
        <f t="shared" si="199"/>
        <v>87819</v>
      </c>
      <c r="H6351" s="680">
        <v>88.51</v>
      </c>
      <c r="I6351" s="680">
        <v>95.69</v>
      </c>
    </row>
    <row r="6352" spans="2:9" ht="30">
      <c r="B6352" s="396">
        <v>87820</v>
      </c>
      <c r="C6352" s="401" t="s">
        <v>8645</v>
      </c>
      <c r="D6352" s="396" t="s">
        <v>0</v>
      </c>
      <c r="E6352" s="405">
        <f t="shared" si="198"/>
        <v>154.94999999999999</v>
      </c>
      <c r="F6352">
        <f t="shared" si="199"/>
        <v>87820</v>
      </c>
      <c r="H6352" s="679">
        <v>154.94999999999999</v>
      </c>
      <c r="I6352" s="679">
        <v>160.9</v>
      </c>
    </row>
    <row r="6353" spans="2:9" ht="45">
      <c r="B6353" s="395">
        <v>87821</v>
      </c>
      <c r="C6353" s="406" t="s">
        <v>8646</v>
      </c>
      <c r="D6353" s="395" t="s">
        <v>0</v>
      </c>
      <c r="E6353" s="407">
        <f t="shared" si="198"/>
        <v>106.96</v>
      </c>
      <c r="F6353">
        <f t="shared" si="199"/>
        <v>87821</v>
      </c>
      <c r="H6353" s="680">
        <v>106.96</v>
      </c>
      <c r="I6353" s="680">
        <v>115.88</v>
      </c>
    </row>
    <row r="6354" spans="2:9" ht="30">
      <c r="B6354" s="396">
        <v>87823</v>
      </c>
      <c r="C6354" s="401" t="s">
        <v>8647</v>
      </c>
      <c r="D6354" s="396" t="s">
        <v>0</v>
      </c>
      <c r="E6354" s="405">
        <f t="shared" si="198"/>
        <v>112.96</v>
      </c>
      <c r="F6354">
        <f t="shared" si="199"/>
        <v>87823</v>
      </c>
      <c r="H6354" s="679">
        <v>112.96</v>
      </c>
      <c r="I6354" s="679">
        <v>122.58</v>
      </c>
    </row>
    <row r="6355" spans="2:9" ht="45">
      <c r="B6355" s="395">
        <v>87824</v>
      </c>
      <c r="C6355" s="406" t="s">
        <v>8648</v>
      </c>
      <c r="D6355" s="395" t="s">
        <v>0</v>
      </c>
      <c r="E6355" s="407">
        <f t="shared" si="198"/>
        <v>177.27</v>
      </c>
      <c r="F6355">
        <f t="shared" si="199"/>
        <v>87824</v>
      </c>
      <c r="H6355" s="680">
        <v>177.27</v>
      </c>
      <c r="I6355" s="680">
        <v>184.56</v>
      </c>
    </row>
    <row r="6356" spans="2:9" ht="45">
      <c r="B6356" s="396">
        <v>87825</v>
      </c>
      <c r="C6356" s="401" t="s">
        <v>8649</v>
      </c>
      <c r="D6356" s="396" t="s">
        <v>0</v>
      </c>
      <c r="E6356" s="405">
        <f t="shared" si="198"/>
        <v>60.97</v>
      </c>
      <c r="F6356">
        <f t="shared" si="199"/>
        <v>87825</v>
      </c>
      <c r="H6356" s="679">
        <v>60.97</v>
      </c>
      <c r="I6356" s="679">
        <v>65.790000000000006</v>
      </c>
    </row>
    <row r="6357" spans="2:9" ht="30">
      <c r="B6357" s="395">
        <v>87827</v>
      </c>
      <c r="C6357" s="406" t="s">
        <v>8650</v>
      </c>
      <c r="D6357" s="395" t="s">
        <v>0</v>
      </c>
      <c r="E6357" s="407">
        <f t="shared" si="198"/>
        <v>64.930000000000007</v>
      </c>
      <c r="F6357">
        <f t="shared" si="199"/>
        <v>87827</v>
      </c>
      <c r="H6357" s="680">
        <v>64.930000000000007</v>
      </c>
      <c r="I6357" s="680">
        <v>70.22</v>
      </c>
    </row>
    <row r="6358" spans="2:9" ht="30">
      <c r="B6358" s="396">
        <v>87828</v>
      </c>
      <c r="C6358" s="401" t="s">
        <v>8651</v>
      </c>
      <c r="D6358" s="396" t="s">
        <v>0</v>
      </c>
      <c r="E6358" s="405">
        <f t="shared" si="198"/>
        <v>113.32</v>
      </c>
      <c r="F6358">
        <f t="shared" si="199"/>
        <v>87828</v>
      </c>
      <c r="H6358" s="679">
        <v>113.32</v>
      </c>
      <c r="I6358" s="679">
        <v>117.71</v>
      </c>
    </row>
    <row r="6359" spans="2:9" ht="45">
      <c r="B6359" s="395">
        <v>87829</v>
      </c>
      <c r="C6359" s="406" t="s">
        <v>8652</v>
      </c>
      <c r="D6359" s="395" t="s">
        <v>0</v>
      </c>
      <c r="E6359" s="407">
        <f t="shared" si="198"/>
        <v>74.260000000000005</v>
      </c>
      <c r="F6359">
        <f t="shared" si="199"/>
        <v>87829</v>
      </c>
      <c r="H6359" s="680">
        <v>74.260000000000005</v>
      </c>
      <c r="I6359" s="680">
        <v>79.88</v>
      </c>
    </row>
    <row r="6360" spans="2:9" ht="30">
      <c r="B6360" s="396">
        <v>87831</v>
      </c>
      <c r="C6360" s="401" t="s">
        <v>8653</v>
      </c>
      <c r="D6360" s="396" t="s">
        <v>0</v>
      </c>
      <c r="E6360" s="405">
        <f t="shared" si="198"/>
        <v>79.58</v>
      </c>
      <c r="F6360">
        <f t="shared" si="199"/>
        <v>87831</v>
      </c>
      <c r="H6360" s="679">
        <v>79.58</v>
      </c>
      <c r="I6360" s="679">
        <v>85.81</v>
      </c>
    </row>
    <row r="6361" spans="2:9" ht="45">
      <c r="B6361" s="395">
        <v>87832</v>
      </c>
      <c r="C6361" s="406" t="s">
        <v>8654</v>
      </c>
      <c r="D6361" s="395" t="s">
        <v>0</v>
      </c>
      <c r="E6361" s="407">
        <f t="shared" si="198"/>
        <v>145.05000000000001</v>
      </c>
      <c r="F6361">
        <f t="shared" si="199"/>
        <v>87832</v>
      </c>
      <c r="H6361" s="680">
        <v>145.05000000000001</v>
      </c>
      <c r="I6361" s="680">
        <v>150.18</v>
      </c>
    </row>
    <row r="6362" spans="2:9" ht="30">
      <c r="B6362" s="396">
        <v>87834</v>
      </c>
      <c r="C6362" s="401" t="s">
        <v>1870</v>
      </c>
      <c r="D6362" s="396" t="s">
        <v>0</v>
      </c>
      <c r="E6362" s="405">
        <f t="shared" si="198"/>
        <v>229.65</v>
      </c>
      <c r="F6362">
        <f t="shared" si="199"/>
        <v>87834</v>
      </c>
      <c r="H6362" s="679">
        <v>229.65</v>
      </c>
      <c r="I6362" s="679">
        <v>231.71</v>
      </c>
    </row>
    <row r="6363" spans="2:9" ht="30">
      <c r="B6363" s="395">
        <v>87835</v>
      </c>
      <c r="C6363" s="406" t="s">
        <v>1871</v>
      </c>
      <c r="D6363" s="395" t="s">
        <v>0</v>
      </c>
      <c r="E6363" s="407">
        <f t="shared" si="198"/>
        <v>158.86000000000001</v>
      </c>
      <c r="F6363">
        <f t="shared" si="199"/>
        <v>87835</v>
      </c>
      <c r="H6363" s="680">
        <v>158.86000000000001</v>
      </c>
      <c r="I6363" s="680">
        <v>160.55000000000001</v>
      </c>
    </row>
    <row r="6364" spans="2:9" ht="30">
      <c r="B6364" s="396">
        <v>87836</v>
      </c>
      <c r="C6364" s="401" t="s">
        <v>1872</v>
      </c>
      <c r="D6364" s="396" t="s">
        <v>0</v>
      </c>
      <c r="E6364" s="405">
        <f t="shared" si="198"/>
        <v>222.33</v>
      </c>
      <c r="F6364">
        <f t="shared" si="199"/>
        <v>87836</v>
      </c>
      <c r="H6364" s="679">
        <v>222.33</v>
      </c>
      <c r="I6364" s="679">
        <v>223.68</v>
      </c>
    </row>
    <row r="6365" spans="2:9" ht="30">
      <c r="B6365" s="395">
        <v>87837</v>
      </c>
      <c r="C6365" s="406" t="s">
        <v>1873</v>
      </c>
      <c r="D6365" s="395" t="s">
        <v>0</v>
      </c>
      <c r="E6365" s="407">
        <f t="shared" si="198"/>
        <v>152.54</v>
      </c>
      <c r="F6365">
        <f t="shared" si="199"/>
        <v>87837</v>
      </c>
      <c r="H6365" s="680">
        <v>152.54</v>
      </c>
      <c r="I6365" s="680">
        <v>153.59</v>
      </c>
    </row>
    <row r="6366" spans="2:9" ht="30">
      <c r="B6366" s="396">
        <v>87838</v>
      </c>
      <c r="C6366" s="401" t="s">
        <v>1874</v>
      </c>
      <c r="D6366" s="396" t="s">
        <v>0</v>
      </c>
      <c r="E6366" s="405">
        <f t="shared" si="198"/>
        <v>236.39</v>
      </c>
      <c r="F6366">
        <f t="shared" si="199"/>
        <v>87838</v>
      </c>
      <c r="H6366" s="679">
        <v>236.39</v>
      </c>
      <c r="I6366" s="679">
        <v>238.94</v>
      </c>
    </row>
    <row r="6367" spans="2:9" ht="30">
      <c r="B6367" s="395">
        <v>87839</v>
      </c>
      <c r="C6367" s="406" t="s">
        <v>1875</v>
      </c>
      <c r="D6367" s="395" t="s">
        <v>0</v>
      </c>
      <c r="E6367" s="407">
        <f t="shared" si="198"/>
        <v>163.71</v>
      </c>
      <c r="F6367">
        <f t="shared" si="199"/>
        <v>87839</v>
      </c>
      <c r="H6367" s="680">
        <v>163.71</v>
      </c>
      <c r="I6367" s="680">
        <v>165.89</v>
      </c>
    </row>
    <row r="6368" spans="2:9" ht="30">
      <c r="B6368" s="396">
        <v>87840</v>
      </c>
      <c r="C6368" s="401" t="s">
        <v>1876</v>
      </c>
      <c r="D6368" s="396" t="s">
        <v>0</v>
      </c>
      <c r="E6368" s="405">
        <f t="shared" si="198"/>
        <v>227.47</v>
      </c>
      <c r="F6368">
        <f t="shared" si="199"/>
        <v>87840</v>
      </c>
      <c r="H6368" s="679">
        <v>227.47</v>
      </c>
      <c r="I6368" s="679">
        <v>229.13</v>
      </c>
    </row>
    <row r="6369" spans="2:9" ht="30">
      <c r="B6369" s="395">
        <v>87841</v>
      </c>
      <c r="C6369" s="406" t="s">
        <v>1877</v>
      </c>
      <c r="D6369" s="395" t="s">
        <v>0</v>
      </c>
      <c r="E6369" s="407">
        <f t="shared" si="198"/>
        <v>155.77000000000001</v>
      </c>
      <c r="F6369">
        <f t="shared" si="199"/>
        <v>87841</v>
      </c>
      <c r="H6369" s="680">
        <v>155.77000000000001</v>
      </c>
      <c r="I6369" s="680">
        <v>157.13999999999999</v>
      </c>
    </row>
    <row r="6370" spans="2:9" ht="30">
      <c r="B6370" s="396">
        <v>87842</v>
      </c>
      <c r="C6370" s="401" t="s">
        <v>1878</v>
      </c>
      <c r="D6370" s="396" t="s">
        <v>0</v>
      </c>
      <c r="E6370" s="405">
        <f t="shared" si="198"/>
        <v>236.73</v>
      </c>
      <c r="F6370">
        <f t="shared" si="199"/>
        <v>87842</v>
      </c>
      <c r="H6370" s="679">
        <v>236.73</v>
      </c>
      <c r="I6370" s="679">
        <v>240.53</v>
      </c>
    </row>
    <row r="6371" spans="2:9" ht="30">
      <c r="B6371" s="395">
        <v>87843</v>
      </c>
      <c r="C6371" s="406" t="s">
        <v>1879</v>
      </c>
      <c r="D6371" s="395" t="s">
        <v>0</v>
      </c>
      <c r="E6371" s="407">
        <f t="shared" si="198"/>
        <v>172.03</v>
      </c>
      <c r="F6371">
        <f t="shared" si="199"/>
        <v>87843</v>
      </c>
      <c r="H6371" s="680">
        <v>172.03</v>
      </c>
      <c r="I6371" s="680">
        <v>175.47</v>
      </c>
    </row>
    <row r="6372" spans="2:9" ht="30">
      <c r="B6372" s="396">
        <v>87844</v>
      </c>
      <c r="C6372" s="401" t="s">
        <v>1880</v>
      </c>
      <c r="D6372" s="396" t="s">
        <v>0</v>
      </c>
      <c r="E6372" s="405">
        <f t="shared" si="198"/>
        <v>223.58</v>
      </c>
      <c r="F6372">
        <f t="shared" si="199"/>
        <v>87844</v>
      </c>
      <c r="H6372" s="679">
        <v>223.58</v>
      </c>
      <c r="I6372" s="679">
        <v>226.04</v>
      </c>
    </row>
    <row r="6373" spans="2:9" ht="30">
      <c r="B6373" s="395">
        <v>87845</v>
      </c>
      <c r="C6373" s="406" t="s">
        <v>1881</v>
      </c>
      <c r="D6373" s="395" t="s">
        <v>0</v>
      </c>
      <c r="E6373" s="407">
        <f t="shared" si="198"/>
        <v>159.88999999999999</v>
      </c>
      <c r="F6373">
        <f t="shared" si="199"/>
        <v>87845</v>
      </c>
      <c r="H6373" s="680">
        <v>159.88999999999999</v>
      </c>
      <c r="I6373" s="680">
        <v>162.06</v>
      </c>
    </row>
    <row r="6374" spans="2:9" ht="30">
      <c r="B6374" s="396">
        <v>87846</v>
      </c>
      <c r="C6374" s="401" t="s">
        <v>1882</v>
      </c>
      <c r="D6374" s="396" t="s">
        <v>0</v>
      </c>
      <c r="E6374" s="405">
        <f t="shared" si="198"/>
        <v>247.89</v>
      </c>
      <c r="F6374">
        <f t="shared" si="199"/>
        <v>87846</v>
      </c>
      <c r="H6374" s="679">
        <v>247.89</v>
      </c>
      <c r="I6374" s="679">
        <v>250.43</v>
      </c>
    </row>
    <row r="6375" spans="2:9" ht="30">
      <c r="B6375" s="395">
        <v>87847</v>
      </c>
      <c r="C6375" s="406" t="s">
        <v>1883</v>
      </c>
      <c r="D6375" s="395" t="s">
        <v>0</v>
      </c>
      <c r="E6375" s="407">
        <f t="shared" si="198"/>
        <v>177.09</v>
      </c>
      <c r="F6375">
        <f t="shared" si="199"/>
        <v>87847</v>
      </c>
      <c r="H6375" s="680">
        <v>177.09</v>
      </c>
      <c r="I6375" s="680">
        <v>179.25</v>
      </c>
    </row>
    <row r="6376" spans="2:9" ht="30">
      <c r="B6376" s="396">
        <v>87848</v>
      </c>
      <c r="C6376" s="401" t="s">
        <v>1884</v>
      </c>
      <c r="D6376" s="396" t="s">
        <v>0</v>
      </c>
      <c r="E6376" s="405">
        <f t="shared" si="198"/>
        <v>239.48</v>
      </c>
      <c r="F6376">
        <f t="shared" si="199"/>
        <v>87848</v>
      </c>
      <c r="H6376" s="679">
        <v>239.48</v>
      </c>
      <c r="I6376" s="679">
        <v>241.15</v>
      </c>
    </row>
    <row r="6377" spans="2:9" ht="30">
      <c r="B6377" s="395">
        <v>87849</v>
      </c>
      <c r="C6377" s="406" t="s">
        <v>1885</v>
      </c>
      <c r="D6377" s="395" t="s">
        <v>0</v>
      </c>
      <c r="E6377" s="407">
        <f t="shared" si="198"/>
        <v>169.69</v>
      </c>
      <c r="F6377">
        <f t="shared" si="199"/>
        <v>87849</v>
      </c>
      <c r="H6377" s="680">
        <v>169.69</v>
      </c>
      <c r="I6377" s="680">
        <v>171.06</v>
      </c>
    </row>
    <row r="6378" spans="2:9" ht="30">
      <c r="B6378" s="396">
        <v>87850</v>
      </c>
      <c r="C6378" s="401" t="s">
        <v>1886</v>
      </c>
      <c r="D6378" s="396" t="s">
        <v>0</v>
      </c>
      <c r="E6378" s="405">
        <f t="shared" si="198"/>
        <v>254.65</v>
      </c>
      <c r="F6378">
        <f t="shared" si="199"/>
        <v>87850</v>
      </c>
      <c r="H6378" s="679">
        <v>254.65</v>
      </c>
      <c r="I6378" s="679">
        <v>257.67</v>
      </c>
    </row>
    <row r="6379" spans="2:9" ht="30">
      <c r="B6379" s="395">
        <v>87851</v>
      </c>
      <c r="C6379" s="406" t="s">
        <v>1887</v>
      </c>
      <c r="D6379" s="395" t="s">
        <v>0</v>
      </c>
      <c r="E6379" s="407">
        <f t="shared" si="198"/>
        <v>181.97</v>
      </c>
      <c r="F6379">
        <f t="shared" si="199"/>
        <v>87851</v>
      </c>
      <c r="H6379" s="680">
        <v>181.97</v>
      </c>
      <c r="I6379" s="680">
        <v>184.62</v>
      </c>
    </row>
    <row r="6380" spans="2:9" ht="30">
      <c r="B6380" s="396">
        <v>87852</v>
      </c>
      <c r="C6380" s="401" t="s">
        <v>1888</v>
      </c>
      <c r="D6380" s="396" t="s">
        <v>0</v>
      </c>
      <c r="E6380" s="405">
        <f t="shared" si="198"/>
        <v>244.6</v>
      </c>
      <c r="F6380">
        <f t="shared" si="199"/>
        <v>87852</v>
      </c>
      <c r="H6380" s="679">
        <v>244.6</v>
      </c>
      <c r="I6380" s="679">
        <v>246.58</v>
      </c>
    </row>
    <row r="6381" spans="2:9" ht="30">
      <c r="B6381" s="395">
        <v>87853</v>
      </c>
      <c r="C6381" s="406" t="s">
        <v>1889</v>
      </c>
      <c r="D6381" s="395" t="s">
        <v>0</v>
      </c>
      <c r="E6381" s="407">
        <f t="shared" si="198"/>
        <v>172.91</v>
      </c>
      <c r="F6381">
        <f t="shared" si="199"/>
        <v>87853</v>
      </c>
      <c r="H6381" s="680">
        <v>172.91</v>
      </c>
      <c r="I6381" s="680">
        <v>174.58</v>
      </c>
    </row>
    <row r="6382" spans="2:9" ht="30">
      <c r="B6382" s="396">
        <v>87854</v>
      </c>
      <c r="C6382" s="401" t="s">
        <v>1890</v>
      </c>
      <c r="D6382" s="396" t="s">
        <v>0</v>
      </c>
      <c r="E6382" s="405">
        <f t="shared" si="198"/>
        <v>254.97</v>
      </c>
      <c r="F6382">
        <f t="shared" si="199"/>
        <v>87854</v>
      </c>
      <c r="H6382" s="679">
        <v>254.97</v>
      </c>
      <c r="I6382" s="679">
        <v>259.25</v>
      </c>
    </row>
    <row r="6383" spans="2:9" ht="30">
      <c r="B6383" s="395">
        <v>87855</v>
      </c>
      <c r="C6383" s="406" t="s">
        <v>1891</v>
      </c>
      <c r="D6383" s="395" t="s">
        <v>0</v>
      </c>
      <c r="E6383" s="407">
        <f t="shared" si="198"/>
        <v>190.29</v>
      </c>
      <c r="F6383">
        <f t="shared" si="199"/>
        <v>87855</v>
      </c>
      <c r="H6383" s="680">
        <v>190.29</v>
      </c>
      <c r="I6383" s="680">
        <v>194.19</v>
      </c>
    </row>
    <row r="6384" spans="2:9" ht="30">
      <c r="B6384" s="396">
        <v>87856</v>
      </c>
      <c r="C6384" s="401" t="s">
        <v>1892</v>
      </c>
      <c r="D6384" s="396" t="s">
        <v>0</v>
      </c>
      <c r="E6384" s="405">
        <f t="shared" si="198"/>
        <v>240.72</v>
      </c>
      <c r="F6384">
        <f t="shared" si="199"/>
        <v>87856</v>
      </c>
      <c r="H6384" s="679">
        <v>240.72</v>
      </c>
      <c r="I6384" s="679">
        <v>243.51</v>
      </c>
    </row>
    <row r="6385" spans="2:9" ht="30">
      <c r="B6385" s="395">
        <v>87857</v>
      </c>
      <c r="C6385" s="406" t="s">
        <v>1893</v>
      </c>
      <c r="D6385" s="395" t="s">
        <v>0</v>
      </c>
      <c r="E6385" s="407">
        <f t="shared" si="198"/>
        <v>177.03</v>
      </c>
      <c r="F6385">
        <f t="shared" si="199"/>
        <v>87857</v>
      </c>
      <c r="H6385" s="680">
        <v>177.03</v>
      </c>
      <c r="I6385" s="680">
        <v>179.51</v>
      </c>
    </row>
    <row r="6386" spans="2:9" ht="30">
      <c r="B6386" s="396">
        <v>87858</v>
      </c>
      <c r="C6386" s="401" t="s">
        <v>1894</v>
      </c>
      <c r="D6386" s="396" t="s">
        <v>0</v>
      </c>
      <c r="E6386" s="405">
        <f t="shared" si="198"/>
        <v>167.49</v>
      </c>
      <c r="F6386">
        <f t="shared" si="199"/>
        <v>87858</v>
      </c>
      <c r="H6386" s="679">
        <v>167.49</v>
      </c>
      <c r="I6386" s="679">
        <v>170.28</v>
      </c>
    </row>
    <row r="6387" spans="2:9" ht="30">
      <c r="B6387" s="395">
        <v>87859</v>
      </c>
      <c r="C6387" s="406" t="s">
        <v>1895</v>
      </c>
      <c r="D6387" s="395" t="s">
        <v>0</v>
      </c>
      <c r="E6387" s="407">
        <f t="shared" si="198"/>
        <v>190.85</v>
      </c>
      <c r="F6387">
        <f t="shared" si="199"/>
        <v>87859</v>
      </c>
      <c r="H6387" s="680">
        <v>190.85</v>
      </c>
      <c r="I6387" s="680">
        <v>194.68</v>
      </c>
    </row>
    <row r="6388" spans="2:9" ht="45">
      <c r="B6388" s="396">
        <v>89048</v>
      </c>
      <c r="C6388" s="401" t="s">
        <v>1896</v>
      </c>
      <c r="D6388" s="396" t="s">
        <v>0</v>
      </c>
      <c r="E6388" s="405">
        <f t="shared" si="198"/>
        <v>35.130000000000003</v>
      </c>
      <c r="F6388">
        <f t="shared" si="199"/>
        <v>89048</v>
      </c>
      <c r="H6388" s="679">
        <v>35.130000000000003</v>
      </c>
      <c r="I6388" s="679">
        <v>36.99</v>
      </c>
    </row>
    <row r="6389" spans="2:9" ht="30">
      <c r="B6389" s="395">
        <v>89049</v>
      </c>
      <c r="C6389" s="406" t="s">
        <v>1897</v>
      </c>
      <c r="D6389" s="395" t="s">
        <v>0</v>
      </c>
      <c r="E6389" s="407">
        <f t="shared" si="198"/>
        <v>21.87</v>
      </c>
      <c r="F6389">
        <f t="shared" si="199"/>
        <v>89049</v>
      </c>
      <c r="H6389" s="680">
        <v>21.87</v>
      </c>
      <c r="I6389" s="680">
        <v>23.28</v>
      </c>
    </row>
    <row r="6390" spans="2:9" ht="45">
      <c r="B6390" s="396">
        <v>89173</v>
      </c>
      <c r="C6390" s="401" t="s">
        <v>1898</v>
      </c>
      <c r="D6390" s="396" t="s">
        <v>0</v>
      </c>
      <c r="E6390" s="405">
        <f t="shared" si="198"/>
        <v>34.630000000000003</v>
      </c>
      <c r="F6390">
        <f t="shared" si="199"/>
        <v>89173</v>
      </c>
      <c r="H6390" s="679">
        <v>34.630000000000003</v>
      </c>
      <c r="I6390" s="679">
        <v>36.450000000000003</v>
      </c>
    </row>
    <row r="6391" spans="2:9" ht="30">
      <c r="B6391" s="395">
        <v>90406</v>
      </c>
      <c r="C6391" s="406" t="s">
        <v>1899</v>
      </c>
      <c r="D6391" s="395" t="s">
        <v>0</v>
      </c>
      <c r="E6391" s="407">
        <f t="shared" si="198"/>
        <v>43.51</v>
      </c>
      <c r="F6391">
        <f t="shared" si="199"/>
        <v>90406</v>
      </c>
      <c r="H6391" s="680">
        <v>43.51</v>
      </c>
      <c r="I6391" s="680">
        <v>46.33</v>
      </c>
    </row>
    <row r="6392" spans="2:9" ht="30">
      <c r="B6392" s="396">
        <v>90407</v>
      </c>
      <c r="C6392" s="401" t="s">
        <v>1900</v>
      </c>
      <c r="D6392" s="396" t="s">
        <v>0</v>
      </c>
      <c r="E6392" s="405">
        <f t="shared" si="198"/>
        <v>47.66</v>
      </c>
      <c r="F6392">
        <f t="shared" si="199"/>
        <v>90407</v>
      </c>
      <c r="H6392" s="679">
        <v>47.66</v>
      </c>
      <c r="I6392" s="679">
        <v>50.96</v>
      </c>
    </row>
    <row r="6393" spans="2:9" ht="30">
      <c r="B6393" s="395">
        <v>90408</v>
      </c>
      <c r="C6393" s="406" t="s">
        <v>1901</v>
      </c>
      <c r="D6393" s="395" t="s">
        <v>0</v>
      </c>
      <c r="E6393" s="407">
        <f t="shared" si="198"/>
        <v>30.66</v>
      </c>
      <c r="F6393">
        <f t="shared" si="199"/>
        <v>90408</v>
      </c>
      <c r="H6393" s="680">
        <v>30.66</v>
      </c>
      <c r="I6393" s="680">
        <v>32.93</v>
      </c>
    </row>
    <row r="6394" spans="2:9" ht="30">
      <c r="B6394" s="396">
        <v>90409</v>
      </c>
      <c r="C6394" s="401" t="s">
        <v>1902</v>
      </c>
      <c r="D6394" s="396" t="s">
        <v>0</v>
      </c>
      <c r="E6394" s="405">
        <f t="shared" si="198"/>
        <v>33.01</v>
      </c>
      <c r="F6394">
        <f t="shared" si="199"/>
        <v>90409</v>
      </c>
      <c r="H6394" s="679">
        <v>33.01</v>
      </c>
      <c r="I6394" s="679">
        <v>35.549999999999997</v>
      </c>
    </row>
    <row r="6395" spans="2:9" ht="45">
      <c r="B6395" s="395">
        <v>104203</v>
      </c>
      <c r="C6395" s="406" t="s">
        <v>8655</v>
      </c>
      <c r="D6395" s="395" t="s">
        <v>0</v>
      </c>
      <c r="E6395" s="407">
        <f t="shared" si="198"/>
        <v>52.13</v>
      </c>
      <c r="F6395">
        <f t="shared" si="199"/>
        <v>104203</v>
      </c>
      <c r="H6395" s="680">
        <v>52.13</v>
      </c>
      <c r="I6395" s="680">
        <v>55.08</v>
      </c>
    </row>
    <row r="6396" spans="2:9" ht="45">
      <c r="B6396" s="396">
        <v>104204</v>
      </c>
      <c r="C6396" s="401" t="s">
        <v>8656</v>
      </c>
      <c r="D6396" s="396" t="s">
        <v>0</v>
      </c>
      <c r="E6396" s="405">
        <f t="shared" si="198"/>
        <v>67</v>
      </c>
      <c r="F6396">
        <f t="shared" si="199"/>
        <v>104204</v>
      </c>
      <c r="H6396" s="679">
        <v>67</v>
      </c>
      <c r="I6396" s="679">
        <v>70.790000000000006</v>
      </c>
    </row>
    <row r="6397" spans="2:9" ht="45">
      <c r="B6397" s="395">
        <v>104205</v>
      </c>
      <c r="C6397" s="406" t="s">
        <v>8657</v>
      </c>
      <c r="D6397" s="395" t="s">
        <v>0</v>
      </c>
      <c r="E6397" s="407">
        <f t="shared" si="198"/>
        <v>73.760000000000005</v>
      </c>
      <c r="F6397">
        <f t="shared" si="199"/>
        <v>104205</v>
      </c>
      <c r="H6397" s="680">
        <v>73.760000000000005</v>
      </c>
      <c r="I6397" s="680">
        <v>77.63</v>
      </c>
    </row>
    <row r="6398" spans="2:9" ht="45">
      <c r="B6398" s="396">
        <v>104206</v>
      </c>
      <c r="C6398" s="401" t="s">
        <v>8658</v>
      </c>
      <c r="D6398" s="396" t="s">
        <v>0</v>
      </c>
      <c r="E6398" s="405">
        <f t="shared" si="198"/>
        <v>81.27</v>
      </c>
      <c r="F6398">
        <f t="shared" si="199"/>
        <v>104206</v>
      </c>
      <c r="H6398" s="679">
        <v>81.27</v>
      </c>
      <c r="I6398" s="679">
        <v>85.58</v>
      </c>
    </row>
    <row r="6399" spans="2:9" ht="45">
      <c r="B6399" s="395">
        <v>104207</v>
      </c>
      <c r="C6399" s="406" t="s">
        <v>8659</v>
      </c>
      <c r="D6399" s="395" t="s">
        <v>0</v>
      </c>
      <c r="E6399" s="407">
        <f t="shared" si="198"/>
        <v>40.020000000000003</v>
      </c>
      <c r="F6399">
        <f t="shared" si="199"/>
        <v>104207</v>
      </c>
      <c r="H6399" s="680">
        <v>40.020000000000003</v>
      </c>
      <c r="I6399" s="680">
        <v>41.87</v>
      </c>
    </row>
    <row r="6400" spans="2:9" ht="45">
      <c r="B6400" s="396">
        <v>104208</v>
      </c>
      <c r="C6400" s="401" t="s">
        <v>8660</v>
      </c>
      <c r="D6400" s="396" t="s">
        <v>0</v>
      </c>
      <c r="E6400" s="405">
        <f t="shared" si="198"/>
        <v>54.44</v>
      </c>
      <c r="F6400">
        <f t="shared" si="199"/>
        <v>104208</v>
      </c>
      <c r="H6400" s="679">
        <v>54.44</v>
      </c>
      <c r="I6400" s="679">
        <v>57.13</v>
      </c>
    </row>
    <row r="6401" spans="2:9" ht="45">
      <c r="B6401" s="395">
        <v>104209</v>
      </c>
      <c r="C6401" s="406" t="s">
        <v>8661</v>
      </c>
      <c r="D6401" s="395" t="s">
        <v>0</v>
      </c>
      <c r="E6401" s="407">
        <f t="shared" si="198"/>
        <v>60.8</v>
      </c>
      <c r="F6401">
        <f t="shared" si="199"/>
        <v>104209</v>
      </c>
      <c r="H6401" s="680">
        <v>60.8</v>
      </c>
      <c r="I6401" s="680">
        <v>63.57</v>
      </c>
    </row>
    <row r="6402" spans="2:9" ht="45">
      <c r="B6402" s="396">
        <v>104210</v>
      </c>
      <c r="C6402" s="401" t="s">
        <v>8662</v>
      </c>
      <c r="D6402" s="396" t="s">
        <v>0</v>
      </c>
      <c r="E6402" s="405">
        <f t="shared" si="198"/>
        <v>63.32</v>
      </c>
      <c r="F6402">
        <f t="shared" si="199"/>
        <v>104210</v>
      </c>
      <c r="H6402" s="679">
        <v>63.32</v>
      </c>
      <c r="I6402" s="679">
        <v>66.06</v>
      </c>
    </row>
    <row r="6403" spans="2:9" ht="45">
      <c r="B6403" s="395">
        <v>104211</v>
      </c>
      <c r="C6403" s="406" t="s">
        <v>8663</v>
      </c>
      <c r="D6403" s="395" t="s">
        <v>0</v>
      </c>
      <c r="E6403" s="407">
        <f t="shared" ref="E6403:E6466" si="200">IF($K$2=$H$1,H6403,I6403)</f>
        <v>69.959999999999994</v>
      </c>
      <c r="F6403">
        <f t="shared" ref="F6403:F6466" si="201">IF(LEN($B6403)=7,CONCATENATE(MID($B6403,1,6),"00",RIGHT($B6403,1)),IF(LEN($B6403)=8,CONCATENATE(MID($B6403,1,6),"0",RIGHT($B6403,2)),$B6403))</f>
        <v>104211</v>
      </c>
      <c r="H6403" s="680">
        <v>69.959999999999994</v>
      </c>
      <c r="I6403" s="680">
        <v>75.02</v>
      </c>
    </row>
    <row r="6404" spans="2:9" ht="45">
      <c r="B6404" s="396">
        <v>104212</v>
      </c>
      <c r="C6404" s="401" t="s">
        <v>8664</v>
      </c>
      <c r="D6404" s="396" t="s">
        <v>0</v>
      </c>
      <c r="E6404" s="405">
        <f t="shared" si="200"/>
        <v>84.45</v>
      </c>
      <c r="F6404">
        <f t="shared" si="201"/>
        <v>104212</v>
      </c>
      <c r="H6404" s="679">
        <v>84.45</v>
      </c>
      <c r="I6404" s="679">
        <v>90.34</v>
      </c>
    </row>
    <row r="6405" spans="2:9" ht="45">
      <c r="B6405" s="395">
        <v>104213</v>
      </c>
      <c r="C6405" s="406" t="s">
        <v>8665</v>
      </c>
      <c r="D6405" s="395" t="s">
        <v>0</v>
      </c>
      <c r="E6405" s="407">
        <f t="shared" si="200"/>
        <v>90.81</v>
      </c>
      <c r="F6405">
        <f t="shared" si="201"/>
        <v>104213</v>
      </c>
      <c r="H6405" s="680">
        <v>90.81</v>
      </c>
      <c r="I6405" s="680">
        <v>96.78</v>
      </c>
    </row>
    <row r="6406" spans="2:9" ht="45">
      <c r="B6406" s="396">
        <v>104214</v>
      </c>
      <c r="C6406" s="401" t="s">
        <v>8666</v>
      </c>
      <c r="D6406" s="396" t="s">
        <v>0</v>
      </c>
      <c r="E6406" s="405">
        <f t="shared" si="200"/>
        <v>107.91</v>
      </c>
      <c r="F6406">
        <f t="shared" si="201"/>
        <v>104214</v>
      </c>
      <c r="H6406" s="679">
        <v>107.91</v>
      </c>
      <c r="I6406" s="679">
        <v>115.23</v>
      </c>
    </row>
    <row r="6407" spans="2:9" ht="30">
      <c r="B6407" s="395">
        <v>104215</v>
      </c>
      <c r="C6407" s="406" t="s">
        <v>8667</v>
      </c>
      <c r="D6407" s="395" t="s">
        <v>0</v>
      </c>
      <c r="E6407" s="407">
        <f t="shared" si="200"/>
        <v>66.16</v>
      </c>
      <c r="F6407">
        <f t="shared" si="201"/>
        <v>104215</v>
      </c>
      <c r="H6407" s="680">
        <v>66.16</v>
      </c>
      <c r="I6407" s="680">
        <v>70.56</v>
      </c>
    </row>
    <row r="6408" spans="2:9" ht="30">
      <c r="B6408" s="396">
        <v>104216</v>
      </c>
      <c r="C6408" s="401" t="s">
        <v>8668</v>
      </c>
      <c r="D6408" s="396" t="s">
        <v>0</v>
      </c>
      <c r="E6408" s="405">
        <f t="shared" si="200"/>
        <v>80.67</v>
      </c>
      <c r="F6408">
        <f t="shared" si="201"/>
        <v>104216</v>
      </c>
      <c r="H6408" s="679">
        <v>80.67</v>
      </c>
      <c r="I6408" s="679">
        <v>85.82</v>
      </c>
    </row>
    <row r="6409" spans="2:9" ht="30">
      <c r="B6409" s="395">
        <v>104217</v>
      </c>
      <c r="C6409" s="406" t="s">
        <v>8669</v>
      </c>
      <c r="D6409" s="395" t="s">
        <v>0</v>
      </c>
      <c r="E6409" s="407">
        <f t="shared" si="200"/>
        <v>45.12</v>
      </c>
      <c r="F6409">
        <f t="shared" si="201"/>
        <v>104217</v>
      </c>
      <c r="H6409" s="680">
        <v>45.12</v>
      </c>
      <c r="I6409" s="680">
        <v>48</v>
      </c>
    </row>
    <row r="6410" spans="2:9" ht="30">
      <c r="B6410" s="396">
        <v>104218</v>
      </c>
      <c r="C6410" s="401" t="s">
        <v>8670</v>
      </c>
      <c r="D6410" s="396" t="s">
        <v>0</v>
      </c>
      <c r="E6410" s="405">
        <f t="shared" si="200"/>
        <v>48.59</v>
      </c>
      <c r="F6410">
        <f t="shared" si="201"/>
        <v>104218</v>
      </c>
      <c r="H6410" s="679">
        <v>48.59</v>
      </c>
      <c r="I6410" s="679">
        <v>51.88</v>
      </c>
    </row>
    <row r="6411" spans="2:9" ht="45">
      <c r="B6411" s="395">
        <v>104219</v>
      </c>
      <c r="C6411" s="406" t="s">
        <v>8671</v>
      </c>
      <c r="D6411" s="395" t="s">
        <v>0</v>
      </c>
      <c r="E6411" s="407">
        <f t="shared" si="200"/>
        <v>91.99</v>
      </c>
      <c r="F6411">
        <f t="shared" si="201"/>
        <v>104219</v>
      </c>
      <c r="H6411" s="680">
        <v>91.99</v>
      </c>
      <c r="I6411" s="680">
        <v>94.61</v>
      </c>
    </row>
    <row r="6412" spans="2:9" ht="30">
      <c r="B6412" s="396">
        <v>104220</v>
      </c>
      <c r="C6412" s="401" t="s">
        <v>8672</v>
      </c>
      <c r="D6412" s="396" t="s">
        <v>0</v>
      </c>
      <c r="E6412" s="405">
        <f t="shared" si="200"/>
        <v>48.87</v>
      </c>
      <c r="F6412">
        <f t="shared" si="201"/>
        <v>104220</v>
      </c>
      <c r="H6412" s="679">
        <v>48.87</v>
      </c>
      <c r="I6412" s="679">
        <v>51.5</v>
      </c>
    </row>
    <row r="6413" spans="2:9" ht="30">
      <c r="B6413" s="395">
        <v>104221</v>
      </c>
      <c r="C6413" s="406" t="s">
        <v>8673</v>
      </c>
      <c r="D6413" s="395" t="s">
        <v>0</v>
      </c>
      <c r="E6413" s="407">
        <f t="shared" si="200"/>
        <v>57.76</v>
      </c>
      <c r="F6413">
        <f t="shared" si="201"/>
        <v>104221</v>
      </c>
      <c r="H6413" s="680">
        <v>57.76</v>
      </c>
      <c r="I6413" s="680">
        <v>61.45</v>
      </c>
    </row>
    <row r="6414" spans="2:9" ht="30">
      <c r="B6414" s="396">
        <v>104222</v>
      </c>
      <c r="C6414" s="401" t="s">
        <v>8674</v>
      </c>
      <c r="D6414" s="396" t="s">
        <v>0</v>
      </c>
      <c r="E6414" s="405">
        <f t="shared" si="200"/>
        <v>62.41</v>
      </c>
      <c r="F6414">
        <f t="shared" si="201"/>
        <v>104222</v>
      </c>
      <c r="H6414" s="679">
        <v>62.41</v>
      </c>
      <c r="I6414" s="679">
        <v>66.650000000000006</v>
      </c>
    </row>
    <row r="6415" spans="2:9" ht="45">
      <c r="B6415" s="395">
        <v>104223</v>
      </c>
      <c r="C6415" s="406" t="s">
        <v>8675</v>
      </c>
      <c r="D6415" s="395" t="s">
        <v>0</v>
      </c>
      <c r="E6415" s="407">
        <f t="shared" si="200"/>
        <v>120.73</v>
      </c>
      <c r="F6415">
        <f t="shared" si="201"/>
        <v>104223</v>
      </c>
      <c r="H6415" s="680">
        <v>120.73</v>
      </c>
      <c r="I6415" s="680">
        <v>124.11</v>
      </c>
    </row>
    <row r="6416" spans="2:9" ht="30">
      <c r="B6416" s="396">
        <v>104224</v>
      </c>
      <c r="C6416" s="401" t="s">
        <v>8676</v>
      </c>
      <c r="D6416" s="396" t="s">
        <v>0</v>
      </c>
      <c r="E6416" s="405">
        <f t="shared" si="200"/>
        <v>62.76</v>
      </c>
      <c r="F6416">
        <f t="shared" si="201"/>
        <v>104224</v>
      </c>
      <c r="H6416" s="679">
        <v>62.76</v>
      </c>
      <c r="I6416" s="679">
        <v>66.150000000000006</v>
      </c>
    </row>
    <row r="6417" spans="2:9" ht="30">
      <c r="B6417" s="395">
        <v>104225</v>
      </c>
      <c r="C6417" s="406" t="s">
        <v>8677</v>
      </c>
      <c r="D6417" s="395" t="s">
        <v>0</v>
      </c>
      <c r="E6417" s="407">
        <f t="shared" si="200"/>
        <v>63.81</v>
      </c>
      <c r="F6417">
        <f t="shared" si="201"/>
        <v>104225</v>
      </c>
      <c r="H6417" s="680">
        <v>63.81</v>
      </c>
      <c r="I6417" s="680">
        <v>67.58</v>
      </c>
    </row>
    <row r="6418" spans="2:9" ht="30">
      <c r="B6418" s="396">
        <v>104226</v>
      </c>
      <c r="C6418" s="401" t="s">
        <v>8678</v>
      </c>
      <c r="D6418" s="396" t="s">
        <v>0</v>
      </c>
      <c r="E6418" s="405">
        <f t="shared" si="200"/>
        <v>69.64</v>
      </c>
      <c r="F6418">
        <f t="shared" si="201"/>
        <v>104226</v>
      </c>
      <c r="H6418" s="679">
        <v>69.64</v>
      </c>
      <c r="I6418" s="679">
        <v>74.099999999999994</v>
      </c>
    </row>
    <row r="6419" spans="2:9" ht="45">
      <c r="B6419" s="395">
        <v>104227</v>
      </c>
      <c r="C6419" s="406" t="s">
        <v>8679</v>
      </c>
      <c r="D6419" s="395" t="s">
        <v>0</v>
      </c>
      <c r="E6419" s="407">
        <f t="shared" si="200"/>
        <v>143.47</v>
      </c>
      <c r="F6419">
        <f t="shared" si="201"/>
        <v>104227</v>
      </c>
      <c r="H6419" s="680">
        <v>143.47</v>
      </c>
      <c r="I6419" s="680">
        <v>146.93</v>
      </c>
    </row>
    <row r="6420" spans="2:9" ht="30">
      <c r="B6420" s="396">
        <v>104228</v>
      </c>
      <c r="C6420" s="401" t="s">
        <v>8680</v>
      </c>
      <c r="D6420" s="396" t="s">
        <v>0</v>
      </c>
      <c r="E6420" s="405">
        <f t="shared" si="200"/>
        <v>69.510000000000005</v>
      </c>
      <c r="F6420">
        <f t="shared" si="201"/>
        <v>104228</v>
      </c>
      <c r="H6420" s="679">
        <v>69.510000000000005</v>
      </c>
      <c r="I6420" s="679">
        <v>72.98</v>
      </c>
    </row>
    <row r="6421" spans="2:9" ht="30">
      <c r="B6421" s="395">
        <v>104229</v>
      </c>
      <c r="C6421" s="406" t="s">
        <v>8681</v>
      </c>
      <c r="D6421" s="395" t="s">
        <v>0</v>
      </c>
      <c r="E6421" s="407">
        <f t="shared" si="200"/>
        <v>74.34</v>
      </c>
      <c r="F6421">
        <f t="shared" si="201"/>
        <v>104229</v>
      </c>
      <c r="H6421" s="680">
        <v>74.34</v>
      </c>
      <c r="I6421" s="680">
        <v>79</v>
      </c>
    </row>
    <row r="6422" spans="2:9" ht="30">
      <c r="B6422" s="396">
        <v>104230</v>
      </c>
      <c r="C6422" s="401" t="s">
        <v>8682</v>
      </c>
      <c r="D6422" s="396" t="s">
        <v>0</v>
      </c>
      <c r="E6422" s="405">
        <f t="shared" si="200"/>
        <v>80.760000000000005</v>
      </c>
      <c r="F6422">
        <f t="shared" si="201"/>
        <v>104230</v>
      </c>
      <c r="H6422" s="679">
        <v>80.760000000000005</v>
      </c>
      <c r="I6422" s="679">
        <v>86.17</v>
      </c>
    </row>
    <row r="6423" spans="2:9" ht="45">
      <c r="B6423" s="395">
        <v>104231</v>
      </c>
      <c r="C6423" s="406" t="s">
        <v>8683</v>
      </c>
      <c r="D6423" s="395" t="s">
        <v>0</v>
      </c>
      <c r="E6423" s="407">
        <f t="shared" si="200"/>
        <v>157.86000000000001</v>
      </c>
      <c r="F6423">
        <f t="shared" si="201"/>
        <v>104231</v>
      </c>
      <c r="H6423" s="680">
        <v>157.86000000000001</v>
      </c>
      <c r="I6423" s="680">
        <v>161.71</v>
      </c>
    </row>
    <row r="6424" spans="2:9" ht="30">
      <c r="B6424" s="396">
        <v>104232</v>
      </c>
      <c r="C6424" s="401" t="s">
        <v>8684</v>
      </c>
      <c r="D6424" s="396" t="s">
        <v>0</v>
      </c>
      <c r="E6424" s="405">
        <f t="shared" si="200"/>
        <v>76.59</v>
      </c>
      <c r="F6424">
        <f t="shared" si="201"/>
        <v>104232</v>
      </c>
      <c r="H6424" s="679">
        <v>76.59</v>
      </c>
      <c r="I6424" s="679">
        <v>80.459999999999994</v>
      </c>
    </row>
    <row r="6425" spans="2:9" ht="30">
      <c r="B6425" s="395">
        <v>104233</v>
      </c>
      <c r="C6425" s="406" t="s">
        <v>8685</v>
      </c>
      <c r="D6425" s="395" t="s">
        <v>0</v>
      </c>
      <c r="E6425" s="407">
        <f t="shared" si="200"/>
        <v>35.119999999999997</v>
      </c>
      <c r="F6425">
        <f t="shared" si="201"/>
        <v>104233</v>
      </c>
      <c r="H6425" s="680">
        <v>35.119999999999997</v>
      </c>
      <c r="I6425" s="680">
        <v>36.94</v>
      </c>
    </row>
    <row r="6426" spans="2:9" ht="30">
      <c r="B6426" s="396">
        <v>104234</v>
      </c>
      <c r="C6426" s="401" t="s">
        <v>8686</v>
      </c>
      <c r="D6426" s="396" t="s">
        <v>0</v>
      </c>
      <c r="E6426" s="405">
        <f t="shared" si="200"/>
        <v>38.36</v>
      </c>
      <c r="F6426">
        <f t="shared" si="201"/>
        <v>104234</v>
      </c>
      <c r="H6426" s="679">
        <v>38.36</v>
      </c>
      <c r="I6426" s="679">
        <v>40.549999999999997</v>
      </c>
    </row>
    <row r="6427" spans="2:9" ht="45">
      <c r="B6427" s="395">
        <v>104235</v>
      </c>
      <c r="C6427" s="406" t="s">
        <v>8687</v>
      </c>
      <c r="D6427" s="395" t="s">
        <v>0</v>
      </c>
      <c r="E6427" s="407">
        <f t="shared" si="200"/>
        <v>79.5</v>
      </c>
      <c r="F6427">
        <f t="shared" si="201"/>
        <v>104235</v>
      </c>
      <c r="H6427" s="680">
        <v>79.5</v>
      </c>
      <c r="I6427" s="680">
        <v>81.14</v>
      </c>
    </row>
    <row r="6428" spans="2:9" ht="30">
      <c r="B6428" s="396">
        <v>104236</v>
      </c>
      <c r="C6428" s="401" t="s">
        <v>8688</v>
      </c>
      <c r="D6428" s="396" t="s">
        <v>0</v>
      </c>
      <c r="E6428" s="405">
        <f t="shared" si="200"/>
        <v>38.01</v>
      </c>
      <c r="F6428">
        <f t="shared" si="201"/>
        <v>104236</v>
      </c>
      <c r="H6428" s="679">
        <v>38.01</v>
      </c>
      <c r="I6428" s="679">
        <v>39.67</v>
      </c>
    </row>
    <row r="6429" spans="2:9" ht="30">
      <c r="B6429" s="395">
        <v>104237</v>
      </c>
      <c r="C6429" s="406" t="s">
        <v>8689</v>
      </c>
      <c r="D6429" s="395" t="s">
        <v>0</v>
      </c>
      <c r="E6429" s="407">
        <f t="shared" si="200"/>
        <v>47.4</v>
      </c>
      <c r="F6429">
        <f t="shared" si="201"/>
        <v>104237</v>
      </c>
      <c r="H6429" s="680">
        <v>47.4</v>
      </c>
      <c r="I6429" s="680">
        <v>50.04</v>
      </c>
    </row>
    <row r="6430" spans="2:9" ht="30">
      <c r="B6430" s="396">
        <v>104238</v>
      </c>
      <c r="C6430" s="401" t="s">
        <v>8690</v>
      </c>
      <c r="D6430" s="396" t="s">
        <v>0</v>
      </c>
      <c r="E6430" s="405">
        <f t="shared" si="200"/>
        <v>51.74</v>
      </c>
      <c r="F6430">
        <f t="shared" si="201"/>
        <v>104238</v>
      </c>
      <c r="H6430" s="679">
        <v>51.74</v>
      </c>
      <c r="I6430" s="679">
        <v>54.89</v>
      </c>
    </row>
    <row r="6431" spans="2:9" ht="45">
      <c r="B6431" s="395">
        <v>104239</v>
      </c>
      <c r="C6431" s="406" t="s">
        <v>8691</v>
      </c>
      <c r="D6431" s="395" t="s">
        <v>0</v>
      </c>
      <c r="E6431" s="407">
        <f t="shared" si="200"/>
        <v>106.78</v>
      </c>
      <c r="F6431">
        <f t="shared" si="201"/>
        <v>104239</v>
      </c>
      <c r="H6431" s="680">
        <v>106.78</v>
      </c>
      <c r="I6431" s="680">
        <v>109.19</v>
      </c>
    </row>
    <row r="6432" spans="2:9" ht="30">
      <c r="B6432" s="396">
        <v>104240</v>
      </c>
      <c r="C6432" s="401" t="s">
        <v>8692</v>
      </c>
      <c r="D6432" s="396" t="s">
        <v>0</v>
      </c>
      <c r="E6432" s="405">
        <f t="shared" si="200"/>
        <v>51.55</v>
      </c>
      <c r="F6432">
        <f t="shared" si="201"/>
        <v>104240</v>
      </c>
      <c r="H6432" s="679">
        <v>51.55</v>
      </c>
      <c r="I6432" s="679">
        <v>53.97</v>
      </c>
    </row>
    <row r="6433" spans="2:9" ht="30">
      <c r="B6433" s="395">
        <v>104241</v>
      </c>
      <c r="C6433" s="406" t="s">
        <v>8693</v>
      </c>
      <c r="D6433" s="395" t="s">
        <v>0</v>
      </c>
      <c r="E6433" s="407">
        <f t="shared" si="200"/>
        <v>53.05</v>
      </c>
      <c r="F6433">
        <f t="shared" si="201"/>
        <v>104241</v>
      </c>
      <c r="H6433" s="680">
        <v>53.05</v>
      </c>
      <c r="I6433" s="680">
        <v>55.77</v>
      </c>
    </row>
    <row r="6434" spans="2:9" ht="30">
      <c r="B6434" s="396">
        <v>104242</v>
      </c>
      <c r="C6434" s="401" t="s">
        <v>8694</v>
      </c>
      <c r="D6434" s="396" t="s">
        <v>0</v>
      </c>
      <c r="E6434" s="405">
        <f t="shared" si="200"/>
        <v>58.5</v>
      </c>
      <c r="F6434">
        <f t="shared" si="201"/>
        <v>104242</v>
      </c>
      <c r="H6434" s="679">
        <v>58.5</v>
      </c>
      <c r="I6434" s="679">
        <v>61.85</v>
      </c>
    </row>
    <row r="6435" spans="2:9" ht="45">
      <c r="B6435" s="395">
        <v>104243</v>
      </c>
      <c r="C6435" s="406" t="s">
        <v>8695</v>
      </c>
      <c r="D6435" s="395" t="s">
        <v>0</v>
      </c>
      <c r="E6435" s="407">
        <f t="shared" si="200"/>
        <v>128.03</v>
      </c>
      <c r="F6435">
        <f t="shared" si="201"/>
        <v>104243</v>
      </c>
      <c r="H6435" s="680">
        <v>128.03</v>
      </c>
      <c r="I6435" s="680">
        <v>130.51</v>
      </c>
    </row>
    <row r="6436" spans="2:9" ht="30">
      <c r="B6436" s="396">
        <v>104244</v>
      </c>
      <c r="C6436" s="401" t="s">
        <v>8696</v>
      </c>
      <c r="D6436" s="396" t="s">
        <v>0</v>
      </c>
      <c r="E6436" s="405">
        <f t="shared" si="200"/>
        <v>57.9</v>
      </c>
      <c r="F6436">
        <f t="shared" si="201"/>
        <v>104244</v>
      </c>
      <c r="H6436" s="679">
        <v>57.9</v>
      </c>
      <c r="I6436" s="679">
        <v>60.4</v>
      </c>
    </row>
    <row r="6437" spans="2:9" ht="30">
      <c r="B6437" s="395">
        <v>104245</v>
      </c>
      <c r="C6437" s="406" t="s">
        <v>8697</v>
      </c>
      <c r="D6437" s="395" t="s">
        <v>0</v>
      </c>
      <c r="E6437" s="407">
        <f t="shared" si="200"/>
        <v>57.76</v>
      </c>
      <c r="F6437">
        <f t="shared" si="201"/>
        <v>104245</v>
      </c>
      <c r="H6437" s="680">
        <v>57.76</v>
      </c>
      <c r="I6437" s="680">
        <v>60.72</v>
      </c>
    </row>
    <row r="6438" spans="2:9" ht="30">
      <c r="B6438" s="396">
        <v>104246</v>
      </c>
      <c r="C6438" s="401" t="s">
        <v>8698</v>
      </c>
      <c r="D6438" s="396" t="s">
        <v>0</v>
      </c>
      <c r="E6438" s="405">
        <f t="shared" si="200"/>
        <v>63.76</v>
      </c>
      <c r="F6438">
        <f t="shared" si="201"/>
        <v>104246</v>
      </c>
      <c r="H6438" s="679">
        <v>63.76</v>
      </c>
      <c r="I6438" s="679">
        <v>67.42</v>
      </c>
    </row>
    <row r="6439" spans="2:9" ht="45">
      <c r="B6439" s="395">
        <v>104247</v>
      </c>
      <c r="C6439" s="406" t="s">
        <v>8699</v>
      </c>
      <c r="D6439" s="395" t="s">
        <v>0</v>
      </c>
      <c r="E6439" s="407">
        <f t="shared" si="200"/>
        <v>138.19</v>
      </c>
      <c r="F6439">
        <f t="shared" si="201"/>
        <v>104247</v>
      </c>
      <c r="H6439" s="680">
        <v>138.19</v>
      </c>
      <c r="I6439" s="680">
        <v>140.63999999999999</v>
      </c>
    </row>
    <row r="6440" spans="2:9" ht="30">
      <c r="B6440" s="396">
        <v>104248</v>
      </c>
      <c r="C6440" s="401" t="s">
        <v>8700</v>
      </c>
      <c r="D6440" s="396" t="s">
        <v>0</v>
      </c>
      <c r="E6440" s="405">
        <f t="shared" si="200"/>
        <v>60.51</v>
      </c>
      <c r="F6440">
        <f t="shared" si="201"/>
        <v>104248</v>
      </c>
      <c r="H6440" s="679">
        <v>60.51</v>
      </c>
      <c r="I6440" s="679">
        <v>62.99</v>
      </c>
    </row>
    <row r="6441" spans="2:9" ht="30">
      <c r="B6441" s="395">
        <v>104249</v>
      </c>
      <c r="C6441" s="406" t="s">
        <v>8701</v>
      </c>
      <c r="D6441" s="395" t="s">
        <v>0</v>
      </c>
      <c r="E6441" s="407">
        <f t="shared" si="200"/>
        <v>58.77</v>
      </c>
      <c r="F6441">
        <f t="shared" si="201"/>
        <v>104249</v>
      </c>
      <c r="H6441" s="680">
        <v>58.77</v>
      </c>
      <c r="I6441" s="680">
        <v>63.7</v>
      </c>
    </row>
    <row r="6442" spans="2:9" ht="30">
      <c r="B6442" s="396">
        <v>104250</v>
      </c>
      <c r="C6442" s="401" t="s">
        <v>8702</v>
      </c>
      <c r="D6442" s="396" t="s">
        <v>0</v>
      </c>
      <c r="E6442" s="405">
        <f t="shared" si="200"/>
        <v>62.01</v>
      </c>
      <c r="F6442">
        <f t="shared" si="201"/>
        <v>104250</v>
      </c>
      <c r="H6442" s="679">
        <v>62.01</v>
      </c>
      <c r="I6442" s="679">
        <v>67.31</v>
      </c>
    </row>
    <row r="6443" spans="2:9" ht="45">
      <c r="B6443" s="395">
        <v>104251</v>
      </c>
      <c r="C6443" s="406" t="s">
        <v>8703</v>
      </c>
      <c r="D6443" s="395" t="s">
        <v>0</v>
      </c>
      <c r="E6443" s="407">
        <f t="shared" si="200"/>
        <v>100.68</v>
      </c>
      <c r="F6443">
        <f t="shared" si="201"/>
        <v>104251</v>
      </c>
      <c r="H6443" s="680">
        <v>100.68</v>
      </c>
      <c r="I6443" s="680">
        <v>105.16</v>
      </c>
    </row>
    <row r="6444" spans="2:9" ht="45">
      <c r="B6444" s="396">
        <v>104252</v>
      </c>
      <c r="C6444" s="401" t="s">
        <v>8704</v>
      </c>
      <c r="D6444" s="396" t="s">
        <v>0</v>
      </c>
      <c r="E6444" s="405">
        <f t="shared" si="200"/>
        <v>64.069999999999993</v>
      </c>
      <c r="F6444">
        <f t="shared" si="201"/>
        <v>104252</v>
      </c>
      <c r="H6444" s="679">
        <v>64.069999999999993</v>
      </c>
      <c r="I6444" s="679">
        <v>68.569999999999993</v>
      </c>
    </row>
    <row r="6445" spans="2:9" ht="30">
      <c r="B6445" s="395">
        <v>104253</v>
      </c>
      <c r="C6445" s="406" t="s">
        <v>8705</v>
      </c>
      <c r="D6445" s="395" t="s">
        <v>0</v>
      </c>
      <c r="E6445" s="407">
        <f t="shared" si="200"/>
        <v>71.05</v>
      </c>
      <c r="F6445">
        <f t="shared" si="201"/>
        <v>104253</v>
      </c>
      <c r="H6445" s="680">
        <v>71.05</v>
      </c>
      <c r="I6445" s="680">
        <v>76.81</v>
      </c>
    </row>
    <row r="6446" spans="2:9" ht="30">
      <c r="B6446" s="396">
        <v>104254</v>
      </c>
      <c r="C6446" s="401" t="s">
        <v>8706</v>
      </c>
      <c r="D6446" s="396" t="s">
        <v>0</v>
      </c>
      <c r="E6446" s="405">
        <f t="shared" si="200"/>
        <v>75.39</v>
      </c>
      <c r="F6446">
        <f t="shared" si="201"/>
        <v>104254</v>
      </c>
      <c r="H6446" s="679">
        <v>75.39</v>
      </c>
      <c r="I6446" s="679">
        <v>81.66</v>
      </c>
    </row>
    <row r="6447" spans="2:9" ht="45">
      <c r="B6447" s="395">
        <v>104255</v>
      </c>
      <c r="C6447" s="406" t="s">
        <v>8707</v>
      </c>
      <c r="D6447" s="395" t="s">
        <v>0</v>
      </c>
      <c r="E6447" s="407">
        <f t="shared" si="200"/>
        <v>127.96</v>
      </c>
      <c r="F6447">
        <f t="shared" si="201"/>
        <v>104255</v>
      </c>
      <c r="H6447" s="680">
        <v>127.96</v>
      </c>
      <c r="I6447" s="680">
        <v>133.21</v>
      </c>
    </row>
    <row r="6448" spans="2:9" ht="45">
      <c r="B6448" s="396">
        <v>104256</v>
      </c>
      <c r="C6448" s="401" t="s">
        <v>8708</v>
      </c>
      <c r="D6448" s="396" t="s">
        <v>0</v>
      </c>
      <c r="E6448" s="405">
        <f t="shared" si="200"/>
        <v>77.62</v>
      </c>
      <c r="F6448">
        <f t="shared" si="201"/>
        <v>104256</v>
      </c>
      <c r="H6448" s="679">
        <v>77.62</v>
      </c>
      <c r="I6448" s="679">
        <v>82.88</v>
      </c>
    </row>
    <row r="6449" spans="2:9" ht="30">
      <c r="B6449" s="395">
        <v>104257</v>
      </c>
      <c r="C6449" s="406" t="s">
        <v>8709</v>
      </c>
      <c r="D6449" s="395" t="s">
        <v>0</v>
      </c>
      <c r="E6449" s="407">
        <f t="shared" si="200"/>
        <v>76.7</v>
      </c>
      <c r="F6449">
        <f t="shared" si="201"/>
        <v>104257</v>
      </c>
      <c r="H6449" s="680">
        <v>76.7</v>
      </c>
      <c r="I6449" s="680">
        <v>82.54</v>
      </c>
    </row>
    <row r="6450" spans="2:9" ht="30">
      <c r="B6450" s="396">
        <v>104258</v>
      </c>
      <c r="C6450" s="401" t="s">
        <v>8710</v>
      </c>
      <c r="D6450" s="396" t="s">
        <v>0</v>
      </c>
      <c r="E6450" s="405">
        <f t="shared" si="200"/>
        <v>82.15</v>
      </c>
      <c r="F6450">
        <f t="shared" si="201"/>
        <v>104258</v>
      </c>
      <c r="H6450" s="679">
        <v>82.15</v>
      </c>
      <c r="I6450" s="679">
        <v>88.62</v>
      </c>
    </row>
    <row r="6451" spans="2:9" ht="45">
      <c r="B6451" s="395">
        <v>104259</v>
      </c>
      <c r="C6451" s="406" t="s">
        <v>8711</v>
      </c>
      <c r="D6451" s="395" t="s">
        <v>0</v>
      </c>
      <c r="E6451" s="407">
        <f t="shared" si="200"/>
        <v>149.21</v>
      </c>
      <c r="F6451">
        <f t="shared" si="201"/>
        <v>104259</v>
      </c>
      <c r="H6451" s="680">
        <v>149.21</v>
      </c>
      <c r="I6451" s="680">
        <v>154.53</v>
      </c>
    </row>
    <row r="6452" spans="2:9" ht="45">
      <c r="B6452" s="396">
        <v>104260</v>
      </c>
      <c r="C6452" s="401" t="s">
        <v>8712</v>
      </c>
      <c r="D6452" s="396" t="s">
        <v>0</v>
      </c>
      <c r="E6452" s="405">
        <f t="shared" si="200"/>
        <v>83.97</v>
      </c>
      <c r="F6452">
        <f t="shared" si="201"/>
        <v>104260</v>
      </c>
      <c r="H6452" s="679">
        <v>83.97</v>
      </c>
      <c r="I6452" s="679">
        <v>89.31</v>
      </c>
    </row>
    <row r="6453" spans="2:9" ht="30">
      <c r="B6453" s="395">
        <v>104261</v>
      </c>
      <c r="C6453" s="406" t="s">
        <v>8713</v>
      </c>
      <c r="D6453" s="395" t="s">
        <v>0</v>
      </c>
      <c r="E6453" s="407">
        <f t="shared" si="200"/>
        <v>98.29</v>
      </c>
      <c r="F6453">
        <f t="shared" si="201"/>
        <v>104261</v>
      </c>
      <c r="H6453" s="680">
        <v>98.29</v>
      </c>
      <c r="I6453" s="680">
        <v>106.25</v>
      </c>
    </row>
    <row r="6454" spans="2:9" ht="30">
      <c r="B6454" s="396">
        <v>104262</v>
      </c>
      <c r="C6454" s="401" t="s">
        <v>8714</v>
      </c>
      <c r="D6454" s="396" t="s">
        <v>0</v>
      </c>
      <c r="E6454" s="405">
        <f t="shared" si="200"/>
        <v>104.29</v>
      </c>
      <c r="F6454">
        <f t="shared" si="201"/>
        <v>104262</v>
      </c>
      <c r="H6454" s="679">
        <v>104.29</v>
      </c>
      <c r="I6454" s="679">
        <v>112.95</v>
      </c>
    </row>
    <row r="6455" spans="2:9" ht="45">
      <c r="B6455" s="395">
        <v>104263</v>
      </c>
      <c r="C6455" s="406" t="s">
        <v>8715</v>
      </c>
      <c r="D6455" s="395" t="s">
        <v>0</v>
      </c>
      <c r="E6455" s="407">
        <f t="shared" si="200"/>
        <v>170.2</v>
      </c>
      <c r="F6455">
        <f t="shared" si="201"/>
        <v>104263</v>
      </c>
      <c r="H6455" s="680">
        <v>170.2</v>
      </c>
      <c r="I6455" s="680">
        <v>176.7</v>
      </c>
    </row>
    <row r="6456" spans="2:9" ht="45">
      <c r="B6456" s="396">
        <v>104264</v>
      </c>
      <c r="C6456" s="401" t="s">
        <v>8716</v>
      </c>
      <c r="D6456" s="396" t="s">
        <v>0</v>
      </c>
      <c r="E6456" s="405">
        <f t="shared" si="200"/>
        <v>99.49</v>
      </c>
      <c r="F6456">
        <f t="shared" si="201"/>
        <v>104264</v>
      </c>
      <c r="H6456" s="679">
        <v>99.49</v>
      </c>
      <c r="I6456" s="679">
        <v>106.02</v>
      </c>
    </row>
    <row r="6457" spans="2:9" ht="30">
      <c r="B6457" s="395">
        <v>87242</v>
      </c>
      <c r="C6457" s="406" t="s">
        <v>13855</v>
      </c>
      <c r="D6457" s="395" t="s">
        <v>0</v>
      </c>
      <c r="E6457" s="407">
        <f t="shared" si="200"/>
        <v>220.9</v>
      </c>
      <c r="F6457">
        <f t="shared" si="201"/>
        <v>87242</v>
      </c>
      <c r="H6457" s="680">
        <v>220.9</v>
      </c>
      <c r="I6457" s="680">
        <v>225.33</v>
      </c>
    </row>
    <row r="6458" spans="2:9" ht="30">
      <c r="B6458" s="396">
        <v>87243</v>
      </c>
      <c r="C6458" s="401" t="s">
        <v>13856</v>
      </c>
      <c r="D6458" s="396" t="s">
        <v>0</v>
      </c>
      <c r="E6458" s="405">
        <f t="shared" si="200"/>
        <v>203.49</v>
      </c>
      <c r="F6458">
        <f t="shared" si="201"/>
        <v>87243</v>
      </c>
      <c r="H6458" s="679">
        <v>203.49</v>
      </c>
      <c r="I6458" s="679">
        <v>207</v>
      </c>
    </row>
    <row r="6459" spans="2:9" ht="30">
      <c r="B6459" s="395">
        <v>87244</v>
      </c>
      <c r="C6459" s="406" t="s">
        <v>13857</v>
      </c>
      <c r="D6459" s="395" t="s">
        <v>0</v>
      </c>
      <c r="E6459" s="407">
        <f t="shared" si="200"/>
        <v>214.22</v>
      </c>
      <c r="F6459">
        <f t="shared" si="201"/>
        <v>87244</v>
      </c>
      <c r="H6459" s="680">
        <v>214.22</v>
      </c>
      <c r="I6459" s="680">
        <v>218.95</v>
      </c>
    </row>
    <row r="6460" spans="2:9" ht="30">
      <c r="B6460" s="396">
        <v>87245</v>
      </c>
      <c r="C6460" s="401" t="s">
        <v>13858</v>
      </c>
      <c r="D6460" s="396" t="s">
        <v>0</v>
      </c>
      <c r="E6460" s="405">
        <f t="shared" si="200"/>
        <v>255.93</v>
      </c>
      <c r="F6460">
        <f t="shared" si="201"/>
        <v>87245</v>
      </c>
      <c r="H6460" s="679">
        <v>255.93</v>
      </c>
      <c r="I6460" s="679">
        <v>261.75</v>
      </c>
    </row>
    <row r="6461" spans="2:9" ht="30">
      <c r="B6461" s="395">
        <v>87265</v>
      </c>
      <c r="C6461" s="406" t="s">
        <v>13859</v>
      </c>
      <c r="D6461" s="395" t="s">
        <v>0</v>
      </c>
      <c r="E6461" s="407">
        <f t="shared" si="200"/>
        <v>58.35</v>
      </c>
      <c r="F6461">
        <f t="shared" si="201"/>
        <v>87265</v>
      </c>
      <c r="H6461" s="680">
        <v>58.35</v>
      </c>
      <c r="I6461" s="680">
        <v>60.11</v>
      </c>
    </row>
    <row r="6462" spans="2:9" ht="30">
      <c r="B6462" s="396">
        <v>87267</v>
      </c>
      <c r="C6462" s="401" t="s">
        <v>13860</v>
      </c>
      <c r="D6462" s="396" t="s">
        <v>0</v>
      </c>
      <c r="E6462" s="405">
        <f t="shared" si="200"/>
        <v>64.63</v>
      </c>
      <c r="F6462">
        <f t="shared" si="201"/>
        <v>87267</v>
      </c>
      <c r="H6462" s="679">
        <v>64.63</v>
      </c>
      <c r="I6462" s="679">
        <v>67.06</v>
      </c>
    </row>
    <row r="6463" spans="2:9" ht="30">
      <c r="B6463" s="395">
        <v>87269</v>
      </c>
      <c r="C6463" s="406" t="s">
        <v>13861</v>
      </c>
      <c r="D6463" s="395" t="s">
        <v>0</v>
      </c>
      <c r="E6463" s="407">
        <f t="shared" si="200"/>
        <v>61.73</v>
      </c>
      <c r="F6463">
        <f t="shared" si="201"/>
        <v>87269</v>
      </c>
      <c r="H6463" s="680">
        <v>61.73</v>
      </c>
      <c r="I6463" s="680">
        <v>63.88</v>
      </c>
    </row>
    <row r="6464" spans="2:9" ht="30">
      <c r="B6464" s="396">
        <v>87271</v>
      </c>
      <c r="C6464" s="401" t="s">
        <v>13862</v>
      </c>
      <c r="D6464" s="396" t="s">
        <v>0</v>
      </c>
      <c r="E6464" s="405">
        <f t="shared" si="200"/>
        <v>67.69</v>
      </c>
      <c r="F6464">
        <f t="shared" si="201"/>
        <v>87271</v>
      </c>
      <c r="H6464" s="679">
        <v>67.69</v>
      </c>
      <c r="I6464" s="679">
        <v>70.52</v>
      </c>
    </row>
    <row r="6465" spans="2:9" ht="30">
      <c r="B6465" s="395">
        <v>87273</v>
      </c>
      <c r="C6465" s="406" t="s">
        <v>13863</v>
      </c>
      <c r="D6465" s="395" t="s">
        <v>0</v>
      </c>
      <c r="E6465" s="407">
        <f t="shared" si="200"/>
        <v>64.38</v>
      </c>
      <c r="F6465">
        <f t="shared" si="201"/>
        <v>87273</v>
      </c>
      <c r="H6465" s="680">
        <v>64.38</v>
      </c>
      <c r="I6465" s="680">
        <v>66.69</v>
      </c>
    </row>
    <row r="6466" spans="2:9" ht="30">
      <c r="B6466" s="396">
        <v>87275</v>
      </c>
      <c r="C6466" s="401" t="s">
        <v>13864</v>
      </c>
      <c r="D6466" s="396" t="s">
        <v>0</v>
      </c>
      <c r="E6466" s="405">
        <f t="shared" si="200"/>
        <v>71.88</v>
      </c>
      <c r="F6466">
        <f t="shared" si="201"/>
        <v>87275</v>
      </c>
      <c r="H6466" s="679">
        <v>71.88</v>
      </c>
      <c r="I6466" s="679">
        <v>75.010000000000005</v>
      </c>
    </row>
    <row r="6467" spans="2:9" ht="30">
      <c r="B6467" s="395">
        <v>88786</v>
      </c>
      <c r="C6467" s="406" t="s">
        <v>13865</v>
      </c>
      <c r="D6467" s="395" t="s">
        <v>0</v>
      </c>
      <c r="E6467" s="407">
        <f t="shared" ref="E6467:E6530" si="202">IF($K$2=$H$1,H6467,I6467)</f>
        <v>313.85000000000002</v>
      </c>
      <c r="F6467">
        <f t="shared" ref="F6467:F6530" si="203">IF(LEN($B6467)=7,CONCATENATE(MID($B6467,1,6),"00",RIGHT($B6467,1)),IF(LEN($B6467)=8,CONCATENATE(MID($B6467,1,6),"0",RIGHT($B6467,2)),$B6467))</f>
        <v>88786</v>
      </c>
      <c r="H6467" s="680">
        <v>313.85000000000002</v>
      </c>
      <c r="I6467" s="680">
        <v>318.27999999999997</v>
      </c>
    </row>
    <row r="6468" spans="2:9" ht="30">
      <c r="B6468" s="396">
        <v>88787</v>
      </c>
      <c r="C6468" s="401" t="s">
        <v>13866</v>
      </c>
      <c r="D6468" s="396" t="s">
        <v>0</v>
      </c>
      <c r="E6468" s="405">
        <f t="shared" si="202"/>
        <v>291.3</v>
      </c>
      <c r="F6468">
        <f t="shared" si="203"/>
        <v>88787</v>
      </c>
      <c r="H6468" s="679">
        <v>291.3</v>
      </c>
      <c r="I6468" s="679">
        <v>294.81</v>
      </c>
    </row>
    <row r="6469" spans="2:9" ht="30">
      <c r="B6469" s="395">
        <v>88788</v>
      </c>
      <c r="C6469" s="406" t="s">
        <v>13867</v>
      </c>
      <c r="D6469" s="395" t="s">
        <v>0</v>
      </c>
      <c r="E6469" s="407">
        <f t="shared" si="202"/>
        <v>302.02999999999997</v>
      </c>
      <c r="F6469">
        <f t="shared" si="203"/>
        <v>88788</v>
      </c>
      <c r="H6469" s="680">
        <v>302.02999999999997</v>
      </c>
      <c r="I6469" s="680">
        <v>306.76</v>
      </c>
    </row>
    <row r="6470" spans="2:9" ht="30">
      <c r="B6470" s="396">
        <v>88789</v>
      </c>
      <c r="C6470" s="401" t="s">
        <v>13868</v>
      </c>
      <c r="D6470" s="396" t="s">
        <v>0</v>
      </c>
      <c r="E6470" s="405">
        <f t="shared" si="202"/>
        <v>361.4</v>
      </c>
      <c r="F6470">
        <f t="shared" si="203"/>
        <v>88789</v>
      </c>
      <c r="H6470" s="679">
        <v>361.4</v>
      </c>
      <c r="I6470" s="679">
        <v>367.22</v>
      </c>
    </row>
    <row r="6471" spans="2:9" ht="45">
      <c r="B6471" s="395">
        <v>89045</v>
      </c>
      <c r="C6471" s="406" t="s">
        <v>5199</v>
      </c>
      <c r="D6471" s="395" t="s">
        <v>0</v>
      </c>
      <c r="E6471" s="407">
        <f t="shared" si="202"/>
        <v>65.06</v>
      </c>
      <c r="F6471">
        <f t="shared" si="203"/>
        <v>89045</v>
      </c>
      <c r="H6471" s="680">
        <v>65.06</v>
      </c>
      <c r="I6471" s="680">
        <v>67.56</v>
      </c>
    </row>
    <row r="6472" spans="2:9" ht="45">
      <c r="B6472" s="396">
        <v>89170</v>
      </c>
      <c r="C6472" s="401" t="s">
        <v>6205</v>
      </c>
      <c r="D6472" s="396" t="s">
        <v>0</v>
      </c>
      <c r="E6472" s="405">
        <f t="shared" si="202"/>
        <v>63.31</v>
      </c>
      <c r="F6472">
        <f t="shared" si="203"/>
        <v>89170</v>
      </c>
      <c r="H6472" s="679">
        <v>63.31</v>
      </c>
      <c r="I6472" s="679">
        <v>65.63</v>
      </c>
    </row>
    <row r="6473" spans="2:9" ht="30">
      <c r="B6473" s="395">
        <v>93393</v>
      </c>
      <c r="C6473" s="406" t="s">
        <v>13869</v>
      </c>
      <c r="D6473" s="395" t="s">
        <v>0</v>
      </c>
      <c r="E6473" s="407">
        <f t="shared" si="202"/>
        <v>48.9</v>
      </c>
      <c r="F6473">
        <f t="shared" si="203"/>
        <v>93393</v>
      </c>
      <c r="H6473" s="680">
        <v>48.9</v>
      </c>
      <c r="I6473" s="680">
        <v>50.66</v>
      </c>
    </row>
    <row r="6474" spans="2:9" ht="30">
      <c r="B6474" s="396">
        <v>93395</v>
      </c>
      <c r="C6474" s="401" t="s">
        <v>13870</v>
      </c>
      <c r="D6474" s="396" t="s">
        <v>0</v>
      </c>
      <c r="E6474" s="405">
        <f t="shared" si="202"/>
        <v>55.09</v>
      </c>
      <c r="F6474">
        <f t="shared" si="203"/>
        <v>93395</v>
      </c>
      <c r="H6474" s="679">
        <v>55.09</v>
      </c>
      <c r="I6474" s="679">
        <v>57.52</v>
      </c>
    </row>
    <row r="6475" spans="2:9" ht="30">
      <c r="B6475" s="395">
        <v>99195</v>
      </c>
      <c r="C6475" s="406" t="s">
        <v>13871</v>
      </c>
      <c r="D6475" s="395" t="s">
        <v>0</v>
      </c>
      <c r="E6475" s="407">
        <f t="shared" si="202"/>
        <v>58.96</v>
      </c>
      <c r="F6475">
        <f t="shared" si="203"/>
        <v>99195</v>
      </c>
      <c r="H6475" s="680">
        <v>58.96</v>
      </c>
      <c r="I6475" s="680">
        <v>60.72</v>
      </c>
    </row>
    <row r="6476" spans="2:9" ht="30">
      <c r="B6476" s="396">
        <v>99198</v>
      </c>
      <c r="C6476" s="401" t="s">
        <v>13872</v>
      </c>
      <c r="D6476" s="396" t="s">
        <v>0</v>
      </c>
      <c r="E6476" s="405">
        <f t="shared" si="202"/>
        <v>65.150000000000006</v>
      </c>
      <c r="F6476">
        <f t="shared" si="203"/>
        <v>99198</v>
      </c>
      <c r="H6476" s="679">
        <v>65.150000000000006</v>
      </c>
      <c r="I6476" s="679">
        <v>67.58</v>
      </c>
    </row>
    <row r="6477" spans="2:9" ht="30">
      <c r="B6477" s="395">
        <v>104453</v>
      </c>
      <c r="C6477" s="406" t="s">
        <v>13873</v>
      </c>
      <c r="D6477" s="395" t="s">
        <v>0</v>
      </c>
      <c r="E6477" s="407">
        <f t="shared" si="202"/>
        <v>65.23</v>
      </c>
      <c r="F6477">
        <f t="shared" si="203"/>
        <v>104453</v>
      </c>
      <c r="H6477" s="680">
        <v>65.23</v>
      </c>
      <c r="I6477" s="680">
        <v>67.75</v>
      </c>
    </row>
    <row r="6478" spans="2:9" ht="30">
      <c r="B6478" s="396">
        <v>104454</v>
      </c>
      <c r="C6478" s="401" t="s">
        <v>13874</v>
      </c>
      <c r="D6478" s="396" t="s">
        <v>0</v>
      </c>
      <c r="E6478" s="405">
        <f t="shared" si="202"/>
        <v>67.67</v>
      </c>
      <c r="F6478">
        <f t="shared" si="203"/>
        <v>104454</v>
      </c>
      <c r="H6478" s="679">
        <v>67.67</v>
      </c>
      <c r="I6478" s="679">
        <v>70.45</v>
      </c>
    </row>
    <row r="6479" spans="2:9" ht="30">
      <c r="B6479" s="395">
        <v>104455</v>
      </c>
      <c r="C6479" s="406" t="s">
        <v>13875</v>
      </c>
      <c r="D6479" s="395" t="s">
        <v>0</v>
      </c>
      <c r="E6479" s="407">
        <f t="shared" si="202"/>
        <v>69.239999999999995</v>
      </c>
      <c r="F6479">
        <f t="shared" si="203"/>
        <v>104455</v>
      </c>
      <c r="H6479" s="680">
        <v>69.239999999999995</v>
      </c>
      <c r="I6479" s="680">
        <v>72.209999999999994</v>
      </c>
    </row>
    <row r="6480" spans="2:9" ht="30">
      <c r="B6480" s="396">
        <v>104456</v>
      </c>
      <c r="C6480" s="401" t="s">
        <v>13876</v>
      </c>
      <c r="D6480" s="396" t="s">
        <v>0</v>
      </c>
      <c r="E6480" s="405">
        <f t="shared" si="202"/>
        <v>71.28</v>
      </c>
      <c r="F6480">
        <f t="shared" si="203"/>
        <v>104456</v>
      </c>
      <c r="H6480" s="679">
        <v>71.28</v>
      </c>
      <c r="I6480" s="679">
        <v>74.48</v>
      </c>
    </row>
    <row r="6481" spans="2:9" ht="30">
      <c r="B6481" s="395">
        <v>104457</v>
      </c>
      <c r="C6481" s="406" t="s">
        <v>13877</v>
      </c>
      <c r="D6481" s="395" t="s">
        <v>0</v>
      </c>
      <c r="E6481" s="407">
        <f t="shared" si="202"/>
        <v>73.53</v>
      </c>
      <c r="F6481">
        <f t="shared" si="203"/>
        <v>104457</v>
      </c>
      <c r="H6481" s="680">
        <v>73.53</v>
      </c>
      <c r="I6481" s="680">
        <v>76.84</v>
      </c>
    </row>
    <row r="6482" spans="2:9" ht="30">
      <c r="B6482" s="396">
        <v>104458</v>
      </c>
      <c r="C6482" s="401" t="s">
        <v>13878</v>
      </c>
      <c r="D6482" s="396" t="s">
        <v>0</v>
      </c>
      <c r="E6482" s="405">
        <f t="shared" si="202"/>
        <v>74.97</v>
      </c>
      <c r="F6482">
        <f t="shared" si="203"/>
        <v>104458</v>
      </c>
      <c r="H6482" s="679">
        <v>74.97</v>
      </c>
      <c r="I6482" s="679">
        <v>78.44</v>
      </c>
    </row>
    <row r="6483" spans="2:9" ht="30">
      <c r="B6483" s="395">
        <v>104459</v>
      </c>
      <c r="C6483" s="406" t="s">
        <v>13879</v>
      </c>
      <c r="D6483" s="395" t="s">
        <v>0</v>
      </c>
      <c r="E6483" s="407">
        <f t="shared" si="202"/>
        <v>55.69</v>
      </c>
      <c r="F6483">
        <f t="shared" si="203"/>
        <v>104459</v>
      </c>
      <c r="H6483" s="680">
        <v>55.69</v>
      </c>
      <c r="I6483" s="680">
        <v>58.21</v>
      </c>
    </row>
    <row r="6484" spans="2:9" ht="30">
      <c r="B6484" s="396">
        <v>104460</v>
      </c>
      <c r="C6484" s="401" t="s">
        <v>13880</v>
      </c>
      <c r="D6484" s="396" t="s">
        <v>0</v>
      </c>
      <c r="E6484" s="405">
        <f t="shared" si="202"/>
        <v>58.13</v>
      </c>
      <c r="F6484">
        <f t="shared" si="203"/>
        <v>104460</v>
      </c>
      <c r="H6484" s="679">
        <v>58.13</v>
      </c>
      <c r="I6484" s="679">
        <v>60.91</v>
      </c>
    </row>
    <row r="6485" spans="2:9" ht="30">
      <c r="B6485" s="395">
        <v>104461</v>
      </c>
      <c r="C6485" s="406" t="s">
        <v>13881</v>
      </c>
      <c r="D6485" s="395" t="s">
        <v>0</v>
      </c>
      <c r="E6485" s="407">
        <f t="shared" si="202"/>
        <v>65.75</v>
      </c>
      <c r="F6485">
        <f t="shared" si="203"/>
        <v>104461</v>
      </c>
      <c r="H6485" s="680">
        <v>65.75</v>
      </c>
      <c r="I6485" s="680">
        <v>68.27</v>
      </c>
    </row>
    <row r="6486" spans="2:9" ht="30">
      <c r="B6486" s="396">
        <v>104462</v>
      </c>
      <c r="C6486" s="401" t="s">
        <v>13882</v>
      </c>
      <c r="D6486" s="396" t="s">
        <v>0</v>
      </c>
      <c r="E6486" s="405">
        <f t="shared" si="202"/>
        <v>68.19</v>
      </c>
      <c r="F6486">
        <f t="shared" si="203"/>
        <v>104462</v>
      </c>
      <c r="H6486" s="679">
        <v>68.19</v>
      </c>
      <c r="I6486" s="679">
        <v>70.97</v>
      </c>
    </row>
    <row r="6487" spans="2:9" ht="30">
      <c r="B6487" s="395">
        <v>101965</v>
      </c>
      <c r="C6487" s="406" t="s">
        <v>5200</v>
      </c>
      <c r="D6487" s="395" t="s">
        <v>22</v>
      </c>
      <c r="E6487" s="407">
        <f t="shared" si="202"/>
        <v>120.96</v>
      </c>
      <c r="F6487">
        <f t="shared" si="203"/>
        <v>101965</v>
      </c>
      <c r="H6487" s="680">
        <v>120.96</v>
      </c>
      <c r="I6487" s="680">
        <v>123.24</v>
      </c>
    </row>
    <row r="6488" spans="2:9" ht="30">
      <c r="B6488" s="396">
        <v>101966</v>
      </c>
      <c r="C6488" s="401" t="s">
        <v>5201</v>
      </c>
      <c r="D6488" s="396" t="s">
        <v>22</v>
      </c>
      <c r="E6488" s="405">
        <f t="shared" si="202"/>
        <v>158.06</v>
      </c>
      <c r="F6488">
        <f t="shared" si="203"/>
        <v>101966</v>
      </c>
      <c r="H6488" s="679">
        <v>158.06</v>
      </c>
      <c r="I6488" s="679">
        <v>159.12</v>
      </c>
    </row>
    <row r="6489" spans="2:9">
      <c r="B6489" s="395">
        <v>101979</v>
      </c>
      <c r="C6489" s="406" t="s">
        <v>5202</v>
      </c>
      <c r="D6489" s="395" t="s">
        <v>22</v>
      </c>
      <c r="E6489" s="407">
        <f t="shared" si="202"/>
        <v>44.05</v>
      </c>
      <c r="F6489">
        <f t="shared" si="203"/>
        <v>101979</v>
      </c>
      <c r="H6489" s="680">
        <v>44.05</v>
      </c>
      <c r="I6489" s="680">
        <v>44.67</v>
      </c>
    </row>
    <row r="6490" spans="2:9">
      <c r="B6490" s="396">
        <v>96112</v>
      </c>
      <c r="C6490" s="401" t="s">
        <v>2055</v>
      </c>
      <c r="D6490" s="396" t="s">
        <v>0</v>
      </c>
      <c r="E6490" s="405">
        <f t="shared" si="202"/>
        <v>136.03</v>
      </c>
      <c r="F6490">
        <f t="shared" si="203"/>
        <v>96112</v>
      </c>
      <c r="H6490" s="679">
        <v>136.03</v>
      </c>
      <c r="I6490" s="679">
        <v>142.41999999999999</v>
      </c>
    </row>
    <row r="6491" spans="2:9">
      <c r="B6491" s="395">
        <v>96117</v>
      </c>
      <c r="C6491" s="406" t="s">
        <v>2056</v>
      </c>
      <c r="D6491" s="395" t="s">
        <v>0</v>
      </c>
      <c r="E6491" s="407">
        <f t="shared" si="202"/>
        <v>170.05</v>
      </c>
      <c r="F6491">
        <f t="shared" si="203"/>
        <v>96117</v>
      </c>
      <c r="H6491" s="680">
        <v>170.05</v>
      </c>
      <c r="I6491" s="680">
        <v>175.12</v>
      </c>
    </row>
    <row r="6492" spans="2:9">
      <c r="B6492" s="396">
        <v>96122</v>
      </c>
      <c r="C6492" s="401" t="s">
        <v>2057</v>
      </c>
      <c r="D6492" s="396" t="s">
        <v>22</v>
      </c>
      <c r="E6492" s="405">
        <f t="shared" si="202"/>
        <v>38.75</v>
      </c>
      <c r="F6492">
        <f t="shared" si="203"/>
        <v>96122</v>
      </c>
      <c r="H6492" s="679">
        <v>38.75</v>
      </c>
      <c r="I6492" s="679">
        <v>39.869999999999997</v>
      </c>
    </row>
    <row r="6493" spans="2:9">
      <c r="B6493" s="395">
        <v>96109</v>
      </c>
      <c r="C6493" s="406" t="s">
        <v>8717</v>
      </c>
      <c r="D6493" s="395" t="s">
        <v>0</v>
      </c>
      <c r="E6493" s="407">
        <f t="shared" si="202"/>
        <v>40.46</v>
      </c>
      <c r="F6493">
        <f t="shared" si="203"/>
        <v>96109</v>
      </c>
      <c r="H6493" s="680">
        <v>40.46</v>
      </c>
      <c r="I6493" s="680">
        <v>43.1</v>
      </c>
    </row>
    <row r="6494" spans="2:9">
      <c r="B6494" s="396">
        <v>96110</v>
      </c>
      <c r="C6494" s="401" t="s">
        <v>8718</v>
      </c>
      <c r="D6494" s="396" t="s">
        <v>0</v>
      </c>
      <c r="E6494" s="405">
        <f t="shared" si="202"/>
        <v>75.17</v>
      </c>
      <c r="F6494">
        <f t="shared" si="203"/>
        <v>96110</v>
      </c>
      <c r="H6494" s="679">
        <v>75.17</v>
      </c>
      <c r="I6494" s="679">
        <v>76.83</v>
      </c>
    </row>
    <row r="6495" spans="2:9">
      <c r="B6495" s="395">
        <v>96113</v>
      </c>
      <c r="C6495" s="406" t="s">
        <v>8719</v>
      </c>
      <c r="D6495" s="395" t="s">
        <v>0</v>
      </c>
      <c r="E6495" s="407">
        <f t="shared" si="202"/>
        <v>36.15</v>
      </c>
      <c r="F6495">
        <f t="shared" si="203"/>
        <v>96113</v>
      </c>
      <c r="H6495" s="680">
        <v>36.15</v>
      </c>
      <c r="I6495" s="680">
        <v>38.229999999999997</v>
      </c>
    </row>
    <row r="6496" spans="2:9">
      <c r="B6496" s="396">
        <v>96114</v>
      </c>
      <c r="C6496" s="401" t="s">
        <v>8720</v>
      </c>
      <c r="D6496" s="396" t="s">
        <v>0</v>
      </c>
      <c r="E6496" s="405">
        <f t="shared" si="202"/>
        <v>80.31</v>
      </c>
      <c r="F6496">
        <f t="shared" si="203"/>
        <v>96114</v>
      </c>
      <c r="H6496" s="679">
        <v>80.31</v>
      </c>
      <c r="I6496" s="679">
        <v>81.63</v>
      </c>
    </row>
    <row r="6497" spans="2:9">
      <c r="B6497" s="395">
        <v>96120</v>
      </c>
      <c r="C6497" s="406" t="s">
        <v>2058</v>
      </c>
      <c r="D6497" s="395" t="s">
        <v>22</v>
      </c>
      <c r="E6497" s="407">
        <f t="shared" si="202"/>
        <v>2.95</v>
      </c>
      <c r="F6497">
        <f t="shared" si="203"/>
        <v>96120</v>
      </c>
      <c r="H6497" s="680">
        <v>2.95</v>
      </c>
      <c r="I6497" s="680">
        <v>3.1</v>
      </c>
    </row>
    <row r="6498" spans="2:9">
      <c r="B6498" s="396">
        <v>96123</v>
      </c>
      <c r="C6498" s="401" t="s">
        <v>8721</v>
      </c>
      <c r="D6498" s="396" t="s">
        <v>22</v>
      </c>
      <c r="E6498" s="405">
        <f t="shared" si="202"/>
        <v>35.28</v>
      </c>
      <c r="F6498">
        <f t="shared" si="203"/>
        <v>96123</v>
      </c>
      <c r="H6498" s="679">
        <v>35.28</v>
      </c>
      <c r="I6498" s="679">
        <v>36.01</v>
      </c>
    </row>
    <row r="6499" spans="2:9">
      <c r="B6499" s="395">
        <v>99054</v>
      </c>
      <c r="C6499" s="406" t="s">
        <v>8722</v>
      </c>
      <c r="D6499" s="395" t="s">
        <v>0</v>
      </c>
      <c r="E6499" s="407">
        <f t="shared" si="202"/>
        <v>49.4</v>
      </c>
      <c r="F6499">
        <f t="shared" si="203"/>
        <v>99054</v>
      </c>
      <c r="H6499" s="680">
        <v>49.4</v>
      </c>
      <c r="I6499" s="680">
        <v>52.95</v>
      </c>
    </row>
    <row r="6500" spans="2:9">
      <c r="B6500" s="396">
        <v>96111</v>
      </c>
      <c r="C6500" s="401" t="s">
        <v>8723</v>
      </c>
      <c r="D6500" s="396" t="s">
        <v>0</v>
      </c>
      <c r="E6500" s="405">
        <f t="shared" si="202"/>
        <v>66.13</v>
      </c>
      <c r="F6500">
        <f t="shared" si="203"/>
        <v>96111</v>
      </c>
      <c r="H6500" s="679">
        <v>66.13</v>
      </c>
      <c r="I6500" s="679">
        <v>67.14</v>
      </c>
    </row>
    <row r="6501" spans="2:9">
      <c r="B6501" s="395">
        <v>96116</v>
      </c>
      <c r="C6501" s="406" t="s">
        <v>8724</v>
      </c>
      <c r="D6501" s="395" t="s">
        <v>0</v>
      </c>
      <c r="E6501" s="407">
        <f t="shared" si="202"/>
        <v>74.36</v>
      </c>
      <c r="F6501">
        <f t="shared" si="203"/>
        <v>96116</v>
      </c>
      <c r="H6501" s="680">
        <v>74.36</v>
      </c>
      <c r="I6501" s="680">
        <v>75.239999999999995</v>
      </c>
    </row>
    <row r="6502" spans="2:9">
      <c r="B6502" s="396">
        <v>96121</v>
      </c>
      <c r="C6502" s="401" t="s">
        <v>2059</v>
      </c>
      <c r="D6502" s="396" t="s">
        <v>22</v>
      </c>
      <c r="E6502" s="405">
        <f t="shared" si="202"/>
        <v>11.67</v>
      </c>
      <c r="F6502">
        <f t="shared" si="203"/>
        <v>96121</v>
      </c>
      <c r="H6502" s="679">
        <v>11.67</v>
      </c>
      <c r="I6502" s="679">
        <v>11.93</v>
      </c>
    </row>
    <row r="6503" spans="2:9">
      <c r="B6503" s="395">
        <v>96485</v>
      </c>
      <c r="C6503" s="406" t="s">
        <v>8725</v>
      </c>
      <c r="D6503" s="395" t="s">
        <v>0</v>
      </c>
      <c r="E6503" s="407">
        <f t="shared" si="202"/>
        <v>77.75</v>
      </c>
      <c r="F6503">
        <f t="shared" si="203"/>
        <v>96485</v>
      </c>
      <c r="H6503" s="680">
        <v>77.75</v>
      </c>
      <c r="I6503" s="680">
        <v>78.760000000000005</v>
      </c>
    </row>
    <row r="6504" spans="2:9">
      <c r="B6504" s="396">
        <v>96486</v>
      </c>
      <c r="C6504" s="401" t="s">
        <v>8726</v>
      </c>
      <c r="D6504" s="396" t="s">
        <v>0</v>
      </c>
      <c r="E6504" s="405">
        <f t="shared" si="202"/>
        <v>86.69</v>
      </c>
      <c r="F6504">
        <f t="shared" si="203"/>
        <v>96486</v>
      </c>
      <c r="H6504" s="679">
        <v>86.69</v>
      </c>
      <c r="I6504" s="679">
        <v>87.57</v>
      </c>
    </row>
    <row r="6505" spans="2:9" ht="30">
      <c r="B6505" s="395">
        <v>91515</v>
      </c>
      <c r="C6505" s="406" t="s">
        <v>8727</v>
      </c>
      <c r="D6505" s="395" t="s">
        <v>0</v>
      </c>
      <c r="E6505" s="407">
        <f t="shared" si="202"/>
        <v>4.97</v>
      </c>
      <c r="F6505">
        <f t="shared" si="203"/>
        <v>91515</v>
      </c>
      <c r="H6505" s="680">
        <v>4.97</v>
      </c>
      <c r="I6505" s="680">
        <v>5.51</v>
      </c>
    </row>
    <row r="6506" spans="2:9" ht="30">
      <c r="B6506" s="396">
        <v>91519</v>
      </c>
      <c r="C6506" s="401" t="s">
        <v>8728</v>
      </c>
      <c r="D6506" s="396" t="s">
        <v>0</v>
      </c>
      <c r="E6506" s="405">
        <f t="shared" si="202"/>
        <v>6.68</v>
      </c>
      <c r="F6506">
        <f t="shared" si="203"/>
        <v>91519</v>
      </c>
      <c r="H6506" s="679">
        <v>6.68</v>
      </c>
      <c r="I6506" s="679">
        <v>7.42</v>
      </c>
    </row>
    <row r="6507" spans="2:9" ht="30">
      <c r="B6507" s="395">
        <v>91520</v>
      </c>
      <c r="C6507" s="406" t="s">
        <v>8729</v>
      </c>
      <c r="D6507" s="395" t="s">
        <v>0</v>
      </c>
      <c r="E6507" s="407">
        <f t="shared" si="202"/>
        <v>1.92</v>
      </c>
      <c r="F6507">
        <f t="shared" si="203"/>
        <v>91520</v>
      </c>
      <c r="H6507" s="680">
        <v>1.92</v>
      </c>
      <c r="I6507" s="680">
        <v>2.12</v>
      </c>
    </row>
    <row r="6508" spans="2:9" ht="30">
      <c r="B6508" s="396">
        <v>91522</v>
      </c>
      <c r="C6508" s="401" t="s">
        <v>8730</v>
      </c>
      <c r="D6508" s="396" t="s">
        <v>0</v>
      </c>
      <c r="E6508" s="405">
        <f t="shared" si="202"/>
        <v>2.63</v>
      </c>
      <c r="F6508">
        <f t="shared" si="203"/>
        <v>91522</v>
      </c>
      <c r="H6508" s="679">
        <v>2.63</v>
      </c>
      <c r="I6508" s="679">
        <v>2.91</v>
      </c>
    </row>
    <row r="6509" spans="2:9" ht="30">
      <c r="B6509" s="395">
        <v>91525</v>
      </c>
      <c r="C6509" s="406" t="s">
        <v>8731</v>
      </c>
      <c r="D6509" s="395" t="s">
        <v>0</v>
      </c>
      <c r="E6509" s="407">
        <f t="shared" si="202"/>
        <v>7.2</v>
      </c>
      <c r="F6509">
        <f t="shared" si="203"/>
        <v>91525</v>
      </c>
      <c r="H6509" s="680">
        <v>7.2</v>
      </c>
      <c r="I6509" s="680">
        <v>7.66</v>
      </c>
    </row>
    <row r="6510" spans="2:9" ht="30">
      <c r="B6510" s="396">
        <v>104412</v>
      </c>
      <c r="C6510" s="401" t="s">
        <v>8732</v>
      </c>
      <c r="D6510" s="396" t="s">
        <v>0</v>
      </c>
      <c r="E6510" s="405">
        <f t="shared" si="202"/>
        <v>2.36</v>
      </c>
      <c r="F6510">
        <f t="shared" si="203"/>
        <v>104412</v>
      </c>
      <c r="H6510" s="679">
        <v>2.36</v>
      </c>
      <c r="I6510" s="679">
        <v>2.61</v>
      </c>
    </row>
    <row r="6511" spans="2:9" ht="30">
      <c r="B6511" s="395">
        <v>104413</v>
      </c>
      <c r="C6511" s="406" t="s">
        <v>8733</v>
      </c>
      <c r="D6511" s="395" t="s">
        <v>0</v>
      </c>
      <c r="E6511" s="407">
        <f t="shared" si="202"/>
        <v>4.1100000000000003</v>
      </c>
      <c r="F6511">
        <f t="shared" si="203"/>
        <v>104413</v>
      </c>
      <c r="H6511" s="680">
        <v>4.1100000000000003</v>
      </c>
      <c r="I6511" s="680">
        <v>4.5599999999999996</v>
      </c>
    </row>
    <row r="6512" spans="2:9" ht="30">
      <c r="B6512" s="396">
        <v>104414</v>
      </c>
      <c r="C6512" s="401" t="s">
        <v>8734</v>
      </c>
      <c r="D6512" s="396" t="s">
        <v>0</v>
      </c>
      <c r="E6512" s="405">
        <f t="shared" si="202"/>
        <v>6.6</v>
      </c>
      <c r="F6512">
        <f t="shared" si="203"/>
        <v>104414</v>
      </c>
      <c r="H6512" s="679">
        <v>6.6</v>
      </c>
      <c r="I6512" s="679">
        <v>6.98</v>
      </c>
    </row>
    <row r="6513" spans="2:9" ht="30">
      <c r="B6513" s="395">
        <v>104415</v>
      </c>
      <c r="C6513" s="406" t="s">
        <v>8735</v>
      </c>
      <c r="D6513" s="395" t="s">
        <v>0</v>
      </c>
      <c r="E6513" s="407">
        <f t="shared" si="202"/>
        <v>10.52</v>
      </c>
      <c r="F6513">
        <f t="shared" si="203"/>
        <v>104415</v>
      </c>
      <c r="H6513" s="680">
        <v>10.52</v>
      </c>
      <c r="I6513" s="680">
        <v>11.35</v>
      </c>
    </row>
    <row r="6514" spans="2:9" ht="30">
      <c r="B6514" s="396">
        <v>104416</v>
      </c>
      <c r="C6514" s="401" t="s">
        <v>8736</v>
      </c>
      <c r="D6514" s="396" t="s">
        <v>0</v>
      </c>
      <c r="E6514" s="405">
        <f t="shared" si="202"/>
        <v>1.65</v>
      </c>
      <c r="F6514">
        <f t="shared" si="203"/>
        <v>104416</v>
      </c>
      <c r="H6514" s="679">
        <v>1.65</v>
      </c>
      <c r="I6514" s="679">
        <v>1.81</v>
      </c>
    </row>
    <row r="6515" spans="2:9" ht="30">
      <c r="B6515" s="395">
        <v>104417</v>
      </c>
      <c r="C6515" s="406" t="s">
        <v>8737</v>
      </c>
      <c r="D6515" s="395" t="s">
        <v>0</v>
      </c>
      <c r="E6515" s="407">
        <f t="shared" si="202"/>
        <v>3.4</v>
      </c>
      <c r="F6515">
        <f t="shared" si="203"/>
        <v>104417</v>
      </c>
      <c r="H6515" s="680">
        <v>3.4</v>
      </c>
      <c r="I6515" s="680">
        <v>3.77</v>
      </c>
    </row>
    <row r="6516" spans="2:9" ht="30">
      <c r="B6516" s="396">
        <v>104418</v>
      </c>
      <c r="C6516" s="401" t="s">
        <v>8738</v>
      </c>
      <c r="D6516" s="396" t="s">
        <v>0</v>
      </c>
      <c r="E6516" s="405">
        <f t="shared" si="202"/>
        <v>2.25</v>
      </c>
      <c r="F6516">
        <f t="shared" si="203"/>
        <v>104418</v>
      </c>
      <c r="H6516" s="679">
        <v>2.25</v>
      </c>
      <c r="I6516" s="679">
        <v>2.48</v>
      </c>
    </row>
    <row r="6517" spans="2:9" ht="30">
      <c r="B6517" s="395">
        <v>104419</v>
      </c>
      <c r="C6517" s="406" t="s">
        <v>8739</v>
      </c>
      <c r="D6517" s="395" t="s">
        <v>0</v>
      </c>
      <c r="E6517" s="407">
        <f t="shared" si="202"/>
        <v>9.0500000000000007</v>
      </c>
      <c r="F6517">
        <f t="shared" si="203"/>
        <v>104419</v>
      </c>
      <c r="H6517" s="680">
        <v>9.0500000000000007</v>
      </c>
      <c r="I6517" s="680">
        <v>10.039999999999999</v>
      </c>
    </row>
    <row r="6518" spans="2:9" ht="30">
      <c r="B6518" s="396">
        <v>104420</v>
      </c>
      <c r="C6518" s="401" t="s">
        <v>8740</v>
      </c>
      <c r="D6518" s="396" t="s">
        <v>0</v>
      </c>
      <c r="E6518" s="405">
        <f t="shared" si="202"/>
        <v>8.17</v>
      </c>
      <c r="F6518">
        <f t="shared" si="203"/>
        <v>104420</v>
      </c>
      <c r="H6518" s="679">
        <v>8.17</v>
      </c>
      <c r="I6518" s="679">
        <v>9.07</v>
      </c>
    </row>
    <row r="6519" spans="2:9" ht="30">
      <c r="B6519" s="395">
        <v>104421</v>
      </c>
      <c r="C6519" s="406" t="s">
        <v>8741</v>
      </c>
      <c r="D6519" s="395" t="s">
        <v>0</v>
      </c>
      <c r="E6519" s="407">
        <f t="shared" si="202"/>
        <v>13.44</v>
      </c>
      <c r="F6519">
        <f t="shared" si="203"/>
        <v>104421</v>
      </c>
      <c r="H6519" s="680">
        <v>13.44</v>
      </c>
      <c r="I6519" s="680">
        <v>14.36</v>
      </c>
    </row>
    <row r="6520" spans="2:9" ht="30">
      <c r="B6520" s="396">
        <v>104422</v>
      </c>
      <c r="C6520" s="401" t="s">
        <v>8742</v>
      </c>
      <c r="D6520" s="396" t="s">
        <v>0</v>
      </c>
      <c r="E6520" s="405">
        <f t="shared" si="202"/>
        <v>8.7200000000000006</v>
      </c>
      <c r="F6520">
        <f t="shared" si="203"/>
        <v>104422</v>
      </c>
      <c r="H6520" s="679">
        <v>8.7200000000000006</v>
      </c>
      <c r="I6520" s="679">
        <v>9.1</v>
      </c>
    </row>
    <row r="6521" spans="2:9" ht="30">
      <c r="B6521" s="395">
        <v>104423</v>
      </c>
      <c r="C6521" s="406" t="s">
        <v>8743</v>
      </c>
      <c r="D6521" s="395" t="s">
        <v>0</v>
      </c>
      <c r="E6521" s="407">
        <f t="shared" si="202"/>
        <v>20.13</v>
      </c>
      <c r="F6521">
        <f t="shared" si="203"/>
        <v>104423</v>
      </c>
      <c r="H6521" s="680">
        <v>20.13</v>
      </c>
      <c r="I6521" s="680">
        <v>21.81</v>
      </c>
    </row>
    <row r="6522" spans="2:9" ht="30">
      <c r="B6522" s="396">
        <v>104424</v>
      </c>
      <c r="C6522" s="401" t="s">
        <v>8744</v>
      </c>
      <c r="D6522" s="396" t="s">
        <v>0</v>
      </c>
      <c r="E6522" s="405">
        <f t="shared" si="202"/>
        <v>18.71</v>
      </c>
      <c r="F6522">
        <f t="shared" si="203"/>
        <v>104424</v>
      </c>
      <c r="H6522" s="679">
        <v>18.71</v>
      </c>
      <c r="I6522" s="679">
        <v>20.23</v>
      </c>
    </row>
    <row r="6523" spans="2:9" ht="30">
      <c r="B6523" s="395">
        <v>104425</v>
      </c>
      <c r="C6523" s="406" t="s">
        <v>8745</v>
      </c>
      <c r="D6523" s="395" t="s">
        <v>0</v>
      </c>
      <c r="E6523" s="407">
        <f t="shared" si="202"/>
        <v>16.350000000000001</v>
      </c>
      <c r="F6523">
        <f t="shared" si="203"/>
        <v>104425</v>
      </c>
      <c r="H6523" s="680">
        <v>16.350000000000001</v>
      </c>
      <c r="I6523" s="680">
        <v>17.600000000000001</v>
      </c>
    </row>
    <row r="6524" spans="2:9" ht="30">
      <c r="B6524" s="396">
        <v>87280</v>
      </c>
      <c r="C6524" s="401" t="s">
        <v>3382</v>
      </c>
      <c r="D6524" s="396" t="s">
        <v>20</v>
      </c>
      <c r="E6524" s="405">
        <f t="shared" si="202"/>
        <v>473.59</v>
      </c>
      <c r="F6524">
        <f t="shared" si="203"/>
        <v>87280</v>
      </c>
      <c r="H6524" s="679">
        <v>473.59</v>
      </c>
      <c r="I6524" s="679">
        <v>482.07</v>
      </c>
    </row>
    <row r="6525" spans="2:9" ht="30">
      <c r="B6525" s="395">
        <v>87281</v>
      </c>
      <c r="C6525" s="406" t="s">
        <v>3383</v>
      </c>
      <c r="D6525" s="395" t="s">
        <v>20</v>
      </c>
      <c r="E6525" s="407">
        <f t="shared" si="202"/>
        <v>472.46</v>
      </c>
      <c r="F6525">
        <f t="shared" si="203"/>
        <v>87281</v>
      </c>
      <c r="H6525" s="680">
        <v>472.46</v>
      </c>
      <c r="I6525" s="680">
        <v>480.04</v>
      </c>
    </row>
    <row r="6526" spans="2:9" ht="30">
      <c r="B6526" s="396">
        <v>87283</v>
      </c>
      <c r="C6526" s="401" t="s">
        <v>3384</v>
      </c>
      <c r="D6526" s="396" t="s">
        <v>20</v>
      </c>
      <c r="E6526" s="405">
        <f t="shared" si="202"/>
        <v>497.65</v>
      </c>
      <c r="F6526">
        <f t="shared" si="203"/>
        <v>87283</v>
      </c>
      <c r="H6526" s="679">
        <v>497.65</v>
      </c>
      <c r="I6526" s="679">
        <v>505.27</v>
      </c>
    </row>
    <row r="6527" spans="2:9" ht="30">
      <c r="B6527" s="395">
        <v>87284</v>
      </c>
      <c r="C6527" s="406" t="s">
        <v>3385</v>
      </c>
      <c r="D6527" s="395" t="s">
        <v>20</v>
      </c>
      <c r="E6527" s="407">
        <f t="shared" si="202"/>
        <v>494.63</v>
      </c>
      <c r="F6527">
        <f t="shared" si="203"/>
        <v>87284</v>
      </c>
      <c r="H6527" s="680">
        <v>494.63</v>
      </c>
      <c r="I6527" s="680">
        <v>501.43</v>
      </c>
    </row>
    <row r="6528" spans="2:9" ht="30">
      <c r="B6528" s="396">
        <v>87286</v>
      </c>
      <c r="C6528" s="401" t="s">
        <v>3386</v>
      </c>
      <c r="D6528" s="396" t="s">
        <v>20</v>
      </c>
      <c r="E6528" s="405">
        <f t="shared" si="202"/>
        <v>586.72</v>
      </c>
      <c r="F6528">
        <f t="shared" si="203"/>
        <v>87286</v>
      </c>
      <c r="H6528" s="679">
        <v>586.72</v>
      </c>
      <c r="I6528" s="679">
        <v>595.79999999999995</v>
      </c>
    </row>
    <row r="6529" spans="2:9" ht="30">
      <c r="B6529" s="395">
        <v>87287</v>
      </c>
      <c r="C6529" s="406" t="s">
        <v>3387</v>
      </c>
      <c r="D6529" s="395" t="s">
        <v>20</v>
      </c>
      <c r="E6529" s="407">
        <f t="shared" si="202"/>
        <v>578.99</v>
      </c>
      <c r="F6529">
        <f t="shared" si="203"/>
        <v>87287</v>
      </c>
      <c r="H6529" s="680">
        <v>578.99</v>
      </c>
      <c r="I6529" s="680">
        <v>585.95000000000005</v>
      </c>
    </row>
    <row r="6530" spans="2:9" ht="30">
      <c r="B6530" s="396">
        <v>87289</v>
      </c>
      <c r="C6530" s="401" t="s">
        <v>3388</v>
      </c>
      <c r="D6530" s="396" t="s">
        <v>20</v>
      </c>
      <c r="E6530" s="405">
        <f t="shared" si="202"/>
        <v>557.41</v>
      </c>
      <c r="F6530">
        <f t="shared" si="203"/>
        <v>87289</v>
      </c>
      <c r="H6530" s="679">
        <v>557.41</v>
      </c>
      <c r="I6530" s="679">
        <v>565.98</v>
      </c>
    </row>
    <row r="6531" spans="2:9" ht="30">
      <c r="B6531" s="395">
        <v>87290</v>
      </c>
      <c r="C6531" s="406" t="s">
        <v>3389</v>
      </c>
      <c r="D6531" s="395" t="s">
        <v>20</v>
      </c>
      <c r="E6531" s="407">
        <f t="shared" ref="E6531:E6594" si="204">IF($K$2=$H$1,H6531,I6531)</f>
        <v>553.97</v>
      </c>
      <c r="F6531">
        <f t="shared" ref="F6531:F6594" si="205">IF(LEN($B6531)=7,CONCATENATE(MID($B6531,1,6),"00",RIGHT($B6531,1)),IF(LEN($B6531)=8,CONCATENATE(MID($B6531,1,6),"0",RIGHT($B6531,2)),$B6531))</f>
        <v>87290</v>
      </c>
      <c r="H6531" s="680">
        <v>553.97</v>
      </c>
      <c r="I6531" s="680">
        <v>561.38</v>
      </c>
    </row>
    <row r="6532" spans="2:9" ht="30">
      <c r="B6532" s="396">
        <v>87292</v>
      </c>
      <c r="C6532" s="401" t="s">
        <v>3390</v>
      </c>
      <c r="D6532" s="396" t="s">
        <v>20</v>
      </c>
      <c r="E6532" s="405">
        <f t="shared" si="204"/>
        <v>564.97</v>
      </c>
      <c r="F6532">
        <f t="shared" si="205"/>
        <v>87292</v>
      </c>
      <c r="H6532" s="679">
        <v>564.97</v>
      </c>
      <c r="I6532" s="679">
        <v>572.89</v>
      </c>
    </row>
    <row r="6533" spans="2:9" ht="30">
      <c r="B6533" s="395">
        <v>87294</v>
      </c>
      <c r="C6533" s="406" t="s">
        <v>3391</v>
      </c>
      <c r="D6533" s="395" t="s">
        <v>20</v>
      </c>
      <c r="E6533" s="407">
        <f t="shared" si="204"/>
        <v>541.20000000000005</v>
      </c>
      <c r="F6533">
        <f t="shared" si="205"/>
        <v>87294</v>
      </c>
      <c r="H6533" s="680">
        <v>541.20000000000005</v>
      </c>
      <c r="I6533" s="680">
        <v>549.1</v>
      </c>
    </row>
    <row r="6534" spans="2:9" ht="30">
      <c r="B6534" s="396">
        <v>87295</v>
      </c>
      <c r="C6534" s="401" t="s">
        <v>3392</v>
      </c>
      <c r="D6534" s="396" t="s">
        <v>20</v>
      </c>
      <c r="E6534" s="405">
        <f t="shared" si="204"/>
        <v>536.11</v>
      </c>
      <c r="F6534">
        <f t="shared" si="205"/>
        <v>87295</v>
      </c>
      <c r="H6534" s="679">
        <v>536.11</v>
      </c>
      <c r="I6534" s="679">
        <v>545.85</v>
      </c>
    </row>
    <row r="6535" spans="2:9" ht="30">
      <c r="B6535" s="395">
        <v>87296</v>
      </c>
      <c r="C6535" s="406" t="s">
        <v>3393</v>
      </c>
      <c r="D6535" s="395" t="s">
        <v>20</v>
      </c>
      <c r="E6535" s="407">
        <f t="shared" si="204"/>
        <v>519.82000000000005</v>
      </c>
      <c r="F6535">
        <f t="shared" si="205"/>
        <v>87296</v>
      </c>
      <c r="H6535" s="680">
        <v>519.82000000000005</v>
      </c>
      <c r="I6535" s="680">
        <v>526.83000000000004</v>
      </c>
    </row>
    <row r="6536" spans="2:9" ht="30">
      <c r="B6536" s="396">
        <v>87298</v>
      </c>
      <c r="C6536" s="401" t="s">
        <v>3394</v>
      </c>
      <c r="D6536" s="396" t="s">
        <v>20</v>
      </c>
      <c r="E6536" s="405">
        <f t="shared" si="204"/>
        <v>763.33</v>
      </c>
      <c r="F6536">
        <f t="shared" si="205"/>
        <v>87298</v>
      </c>
      <c r="H6536" s="679">
        <v>763.33</v>
      </c>
      <c r="I6536" s="679">
        <v>771.11</v>
      </c>
    </row>
    <row r="6537" spans="2:9" ht="30">
      <c r="B6537" s="395">
        <v>87299</v>
      </c>
      <c r="C6537" s="406" t="s">
        <v>3395</v>
      </c>
      <c r="D6537" s="395" t="s">
        <v>20</v>
      </c>
      <c r="E6537" s="407">
        <f t="shared" si="204"/>
        <v>488.48</v>
      </c>
      <c r="F6537">
        <f t="shared" si="205"/>
        <v>87299</v>
      </c>
      <c r="H6537" s="680">
        <v>488.48</v>
      </c>
      <c r="I6537" s="680">
        <v>495.76</v>
      </c>
    </row>
    <row r="6538" spans="2:9" ht="30">
      <c r="B6538" s="396">
        <v>87301</v>
      </c>
      <c r="C6538" s="401" t="s">
        <v>3396</v>
      </c>
      <c r="D6538" s="396" t="s">
        <v>20</v>
      </c>
      <c r="E6538" s="405">
        <f t="shared" si="204"/>
        <v>677.3</v>
      </c>
      <c r="F6538">
        <f t="shared" si="205"/>
        <v>87301</v>
      </c>
      <c r="H6538" s="679">
        <v>677.3</v>
      </c>
      <c r="I6538" s="679">
        <v>685.84</v>
      </c>
    </row>
    <row r="6539" spans="2:9" ht="30">
      <c r="B6539" s="395">
        <v>87302</v>
      </c>
      <c r="C6539" s="406" t="s">
        <v>3397</v>
      </c>
      <c r="D6539" s="395" t="s">
        <v>20</v>
      </c>
      <c r="E6539" s="407">
        <f t="shared" si="204"/>
        <v>674.5</v>
      </c>
      <c r="F6539">
        <f t="shared" si="205"/>
        <v>87302</v>
      </c>
      <c r="H6539" s="680">
        <v>674.5</v>
      </c>
      <c r="I6539" s="680">
        <v>681.85</v>
      </c>
    </row>
    <row r="6540" spans="2:9" ht="30">
      <c r="B6540" s="396">
        <v>87304</v>
      </c>
      <c r="C6540" s="401" t="s">
        <v>3398</v>
      </c>
      <c r="D6540" s="396" t="s">
        <v>20</v>
      </c>
      <c r="E6540" s="405">
        <f t="shared" si="204"/>
        <v>611.98</v>
      </c>
      <c r="F6540">
        <f t="shared" si="205"/>
        <v>87304</v>
      </c>
      <c r="H6540" s="679">
        <v>611.98</v>
      </c>
      <c r="I6540" s="679">
        <v>619.72</v>
      </c>
    </row>
    <row r="6541" spans="2:9" ht="30">
      <c r="B6541" s="395">
        <v>87305</v>
      </c>
      <c r="C6541" s="406" t="s">
        <v>3399</v>
      </c>
      <c r="D6541" s="395" t="s">
        <v>20</v>
      </c>
      <c r="E6541" s="407">
        <f t="shared" si="204"/>
        <v>616.79999999999995</v>
      </c>
      <c r="F6541">
        <f t="shared" si="205"/>
        <v>87305</v>
      </c>
      <c r="H6541" s="680">
        <v>616.79999999999995</v>
      </c>
      <c r="I6541" s="680">
        <v>624.41</v>
      </c>
    </row>
    <row r="6542" spans="2:9" ht="30">
      <c r="B6542" s="396">
        <v>87307</v>
      </c>
      <c r="C6542" s="401" t="s">
        <v>3400</v>
      </c>
      <c r="D6542" s="396" t="s">
        <v>20</v>
      </c>
      <c r="E6542" s="405">
        <f t="shared" si="204"/>
        <v>575.38</v>
      </c>
      <c r="F6542">
        <f t="shared" si="205"/>
        <v>87307</v>
      </c>
      <c r="H6542" s="679">
        <v>575.38</v>
      </c>
      <c r="I6542" s="679">
        <v>583.91999999999996</v>
      </c>
    </row>
    <row r="6543" spans="2:9" ht="30">
      <c r="B6543" s="395">
        <v>87308</v>
      </c>
      <c r="C6543" s="406" t="s">
        <v>3401</v>
      </c>
      <c r="D6543" s="395" t="s">
        <v>20</v>
      </c>
      <c r="E6543" s="407">
        <f t="shared" si="204"/>
        <v>570.44000000000005</v>
      </c>
      <c r="F6543">
        <f t="shared" si="205"/>
        <v>87308</v>
      </c>
      <c r="H6543" s="680">
        <v>570.44000000000005</v>
      </c>
      <c r="I6543" s="680">
        <v>578</v>
      </c>
    </row>
    <row r="6544" spans="2:9" ht="30">
      <c r="B6544" s="396">
        <v>87310</v>
      </c>
      <c r="C6544" s="401" t="s">
        <v>3402</v>
      </c>
      <c r="D6544" s="396" t="s">
        <v>20</v>
      </c>
      <c r="E6544" s="405">
        <f t="shared" si="204"/>
        <v>476.01</v>
      </c>
      <c r="F6544">
        <f t="shared" si="205"/>
        <v>87310</v>
      </c>
      <c r="H6544" s="679">
        <v>476.01</v>
      </c>
      <c r="I6544" s="679">
        <v>483.58</v>
      </c>
    </row>
    <row r="6545" spans="2:9" ht="30">
      <c r="B6545" s="395">
        <v>87311</v>
      </c>
      <c r="C6545" s="406" t="s">
        <v>3403</v>
      </c>
      <c r="D6545" s="395" t="s">
        <v>20</v>
      </c>
      <c r="E6545" s="407">
        <f t="shared" si="204"/>
        <v>471.04</v>
      </c>
      <c r="F6545">
        <f t="shared" si="205"/>
        <v>87311</v>
      </c>
      <c r="H6545" s="680">
        <v>471.04</v>
      </c>
      <c r="I6545" s="680">
        <v>477.61</v>
      </c>
    </row>
    <row r="6546" spans="2:9" ht="30">
      <c r="B6546" s="396">
        <v>87313</v>
      </c>
      <c r="C6546" s="401" t="s">
        <v>3404</v>
      </c>
      <c r="D6546" s="396" t="s">
        <v>20</v>
      </c>
      <c r="E6546" s="405">
        <f t="shared" si="204"/>
        <v>586.98</v>
      </c>
      <c r="F6546">
        <f t="shared" si="205"/>
        <v>87313</v>
      </c>
      <c r="H6546" s="679">
        <v>586.98</v>
      </c>
      <c r="I6546" s="679">
        <v>594.58000000000004</v>
      </c>
    </row>
    <row r="6547" spans="2:9" ht="30">
      <c r="B6547" s="395">
        <v>87314</v>
      </c>
      <c r="C6547" s="406" t="s">
        <v>3405</v>
      </c>
      <c r="D6547" s="395" t="s">
        <v>20</v>
      </c>
      <c r="E6547" s="407">
        <f t="shared" si="204"/>
        <v>584.24</v>
      </c>
      <c r="F6547">
        <f t="shared" si="205"/>
        <v>87314</v>
      </c>
      <c r="H6547" s="680">
        <v>584.24</v>
      </c>
      <c r="I6547" s="680">
        <v>590.84</v>
      </c>
    </row>
    <row r="6548" spans="2:9" ht="30">
      <c r="B6548" s="396">
        <v>87316</v>
      </c>
      <c r="C6548" s="401" t="s">
        <v>3406</v>
      </c>
      <c r="D6548" s="396" t="s">
        <v>20</v>
      </c>
      <c r="E6548" s="405">
        <f t="shared" si="204"/>
        <v>525</v>
      </c>
      <c r="F6548">
        <f t="shared" si="205"/>
        <v>87316</v>
      </c>
      <c r="H6548" s="679">
        <v>525</v>
      </c>
      <c r="I6548" s="679">
        <v>533.16</v>
      </c>
    </row>
    <row r="6549" spans="2:9" ht="30">
      <c r="B6549" s="395">
        <v>87317</v>
      </c>
      <c r="C6549" s="406" t="s">
        <v>3407</v>
      </c>
      <c r="D6549" s="395" t="s">
        <v>20</v>
      </c>
      <c r="E6549" s="407">
        <f t="shared" si="204"/>
        <v>517.26</v>
      </c>
      <c r="F6549">
        <f t="shared" si="205"/>
        <v>87317</v>
      </c>
      <c r="H6549" s="680">
        <v>517.26</v>
      </c>
      <c r="I6549" s="680">
        <v>523.88</v>
      </c>
    </row>
    <row r="6550" spans="2:9" ht="30">
      <c r="B6550" s="396">
        <v>87319</v>
      </c>
      <c r="C6550" s="401" t="s">
        <v>3408</v>
      </c>
      <c r="D6550" s="396" t="s">
        <v>20</v>
      </c>
      <c r="E6550" s="405">
        <f t="shared" si="204"/>
        <v>6987.13</v>
      </c>
      <c r="F6550">
        <f t="shared" si="205"/>
        <v>87319</v>
      </c>
      <c r="H6550" s="679">
        <v>6987.13</v>
      </c>
      <c r="I6550" s="679">
        <v>6994.73</v>
      </c>
    </row>
    <row r="6551" spans="2:9" ht="30">
      <c r="B6551" s="395">
        <v>87320</v>
      </c>
      <c r="C6551" s="406" t="s">
        <v>3409</v>
      </c>
      <c r="D6551" s="395" t="s">
        <v>20</v>
      </c>
      <c r="E6551" s="407">
        <f t="shared" si="204"/>
        <v>7010.74</v>
      </c>
      <c r="F6551">
        <f t="shared" si="205"/>
        <v>87320</v>
      </c>
      <c r="H6551" s="680">
        <v>7010.74</v>
      </c>
      <c r="I6551" s="680">
        <v>7017.41</v>
      </c>
    </row>
    <row r="6552" spans="2:9" ht="30">
      <c r="B6552" s="396">
        <v>87322</v>
      </c>
      <c r="C6552" s="401" t="s">
        <v>3410</v>
      </c>
      <c r="D6552" s="396" t="s">
        <v>20</v>
      </c>
      <c r="E6552" s="405">
        <f t="shared" si="204"/>
        <v>7142.61</v>
      </c>
      <c r="F6552">
        <f t="shared" si="205"/>
        <v>87322</v>
      </c>
      <c r="H6552" s="679">
        <v>7142.61</v>
      </c>
      <c r="I6552" s="679">
        <v>7150.63</v>
      </c>
    </row>
    <row r="6553" spans="2:9" ht="30">
      <c r="B6553" s="395">
        <v>87323</v>
      </c>
      <c r="C6553" s="406" t="s">
        <v>3411</v>
      </c>
      <c r="D6553" s="395" t="s">
        <v>20</v>
      </c>
      <c r="E6553" s="407">
        <f t="shared" si="204"/>
        <v>7164.16</v>
      </c>
      <c r="F6553">
        <f t="shared" si="205"/>
        <v>87323</v>
      </c>
      <c r="H6553" s="680">
        <v>7164.16</v>
      </c>
      <c r="I6553" s="680">
        <v>7170.62</v>
      </c>
    </row>
    <row r="6554" spans="2:9" ht="30">
      <c r="B6554" s="396">
        <v>87325</v>
      </c>
      <c r="C6554" s="401" t="s">
        <v>3412</v>
      </c>
      <c r="D6554" s="396" t="s">
        <v>20</v>
      </c>
      <c r="E6554" s="405">
        <f t="shared" si="204"/>
        <v>7009.27</v>
      </c>
      <c r="F6554">
        <f t="shared" si="205"/>
        <v>87325</v>
      </c>
      <c r="H6554" s="679">
        <v>7009.27</v>
      </c>
      <c r="I6554" s="679">
        <v>7017.53</v>
      </c>
    </row>
    <row r="6555" spans="2:9" ht="30">
      <c r="B6555" s="395">
        <v>87326</v>
      </c>
      <c r="C6555" s="406" t="s">
        <v>3413</v>
      </c>
      <c r="D6555" s="395" t="s">
        <v>20</v>
      </c>
      <c r="E6555" s="407">
        <f t="shared" si="204"/>
        <v>7060.52</v>
      </c>
      <c r="F6555">
        <f t="shared" si="205"/>
        <v>87326</v>
      </c>
      <c r="H6555" s="680">
        <v>7060.52</v>
      </c>
      <c r="I6555" s="680">
        <v>7066.59</v>
      </c>
    </row>
    <row r="6556" spans="2:9" ht="45">
      <c r="B6556" s="396">
        <v>87327</v>
      </c>
      <c r="C6556" s="401" t="s">
        <v>3414</v>
      </c>
      <c r="D6556" s="396" t="s">
        <v>20</v>
      </c>
      <c r="E6556" s="405">
        <f t="shared" si="204"/>
        <v>489.26</v>
      </c>
      <c r="F6556">
        <f t="shared" si="205"/>
        <v>87327</v>
      </c>
      <c r="H6556" s="679">
        <v>489.26</v>
      </c>
      <c r="I6556" s="679">
        <v>499.53</v>
      </c>
    </row>
    <row r="6557" spans="2:9" ht="45">
      <c r="B6557" s="395">
        <v>87328</v>
      </c>
      <c r="C6557" s="406" t="s">
        <v>3415</v>
      </c>
      <c r="D6557" s="395" t="s">
        <v>20</v>
      </c>
      <c r="E6557" s="407">
        <f t="shared" si="204"/>
        <v>448.33</v>
      </c>
      <c r="F6557">
        <f t="shared" si="205"/>
        <v>87328</v>
      </c>
      <c r="H6557" s="680">
        <v>448.33</v>
      </c>
      <c r="I6557" s="680">
        <v>454.11</v>
      </c>
    </row>
    <row r="6558" spans="2:9" ht="45">
      <c r="B6558" s="396">
        <v>87329</v>
      </c>
      <c r="C6558" s="401" t="s">
        <v>3416</v>
      </c>
      <c r="D6558" s="396" t="s">
        <v>20</v>
      </c>
      <c r="E6558" s="405">
        <f t="shared" si="204"/>
        <v>524.76</v>
      </c>
      <c r="F6558">
        <f t="shared" si="205"/>
        <v>87329</v>
      </c>
      <c r="H6558" s="679">
        <v>524.76</v>
      </c>
      <c r="I6558" s="679">
        <v>535.88</v>
      </c>
    </row>
    <row r="6559" spans="2:9" ht="45">
      <c r="B6559" s="395">
        <v>87330</v>
      </c>
      <c r="C6559" s="406" t="s">
        <v>3417</v>
      </c>
      <c r="D6559" s="395" t="s">
        <v>20</v>
      </c>
      <c r="E6559" s="407">
        <f t="shared" si="204"/>
        <v>478</v>
      </c>
      <c r="F6559">
        <f t="shared" si="205"/>
        <v>87330</v>
      </c>
      <c r="H6559" s="680">
        <v>478</v>
      </c>
      <c r="I6559" s="680">
        <v>484.03</v>
      </c>
    </row>
    <row r="6560" spans="2:9" ht="30">
      <c r="B6560" s="396">
        <v>87331</v>
      </c>
      <c r="C6560" s="401" t="s">
        <v>3418</v>
      </c>
      <c r="D6560" s="396" t="s">
        <v>20</v>
      </c>
      <c r="E6560" s="405">
        <f t="shared" si="204"/>
        <v>601.74</v>
      </c>
      <c r="F6560">
        <f t="shared" si="205"/>
        <v>87331</v>
      </c>
      <c r="H6560" s="679">
        <v>601.74</v>
      </c>
      <c r="I6560" s="679">
        <v>612.65</v>
      </c>
    </row>
    <row r="6561" spans="2:9" ht="30">
      <c r="B6561" s="395">
        <v>87332</v>
      </c>
      <c r="C6561" s="406" t="s">
        <v>3419</v>
      </c>
      <c r="D6561" s="395" t="s">
        <v>20</v>
      </c>
      <c r="E6561" s="407">
        <f t="shared" si="204"/>
        <v>559.47</v>
      </c>
      <c r="F6561">
        <f t="shared" si="205"/>
        <v>87332</v>
      </c>
      <c r="H6561" s="680">
        <v>559.47</v>
      </c>
      <c r="I6561" s="680">
        <v>565.6</v>
      </c>
    </row>
    <row r="6562" spans="2:9" ht="30">
      <c r="B6562" s="396">
        <v>87333</v>
      </c>
      <c r="C6562" s="401" t="s">
        <v>3420</v>
      </c>
      <c r="D6562" s="396" t="s">
        <v>20</v>
      </c>
      <c r="E6562" s="405">
        <f t="shared" si="204"/>
        <v>557.94000000000005</v>
      </c>
      <c r="F6562">
        <f t="shared" si="205"/>
        <v>87333</v>
      </c>
      <c r="H6562" s="679">
        <v>557.94000000000005</v>
      </c>
      <c r="I6562" s="679">
        <v>567.37</v>
      </c>
    </row>
    <row r="6563" spans="2:9" ht="30">
      <c r="B6563" s="395">
        <v>87334</v>
      </c>
      <c r="C6563" s="406" t="s">
        <v>3421</v>
      </c>
      <c r="D6563" s="395" t="s">
        <v>20</v>
      </c>
      <c r="E6563" s="407">
        <f t="shared" si="204"/>
        <v>532.74</v>
      </c>
      <c r="F6563">
        <f t="shared" si="205"/>
        <v>87334</v>
      </c>
      <c r="H6563" s="680">
        <v>532.74</v>
      </c>
      <c r="I6563" s="680">
        <v>539.30999999999995</v>
      </c>
    </row>
    <row r="6564" spans="2:9" ht="30">
      <c r="B6564" s="396">
        <v>87335</v>
      </c>
      <c r="C6564" s="401" t="s">
        <v>3422</v>
      </c>
      <c r="D6564" s="396" t="s">
        <v>20</v>
      </c>
      <c r="E6564" s="405">
        <f t="shared" si="204"/>
        <v>553.45000000000005</v>
      </c>
      <c r="F6564">
        <f t="shared" si="205"/>
        <v>87335</v>
      </c>
      <c r="H6564" s="679">
        <v>553.45000000000005</v>
      </c>
      <c r="I6564" s="679">
        <v>562.16999999999996</v>
      </c>
    </row>
    <row r="6565" spans="2:9" ht="30">
      <c r="B6565" s="395">
        <v>87336</v>
      </c>
      <c r="C6565" s="406" t="s">
        <v>3423</v>
      </c>
      <c r="D6565" s="395" t="s">
        <v>20</v>
      </c>
      <c r="E6565" s="407">
        <f t="shared" si="204"/>
        <v>543.69000000000005</v>
      </c>
      <c r="F6565">
        <f t="shared" si="205"/>
        <v>87336</v>
      </c>
      <c r="H6565" s="680">
        <v>543.69000000000005</v>
      </c>
      <c r="I6565" s="680">
        <v>549.97</v>
      </c>
    </row>
    <row r="6566" spans="2:9" ht="30">
      <c r="B6566" s="396">
        <v>87337</v>
      </c>
      <c r="C6566" s="401" t="s">
        <v>3424</v>
      </c>
      <c r="D6566" s="396" t="s">
        <v>20</v>
      </c>
      <c r="E6566" s="405">
        <f t="shared" si="204"/>
        <v>538.92999999999995</v>
      </c>
      <c r="F6566">
        <f t="shared" si="205"/>
        <v>87337</v>
      </c>
      <c r="H6566" s="679">
        <v>538.92999999999995</v>
      </c>
      <c r="I6566" s="679">
        <v>547.51</v>
      </c>
    </row>
    <row r="6567" spans="2:9" ht="30">
      <c r="B6567" s="395">
        <v>87338</v>
      </c>
      <c r="C6567" s="406" t="s">
        <v>3425</v>
      </c>
      <c r="D6567" s="395" t="s">
        <v>20</v>
      </c>
      <c r="E6567" s="407">
        <f t="shared" si="204"/>
        <v>514.72</v>
      </c>
      <c r="F6567">
        <f t="shared" si="205"/>
        <v>87338</v>
      </c>
      <c r="H6567" s="680">
        <v>514.72</v>
      </c>
      <c r="I6567" s="680">
        <v>522.46</v>
      </c>
    </row>
    <row r="6568" spans="2:9" ht="30">
      <c r="B6568" s="396">
        <v>87339</v>
      </c>
      <c r="C6568" s="401" t="s">
        <v>3426</v>
      </c>
      <c r="D6568" s="396" t="s">
        <v>20</v>
      </c>
      <c r="E6568" s="405">
        <f t="shared" si="204"/>
        <v>843.73</v>
      </c>
      <c r="F6568">
        <f t="shared" si="205"/>
        <v>87339</v>
      </c>
      <c r="H6568" s="679">
        <v>843.73</v>
      </c>
      <c r="I6568" s="679">
        <v>861.94</v>
      </c>
    </row>
    <row r="6569" spans="2:9" ht="30">
      <c r="B6569" s="395">
        <v>87340</v>
      </c>
      <c r="C6569" s="406" t="s">
        <v>3427</v>
      </c>
      <c r="D6569" s="395" t="s">
        <v>20</v>
      </c>
      <c r="E6569" s="407">
        <f t="shared" si="204"/>
        <v>756.03</v>
      </c>
      <c r="F6569">
        <f t="shared" si="205"/>
        <v>87340</v>
      </c>
      <c r="H6569" s="680">
        <v>756.03</v>
      </c>
      <c r="I6569" s="680">
        <v>764.44</v>
      </c>
    </row>
    <row r="6570" spans="2:9" ht="30">
      <c r="B6570" s="396">
        <v>87341</v>
      </c>
      <c r="C6570" s="401" t="s">
        <v>3428</v>
      </c>
      <c r="D6570" s="396" t="s">
        <v>20</v>
      </c>
      <c r="E6570" s="405">
        <f t="shared" si="204"/>
        <v>735.43</v>
      </c>
      <c r="F6570">
        <f t="shared" si="205"/>
        <v>87341</v>
      </c>
      <c r="H6570" s="679">
        <v>735.43</v>
      </c>
      <c r="I6570" s="679">
        <v>741.42</v>
      </c>
    </row>
    <row r="6571" spans="2:9" ht="30">
      <c r="B6571" s="395">
        <v>87342</v>
      </c>
      <c r="C6571" s="406" t="s">
        <v>3429</v>
      </c>
      <c r="D6571" s="395" t="s">
        <v>20</v>
      </c>
      <c r="E6571" s="407">
        <f t="shared" si="204"/>
        <v>723.57</v>
      </c>
      <c r="F6571">
        <f t="shared" si="205"/>
        <v>87342</v>
      </c>
      <c r="H6571" s="680">
        <v>723.57</v>
      </c>
      <c r="I6571" s="680">
        <v>738.26</v>
      </c>
    </row>
    <row r="6572" spans="2:9" ht="30">
      <c r="B6572" s="396">
        <v>87343</v>
      </c>
      <c r="C6572" s="401" t="s">
        <v>3430</v>
      </c>
      <c r="D6572" s="396" t="s">
        <v>20</v>
      </c>
      <c r="E6572" s="405">
        <f t="shared" si="204"/>
        <v>674.06</v>
      </c>
      <c r="F6572">
        <f t="shared" si="205"/>
        <v>87343</v>
      </c>
      <c r="H6572" s="679">
        <v>674.06</v>
      </c>
      <c r="I6572" s="679">
        <v>683.18</v>
      </c>
    </row>
    <row r="6573" spans="2:9" ht="30">
      <c r="B6573" s="395">
        <v>87344</v>
      </c>
      <c r="C6573" s="406" t="s">
        <v>3431</v>
      </c>
      <c r="D6573" s="395" t="s">
        <v>20</v>
      </c>
      <c r="E6573" s="407">
        <f t="shared" si="204"/>
        <v>648.9</v>
      </c>
      <c r="F6573">
        <f t="shared" si="205"/>
        <v>87344</v>
      </c>
      <c r="H6573" s="680">
        <v>648.9</v>
      </c>
      <c r="I6573" s="680">
        <v>654.89</v>
      </c>
    </row>
    <row r="6574" spans="2:9" ht="30">
      <c r="B6574" s="396">
        <v>87345</v>
      </c>
      <c r="C6574" s="401" t="s">
        <v>3432</v>
      </c>
      <c r="D6574" s="396" t="s">
        <v>20</v>
      </c>
      <c r="E6574" s="405">
        <f t="shared" si="204"/>
        <v>649.66999999999996</v>
      </c>
      <c r="F6574">
        <f t="shared" si="205"/>
        <v>87345</v>
      </c>
      <c r="H6574" s="679">
        <v>649.66999999999996</v>
      </c>
      <c r="I6574" s="679">
        <v>662.76</v>
      </c>
    </row>
    <row r="6575" spans="2:9" ht="30">
      <c r="B6575" s="395">
        <v>87346</v>
      </c>
      <c r="C6575" s="406" t="s">
        <v>3433</v>
      </c>
      <c r="D6575" s="395" t="s">
        <v>20</v>
      </c>
      <c r="E6575" s="407">
        <f t="shared" si="204"/>
        <v>609.24</v>
      </c>
      <c r="F6575">
        <f t="shared" si="205"/>
        <v>87346</v>
      </c>
      <c r="H6575" s="680">
        <v>609.24</v>
      </c>
      <c r="I6575" s="680">
        <v>617.66999999999996</v>
      </c>
    </row>
    <row r="6576" spans="2:9" ht="30">
      <c r="B6576" s="396">
        <v>87347</v>
      </c>
      <c r="C6576" s="401" t="s">
        <v>3434</v>
      </c>
      <c r="D6576" s="396" t="s">
        <v>20</v>
      </c>
      <c r="E6576" s="405">
        <f t="shared" si="204"/>
        <v>588.99</v>
      </c>
      <c r="F6576">
        <f t="shared" si="205"/>
        <v>87347</v>
      </c>
      <c r="H6576" s="679">
        <v>588.99</v>
      </c>
      <c r="I6576" s="679">
        <v>594.99</v>
      </c>
    </row>
    <row r="6577" spans="2:9" ht="30">
      <c r="B6577" s="395">
        <v>87348</v>
      </c>
      <c r="C6577" s="406" t="s">
        <v>3435</v>
      </c>
      <c r="D6577" s="395" t="s">
        <v>20</v>
      </c>
      <c r="E6577" s="407">
        <f t="shared" si="204"/>
        <v>595.25</v>
      </c>
      <c r="F6577">
        <f t="shared" si="205"/>
        <v>87348</v>
      </c>
      <c r="H6577" s="680">
        <v>595.25</v>
      </c>
      <c r="I6577" s="680">
        <v>607.04</v>
      </c>
    </row>
    <row r="6578" spans="2:9" ht="30">
      <c r="B6578" s="396">
        <v>87349</v>
      </c>
      <c r="C6578" s="401" t="s">
        <v>3436</v>
      </c>
      <c r="D6578" s="396" t="s">
        <v>20</v>
      </c>
      <c r="E6578" s="405">
        <f t="shared" si="204"/>
        <v>544.15</v>
      </c>
      <c r="F6578">
        <f t="shared" si="205"/>
        <v>87349</v>
      </c>
      <c r="H6578" s="679">
        <v>544.15</v>
      </c>
      <c r="I6578" s="679">
        <v>549.79999999999995</v>
      </c>
    </row>
    <row r="6579" spans="2:9" ht="30">
      <c r="B6579" s="395">
        <v>87350</v>
      </c>
      <c r="C6579" s="406" t="s">
        <v>3437</v>
      </c>
      <c r="D6579" s="395" t="s">
        <v>20</v>
      </c>
      <c r="E6579" s="407">
        <f t="shared" si="204"/>
        <v>506.98</v>
      </c>
      <c r="F6579">
        <f t="shared" si="205"/>
        <v>87350</v>
      </c>
      <c r="H6579" s="680">
        <v>506.98</v>
      </c>
      <c r="I6579" s="680">
        <v>518.26</v>
      </c>
    </row>
    <row r="6580" spans="2:9" ht="30">
      <c r="B6580" s="396">
        <v>87351</v>
      </c>
      <c r="C6580" s="401" t="s">
        <v>3438</v>
      </c>
      <c r="D6580" s="396" t="s">
        <v>20</v>
      </c>
      <c r="E6580" s="405">
        <f t="shared" si="204"/>
        <v>456.23</v>
      </c>
      <c r="F6580">
        <f t="shared" si="205"/>
        <v>87351</v>
      </c>
      <c r="H6580" s="679">
        <v>456.23</v>
      </c>
      <c r="I6580" s="679">
        <v>462.07</v>
      </c>
    </row>
    <row r="6581" spans="2:9" ht="30">
      <c r="B6581" s="395">
        <v>87352</v>
      </c>
      <c r="C6581" s="406" t="s">
        <v>3439</v>
      </c>
      <c r="D6581" s="395" t="s">
        <v>20</v>
      </c>
      <c r="E6581" s="407">
        <f t="shared" si="204"/>
        <v>641.83000000000004</v>
      </c>
      <c r="F6581">
        <f t="shared" si="205"/>
        <v>87352</v>
      </c>
      <c r="H6581" s="680">
        <v>641.83000000000004</v>
      </c>
      <c r="I6581" s="680">
        <v>656.14</v>
      </c>
    </row>
    <row r="6582" spans="2:9" ht="30">
      <c r="B6582" s="396">
        <v>87353</v>
      </c>
      <c r="C6582" s="401" t="s">
        <v>3440</v>
      </c>
      <c r="D6582" s="396" t="s">
        <v>20</v>
      </c>
      <c r="E6582" s="405">
        <f t="shared" si="204"/>
        <v>586.55999999999995</v>
      </c>
      <c r="F6582">
        <f t="shared" si="205"/>
        <v>87353</v>
      </c>
      <c r="H6582" s="679">
        <v>586.55999999999995</v>
      </c>
      <c r="I6582" s="679">
        <v>594.92999999999995</v>
      </c>
    </row>
    <row r="6583" spans="2:9" ht="30">
      <c r="B6583" s="395">
        <v>87354</v>
      </c>
      <c r="C6583" s="406" t="s">
        <v>3441</v>
      </c>
      <c r="D6583" s="395" t="s">
        <v>20</v>
      </c>
      <c r="E6583" s="407">
        <f t="shared" si="204"/>
        <v>564.52</v>
      </c>
      <c r="F6583">
        <f t="shared" si="205"/>
        <v>87354</v>
      </c>
      <c r="H6583" s="680">
        <v>564.52</v>
      </c>
      <c r="I6583" s="680">
        <v>570.08000000000004</v>
      </c>
    </row>
    <row r="6584" spans="2:9" ht="30">
      <c r="B6584" s="396">
        <v>87355</v>
      </c>
      <c r="C6584" s="401" t="s">
        <v>3442</v>
      </c>
      <c r="D6584" s="396" t="s">
        <v>20</v>
      </c>
      <c r="E6584" s="405">
        <f t="shared" si="204"/>
        <v>549.26</v>
      </c>
      <c r="F6584">
        <f t="shared" si="205"/>
        <v>87355</v>
      </c>
      <c r="H6584" s="679">
        <v>549.26</v>
      </c>
      <c r="I6584" s="679">
        <v>560.79</v>
      </c>
    </row>
    <row r="6585" spans="2:9" ht="30">
      <c r="B6585" s="395">
        <v>87356</v>
      </c>
      <c r="C6585" s="406" t="s">
        <v>3443</v>
      </c>
      <c r="D6585" s="395" t="s">
        <v>20</v>
      </c>
      <c r="E6585" s="407">
        <f t="shared" si="204"/>
        <v>513.11</v>
      </c>
      <c r="F6585">
        <f t="shared" si="205"/>
        <v>87356</v>
      </c>
      <c r="H6585" s="680">
        <v>513.11</v>
      </c>
      <c r="I6585" s="680">
        <v>520.47</v>
      </c>
    </row>
    <row r="6586" spans="2:9" ht="30">
      <c r="B6586" s="396">
        <v>87357</v>
      </c>
      <c r="C6586" s="401" t="s">
        <v>3444</v>
      </c>
      <c r="D6586" s="396" t="s">
        <v>20</v>
      </c>
      <c r="E6586" s="405">
        <f t="shared" si="204"/>
        <v>496.57</v>
      </c>
      <c r="F6586">
        <f t="shared" si="205"/>
        <v>87357</v>
      </c>
      <c r="H6586" s="679">
        <v>496.57</v>
      </c>
      <c r="I6586" s="679">
        <v>501.99</v>
      </c>
    </row>
    <row r="6587" spans="2:9" ht="30">
      <c r="B6587" s="395">
        <v>87358</v>
      </c>
      <c r="C6587" s="406" t="s">
        <v>3445</v>
      </c>
      <c r="D6587" s="395" t="s">
        <v>20</v>
      </c>
      <c r="E6587" s="407">
        <f t="shared" si="204"/>
        <v>6870.95</v>
      </c>
      <c r="F6587">
        <f t="shared" si="205"/>
        <v>87358</v>
      </c>
      <c r="H6587" s="680">
        <v>6870.95</v>
      </c>
      <c r="I6587" s="680">
        <v>6880.4</v>
      </c>
    </row>
    <row r="6588" spans="2:9" ht="30">
      <c r="B6588" s="396">
        <v>87359</v>
      </c>
      <c r="C6588" s="401" t="s">
        <v>3446</v>
      </c>
      <c r="D6588" s="396" t="s">
        <v>20</v>
      </c>
      <c r="E6588" s="405">
        <f t="shared" si="204"/>
        <v>6869.75</v>
      </c>
      <c r="F6588">
        <f t="shared" si="205"/>
        <v>87359</v>
      </c>
      <c r="H6588" s="679">
        <v>6869.75</v>
      </c>
      <c r="I6588" s="679">
        <v>6876.15</v>
      </c>
    </row>
    <row r="6589" spans="2:9" ht="30">
      <c r="B6589" s="395">
        <v>87360</v>
      </c>
      <c r="C6589" s="406" t="s">
        <v>3447</v>
      </c>
      <c r="D6589" s="395" t="s">
        <v>20</v>
      </c>
      <c r="E6589" s="407">
        <f t="shared" si="204"/>
        <v>6984.95</v>
      </c>
      <c r="F6589">
        <f t="shared" si="205"/>
        <v>87360</v>
      </c>
      <c r="H6589" s="680">
        <v>6984.95</v>
      </c>
      <c r="I6589" s="680">
        <v>6997.08</v>
      </c>
    </row>
    <row r="6590" spans="2:9" ht="30">
      <c r="B6590" s="396">
        <v>87361</v>
      </c>
      <c r="C6590" s="401" t="s">
        <v>3448</v>
      </c>
      <c r="D6590" s="396" t="s">
        <v>20</v>
      </c>
      <c r="E6590" s="405">
        <f t="shared" si="204"/>
        <v>6979.09</v>
      </c>
      <c r="F6590">
        <f t="shared" si="205"/>
        <v>87361</v>
      </c>
      <c r="H6590" s="679">
        <v>6979.09</v>
      </c>
      <c r="I6590" s="679">
        <v>6986.34</v>
      </c>
    </row>
    <row r="6591" spans="2:9" ht="30">
      <c r="B6591" s="395">
        <v>87362</v>
      </c>
      <c r="C6591" s="406" t="s">
        <v>3449</v>
      </c>
      <c r="D6591" s="395" t="s">
        <v>20</v>
      </c>
      <c r="E6591" s="407">
        <f t="shared" si="204"/>
        <v>7011.94</v>
      </c>
      <c r="F6591">
        <f t="shared" si="205"/>
        <v>87362</v>
      </c>
      <c r="H6591" s="680">
        <v>7011.94</v>
      </c>
      <c r="I6591" s="680">
        <v>7017.33</v>
      </c>
    </row>
    <row r="6592" spans="2:9" ht="30">
      <c r="B6592" s="396">
        <v>87363</v>
      </c>
      <c r="C6592" s="401" t="s">
        <v>3450</v>
      </c>
      <c r="D6592" s="396" t="s">
        <v>20</v>
      </c>
      <c r="E6592" s="405">
        <f t="shared" si="204"/>
        <v>6908.65</v>
      </c>
      <c r="F6592">
        <f t="shared" si="205"/>
        <v>87363</v>
      </c>
      <c r="H6592" s="679">
        <v>6908.65</v>
      </c>
      <c r="I6592" s="679">
        <v>6918.96</v>
      </c>
    </row>
    <row r="6593" spans="2:9" ht="30">
      <c r="B6593" s="395">
        <v>87364</v>
      </c>
      <c r="C6593" s="406" t="s">
        <v>3451</v>
      </c>
      <c r="D6593" s="395" t="s">
        <v>20</v>
      </c>
      <c r="E6593" s="407">
        <f t="shared" si="204"/>
        <v>6936.09</v>
      </c>
      <c r="F6593">
        <f t="shared" si="205"/>
        <v>87364</v>
      </c>
      <c r="H6593" s="680">
        <v>6936.09</v>
      </c>
      <c r="I6593" s="680">
        <v>6941.74</v>
      </c>
    </row>
    <row r="6594" spans="2:9" ht="30">
      <c r="B6594" s="396">
        <v>87365</v>
      </c>
      <c r="C6594" s="401" t="s">
        <v>3452</v>
      </c>
      <c r="D6594" s="396" t="s">
        <v>20</v>
      </c>
      <c r="E6594" s="405">
        <f t="shared" si="204"/>
        <v>579.19000000000005</v>
      </c>
      <c r="F6594">
        <f t="shared" si="205"/>
        <v>87365</v>
      </c>
      <c r="H6594" s="679">
        <v>579.19000000000005</v>
      </c>
      <c r="I6594" s="679">
        <v>599.39</v>
      </c>
    </row>
    <row r="6595" spans="2:9" ht="30">
      <c r="B6595" s="395">
        <v>87366</v>
      </c>
      <c r="C6595" s="406" t="s">
        <v>3453</v>
      </c>
      <c r="D6595" s="395" t="s">
        <v>20</v>
      </c>
      <c r="E6595" s="407">
        <f t="shared" ref="E6595:E6658" si="206">IF($K$2=$H$1,H6595,I6595)</f>
        <v>612.95000000000005</v>
      </c>
      <c r="F6595">
        <f t="shared" ref="F6595:F6658" si="207">IF(LEN($B6595)=7,CONCATENATE(MID($B6595,1,6),"00",RIGHT($B6595,1)),IF(LEN($B6595)=8,CONCATENATE(MID($B6595,1,6),"0",RIGHT($B6595,2)),$B6595))</f>
        <v>87366</v>
      </c>
      <c r="H6595" s="680">
        <v>612.95000000000005</v>
      </c>
      <c r="I6595" s="680">
        <v>633.79</v>
      </c>
    </row>
    <row r="6596" spans="2:9" ht="30">
      <c r="B6596" s="396">
        <v>87367</v>
      </c>
      <c r="C6596" s="401" t="s">
        <v>3454</v>
      </c>
      <c r="D6596" s="396" t="s">
        <v>20</v>
      </c>
      <c r="E6596" s="405">
        <f t="shared" si="206"/>
        <v>693.22</v>
      </c>
      <c r="F6596">
        <f t="shared" si="207"/>
        <v>87367</v>
      </c>
      <c r="H6596" s="679">
        <v>693.22</v>
      </c>
      <c r="I6596" s="679">
        <v>714.22</v>
      </c>
    </row>
    <row r="6597" spans="2:9" ht="30">
      <c r="B6597" s="395">
        <v>87368</v>
      </c>
      <c r="C6597" s="406" t="s">
        <v>3455</v>
      </c>
      <c r="D6597" s="395" t="s">
        <v>20</v>
      </c>
      <c r="E6597" s="407">
        <f t="shared" si="206"/>
        <v>665.93</v>
      </c>
      <c r="F6597">
        <f t="shared" si="207"/>
        <v>87368</v>
      </c>
      <c r="H6597" s="680">
        <v>665.93</v>
      </c>
      <c r="I6597" s="680">
        <v>687.1</v>
      </c>
    </row>
    <row r="6598" spans="2:9" ht="30">
      <c r="B6598" s="396">
        <v>87369</v>
      </c>
      <c r="C6598" s="401" t="s">
        <v>3456</v>
      </c>
      <c r="D6598" s="396" t="s">
        <v>20</v>
      </c>
      <c r="E6598" s="405">
        <f t="shared" si="206"/>
        <v>675.48</v>
      </c>
      <c r="F6598">
        <f t="shared" si="207"/>
        <v>87369</v>
      </c>
      <c r="H6598" s="679">
        <v>675.48</v>
      </c>
      <c r="I6598" s="679">
        <v>696.23</v>
      </c>
    </row>
    <row r="6599" spans="2:9" ht="30">
      <c r="B6599" s="395">
        <v>87370</v>
      </c>
      <c r="C6599" s="406" t="s">
        <v>3457</v>
      </c>
      <c r="D6599" s="395" t="s">
        <v>20</v>
      </c>
      <c r="E6599" s="407">
        <f t="shared" si="206"/>
        <v>650.53</v>
      </c>
      <c r="F6599">
        <f t="shared" si="207"/>
        <v>87370</v>
      </c>
      <c r="H6599" s="680">
        <v>650.53</v>
      </c>
      <c r="I6599" s="680">
        <v>671.41</v>
      </c>
    </row>
    <row r="6600" spans="2:9" ht="30">
      <c r="B6600" s="396">
        <v>87371</v>
      </c>
      <c r="C6600" s="401" t="s">
        <v>3458</v>
      </c>
      <c r="D6600" s="396" t="s">
        <v>20</v>
      </c>
      <c r="E6600" s="405">
        <f t="shared" si="206"/>
        <v>630</v>
      </c>
      <c r="F6600">
        <f t="shared" si="207"/>
        <v>87371</v>
      </c>
      <c r="H6600" s="679">
        <v>630</v>
      </c>
      <c r="I6600" s="679">
        <v>650.35</v>
      </c>
    </row>
    <row r="6601" spans="2:9">
      <c r="B6601" s="395">
        <v>87372</v>
      </c>
      <c r="C6601" s="406" t="s">
        <v>3459</v>
      </c>
      <c r="D6601" s="395" t="s">
        <v>20</v>
      </c>
      <c r="E6601" s="407">
        <f t="shared" si="206"/>
        <v>881.37</v>
      </c>
      <c r="F6601">
        <f t="shared" si="207"/>
        <v>87372</v>
      </c>
      <c r="H6601" s="680">
        <v>881.37</v>
      </c>
      <c r="I6601" s="680">
        <v>903.15</v>
      </c>
    </row>
    <row r="6602" spans="2:9">
      <c r="B6602" s="396">
        <v>87373</v>
      </c>
      <c r="C6602" s="401" t="s">
        <v>3460</v>
      </c>
      <c r="D6602" s="396" t="s">
        <v>20</v>
      </c>
      <c r="E6602" s="405">
        <f t="shared" si="206"/>
        <v>782.9</v>
      </c>
      <c r="F6602">
        <f t="shared" si="207"/>
        <v>87373</v>
      </c>
      <c r="H6602" s="679">
        <v>782.9</v>
      </c>
      <c r="I6602" s="679">
        <v>803.51</v>
      </c>
    </row>
    <row r="6603" spans="2:9">
      <c r="B6603" s="395">
        <v>87374</v>
      </c>
      <c r="C6603" s="406" t="s">
        <v>3461</v>
      </c>
      <c r="D6603" s="395" t="s">
        <v>20</v>
      </c>
      <c r="E6603" s="407">
        <f t="shared" si="206"/>
        <v>724.18</v>
      </c>
      <c r="F6603">
        <f t="shared" si="207"/>
        <v>87374</v>
      </c>
      <c r="H6603" s="680">
        <v>724.18</v>
      </c>
      <c r="I6603" s="680">
        <v>744.93</v>
      </c>
    </row>
    <row r="6604" spans="2:9">
      <c r="B6604" s="396">
        <v>87375</v>
      </c>
      <c r="C6604" s="401" t="s">
        <v>3462</v>
      </c>
      <c r="D6604" s="396" t="s">
        <v>20</v>
      </c>
      <c r="E6604" s="405">
        <f t="shared" si="206"/>
        <v>685.37</v>
      </c>
      <c r="F6604">
        <f t="shared" si="207"/>
        <v>87375</v>
      </c>
      <c r="H6604" s="679">
        <v>685.37</v>
      </c>
      <c r="I6604" s="679">
        <v>706.51</v>
      </c>
    </row>
    <row r="6605" spans="2:9" ht="30">
      <c r="B6605" s="395">
        <v>87376</v>
      </c>
      <c r="C6605" s="406" t="s">
        <v>3463</v>
      </c>
      <c r="D6605" s="395" t="s">
        <v>20</v>
      </c>
      <c r="E6605" s="407">
        <f t="shared" si="206"/>
        <v>587.69000000000005</v>
      </c>
      <c r="F6605">
        <f t="shared" si="207"/>
        <v>87376</v>
      </c>
      <c r="H6605" s="680">
        <v>587.69000000000005</v>
      </c>
      <c r="I6605" s="680">
        <v>607.89</v>
      </c>
    </row>
    <row r="6606" spans="2:9" ht="30">
      <c r="B6606" s="396">
        <v>87377</v>
      </c>
      <c r="C6606" s="401" t="s">
        <v>3464</v>
      </c>
      <c r="D6606" s="396" t="s">
        <v>20</v>
      </c>
      <c r="E6606" s="405">
        <f t="shared" si="206"/>
        <v>702.61</v>
      </c>
      <c r="F6606">
        <f t="shared" si="207"/>
        <v>87377</v>
      </c>
      <c r="H6606" s="679">
        <v>702.61</v>
      </c>
      <c r="I6606" s="679">
        <v>723.22</v>
      </c>
    </row>
    <row r="6607" spans="2:9" ht="30">
      <c r="B6607" s="395">
        <v>87378</v>
      </c>
      <c r="C6607" s="406" t="s">
        <v>3465</v>
      </c>
      <c r="D6607" s="395" t="s">
        <v>20</v>
      </c>
      <c r="E6607" s="407">
        <f t="shared" si="206"/>
        <v>629.77</v>
      </c>
      <c r="F6607">
        <f t="shared" si="207"/>
        <v>87378</v>
      </c>
      <c r="H6607" s="680">
        <v>629.77</v>
      </c>
      <c r="I6607" s="680">
        <v>649.71</v>
      </c>
    </row>
    <row r="6608" spans="2:9" ht="30">
      <c r="B6608" s="396">
        <v>87379</v>
      </c>
      <c r="C6608" s="401" t="s">
        <v>3466</v>
      </c>
      <c r="D6608" s="396" t="s">
        <v>20</v>
      </c>
      <c r="E6608" s="405">
        <f t="shared" si="206"/>
        <v>7055.99</v>
      </c>
      <c r="F6608">
        <f t="shared" si="207"/>
        <v>87379</v>
      </c>
      <c r="H6608" s="679">
        <v>7055.99</v>
      </c>
      <c r="I6608" s="679">
        <v>7075.9</v>
      </c>
    </row>
    <row r="6609" spans="2:9" ht="30">
      <c r="B6609" s="395">
        <v>87380</v>
      </c>
      <c r="C6609" s="406" t="s">
        <v>3467</v>
      </c>
      <c r="D6609" s="395" t="s">
        <v>20</v>
      </c>
      <c r="E6609" s="407">
        <f t="shared" si="206"/>
        <v>7183.58</v>
      </c>
      <c r="F6609">
        <f t="shared" si="207"/>
        <v>87380</v>
      </c>
      <c r="H6609" s="680">
        <v>7183.58</v>
      </c>
      <c r="I6609" s="680">
        <v>7203.91</v>
      </c>
    </row>
    <row r="6610" spans="2:9" ht="30">
      <c r="B6610" s="396">
        <v>87381</v>
      </c>
      <c r="C6610" s="401" t="s">
        <v>3468</v>
      </c>
      <c r="D6610" s="396" t="s">
        <v>20</v>
      </c>
      <c r="E6610" s="405">
        <f t="shared" si="206"/>
        <v>7102.88</v>
      </c>
      <c r="F6610">
        <f t="shared" si="207"/>
        <v>87381</v>
      </c>
      <c r="H6610" s="679">
        <v>7102.88</v>
      </c>
      <c r="I6610" s="679">
        <v>7122.53</v>
      </c>
    </row>
    <row r="6611" spans="2:9" ht="30">
      <c r="B6611" s="395">
        <v>87382</v>
      </c>
      <c r="C6611" s="406" t="s">
        <v>3469</v>
      </c>
      <c r="D6611" s="395" t="s">
        <v>20</v>
      </c>
      <c r="E6611" s="407">
        <f t="shared" si="206"/>
        <v>2083.02</v>
      </c>
      <c r="F6611">
        <f t="shared" si="207"/>
        <v>87382</v>
      </c>
      <c r="H6611" s="680">
        <v>2083.02</v>
      </c>
      <c r="I6611" s="680">
        <v>2090.87</v>
      </c>
    </row>
    <row r="6612" spans="2:9" ht="30">
      <c r="B6612" s="396">
        <v>87383</v>
      </c>
      <c r="C6612" s="401" t="s">
        <v>3470</v>
      </c>
      <c r="D6612" s="396" t="s">
        <v>20</v>
      </c>
      <c r="E6612" s="405">
        <f t="shared" si="206"/>
        <v>2087.94</v>
      </c>
      <c r="F6612">
        <f t="shared" si="207"/>
        <v>87383</v>
      </c>
      <c r="H6612" s="679">
        <v>2087.94</v>
      </c>
      <c r="I6612" s="679">
        <v>2094.1</v>
      </c>
    </row>
    <row r="6613" spans="2:9" ht="30">
      <c r="B6613" s="395">
        <v>87384</v>
      </c>
      <c r="C6613" s="406" t="s">
        <v>3471</v>
      </c>
      <c r="D6613" s="395" t="s">
        <v>20</v>
      </c>
      <c r="E6613" s="407">
        <f t="shared" si="206"/>
        <v>2088.27</v>
      </c>
      <c r="F6613">
        <f t="shared" si="207"/>
        <v>87384</v>
      </c>
      <c r="H6613" s="680">
        <v>2088.27</v>
      </c>
      <c r="I6613" s="680">
        <v>2093.02</v>
      </c>
    </row>
    <row r="6614" spans="2:9">
      <c r="B6614" s="396">
        <v>87385</v>
      </c>
      <c r="C6614" s="401" t="s">
        <v>3472</v>
      </c>
      <c r="D6614" s="396" t="s">
        <v>20</v>
      </c>
      <c r="E6614" s="405">
        <f t="shared" si="206"/>
        <v>2413.63</v>
      </c>
      <c r="F6614">
        <f t="shared" si="207"/>
        <v>87385</v>
      </c>
      <c r="H6614" s="679">
        <v>2413.63</v>
      </c>
      <c r="I6614" s="679">
        <v>2422.9899999999998</v>
      </c>
    </row>
    <row r="6615" spans="2:9">
      <c r="B6615" s="395">
        <v>87386</v>
      </c>
      <c r="C6615" s="406" t="s">
        <v>3473</v>
      </c>
      <c r="D6615" s="395" t="s">
        <v>20</v>
      </c>
      <c r="E6615" s="407">
        <f t="shared" si="206"/>
        <v>2415.9499999999998</v>
      </c>
      <c r="F6615">
        <f t="shared" si="207"/>
        <v>87386</v>
      </c>
      <c r="H6615" s="680">
        <v>2415.9499999999998</v>
      </c>
      <c r="I6615" s="680">
        <v>2423.0300000000002</v>
      </c>
    </row>
    <row r="6616" spans="2:9">
      <c r="B6616" s="396">
        <v>87387</v>
      </c>
      <c r="C6616" s="401" t="s">
        <v>3474</v>
      </c>
      <c r="D6616" s="396" t="s">
        <v>20</v>
      </c>
      <c r="E6616" s="405">
        <f t="shared" si="206"/>
        <v>2419.67</v>
      </c>
      <c r="F6616">
        <f t="shared" si="207"/>
        <v>87387</v>
      </c>
      <c r="H6616" s="679">
        <v>2419.67</v>
      </c>
      <c r="I6616" s="679">
        <v>2425.23</v>
      </c>
    </row>
    <row r="6617" spans="2:9" ht="30">
      <c r="B6617" s="395">
        <v>87388</v>
      </c>
      <c r="C6617" s="406" t="s">
        <v>3475</v>
      </c>
      <c r="D6617" s="395" t="s">
        <v>20</v>
      </c>
      <c r="E6617" s="407">
        <f t="shared" si="206"/>
        <v>5864.02</v>
      </c>
      <c r="F6617">
        <f t="shared" si="207"/>
        <v>87388</v>
      </c>
      <c r="H6617" s="680">
        <v>5864.02</v>
      </c>
      <c r="I6617" s="680">
        <v>5871.92</v>
      </c>
    </row>
    <row r="6618" spans="2:9" ht="30">
      <c r="B6618" s="396">
        <v>87389</v>
      </c>
      <c r="C6618" s="401" t="s">
        <v>3476</v>
      </c>
      <c r="D6618" s="396" t="s">
        <v>20</v>
      </c>
      <c r="E6618" s="405">
        <f t="shared" si="206"/>
        <v>5896.41</v>
      </c>
      <c r="F6618">
        <f t="shared" si="207"/>
        <v>87389</v>
      </c>
      <c r="H6618" s="679">
        <v>5896.41</v>
      </c>
      <c r="I6618" s="679">
        <v>5902.51</v>
      </c>
    </row>
    <row r="6619" spans="2:9" ht="30">
      <c r="B6619" s="395">
        <v>87390</v>
      </c>
      <c r="C6619" s="406" t="s">
        <v>3477</v>
      </c>
      <c r="D6619" s="395" t="s">
        <v>20</v>
      </c>
      <c r="E6619" s="407">
        <f t="shared" si="206"/>
        <v>5935.51</v>
      </c>
      <c r="F6619">
        <f t="shared" si="207"/>
        <v>87390</v>
      </c>
      <c r="H6619" s="680">
        <v>5935.51</v>
      </c>
      <c r="I6619" s="680">
        <v>5940.26</v>
      </c>
    </row>
    <row r="6620" spans="2:9">
      <c r="B6620" s="396">
        <v>87391</v>
      </c>
      <c r="C6620" s="401" t="s">
        <v>3478</v>
      </c>
      <c r="D6620" s="396" t="s">
        <v>20</v>
      </c>
      <c r="E6620" s="405">
        <f t="shared" si="206"/>
        <v>6513.87</v>
      </c>
      <c r="F6620">
        <f t="shared" si="207"/>
        <v>87391</v>
      </c>
      <c r="H6620" s="679">
        <v>6513.87</v>
      </c>
      <c r="I6620" s="679">
        <v>6524.11</v>
      </c>
    </row>
    <row r="6621" spans="2:9">
      <c r="B6621" s="395">
        <v>87393</v>
      </c>
      <c r="C6621" s="406" t="s">
        <v>3479</v>
      </c>
      <c r="D6621" s="395" t="s">
        <v>20</v>
      </c>
      <c r="E6621" s="407">
        <f t="shared" si="206"/>
        <v>6582.58</v>
      </c>
      <c r="F6621">
        <f t="shared" si="207"/>
        <v>87393</v>
      </c>
      <c r="H6621" s="680">
        <v>6582.58</v>
      </c>
      <c r="I6621" s="680">
        <v>6590.88</v>
      </c>
    </row>
    <row r="6622" spans="2:9">
      <c r="B6622" s="396">
        <v>87394</v>
      </c>
      <c r="C6622" s="401" t="s">
        <v>3480</v>
      </c>
      <c r="D6622" s="396" t="s">
        <v>20</v>
      </c>
      <c r="E6622" s="405">
        <f t="shared" si="206"/>
        <v>6650.91</v>
      </c>
      <c r="F6622">
        <f t="shared" si="207"/>
        <v>87394</v>
      </c>
      <c r="H6622" s="679">
        <v>6650.91</v>
      </c>
      <c r="I6622" s="679">
        <v>6657.77</v>
      </c>
    </row>
    <row r="6623" spans="2:9" ht="30">
      <c r="B6623" s="395">
        <v>87395</v>
      </c>
      <c r="C6623" s="406" t="s">
        <v>3481</v>
      </c>
      <c r="D6623" s="395" t="s">
        <v>20</v>
      </c>
      <c r="E6623" s="407">
        <f t="shared" si="206"/>
        <v>4089.7</v>
      </c>
      <c r="F6623">
        <f t="shared" si="207"/>
        <v>87395</v>
      </c>
      <c r="H6623" s="680">
        <v>4089.7</v>
      </c>
      <c r="I6623" s="680">
        <v>4099.9399999999996</v>
      </c>
    </row>
    <row r="6624" spans="2:9" ht="30">
      <c r="B6624" s="396">
        <v>87396</v>
      </c>
      <c r="C6624" s="401" t="s">
        <v>3482</v>
      </c>
      <c r="D6624" s="396" t="s">
        <v>20</v>
      </c>
      <c r="E6624" s="405">
        <f t="shared" si="206"/>
        <v>4125.8500000000004</v>
      </c>
      <c r="F6624">
        <f t="shared" si="207"/>
        <v>87396</v>
      </c>
      <c r="H6624" s="679">
        <v>4125.8500000000004</v>
      </c>
      <c r="I6624" s="679">
        <v>4134.1499999999996</v>
      </c>
    </row>
    <row r="6625" spans="2:9" ht="30">
      <c r="B6625" s="395">
        <v>87397</v>
      </c>
      <c r="C6625" s="406" t="s">
        <v>3483</v>
      </c>
      <c r="D6625" s="395" t="s">
        <v>20</v>
      </c>
      <c r="E6625" s="407">
        <f t="shared" si="206"/>
        <v>4163.09</v>
      </c>
      <c r="F6625">
        <f t="shared" si="207"/>
        <v>87397</v>
      </c>
      <c r="H6625" s="680">
        <v>4163.09</v>
      </c>
      <c r="I6625" s="680">
        <v>4169.95</v>
      </c>
    </row>
    <row r="6626" spans="2:9" ht="30">
      <c r="B6626" s="396">
        <v>87398</v>
      </c>
      <c r="C6626" s="401" t="s">
        <v>3484</v>
      </c>
      <c r="D6626" s="396" t="s">
        <v>20</v>
      </c>
      <c r="E6626" s="405">
        <f t="shared" si="206"/>
        <v>2279.41</v>
      </c>
      <c r="F6626">
        <f t="shared" si="207"/>
        <v>87398</v>
      </c>
      <c r="H6626" s="679">
        <v>2279.41</v>
      </c>
      <c r="I6626" s="679">
        <v>2302.96</v>
      </c>
    </row>
    <row r="6627" spans="2:9">
      <c r="B6627" s="395">
        <v>87399</v>
      </c>
      <c r="C6627" s="406" t="s">
        <v>3485</v>
      </c>
      <c r="D6627" s="395" t="s">
        <v>20</v>
      </c>
      <c r="E6627" s="407">
        <f t="shared" si="206"/>
        <v>2614.9899999999998</v>
      </c>
      <c r="F6627">
        <f t="shared" si="207"/>
        <v>87399</v>
      </c>
      <c r="H6627" s="680">
        <v>2614.9899999999998</v>
      </c>
      <c r="I6627" s="680">
        <v>2640.29</v>
      </c>
    </row>
    <row r="6628" spans="2:9">
      <c r="B6628" s="396">
        <v>87401</v>
      </c>
      <c r="C6628" s="401" t="s">
        <v>3486</v>
      </c>
      <c r="D6628" s="396" t="s">
        <v>20</v>
      </c>
      <c r="E6628" s="405">
        <f t="shared" si="206"/>
        <v>6818.48</v>
      </c>
      <c r="F6628">
        <f t="shared" si="207"/>
        <v>87401</v>
      </c>
      <c r="H6628" s="679">
        <v>6818.48</v>
      </c>
      <c r="I6628" s="679">
        <v>6847.99</v>
      </c>
    </row>
    <row r="6629" spans="2:9">
      <c r="B6629" s="395">
        <v>87402</v>
      </c>
      <c r="C6629" s="406" t="s">
        <v>3487</v>
      </c>
      <c r="D6629" s="395" t="s">
        <v>20</v>
      </c>
      <c r="E6629" s="407">
        <f t="shared" si="206"/>
        <v>4344.68</v>
      </c>
      <c r="F6629">
        <f t="shared" si="207"/>
        <v>87402</v>
      </c>
      <c r="H6629" s="680">
        <v>4344.68</v>
      </c>
      <c r="I6629" s="680">
        <v>4374.1899999999996</v>
      </c>
    </row>
    <row r="6630" spans="2:9" ht="30">
      <c r="B6630" s="396">
        <v>87404</v>
      </c>
      <c r="C6630" s="401" t="s">
        <v>3488</v>
      </c>
      <c r="D6630" s="396" t="s">
        <v>20</v>
      </c>
      <c r="E6630" s="405">
        <f t="shared" si="206"/>
        <v>6073.72</v>
      </c>
      <c r="F6630">
        <f t="shared" si="207"/>
        <v>87404</v>
      </c>
      <c r="H6630" s="679">
        <v>6073.72</v>
      </c>
      <c r="I6630" s="679">
        <v>6084.77</v>
      </c>
    </row>
    <row r="6631" spans="2:9" ht="30">
      <c r="B6631" s="395">
        <v>87405</v>
      </c>
      <c r="C6631" s="406" t="s">
        <v>377</v>
      </c>
      <c r="D6631" s="395" t="s">
        <v>20</v>
      </c>
      <c r="E6631" s="407">
        <f t="shared" si="206"/>
        <v>6102.86</v>
      </c>
      <c r="F6631">
        <f t="shared" si="207"/>
        <v>87405</v>
      </c>
      <c r="H6631" s="680">
        <v>6102.86</v>
      </c>
      <c r="I6631" s="680">
        <v>6111.15</v>
      </c>
    </row>
    <row r="6632" spans="2:9">
      <c r="B6632" s="396">
        <v>87407</v>
      </c>
      <c r="C6632" s="401" t="s">
        <v>3489</v>
      </c>
      <c r="D6632" s="396" t="s">
        <v>20</v>
      </c>
      <c r="E6632" s="405">
        <f t="shared" si="206"/>
        <v>2124.9299999999998</v>
      </c>
      <c r="F6632">
        <f t="shared" si="207"/>
        <v>87407</v>
      </c>
      <c r="H6632" s="679">
        <v>2124.9299999999998</v>
      </c>
      <c r="I6632" s="679">
        <v>2132.39</v>
      </c>
    </row>
    <row r="6633" spans="2:9">
      <c r="B6633" s="395">
        <v>87408</v>
      </c>
      <c r="C6633" s="406" t="s">
        <v>378</v>
      </c>
      <c r="D6633" s="395" t="s">
        <v>20</v>
      </c>
      <c r="E6633" s="407">
        <f t="shared" si="206"/>
        <v>2120.54</v>
      </c>
      <c r="F6633">
        <f t="shared" si="207"/>
        <v>87408</v>
      </c>
      <c r="H6633" s="680">
        <v>2120.54</v>
      </c>
      <c r="I6633" s="680">
        <v>2126.14</v>
      </c>
    </row>
    <row r="6634" spans="2:9">
      <c r="B6634" s="396">
        <v>87410</v>
      </c>
      <c r="C6634" s="401" t="s">
        <v>3490</v>
      </c>
      <c r="D6634" s="396" t="s">
        <v>20</v>
      </c>
      <c r="E6634" s="405">
        <f t="shared" si="206"/>
        <v>959.07</v>
      </c>
      <c r="F6634">
        <f t="shared" si="207"/>
        <v>87410</v>
      </c>
      <c r="H6634" s="679">
        <v>959.07</v>
      </c>
      <c r="I6634" s="679">
        <v>969.47</v>
      </c>
    </row>
    <row r="6635" spans="2:9" ht="30">
      <c r="B6635" s="395">
        <v>88626</v>
      </c>
      <c r="C6635" s="406" t="s">
        <v>3491</v>
      </c>
      <c r="D6635" s="395" t="s">
        <v>20</v>
      </c>
      <c r="E6635" s="407">
        <f t="shared" si="206"/>
        <v>591.38</v>
      </c>
      <c r="F6635">
        <f t="shared" si="207"/>
        <v>88626</v>
      </c>
      <c r="H6635" s="680">
        <v>591.38</v>
      </c>
      <c r="I6635" s="680">
        <v>598.20000000000005</v>
      </c>
    </row>
    <row r="6636" spans="2:9" ht="30">
      <c r="B6636" s="396">
        <v>88627</v>
      </c>
      <c r="C6636" s="401" t="s">
        <v>3492</v>
      </c>
      <c r="D6636" s="396" t="s">
        <v>20</v>
      </c>
      <c r="E6636" s="405">
        <f t="shared" si="206"/>
        <v>680.15</v>
      </c>
      <c r="F6636">
        <f t="shared" si="207"/>
        <v>88627</v>
      </c>
      <c r="H6636" s="679">
        <v>680.15</v>
      </c>
      <c r="I6636" s="679">
        <v>696.57</v>
      </c>
    </row>
    <row r="6637" spans="2:9">
      <c r="B6637" s="395">
        <v>88628</v>
      </c>
      <c r="C6637" s="406" t="s">
        <v>3493</v>
      </c>
      <c r="D6637" s="395" t="s">
        <v>20</v>
      </c>
      <c r="E6637" s="407">
        <f t="shared" si="206"/>
        <v>638.48</v>
      </c>
      <c r="F6637">
        <f t="shared" si="207"/>
        <v>88628</v>
      </c>
      <c r="H6637" s="680">
        <v>638.48</v>
      </c>
      <c r="I6637" s="680">
        <v>644.5</v>
      </c>
    </row>
    <row r="6638" spans="2:9">
      <c r="B6638" s="396">
        <v>88629</v>
      </c>
      <c r="C6638" s="401" t="s">
        <v>3494</v>
      </c>
      <c r="D6638" s="396" t="s">
        <v>20</v>
      </c>
      <c r="E6638" s="405">
        <f t="shared" si="206"/>
        <v>730.5</v>
      </c>
      <c r="F6638">
        <f t="shared" si="207"/>
        <v>88629</v>
      </c>
      <c r="H6638" s="679">
        <v>730.5</v>
      </c>
      <c r="I6638" s="679">
        <v>746.53</v>
      </c>
    </row>
    <row r="6639" spans="2:9">
      <c r="B6639" s="395">
        <v>88630</v>
      </c>
      <c r="C6639" s="406" t="s">
        <v>1903</v>
      </c>
      <c r="D6639" s="395" t="s">
        <v>20</v>
      </c>
      <c r="E6639" s="407">
        <f t="shared" si="206"/>
        <v>539.58000000000004</v>
      </c>
      <c r="F6639">
        <f t="shared" si="207"/>
        <v>88630</v>
      </c>
      <c r="H6639" s="680">
        <v>539.58000000000004</v>
      </c>
      <c r="I6639" s="680">
        <v>545.49</v>
      </c>
    </row>
    <row r="6640" spans="2:9">
      <c r="B6640" s="396">
        <v>88631</v>
      </c>
      <c r="C6640" s="401" t="s">
        <v>3495</v>
      </c>
      <c r="D6640" s="396" t="s">
        <v>20</v>
      </c>
      <c r="E6640" s="405">
        <f t="shared" si="206"/>
        <v>649.91999999999996</v>
      </c>
      <c r="F6640">
        <f t="shared" si="207"/>
        <v>88631</v>
      </c>
      <c r="H6640" s="679">
        <v>649.91999999999996</v>
      </c>
      <c r="I6640" s="679">
        <v>665.42</v>
      </c>
    </row>
    <row r="6641" spans="2:9" ht="30">
      <c r="B6641" s="395">
        <v>88715</v>
      </c>
      <c r="C6641" s="406" t="s">
        <v>3496</v>
      </c>
      <c r="D6641" s="395" t="s">
        <v>20</v>
      </c>
      <c r="E6641" s="407">
        <f t="shared" si="206"/>
        <v>535.04999999999995</v>
      </c>
      <c r="F6641">
        <f t="shared" si="207"/>
        <v>88715</v>
      </c>
      <c r="H6641" s="680">
        <v>535.04999999999995</v>
      </c>
      <c r="I6641" s="680">
        <v>542.54999999999995</v>
      </c>
    </row>
    <row r="6642" spans="2:9" ht="30">
      <c r="B6642" s="396">
        <v>95563</v>
      </c>
      <c r="C6642" s="401" t="s">
        <v>4011</v>
      </c>
      <c r="D6642" s="396" t="s">
        <v>20</v>
      </c>
      <c r="E6642" s="405">
        <f t="shared" si="206"/>
        <v>912.57</v>
      </c>
      <c r="F6642">
        <f t="shared" si="207"/>
        <v>95563</v>
      </c>
      <c r="H6642" s="679">
        <v>912.57</v>
      </c>
      <c r="I6642" s="679">
        <v>927.39</v>
      </c>
    </row>
    <row r="6643" spans="2:9" ht="30">
      <c r="B6643" s="395">
        <v>100464</v>
      </c>
      <c r="C6643" s="406" t="s">
        <v>3497</v>
      </c>
      <c r="D6643" s="395" t="s">
        <v>20</v>
      </c>
      <c r="E6643" s="407">
        <f t="shared" si="206"/>
        <v>606.30999999999995</v>
      </c>
      <c r="F6643">
        <f t="shared" si="207"/>
        <v>100464</v>
      </c>
      <c r="H6643" s="680">
        <v>606.30999999999995</v>
      </c>
      <c r="I6643" s="680">
        <v>615.66999999999996</v>
      </c>
    </row>
    <row r="6644" spans="2:9" ht="30">
      <c r="B6644" s="396">
        <v>100465</v>
      </c>
      <c r="C6644" s="401" t="s">
        <v>3498</v>
      </c>
      <c r="D6644" s="396" t="s">
        <v>20</v>
      </c>
      <c r="E6644" s="405">
        <f t="shared" si="206"/>
        <v>579.96</v>
      </c>
      <c r="F6644">
        <f t="shared" si="207"/>
        <v>100465</v>
      </c>
      <c r="H6644" s="679">
        <v>579.96</v>
      </c>
      <c r="I6644" s="679">
        <v>586.14</v>
      </c>
    </row>
    <row r="6645" spans="2:9" ht="30">
      <c r="B6645" s="395">
        <v>100466</v>
      </c>
      <c r="C6645" s="406" t="s">
        <v>3499</v>
      </c>
      <c r="D6645" s="395" t="s">
        <v>20</v>
      </c>
      <c r="E6645" s="407">
        <f t="shared" si="206"/>
        <v>568.26</v>
      </c>
      <c r="F6645">
        <f t="shared" si="207"/>
        <v>100466</v>
      </c>
      <c r="H6645" s="680">
        <v>568.26</v>
      </c>
      <c r="I6645" s="680">
        <v>572.92999999999995</v>
      </c>
    </row>
    <row r="6646" spans="2:9" ht="30">
      <c r="B6646" s="396">
        <v>100468</v>
      </c>
      <c r="C6646" s="401" t="s">
        <v>3500</v>
      </c>
      <c r="D6646" s="396" t="s">
        <v>20</v>
      </c>
      <c r="E6646" s="405">
        <f t="shared" si="206"/>
        <v>730.73</v>
      </c>
      <c r="F6646">
        <f t="shared" si="207"/>
        <v>100468</v>
      </c>
      <c r="H6646" s="679">
        <v>730.73</v>
      </c>
      <c r="I6646" s="679">
        <v>742.68</v>
      </c>
    </row>
    <row r="6647" spans="2:9" ht="30">
      <c r="B6647" s="395">
        <v>100469</v>
      </c>
      <c r="C6647" s="406" t="s">
        <v>3501</v>
      </c>
      <c r="D6647" s="395" t="s">
        <v>20</v>
      </c>
      <c r="E6647" s="407">
        <f t="shared" si="206"/>
        <v>627.9</v>
      </c>
      <c r="F6647">
        <f t="shared" si="207"/>
        <v>100469</v>
      </c>
      <c r="H6647" s="680">
        <v>627.9</v>
      </c>
      <c r="I6647" s="680">
        <v>633.62</v>
      </c>
    </row>
    <row r="6648" spans="2:9" ht="30">
      <c r="B6648" s="396">
        <v>100470</v>
      </c>
      <c r="C6648" s="401" t="s">
        <v>3502</v>
      </c>
      <c r="D6648" s="396" t="s">
        <v>20</v>
      </c>
      <c r="E6648" s="405">
        <f t="shared" si="206"/>
        <v>565.05999999999995</v>
      </c>
      <c r="F6648">
        <f t="shared" si="207"/>
        <v>100470</v>
      </c>
      <c r="H6648" s="679">
        <v>565.05999999999995</v>
      </c>
      <c r="I6648" s="679">
        <v>570.78</v>
      </c>
    </row>
    <row r="6649" spans="2:9" ht="30">
      <c r="B6649" s="395">
        <v>100472</v>
      </c>
      <c r="C6649" s="406" t="s">
        <v>3503</v>
      </c>
      <c r="D6649" s="395" t="s">
        <v>20</v>
      </c>
      <c r="E6649" s="407">
        <f t="shared" si="206"/>
        <v>592.12</v>
      </c>
      <c r="F6649">
        <f t="shared" si="207"/>
        <v>100472</v>
      </c>
      <c r="H6649" s="680">
        <v>592.12</v>
      </c>
      <c r="I6649" s="680">
        <v>602.22</v>
      </c>
    </row>
    <row r="6650" spans="2:9" ht="30">
      <c r="B6650" s="396">
        <v>100473</v>
      </c>
      <c r="C6650" s="401" t="s">
        <v>3504</v>
      </c>
      <c r="D6650" s="396" t="s">
        <v>20</v>
      </c>
      <c r="E6650" s="405">
        <f t="shared" si="206"/>
        <v>557.82000000000005</v>
      </c>
      <c r="F6650">
        <f t="shared" si="207"/>
        <v>100473</v>
      </c>
      <c r="H6650" s="679">
        <v>557.82000000000005</v>
      </c>
      <c r="I6650" s="679">
        <v>564.04</v>
      </c>
    </row>
    <row r="6651" spans="2:9" ht="30">
      <c r="B6651" s="395">
        <v>100474</v>
      </c>
      <c r="C6651" s="406" t="s">
        <v>3505</v>
      </c>
      <c r="D6651" s="395" t="s">
        <v>20</v>
      </c>
      <c r="E6651" s="407">
        <f t="shared" si="206"/>
        <v>545.07000000000005</v>
      </c>
      <c r="F6651">
        <f t="shared" si="207"/>
        <v>100474</v>
      </c>
      <c r="H6651" s="680">
        <v>545.07000000000005</v>
      </c>
      <c r="I6651" s="680">
        <v>549.54</v>
      </c>
    </row>
    <row r="6652" spans="2:9" ht="30">
      <c r="B6652" s="396">
        <v>100475</v>
      </c>
      <c r="C6652" s="401" t="s">
        <v>3506</v>
      </c>
      <c r="D6652" s="396" t="s">
        <v>20</v>
      </c>
      <c r="E6652" s="405">
        <f t="shared" si="206"/>
        <v>810.43</v>
      </c>
      <c r="F6652">
        <f t="shared" si="207"/>
        <v>100475</v>
      </c>
      <c r="H6652" s="679">
        <v>810.43</v>
      </c>
      <c r="I6652" s="679">
        <v>817.03</v>
      </c>
    </row>
    <row r="6653" spans="2:9" ht="30">
      <c r="B6653" s="395">
        <v>100477</v>
      </c>
      <c r="C6653" s="406" t="s">
        <v>3507</v>
      </c>
      <c r="D6653" s="395" t="s">
        <v>20</v>
      </c>
      <c r="E6653" s="407">
        <f t="shared" si="206"/>
        <v>847.21</v>
      </c>
      <c r="F6653">
        <f t="shared" si="207"/>
        <v>100477</v>
      </c>
      <c r="H6653" s="680">
        <v>847.21</v>
      </c>
      <c r="I6653" s="680">
        <v>859.74</v>
      </c>
    </row>
    <row r="6654" spans="2:9" ht="30">
      <c r="B6654" s="396">
        <v>100478</v>
      </c>
      <c r="C6654" s="401" t="s">
        <v>3508</v>
      </c>
      <c r="D6654" s="396" t="s">
        <v>20</v>
      </c>
      <c r="E6654" s="405">
        <f t="shared" si="206"/>
        <v>795.62</v>
      </c>
      <c r="F6654">
        <f t="shared" si="207"/>
        <v>100478</v>
      </c>
      <c r="H6654" s="679">
        <v>795.62</v>
      </c>
      <c r="I6654" s="679">
        <v>801.92</v>
      </c>
    </row>
    <row r="6655" spans="2:9" ht="30">
      <c r="B6655" s="395">
        <v>100479</v>
      </c>
      <c r="C6655" s="406" t="s">
        <v>3509</v>
      </c>
      <c r="D6655" s="395" t="s">
        <v>20</v>
      </c>
      <c r="E6655" s="407">
        <f t="shared" si="206"/>
        <v>786.54</v>
      </c>
      <c r="F6655">
        <f t="shared" si="207"/>
        <v>100479</v>
      </c>
      <c r="H6655" s="680">
        <v>786.54</v>
      </c>
      <c r="I6655" s="680">
        <v>791.55</v>
      </c>
    </row>
    <row r="6656" spans="2:9" ht="30">
      <c r="B6656" s="396">
        <v>100480</v>
      </c>
      <c r="C6656" s="401" t="s">
        <v>3510</v>
      </c>
      <c r="D6656" s="396" t="s">
        <v>20</v>
      </c>
      <c r="E6656" s="405">
        <f t="shared" si="206"/>
        <v>901.78</v>
      </c>
      <c r="F6656">
        <f t="shared" si="207"/>
        <v>100480</v>
      </c>
      <c r="H6656" s="679">
        <v>901.78</v>
      </c>
      <c r="I6656" s="679">
        <v>918.43</v>
      </c>
    </row>
    <row r="6657" spans="2:9" ht="30">
      <c r="B6657" s="395">
        <v>100481</v>
      </c>
      <c r="C6657" s="406" t="s">
        <v>3511</v>
      </c>
      <c r="D6657" s="395" t="s">
        <v>20</v>
      </c>
      <c r="E6657" s="407">
        <f t="shared" si="206"/>
        <v>696.8</v>
      </c>
      <c r="F6657">
        <f t="shared" si="207"/>
        <v>100481</v>
      </c>
      <c r="H6657" s="680">
        <v>696.8</v>
      </c>
      <c r="I6657" s="680">
        <v>702.98</v>
      </c>
    </row>
    <row r="6658" spans="2:9" ht="30">
      <c r="B6658" s="396">
        <v>100483</v>
      </c>
      <c r="C6658" s="401" t="s">
        <v>3512</v>
      </c>
      <c r="D6658" s="396" t="s">
        <v>20</v>
      </c>
      <c r="E6658" s="405">
        <f t="shared" si="206"/>
        <v>724.43</v>
      </c>
      <c r="F6658">
        <f t="shared" si="207"/>
        <v>100483</v>
      </c>
      <c r="H6658" s="679">
        <v>724.43</v>
      </c>
      <c r="I6658" s="679">
        <v>735.01</v>
      </c>
    </row>
    <row r="6659" spans="2:9" ht="30">
      <c r="B6659" s="395">
        <v>100484</v>
      </c>
      <c r="C6659" s="406" t="s">
        <v>3513</v>
      </c>
      <c r="D6659" s="395" t="s">
        <v>20</v>
      </c>
      <c r="E6659" s="407">
        <f t="shared" ref="E6659:E6722" si="208">IF($K$2=$H$1,H6659,I6659)</f>
        <v>691.39</v>
      </c>
      <c r="F6659">
        <f t="shared" ref="F6659:F6722" si="209">IF(LEN($B6659)=7,CONCATENATE(MID($B6659,1,6),"00",RIGHT($B6659,1)),IF(LEN($B6659)=8,CONCATENATE(MID($B6659,1,6),"0",RIGHT($B6659,2)),$B6659))</f>
        <v>100484</v>
      </c>
      <c r="H6659" s="680">
        <v>691.39</v>
      </c>
      <c r="I6659" s="680">
        <v>698.07</v>
      </c>
    </row>
    <row r="6660" spans="2:9" ht="30">
      <c r="B6660" s="396">
        <v>100485</v>
      </c>
      <c r="C6660" s="401" t="s">
        <v>3514</v>
      </c>
      <c r="D6660" s="396" t="s">
        <v>20</v>
      </c>
      <c r="E6660" s="405">
        <f t="shared" si="208"/>
        <v>681.05</v>
      </c>
      <c r="F6660">
        <f t="shared" si="209"/>
        <v>100485</v>
      </c>
      <c r="H6660" s="679">
        <v>681.05</v>
      </c>
      <c r="I6660" s="679">
        <v>686.03</v>
      </c>
    </row>
    <row r="6661" spans="2:9" ht="30">
      <c r="B6661" s="395">
        <v>100486</v>
      </c>
      <c r="C6661" s="406" t="s">
        <v>3515</v>
      </c>
      <c r="D6661" s="395" t="s">
        <v>20</v>
      </c>
      <c r="E6661" s="407">
        <f t="shared" si="208"/>
        <v>794.28</v>
      </c>
      <c r="F6661">
        <f t="shared" si="209"/>
        <v>100486</v>
      </c>
      <c r="H6661" s="680">
        <v>794.28</v>
      </c>
      <c r="I6661" s="680">
        <v>810.26</v>
      </c>
    </row>
    <row r="6662" spans="2:9" ht="30">
      <c r="B6662" s="396">
        <v>100487</v>
      </c>
      <c r="C6662" s="401" t="s">
        <v>3516</v>
      </c>
      <c r="D6662" s="396" t="s">
        <v>20</v>
      </c>
      <c r="E6662" s="405">
        <f t="shared" si="208"/>
        <v>515.91999999999996</v>
      </c>
      <c r="F6662">
        <f t="shared" si="209"/>
        <v>100487</v>
      </c>
      <c r="H6662" s="679">
        <v>515.91999999999996</v>
      </c>
      <c r="I6662" s="679">
        <v>521.98</v>
      </c>
    </row>
    <row r="6663" spans="2:9" ht="30">
      <c r="B6663" s="395">
        <v>100488</v>
      </c>
      <c r="C6663" s="406" t="s">
        <v>3517</v>
      </c>
      <c r="D6663" s="395" t="s">
        <v>20</v>
      </c>
      <c r="E6663" s="407">
        <f t="shared" si="208"/>
        <v>588.88</v>
      </c>
      <c r="F6663">
        <f t="shared" si="209"/>
        <v>100488</v>
      </c>
      <c r="H6663" s="680">
        <v>588.88</v>
      </c>
      <c r="I6663" s="680">
        <v>594.70000000000005</v>
      </c>
    </row>
    <row r="6664" spans="2:9">
      <c r="B6664" s="396">
        <v>100489</v>
      </c>
      <c r="C6664" s="401" t="s">
        <v>3518</v>
      </c>
      <c r="D6664" s="396" t="s">
        <v>20</v>
      </c>
      <c r="E6664" s="405">
        <f t="shared" si="208"/>
        <v>639.84</v>
      </c>
      <c r="F6664">
        <f t="shared" si="209"/>
        <v>100489</v>
      </c>
      <c r="H6664" s="679">
        <v>639.84</v>
      </c>
      <c r="I6664" s="679">
        <v>645.53</v>
      </c>
    </row>
    <row r="6665" spans="2:9">
      <c r="B6665" s="395">
        <v>100490</v>
      </c>
      <c r="C6665" s="406" t="s">
        <v>3519</v>
      </c>
      <c r="D6665" s="395" t="s">
        <v>20</v>
      </c>
      <c r="E6665" s="407">
        <f t="shared" si="208"/>
        <v>562.02</v>
      </c>
      <c r="F6665">
        <f t="shared" si="209"/>
        <v>100490</v>
      </c>
      <c r="H6665" s="680">
        <v>562.02</v>
      </c>
      <c r="I6665" s="680">
        <v>567.4</v>
      </c>
    </row>
    <row r="6666" spans="2:9" ht="30">
      <c r="B6666" s="396">
        <v>100491</v>
      </c>
      <c r="C6666" s="401" t="s">
        <v>3520</v>
      </c>
      <c r="D6666" s="396" t="s">
        <v>20</v>
      </c>
      <c r="E6666" s="405">
        <f t="shared" si="208"/>
        <v>812.97</v>
      </c>
      <c r="F6666">
        <f t="shared" si="209"/>
        <v>100491</v>
      </c>
      <c r="H6666" s="679">
        <v>812.97</v>
      </c>
      <c r="I6666" s="679">
        <v>819.33</v>
      </c>
    </row>
    <row r="6667" spans="2:9" ht="30">
      <c r="B6667" s="395">
        <v>100492</v>
      </c>
      <c r="C6667" s="406" t="s">
        <v>3521</v>
      </c>
      <c r="D6667" s="395" t="s">
        <v>20</v>
      </c>
      <c r="E6667" s="407">
        <f t="shared" si="208"/>
        <v>700.07</v>
      </c>
      <c r="F6667">
        <f t="shared" si="209"/>
        <v>100492</v>
      </c>
      <c r="H6667" s="680">
        <v>700.07</v>
      </c>
      <c r="I6667" s="680">
        <v>705.96</v>
      </c>
    </row>
    <row r="6668" spans="2:9">
      <c r="B6668" s="396">
        <v>92121</v>
      </c>
      <c r="C6668" s="401" t="s">
        <v>85</v>
      </c>
      <c r="D6668" s="396" t="s">
        <v>20</v>
      </c>
      <c r="E6668" s="405">
        <f t="shared" si="208"/>
        <v>25.68</v>
      </c>
      <c r="F6668">
        <f t="shared" si="209"/>
        <v>92121</v>
      </c>
      <c r="H6668" s="679">
        <v>25.68</v>
      </c>
      <c r="I6668" s="679">
        <v>28.15</v>
      </c>
    </row>
    <row r="6669" spans="2:9">
      <c r="B6669" s="395">
        <v>92122</v>
      </c>
      <c r="C6669" s="406" t="s">
        <v>86</v>
      </c>
      <c r="D6669" s="395" t="s">
        <v>20</v>
      </c>
      <c r="E6669" s="407">
        <f t="shared" si="208"/>
        <v>41.77</v>
      </c>
      <c r="F6669">
        <f t="shared" si="209"/>
        <v>92122</v>
      </c>
      <c r="H6669" s="680">
        <v>41.77</v>
      </c>
      <c r="I6669" s="680">
        <v>46.25</v>
      </c>
    </row>
    <row r="6670" spans="2:9">
      <c r="B6670" s="396">
        <v>92123</v>
      </c>
      <c r="C6670" s="401" t="s">
        <v>87</v>
      </c>
      <c r="D6670" s="396" t="s">
        <v>20</v>
      </c>
      <c r="E6670" s="405">
        <f t="shared" si="208"/>
        <v>47.21</v>
      </c>
      <c r="F6670">
        <f t="shared" si="209"/>
        <v>92123</v>
      </c>
      <c r="H6670" s="679">
        <v>47.21</v>
      </c>
      <c r="I6670" s="679">
        <v>50.09</v>
      </c>
    </row>
    <row r="6671" spans="2:9">
      <c r="B6671" s="395">
        <v>100195</v>
      </c>
      <c r="C6671" s="406" t="s">
        <v>3248</v>
      </c>
      <c r="D6671" s="395" t="s">
        <v>3249</v>
      </c>
      <c r="E6671" s="407">
        <f t="shared" si="208"/>
        <v>0.63</v>
      </c>
      <c r="F6671">
        <f t="shared" si="209"/>
        <v>100195</v>
      </c>
      <c r="H6671" s="680">
        <v>0.63</v>
      </c>
      <c r="I6671" s="680">
        <v>0.7</v>
      </c>
    </row>
    <row r="6672" spans="2:9">
      <c r="B6672" s="396">
        <v>100196</v>
      </c>
      <c r="C6672" s="401" t="s">
        <v>3250</v>
      </c>
      <c r="D6672" s="396" t="s">
        <v>3249</v>
      </c>
      <c r="E6672" s="405">
        <f t="shared" si="208"/>
        <v>1.06</v>
      </c>
      <c r="F6672">
        <f t="shared" si="209"/>
        <v>100196</v>
      </c>
      <c r="H6672" s="679">
        <v>1.06</v>
      </c>
      <c r="I6672" s="679">
        <v>1.18</v>
      </c>
    </row>
    <row r="6673" spans="2:9">
      <c r="B6673" s="395">
        <v>100197</v>
      </c>
      <c r="C6673" s="406" t="s">
        <v>3251</v>
      </c>
      <c r="D6673" s="395" t="s">
        <v>3249</v>
      </c>
      <c r="E6673" s="407">
        <f t="shared" si="208"/>
        <v>1.59</v>
      </c>
      <c r="F6673">
        <f t="shared" si="209"/>
        <v>100197</v>
      </c>
      <c r="H6673" s="680">
        <v>1.59</v>
      </c>
      <c r="I6673" s="680">
        <v>1.77</v>
      </c>
    </row>
    <row r="6674" spans="2:9">
      <c r="B6674" s="396">
        <v>100198</v>
      </c>
      <c r="C6674" s="401" t="s">
        <v>3252</v>
      </c>
      <c r="D6674" s="396" t="s">
        <v>3249</v>
      </c>
      <c r="E6674" s="405">
        <f t="shared" si="208"/>
        <v>0.22</v>
      </c>
      <c r="F6674">
        <f t="shared" si="209"/>
        <v>100198</v>
      </c>
      <c r="H6674" s="679">
        <v>0.22</v>
      </c>
      <c r="I6674" s="679">
        <v>0.24</v>
      </c>
    </row>
    <row r="6675" spans="2:9">
      <c r="B6675" s="395">
        <v>100199</v>
      </c>
      <c r="C6675" s="406" t="s">
        <v>3253</v>
      </c>
      <c r="D6675" s="395" t="s">
        <v>3249</v>
      </c>
      <c r="E6675" s="407">
        <f t="shared" si="208"/>
        <v>0.26</v>
      </c>
      <c r="F6675">
        <f t="shared" si="209"/>
        <v>100199</v>
      </c>
      <c r="H6675" s="680">
        <v>0.26</v>
      </c>
      <c r="I6675" s="680">
        <v>0.28999999999999998</v>
      </c>
    </row>
    <row r="6676" spans="2:9">
      <c r="B6676" s="396">
        <v>100200</v>
      </c>
      <c r="C6676" s="401" t="s">
        <v>3254</v>
      </c>
      <c r="D6676" s="396" t="s">
        <v>3249</v>
      </c>
      <c r="E6676" s="405">
        <f t="shared" si="208"/>
        <v>0.32</v>
      </c>
      <c r="F6676">
        <f t="shared" si="209"/>
        <v>100200</v>
      </c>
      <c r="H6676" s="679">
        <v>0.32</v>
      </c>
      <c r="I6676" s="679">
        <v>0.36</v>
      </c>
    </row>
    <row r="6677" spans="2:9">
      <c r="B6677" s="395">
        <v>100201</v>
      </c>
      <c r="C6677" s="406" t="s">
        <v>3255</v>
      </c>
      <c r="D6677" s="395" t="s">
        <v>3249</v>
      </c>
      <c r="E6677" s="407">
        <f t="shared" si="208"/>
        <v>0.64</v>
      </c>
      <c r="F6677">
        <f t="shared" si="209"/>
        <v>100201</v>
      </c>
      <c r="H6677" s="680">
        <v>0.64</v>
      </c>
      <c r="I6677" s="680">
        <v>0.71</v>
      </c>
    </row>
    <row r="6678" spans="2:9">
      <c r="B6678" s="396">
        <v>100202</v>
      </c>
      <c r="C6678" s="401" t="s">
        <v>3256</v>
      </c>
      <c r="D6678" s="396" t="s">
        <v>3249</v>
      </c>
      <c r="E6678" s="405">
        <f t="shared" si="208"/>
        <v>0.75</v>
      </c>
      <c r="F6678">
        <f t="shared" si="209"/>
        <v>100202</v>
      </c>
      <c r="H6678" s="679">
        <v>0.75</v>
      </c>
      <c r="I6678" s="679">
        <v>0.84</v>
      </c>
    </row>
    <row r="6679" spans="2:9">
      <c r="B6679" s="395">
        <v>100203</v>
      </c>
      <c r="C6679" s="406" t="s">
        <v>3257</v>
      </c>
      <c r="D6679" s="395" t="s">
        <v>3249</v>
      </c>
      <c r="E6679" s="407">
        <f t="shared" si="208"/>
        <v>0.89</v>
      </c>
      <c r="F6679">
        <f t="shared" si="209"/>
        <v>100203</v>
      </c>
      <c r="H6679" s="680">
        <v>0.89</v>
      </c>
      <c r="I6679" s="680">
        <v>0.99</v>
      </c>
    </row>
    <row r="6680" spans="2:9">
      <c r="B6680" s="396">
        <v>100204</v>
      </c>
      <c r="C6680" s="401" t="s">
        <v>3258</v>
      </c>
      <c r="D6680" s="396" t="s">
        <v>3249</v>
      </c>
      <c r="E6680" s="405">
        <f t="shared" si="208"/>
        <v>0.09</v>
      </c>
      <c r="F6680">
        <f t="shared" si="209"/>
        <v>100204</v>
      </c>
      <c r="H6680" s="679">
        <v>0.09</v>
      </c>
      <c r="I6680" s="679">
        <v>0.09</v>
      </c>
    </row>
    <row r="6681" spans="2:9">
      <c r="B6681" s="395">
        <v>100205</v>
      </c>
      <c r="C6681" s="406" t="s">
        <v>3259</v>
      </c>
      <c r="D6681" s="395" t="s">
        <v>80</v>
      </c>
      <c r="E6681" s="407">
        <f t="shared" si="208"/>
        <v>1189.8900000000001</v>
      </c>
      <c r="F6681">
        <f t="shared" si="209"/>
        <v>100205</v>
      </c>
      <c r="H6681" s="680">
        <v>1189.8900000000001</v>
      </c>
      <c r="I6681" s="680">
        <v>1317.63</v>
      </c>
    </row>
    <row r="6682" spans="2:9">
      <c r="B6682" s="396">
        <v>100206</v>
      </c>
      <c r="C6682" s="401" t="s">
        <v>3260</v>
      </c>
      <c r="D6682" s="396" t="s">
        <v>80</v>
      </c>
      <c r="E6682" s="405">
        <f t="shared" si="208"/>
        <v>860.09</v>
      </c>
      <c r="F6682">
        <f t="shared" si="209"/>
        <v>100206</v>
      </c>
      <c r="H6682" s="679">
        <v>860.09</v>
      </c>
      <c r="I6682" s="679">
        <v>952.42</v>
      </c>
    </row>
    <row r="6683" spans="2:9">
      <c r="B6683" s="395">
        <v>100207</v>
      </c>
      <c r="C6683" s="406" t="s">
        <v>3261</v>
      </c>
      <c r="D6683" s="395" t="s">
        <v>80</v>
      </c>
      <c r="E6683" s="407">
        <f t="shared" si="208"/>
        <v>376.01</v>
      </c>
      <c r="F6683">
        <f t="shared" si="209"/>
        <v>100207</v>
      </c>
      <c r="H6683" s="680">
        <v>376.01</v>
      </c>
      <c r="I6683" s="680">
        <v>390.72</v>
      </c>
    </row>
    <row r="6684" spans="2:9" ht="30">
      <c r="B6684" s="396">
        <v>100208</v>
      </c>
      <c r="C6684" s="401" t="s">
        <v>3262</v>
      </c>
      <c r="D6684" s="396" t="s">
        <v>3263</v>
      </c>
      <c r="E6684" s="405">
        <f t="shared" si="208"/>
        <v>15.74</v>
      </c>
      <c r="F6684">
        <f t="shared" si="209"/>
        <v>100208</v>
      </c>
      <c r="H6684" s="679">
        <v>15.74</v>
      </c>
      <c r="I6684" s="679">
        <v>17.43</v>
      </c>
    </row>
    <row r="6685" spans="2:9" ht="30">
      <c r="B6685" s="395">
        <v>100209</v>
      </c>
      <c r="C6685" s="406" t="s">
        <v>3264</v>
      </c>
      <c r="D6685" s="395" t="s">
        <v>3263</v>
      </c>
      <c r="E6685" s="407">
        <f t="shared" si="208"/>
        <v>7.87</v>
      </c>
      <c r="F6685">
        <f t="shared" si="209"/>
        <v>100209</v>
      </c>
      <c r="H6685" s="680">
        <v>7.87</v>
      </c>
      <c r="I6685" s="680">
        <v>8.7100000000000009</v>
      </c>
    </row>
    <row r="6686" spans="2:9" ht="30">
      <c r="B6686" s="396">
        <v>100210</v>
      </c>
      <c r="C6686" s="401" t="s">
        <v>3265</v>
      </c>
      <c r="D6686" s="396" t="s">
        <v>3263</v>
      </c>
      <c r="E6686" s="405">
        <f t="shared" si="208"/>
        <v>14.5</v>
      </c>
      <c r="F6686">
        <f t="shared" si="209"/>
        <v>100210</v>
      </c>
      <c r="H6686" s="679">
        <v>14.5</v>
      </c>
      <c r="I6686" s="679">
        <v>16.059999999999999</v>
      </c>
    </row>
    <row r="6687" spans="2:9" ht="30">
      <c r="B6687" s="395">
        <v>100211</v>
      </c>
      <c r="C6687" s="406" t="s">
        <v>3266</v>
      </c>
      <c r="D6687" s="395" t="s">
        <v>3263</v>
      </c>
      <c r="E6687" s="407">
        <f t="shared" si="208"/>
        <v>5.59</v>
      </c>
      <c r="F6687">
        <f t="shared" si="209"/>
        <v>100211</v>
      </c>
      <c r="H6687" s="680">
        <v>5.59</v>
      </c>
      <c r="I6687" s="680">
        <v>6.19</v>
      </c>
    </row>
    <row r="6688" spans="2:9" ht="30">
      <c r="B6688" s="396">
        <v>100212</v>
      </c>
      <c r="C6688" s="401" t="s">
        <v>3267</v>
      </c>
      <c r="D6688" s="396" t="s">
        <v>3263</v>
      </c>
      <c r="E6688" s="405">
        <f t="shared" si="208"/>
        <v>6.18</v>
      </c>
      <c r="F6688">
        <f t="shared" si="209"/>
        <v>100212</v>
      </c>
      <c r="H6688" s="679">
        <v>6.18</v>
      </c>
      <c r="I6688" s="679">
        <v>6.84</v>
      </c>
    </row>
    <row r="6689" spans="2:9" ht="30">
      <c r="B6689" s="395">
        <v>100213</v>
      </c>
      <c r="C6689" s="406" t="s">
        <v>3268</v>
      </c>
      <c r="D6689" s="395" t="s">
        <v>3263</v>
      </c>
      <c r="E6689" s="407">
        <f t="shared" si="208"/>
        <v>2.2200000000000002</v>
      </c>
      <c r="F6689">
        <f t="shared" si="209"/>
        <v>100213</v>
      </c>
      <c r="H6689" s="680">
        <v>2.2200000000000002</v>
      </c>
      <c r="I6689" s="680">
        <v>2.4500000000000002</v>
      </c>
    </row>
    <row r="6690" spans="2:9" ht="30">
      <c r="B6690" s="396">
        <v>100214</v>
      </c>
      <c r="C6690" s="401" t="s">
        <v>3269</v>
      </c>
      <c r="D6690" s="396" t="s">
        <v>3263</v>
      </c>
      <c r="E6690" s="405">
        <f t="shared" si="208"/>
        <v>3.4</v>
      </c>
      <c r="F6690">
        <f t="shared" si="209"/>
        <v>100214</v>
      </c>
      <c r="H6690" s="679">
        <v>3.4</v>
      </c>
      <c r="I6690" s="679">
        <v>3.77</v>
      </c>
    </row>
    <row r="6691" spans="2:9" ht="30">
      <c r="B6691" s="395">
        <v>100215</v>
      </c>
      <c r="C6691" s="406" t="s">
        <v>3270</v>
      </c>
      <c r="D6691" s="395" t="s">
        <v>3263</v>
      </c>
      <c r="E6691" s="407">
        <f t="shared" si="208"/>
        <v>2.92</v>
      </c>
      <c r="F6691">
        <f t="shared" si="209"/>
        <v>100215</v>
      </c>
      <c r="H6691" s="680">
        <v>2.92</v>
      </c>
      <c r="I6691" s="680">
        <v>3.23</v>
      </c>
    </row>
    <row r="6692" spans="2:9" ht="30">
      <c r="B6692" s="396">
        <v>100216</v>
      </c>
      <c r="C6692" s="401" t="s">
        <v>3271</v>
      </c>
      <c r="D6692" s="396" t="s">
        <v>3263</v>
      </c>
      <c r="E6692" s="405">
        <f t="shared" si="208"/>
        <v>0.78</v>
      </c>
      <c r="F6692">
        <f t="shared" si="209"/>
        <v>100216</v>
      </c>
      <c r="H6692" s="679">
        <v>0.78</v>
      </c>
      <c r="I6692" s="679">
        <v>0.87</v>
      </c>
    </row>
    <row r="6693" spans="2:9" ht="30">
      <c r="B6693" s="395">
        <v>100217</v>
      </c>
      <c r="C6693" s="406" t="s">
        <v>3272</v>
      </c>
      <c r="D6693" s="395" t="s">
        <v>3263</v>
      </c>
      <c r="E6693" s="407">
        <f t="shared" si="208"/>
        <v>2.4500000000000002</v>
      </c>
      <c r="F6693">
        <f t="shared" si="209"/>
        <v>100217</v>
      </c>
      <c r="H6693" s="680">
        <v>2.4500000000000002</v>
      </c>
      <c r="I6693" s="680">
        <v>2.52</v>
      </c>
    </row>
    <row r="6694" spans="2:9" ht="30">
      <c r="B6694" s="396">
        <v>100218</v>
      </c>
      <c r="C6694" s="401" t="s">
        <v>3273</v>
      </c>
      <c r="D6694" s="396" t="s">
        <v>3263</v>
      </c>
      <c r="E6694" s="405">
        <f t="shared" si="208"/>
        <v>1.67</v>
      </c>
      <c r="F6694">
        <f t="shared" si="209"/>
        <v>100218</v>
      </c>
      <c r="H6694" s="679">
        <v>1.67</v>
      </c>
      <c r="I6694" s="679">
        <v>1.72</v>
      </c>
    </row>
    <row r="6695" spans="2:9" ht="30">
      <c r="B6695" s="395">
        <v>100219</v>
      </c>
      <c r="C6695" s="406" t="s">
        <v>3274</v>
      </c>
      <c r="D6695" s="395" t="s">
        <v>3263</v>
      </c>
      <c r="E6695" s="407">
        <f t="shared" si="208"/>
        <v>0.36</v>
      </c>
      <c r="F6695">
        <f t="shared" si="209"/>
        <v>100219</v>
      </c>
      <c r="H6695" s="680">
        <v>0.36</v>
      </c>
      <c r="I6695" s="680">
        <v>0.37</v>
      </c>
    </row>
    <row r="6696" spans="2:9">
      <c r="B6696" s="396">
        <v>100220</v>
      </c>
      <c r="C6696" s="401" t="s">
        <v>3275</v>
      </c>
      <c r="D6696" s="396" t="s">
        <v>3276</v>
      </c>
      <c r="E6696" s="405">
        <f t="shared" si="208"/>
        <v>22.61</v>
      </c>
      <c r="F6696">
        <f t="shared" si="209"/>
        <v>100220</v>
      </c>
      <c r="H6696" s="679">
        <v>22.61</v>
      </c>
      <c r="I6696" s="679">
        <v>25.04</v>
      </c>
    </row>
    <row r="6697" spans="2:9">
      <c r="B6697" s="395">
        <v>100221</v>
      </c>
      <c r="C6697" s="406" t="s">
        <v>3277</v>
      </c>
      <c r="D6697" s="395" t="s">
        <v>3276</v>
      </c>
      <c r="E6697" s="407">
        <f t="shared" si="208"/>
        <v>25.63</v>
      </c>
      <c r="F6697">
        <f t="shared" si="209"/>
        <v>100221</v>
      </c>
      <c r="H6697" s="680">
        <v>25.63</v>
      </c>
      <c r="I6697" s="680">
        <v>28.38</v>
      </c>
    </row>
    <row r="6698" spans="2:9" ht="30">
      <c r="B6698" s="396">
        <v>100222</v>
      </c>
      <c r="C6698" s="401" t="s">
        <v>3278</v>
      </c>
      <c r="D6698" s="396" t="s">
        <v>3276</v>
      </c>
      <c r="E6698" s="405">
        <f t="shared" si="208"/>
        <v>9.7100000000000009</v>
      </c>
      <c r="F6698">
        <f t="shared" si="209"/>
        <v>100222</v>
      </c>
      <c r="H6698" s="679">
        <v>9.7100000000000009</v>
      </c>
      <c r="I6698" s="679">
        <v>10.75</v>
      </c>
    </row>
    <row r="6699" spans="2:9" ht="30">
      <c r="B6699" s="395">
        <v>100223</v>
      </c>
      <c r="C6699" s="406" t="s">
        <v>3279</v>
      </c>
      <c r="D6699" s="395" t="s">
        <v>3276</v>
      </c>
      <c r="E6699" s="407">
        <f t="shared" si="208"/>
        <v>4.54</v>
      </c>
      <c r="F6699">
        <f t="shared" si="209"/>
        <v>100223</v>
      </c>
      <c r="H6699" s="680">
        <v>4.54</v>
      </c>
      <c r="I6699" s="680">
        <v>5.03</v>
      </c>
    </row>
    <row r="6700" spans="2:9" ht="30">
      <c r="B6700" s="396">
        <v>100224</v>
      </c>
      <c r="C6700" s="401" t="s">
        <v>3280</v>
      </c>
      <c r="D6700" s="396" t="s">
        <v>3276</v>
      </c>
      <c r="E6700" s="405">
        <f t="shared" si="208"/>
        <v>2.4500000000000002</v>
      </c>
      <c r="F6700">
        <f t="shared" si="209"/>
        <v>100224</v>
      </c>
      <c r="H6700" s="679">
        <v>2.4500000000000002</v>
      </c>
      <c r="I6700" s="679">
        <v>2.52</v>
      </c>
    </row>
    <row r="6701" spans="2:9">
      <c r="B6701" s="395">
        <v>100225</v>
      </c>
      <c r="C6701" s="406" t="s">
        <v>3281</v>
      </c>
      <c r="D6701" s="395" t="s">
        <v>3282</v>
      </c>
      <c r="E6701" s="407">
        <f t="shared" si="208"/>
        <v>1.77</v>
      </c>
      <c r="F6701">
        <f t="shared" si="209"/>
        <v>100225</v>
      </c>
      <c r="H6701" s="680">
        <v>1.77</v>
      </c>
      <c r="I6701" s="680">
        <v>1.96</v>
      </c>
    </row>
    <row r="6702" spans="2:9">
      <c r="B6702" s="396">
        <v>100226</v>
      </c>
      <c r="C6702" s="401" t="s">
        <v>3283</v>
      </c>
      <c r="D6702" s="396" t="s">
        <v>3282</v>
      </c>
      <c r="E6702" s="405">
        <f t="shared" si="208"/>
        <v>0.55000000000000004</v>
      </c>
      <c r="F6702">
        <f t="shared" si="209"/>
        <v>100226</v>
      </c>
      <c r="H6702" s="679">
        <v>0.55000000000000004</v>
      </c>
      <c r="I6702" s="679">
        <v>0.61</v>
      </c>
    </row>
    <row r="6703" spans="2:9">
      <c r="B6703" s="395">
        <v>100227</v>
      </c>
      <c r="C6703" s="406" t="s">
        <v>3284</v>
      </c>
      <c r="D6703" s="395" t="s">
        <v>3282</v>
      </c>
      <c r="E6703" s="407">
        <f t="shared" si="208"/>
        <v>0.82</v>
      </c>
      <c r="F6703">
        <f t="shared" si="209"/>
        <v>100227</v>
      </c>
      <c r="H6703" s="680">
        <v>0.82</v>
      </c>
      <c r="I6703" s="680">
        <v>0.91</v>
      </c>
    </row>
    <row r="6704" spans="2:9">
      <c r="B6704" s="396">
        <v>100228</v>
      </c>
      <c r="C6704" s="401" t="s">
        <v>3285</v>
      </c>
      <c r="D6704" s="396" t="s">
        <v>3282</v>
      </c>
      <c r="E6704" s="405">
        <f t="shared" si="208"/>
        <v>0.23</v>
      </c>
      <c r="F6704">
        <f t="shared" si="209"/>
        <v>100228</v>
      </c>
      <c r="H6704" s="679">
        <v>0.23</v>
      </c>
      <c r="I6704" s="679">
        <v>0.23</v>
      </c>
    </row>
    <row r="6705" spans="2:9">
      <c r="B6705" s="395">
        <v>100229</v>
      </c>
      <c r="C6705" s="406" t="s">
        <v>3286</v>
      </c>
      <c r="D6705" s="395" t="s">
        <v>21</v>
      </c>
      <c r="E6705" s="407">
        <f t="shared" si="208"/>
        <v>0.01</v>
      </c>
      <c r="F6705">
        <f t="shared" si="209"/>
        <v>100229</v>
      </c>
      <c r="H6705" s="680">
        <v>0.01</v>
      </c>
      <c r="I6705" s="680">
        <v>0.01</v>
      </c>
    </row>
    <row r="6706" spans="2:9">
      <c r="B6706" s="396">
        <v>100230</v>
      </c>
      <c r="C6706" s="401" t="s">
        <v>3287</v>
      </c>
      <c r="D6706" s="396" t="s">
        <v>21</v>
      </c>
      <c r="E6706" s="405">
        <f t="shared" si="208"/>
        <v>0.02</v>
      </c>
      <c r="F6706">
        <f t="shared" si="209"/>
        <v>100230</v>
      </c>
      <c r="H6706" s="679">
        <v>0.02</v>
      </c>
      <c r="I6706" s="679">
        <v>0.02</v>
      </c>
    </row>
    <row r="6707" spans="2:9">
      <c r="B6707" s="395">
        <v>100231</v>
      </c>
      <c r="C6707" s="406" t="s">
        <v>3288</v>
      </c>
      <c r="D6707" s="395" t="s">
        <v>21</v>
      </c>
      <c r="E6707" s="407">
        <f t="shared" si="208"/>
        <v>0.03</v>
      </c>
      <c r="F6707">
        <f t="shared" si="209"/>
        <v>100231</v>
      </c>
      <c r="H6707" s="680">
        <v>0.03</v>
      </c>
      <c r="I6707" s="680">
        <v>0.03</v>
      </c>
    </row>
    <row r="6708" spans="2:9" ht="30">
      <c r="B6708" s="396">
        <v>100232</v>
      </c>
      <c r="C6708" s="401" t="s">
        <v>3289</v>
      </c>
      <c r="D6708" s="396" t="s">
        <v>23</v>
      </c>
      <c r="E6708" s="405">
        <f t="shared" si="208"/>
        <v>0.28999999999999998</v>
      </c>
      <c r="F6708">
        <f t="shared" si="209"/>
        <v>100232</v>
      </c>
      <c r="H6708" s="679">
        <v>0.28999999999999998</v>
      </c>
      <c r="I6708" s="679">
        <v>0.33</v>
      </c>
    </row>
    <row r="6709" spans="2:9" ht="30">
      <c r="B6709" s="395">
        <v>100233</v>
      </c>
      <c r="C6709" s="406" t="s">
        <v>3290</v>
      </c>
      <c r="D6709" s="395" t="s">
        <v>23</v>
      </c>
      <c r="E6709" s="407">
        <f t="shared" si="208"/>
        <v>0.14000000000000001</v>
      </c>
      <c r="F6709">
        <f t="shared" si="209"/>
        <v>100233</v>
      </c>
      <c r="H6709" s="680">
        <v>0.14000000000000001</v>
      </c>
      <c r="I6709" s="680">
        <v>0.16</v>
      </c>
    </row>
    <row r="6710" spans="2:9">
      <c r="B6710" s="396">
        <v>100234</v>
      </c>
      <c r="C6710" s="401" t="s">
        <v>3291</v>
      </c>
      <c r="D6710" s="396" t="s">
        <v>0</v>
      </c>
      <c r="E6710" s="405">
        <f t="shared" si="208"/>
        <v>0.44</v>
      </c>
      <c r="F6710">
        <f t="shared" si="209"/>
        <v>100234</v>
      </c>
      <c r="H6710" s="679">
        <v>0.44</v>
      </c>
      <c r="I6710" s="679">
        <v>0.49</v>
      </c>
    </row>
    <row r="6711" spans="2:9">
      <c r="B6711" s="395">
        <v>100235</v>
      </c>
      <c r="C6711" s="406" t="s">
        <v>3292</v>
      </c>
      <c r="D6711" s="395" t="s">
        <v>84</v>
      </c>
      <c r="E6711" s="407">
        <f t="shared" si="208"/>
        <v>0.03</v>
      </c>
      <c r="F6711">
        <f t="shared" si="209"/>
        <v>100235</v>
      </c>
      <c r="H6711" s="680">
        <v>0.03</v>
      </c>
      <c r="I6711" s="680">
        <v>0.03</v>
      </c>
    </row>
    <row r="6712" spans="2:9" ht="30">
      <c r="B6712" s="396">
        <v>100236</v>
      </c>
      <c r="C6712" s="401" t="s">
        <v>3293</v>
      </c>
      <c r="D6712" s="396" t="s">
        <v>3294</v>
      </c>
      <c r="E6712" s="405">
        <f t="shared" si="208"/>
        <v>2.25</v>
      </c>
      <c r="F6712">
        <f t="shared" si="209"/>
        <v>100236</v>
      </c>
      <c r="H6712" s="679">
        <v>2.25</v>
      </c>
      <c r="I6712" s="679">
        <v>2.4900000000000002</v>
      </c>
    </row>
    <row r="6713" spans="2:9" ht="30">
      <c r="B6713" s="395">
        <v>100237</v>
      </c>
      <c r="C6713" s="406" t="s">
        <v>3295</v>
      </c>
      <c r="D6713" s="395" t="s">
        <v>3294</v>
      </c>
      <c r="E6713" s="407">
        <f t="shared" si="208"/>
        <v>2.7</v>
      </c>
      <c r="F6713">
        <f t="shared" si="209"/>
        <v>100237</v>
      </c>
      <c r="H6713" s="680">
        <v>2.7</v>
      </c>
      <c r="I6713" s="680">
        <v>2.99</v>
      </c>
    </row>
    <row r="6714" spans="2:9">
      <c r="B6714" s="396">
        <v>100238</v>
      </c>
      <c r="C6714" s="401" t="s">
        <v>3296</v>
      </c>
      <c r="D6714" s="396" t="s">
        <v>3294</v>
      </c>
      <c r="E6714" s="405">
        <f t="shared" si="208"/>
        <v>4.32</v>
      </c>
      <c r="F6714">
        <f t="shared" si="209"/>
        <v>100238</v>
      </c>
      <c r="H6714" s="679">
        <v>4.32</v>
      </c>
      <c r="I6714" s="679">
        <v>4.79</v>
      </c>
    </row>
    <row r="6715" spans="2:9" ht="30">
      <c r="B6715" s="395">
        <v>100239</v>
      </c>
      <c r="C6715" s="406" t="s">
        <v>3297</v>
      </c>
      <c r="D6715" s="395" t="s">
        <v>3294</v>
      </c>
      <c r="E6715" s="407">
        <f t="shared" si="208"/>
        <v>5.41</v>
      </c>
      <c r="F6715">
        <f t="shared" si="209"/>
        <v>100239</v>
      </c>
      <c r="H6715" s="680">
        <v>5.41</v>
      </c>
      <c r="I6715" s="680">
        <v>5.99</v>
      </c>
    </row>
    <row r="6716" spans="2:9" ht="30">
      <c r="B6716" s="396">
        <v>100240</v>
      </c>
      <c r="C6716" s="401" t="s">
        <v>3298</v>
      </c>
      <c r="D6716" s="396" t="s">
        <v>3294</v>
      </c>
      <c r="E6716" s="405">
        <f t="shared" si="208"/>
        <v>3.24</v>
      </c>
      <c r="F6716">
        <f t="shared" si="209"/>
        <v>100240</v>
      </c>
      <c r="H6716" s="679">
        <v>3.24</v>
      </c>
      <c r="I6716" s="679">
        <v>3.59</v>
      </c>
    </row>
    <row r="6717" spans="2:9" ht="30">
      <c r="B6717" s="395">
        <v>100241</v>
      </c>
      <c r="C6717" s="406" t="s">
        <v>3299</v>
      </c>
      <c r="D6717" s="395" t="s">
        <v>3294</v>
      </c>
      <c r="E6717" s="407">
        <f t="shared" si="208"/>
        <v>5.41</v>
      </c>
      <c r="F6717">
        <f t="shared" si="209"/>
        <v>100241</v>
      </c>
      <c r="H6717" s="680">
        <v>5.41</v>
      </c>
      <c r="I6717" s="680">
        <v>5.99</v>
      </c>
    </row>
    <row r="6718" spans="2:9" ht="30">
      <c r="B6718" s="396">
        <v>100242</v>
      </c>
      <c r="C6718" s="401" t="s">
        <v>3300</v>
      </c>
      <c r="D6718" s="396" t="s">
        <v>3294</v>
      </c>
      <c r="E6718" s="405">
        <f t="shared" si="208"/>
        <v>15.98</v>
      </c>
      <c r="F6718">
        <f t="shared" si="209"/>
        <v>100242</v>
      </c>
      <c r="H6718" s="679">
        <v>15.98</v>
      </c>
      <c r="I6718" s="679">
        <v>17.7</v>
      </c>
    </row>
    <row r="6719" spans="2:9" ht="30">
      <c r="B6719" s="395">
        <v>100243</v>
      </c>
      <c r="C6719" s="406" t="s">
        <v>3301</v>
      </c>
      <c r="D6719" s="395" t="s">
        <v>3294</v>
      </c>
      <c r="E6719" s="407">
        <f t="shared" si="208"/>
        <v>2.59</v>
      </c>
      <c r="F6719">
        <f t="shared" si="209"/>
        <v>100243</v>
      </c>
      <c r="H6719" s="680">
        <v>2.59</v>
      </c>
      <c r="I6719" s="680">
        <v>2.87</v>
      </c>
    </row>
    <row r="6720" spans="2:9" ht="30">
      <c r="B6720" s="396">
        <v>100244</v>
      </c>
      <c r="C6720" s="401" t="s">
        <v>3302</v>
      </c>
      <c r="D6720" s="396" t="s">
        <v>3294</v>
      </c>
      <c r="E6720" s="405">
        <f t="shared" si="208"/>
        <v>3.24</v>
      </c>
      <c r="F6720">
        <f t="shared" si="209"/>
        <v>100244</v>
      </c>
      <c r="H6720" s="679">
        <v>3.24</v>
      </c>
      <c r="I6720" s="679">
        <v>3.59</v>
      </c>
    </row>
    <row r="6721" spans="2:9" ht="30">
      <c r="B6721" s="395">
        <v>100245</v>
      </c>
      <c r="C6721" s="406" t="s">
        <v>3303</v>
      </c>
      <c r="D6721" s="395" t="s">
        <v>3294</v>
      </c>
      <c r="E6721" s="407">
        <f t="shared" si="208"/>
        <v>6.49</v>
      </c>
      <c r="F6721">
        <f t="shared" si="209"/>
        <v>100245</v>
      </c>
      <c r="H6721" s="680">
        <v>6.49</v>
      </c>
      <c r="I6721" s="680">
        <v>7.18</v>
      </c>
    </row>
    <row r="6722" spans="2:9" ht="30">
      <c r="B6722" s="396">
        <v>100246</v>
      </c>
      <c r="C6722" s="401" t="s">
        <v>3304</v>
      </c>
      <c r="D6722" s="396" t="s">
        <v>3294</v>
      </c>
      <c r="E6722" s="405">
        <f t="shared" si="208"/>
        <v>2.16</v>
      </c>
      <c r="F6722">
        <f t="shared" si="209"/>
        <v>100246</v>
      </c>
      <c r="H6722" s="679">
        <v>2.16</v>
      </c>
      <c r="I6722" s="679">
        <v>2.39</v>
      </c>
    </row>
    <row r="6723" spans="2:9" ht="30">
      <c r="B6723" s="395">
        <v>100247</v>
      </c>
      <c r="C6723" s="406" t="s">
        <v>3305</v>
      </c>
      <c r="D6723" s="395" t="s">
        <v>3294</v>
      </c>
      <c r="E6723" s="407">
        <f t="shared" ref="E6723:E6786" si="210">IF($K$2=$H$1,H6723,I6723)</f>
        <v>2.7</v>
      </c>
      <c r="F6723">
        <f t="shared" ref="F6723:F6787" si="211">IF(LEN($B6723)=7,CONCATENATE(MID($B6723,1,6),"00",RIGHT($B6723,1)),IF(LEN($B6723)=8,CONCATENATE(MID($B6723,1,6),"0",RIGHT($B6723,2)),$B6723))</f>
        <v>100247</v>
      </c>
      <c r="H6723" s="680">
        <v>2.7</v>
      </c>
      <c r="I6723" s="680">
        <v>2.99</v>
      </c>
    </row>
    <row r="6724" spans="2:9" ht="30">
      <c r="B6724" s="396">
        <v>100248</v>
      </c>
      <c r="C6724" s="401" t="s">
        <v>3306</v>
      </c>
      <c r="D6724" s="396" t="s">
        <v>3294</v>
      </c>
      <c r="E6724" s="405">
        <f t="shared" si="210"/>
        <v>10.65</v>
      </c>
      <c r="F6724">
        <f t="shared" si="211"/>
        <v>100248</v>
      </c>
      <c r="H6724" s="679">
        <v>10.65</v>
      </c>
      <c r="I6724" s="679">
        <v>11.8</v>
      </c>
    </row>
    <row r="6725" spans="2:9" ht="30">
      <c r="B6725" s="395">
        <v>100249</v>
      </c>
      <c r="C6725" s="406" t="s">
        <v>3307</v>
      </c>
      <c r="D6725" s="395" t="s">
        <v>3294</v>
      </c>
      <c r="E6725" s="407">
        <f t="shared" si="210"/>
        <v>2.16</v>
      </c>
      <c r="F6725">
        <f t="shared" si="211"/>
        <v>100249</v>
      </c>
      <c r="H6725" s="680">
        <v>2.16</v>
      </c>
      <c r="I6725" s="680">
        <v>2.39</v>
      </c>
    </row>
    <row r="6726" spans="2:9" ht="30">
      <c r="B6726" s="396">
        <v>100250</v>
      </c>
      <c r="C6726" s="401" t="s">
        <v>3308</v>
      </c>
      <c r="D6726" s="396" t="s">
        <v>3294</v>
      </c>
      <c r="E6726" s="405">
        <f t="shared" si="210"/>
        <v>3.6</v>
      </c>
      <c r="F6726">
        <f t="shared" si="211"/>
        <v>100250</v>
      </c>
      <c r="H6726" s="679">
        <v>3.6</v>
      </c>
      <c r="I6726" s="679">
        <v>3.99</v>
      </c>
    </row>
    <row r="6727" spans="2:9" ht="30">
      <c r="B6727" s="395">
        <v>100251</v>
      </c>
      <c r="C6727" s="406" t="s">
        <v>3309</v>
      </c>
      <c r="D6727" s="395" t="s">
        <v>3294</v>
      </c>
      <c r="E6727" s="407">
        <f t="shared" si="210"/>
        <v>10.65</v>
      </c>
      <c r="F6727">
        <f t="shared" si="211"/>
        <v>100251</v>
      </c>
      <c r="H6727" s="680">
        <v>10.65</v>
      </c>
      <c r="I6727" s="680">
        <v>11.8</v>
      </c>
    </row>
    <row r="6728" spans="2:9" ht="30">
      <c r="B6728" s="396">
        <v>100252</v>
      </c>
      <c r="C6728" s="401" t="s">
        <v>3310</v>
      </c>
      <c r="D6728" s="396" t="s">
        <v>3294</v>
      </c>
      <c r="E6728" s="405">
        <f t="shared" si="210"/>
        <v>15.98</v>
      </c>
      <c r="F6728">
        <f t="shared" si="211"/>
        <v>100252</v>
      </c>
      <c r="H6728" s="679">
        <v>15.98</v>
      </c>
      <c r="I6728" s="679">
        <v>17.7</v>
      </c>
    </row>
    <row r="6729" spans="2:9" ht="30">
      <c r="B6729" s="395">
        <v>100253</v>
      </c>
      <c r="C6729" s="406" t="s">
        <v>3311</v>
      </c>
      <c r="D6729" s="395" t="s">
        <v>3294</v>
      </c>
      <c r="E6729" s="407">
        <f t="shared" si="210"/>
        <v>21.31</v>
      </c>
      <c r="F6729">
        <f t="shared" si="211"/>
        <v>100253</v>
      </c>
      <c r="H6729" s="680">
        <v>21.31</v>
      </c>
      <c r="I6729" s="680">
        <v>23.6</v>
      </c>
    </row>
    <row r="6730" spans="2:9" ht="30">
      <c r="B6730" s="396">
        <v>100254</v>
      </c>
      <c r="C6730" s="401" t="s">
        <v>3312</v>
      </c>
      <c r="D6730" s="396" t="s">
        <v>3294</v>
      </c>
      <c r="E6730" s="405">
        <f t="shared" si="210"/>
        <v>31.97</v>
      </c>
      <c r="F6730">
        <f t="shared" si="211"/>
        <v>100254</v>
      </c>
      <c r="H6730" s="679">
        <v>31.97</v>
      </c>
      <c r="I6730" s="679">
        <v>35.4</v>
      </c>
    </row>
    <row r="6731" spans="2:9" ht="30">
      <c r="B6731" s="395">
        <v>100255</v>
      </c>
      <c r="C6731" s="406" t="s">
        <v>3313</v>
      </c>
      <c r="D6731" s="395" t="s">
        <v>3294</v>
      </c>
      <c r="E6731" s="407">
        <f t="shared" si="210"/>
        <v>10.81</v>
      </c>
      <c r="F6731">
        <f t="shared" si="211"/>
        <v>100255</v>
      </c>
      <c r="H6731" s="680">
        <v>10.81</v>
      </c>
      <c r="I6731" s="680">
        <v>11.98</v>
      </c>
    </row>
    <row r="6732" spans="2:9" ht="30">
      <c r="B6732" s="396">
        <v>100256</v>
      </c>
      <c r="C6732" s="401" t="s">
        <v>3314</v>
      </c>
      <c r="D6732" s="396" t="s">
        <v>3294</v>
      </c>
      <c r="E6732" s="405">
        <f t="shared" si="210"/>
        <v>7.21</v>
      </c>
      <c r="F6732">
        <f t="shared" si="211"/>
        <v>100256</v>
      </c>
      <c r="H6732" s="679">
        <v>7.21</v>
      </c>
      <c r="I6732" s="679">
        <v>7.98</v>
      </c>
    </row>
    <row r="6733" spans="2:9" ht="30">
      <c r="B6733" s="395">
        <v>100257</v>
      </c>
      <c r="C6733" s="406" t="s">
        <v>3315</v>
      </c>
      <c r="D6733" s="395" t="s">
        <v>3294</v>
      </c>
      <c r="E6733" s="407">
        <f t="shared" si="210"/>
        <v>4.32</v>
      </c>
      <c r="F6733">
        <f t="shared" si="211"/>
        <v>100257</v>
      </c>
      <c r="H6733" s="680">
        <v>4.32</v>
      </c>
      <c r="I6733" s="680">
        <v>4.79</v>
      </c>
    </row>
    <row r="6734" spans="2:9">
      <c r="B6734" s="396">
        <v>100258</v>
      </c>
      <c r="C6734" s="401" t="s">
        <v>3316</v>
      </c>
      <c r="D6734" s="396" t="s">
        <v>3294</v>
      </c>
      <c r="E6734" s="405">
        <f t="shared" si="210"/>
        <v>10.81</v>
      </c>
      <c r="F6734">
        <f t="shared" si="211"/>
        <v>100258</v>
      </c>
      <c r="H6734" s="679">
        <v>10.81</v>
      </c>
      <c r="I6734" s="679">
        <v>11.98</v>
      </c>
    </row>
    <row r="6735" spans="2:9">
      <c r="B6735" s="395">
        <v>100259</v>
      </c>
      <c r="C6735" s="406" t="s">
        <v>3317</v>
      </c>
      <c r="D6735" s="395" t="s">
        <v>3294</v>
      </c>
      <c r="E6735" s="407">
        <f t="shared" si="210"/>
        <v>21.31</v>
      </c>
      <c r="F6735">
        <f t="shared" si="211"/>
        <v>100259</v>
      </c>
      <c r="H6735" s="680">
        <v>21.31</v>
      </c>
      <c r="I6735" s="680">
        <v>23.6</v>
      </c>
    </row>
    <row r="6736" spans="2:9">
      <c r="B6736" s="396">
        <v>100260</v>
      </c>
      <c r="C6736" s="401" t="s">
        <v>3318</v>
      </c>
      <c r="D6736" s="396" t="s">
        <v>3249</v>
      </c>
      <c r="E6736" s="405">
        <f t="shared" si="210"/>
        <v>7.02</v>
      </c>
      <c r="F6736">
        <f t="shared" si="211"/>
        <v>100260</v>
      </c>
      <c r="H6736" s="679">
        <v>7.02</v>
      </c>
      <c r="I6736" s="679">
        <v>7.77</v>
      </c>
    </row>
    <row r="6737" spans="2:9">
      <c r="B6737" s="395">
        <v>100261</v>
      </c>
      <c r="C6737" s="406" t="s">
        <v>3319</v>
      </c>
      <c r="D6737" s="395" t="s">
        <v>3249</v>
      </c>
      <c r="E6737" s="407">
        <f t="shared" si="210"/>
        <v>4.41</v>
      </c>
      <c r="F6737">
        <f t="shared" si="211"/>
        <v>100261</v>
      </c>
      <c r="H6737" s="680">
        <v>4.41</v>
      </c>
      <c r="I6737" s="680">
        <v>4.8899999999999997</v>
      </c>
    </row>
    <row r="6738" spans="2:9">
      <c r="B6738" s="396">
        <v>100262</v>
      </c>
      <c r="C6738" s="401" t="s">
        <v>3320</v>
      </c>
      <c r="D6738" s="396" t="s">
        <v>3249</v>
      </c>
      <c r="E6738" s="405">
        <f t="shared" si="210"/>
        <v>2.73</v>
      </c>
      <c r="F6738">
        <f t="shared" si="211"/>
        <v>100262</v>
      </c>
      <c r="H6738" s="679">
        <v>2.73</v>
      </c>
      <c r="I6738" s="679">
        <v>3.03</v>
      </c>
    </row>
    <row r="6739" spans="2:9" ht="30">
      <c r="B6739" s="395">
        <v>100263</v>
      </c>
      <c r="C6739" s="406" t="s">
        <v>3321</v>
      </c>
      <c r="D6739" s="395" t="s">
        <v>3249</v>
      </c>
      <c r="E6739" s="407">
        <f t="shared" si="210"/>
        <v>1.75</v>
      </c>
      <c r="F6739">
        <f t="shared" si="211"/>
        <v>100263</v>
      </c>
      <c r="H6739" s="680">
        <v>1.75</v>
      </c>
      <c r="I6739" s="680">
        <v>1.94</v>
      </c>
    </row>
    <row r="6740" spans="2:9">
      <c r="B6740" s="396">
        <v>100264</v>
      </c>
      <c r="C6740" s="401" t="s">
        <v>3322</v>
      </c>
      <c r="D6740" s="396" t="s">
        <v>3276</v>
      </c>
      <c r="E6740" s="405">
        <f t="shared" si="210"/>
        <v>31.92</v>
      </c>
      <c r="F6740">
        <f t="shared" si="211"/>
        <v>100264</v>
      </c>
      <c r="H6740" s="679">
        <v>31.92</v>
      </c>
      <c r="I6740" s="679">
        <v>35.35</v>
      </c>
    </row>
    <row r="6741" spans="2:9">
      <c r="B6741" s="395">
        <v>100265</v>
      </c>
      <c r="C6741" s="406" t="s">
        <v>3323</v>
      </c>
      <c r="D6741" s="395" t="s">
        <v>0</v>
      </c>
      <c r="E6741" s="407">
        <f t="shared" si="210"/>
        <v>0.67</v>
      </c>
      <c r="F6741">
        <f t="shared" si="211"/>
        <v>100265</v>
      </c>
      <c r="H6741" s="680">
        <v>0.67</v>
      </c>
      <c r="I6741" s="680">
        <v>0.74</v>
      </c>
    </row>
    <row r="6742" spans="2:9">
      <c r="B6742" s="396">
        <v>100266</v>
      </c>
      <c r="C6742" s="401" t="s">
        <v>3324</v>
      </c>
      <c r="D6742" s="396" t="s">
        <v>3263</v>
      </c>
      <c r="E6742" s="405">
        <f t="shared" si="210"/>
        <v>67.84</v>
      </c>
      <c r="F6742">
        <f t="shared" si="211"/>
        <v>100266</v>
      </c>
      <c r="H6742" s="679">
        <v>67.84</v>
      </c>
      <c r="I6742" s="679">
        <v>75.12</v>
      </c>
    </row>
    <row r="6743" spans="2:9">
      <c r="B6743" s="395">
        <v>100267</v>
      </c>
      <c r="C6743" s="406" t="s">
        <v>3325</v>
      </c>
      <c r="D6743" s="395" t="s">
        <v>23</v>
      </c>
      <c r="E6743" s="407">
        <f t="shared" si="210"/>
        <v>1.34</v>
      </c>
      <c r="F6743">
        <f t="shared" si="211"/>
        <v>100267</v>
      </c>
      <c r="H6743" s="680">
        <v>1.34</v>
      </c>
      <c r="I6743" s="680">
        <v>1.48</v>
      </c>
    </row>
    <row r="6744" spans="2:9" ht="30">
      <c r="B6744" s="396">
        <v>100268</v>
      </c>
      <c r="C6744" s="401" t="s">
        <v>3326</v>
      </c>
      <c r="D6744" s="396" t="s">
        <v>3263</v>
      </c>
      <c r="E6744" s="405">
        <f t="shared" si="210"/>
        <v>67.84</v>
      </c>
      <c r="F6744">
        <f t="shared" si="211"/>
        <v>100268</v>
      </c>
      <c r="H6744" s="679">
        <v>67.84</v>
      </c>
      <c r="I6744" s="679">
        <v>75.12</v>
      </c>
    </row>
    <row r="6745" spans="2:9" ht="30">
      <c r="B6745" s="395">
        <v>100269</v>
      </c>
      <c r="C6745" s="406" t="s">
        <v>3327</v>
      </c>
      <c r="D6745" s="395" t="s">
        <v>23</v>
      </c>
      <c r="E6745" s="407">
        <f t="shared" si="210"/>
        <v>1.34</v>
      </c>
      <c r="F6745">
        <f t="shared" si="211"/>
        <v>100269</v>
      </c>
      <c r="H6745" s="680">
        <v>1.34</v>
      </c>
      <c r="I6745" s="680">
        <v>1.48</v>
      </c>
    </row>
    <row r="6746" spans="2:9" ht="30">
      <c r="B6746" s="396">
        <v>100270</v>
      </c>
      <c r="C6746" s="401" t="s">
        <v>3328</v>
      </c>
      <c r="D6746" s="396" t="s">
        <v>3263</v>
      </c>
      <c r="E6746" s="405">
        <f t="shared" si="210"/>
        <v>50.85</v>
      </c>
      <c r="F6746">
        <f t="shared" si="211"/>
        <v>100270</v>
      </c>
      <c r="H6746" s="679">
        <v>50.85</v>
      </c>
      <c r="I6746" s="679">
        <v>56.31</v>
      </c>
    </row>
    <row r="6747" spans="2:9">
      <c r="B6747" s="395">
        <v>100271</v>
      </c>
      <c r="C6747" s="406" t="s">
        <v>3329</v>
      </c>
      <c r="D6747" s="395" t="s">
        <v>3276</v>
      </c>
      <c r="E6747" s="407">
        <f t="shared" si="210"/>
        <v>50.88</v>
      </c>
      <c r="F6747">
        <f t="shared" si="211"/>
        <v>100271</v>
      </c>
      <c r="H6747" s="680">
        <v>50.88</v>
      </c>
      <c r="I6747" s="680">
        <v>56.34</v>
      </c>
    </row>
    <row r="6748" spans="2:9">
      <c r="B6748" s="396">
        <v>100272</v>
      </c>
      <c r="C6748" s="401" t="s">
        <v>3330</v>
      </c>
      <c r="D6748" s="396" t="s">
        <v>0</v>
      </c>
      <c r="E6748" s="405">
        <f t="shared" si="210"/>
        <v>1</v>
      </c>
      <c r="F6748">
        <f t="shared" si="211"/>
        <v>100272</v>
      </c>
      <c r="H6748" s="679">
        <v>1</v>
      </c>
      <c r="I6748" s="679">
        <v>1.1100000000000001</v>
      </c>
    </row>
    <row r="6749" spans="2:9">
      <c r="B6749" s="395">
        <v>100273</v>
      </c>
      <c r="C6749" s="406" t="s">
        <v>3331</v>
      </c>
      <c r="D6749" s="395" t="s">
        <v>3249</v>
      </c>
      <c r="E6749" s="407">
        <f t="shared" si="210"/>
        <v>2.65</v>
      </c>
      <c r="F6749">
        <f t="shared" si="211"/>
        <v>100273</v>
      </c>
      <c r="H6749" s="680">
        <v>2.65</v>
      </c>
      <c r="I6749" s="680">
        <v>2.93</v>
      </c>
    </row>
    <row r="6750" spans="2:9">
      <c r="B6750" s="396">
        <v>100274</v>
      </c>
      <c r="C6750" s="401" t="s">
        <v>3332</v>
      </c>
      <c r="D6750" s="396" t="s">
        <v>3276</v>
      </c>
      <c r="E6750" s="405">
        <f t="shared" si="210"/>
        <v>22.62</v>
      </c>
      <c r="F6750">
        <f t="shared" si="211"/>
        <v>100274</v>
      </c>
      <c r="H6750" s="679">
        <v>22.62</v>
      </c>
      <c r="I6750" s="679">
        <v>25.05</v>
      </c>
    </row>
    <row r="6751" spans="2:9">
      <c r="B6751" s="395">
        <v>100275</v>
      </c>
      <c r="C6751" s="406" t="s">
        <v>3333</v>
      </c>
      <c r="D6751" s="395" t="s">
        <v>3276</v>
      </c>
      <c r="E6751" s="407">
        <f t="shared" si="210"/>
        <v>14.62</v>
      </c>
      <c r="F6751">
        <f t="shared" si="211"/>
        <v>100275</v>
      </c>
      <c r="H6751" s="680">
        <v>14.62</v>
      </c>
      <c r="I6751" s="680">
        <v>16.190000000000001</v>
      </c>
    </row>
    <row r="6752" spans="2:9" ht="30">
      <c r="B6752" s="396">
        <v>100276</v>
      </c>
      <c r="C6752" s="401" t="s">
        <v>3334</v>
      </c>
      <c r="D6752" s="396" t="s">
        <v>3276</v>
      </c>
      <c r="E6752" s="405">
        <f t="shared" si="210"/>
        <v>26.69</v>
      </c>
      <c r="F6752">
        <f t="shared" si="211"/>
        <v>100276</v>
      </c>
      <c r="H6752" s="679">
        <v>26.69</v>
      </c>
      <c r="I6752" s="679">
        <v>29.56</v>
      </c>
    </row>
    <row r="6753" spans="2:9" ht="30">
      <c r="B6753" s="395">
        <v>100277</v>
      </c>
      <c r="C6753" s="406" t="s">
        <v>3335</v>
      </c>
      <c r="D6753" s="395" t="s">
        <v>3276</v>
      </c>
      <c r="E6753" s="407">
        <f t="shared" si="210"/>
        <v>1.55</v>
      </c>
      <c r="F6753">
        <f t="shared" si="211"/>
        <v>100277</v>
      </c>
      <c r="H6753" s="680">
        <v>1.55</v>
      </c>
      <c r="I6753" s="680">
        <v>1.62</v>
      </c>
    </row>
    <row r="6754" spans="2:9">
      <c r="B6754" s="396">
        <v>100278</v>
      </c>
      <c r="C6754" s="401" t="s">
        <v>3336</v>
      </c>
      <c r="D6754" s="396" t="s">
        <v>3263</v>
      </c>
      <c r="E6754" s="405">
        <f t="shared" si="210"/>
        <v>32.46</v>
      </c>
      <c r="F6754">
        <f t="shared" si="211"/>
        <v>100278</v>
      </c>
      <c r="H6754" s="679">
        <v>32.46</v>
      </c>
      <c r="I6754" s="679">
        <v>35.94</v>
      </c>
    </row>
    <row r="6755" spans="2:9" ht="30">
      <c r="B6755" s="395">
        <v>100279</v>
      </c>
      <c r="C6755" s="406" t="s">
        <v>3337</v>
      </c>
      <c r="D6755" s="395" t="s">
        <v>23</v>
      </c>
      <c r="E6755" s="407">
        <f t="shared" si="210"/>
        <v>0.62</v>
      </c>
      <c r="F6755">
        <f t="shared" si="211"/>
        <v>100279</v>
      </c>
      <c r="H6755" s="680">
        <v>0.62</v>
      </c>
      <c r="I6755" s="680">
        <v>0.69</v>
      </c>
    </row>
    <row r="6756" spans="2:9" ht="30">
      <c r="B6756" s="396">
        <v>100280</v>
      </c>
      <c r="C6756" s="401" t="s">
        <v>3338</v>
      </c>
      <c r="D6756" s="396" t="s">
        <v>3263</v>
      </c>
      <c r="E6756" s="405">
        <f t="shared" si="210"/>
        <v>14.9</v>
      </c>
      <c r="F6756">
        <f t="shared" si="211"/>
        <v>100280</v>
      </c>
      <c r="H6756" s="679">
        <v>14.9</v>
      </c>
      <c r="I6756" s="679">
        <v>16.5</v>
      </c>
    </row>
    <row r="6757" spans="2:9" ht="30">
      <c r="B6757" s="395">
        <v>100281</v>
      </c>
      <c r="C6757" s="406" t="s">
        <v>3339</v>
      </c>
      <c r="D6757" s="395" t="s">
        <v>3263</v>
      </c>
      <c r="E6757" s="407">
        <f t="shared" si="210"/>
        <v>3</v>
      </c>
      <c r="F6757">
        <f t="shared" si="211"/>
        <v>100281</v>
      </c>
      <c r="H6757" s="680">
        <v>3</v>
      </c>
      <c r="I6757" s="680">
        <v>3.1</v>
      </c>
    </row>
    <row r="6758" spans="2:9">
      <c r="B6758" s="396">
        <v>100282</v>
      </c>
      <c r="C6758" s="401" t="s">
        <v>3340</v>
      </c>
      <c r="D6758" s="396" t="s">
        <v>3276</v>
      </c>
      <c r="E6758" s="405">
        <f t="shared" si="210"/>
        <v>127.1</v>
      </c>
      <c r="F6758">
        <f t="shared" si="211"/>
        <v>100282</v>
      </c>
      <c r="H6758" s="679">
        <v>127.1</v>
      </c>
      <c r="I6758" s="679">
        <v>140.75</v>
      </c>
    </row>
    <row r="6759" spans="2:9">
      <c r="B6759" s="395">
        <v>100283</v>
      </c>
      <c r="C6759" s="406" t="s">
        <v>3341</v>
      </c>
      <c r="D6759" s="395" t="s">
        <v>3276</v>
      </c>
      <c r="E6759" s="407">
        <f t="shared" si="210"/>
        <v>20.53</v>
      </c>
      <c r="F6759">
        <f t="shared" si="211"/>
        <v>100283</v>
      </c>
      <c r="H6759" s="680">
        <v>20.53</v>
      </c>
      <c r="I6759" s="680">
        <v>22.73</v>
      </c>
    </row>
    <row r="6760" spans="2:9" ht="30">
      <c r="B6760" s="396">
        <v>100284</v>
      </c>
      <c r="C6760" s="401" t="s">
        <v>3342</v>
      </c>
      <c r="D6760" s="396" t="s">
        <v>3276</v>
      </c>
      <c r="E6760" s="405">
        <f t="shared" si="210"/>
        <v>8.77</v>
      </c>
      <c r="F6760">
        <f t="shared" si="211"/>
        <v>100284</v>
      </c>
      <c r="H6760" s="679">
        <v>8.77</v>
      </c>
      <c r="I6760" s="679">
        <v>9.06</v>
      </c>
    </row>
    <row r="6761" spans="2:9">
      <c r="B6761" s="395">
        <v>100285</v>
      </c>
      <c r="C6761" s="406" t="s">
        <v>3343</v>
      </c>
      <c r="D6761" s="395" t="s">
        <v>3294</v>
      </c>
      <c r="E6761" s="407">
        <f t="shared" si="210"/>
        <v>34.15</v>
      </c>
      <c r="F6761">
        <f t="shared" si="211"/>
        <v>100285</v>
      </c>
      <c r="H6761" s="680">
        <v>34.15</v>
      </c>
      <c r="I6761" s="680">
        <v>37.81</v>
      </c>
    </row>
    <row r="6762" spans="2:9">
      <c r="B6762" s="396">
        <v>100286</v>
      </c>
      <c r="C6762" s="401" t="s">
        <v>3344</v>
      </c>
      <c r="D6762" s="396" t="s">
        <v>3294</v>
      </c>
      <c r="E6762" s="405">
        <f t="shared" si="210"/>
        <v>11.12</v>
      </c>
      <c r="F6762">
        <f t="shared" si="211"/>
        <v>100286</v>
      </c>
      <c r="H6762" s="679">
        <v>11.12</v>
      </c>
      <c r="I6762" s="679">
        <v>12.32</v>
      </c>
    </row>
    <row r="6763" spans="2:9">
      <c r="B6763" s="395">
        <v>100287</v>
      </c>
      <c r="C6763" s="406" t="s">
        <v>3345</v>
      </c>
      <c r="D6763" s="395" t="s">
        <v>3294</v>
      </c>
      <c r="E6763" s="407">
        <f t="shared" si="210"/>
        <v>10.65</v>
      </c>
      <c r="F6763">
        <f t="shared" si="211"/>
        <v>100287</v>
      </c>
      <c r="H6763" s="680">
        <v>10.65</v>
      </c>
      <c r="I6763" s="680">
        <v>11.8</v>
      </c>
    </row>
    <row r="6764" spans="2:9">
      <c r="B6764" s="396">
        <v>99802</v>
      </c>
      <c r="C6764" s="401" t="s">
        <v>3035</v>
      </c>
      <c r="D6764" s="396" t="s">
        <v>0</v>
      </c>
      <c r="E6764" s="405">
        <f t="shared" si="210"/>
        <v>0.43</v>
      </c>
      <c r="F6764">
        <f t="shared" si="211"/>
        <v>99802</v>
      </c>
      <c r="H6764" s="679">
        <v>0.43</v>
      </c>
      <c r="I6764" s="679">
        <v>0.48</v>
      </c>
    </row>
    <row r="6765" spans="2:9">
      <c r="B6765" s="395">
        <v>99803</v>
      </c>
      <c r="C6765" s="406" t="s">
        <v>3036</v>
      </c>
      <c r="D6765" s="395" t="s">
        <v>0</v>
      </c>
      <c r="E6765" s="407">
        <f t="shared" si="210"/>
        <v>1.68</v>
      </c>
      <c r="F6765">
        <f t="shared" si="211"/>
        <v>99803</v>
      </c>
      <c r="H6765" s="680">
        <v>1.68</v>
      </c>
      <c r="I6765" s="680">
        <v>1.87</v>
      </c>
    </row>
    <row r="6766" spans="2:9">
      <c r="B6766" s="396">
        <v>99804</v>
      </c>
      <c r="C6766" s="401" t="s">
        <v>6101</v>
      </c>
      <c r="D6766" s="396" t="s">
        <v>0</v>
      </c>
      <c r="E6766" s="405">
        <f t="shared" si="210"/>
        <v>4.38</v>
      </c>
      <c r="F6766">
        <f t="shared" si="211"/>
        <v>99804</v>
      </c>
      <c r="H6766" s="679">
        <v>4.38</v>
      </c>
      <c r="I6766" s="679">
        <v>4.84</v>
      </c>
    </row>
    <row r="6767" spans="2:9">
      <c r="B6767" s="395">
        <v>99805</v>
      </c>
      <c r="C6767" s="406" t="s">
        <v>3037</v>
      </c>
      <c r="D6767" s="395" t="s">
        <v>0</v>
      </c>
      <c r="E6767" s="407">
        <f t="shared" si="210"/>
        <v>9.18</v>
      </c>
      <c r="F6767">
        <f t="shared" si="211"/>
        <v>99805</v>
      </c>
      <c r="H6767" s="680">
        <v>9.18</v>
      </c>
      <c r="I6767" s="680">
        <v>10.1</v>
      </c>
    </row>
    <row r="6768" spans="2:9">
      <c r="B6768" s="396">
        <v>99806</v>
      </c>
      <c r="C6768" s="401" t="s">
        <v>3038</v>
      </c>
      <c r="D6768" s="396" t="s">
        <v>0</v>
      </c>
      <c r="E6768" s="405">
        <f t="shared" si="210"/>
        <v>0.69</v>
      </c>
      <c r="F6768">
        <f t="shared" si="211"/>
        <v>99806</v>
      </c>
      <c r="H6768" s="679">
        <v>0.69</v>
      </c>
      <c r="I6768" s="679">
        <v>0.77</v>
      </c>
    </row>
    <row r="6769" spans="2:9">
      <c r="B6769" s="395">
        <v>99807</v>
      </c>
      <c r="C6769" s="406" t="s">
        <v>6102</v>
      </c>
      <c r="D6769" s="395" t="s">
        <v>0</v>
      </c>
      <c r="E6769" s="407">
        <f t="shared" si="210"/>
        <v>1.33</v>
      </c>
      <c r="F6769">
        <f t="shared" si="211"/>
        <v>99807</v>
      </c>
      <c r="H6769" s="680">
        <v>1.33</v>
      </c>
      <c r="I6769" s="680">
        <v>1.46</v>
      </c>
    </row>
    <row r="6770" spans="2:9">
      <c r="B6770" s="396">
        <v>99808</v>
      </c>
      <c r="C6770" s="401" t="s">
        <v>3039</v>
      </c>
      <c r="D6770" s="396" t="s">
        <v>0</v>
      </c>
      <c r="E6770" s="405">
        <f t="shared" si="210"/>
        <v>3.26</v>
      </c>
      <c r="F6770">
        <f t="shared" si="211"/>
        <v>99808</v>
      </c>
      <c r="H6770" s="679">
        <v>3.26</v>
      </c>
      <c r="I6770" s="679">
        <v>3.55</v>
      </c>
    </row>
    <row r="6771" spans="2:9">
      <c r="B6771" s="395">
        <v>99809</v>
      </c>
      <c r="C6771" s="406" t="s">
        <v>3040</v>
      </c>
      <c r="D6771" s="395" t="s">
        <v>0</v>
      </c>
      <c r="E6771" s="407">
        <f t="shared" si="210"/>
        <v>4.8</v>
      </c>
      <c r="F6771">
        <f t="shared" si="211"/>
        <v>99809</v>
      </c>
      <c r="H6771" s="680">
        <v>4.8</v>
      </c>
      <c r="I6771" s="680">
        <v>5.32</v>
      </c>
    </row>
    <row r="6772" spans="2:9">
      <c r="B6772" s="396">
        <v>99810</v>
      </c>
      <c r="C6772" s="401" t="s">
        <v>6103</v>
      </c>
      <c r="D6772" s="396" t="s">
        <v>0</v>
      </c>
      <c r="E6772" s="405">
        <f t="shared" si="210"/>
        <v>5.98</v>
      </c>
      <c r="F6772">
        <f t="shared" si="211"/>
        <v>99810</v>
      </c>
      <c r="H6772" s="679">
        <v>5.98</v>
      </c>
      <c r="I6772" s="679">
        <v>6.61</v>
      </c>
    </row>
    <row r="6773" spans="2:9">
      <c r="B6773" s="395">
        <v>99811</v>
      </c>
      <c r="C6773" s="406" t="s">
        <v>3041</v>
      </c>
      <c r="D6773" s="395" t="s">
        <v>0</v>
      </c>
      <c r="E6773" s="407">
        <f t="shared" si="210"/>
        <v>2.87</v>
      </c>
      <c r="F6773">
        <f t="shared" si="211"/>
        <v>99811</v>
      </c>
      <c r="H6773" s="680">
        <v>2.87</v>
      </c>
      <c r="I6773" s="680">
        <v>3.18</v>
      </c>
    </row>
    <row r="6774" spans="2:9">
      <c r="B6774" s="396">
        <v>99812</v>
      </c>
      <c r="C6774" s="401" t="s">
        <v>3042</v>
      </c>
      <c r="D6774" s="396" t="s">
        <v>0</v>
      </c>
      <c r="E6774" s="405">
        <f t="shared" si="210"/>
        <v>0.92</v>
      </c>
      <c r="F6774">
        <f t="shared" si="211"/>
        <v>99812</v>
      </c>
      <c r="H6774" s="679">
        <v>0.92</v>
      </c>
      <c r="I6774" s="679">
        <v>1.02</v>
      </c>
    </row>
    <row r="6775" spans="2:9">
      <c r="B6775" s="395">
        <v>99813</v>
      </c>
      <c r="C6775" s="406" t="s">
        <v>6104</v>
      </c>
      <c r="D6775" s="395" t="s">
        <v>0</v>
      </c>
      <c r="E6775" s="407">
        <f t="shared" si="210"/>
        <v>0.79</v>
      </c>
      <c r="F6775">
        <f t="shared" si="211"/>
        <v>99813</v>
      </c>
      <c r="H6775" s="680">
        <v>0.79</v>
      </c>
      <c r="I6775" s="680">
        <v>0.87</v>
      </c>
    </row>
    <row r="6776" spans="2:9">
      <c r="B6776" s="396">
        <v>99814</v>
      </c>
      <c r="C6776" s="401" t="s">
        <v>3043</v>
      </c>
      <c r="D6776" s="396" t="s">
        <v>0</v>
      </c>
      <c r="E6776" s="405">
        <f t="shared" si="210"/>
        <v>1.62</v>
      </c>
      <c r="F6776">
        <f t="shared" si="211"/>
        <v>99814</v>
      </c>
      <c r="H6776" s="679">
        <v>1.62</v>
      </c>
      <c r="I6776" s="679">
        <v>1.78</v>
      </c>
    </row>
    <row r="6777" spans="2:9">
      <c r="B6777" s="395">
        <v>99815</v>
      </c>
      <c r="C6777" s="406" t="s">
        <v>6105</v>
      </c>
      <c r="D6777" s="395" t="s">
        <v>23</v>
      </c>
      <c r="E6777" s="407">
        <f t="shared" si="210"/>
        <v>7.27</v>
      </c>
      <c r="F6777">
        <f t="shared" si="211"/>
        <v>99815</v>
      </c>
      <c r="H6777" s="680">
        <v>7.27</v>
      </c>
      <c r="I6777" s="680">
        <v>7.78</v>
      </c>
    </row>
    <row r="6778" spans="2:9">
      <c r="B6778" s="396">
        <v>99816</v>
      </c>
      <c r="C6778" s="401" t="s">
        <v>6106</v>
      </c>
      <c r="D6778" s="396" t="s">
        <v>23</v>
      </c>
      <c r="E6778" s="405">
        <f t="shared" si="210"/>
        <v>7.71</v>
      </c>
      <c r="F6778">
        <f t="shared" si="211"/>
        <v>99816</v>
      </c>
      <c r="H6778" s="679">
        <v>7.71</v>
      </c>
      <c r="I6778" s="679">
        <v>8.26</v>
      </c>
    </row>
    <row r="6779" spans="2:9">
      <c r="B6779" s="395">
        <v>99817</v>
      </c>
      <c r="C6779" s="406" t="s">
        <v>6107</v>
      </c>
      <c r="D6779" s="395" t="s">
        <v>23</v>
      </c>
      <c r="E6779" s="407">
        <f t="shared" si="210"/>
        <v>4.68</v>
      </c>
      <c r="F6779">
        <f t="shared" si="211"/>
        <v>99817</v>
      </c>
      <c r="H6779" s="680">
        <v>4.68</v>
      </c>
      <c r="I6779" s="680">
        <v>4.91</v>
      </c>
    </row>
    <row r="6780" spans="2:9">
      <c r="B6780" s="396">
        <v>99818</v>
      </c>
      <c r="C6780" s="401" t="s">
        <v>6108</v>
      </c>
      <c r="D6780" s="396" t="s">
        <v>23</v>
      </c>
      <c r="E6780" s="405">
        <f t="shared" si="210"/>
        <v>4.68</v>
      </c>
      <c r="F6780">
        <f t="shared" si="211"/>
        <v>99818</v>
      </c>
      <c r="H6780" s="679">
        <v>4.68</v>
      </c>
      <c r="I6780" s="679">
        <v>4.91</v>
      </c>
    </row>
    <row r="6781" spans="2:9">
      <c r="B6781" s="395">
        <v>99819</v>
      </c>
      <c r="C6781" s="406" t="s">
        <v>6109</v>
      </c>
      <c r="D6781" s="395" t="s">
        <v>0</v>
      </c>
      <c r="E6781" s="407">
        <f t="shared" si="210"/>
        <v>13.7</v>
      </c>
      <c r="F6781">
        <f t="shared" si="211"/>
        <v>99819</v>
      </c>
      <c r="H6781" s="680">
        <v>13.7</v>
      </c>
      <c r="I6781" s="680">
        <v>15.15</v>
      </c>
    </row>
    <row r="6782" spans="2:9">
      <c r="B6782" s="396">
        <v>99820</v>
      </c>
      <c r="C6782" s="401" t="s">
        <v>6110</v>
      </c>
      <c r="D6782" s="396" t="s">
        <v>0</v>
      </c>
      <c r="E6782" s="405">
        <f t="shared" si="210"/>
        <v>1.63</v>
      </c>
      <c r="F6782">
        <f t="shared" si="211"/>
        <v>99820</v>
      </c>
      <c r="H6782" s="679">
        <v>1.63</v>
      </c>
      <c r="I6782" s="679">
        <v>1.75</v>
      </c>
    </row>
    <row r="6783" spans="2:9">
      <c r="B6783" s="395">
        <v>99821</v>
      </c>
      <c r="C6783" s="406" t="s">
        <v>6111</v>
      </c>
      <c r="D6783" s="395" t="s">
        <v>0</v>
      </c>
      <c r="E6783" s="407">
        <f t="shared" si="210"/>
        <v>2.5499999999999998</v>
      </c>
      <c r="F6783">
        <f t="shared" si="211"/>
        <v>99821</v>
      </c>
      <c r="H6783" s="680">
        <v>2.5499999999999998</v>
      </c>
      <c r="I6783" s="680">
        <v>2.72</v>
      </c>
    </row>
    <row r="6784" spans="2:9">
      <c r="B6784" s="396">
        <v>99822</v>
      </c>
      <c r="C6784" s="401" t="s">
        <v>3044</v>
      </c>
      <c r="D6784" s="396" t="s">
        <v>0</v>
      </c>
      <c r="E6784" s="405">
        <f t="shared" si="210"/>
        <v>0.81</v>
      </c>
      <c r="F6784">
        <f t="shared" si="211"/>
        <v>99822</v>
      </c>
      <c r="H6784" s="679">
        <v>0.81</v>
      </c>
      <c r="I6784" s="679">
        <v>0.9</v>
      </c>
    </row>
    <row r="6785" spans="2:9">
      <c r="B6785" s="395">
        <v>99823</v>
      </c>
      <c r="C6785" s="406" t="s">
        <v>6112</v>
      </c>
      <c r="D6785" s="395" t="s">
        <v>0</v>
      </c>
      <c r="E6785" s="407">
        <f t="shared" si="210"/>
        <v>1.91</v>
      </c>
      <c r="F6785">
        <f t="shared" si="211"/>
        <v>99823</v>
      </c>
      <c r="H6785" s="680">
        <v>1.91</v>
      </c>
      <c r="I6785" s="680">
        <v>2.06</v>
      </c>
    </row>
    <row r="6786" spans="2:9">
      <c r="B6786" s="396">
        <v>99824</v>
      </c>
      <c r="C6786" s="401" t="s">
        <v>6113</v>
      </c>
      <c r="D6786" s="396" t="s">
        <v>0</v>
      </c>
      <c r="E6786" s="405">
        <f t="shared" si="210"/>
        <v>2.09</v>
      </c>
      <c r="F6786">
        <f t="shared" si="211"/>
        <v>99824</v>
      </c>
      <c r="H6786" s="679">
        <v>2.09</v>
      </c>
      <c r="I6786" s="679">
        <v>2.2599999999999998</v>
      </c>
    </row>
    <row r="6787" spans="2:9">
      <c r="B6787" s="395">
        <v>99825</v>
      </c>
      <c r="C6787" s="406" t="s">
        <v>6114</v>
      </c>
      <c r="D6787" s="395" t="s">
        <v>0</v>
      </c>
      <c r="E6787" s="407">
        <f t="shared" ref="E6787:E6850" si="212">IF($K$2=$H$1,H6787,I6787)</f>
        <v>2.97</v>
      </c>
      <c r="F6787">
        <f t="shared" si="211"/>
        <v>99825</v>
      </c>
      <c r="H6787" s="680">
        <v>2.97</v>
      </c>
      <c r="I6787" s="680">
        <v>3.18</v>
      </c>
    </row>
    <row r="6788" spans="2:9">
      <c r="B6788" s="396">
        <v>99826</v>
      </c>
      <c r="C6788" s="401" t="s">
        <v>3045</v>
      </c>
      <c r="D6788" s="396" t="s">
        <v>0</v>
      </c>
      <c r="E6788" s="405">
        <f t="shared" si="212"/>
        <v>1.25</v>
      </c>
      <c r="F6788">
        <f t="shared" ref="F6788:F6851" si="213">IF(LEN($B6788)=7,CONCATENATE(MID($B6788,1,6),"00",RIGHT($B6788,1)),IF(LEN($B6788)=8,CONCATENATE(MID($B6788,1,6),"0",RIGHT($B6788,2)),$B6788))</f>
        <v>99826</v>
      </c>
      <c r="H6788" s="679">
        <v>1.25</v>
      </c>
      <c r="I6788" s="679">
        <v>1.38</v>
      </c>
    </row>
    <row r="6789" spans="2:9" ht="30">
      <c r="B6789" s="395">
        <v>97010</v>
      </c>
      <c r="C6789" s="406" t="s">
        <v>2538</v>
      </c>
      <c r="D6789" s="395" t="s">
        <v>22</v>
      </c>
      <c r="E6789" s="407">
        <f t="shared" si="212"/>
        <v>58.23</v>
      </c>
      <c r="F6789">
        <f t="shared" si="213"/>
        <v>97010</v>
      </c>
      <c r="H6789" s="680">
        <v>58.23</v>
      </c>
      <c r="I6789" s="680">
        <v>59.82</v>
      </c>
    </row>
    <row r="6790" spans="2:9" ht="30">
      <c r="B6790" s="396">
        <v>97011</v>
      </c>
      <c r="C6790" s="401" t="s">
        <v>2539</v>
      </c>
      <c r="D6790" s="396" t="s">
        <v>22</v>
      </c>
      <c r="E6790" s="405">
        <f t="shared" si="212"/>
        <v>44.43</v>
      </c>
      <c r="F6790">
        <f t="shared" si="213"/>
        <v>97011</v>
      </c>
      <c r="H6790" s="679">
        <v>44.43</v>
      </c>
      <c r="I6790" s="679">
        <v>46.02</v>
      </c>
    </row>
    <row r="6791" spans="2:9" ht="30">
      <c r="B6791" s="395">
        <v>97012</v>
      </c>
      <c r="C6791" s="406" t="s">
        <v>2540</v>
      </c>
      <c r="D6791" s="395" t="s">
        <v>22</v>
      </c>
      <c r="E6791" s="407">
        <f t="shared" si="212"/>
        <v>37.54</v>
      </c>
      <c r="F6791">
        <f t="shared" si="213"/>
        <v>97012</v>
      </c>
      <c r="H6791" s="680">
        <v>37.54</v>
      </c>
      <c r="I6791" s="680">
        <v>39.130000000000003</v>
      </c>
    </row>
    <row r="6792" spans="2:9" ht="30">
      <c r="B6792" s="396">
        <v>97013</v>
      </c>
      <c r="C6792" s="401" t="s">
        <v>2541</v>
      </c>
      <c r="D6792" s="396" t="s">
        <v>22</v>
      </c>
      <c r="E6792" s="405">
        <f t="shared" si="212"/>
        <v>111.35</v>
      </c>
      <c r="F6792">
        <f t="shared" si="213"/>
        <v>97013</v>
      </c>
      <c r="H6792" s="679">
        <v>111.35</v>
      </c>
      <c r="I6792" s="679">
        <v>113.03</v>
      </c>
    </row>
    <row r="6793" spans="2:9" ht="30">
      <c r="B6793" s="395">
        <v>97014</v>
      </c>
      <c r="C6793" s="406" t="s">
        <v>2542</v>
      </c>
      <c r="D6793" s="395" t="s">
        <v>22</v>
      </c>
      <c r="E6793" s="407">
        <f t="shared" si="212"/>
        <v>80.02</v>
      </c>
      <c r="F6793">
        <f t="shared" si="213"/>
        <v>97014</v>
      </c>
      <c r="H6793" s="680">
        <v>80.02</v>
      </c>
      <c r="I6793" s="680">
        <v>81.7</v>
      </c>
    </row>
    <row r="6794" spans="2:9" ht="30">
      <c r="B6794" s="396">
        <v>97015</v>
      </c>
      <c r="C6794" s="401" t="s">
        <v>2543</v>
      </c>
      <c r="D6794" s="396" t="s">
        <v>22</v>
      </c>
      <c r="E6794" s="405">
        <f t="shared" si="212"/>
        <v>64.25</v>
      </c>
      <c r="F6794">
        <f t="shared" si="213"/>
        <v>97015</v>
      </c>
      <c r="H6794" s="679">
        <v>64.25</v>
      </c>
      <c r="I6794" s="679">
        <v>65.930000000000007</v>
      </c>
    </row>
    <row r="6795" spans="2:9" ht="30">
      <c r="B6795" s="395">
        <v>97016</v>
      </c>
      <c r="C6795" s="406" t="s">
        <v>2544</v>
      </c>
      <c r="D6795" s="395" t="s">
        <v>22</v>
      </c>
      <c r="E6795" s="407">
        <f t="shared" si="212"/>
        <v>52.05</v>
      </c>
      <c r="F6795">
        <f t="shared" si="213"/>
        <v>97016</v>
      </c>
      <c r="H6795" s="680">
        <v>52.05</v>
      </c>
      <c r="I6795" s="680">
        <v>53.03</v>
      </c>
    </row>
    <row r="6796" spans="2:9" ht="30">
      <c r="B6796" s="396">
        <v>97017</v>
      </c>
      <c r="C6796" s="401" t="s">
        <v>2545</v>
      </c>
      <c r="D6796" s="396" t="s">
        <v>22</v>
      </c>
      <c r="E6796" s="405">
        <f t="shared" si="212"/>
        <v>38.880000000000003</v>
      </c>
      <c r="F6796">
        <f t="shared" si="213"/>
        <v>97017</v>
      </c>
      <c r="H6796" s="679">
        <v>38.880000000000003</v>
      </c>
      <c r="I6796" s="679">
        <v>39.86</v>
      </c>
    </row>
    <row r="6797" spans="2:9" ht="30">
      <c r="B6797" s="395">
        <v>97018</v>
      </c>
      <c r="C6797" s="406" t="s">
        <v>2546</v>
      </c>
      <c r="D6797" s="395" t="s">
        <v>22</v>
      </c>
      <c r="E6797" s="407">
        <f t="shared" si="212"/>
        <v>32.07</v>
      </c>
      <c r="F6797">
        <f t="shared" si="213"/>
        <v>97018</v>
      </c>
      <c r="H6797" s="680">
        <v>32.07</v>
      </c>
      <c r="I6797" s="680">
        <v>33.049999999999997</v>
      </c>
    </row>
    <row r="6798" spans="2:9" ht="45">
      <c r="B6798" s="396">
        <v>97031</v>
      </c>
      <c r="C6798" s="401" t="s">
        <v>2547</v>
      </c>
      <c r="D6798" s="396" t="s">
        <v>22</v>
      </c>
      <c r="E6798" s="405">
        <f t="shared" si="212"/>
        <v>94.85</v>
      </c>
      <c r="F6798">
        <f t="shared" si="213"/>
        <v>97031</v>
      </c>
      <c r="H6798" s="679">
        <v>94.85</v>
      </c>
      <c r="I6798" s="679">
        <v>96.46</v>
      </c>
    </row>
    <row r="6799" spans="2:9" ht="45">
      <c r="B6799" s="395">
        <v>97032</v>
      </c>
      <c r="C6799" s="406" t="s">
        <v>2888</v>
      </c>
      <c r="D6799" s="395" t="s">
        <v>22</v>
      </c>
      <c r="E6799" s="407">
        <f t="shared" si="212"/>
        <v>56.66</v>
      </c>
      <c r="F6799">
        <f t="shared" si="213"/>
        <v>97032</v>
      </c>
      <c r="H6799" s="680">
        <v>56.66</v>
      </c>
      <c r="I6799" s="680">
        <v>58.27</v>
      </c>
    </row>
    <row r="6800" spans="2:9" ht="45">
      <c r="B6800" s="396">
        <v>97033</v>
      </c>
      <c r="C6800" s="401" t="s">
        <v>2743</v>
      </c>
      <c r="D6800" s="396" t="s">
        <v>22</v>
      </c>
      <c r="E6800" s="405">
        <f t="shared" si="212"/>
        <v>104.09</v>
      </c>
      <c r="F6800">
        <f t="shared" si="213"/>
        <v>97033</v>
      </c>
      <c r="H6800" s="679">
        <v>104.09</v>
      </c>
      <c r="I6800" s="679">
        <v>105.62</v>
      </c>
    </row>
    <row r="6801" spans="2:9" ht="45">
      <c r="B6801" s="395">
        <v>97034</v>
      </c>
      <c r="C6801" s="406" t="s">
        <v>2744</v>
      </c>
      <c r="D6801" s="395" t="s">
        <v>22</v>
      </c>
      <c r="E6801" s="407">
        <f t="shared" si="212"/>
        <v>60</v>
      </c>
      <c r="F6801">
        <f t="shared" si="213"/>
        <v>97034</v>
      </c>
      <c r="H6801" s="680">
        <v>60</v>
      </c>
      <c r="I6801" s="680">
        <v>61.53</v>
      </c>
    </row>
    <row r="6802" spans="2:9">
      <c r="B6802" s="396">
        <v>97039</v>
      </c>
      <c r="C6802" s="401" t="s">
        <v>2548</v>
      </c>
      <c r="D6802" s="396" t="s">
        <v>0</v>
      </c>
      <c r="E6802" s="405">
        <f t="shared" si="212"/>
        <v>59.55</v>
      </c>
      <c r="F6802">
        <f t="shared" si="213"/>
        <v>97039</v>
      </c>
      <c r="H6802" s="679">
        <v>59.55</v>
      </c>
      <c r="I6802" s="679">
        <v>61.06</v>
      </c>
    </row>
    <row r="6803" spans="2:9">
      <c r="B6803" s="395">
        <v>97040</v>
      </c>
      <c r="C6803" s="406" t="s">
        <v>2549</v>
      </c>
      <c r="D6803" s="395" t="s">
        <v>0</v>
      </c>
      <c r="E6803" s="407">
        <f t="shared" si="212"/>
        <v>18.2</v>
      </c>
      <c r="F6803">
        <f t="shared" si="213"/>
        <v>97040</v>
      </c>
      <c r="H6803" s="680">
        <v>18.2</v>
      </c>
      <c r="I6803" s="680">
        <v>19.13</v>
      </c>
    </row>
    <row r="6804" spans="2:9">
      <c r="B6804" s="396">
        <v>97041</v>
      </c>
      <c r="C6804" s="401" t="s">
        <v>2550</v>
      </c>
      <c r="D6804" s="396" t="s">
        <v>0</v>
      </c>
      <c r="E6804" s="405">
        <f t="shared" si="212"/>
        <v>237.4</v>
      </c>
      <c r="F6804">
        <f t="shared" si="213"/>
        <v>97041</v>
      </c>
      <c r="H6804" s="679">
        <v>237.4</v>
      </c>
      <c r="I6804" s="679">
        <v>239.87</v>
      </c>
    </row>
    <row r="6805" spans="2:9">
      <c r="B6805" s="395">
        <v>97046</v>
      </c>
      <c r="C6805" s="406" t="s">
        <v>2745</v>
      </c>
      <c r="D6805" s="395" t="s">
        <v>0</v>
      </c>
      <c r="E6805" s="407">
        <f t="shared" si="212"/>
        <v>0.36</v>
      </c>
      <c r="F6805">
        <f t="shared" si="213"/>
        <v>97046</v>
      </c>
      <c r="H6805" s="680">
        <v>0.36</v>
      </c>
      <c r="I6805" s="680">
        <v>0.36</v>
      </c>
    </row>
    <row r="6806" spans="2:9">
      <c r="B6806" s="396">
        <v>97047</v>
      </c>
      <c r="C6806" s="401" t="s">
        <v>2746</v>
      </c>
      <c r="D6806" s="396" t="s">
        <v>0</v>
      </c>
      <c r="E6806" s="405">
        <f t="shared" si="212"/>
        <v>0.13</v>
      </c>
      <c r="F6806">
        <f t="shared" si="213"/>
        <v>97047</v>
      </c>
      <c r="H6806" s="679">
        <v>0.13</v>
      </c>
      <c r="I6806" s="679">
        <v>0.14000000000000001</v>
      </c>
    </row>
    <row r="6807" spans="2:9">
      <c r="B6807" s="395">
        <v>97048</v>
      </c>
      <c r="C6807" s="406" t="s">
        <v>2747</v>
      </c>
      <c r="D6807" s="395" t="s">
        <v>0</v>
      </c>
      <c r="E6807" s="407">
        <f t="shared" si="212"/>
        <v>0.1</v>
      </c>
      <c r="F6807">
        <f t="shared" si="213"/>
        <v>97048</v>
      </c>
      <c r="H6807" s="680">
        <v>0.1</v>
      </c>
      <c r="I6807" s="680">
        <v>0.1</v>
      </c>
    </row>
    <row r="6808" spans="2:9">
      <c r="B6808" s="396">
        <v>97054</v>
      </c>
      <c r="C6808" s="401" t="s">
        <v>4331</v>
      </c>
      <c r="D6808" s="396" t="s">
        <v>23</v>
      </c>
      <c r="E6808" s="405">
        <f t="shared" si="212"/>
        <v>27.32</v>
      </c>
      <c r="F6808">
        <f t="shared" si="213"/>
        <v>97054</v>
      </c>
      <c r="H6808" s="679">
        <v>27.32</v>
      </c>
      <c r="I6808" s="679">
        <v>28.33</v>
      </c>
    </row>
    <row r="6809" spans="2:9">
      <c r="B6809" s="395">
        <v>97062</v>
      </c>
      <c r="C6809" s="406" t="s">
        <v>2551</v>
      </c>
      <c r="D6809" s="395" t="s">
        <v>0</v>
      </c>
      <c r="E6809" s="407">
        <f t="shared" si="212"/>
        <v>6.68</v>
      </c>
      <c r="F6809">
        <f t="shared" si="213"/>
        <v>97062</v>
      </c>
      <c r="H6809" s="680">
        <v>6.68</v>
      </c>
      <c r="I6809" s="680">
        <v>7.01</v>
      </c>
    </row>
    <row r="6810" spans="2:9" ht="30">
      <c r="B6810" s="396">
        <v>97063</v>
      </c>
      <c r="C6810" s="401" t="s">
        <v>2552</v>
      </c>
      <c r="D6810" s="396" t="s">
        <v>0</v>
      </c>
      <c r="E6810" s="405">
        <f t="shared" si="212"/>
        <v>7.41</v>
      </c>
      <c r="F6810">
        <f t="shared" si="213"/>
        <v>97063</v>
      </c>
      <c r="H6810" s="679">
        <v>7.41</v>
      </c>
      <c r="I6810" s="679">
        <v>8.24</v>
      </c>
    </row>
    <row r="6811" spans="2:9">
      <c r="B6811" s="395">
        <v>97064</v>
      </c>
      <c r="C6811" s="406" t="s">
        <v>2553</v>
      </c>
      <c r="D6811" s="395" t="s">
        <v>22</v>
      </c>
      <c r="E6811" s="407">
        <f t="shared" si="212"/>
        <v>13.84</v>
      </c>
      <c r="F6811">
        <f t="shared" si="213"/>
        <v>97064</v>
      </c>
      <c r="H6811" s="680">
        <v>13.84</v>
      </c>
      <c r="I6811" s="680">
        <v>15.37</v>
      </c>
    </row>
    <row r="6812" spans="2:9">
      <c r="B6812" s="396">
        <v>97065</v>
      </c>
      <c r="C6812" s="401" t="s">
        <v>2554</v>
      </c>
      <c r="D6812" s="396" t="s">
        <v>20</v>
      </c>
      <c r="E6812" s="405">
        <f t="shared" si="212"/>
        <v>4.9400000000000004</v>
      </c>
      <c r="F6812">
        <f t="shared" si="213"/>
        <v>97065</v>
      </c>
      <c r="H6812" s="679">
        <v>4.9400000000000004</v>
      </c>
      <c r="I6812" s="679">
        <v>5.49</v>
      </c>
    </row>
    <row r="6813" spans="2:9">
      <c r="B6813" s="395">
        <v>97066</v>
      </c>
      <c r="C6813" s="406" t="s">
        <v>2855</v>
      </c>
      <c r="D6813" s="395" t="s">
        <v>0</v>
      </c>
      <c r="E6813" s="407">
        <f t="shared" si="212"/>
        <v>128.44</v>
      </c>
      <c r="F6813">
        <f t="shared" si="213"/>
        <v>97066</v>
      </c>
      <c r="H6813" s="680">
        <v>128.44</v>
      </c>
      <c r="I6813" s="680">
        <v>130.83000000000001</v>
      </c>
    </row>
    <row r="6814" spans="2:9" ht="30">
      <c r="B6814" s="396">
        <v>97067</v>
      </c>
      <c r="C6814" s="401" t="s">
        <v>2555</v>
      </c>
      <c r="D6814" s="396" t="s">
        <v>22</v>
      </c>
      <c r="E6814" s="405">
        <f t="shared" si="212"/>
        <v>616.20000000000005</v>
      </c>
      <c r="F6814">
        <f t="shared" si="213"/>
        <v>97067</v>
      </c>
      <c r="H6814" s="679">
        <v>616.20000000000005</v>
      </c>
      <c r="I6814" s="679">
        <v>641.44000000000005</v>
      </c>
    </row>
    <row r="6815" spans="2:9">
      <c r="B6815" s="395">
        <v>97621</v>
      </c>
      <c r="C6815" s="406" t="s">
        <v>2581</v>
      </c>
      <c r="D6815" s="395" t="s">
        <v>20</v>
      </c>
      <c r="E6815" s="407">
        <f t="shared" si="212"/>
        <v>93.15</v>
      </c>
      <c r="F6815">
        <f t="shared" si="213"/>
        <v>97621</v>
      </c>
      <c r="H6815" s="680">
        <v>93.15</v>
      </c>
      <c r="I6815" s="680">
        <v>103.23</v>
      </c>
    </row>
    <row r="6816" spans="2:9">
      <c r="B6816" s="396">
        <v>97622</v>
      </c>
      <c r="C6816" s="401" t="s">
        <v>2582</v>
      </c>
      <c r="D6816" s="396" t="s">
        <v>20</v>
      </c>
      <c r="E6816" s="405">
        <f t="shared" si="212"/>
        <v>45.4</v>
      </c>
      <c r="F6816">
        <f t="shared" si="213"/>
        <v>97622</v>
      </c>
      <c r="H6816" s="679">
        <v>45.4</v>
      </c>
      <c r="I6816" s="679">
        <v>50.31</v>
      </c>
    </row>
    <row r="6817" spans="2:9">
      <c r="B6817" s="395">
        <v>97623</v>
      </c>
      <c r="C6817" s="406" t="s">
        <v>2583</v>
      </c>
      <c r="D6817" s="395" t="s">
        <v>20</v>
      </c>
      <c r="E6817" s="407">
        <f t="shared" si="212"/>
        <v>139.08000000000001</v>
      </c>
      <c r="F6817">
        <f t="shared" si="213"/>
        <v>97623</v>
      </c>
      <c r="H6817" s="680">
        <v>139.08000000000001</v>
      </c>
      <c r="I6817" s="680">
        <v>154.12</v>
      </c>
    </row>
    <row r="6818" spans="2:9">
      <c r="B6818" s="396">
        <v>97624</v>
      </c>
      <c r="C6818" s="401" t="s">
        <v>2584</v>
      </c>
      <c r="D6818" s="396" t="s">
        <v>20</v>
      </c>
      <c r="E6818" s="405">
        <f t="shared" si="212"/>
        <v>85.36</v>
      </c>
      <c r="F6818">
        <f t="shared" si="213"/>
        <v>97624</v>
      </c>
      <c r="H6818" s="679">
        <v>85.36</v>
      </c>
      <c r="I6818" s="679">
        <v>94.59</v>
      </c>
    </row>
    <row r="6819" spans="2:9">
      <c r="B6819" s="395">
        <v>97625</v>
      </c>
      <c r="C6819" s="406" t="s">
        <v>2585</v>
      </c>
      <c r="D6819" s="395" t="s">
        <v>20</v>
      </c>
      <c r="E6819" s="407">
        <f t="shared" si="212"/>
        <v>51.16</v>
      </c>
      <c r="F6819">
        <f t="shared" si="213"/>
        <v>97625</v>
      </c>
      <c r="H6819" s="680">
        <v>51.16</v>
      </c>
      <c r="I6819" s="680">
        <v>51.95</v>
      </c>
    </row>
    <row r="6820" spans="2:9">
      <c r="B6820" s="396">
        <v>97626</v>
      </c>
      <c r="C6820" s="401" t="s">
        <v>2586</v>
      </c>
      <c r="D6820" s="396" t="s">
        <v>20</v>
      </c>
      <c r="E6820" s="405">
        <f t="shared" si="212"/>
        <v>490.57</v>
      </c>
      <c r="F6820">
        <f t="shared" si="213"/>
        <v>97626</v>
      </c>
      <c r="H6820" s="679">
        <v>490.57</v>
      </c>
      <c r="I6820" s="679">
        <v>541.19000000000005</v>
      </c>
    </row>
    <row r="6821" spans="2:9" ht="30">
      <c r="B6821" s="395">
        <v>97627</v>
      </c>
      <c r="C6821" s="406" t="s">
        <v>2587</v>
      </c>
      <c r="D6821" s="395" t="s">
        <v>20</v>
      </c>
      <c r="E6821" s="407">
        <f t="shared" si="212"/>
        <v>224.16</v>
      </c>
      <c r="F6821">
        <f t="shared" si="213"/>
        <v>97627</v>
      </c>
      <c r="H6821" s="680">
        <v>224.16</v>
      </c>
      <c r="I6821" s="680">
        <v>244.25</v>
      </c>
    </row>
    <row r="6822" spans="2:9">
      <c r="B6822" s="396">
        <v>97628</v>
      </c>
      <c r="C6822" s="401" t="s">
        <v>2588</v>
      </c>
      <c r="D6822" s="396" t="s">
        <v>20</v>
      </c>
      <c r="E6822" s="405">
        <f t="shared" si="212"/>
        <v>224.39</v>
      </c>
      <c r="F6822">
        <f t="shared" si="213"/>
        <v>97628</v>
      </c>
      <c r="H6822" s="679">
        <v>224.39</v>
      </c>
      <c r="I6822" s="679">
        <v>248.65</v>
      </c>
    </row>
    <row r="6823" spans="2:9">
      <c r="B6823" s="395">
        <v>97629</v>
      </c>
      <c r="C6823" s="406" t="s">
        <v>2589</v>
      </c>
      <c r="D6823" s="395" t="s">
        <v>20</v>
      </c>
      <c r="E6823" s="407">
        <f t="shared" si="212"/>
        <v>96.7</v>
      </c>
      <c r="F6823">
        <f t="shared" si="213"/>
        <v>97629</v>
      </c>
      <c r="H6823" s="680">
        <v>96.7</v>
      </c>
      <c r="I6823" s="680">
        <v>106.33</v>
      </c>
    </row>
    <row r="6824" spans="2:9">
      <c r="B6824" s="396">
        <v>97631</v>
      </c>
      <c r="C6824" s="401" t="s">
        <v>2590</v>
      </c>
      <c r="D6824" s="396" t="s">
        <v>0</v>
      </c>
      <c r="E6824" s="405">
        <f t="shared" si="212"/>
        <v>2.64</v>
      </c>
      <c r="F6824">
        <f t="shared" si="213"/>
        <v>97631</v>
      </c>
      <c r="H6824" s="679">
        <v>2.64</v>
      </c>
      <c r="I6824" s="679">
        <v>2.93</v>
      </c>
    </row>
    <row r="6825" spans="2:9">
      <c r="B6825" s="395">
        <v>97632</v>
      </c>
      <c r="C6825" s="406" t="s">
        <v>2591</v>
      </c>
      <c r="D6825" s="395" t="s">
        <v>22</v>
      </c>
      <c r="E6825" s="407">
        <f t="shared" si="212"/>
        <v>2.06</v>
      </c>
      <c r="F6825">
        <f t="shared" si="213"/>
        <v>97632</v>
      </c>
      <c r="H6825" s="680">
        <v>2.06</v>
      </c>
      <c r="I6825" s="680">
        <v>2.29</v>
      </c>
    </row>
    <row r="6826" spans="2:9">
      <c r="B6826" s="396">
        <v>97633</v>
      </c>
      <c r="C6826" s="401" t="s">
        <v>2592</v>
      </c>
      <c r="D6826" s="396" t="s">
        <v>0</v>
      </c>
      <c r="E6826" s="405">
        <f t="shared" si="212"/>
        <v>18.07</v>
      </c>
      <c r="F6826">
        <f t="shared" si="213"/>
        <v>97633</v>
      </c>
      <c r="H6826" s="679">
        <v>18.07</v>
      </c>
      <c r="I6826" s="679">
        <v>20.05</v>
      </c>
    </row>
    <row r="6827" spans="2:9">
      <c r="B6827" s="395">
        <v>97634</v>
      </c>
      <c r="C6827" s="406" t="s">
        <v>2593</v>
      </c>
      <c r="D6827" s="395" t="s">
        <v>0</v>
      </c>
      <c r="E6827" s="407">
        <f t="shared" si="212"/>
        <v>9.48</v>
      </c>
      <c r="F6827">
        <f t="shared" si="213"/>
        <v>97634</v>
      </c>
      <c r="H6827" s="680">
        <v>9.48</v>
      </c>
      <c r="I6827" s="680">
        <v>10.47</v>
      </c>
    </row>
    <row r="6828" spans="2:9">
      <c r="B6828" s="396">
        <v>97635</v>
      </c>
      <c r="C6828" s="401" t="s">
        <v>2594</v>
      </c>
      <c r="D6828" s="396" t="s">
        <v>0</v>
      </c>
      <c r="E6828" s="405">
        <f t="shared" si="212"/>
        <v>11.97</v>
      </c>
      <c r="F6828">
        <f t="shared" si="213"/>
        <v>97635</v>
      </c>
      <c r="H6828" s="679">
        <v>11.97</v>
      </c>
      <c r="I6828" s="679">
        <v>13.3</v>
      </c>
    </row>
    <row r="6829" spans="2:9">
      <c r="B6829" s="395">
        <v>97636</v>
      </c>
      <c r="C6829" s="406" t="s">
        <v>2595</v>
      </c>
      <c r="D6829" s="395" t="s">
        <v>0</v>
      </c>
      <c r="E6829" s="407">
        <f t="shared" si="212"/>
        <v>16.059999999999999</v>
      </c>
      <c r="F6829">
        <f t="shared" si="213"/>
        <v>97636</v>
      </c>
      <c r="H6829" s="680">
        <v>16.059999999999999</v>
      </c>
      <c r="I6829" s="680">
        <v>16.61</v>
      </c>
    </row>
    <row r="6830" spans="2:9">
      <c r="B6830" s="396">
        <v>97637</v>
      </c>
      <c r="C6830" s="401" t="s">
        <v>2596</v>
      </c>
      <c r="D6830" s="396" t="s">
        <v>0</v>
      </c>
      <c r="E6830" s="405">
        <f t="shared" si="212"/>
        <v>2.02</v>
      </c>
      <c r="F6830">
        <f t="shared" si="213"/>
        <v>97637</v>
      </c>
      <c r="H6830" s="679">
        <v>2.02</v>
      </c>
      <c r="I6830" s="679">
        <v>2.25</v>
      </c>
    </row>
    <row r="6831" spans="2:9">
      <c r="B6831" s="395">
        <v>97638</v>
      </c>
      <c r="C6831" s="406" t="s">
        <v>2597</v>
      </c>
      <c r="D6831" s="395" t="s">
        <v>0</v>
      </c>
      <c r="E6831" s="407">
        <f t="shared" si="212"/>
        <v>5.9</v>
      </c>
      <c r="F6831">
        <f t="shared" si="213"/>
        <v>97638</v>
      </c>
      <c r="H6831" s="680">
        <v>5.9</v>
      </c>
      <c r="I6831" s="680">
        <v>6.55</v>
      </c>
    </row>
    <row r="6832" spans="2:9">
      <c r="B6832" s="396">
        <v>97639</v>
      </c>
      <c r="C6832" s="401" t="s">
        <v>2598</v>
      </c>
      <c r="D6832" s="396" t="s">
        <v>0</v>
      </c>
      <c r="E6832" s="405">
        <f t="shared" si="212"/>
        <v>15.93</v>
      </c>
      <c r="F6832">
        <f t="shared" si="213"/>
        <v>97639</v>
      </c>
      <c r="H6832" s="679">
        <v>15.93</v>
      </c>
      <c r="I6832" s="679">
        <v>17.68</v>
      </c>
    </row>
    <row r="6833" spans="2:9">
      <c r="B6833" s="395">
        <v>97640</v>
      </c>
      <c r="C6833" s="406" t="s">
        <v>2599</v>
      </c>
      <c r="D6833" s="395" t="s">
        <v>0</v>
      </c>
      <c r="E6833" s="407">
        <f t="shared" si="212"/>
        <v>1.28</v>
      </c>
      <c r="F6833">
        <f t="shared" si="213"/>
        <v>97640</v>
      </c>
      <c r="H6833" s="680">
        <v>1.28</v>
      </c>
      <c r="I6833" s="680">
        <v>1.41</v>
      </c>
    </row>
    <row r="6834" spans="2:9">
      <c r="B6834" s="396">
        <v>97641</v>
      </c>
      <c r="C6834" s="401" t="s">
        <v>2600</v>
      </c>
      <c r="D6834" s="396" t="s">
        <v>0</v>
      </c>
      <c r="E6834" s="405">
        <f t="shared" si="212"/>
        <v>3.93</v>
      </c>
      <c r="F6834">
        <f t="shared" si="213"/>
        <v>97641</v>
      </c>
      <c r="H6834" s="679">
        <v>3.93</v>
      </c>
      <c r="I6834" s="679">
        <v>4.3600000000000003</v>
      </c>
    </row>
    <row r="6835" spans="2:9">
      <c r="B6835" s="395">
        <v>97642</v>
      </c>
      <c r="C6835" s="406" t="s">
        <v>2601</v>
      </c>
      <c r="D6835" s="395" t="s">
        <v>0</v>
      </c>
      <c r="E6835" s="407">
        <f t="shared" si="212"/>
        <v>2.29</v>
      </c>
      <c r="F6835">
        <f t="shared" si="213"/>
        <v>97642</v>
      </c>
      <c r="H6835" s="680">
        <v>2.29</v>
      </c>
      <c r="I6835" s="680">
        <v>2.54</v>
      </c>
    </row>
    <row r="6836" spans="2:9">
      <c r="B6836" s="396">
        <v>97643</v>
      </c>
      <c r="C6836" s="401" t="s">
        <v>2602</v>
      </c>
      <c r="D6836" s="396" t="s">
        <v>0</v>
      </c>
      <c r="E6836" s="405">
        <f t="shared" si="212"/>
        <v>19.5</v>
      </c>
      <c r="F6836">
        <f t="shared" si="213"/>
        <v>97643</v>
      </c>
      <c r="H6836" s="679">
        <v>19.5</v>
      </c>
      <c r="I6836" s="679">
        <v>21.65</v>
      </c>
    </row>
    <row r="6837" spans="2:9">
      <c r="B6837" s="395">
        <v>97644</v>
      </c>
      <c r="C6837" s="406" t="s">
        <v>2603</v>
      </c>
      <c r="D6837" s="395" t="s">
        <v>0</v>
      </c>
      <c r="E6837" s="407">
        <f t="shared" si="212"/>
        <v>7.36</v>
      </c>
      <c r="F6837">
        <f t="shared" si="213"/>
        <v>97644</v>
      </c>
      <c r="H6837" s="680">
        <v>7.36</v>
      </c>
      <c r="I6837" s="680">
        <v>8.17</v>
      </c>
    </row>
    <row r="6838" spans="2:9">
      <c r="B6838" s="396">
        <v>97645</v>
      </c>
      <c r="C6838" s="401" t="s">
        <v>2604</v>
      </c>
      <c r="D6838" s="396" t="s">
        <v>0</v>
      </c>
      <c r="E6838" s="405">
        <f t="shared" si="212"/>
        <v>28.18</v>
      </c>
      <c r="F6838">
        <f t="shared" si="213"/>
        <v>97645</v>
      </c>
      <c r="H6838" s="679">
        <v>28.18</v>
      </c>
      <c r="I6838" s="679">
        <v>30.43</v>
      </c>
    </row>
    <row r="6839" spans="2:9">
      <c r="B6839" s="395">
        <v>97647</v>
      </c>
      <c r="C6839" s="406" t="s">
        <v>2605</v>
      </c>
      <c r="D6839" s="395" t="s">
        <v>0</v>
      </c>
      <c r="E6839" s="407">
        <f t="shared" si="212"/>
        <v>2.74</v>
      </c>
      <c r="F6839">
        <f t="shared" si="213"/>
        <v>97647</v>
      </c>
      <c r="H6839" s="680">
        <v>2.74</v>
      </c>
      <c r="I6839" s="680">
        <v>3.04</v>
      </c>
    </row>
    <row r="6840" spans="2:9">
      <c r="B6840" s="396">
        <v>97648</v>
      </c>
      <c r="C6840" s="401" t="s">
        <v>2606</v>
      </c>
      <c r="D6840" s="396" t="s">
        <v>0</v>
      </c>
      <c r="E6840" s="405">
        <f t="shared" si="212"/>
        <v>1.57</v>
      </c>
      <c r="F6840">
        <f t="shared" si="213"/>
        <v>97648</v>
      </c>
      <c r="H6840" s="679">
        <v>1.57</v>
      </c>
      <c r="I6840" s="679">
        <v>1.74</v>
      </c>
    </row>
    <row r="6841" spans="2:9" ht="30">
      <c r="B6841" s="395">
        <v>97649</v>
      </c>
      <c r="C6841" s="406" t="s">
        <v>2607</v>
      </c>
      <c r="D6841" s="395" t="s">
        <v>0</v>
      </c>
      <c r="E6841" s="407">
        <f t="shared" si="212"/>
        <v>3.52</v>
      </c>
      <c r="F6841">
        <f t="shared" si="213"/>
        <v>97649</v>
      </c>
      <c r="H6841" s="680">
        <v>3.52</v>
      </c>
      <c r="I6841" s="680">
        <v>3.85</v>
      </c>
    </row>
    <row r="6842" spans="2:9">
      <c r="B6842" s="396">
        <v>97650</v>
      </c>
      <c r="C6842" s="401" t="s">
        <v>2608</v>
      </c>
      <c r="D6842" s="396" t="s">
        <v>0</v>
      </c>
      <c r="E6842" s="405">
        <f t="shared" si="212"/>
        <v>5.88</v>
      </c>
      <c r="F6842">
        <f t="shared" si="213"/>
        <v>97650</v>
      </c>
      <c r="H6842" s="679">
        <v>5.88</v>
      </c>
      <c r="I6842" s="679">
        <v>6.54</v>
      </c>
    </row>
    <row r="6843" spans="2:9">
      <c r="B6843" s="395">
        <v>97651</v>
      </c>
      <c r="C6843" s="406" t="s">
        <v>2609</v>
      </c>
      <c r="D6843" s="395" t="s">
        <v>23</v>
      </c>
      <c r="E6843" s="407">
        <f t="shared" si="212"/>
        <v>65.17</v>
      </c>
      <c r="F6843">
        <f t="shared" si="213"/>
        <v>97651</v>
      </c>
      <c r="H6843" s="680">
        <v>65.17</v>
      </c>
      <c r="I6843" s="680">
        <v>72.36</v>
      </c>
    </row>
    <row r="6844" spans="2:9" ht="30">
      <c r="B6844" s="396">
        <v>97652</v>
      </c>
      <c r="C6844" s="401" t="s">
        <v>2610</v>
      </c>
      <c r="D6844" s="396" t="s">
        <v>23</v>
      </c>
      <c r="E6844" s="405">
        <f t="shared" si="212"/>
        <v>147.75</v>
      </c>
      <c r="F6844">
        <f t="shared" si="213"/>
        <v>97652</v>
      </c>
      <c r="H6844" s="679">
        <v>147.75</v>
      </c>
      <c r="I6844" s="679">
        <v>164.05</v>
      </c>
    </row>
    <row r="6845" spans="2:9">
      <c r="B6845" s="395">
        <v>97653</v>
      </c>
      <c r="C6845" s="406" t="s">
        <v>2611</v>
      </c>
      <c r="D6845" s="395" t="s">
        <v>23</v>
      </c>
      <c r="E6845" s="407">
        <f t="shared" si="212"/>
        <v>113.83</v>
      </c>
      <c r="F6845">
        <f t="shared" si="213"/>
        <v>97653</v>
      </c>
      <c r="H6845" s="680">
        <v>113.83</v>
      </c>
      <c r="I6845" s="680">
        <v>116.82</v>
      </c>
    </row>
    <row r="6846" spans="2:9" ht="30">
      <c r="B6846" s="396">
        <v>97654</v>
      </c>
      <c r="C6846" s="401" t="s">
        <v>2612</v>
      </c>
      <c r="D6846" s="396" t="s">
        <v>23</v>
      </c>
      <c r="E6846" s="405">
        <f t="shared" si="212"/>
        <v>136.44</v>
      </c>
      <c r="F6846">
        <f t="shared" si="213"/>
        <v>97654</v>
      </c>
      <c r="H6846" s="679">
        <v>136.44</v>
      </c>
      <c r="I6846" s="679">
        <v>141.91</v>
      </c>
    </row>
    <row r="6847" spans="2:9">
      <c r="B6847" s="395">
        <v>97655</v>
      </c>
      <c r="C6847" s="406" t="s">
        <v>2613</v>
      </c>
      <c r="D6847" s="395" t="s">
        <v>0</v>
      </c>
      <c r="E6847" s="407">
        <f t="shared" si="212"/>
        <v>34.799999999999997</v>
      </c>
      <c r="F6847">
        <f t="shared" si="213"/>
        <v>97655</v>
      </c>
      <c r="H6847" s="680">
        <v>34.799999999999997</v>
      </c>
      <c r="I6847" s="680">
        <v>36.26</v>
      </c>
    </row>
    <row r="6848" spans="2:9">
      <c r="B6848" s="396">
        <v>97656</v>
      </c>
      <c r="C6848" s="401" t="s">
        <v>2614</v>
      </c>
      <c r="D6848" s="396" t="s">
        <v>23</v>
      </c>
      <c r="E6848" s="405">
        <f t="shared" si="212"/>
        <v>309.91000000000003</v>
      </c>
      <c r="F6848">
        <f t="shared" si="213"/>
        <v>97656</v>
      </c>
      <c r="H6848" s="679">
        <v>309.91000000000003</v>
      </c>
      <c r="I6848" s="679">
        <v>325.45999999999998</v>
      </c>
    </row>
    <row r="6849" spans="2:9">
      <c r="B6849" s="395">
        <v>97657</v>
      </c>
      <c r="C6849" s="406" t="s">
        <v>2615</v>
      </c>
      <c r="D6849" s="395" t="s">
        <v>23</v>
      </c>
      <c r="E6849" s="407">
        <f t="shared" si="212"/>
        <v>614.28</v>
      </c>
      <c r="F6849">
        <f t="shared" si="213"/>
        <v>97657</v>
      </c>
      <c r="H6849" s="680">
        <v>614.28</v>
      </c>
      <c r="I6849" s="680">
        <v>645.09</v>
      </c>
    </row>
    <row r="6850" spans="2:9">
      <c r="B6850" s="396">
        <v>97658</v>
      </c>
      <c r="C6850" s="401" t="s">
        <v>2616</v>
      </c>
      <c r="D6850" s="396" t="s">
        <v>23</v>
      </c>
      <c r="E6850" s="405">
        <f t="shared" si="212"/>
        <v>190.22</v>
      </c>
      <c r="F6850">
        <f t="shared" si="213"/>
        <v>97658</v>
      </c>
      <c r="H6850" s="679">
        <v>190.22</v>
      </c>
      <c r="I6850" s="679">
        <v>196.95</v>
      </c>
    </row>
    <row r="6851" spans="2:9" ht="30">
      <c r="B6851" s="395">
        <v>97659</v>
      </c>
      <c r="C6851" s="406" t="s">
        <v>2617</v>
      </c>
      <c r="D6851" s="395" t="s">
        <v>23</v>
      </c>
      <c r="E6851" s="407">
        <f t="shared" ref="E6851:E6914" si="214">IF($K$2=$H$1,H6851,I6851)</f>
        <v>266.67</v>
      </c>
      <c r="F6851">
        <f t="shared" si="213"/>
        <v>97659</v>
      </c>
      <c r="H6851" s="680">
        <v>266.67</v>
      </c>
      <c r="I6851" s="680">
        <v>278.04000000000002</v>
      </c>
    </row>
    <row r="6852" spans="2:9">
      <c r="B6852" s="396">
        <v>97660</v>
      </c>
      <c r="C6852" s="401" t="s">
        <v>2618</v>
      </c>
      <c r="D6852" s="396" t="s">
        <v>23</v>
      </c>
      <c r="E6852" s="405">
        <f t="shared" si="214"/>
        <v>0.53</v>
      </c>
      <c r="F6852">
        <f t="shared" ref="F6852:F6915" si="215">IF(LEN($B6852)=7,CONCATENATE(MID($B6852,1,6),"00",RIGHT($B6852,1)),IF(LEN($B6852)=8,CONCATENATE(MID($B6852,1,6),"0",RIGHT($B6852,2)),$B6852))</f>
        <v>97660</v>
      </c>
      <c r="H6852" s="679">
        <v>0.53</v>
      </c>
      <c r="I6852" s="679">
        <v>0.6</v>
      </c>
    </row>
    <row r="6853" spans="2:9">
      <c r="B6853" s="395">
        <v>97661</v>
      </c>
      <c r="C6853" s="406" t="s">
        <v>2619</v>
      </c>
      <c r="D6853" s="395" t="s">
        <v>22</v>
      </c>
      <c r="E6853" s="407">
        <f t="shared" si="214"/>
        <v>0.53</v>
      </c>
      <c r="F6853">
        <f t="shared" si="215"/>
        <v>97661</v>
      </c>
      <c r="H6853" s="680">
        <v>0.53</v>
      </c>
      <c r="I6853" s="680">
        <v>0.6</v>
      </c>
    </row>
    <row r="6854" spans="2:9">
      <c r="B6854" s="396">
        <v>97662</v>
      </c>
      <c r="C6854" s="401" t="s">
        <v>2620</v>
      </c>
      <c r="D6854" s="396" t="s">
        <v>22</v>
      </c>
      <c r="E6854" s="405">
        <f t="shared" si="214"/>
        <v>0.39</v>
      </c>
      <c r="F6854">
        <f t="shared" si="215"/>
        <v>97662</v>
      </c>
      <c r="H6854" s="679">
        <v>0.39</v>
      </c>
      <c r="I6854" s="679">
        <v>0.44</v>
      </c>
    </row>
    <row r="6855" spans="2:9">
      <c r="B6855" s="395">
        <v>97663</v>
      </c>
      <c r="C6855" s="406" t="s">
        <v>2621</v>
      </c>
      <c r="D6855" s="395" t="s">
        <v>23</v>
      </c>
      <c r="E6855" s="407">
        <f t="shared" si="214"/>
        <v>9.8000000000000007</v>
      </c>
      <c r="F6855">
        <f t="shared" si="215"/>
        <v>97663</v>
      </c>
      <c r="H6855" s="680">
        <v>9.8000000000000007</v>
      </c>
      <c r="I6855" s="680">
        <v>10.9</v>
      </c>
    </row>
    <row r="6856" spans="2:9">
      <c r="B6856" s="396">
        <v>97664</v>
      </c>
      <c r="C6856" s="401" t="s">
        <v>2622</v>
      </c>
      <c r="D6856" s="396" t="s">
        <v>23</v>
      </c>
      <c r="E6856" s="405">
        <f t="shared" si="214"/>
        <v>1.22</v>
      </c>
      <c r="F6856">
        <f t="shared" si="215"/>
        <v>97664</v>
      </c>
      <c r="H6856" s="679">
        <v>1.22</v>
      </c>
      <c r="I6856" s="679">
        <v>1.36</v>
      </c>
    </row>
    <row r="6857" spans="2:9">
      <c r="B6857" s="395">
        <v>97665</v>
      </c>
      <c r="C6857" s="406" t="s">
        <v>2623</v>
      </c>
      <c r="D6857" s="395" t="s">
        <v>23</v>
      </c>
      <c r="E6857" s="407">
        <f t="shared" si="214"/>
        <v>1.03</v>
      </c>
      <c r="F6857">
        <f t="shared" si="215"/>
        <v>97665</v>
      </c>
      <c r="H6857" s="680">
        <v>1.03</v>
      </c>
      <c r="I6857" s="680">
        <v>1.1499999999999999</v>
      </c>
    </row>
    <row r="6858" spans="2:9">
      <c r="B6858" s="396">
        <v>97666</v>
      </c>
      <c r="C6858" s="401" t="s">
        <v>2624</v>
      </c>
      <c r="D6858" s="396" t="s">
        <v>23</v>
      </c>
      <c r="E6858" s="405">
        <f t="shared" si="214"/>
        <v>7.14</v>
      </c>
      <c r="F6858">
        <f t="shared" si="215"/>
        <v>97666</v>
      </c>
      <c r="H6858" s="679">
        <v>7.14</v>
      </c>
      <c r="I6858" s="679">
        <v>7.94</v>
      </c>
    </row>
    <row r="6859" spans="2:9" ht="30">
      <c r="B6859" s="395">
        <v>95967</v>
      </c>
      <c r="C6859" s="406" t="s">
        <v>1904</v>
      </c>
      <c r="D6859" s="395" t="s">
        <v>36</v>
      </c>
      <c r="E6859" s="407">
        <f t="shared" si="214"/>
        <v>131.59</v>
      </c>
      <c r="F6859">
        <f t="shared" si="215"/>
        <v>95967</v>
      </c>
      <c r="H6859" s="680">
        <v>131.59</v>
      </c>
      <c r="I6859" s="680">
        <v>150.74</v>
      </c>
    </row>
    <row r="6860" spans="2:9">
      <c r="B6860" s="396">
        <v>99058</v>
      </c>
      <c r="C6860" s="401" t="s">
        <v>2930</v>
      </c>
      <c r="D6860" s="396" t="s">
        <v>23</v>
      </c>
      <c r="E6860" s="405">
        <f t="shared" si="214"/>
        <v>6.66</v>
      </c>
      <c r="F6860">
        <f t="shared" si="215"/>
        <v>99058</v>
      </c>
      <c r="H6860" s="679">
        <v>6.66</v>
      </c>
      <c r="I6860" s="679">
        <v>7.37</v>
      </c>
    </row>
    <row r="6861" spans="2:9" ht="30">
      <c r="B6861" s="395">
        <v>99059</v>
      </c>
      <c r="C6861" s="406" t="s">
        <v>2931</v>
      </c>
      <c r="D6861" s="395" t="s">
        <v>22</v>
      </c>
      <c r="E6861" s="407">
        <f t="shared" si="214"/>
        <v>53.29</v>
      </c>
      <c r="F6861">
        <f t="shared" si="215"/>
        <v>99059</v>
      </c>
      <c r="H6861" s="680">
        <v>53.29</v>
      </c>
      <c r="I6861" s="680">
        <v>56.2</v>
      </c>
    </row>
    <row r="6862" spans="2:9">
      <c r="B6862" s="396">
        <v>99060</v>
      </c>
      <c r="C6862" s="401" t="s">
        <v>4132</v>
      </c>
      <c r="D6862" s="396" t="s">
        <v>23</v>
      </c>
      <c r="E6862" s="405">
        <f t="shared" si="214"/>
        <v>135.87</v>
      </c>
      <c r="F6862">
        <f t="shared" si="215"/>
        <v>99060</v>
      </c>
      <c r="H6862" s="679">
        <v>135.87</v>
      </c>
      <c r="I6862" s="679">
        <v>143.88</v>
      </c>
    </row>
    <row r="6863" spans="2:9">
      <c r="B6863" s="395">
        <v>99061</v>
      </c>
      <c r="C6863" s="406" t="s">
        <v>4133</v>
      </c>
      <c r="D6863" s="395" t="s">
        <v>23</v>
      </c>
      <c r="E6863" s="407">
        <f t="shared" si="214"/>
        <v>91.86</v>
      </c>
      <c r="F6863">
        <f t="shared" si="215"/>
        <v>99061</v>
      </c>
      <c r="H6863" s="680">
        <v>91.86</v>
      </c>
      <c r="I6863" s="680">
        <v>97.76</v>
      </c>
    </row>
    <row r="6864" spans="2:9">
      <c r="B6864" s="396">
        <v>99062</v>
      </c>
      <c r="C6864" s="401" t="s">
        <v>2932</v>
      </c>
      <c r="D6864" s="396" t="s">
        <v>23</v>
      </c>
      <c r="E6864" s="405">
        <f t="shared" si="214"/>
        <v>2.0499999999999998</v>
      </c>
      <c r="F6864">
        <f t="shared" si="215"/>
        <v>99062</v>
      </c>
      <c r="H6864" s="679">
        <v>2.0499999999999998</v>
      </c>
      <c r="I6864" s="679">
        <v>2.27</v>
      </c>
    </row>
    <row r="6865" spans="2:9">
      <c r="B6865" s="395">
        <v>99063</v>
      </c>
      <c r="C6865" s="406" t="s">
        <v>2933</v>
      </c>
      <c r="D6865" s="395" t="s">
        <v>22</v>
      </c>
      <c r="E6865" s="407">
        <f t="shared" si="214"/>
        <v>4.59</v>
      </c>
      <c r="F6865">
        <f t="shared" si="215"/>
        <v>99063</v>
      </c>
      <c r="H6865" s="680">
        <v>4.59</v>
      </c>
      <c r="I6865" s="680">
        <v>4.88</v>
      </c>
    </row>
    <row r="6866" spans="2:9">
      <c r="B6866" s="396">
        <v>99064</v>
      </c>
      <c r="C6866" s="401" t="s">
        <v>2934</v>
      </c>
      <c r="D6866" s="396" t="s">
        <v>22</v>
      </c>
      <c r="E6866" s="405">
        <f t="shared" si="214"/>
        <v>0.33</v>
      </c>
      <c r="F6866">
        <f t="shared" si="215"/>
        <v>99064</v>
      </c>
      <c r="H6866" s="679">
        <v>0.33</v>
      </c>
      <c r="I6866" s="679">
        <v>0.36</v>
      </c>
    </row>
    <row r="6867" spans="2:9">
      <c r="B6867" s="395">
        <v>93588</v>
      </c>
      <c r="C6867" s="406" t="s">
        <v>4332</v>
      </c>
      <c r="D6867" s="395" t="s">
        <v>80</v>
      </c>
      <c r="E6867" s="407">
        <f t="shared" si="214"/>
        <v>2.92</v>
      </c>
      <c r="F6867">
        <f t="shared" si="215"/>
        <v>93588</v>
      </c>
      <c r="H6867" s="680">
        <v>2.92</v>
      </c>
      <c r="I6867" s="680">
        <v>2.95</v>
      </c>
    </row>
    <row r="6868" spans="2:9" ht="30">
      <c r="B6868" s="396">
        <v>93589</v>
      </c>
      <c r="C6868" s="401" t="s">
        <v>4333</v>
      </c>
      <c r="D6868" s="396" t="s">
        <v>80</v>
      </c>
      <c r="E6868" s="405">
        <f t="shared" si="214"/>
        <v>2.5099999999999998</v>
      </c>
      <c r="F6868">
        <f t="shared" si="215"/>
        <v>93589</v>
      </c>
      <c r="H6868" s="679">
        <v>2.5099999999999998</v>
      </c>
      <c r="I6868" s="679">
        <v>2.5299999999999998</v>
      </c>
    </row>
    <row r="6869" spans="2:9" ht="30">
      <c r="B6869" s="395">
        <v>93590</v>
      </c>
      <c r="C6869" s="406" t="s">
        <v>4334</v>
      </c>
      <c r="D6869" s="395" t="s">
        <v>80</v>
      </c>
      <c r="E6869" s="407">
        <f t="shared" si="214"/>
        <v>0.91</v>
      </c>
      <c r="F6869">
        <f t="shared" si="215"/>
        <v>93590</v>
      </c>
      <c r="H6869" s="680">
        <v>0.91</v>
      </c>
      <c r="I6869" s="680">
        <v>0.92</v>
      </c>
    </row>
    <row r="6870" spans="2:9">
      <c r="B6870" s="396">
        <v>93591</v>
      </c>
      <c r="C6870" s="401" t="s">
        <v>4335</v>
      </c>
      <c r="D6870" s="396" t="s">
        <v>80</v>
      </c>
      <c r="E6870" s="405">
        <f t="shared" si="214"/>
        <v>2.42</v>
      </c>
      <c r="F6870">
        <f t="shared" si="215"/>
        <v>93591</v>
      </c>
      <c r="H6870" s="679">
        <v>2.42</v>
      </c>
      <c r="I6870" s="679">
        <v>2.44</v>
      </c>
    </row>
    <row r="6871" spans="2:9" ht="30">
      <c r="B6871" s="395">
        <v>93592</v>
      </c>
      <c r="C6871" s="406" t="s">
        <v>4336</v>
      </c>
      <c r="D6871" s="395" t="s">
        <v>80</v>
      </c>
      <c r="E6871" s="407">
        <f t="shared" si="214"/>
        <v>2.1</v>
      </c>
      <c r="F6871">
        <f t="shared" si="215"/>
        <v>93592</v>
      </c>
      <c r="H6871" s="680">
        <v>2.1</v>
      </c>
      <c r="I6871" s="680">
        <v>2.11</v>
      </c>
    </row>
    <row r="6872" spans="2:9" ht="30">
      <c r="B6872" s="396">
        <v>93593</v>
      </c>
      <c r="C6872" s="401" t="s">
        <v>4337</v>
      </c>
      <c r="D6872" s="396" t="s">
        <v>80</v>
      </c>
      <c r="E6872" s="405">
        <f t="shared" si="214"/>
        <v>0.76</v>
      </c>
      <c r="F6872">
        <f t="shared" si="215"/>
        <v>93593</v>
      </c>
      <c r="H6872" s="679">
        <v>0.76</v>
      </c>
      <c r="I6872" s="679">
        <v>0.77</v>
      </c>
    </row>
    <row r="6873" spans="2:9">
      <c r="B6873" s="395">
        <v>93594</v>
      </c>
      <c r="C6873" s="406" t="s">
        <v>4338</v>
      </c>
      <c r="D6873" s="395" t="s">
        <v>78</v>
      </c>
      <c r="E6873" s="407">
        <f t="shared" si="214"/>
        <v>1.95</v>
      </c>
      <c r="F6873">
        <f t="shared" si="215"/>
        <v>93594</v>
      </c>
      <c r="H6873" s="680">
        <v>1.95</v>
      </c>
      <c r="I6873" s="680">
        <v>1.96</v>
      </c>
    </row>
    <row r="6874" spans="2:9">
      <c r="B6874" s="396">
        <v>93595</v>
      </c>
      <c r="C6874" s="401" t="s">
        <v>4339</v>
      </c>
      <c r="D6874" s="396" t="s">
        <v>78</v>
      </c>
      <c r="E6874" s="405">
        <f t="shared" si="214"/>
        <v>1.7</v>
      </c>
      <c r="F6874">
        <f t="shared" si="215"/>
        <v>93595</v>
      </c>
      <c r="H6874" s="679">
        <v>1.7</v>
      </c>
      <c r="I6874" s="679">
        <v>1.71</v>
      </c>
    </row>
    <row r="6875" spans="2:9" ht="30">
      <c r="B6875" s="395">
        <v>93596</v>
      </c>
      <c r="C6875" s="406" t="s">
        <v>4340</v>
      </c>
      <c r="D6875" s="395" t="s">
        <v>78</v>
      </c>
      <c r="E6875" s="407">
        <f t="shared" si="214"/>
        <v>0.61</v>
      </c>
      <c r="F6875">
        <f t="shared" si="215"/>
        <v>93596</v>
      </c>
      <c r="H6875" s="680">
        <v>0.61</v>
      </c>
      <c r="I6875" s="680">
        <v>0.61</v>
      </c>
    </row>
    <row r="6876" spans="2:9">
      <c r="B6876" s="396">
        <v>93597</v>
      </c>
      <c r="C6876" s="401" t="s">
        <v>4341</v>
      </c>
      <c r="D6876" s="396" t="s">
        <v>78</v>
      </c>
      <c r="E6876" s="405">
        <f t="shared" si="214"/>
        <v>1.61</v>
      </c>
      <c r="F6876">
        <f t="shared" si="215"/>
        <v>93597</v>
      </c>
      <c r="H6876" s="679">
        <v>1.61</v>
      </c>
      <c r="I6876" s="679">
        <v>1.62</v>
      </c>
    </row>
    <row r="6877" spans="2:9">
      <c r="B6877" s="395">
        <v>93598</v>
      </c>
      <c r="C6877" s="406" t="s">
        <v>4342</v>
      </c>
      <c r="D6877" s="395" t="s">
        <v>78</v>
      </c>
      <c r="E6877" s="407">
        <f t="shared" si="214"/>
        <v>1.38</v>
      </c>
      <c r="F6877">
        <f t="shared" si="215"/>
        <v>93598</v>
      </c>
      <c r="H6877" s="680">
        <v>1.38</v>
      </c>
      <c r="I6877" s="680">
        <v>1.4</v>
      </c>
    </row>
    <row r="6878" spans="2:9" ht="30">
      <c r="B6878" s="396">
        <v>93599</v>
      </c>
      <c r="C6878" s="401" t="s">
        <v>4343</v>
      </c>
      <c r="D6878" s="396" t="s">
        <v>78</v>
      </c>
      <c r="E6878" s="405">
        <f t="shared" si="214"/>
        <v>0.51</v>
      </c>
      <c r="F6878">
        <f t="shared" si="215"/>
        <v>93599</v>
      </c>
      <c r="H6878" s="679">
        <v>0.51</v>
      </c>
      <c r="I6878" s="679">
        <v>0.52</v>
      </c>
    </row>
    <row r="6879" spans="2:9">
      <c r="B6879" s="395">
        <v>95425</v>
      </c>
      <c r="C6879" s="406" t="s">
        <v>4344</v>
      </c>
      <c r="D6879" s="395" t="s">
        <v>80</v>
      </c>
      <c r="E6879" s="407">
        <f t="shared" si="214"/>
        <v>2.08</v>
      </c>
      <c r="F6879">
        <f t="shared" si="215"/>
        <v>95425</v>
      </c>
      <c r="H6879" s="680">
        <v>2.08</v>
      </c>
      <c r="I6879" s="680">
        <v>2.1</v>
      </c>
    </row>
    <row r="6880" spans="2:9" ht="30">
      <c r="B6880" s="396">
        <v>95426</v>
      </c>
      <c r="C6880" s="401" t="s">
        <v>4345</v>
      </c>
      <c r="D6880" s="396" t="s">
        <v>80</v>
      </c>
      <c r="E6880" s="405">
        <f t="shared" si="214"/>
        <v>1.8</v>
      </c>
      <c r="F6880">
        <f t="shared" si="215"/>
        <v>95426</v>
      </c>
      <c r="H6880" s="679">
        <v>1.8</v>
      </c>
      <c r="I6880" s="679">
        <v>1.81</v>
      </c>
    </row>
    <row r="6881" spans="2:9" ht="30">
      <c r="B6881" s="395">
        <v>95427</v>
      </c>
      <c r="C6881" s="406" t="s">
        <v>4346</v>
      </c>
      <c r="D6881" s="395" t="s">
        <v>80</v>
      </c>
      <c r="E6881" s="407">
        <f t="shared" si="214"/>
        <v>0.67</v>
      </c>
      <c r="F6881">
        <f t="shared" si="215"/>
        <v>95427</v>
      </c>
      <c r="H6881" s="680">
        <v>0.67</v>
      </c>
      <c r="I6881" s="680">
        <v>0.67</v>
      </c>
    </row>
    <row r="6882" spans="2:9">
      <c r="B6882" s="396">
        <v>95428</v>
      </c>
      <c r="C6882" s="401" t="s">
        <v>4347</v>
      </c>
      <c r="D6882" s="396" t="s">
        <v>78</v>
      </c>
      <c r="E6882" s="405">
        <f t="shared" si="214"/>
        <v>1.4</v>
      </c>
      <c r="F6882">
        <f t="shared" si="215"/>
        <v>95428</v>
      </c>
      <c r="H6882" s="679">
        <v>1.4</v>
      </c>
      <c r="I6882" s="679">
        <v>1.41</v>
      </c>
    </row>
    <row r="6883" spans="2:9">
      <c r="B6883" s="395">
        <v>95429</v>
      </c>
      <c r="C6883" s="406" t="s">
        <v>4348</v>
      </c>
      <c r="D6883" s="395" t="s">
        <v>78</v>
      </c>
      <c r="E6883" s="407">
        <f t="shared" si="214"/>
        <v>1.21</v>
      </c>
      <c r="F6883">
        <f t="shared" si="215"/>
        <v>95429</v>
      </c>
      <c r="H6883" s="680">
        <v>1.21</v>
      </c>
      <c r="I6883" s="680">
        <v>1.22</v>
      </c>
    </row>
    <row r="6884" spans="2:9" ht="30">
      <c r="B6884" s="396">
        <v>95430</v>
      </c>
      <c r="C6884" s="401" t="s">
        <v>4349</v>
      </c>
      <c r="D6884" s="396" t="s">
        <v>78</v>
      </c>
      <c r="E6884" s="405">
        <f t="shared" si="214"/>
        <v>0.43</v>
      </c>
      <c r="F6884">
        <f t="shared" si="215"/>
        <v>95430</v>
      </c>
      <c r="H6884" s="679">
        <v>0.43</v>
      </c>
      <c r="I6884" s="679">
        <v>0.43</v>
      </c>
    </row>
    <row r="6885" spans="2:9" ht="30">
      <c r="B6885" s="395">
        <v>95875</v>
      </c>
      <c r="C6885" s="406" t="s">
        <v>4350</v>
      </c>
      <c r="D6885" s="395" t="s">
        <v>80</v>
      </c>
      <c r="E6885" s="407">
        <f t="shared" si="214"/>
        <v>2.31</v>
      </c>
      <c r="F6885">
        <f t="shared" si="215"/>
        <v>95875</v>
      </c>
      <c r="H6885" s="680">
        <v>2.31</v>
      </c>
      <c r="I6885" s="680">
        <v>2.34</v>
      </c>
    </row>
    <row r="6886" spans="2:9" ht="30">
      <c r="B6886" s="396">
        <v>95876</v>
      </c>
      <c r="C6886" s="401" t="s">
        <v>4351</v>
      </c>
      <c r="D6886" s="396" t="s">
        <v>80</v>
      </c>
      <c r="E6886" s="405">
        <f t="shared" si="214"/>
        <v>1.9</v>
      </c>
      <c r="F6886">
        <f t="shared" si="215"/>
        <v>95876</v>
      </c>
      <c r="H6886" s="679">
        <v>1.9</v>
      </c>
      <c r="I6886" s="679">
        <v>1.91</v>
      </c>
    </row>
    <row r="6887" spans="2:9" ht="30">
      <c r="B6887" s="395">
        <v>95877</v>
      </c>
      <c r="C6887" s="406" t="s">
        <v>4352</v>
      </c>
      <c r="D6887" s="395" t="s">
        <v>80</v>
      </c>
      <c r="E6887" s="407">
        <f t="shared" si="214"/>
        <v>1.65</v>
      </c>
      <c r="F6887">
        <f t="shared" si="215"/>
        <v>95877</v>
      </c>
      <c r="H6887" s="680">
        <v>1.65</v>
      </c>
      <c r="I6887" s="680">
        <v>1.66</v>
      </c>
    </row>
    <row r="6888" spans="2:9" ht="30">
      <c r="B6888" s="396">
        <v>95878</v>
      </c>
      <c r="C6888" s="401" t="s">
        <v>4353</v>
      </c>
      <c r="D6888" s="396" t="s">
        <v>78</v>
      </c>
      <c r="E6888" s="405">
        <f t="shared" si="214"/>
        <v>1.55</v>
      </c>
      <c r="F6888">
        <f t="shared" si="215"/>
        <v>95878</v>
      </c>
      <c r="H6888" s="679">
        <v>1.55</v>
      </c>
      <c r="I6888" s="679">
        <v>1.57</v>
      </c>
    </row>
    <row r="6889" spans="2:9" ht="30">
      <c r="B6889" s="395">
        <v>95879</v>
      </c>
      <c r="C6889" s="406" t="s">
        <v>4354</v>
      </c>
      <c r="D6889" s="395" t="s">
        <v>78</v>
      </c>
      <c r="E6889" s="407">
        <f t="shared" si="214"/>
        <v>1.28</v>
      </c>
      <c r="F6889">
        <f t="shared" si="215"/>
        <v>95879</v>
      </c>
      <c r="H6889" s="680">
        <v>1.28</v>
      </c>
      <c r="I6889" s="680">
        <v>1.3</v>
      </c>
    </row>
    <row r="6890" spans="2:9" ht="30">
      <c r="B6890" s="396">
        <v>95880</v>
      </c>
      <c r="C6890" s="401" t="s">
        <v>4355</v>
      </c>
      <c r="D6890" s="396" t="s">
        <v>78</v>
      </c>
      <c r="E6890" s="405">
        <f t="shared" si="214"/>
        <v>1.1000000000000001</v>
      </c>
      <c r="F6890">
        <f t="shared" si="215"/>
        <v>95880</v>
      </c>
      <c r="H6890" s="679">
        <v>1.1000000000000001</v>
      </c>
      <c r="I6890" s="679">
        <v>1.1200000000000001</v>
      </c>
    </row>
    <row r="6891" spans="2:9">
      <c r="B6891" s="395">
        <v>97912</v>
      </c>
      <c r="C6891" s="406" t="s">
        <v>4356</v>
      </c>
      <c r="D6891" s="395" t="s">
        <v>80</v>
      </c>
      <c r="E6891" s="407">
        <f t="shared" si="214"/>
        <v>3.36</v>
      </c>
      <c r="F6891">
        <f t="shared" si="215"/>
        <v>97912</v>
      </c>
      <c r="H6891" s="680">
        <v>3.36</v>
      </c>
      <c r="I6891" s="680">
        <v>3.41</v>
      </c>
    </row>
    <row r="6892" spans="2:9" ht="30">
      <c r="B6892" s="396">
        <v>97913</v>
      </c>
      <c r="C6892" s="401" t="s">
        <v>4357</v>
      </c>
      <c r="D6892" s="396" t="s">
        <v>80</v>
      </c>
      <c r="E6892" s="405">
        <f t="shared" si="214"/>
        <v>2.91</v>
      </c>
      <c r="F6892">
        <f t="shared" si="215"/>
        <v>97913</v>
      </c>
      <c r="H6892" s="679">
        <v>2.91</v>
      </c>
      <c r="I6892" s="679">
        <v>2.96</v>
      </c>
    </row>
    <row r="6893" spans="2:9" ht="30">
      <c r="B6893" s="395">
        <v>97914</v>
      </c>
      <c r="C6893" s="406" t="s">
        <v>4358</v>
      </c>
      <c r="D6893" s="395" t="s">
        <v>80</v>
      </c>
      <c r="E6893" s="407">
        <f t="shared" si="214"/>
        <v>2.67</v>
      </c>
      <c r="F6893">
        <f t="shared" si="215"/>
        <v>97914</v>
      </c>
      <c r="H6893" s="680">
        <v>2.67</v>
      </c>
      <c r="I6893" s="680">
        <v>2.7</v>
      </c>
    </row>
    <row r="6894" spans="2:9" ht="30">
      <c r="B6894" s="396">
        <v>97915</v>
      </c>
      <c r="C6894" s="401" t="s">
        <v>4359</v>
      </c>
      <c r="D6894" s="396" t="s">
        <v>80</v>
      </c>
      <c r="E6894" s="405">
        <f t="shared" si="214"/>
        <v>1.07</v>
      </c>
      <c r="F6894">
        <f t="shared" si="215"/>
        <v>97915</v>
      </c>
      <c r="H6894" s="679">
        <v>1.07</v>
      </c>
      <c r="I6894" s="679">
        <v>1.08</v>
      </c>
    </row>
    <row r="6895" spans="2:9">
      <c r="B6895" s="395">
        <v>100937</v>
      </c>
      <c r="C6895" s="406" t="s">
        <v>4360</v>
      </c>
      <c r="D6895" s="395" t="s">
        <v>80</v>
      </c>
      <c r="E6895" s="407">
        <f t="shared" si="214"/>
        <v>8.02</v>
      </c>
      <c r="F6895">
        <f t="shared" si="215"/>
        <v>100937</v>
      </c>
      <c r="H6895" s="680">
        <v>8.02</v>
      </c>
      <c r="I6895" s="680">
        <v>8.14</v>
      </c>
    </row>
    <row r="6896" spans="2:9">
      <c r="B6896" s="396">
        <v>100938</v>
      </c>
      <c r="C6896" s="401" t="s">
        <v>4361</v>
      </c>
      <c r="D6896" s="396" t="s">
        <v>80</v>
      </c>
      <c r="E6896" s="405">
        <f t="shared" si="214"/>
        <v>6.96</v>
      </c>
      <c r="F6896">
        <f t="shared" si="215"/>
        <v>100938</v>
      </c>
      <c r="H6896" s="679">
        <v>6.96</v>
      </c>
      <c r="I6896" s="679">
        <v>7.04</v>
      </c>
    </row>
    <row r="6897" spans="2:9">
      <c r="B6897" s="395">
        <v>100939</v>
      </c>
      <c r="C6897" s="406" t="s">
        <v>4362</v>
      </c>
      <c r="D6897" s="395" t="s">
        <v>80</v>
      </c>
      <c r="E6897" s="407">
        <f t="shared" si="214"/>
        <v>5.78</v>
      </c>
      <c r="F6897">
        <f t="shared" si="215"/>
        <v>100939</v>
      </c>
      <c r="H6897" s="680">
        <v>5.78</v>
      </c>
      <c r="I6897" s="680">
        <v>5.83</v>
      </c>
    </row>
    <row r="6898" spans="2:9">
      <c r="B6898" s="396">
        <v>100940</v>
      </c>
      <c r="C6898" s="401" t="s">
        <v>4363</v>
      </c>
      <c r="D6898" s="396" t="s">
        <v>80</v>
      </c>
      <c r="E6898" s="405">
        <f t="shared" si="214"/>
        <v>5</v>
      </c>
      <c r="F6898">
        <f t="shared" si="215"/>
        <v>100940</v>
      </c>
      <c r="H6898" s="679">
        <v>5</v>
      </c>
      <c r="I6898" s="679">
        <v>5.04</v>
      </c>
    </row>
    <row r="6899" spans="2:9">
      <c r="B6899" s="395">
        <v>100941</v>
      </c>
      <c r="C6899" s="406" t="s">
        <v>4364</v>
      </c>
      <c r="D6899" s="395" t="s">
        <v>78</v>
      </c>
      <c r="E6899" s="407">
        <f t="shared" si="214"/>
        <v>5.34</v>
      </c>
      <c r="F6899">
        <f t="shared" si="215"/>
        <v>100941</v>
      </c>
      <c r="H6899" s="680">
        <v>5.34</v>
      </c>
      <c r="I6899" s="680">
        <v>5.42</v>
      </c>
    </row>
    <row r="6900" spans="2:9">
      <c r="B6900" s="396">
        <v>100942</v>
      </c>
      <c r="C6900" s="401" t="s">
        <v>4365</v>
      </c>
      <c r="D6900" s="396" t="s">
        <v>78</v>
      </c>
      <c r="E6900" s="405">
        <f t="shared" si="214"/>
        <v>4.6500000000000004</v>
      </c>
      <c r="F6900">
        <f t="shared" si="215"/>
        <v>100942</v>
      </c>
      <c r="H6900" s="679">
        <v>4.6500000000000004</v>
      </c>
      <c r="I6900" s="679">
        <v>4.6900000000000004</v>
      </c>
    </row>
    <row r="6901" spans="2:9">
      <c r="B6901" s="395">
        <v>100943</v>
      </c>
      <c r="C6901" s="406" t="s">
        <v>4366</v>
      </c>
      <c r="D6901" s="395" t="s">
        <v>78</v>
      </c>
      <c r="E6901" s="407">
        <f t="shared" si="214"/>
        <v>3.84</v>
      </c>
      <c r="F6901">
        <f t="shared" si="215"/>
        <v>100943</v>
      </c>
      <c r="H6901" s="680">
        <v>3.84</v>
      </c>
      <c r="I6901" s="680">
        <v>3.87</v>
      </c>
    </row>
    <row r="6902" spans="2:9">
      <c r="B6902" s="396">
        <v>100944</v>
      </c>
      <c r="C6902" s="401" t="s">
        <v>4367</v>
      </c>
      <c r="D6902" s="396" t="s">
        <v>78</v>
      </c>
      <c r="E6902" s="405">
        <f t="shared" si="214"/>
        <v>3.35</v>
      </c>
      <c r="F6902">
        <f t="shared" si="215"/>
        <v>100944</v>
      </c>
      <c r="H6902" s="679">
        <v>3.35</v>
      </c>
      <c r="I6902" s="679">
        <v>3.36</v>
      </c>
    </row>
    <row r="6903" spans="2:9">
      <c r="B6903" s="395">
        <v>100945</v>
      </c>
      <c r="C6903" s="406" t="s">
        <v>4368</v>
      </c>
      <c r="D6903" s="395" t="s">
        <v>78</v>
      </c>
      <c r="E6903" s="407">
        <f t="shared" si="214"/>
        <v>2.63</v>
      </c>
      <c r="F6903">
        <f t="shared" si="215"/>
        <v>100945</v>
      </c>
      <c r="H6903" s="680">
        <v>2.63</v>
      </c>
      <c r="I6903" s="680">
        <v>2.66</v>
      </c>
    </row>
    <row r="6904" spans="2:9">
      <c r="B6904" s="396">
        <v>100946</v>
      </c>
      <c r="C6904" s="401" t="s">
        <v>4369</v>
      </c>
      <c r="D6904" s="396" t="s">
        <v>78</v>
      </c>
      <c r="E6904" s="405">
        <f t="shared" si="214"/>
        <v>2.27</v>
      </c>
      <c r="F6904">
        <f t="shared" si="215"/>
        <v>100946</v>
      </c>
      <c r="H6904" s="679">
        <v>2.27</v>
      </c>
      <c r="I6904" s="679">
        <v>2.2999999999999998</v>
      </c>
    </row>
    <row r="6905" spans="2:9">
      <c r="B6905" s="395">
        <v>100947</v>
      </c>
      <c r="C6905" s="406" t="s">
        <v>4370</v>
      </c>
      <c r="D6905" s="395" t="s">
        <v>78</v>
      </c>
      <c r="E6905" s="407">
        <f t="shared" si="214"/>
        <v>2.08</v>
      </c>
      <c r="F6905">
        <f t="shared" si="215"/>
        <v>100947</v>
      </c>
      <c r="H6905" s="680">
        <v>2.08</v>
      </c>
      <c r="I6905" s="680">
        <v>2.11</v>
      </c>
    </row>
    <row r="6906" spans="2:9" ht="30">
      <c r="B6906" s="396">
        <v>100948</v>
      </c>
      <c r="C6906" s="401" t="s">
        <v>4371</v>
      </c>
      <c r="D6906" s="396" t="s">
        <v>78</v>
      </c>
      <c r="E6906" s="405">
        <f t="shared" si="214"/>
        <v>0.83</v>
      </c>
      <c r="F6906">
        <f t="shared" si="215"/>
        <v>100948</v>
      </c>
      <c r="H6906" s="679">
        <v>0.83</v>
      </c>
      <c r="I6906" s="679">
        <v>0.84</v>
      </c>
    </row>
    <row r="6907" spans="2:9">
      <c r="B6907" s="395">
        <v>100949</v>
      </c>
      <c r="C6907" s="406" t="s">
        <v>4372</v>
      </c>
      <c r="D6907" s="395" t="s">
        <v>78</v>
      </c>
      <c r="E6907" s="407">
        <f t="shared" si="214"/>
        <v>6.26</v>
      </c>
      <c r="F6907">
        <f t="shared" si="215"/>
        <v>100949</v>
      </c>
      <c r="H6907" s="680">
        <v>6.26</v>
      </c>
      <c r="I6907" s="680">
        <v>6.34</v>
      </c>
    </row>
    <row r="6908" spans="2:9" ht="30">
      <c r="B6908" s="396">
        <v>100950</v>
      </c>
      <c r="C6908" s="401" t="s">
        <v>4373</v>
      </c>
      <c r="D6908" s="396" t="s">
        <v>78</v>
      </c>
      <c r="E6908" s="405">
        <f t="shared" si="214"/>
        <v>3.41</v>
      </c>
      <c r="F6908">
        <f t="shared" si="215"/>
        <v>100950</v>
      </c>
      <c r="H6908" s="679">
        <v>3.41</v>
      </c>
      <c r="I6908" s="679">
        <v>3.45</v>
      </c>
    </row>
    <row r="6909" spans="2:9" ht="30">
      <c r="B6909" s="395">
        <v>100951</v>
      </c>
      <c r="C6909" s="406" t="s">
        <v>4374</v>
      </c>
      <c r="D6909" s="395" t="s">
        <v>78</v>
      </c>
      <c r="E6909" s="407">
        <f t="shared" si="214"/>
        <v>2.94</v>
      </c>
      <c r="F6909">
        <f t="shared" si="215"/>
        <v>100951</v>
      </c>
      <c r="H6909" s="680">
        <v>2.94</v>
      </c>
      <c r="I6909" s="680">
        <v>2.97</v>
      </c>
    </row>
    <row r="6910" spans="2:9" ht="30">
      <c r="B6910" s="396">
        <v>100952</v>
      </c>
      <c r="C6910" s="401" t="s">
        <v>4375</v>
      </c>
      <c r="D6910" s="396" t="s">
        <v>78</v>
      </c>
      <c r="E6910" s="405">
        <f t="shared" si="214"/>
        <v>2.7</v>
      </c>
      <c r="F6910">
        <f t="shared" si="215"/>
        <v>100952</v>
      </c>
      <c r="H6910" s="679">
        <v>2.7</v>
      </c>
      <c r="I6910" s="679">
        <v>2.73</v>
      </c>
    </row>
    <row r="6911" spans="2:9" ht="30">
      <c r="B6911" s="395">
        <v>100953</v>
      </c>
      <c r="C6911" s="406" t="s">
        <v>4376</v>
      </c>
      <c r="D6911" s="395" t="s">
        <v>78</v>
      </c>
      <c r="E6911" s="407">
        <f t="shared" si="214"/>
        <v>1.07</v>
      </c>
      <c r="F6911">
        <f t="shared" si="215"/>
        <v>100953</v>
      </c>
      <c r="H6911" s="680">
        <v>1.07</v>
      </c>
      <c r="I6911" s="680">
        <v>1.0900000000000001</v>
      </c>
    </row>
    <row r="6912" spans="2:9" ht="30">
      <c r="B6912" s="396">
        <v>100954</v>
      </c>
      <c r="C6912" s="401" t="s">
        <v>4377</v>
      </c>
      <c r="D6912" s="396" t="s">
        <v>78</v>
      </c>
      <c r="E6912" s="405">
        <f t="shared" si="214"/>
        <v>8.11</v>
      </c>
      <c r="F6912">
        <f t="shared" si="215"/>
        <v>100954</v>
      </c>
      <c r="H6912" s="679">
        <v>8.11</v>
      </c>
      <c r="I6912" s="679">
        <v>8.2100000000000009</v>
      </c>
    </row>
    <row r="6913" spans="2:9">
      <c r="B6913" s="395">
        <v>100955</v>
      </c>
      <c r="C6913" s="406" t="s">
        <v>4378</v>
      </c>
      <c r="D6913" s="395" t="s">
        <v>80</v>
      </c>
      <c r="E6913" s="407">
        <f t="shared" si="214"/>
        <v>4.6900000000000004</v>
      </c>
      <c r="F6913">
        <f t="shared" si="215"/>
        <v>100955</v>
      </c>
      <c r="H6913" s="680">
        <v>4.6900000000000004</v>
      </c>
      <c r="I6913" s="680">
        <v>4.7300000000000004</v>
      </c>
    </row>
    <row r="6914" spans="2:9">
      <c r="B6914" s="396">
        <v>100956</v>
      </c>
      <c r="C6914" s="401" t="s">
        <v>4379</v>
      </c>
      <c r="D6914" s="396" t="s">
        <v>80</v>
      </c>
      <c r="E6914" s="405">
        <f t="shared" si="214"/>
        <v>4.0599999999999996</v>
      </c>
      <c r="F6914">
        <f t="shared" si="215"/>
        <v>100956</v>
      </c>
      <c r="H6914" s="679">
        <v>4.0599999999999996</v>
      </c>
      <c r="I6914" s="679">
        <v>4.12</v>
      </c>
    </row>
    <row r="6915" spans="2:9">
      <c r="B6915" s="395">
        <v>100957</v>
      </c>
      <c r="C6915" s="406" t="s">
        <v>4380</v>
      </c>
      <c r="D6915" s="395" t="s">
        <v>80</v>
      </c>
      <c r="E6915" s="407">
        <f t="shared" ref="E6915:E6978" si="216">IF($K$2=$H$1,H6915,I6915)</f>
        <v>3.72</v>
      </c>
      <c r="F6915">
        <f t="shared" si="215"/>
        <v>100957</v>
      </c>
      <c r="H6915" s="680">
        <v>3.72</v>
      </c>
      <c r="I6915" s="680">
        <v>3.76</v>
      </c>
    </row>
    <row r="6916" spans="2:9" ht="30">
      <c r="B6916" s="396">
        <v>100958</v>
      </c>
      <c r="C6916" s="401" t="s">
        <v>4381</v>
      </c>
      <c r="D6916" s="396" t="s">
        <v>80</v>
      </c>
      <c r="E6916" s="405">
        <f t="shared" si="216"/>
        <v>1.49</v>
      </c>
      <c r="F6916">
        <f t="shared" ref="F6916:F6979" si="217">IF(LEN($B6916)=7,CONCATENATE(MID($B6916,1,6),"00",RIGHT($B6916,1)),IF(LEN($B6916)=8,CONCATENATE(MID($B6916,1,6),"0",RIGHT($B6916,2)),$B6916))</f>
        <v>100958</v>
      </c>
      <c r="H6916" s="679">
        <v>1.49</v>
      </c>
      <c r="I6916" s="679">
        <v>1.51</v>
      </c>
    </row>
    <row r="6917" spans="2:9">
      <c r="B6917" s="395">
        <v>100959</v>
      </c>
      <c r="C6917" s="406" t="s">
        <v>4382</v>
      </c>
      <c r="D6917" s="395" t="s">
        <v>80</v>
      </c>
      <c r="E6917" s="407">
        <f t="shared" si="216"/>
        <v>11.18</v>
      </c>
      <c r="F6917">
        <f t="shared" si="217"/>
        <v>100959</v>
      </c>
      <c r="H6917" s="680">
        <v>11.18</v>
      </c>
      <c r="I6917" s="680">
        <v>11.31</v>
      </c>
    </row>
    <row r="6918" spans="2:9">
      <c r="B6918" s="396">
        <v>100960</v>
      </c>
      <c r="C6918" s="401" t="s">
        <v>4383</v>
      </c>
      <c r="D6918" s="396" t="s">
        <v>80</v>
      </c>
      <c r="E6918" s="405">
        <f t="shared" si="216"/>
        <v>3.5</v>
      </c>
      <c r="F6918">
        <f t="shared" si="217"/>
        <v>100960</v>
      </c>
      <c r="H6918" s="679">
        <v>3.5</v>
      </c>
      <c r="I6918" s="679">
        <v>3.53</v>
      </c>
    </row>
    <row r="6919" spans="2:9">
      <c r="B6919" s="395">
        <v>100961</v>
      </c>
      <c r="C6919" s="406" t="s">
        <v>4384</v>
      </c>
      <c r="D6919" s="395" t="s">
        <v>80</v>
      </c>
      <c r="E6919" s="407">
        <f t="shared" si="216"/>
        <v>3.03</v>
      </c>
      <c r="F6919">
        <f t="shared" si="217"/>
        <v>100961</v>
      </c>
      <c r="H6919" s="680">
        <v>3.03</v>
      </c>
      <c r="I6919" s="680">
        <v>3.06</v>
      </c>
    </row>
    <row r="6920" spans="2:9">
      <c r="B6920" s="396">
        <v>100962</v>
      </c>
      <c r="C6920" s="401" t="s">
        <v>4385</v>
      </c>
      <c r="D6920" s="396" t="s">
        <v>80</v>
      </c>
      <c r="E6920" s="405">
        <f t="shared" si="216"/>
        <v>2.76</v>
      </c>
      <c r="F6920">
        <f t="shared" si="217"/>
        <v>100962</v>
      </c>
      <c r="H6920" s="679">
        <v>2.76</v>
      </c>
      <c r="I6920" s="679">
        <v>2.79</v>
      </c>
    </row>
    <row r="6921" spans="2:9" ht="30">
      <c r="B6921" s="395">
        <v>100963</v>
      </c>
      <c r="C6921" s="406" t="s">
        <v>4386</v>
      </c>
      <c r="D6921" s="395" t="s">
        <v>80</v>
      </c>
      <c r="E6921" s="407">
        <f t="shared" si="216"/>
        <v>1.0900000000000001</v>
      </c>
      <c r="F6921">
        <f t="shared" si="217"/>
        <v>100963</v>
      </c>
      <c r="H6921" s="680">
        <v>1.0900000000000001</v>
      </c>
      <c r="I6921" s="680">
        <v>1.1100000000000001</v>
      </c>
    </row>
    <row r="6922" spans="2:9">
      <c r="B6922" s="396">
        <v>100964</v>
      </c>
      <c r="C6922" s="401" t="s">
        <v>4387</v>
      </c>
      <c r="D6922" s="396" t="s">
        <v>80</v>
      </c>
      <c r="E6922" s="405">
        <f t="shared" si="216"/>
        <v>8.42</v>
      </c>
      <c r="F6922">
        <f t="shared" si="217"/>
        <v>100964</v>
      </c>
      <c r="H6922" s="679">
        <v>8.42</v>
      </c>
      <c r="I6922" s="679">
        <v>8.49</v>
      </c>
    </row>
    <row r="6923" spans="2:9" ht="30">
      <c r="B6923" s="395">
        <v>100973</v>
      </c>
      <c r="C6923" s="406" t="s">
        <v>4388</v>
      </c>
      <c r="D6923" s="395" t="s">
        <v>20</v>
      </c>
      <c r="E6923" s="407">
        <f t="shared" si="216"/>
        <v>7.92</v>
      </c>
      <c r="F6923">
        <f t="shared" si="217"/>
        <v>100973</v>
      </c>
      <c r="H6923" s="680">
        <v>7.92</v>
      </c>
      <c r="I6923" s="680">
        <v>8.07</v>
      </c>
    </row>
    <row r="6924" spans="2:9" ht="30">
      <c r="B6924" s="396">
        <v>100974</v>
      </c>
      <c r="C6924" s="401" t="s">
        <v>4389</v>
      </c>
      <c r="D6924" s="396" t="s">
        <v>20</v>
      </c>
      <c r="E6924" s="405">
        <f t="shared" si="216"/>
        <v>7.9</v>
      </c>
      <c r="F6924">
        <f t="shared" si="217"/>
        <v>100974</v>
      </c>
      <c r="H6924" s="679">
        <v>7.9</v>
      </c>
      <c r="I6924" s="679">
        <v>8.02</v>
      </c>
    </row>
    <row r="6925" spans="2:9" ht="30">
      <c r="B6925" s="395">
        <v>100975</v>
      </c>
      <c r="C6925" s="406" t="s">
        <v>4390</v>
      </c>
      <c r="D6925" s="395" t="s">
        <v>20</v>
      </c>
      <c r="E6925" s="407">
        <f t="shared" si="216"/>
        <v>7.65</v>
      </c>
      <c r="F6925">
        <f t="shared" si="217"/>
        <v>100975</v>
      </c>
      <c r="H6925" s="680">
        <v>7.65</v>
      </c>
      <c r="I6925" s="680">
        <v>7.75</v>
      </c>
    </row>
    <row r="6926" spans="2:9" ht="30">
      <c r="B6926" s="396">
        <v>100965</v>
      </c>
      <c r="C6926" s="401" t="s">
        <v>4391</v>
      </c>
      <c r="D6926" s="396" t="s">
        <v>78</v>
      </c>
      <c r="E6926" s="405">
        <f t="shared" si="216"/>
        <v>1.62</v>
      </c>
      <c r="F6926">
        <f t="shared" si="217"/>
        <v>100965</v>
      </c>
      <c r="H6926" s="679">
        <v>1.62</v>
      </c>
      <c r="I6926" s="679">
        <v>1.63</v>
      </c>
    </row>
    <row r="6927" spans="2:9" ht="30">
      <c r="B6927" s="395">
        <v>100966</v>
      </c>
      <c r="C6927" s="406" t="s">
        <v>4392</v>
      </c>
      <c r="D6927" s="395" t="s">
        <v>78</v>
      </c>
      <c r="E6927" s="407">
        <f t="shared" si="216"/>
        <v>1.39</v>
      </c>
      <c r="F6927">
        <f t="shared" si="217"/>
        <v>100966</v>
      </c>
      <c r="H6927" s="680">
        <v>1.39</v>
      </c>
      <c r="I6927" s="680">
        <v>1.4</v>
      </c>
    </row>
    <row r="6928" spans="2:9" ht="30">
      <c r="B6928" s="396">
        <v>100969</v>
      </c>
      <c r="C6928" s="401" t="s">
        <v>4395</v>
      </c>
      <c r="D6928" s="396" t="s">
        <v>78</v>
      </c>
      <c r="E6928" s="405">
        <f t="shared" si="216"/>
        <v>2.16</v>
      </c>
      <c r="F6928">
        <f t="shared" si="217"/>
        <v>100969</v>
      </c>
      <c r="H6928" s="679">
        <v>2.16</v>
      </c>
      <c r="I6928" s="679">
        <v>2.1800000000000002</v>
      </c>
    </row>
    <row r="6929" spans="2:9" ht="30">
      <c r="B6929" s="395">
        <v>100970</v>
      </c>
      <c r="C6929" s="406" t="s">
        <v>4396</v>
      </c>
      <c r="D6929" s="395" t="s">
        <v>78</v>
      </c>
      <c r="E6929" s="407">
        <f t="shared" si="216"/>
        <v>1.83</v>
      </c>
      <c r="F6929">
        <f t="shared" si="217"/>
        <v>100970</v>
      </c>
      <c r="H6929" s="680">
        <v>1.83</v>
      </c>
      <c r="I6929" s="680">
        <v>1.85</v>
      </c>
    </row>
    <row r="6930" spans="2:9" ht="30">
      <c r="B6930" s="396">
        <v>102330</v>
      </c>
      <c r="C6930" s="401" t="s">
        <v>4393</v>
      </c>
      <c r="D6930" s="396" t="s">
        <v>78</v>
      </c>
      <c r="E6930" s="405">
        <f t="shared" si="216"/>
        <v>1.3</v>
      </c>
      <c r="F6930">
        <f t="shared" si="217"/>
        <v>102330</v>
      </c>
      <c r="H6930" s="679">
        <v>1.3</v>
      </c>
      <c r="I6930" s="679">
        <v>1.3</v>
      </c>
    </row>
    <row r="6931" spans="2:9" ht="30">
      <c r="B6931" s="395">
        <v>102331</v>
      </c>
      <c r="C6931" s="406" t="s">
        <v>4394</v>
      </c>
      <c r="D6931" s="395" t="s">
        <v>78</v>
      </c>
      <c r="E6931" s="407">
        <f t="shared" si="216"/>
        <v>0.51</v>
      </c>
      <c r="F6931">
        <f t="shared" si="217"/>
        <v>102331</v>
      </c>
      <c r="H6931" s="680">
        <v>0.51</v>
      </c>
      <c r="I6931" s="680">
        <v>0.51</v>
      </c>
    </row>
    <row r="6932" spans="2:9" ht="30">
      <c r="B6932" s="396">
        <v>102332</v>
      </c>
      <c r="C6932" s="401" t="s">
        <v>4397</v>
      </c>
      <c r="D6932" s="396" t="s">
        <v>78</v>
      </c>
      <c r="E6932" s="405">
        <f t="shared" si="216"/>
        <v>1.71</v>
      </c>
      <c r="F6932">
        <f t="shared" si="217"/>
        <v>102332</v>
      </c>
      <c r="H6932" s="679">
        <v>1.71</v>
      </c>
      <c r="I6932" s="679">
        <v>1.72</v>
      </c>
    </row>
    <row r="6933" spans="2:9" ht="30">
      <c r="B6933" s="395">
        <v>102333</v>
      </c>
      <c r="C6933" s="406" t="s">
        <v>4398</v>
      </c>
      <c r="D6933" s="395" t="s">
        <v>78</v>
      </c>
      <c r="E6933" s="407">
        <f t="shared" si="216"/>
        <v>0.68</v>
      </c>
      <c r="F6933">
        <f t="shared" si="217"/>
        <v>102333</v>
      </c>
      <c r="H6933" s="680">
        <v>0.68</v>
      </c>
      <c r="I6933" s="680">
        <v>0.69</v>
      </c>
    </row>
    <row r="6934" spans="2:9" ht="30">
      <c r="B6934" s="396">
        <v>101019</v>
      </c>
      <c r="C6934" s="401" t="s">
        <v>4399</v>
      </c>
      <c r="D6934" s="396" t="s">
        <v>79</v>
      </c>
      <c r="E6934" s="405">
        <f t="shared" si="216"/>
        <v>515.19000000000005</v>
      </c>
      <c r="F6934">
        <f t="shared" si="217"/>
        <v>101019</v>
      </c>
      <c r="H6934" s="679">
        <v>515.19000000000005</v>
      </c>
      <c r="I6934" s="679">
        <v>533.91</v>
      </c>
    </row>
    <row r="6935" spans="2:9">
      <c r="B6935" s="395">
        <v>101479</v>
      </c>
      <c r="C6935" s="406" t="s">
        <v>4400</v>
      </c>
      <c r="D6935" s="395" t="s">
        <v>79</v>
      </c>
      <c r="E6935" s="407">
        <f t="shared" si="216"/>
        <v>150.09</v>
      </c>
      <c r="F6935">
        <f t="shared" si="217"/>
        <v>101479</v>
      </c>
      <c r="H6935" s="680">
        <v>150.09</v>
      </c>
      <c r="I6935" s="680">
        <v>155.55000000000001</v>
      </c>
    </row>
    <row r="6936" spans="2:9">
      <c r="B6936" s="396">
        <v>102568</v>
      </c>
      <c r="C6936" s="401" t="s">
        <v>5699</v>
      </c>
      <c r="D6936" s="396" t="s">
        <v>79</v>
      </c>
      <c r="E6936" s="405">
        <f t="shared" si="216"/>
        <v>255.7</v>
      </c>
      <c r="F6936">
        <f t="shared" si="217"/>
        <v>102568</v>
      </c>
      <c r="H6936" s="679">
        <v>255.7</v>
      </c>
      <c r="I6936" s="679">
        <v>265</v>
      </c>
    </row>
    <row r="6937" spans="2:9" ht="30">
      <c r="B6937" s="395">
        <v>100976</v>
      </c>
      <c r="C6937" s="406" t="s">
        <v>4401</v>
      </c>
      <c r="D6937" s="395" t="s">
        <v>20</v>
      </c>
      <c r="E6937" s="407">
        <f t="shared" si="216"/>
        <v>7.6</v>
      </c>
      <c r="F6937">
        <f t="shared" si="217"/>
        <v>100976</v>
      </c>
      <c r="H6937" s="680">
        <v>7.6</v>
      </c>
      <c r="I6937" s="680">
        <v>7.68</v>
      </c>
    </row>
    <row r="6938" spans="2:9" ht="30">
      <c r="B6938" s="396">
        <v>100977</v>
      </c>
      <c r="C6938" s="401" t="s">
        <v>4402</v>
      </c>
      <c r="D6938" s="396" t="s">
        <v>20</v>
      </c>
      <c r="E6938" s="405">
        <f t="shared" si="216"/>
        <v>6.8</v>
      </c>
      <c r="F6938">
        <f t="shared" si="217"/>
        <v>100977</v>
      </c>
      <c r="H6938" s="679">
        <v>6.8</v>
      </c>
      <c r="I6938" s="679">
        <v>6.92</v>
      </c>
    </row>
    <row r="6939" spans="2:9" ht="30">
      <c r="B6939" s="395">
        <v>100978</v>
      </c>
      <c r="C6939" s="406" t="s">
        <v>4403</v>
      </c>
      <c r="D6939" s="395" t="s">
        <v>20</v>
      </c>
      <c r="E6939" s="407">
        <f t="shared" si="216"/>
        <v>6.35</v>
      </c>
      <c r="F6939">
        <f t="shared" si="217"/>
        <v>100978</v>
      </c>
      <c r="H6939" s="680">
        <v>6.35</v>
      </c>
      <c r="I6939" s="680">
        <v>6.44</v>
      </c>
    </row>
    <row r="6940" spans="2:9" ht="30">
      <c r="B6940" s="396">
        <v>100979</v>
      </c>
      <c r="C6940" s="401" t="s">
        <v>4404</v>
      </c>
      <c r="D6940" s="396" t="s">
        <v>20</v>
      </c>
      <c r="E6940" s="405">
        <f t="shared" si="216"/>
        <v>5.86</v>
      </c>
      <c r="F6940">
        <f t="shared" si="217"/>
        <v>100979</v>
      </c>
      <c r="H6940" s="679">
        <v>5.86</v>
      </c>
      <c r="I6940" s="679">
        <v>5.93</v>
      </c>
    </row>
    <row r="6941" spans="2:9" ht="30">
      <c r="B6941" s="395">
        <v>100980</v>
      </c>
      <c r="C6941" s="406" t="s">
        <v>4405</v>
      </c>
      <c r="D6941" s="395" t="s">
        <v>20</v>
      </c>
      <c r="E6941" s="407">
        <f t="shared" si="216"/>
        <v>5.62</v>
      </c>
      <c r="F6941">
        <f t="shared" si="217"/>
        <v>100980</v>
      </c>
      <c r="H6941" s="680">
        <v>5.62</v>
      </c>
      <c r="I6941" s="680">
        <v>5.69</v>
      </c>
    </row>
    <row r="6942" spans="2:9" ht="30">
      <c r="B6942" s="396">
        <v>100981</v>
      </c>
      <c r="C6942" s="401" t="s">
        <v>4406</v>
      </c>
      <c r="D6942" s="396" t="s">
        <v>20</v>
      </c>
      <c r="E6942" s="405">
        <f t="shared" si="216"/>
        <v>8.32</v>
      </c>
      <c r="F6942">
        <f t="shared" si="217"/>
        <v>100981</v>
      </c>
      <c r="H6942" s="679">
        <v>8.32</v>
      </c>
      <c r="I6942" s="679">
        <v>8.4700000000000006</v>
      </c>
    </row>
    <row r="6943" spans="2:9" ht="30">
      <c r="B6943" s="395">
        <v>100982</v>
      </c>
      <c r="C6943" s="406" t="s">
        <v>4407</v>
      </c>
      <c r="D6943" s="395" t="s">
        <v>20</v>
      </c>
      <c r="E6943" s="407">
        <f t="shared" si="216"/>
        <v>8.24</v>
      </c>
      <c r="F6943">
        <f t="shared" si="217"/>
        <v>100982</v>
      </c>
      <c r="H6943" s="680">
        <v>8.24</v>
      </c>
      <c r="I6943" s="680">
        <v>8.36</v>
      </c>
    </row>
    <row r="6944" spans="2:9" ht="30">
      <c r="B6944" s="396">
        <v>100983</v>
      </c>
      <c r="C6944" s="401" t="s">
        <v>4408</v>
      </c>
      <c r="D6944" s="396" t="s">
        <v>20</v>
      </c>
      <c r="E6944" s="405">
        <f t="shared" si="216"/>
        <v>7.97</v>
      </c>
      <c r="F6944">
        <f t="shared" si="217"/>
        <v>100983</v>
      </c>
      <c r="H6944" s="679">
        <v>7.97</v>
      </c>
      <c r="I6944" s="679">
        <v>8.07</v>
      </c>
    </row>
    <row r="6945" spans="2:9" ht="30">
      <c r="B6945" s="395">
        <v>100984</v>
      </c>
      <c r="C6945" s="406" t="s">
        <v>4409</v>
      </c>
      <c r="D6945" s="395" t="s">
        <v>20</v>
      </c>
      <c r="E6945" s="407">
        <f t="shared" si="216"/>
        <v>7.89</v>
      </c>
      <c r="F6945">
        <f t="shared" si="217"/>
        <v>100984</v>
      </c>
      <c r="H6945" s="680">
        <v>7.89</v>
      </c>
      <c r="I6945" s="680">
        <v>7.98</v>
      </c>
    </row>
    <row r="6946" spans="2:9">
      <c r="B6946" s="396">
        <v>100985</v>
      </c>
      <c r="C6946" s="401" t="s">
        <v>4410</v>
      </c>
      <c r="D6946" s="396" t="s">
        <v>20</v>
      </c>
      <c r="E6946" s="405">
        <f t="shared" si="216"/>
        <v>6.66</v>
      </c>
      <c r="F6946">
        <f t="shared" si="217"/>
        <v>100985</v>
      </c>
      <c r="H6946" s="679">
        <v>6.66</v>
      </c>
      <c r="I6946" s="679">
        <v>6.76</v>
      </c>
    </row>
    <row r="6947" spans="2:9">
      <c r="B6947" s="395">
        <v>100986</v>
      </c>
      <c r="C6947" s="406" t="s">
        <v>4411</v>
      </c>
      <c r="D6947" s="395" t="s">
        <v>20</v>
      </c>
      <c r="E6947" s="407">
        <f t="shared" si="216"/>
        <v>8.3699999999999992</v>
      </c>
      <c r="F6947">
        <f t="shared" si="217"/>
        <v>100986</v>
      </c>
      <c r="H6947" s="680">
        <v>8.3699999999999992</v>
      </c>
      <c r="I6947" s="680">
        <v>8.4600000000000009</v>
      </c>
    </row>
    <row r="6948" spans="2:9">
      <c r="B6948" s="396">
        <v>100987</v>
      </c>
      <c r="C6948" s="401" t="s">
        <v>4412</v>
      </c>
      <c r="D6948" s="396" t="s">
        <v>20</v>
      </c>
      <c r="E6948" s="405">
        <f t="shared" si="216"/>
        <v>9.1</v>
      </c>
      <c r="F6948">
        <f t="shared" si="217"/>
        <v>100987</v>
      </c>
      <c r="H6948" s="679">
        <v>9.1</v>
      </c>
      <c r="I6948" s="679">
        <v>9.18</v>
      </c>
    </row>
    <row r="6949" spans="2:9">
      <c r="B6949" s="395">
        <v>100988</v>
      </c>
      <c r="C6949" s="406" t="s">
        <v>4413</v>
      </c>
      <c r="D6949" s="395" t="s">
        <v>20</v>
      </c>
      <c r="E6949" s="407">
        <f t="shared" si="216"/>
        <v>9.7899999999999991</v>
      </c>
      <c r="F6949">
        <f t="shared" si="217"/>
        <v>100988</v>
      </c>
      <c r="H6949" s="680">
        <v>9.7899999999999991</v>
      </c>
      <c r="I6949" s="680">
        <v>9.8699999999999992</v>
      </c>
    </row>
    <row r="6950" spans="2:9" ht="30">
      <c r="B6950" s="396">
        <v>100989</v>
      </c>
      <c r="C6950" s="401" t="s">
        <v>4414</v>
      </c>
      <c r="D6950" s="396" t="s">
        <v>79</v>
      </c>
      <c r="E6950" s="405">
        <f t="shared" si="216"/>
        <v>5.28</v>
      </c>
      <c r="F6950">
        <f t="shared" si="217"/>
        <v>100989</v>
      </c>
      <c r="H6950" s="679">
        <v>5.28</v>
      </c>
      <c r="I6950" s="679">
        <v>5.37</v>
      </c>
    </row>
    <row r="6951" spans="2:9" ht="30">
      <c r="B6951" s="395">
        <v>100990</v>
      </c>
      <c r="C6951" s="406" t="s">
        <v>4415</v>
      </c>
      <c r="D6951" s="395" t="s">
        <v>79</v>
      </c>
      <c r="E6951" s="407">
        <f t="shared" si="216"/>
        <v>5.27</v>
      </c>
      <c r="F6951">
        <f t="shared" si="217"/>
        <v>100990</v>
      </c>
      <c r="H6951" s="680">
        <v>5.27</v>
      </c>
      <c r="I6951" s="680">
        <v>5.35</v>
      </c>
    </row>
    <row r="6952" spans="2:9" ht="30">
      <c r="B6952" s="396">
        <v>100991</v>
      </c>
      <c r="C6952" s="401" t="s">
        <v>4416</v>
      </c>
      <c r="D6952" s="396" t="s">
        <v>79</v>
      </c>
      <c r="E6952" s="405">
        <f t="shared" si="216"/>
        <v>5.12</v>
      </c>
      <c r="F6952">
        <f t="shared" si="217"/>
        <v>100991</v>
      </c>
      <c r="H6952" s="679">
        <v>5.12</v>
      </c>
      <c r="I6952" s="679">
        <v>5.17</v>
      </c>
    </row>
    <row r="6953" spans="2:9" ht="30">
      <c r="B6953" s="395">
        <v>100992</v>
      </c>
      <c r="C6953" s="406" t="s">
        <v>4417</v>
      </c>
      <c r="D6953" s="395" t="s">
        <v>79</v>
      </c>
      <c r="E6953" s="407">
        <f t="shared" si="216"/>
        <v>5.07</v>
      </c>
      <c r="F6953">
        <f t="shared" si="217"/>
        <v>100992</v>
      </c>
      <c r="H6953" s="680">
        <v>5.07</v>
      </c>
      <c r="I6953" s="680">
        <v>5.12</v>
      </c>
    </row>
    <row r="6954" spans="2:9" ht="30">
      <c r="B6954" s="396">
        <v>100993</v>
      </c>
      <c r="C6954" s="401" t="s">
        <v>4418</v>
      </c>
      <c r="D6954" s="396" t="s">
        <v>79</v>
      </c>
      <c r="E6954" s="405">
        <f t="shared" si="216"/>
        <v>4.53</v>
      </c>
      <c r="F6954">
        <f t="shared" si="217"/>
        <v>100993</v>
      </c>
      <c r="H6954" s="679">
        <v>4.53</v>
      </c>
      <c r="I6954" s="679">
        <v>4.62</v>
      </c>
    </row>
    <row r="6955" spans="2:9" ht="30">
      <c r="B6955" s="395">
        <v>100994</v>
      </c>
      <c r="C6955" s="406" t="s">
        <v>4419</v>
      </c>
      <c r="D6955" s="395" t="s">
        <v>79</v>
      </c>
      <c r="E6955" s="407">
        <f t="shared" si="216"/>
        <v>4.22</v>
      </c>
      <c r="F6955">
        <f t="shared" si="217"/>
        <v>100994</v>
      </c>
      <c r="H6955" s="680">
        <v>4.22</v>
      </c>
      <c r="I6955" s="680">
        <v>4.2699999999999996</v>
      </c>
    </row>
    <row r="6956" spans="2:9" ht="30">
      <c r="B6956" s="396">
        <v>100995</v>
      </c>
      <c r="C6956" s="401" t="s">
        <v>4420</v>
      </c>
      <c r="D6956" s="396" t="s">
        <v>79</v>
      </c>
      <c r="E6956" s="405">
        <f t="shared" si="216"/>
        <v>3.91</v>
      </c>
      <c r="F6956">
        <f t="shared" si="217"/>
        <v>100995</v>
      </c>
      <c r="H6956" s="679">
        <v>3.91</v>
      </c>
      <c r="I6956" s="679">
        <v>3.96</v>
      </c>
    </row>
    <row r="6957" spans="2:9" ht="30">
      <c r="B6957" s="395">
        <v>100996</v>
      </c>
      <c r="C6957" s="406" t="s">
        <v>4421</v>
      </c>
      <c r="D6957" s="395" t="s">
        <v>79</v>
      </c>
      <c r="E6957" s="407">
        <f t="shared" si="216"/>
        <v>3.73</v>
      </c>
      <c r="F6957">
        <f t="shared" si="217"/>
        <v>100996</v>
      </c>
      <c r="H6957" s="680">
        <v>3.73</v>
      </c>
      <c r="I6957" s="680">
        <v>3.77</v>
      </c>
    </row>
    <row r="6958" spans="2:9" ht="30">
      <c r="B6958" s="396">
        <v>100997</v>
      </c>
      <c r="C6958" s="401" t="s">
        <v>4422</v>
      </c>
      <c r="D6958" s="396" t="s">
        <v>79</v>
      </c>
      <c r="E6958" s="405">
        <f t="shared" si="216"/>
        <v>5.56</v>
      </c>
      <c r="F6958">
        <f t="shared" si="217"/>
        <v>100997</v>
      </c>
      <c r="H6958" s="679">
        <v>5.56</v>
      </c>
      <c r="I6958" s="679">
        <v>5.65</v>
      </c>
    </row>
    <row r="6959" spans="2:9" ht="30">
      <c r="B6959" s="395">
        <v>100998</v>
      </c>
      <c r="C6959" s="406" t="s">
        <v>4423</v>
      </c>
      <c r="D6959" s="395" t="s">
        <v>79</v>
      </c>
      <c r="E6959" s="407">
        <f t="shared" si="216"/>
        <v>5.5</v>
      </c>
      <c r="F6959">
        <f t="shared" si="217"/>
        <v>100998</v>
      </c>
      <c r="H6959" s="680">
        <v>5.5</v>
      </c>
      <c r="I6959" s="680">
        <v>5.58</v>
      </c>
    </row>
    <row r="6960" spans="2:9" ht="30">
      <c r="B6960" s="396">
        <v>100999</v>
      </c>
      <c r="C6960" s="401" t="s">
        <v>4424</v>
      </c>
      <c r="D6960" s="396" t="s">
        <v>79</v>
      </c>
      <c r="E6960" s="405">
        <f t="shared" si="216"/>
        <v>5.34</v>
      </c>
      <c r="F6960">
        <f t="shared" si="217"/>
        <v>100999</v>
      </c>
      <c r="H6960" s="679">
        <v>5.34</v>
      </c>
      <c r="I6960" s="679">
        <v>5.39</v>
      </c>
    </row>
    <row r="6961" spans="2:9" ht="30">
      <c r="B6961" s="395">
        <v>101000</v>
      </c>
      <c r="C6961" s="406" t="s">
        <v>4425</v>
      </c>
      <c r="D6961" s="395" t="s">
        <v>79</v>
      </c>
      <c r="E6961" s="407">
        <f t="shared" si="216"/>
        <v>5.28</v>
      </c>
      <c r="F6961">
        <f t="shared" si="217"/>
        <v>101000</v>
      </c>
      <c r="H6961" s="680">
        <v>5.28</v>
      </c>
      <c r="I6961" s="680">
        <v>5.33</v>
      </c>
    </row>
    <row r="6962" spans="2:9">
      <c r="B6962" s="396">
        <v>101001</v>
      </c>
      <c r="C6962" s="401" t="s">
        <v>4426</v>
      </c>
      <c r="D6962" s="396" t="s">
        <v>79</v>
      </c>
      <c r="E6962" s="405">
        <f t="shared" si="216"/>
        <v>4.4400000000000004</v>
      </c>
      <c r="F6962">
        <f t="shared" si="217"/>
        <v>101001</v>
      </c>
      <c r="H6962" s="679">
        <v>4.4400000000000004</v>
      </c>
      <c r="I6962" s="679">
        <v>4.5199999999999996</v>
      </c>
    </row>
    <row r="6963" spans="2:9">
      <c r="B6963" s="395">
        <v>101002</v>
      </c>
      <c r="C6963" s="406" t="s">
        <v>4427</v>
      </c>
      <c r="D6963" s="395" t="s">
        <v>79</v>
      </c>
      <c r="E6963" s="407">
        <f t="shared" si="216"/>
        <v>5.56</v>
      </c>
      <c r="F6963">
        <f t="shared" si="217"/>
        <v>101002</v>
      </c>
      <c r="H6963" s="680">
        <v>5.56</v>
      </c>
      <c r="I6963" s="680">
        <v>5.63</v>
      </c>
    </row>
    <row r="6964" spans="2:9">
      <c r="B6964" s="396">
        <v>101003</v>
      </c>
      <c r="C6964" s="401" t="s">
        <v>4428</v>
      </c>
      <c r="D6964" s="396" t="s">
        <v>79</v>
      </c>
      <c r="E6964" s="405">
        <f t="shared" si="216"/>
        <v>6.05</v>
      </c>
      <c r="F6964">
        <f t="shared" si="217"/>
        <v>101003</v>
      </c>
      <c r="H6964" s="679">
        <v>6.05</v>
      </c>
      <c r="I6964" s="679">
        <v>6.11</v>
      </c>
    </row>
    <row r="6965" spans="2:9">
      <c r="B6965" s="395">
        <v>101004</v>
      </c>
      <c r="C6965" s="406" t="s">
        <v>4429</v>
      </c>
      <c r="D6965" s="395" t="s">
        <v>79</v>
      </c>
      <c r="E6965" s="407">
        <f t="shared" si="216"/>
        <v>6.53</v>
      </c>
      <c r="F6965">
        <f t="shared" si="217"/>
        <v>101004</v>
      </c>
      <c r="H6965" s="680">
        <v>6.53</v>
      </c>
      <c r="I6965" s="680">
        <v>6.57</v>
      </c>
    </row>
    <row r="6966" spans="2:9">
      <c r="B6966" s="396">
        <v>101005</v>
      </c>
      <c r="C6966" s="401" t="s">
        <v>4430</v>
      </c>
      <c r="D6966" s="396" t="s">
        <v>20</v>
      </c>
      <c r="E6966" s="405">
        <f t="shared" si="216"/>
        <v>17.850000000000001</v>
      </c>
      <c r="F6966">
        <f t="shared" si="217"/>
        <v>101005</v>
      </c>
      <c r="H6966" s="679">
        <v>17.850000000000001</v>
      </c>
      <c r="I6966" s="679">
        <v>18.03</v>
      </c>
    </row>
    <row r="6967" spans="2:9">
      <c r="B6967" s="395">
        <v>101006</v>
      </c>
      <c r="C6967" s="406" t="s">
        <v>4431</v>
      </c>
      <c r="D6967" s="395" t="s">
        <v>20</v>
      </c>
      <c r="E6967" s="407">
        <f t="shared" si="216"/>
        <v>19.96</v>
      </c>
      <c r="F6967">
        <f t="shared" si="217"/>
        <v>101006</v>
      </c>
      <c r="H6967" s="680">
        <v>19.96</v>
      </c>
      <c r="I6967" s="680">
        <v>20.13</v>
      </c>
    </row>
    <row r="6968" spans="2:9">
      <c r="B6968" s="396">
        <v>101007</v>
      </c>
      <c r="C6968" s="401" t="s">
        <v>4432</v>
      </c>
      <c r="D6968" s="396" t="s">
        <v>20</v>
      </c>
      <c r="E6968" s="405">
        <f t="shared" si="216"/>
        <v>5.18</v>
      </c>
      <c r="F6968">
        <f t="shared" si="217"/>
        <v>101007</v>
      </c>
      <c r="H6968" s="679">
        <v>5.18</v>
      </c>
      <c r="I6968" s="679">
        <v>5.23</v>
      </c>
    </row>
    <row r="6969" spans="2:9">
      <c r="B6969" s="395">
        <v>101008</v>
      </c>
      <c r="C6969" s="406" t="s">
        <v>4433</v>
      </c>
      <c r="D6969" s="395" t="s">
        <v>20</v>
      </c>
      <c r="E6969" s="407">
        <f t="shared" si="216"/>
        <v>5.27</v>
      </c>
      <c r="F6969">
        <f t="shared" si="217"/>
        <v>101008</v>
      </c>
      <c r="H6969" s="680">
        <v>5.27</v>
      </c>
      <c r="I6969" s="680">
        <v>5.32</v>
      </c>
    </row>
    <row r="6970" spans="2:9" ht="30">
      <c r="B6970" s="396">
        <v>101009</v>
      </c>
      <c r="C6970" s="401" t="s">
        <v>4434</v>
      </c>
      <c r="D6970" s="396" t="s">
        <v>79</v>
      </c>
      <c r="E6970" s="405">
        <f t="shared" si="216"/>
        <v>41.08</v>
      </c>
      <c r="F6970">
        <f t="shared" si="217"/>
        <v>101009</v>
      </c>
      <c r="H6970" s="679">
        <v>41.08</v>
      </c>
      <c r="I6970" s="679">
        <v>41.57</v>
      </c>
    </row>
    <row r="6971" spans="2:9">
      <c r="B6971" s="395">
        <v>101010</v>
      </c>
      <c r="C6971" s="406" t="s">
        <v>4435</v>
      </c>
      <c r="D6971" s="395" t="s">
        <v>79</v>
      </c>
      <c r="E6971" s="407">
        <f t="shared" si="216"/>
        <v>25.87</v>
      </c>
      <c r="F6971">
        <f t="shared" si="217"/>
        <v>101010</v>
      </c>
      <c r="H6971" s="680">
        <v>25.87</v>
      </c>
      <c r="I6971" s="680">
        <v>26.17</v>
      </c>
    </row>
    <row r="6972" spans="2:9" ht="30">
      <c r="B6972" s="396">
        <v>101013</v>
      </c>
      <c r="C6972" s="401" t="s">
        <v>4436</v>
      </c>
      <c r="D6972" s="396" t="s">
        <v>79</v>
      </c>
      <c r="E6972" s="405">
        <f t="shared" si="216"/>
        <v>42</v>
      </c>
      <c r="F6972">
        <f t="shared" si="217"/>
        <v>101013</v>
      </c>
      <c r="H6972" s="679">
        <v>42</v>
      </c>
      <c r="I6972" s="679">
        <v>43.08</v>
      </c>
    </row>
    <row r="6973" spans="2:9" ht="30">
      <c r="B6973" s="395">
        <v>101014</v>
      </c>
      <c r="C6973" s="406" t="s">
        <v>4437</v>
      </c>
      <c r="D6973" s="395" t="s">
        <v>79</v>
      </c>
      <c r="E6973" s="407">
        <f t="shared" si="216"/>
        <v>38.479999999999997</v>
      </c>
      <c r="F6973">
        <f t="shared" si="217"/>
        <v>101014</v>
      </c>
      <c r="H6973" s="680">
        <v>38.479999999999997</v>
      </c>
      <c r="I6973" s="680">
        <v>39.47</v>
      </c>
    </row>
    <row r="6974" spans="2:9" ht="30">
      <c r="B6974" s="396">
        <v>101015</v>
      </c>
      <c r="C6974" s="401" t="s">
        <v>4438</v>
      </c>
      <c r="D6974" s="396" t="s">
        <v>79</v>
      </c>
      <c r="E6974" s="405">
        <f t="shared" si="216"/>
        <v>31.61</v>
      </c>
      <c r="F6974">
        <f t="shared" si="217"/>
        <v>101015</v>
      </c>
      <c r="H6974" s="679">
        <v>31.61</v>
      </c>
      <c r="I6974" s="679">
        <v>32.43</v>
      </c>
    </row>
    <row r="6975" spans="2:9" ht="30">
      <c r="B6975" s="395">
        <v>101016</v>
      </c>
      <c r="C6975" s="406" t="s">
        <v>4439</v>
      </c>
      <c r="D6975" s="395" t="s">
        <v>79</v>
      </c>
      <c r="E6975" s="407">
        <f t="shared" si="216"/>
        <v>36.590000000000003</v>
      </c>
      <c r="F6975">
        <f t="shared" si="217"/>
        <v>101016</v>
      </c>
      <c r="H6975" s="680">
        <v>36.590000000000003</v>
      </c>
      <c r="I6975" s="680">
        <v>37.53</v>
      </c>
    </row>
    <row r="6976" spans="2:9" ht="30">
      <c r="B6976" s="396">
        <v>101017</v>
      </c>
      <c r="C6976" s="401" t="s">
        <v>4440</v>
      </c>
      <c r="D6976" s="396" t="s">
        <v>79</v>
      </c>
      <c r="E6976" s="405">
        <f t="shared" si="216"/>
        <v>27.74</v>
      </c>
      <c r="F6976">
        <f t="shared" si="217"/>
        <v>101017</v>
      </c>
      <c r="H6976" s="679">
        <v>27.74</v>
      </c>
      <c r="I6976" s="679">
        <v>28.46</v>
      </c>
    </row>
    <row r="6977" spans="2:9" ht="30">
      <c r="B6977" s="395">
        <v>101018</v>
      </c>
      <c r="C6977" s="406" t="s">
        <v>4441</v>
      </c>
      <c r="D6977" s="395" t="s">
        <v>79</v>
      </c>
      <c r="E6977" s="407">
        <f t="shared" si="216"/>
        <v>22.79</v>
      </c>
      <c r="F6977">
        <f t="shared" si="217"/>
        <v>101018</v>
      </c>
      <c r="H6977" s="680">
        <v>22.79</v>
      </c>
      <c r="I6977" s="680">
        <v>23.37</v>
      </c>
    </row>
    <row r="6978" spans="2:9" ht="30">
      <c r="B6978" s="396">
        <v>101463</v>
      </c>
      <c r="C6978" s="401" t="s">
        <v>4442</v>
      </c>
      <c r="D6978" s="396" t="s">
        <v>79</v>
      </c>
      <c r="E6978" s="405">
        <f t="shared" si="216"/>
        <v>42.13</v>
      </c>
      <c r="F6978">
        <f t="shared" si="217"/>
        <v>101463</v>
      </c>
      <c r="H6978" s="679">
        <v>42.13</v>
      </c>
      <c r="I6978" s="679">
        <v>43.21</v>
      </c>
    </row>
    <row r="6979" spans="2:9" ht="30">
      <c r="B6979" s="395">
        <v>101464</v>
      </c>
      <c r="C6979" s="406" t="s">
        <v>4443</v>
      </c>
      <c r="D6979" s="395" t="s">
        <v>79</v>
      </c>
      <c r="E6979" s="407">
        <f t="shared" ref="E6979:E7042" si="218">IF($K$2=$H$1,H6979,I6979)</f>
        <v>32.36</v>
      </c>
      <c r="F6979">
        <f t="shared" si="217"/>
        <v>101464</v>
      </c>
      <c r="H6979" s="680">
        <v>32.36</v>
      </c>
      <c r="I6979" s="680">
        <v>33.18</v>
      </c>
    </row>
    <row r="6980" spans="2:9" ht="30">
      <c r="B6980" s="396">
        <v>101465</v>
      </c>
      <c r="C6980" s="401" t="s">
        <v>4444</v>
      </c>
      <c r="D6980" s="396" t="s">
        <v>79</v>
      </c>
      <c r="E6980" s="405">
        <f t="shared" si="218"/>
        <v>24.74</v>
      </c>
      <c r="F6980">
        <f t="shared" ref="F6980:F7043" si="219">IF(LEN($B6980)=7,CONCATENATE(MID($B6980,1,6),"00",RIGHT($B6980,1)),IF(LEN($B6980)=8,CONCATENATE(MID($B6980,1,6),"0",RIGHT($B6980,2)),$B6980))</f>
        <v>101465</v>
      </c>
      <c r="H6980" s="679">
        <v>24.74</v>
      </c>
      <c r="I6980" s="679">
        <v>25.37</v>
      </c>
    </row>
    <row r="6981" spans="2:9" ht="30">
      <c r="B6981" s="395">
        <v>101466</v>
      </c>
      <c r="C6981" s="406" t="s">
        <v>4445</v>
      </c>
      <c r="D6981" s="395" t="s">
        <v>79</v>
      </c>
      <c r="E6981" s="407">
        <f t="shared" si="218"/>
        <v>20.12</v>
      </c>
      <c r="F6981">
        <f t="shared" si="219"/>
        <v>101466</v>
      </c>
      <c r="H6981" s="680">
        <v>20.12</v>
      </c>
      <c r="I6981" s="680">
        <v>20.63</v>
      </c>
    </row>
    <row r="6982" spans="2:9" ht="30">
      <c r="B6982" s="396">
        <v>101467</v>
      </c>
      <c r="C6982" s="401" t="s">
        <v>4446</v>
      </c>
      <c r="D6982" s="396" t="s">
        <v>79</v>
      </c>
      <c r="E6982" s="405">
        <f t="shared" si="218"/>
        <v>16.84</v>
      </c>
      <c r="F6982">
        <f t="shared" si="219"/>
        <v>101467</v>
      </c>
      <c r="H6982" s="679">
        <v>16.84</v>
      </c>
      <c r="I6982" s="679">
        <v>17.260000000000002</v>
      </c>
    </row>
    <row r="6983" spans="2:9" ht="30">
      <c r="B6983" s="395">
        <v>101468</v>
      </c>
      <c r="C6983" s="406" t="s">
        <v>4447</v>
      </c>
      <c r="D6983" s="395" t="s">
        <v>79</v>
      </c>
      <c r="E6983" s="407">
        <f t="shared" si="218"/>
        <v>15.4</v>
      </c>
      <c r="F6983">
        <f t="shared" si="219"/>
        <v>101468</v>
      </c>
      <c r="H6983" s="680">
        <v>15.4</v>
      </c>
      <c r="I6983" s="680">
        <v>15.8</v>
      </c>
    </row>
    <row r="6984" spans="2:9" ht="30">
      <c r="B6984" s="396">
        <v>101469</v>
      </c>
      <c r="C6984" s="401" t="s">
        <v>4448</v>
      </c>
      <c r="D6984" s="396" t="s">
        <v>79</v>
      </c>
      <c r="E6984" s="405">
        <f t="shared" si="218"/>
        <v>34.479999999999997</v>
      </c>
      <c r="F6984">
        <f t="shared" si="219"/>
        <v>101469</v>
      </c>
      <c r="H6984" s="679">
        <v>34.479999999999997</v>
      </c>
      <c r="I6984" s="679">
        <v>35.36</v>
      </c>
    </row>
    <row r="6985" spans="2:9" ht="30">
      <c r="B6985" s="395">
        <v>101470</v>
      </c>
      <c r="C6985" s="406" t="s">
        <v>4449</v>
      </c>
      <c r="D6985" s="395" t="s">
        <v>79</v>
      </c>
      <c r="E6985" s="407">
        <f t="shared" si="218"/>
        <v>27.37</v>
      </c>
      <c r="F6985">
        <f t="shared" si="219"/>
        <v>101470</v>
      </c>
      <c r="H6985" s="680">
        <v>27.37</v>
      </c>
      <c r="I6985" s="680">
        <v>28.07</v>
      </c>
    </row>
    <row r="6986" spans="2:9" ht="30">
      <c r="B6986" s="396">
        <v>101471</v>
      </c>
      <c r="C6986" s="401" t="s">
        <v>4450</v>
      </c>
      <c r="D6986" s="396" t="s">
        <v>79</v>
      </c>
      <c r="E6986" s="405">
        <f t="shared" si="218"/>
        <v>23.48</v>
      </c>
      <c r="F6986">
        <f t="shared" si="219"/>
        <v>101471</v>
      </c>
      <c r="H6986" s="679">
        <v>23.48</v>
      </c>
      <c r="I6986" s="679">
        <v>24.07</v>
      </c>
    </row>
    <row r="6987" spans="2:9" ht="30">
      <c r="B6987" s="395">
        <v>101472</v>
      </c>
      <c r="C6987" s="406" t="s">
        <v>4451</v>
      </c>
      <c r="D6987" s="395" t="s">
        <v>79</v>
      </c>
      <c r="E6987" s="407">
        <f t="shared" si="218"/>
        <v>18.27</v>
      </c>
      <c r="F6987">
        <f t="shared" si="219"/>
        <v>101472</v>
      </c>
      <c r="H6987" s="680">
        <v>18.27</v>
      </c>
      <c r="I6987" s="680">
        <v>18.739999999999998</v>
      </c>
    </row>
    <row r="6988" spans="2:9" ht="30">
      <c r="B6988" s="396">
        <v>101473</v>
      </c>
      <c r="C6988" s="401" t="s">
        <v>4452</v>
      </c>
      <c r="D6988" s="396" t="s">
        <v>79</v>
      </c>
      <c r="E6988" s="405">
        <f t="shared" si="218"/>
        <v>26.31</v>
      </c>
      <c r="F6988">
        <f t="shared" si="219"/>
        <v>101473</v>
      </c>
      <c r="H6988" s="679">
        <v>26.31</v>
      </c>
      <c r="I6988" s="679">
        <v>26.98</v>
      </c>
    </row>
    <row r="6989" spans="2:9" ht="30">
      <c r="B6989" s="395">
        <v>101474</v>
      </c>
      <c r="C6989" s="406" t="s">
        <v>4453</v>
      </c>
      <c r="D6989" s="395" t="s">
        <v>79</v>
      </c>
      <c r="E6989" s="407">
        <f t="shared" si="218"/>
        <v>18.82</v>
      </c>
      <c r="F6989">
        <f t="shared" si="219"/>
        <v>101474</v>
      </c>
      <c r="H6989" s="680">
        <v>18.82</v>
      </c>
      <c r="I6989" s="680">
        <v>19.3</v>
      </c>
    </row>
    <row r="6990" spans="2:9" ht="30">
      <c r="B6990" s="396">
        <v>101475</v>
      </c>
      <c r="C6990" s="401" t="s">
        <v>4454</v>
      </c>
      <c r="D6990" s="396" t="s">
        <v>79</v>
      </c>
      <c r="E6990" s="405">
        <f t="shared" si="218"/>
        <v>16.7</v>
      </c>
      <c r="F6990">
        <f t="shared" si="219"/>
        <v>101475</v>
      </c>
      <c r="H6990" s="679">
        <v>16.7</v>
      </c>
      <c r="I6990" s="679">
        <v>17.12</v>
      </c>
    </row>
    <row r="6991" spans="2:9" ht="30">
      <c r="B6991" s="395">
        <v>101476</v>
      </c>
      <c r="C6991" s="406" t="s">
        <v>4455</v>
      </c>
      <c r="D6991" s="395" t="s">
        <v>79</v>
      </c>
      <c r="E6991" s="407">
        <f t="shared" si="218"/>
        <v>14.88</v>
      </c>
      <c r="F6991">
        <f t="shared" si="219"/>
        <v>101476</v>
      </c>
      <c r="H6991" s="680">
        <v>14.88</v>
      </c>
      <c r="I6991" s="680">
        <v>15.28</v>
      </c>
    </row>
    <row r="6992" spans="2:9" ht="30">
      <c r="B6992" s="396">
        <v>101477</v>
      </c>
      <c r="C6992" s="401" t="s">
        <v>4456</v>
      </c>
      <c r="D6992" s="396" t="s">
        <v>79</v>
      </c>
      <c r="E6992" s="405">
        <f t="shared" si="218"/>
        <v>12.18</v>
      </c>
      <c r="F6992">
        <f t="shared" si="219"/>
        <v>101477</v>
      </c>
      <c r="H6992" s="679">
        <v>12.18</v>
      </c>
      <c r="I6992" s="679">
        <v>12.5</v>
      </c>
    </row>
    <row r="6993" spans="2:9" ht="30">
      <c r="B6993" s="395">
        <v>101478</v>
      </c>
      <c r="C6993" s="406" t="s">
        <v>4457</v>
      </c>
      <c r="D6993" s="395" t="s">
        <v>79</v>
      </c>
      <c r="E6993" s="407">
        <f t="shared" si="218"/>
        <v>10.38</v>
      </c>
      <c r="F6993">
        <f t="shared" si="219"/>
        <v>101478</v>
      </c>
      <c r="H6993" s="680">
        <v>10.38</v>
      </c>
      <c r="I6993" s="680">
        <v>10.64</v>
      </c>
    </row>
    <row r="6994" spans="2:9" ht="30">
      <c r="B6994" s="396">
        <v>101480</v>
      </c>
      <c r="C6994" s="401" t="s">
        <v>4458</v>
      </c>
      <c r="D6994" s="396" t="s">
        <v>79</v>
      </c>
      <c r="E6994" s="405">
        <f t="shared" si="218"/>
        <v>61.66</v>
      </c>
      <c r="F6994">
        <f t="shared" si="219"/>
        <v>101480</v>
      </c>
      <c r="H6994" s="679">
        <v>61.66</v>
      </c>
      <c r="I6994" s="679">
        <v>63.24</v>
      </c>
    </row>
    <row r="6995" spans="2:9" ht="30">
      <c r="B6995" s="395">
        <v>101481</v>
      </c>
      <c r="C6995" s="406" t="s">
        <v>4459</v>
      </c>
      <c r="D6995" s="395" t="s">
        <v>79</v>
      </c>
      <c r="E6995" s="407">
        <f t="shared" si="218"/>
        <v>44.53</v>
      </c>
      <c r="F6995">
        <f t="shared" si="219"/>
        <v>101481</v>
      </c>
      <c r="H6995" s="680">
        <v>44.53</v>
      </c>
      <c r="I6995" s="680">
        <v>45.68</v>
      </c>
    </row>
    <row r="6996" spans="2:9" ht="30">
      <c r="B6996" s="396">
        <v>101482</v>
      </c>
      <c r="C6996" s="401" t="s">
        <v>5985</v>
      </c>
      <c r="D6996" s="396" t="s">
        <v>79</v>
      </c>
      <c r="E6996" s="405">
        <f t="shared" si="218"/>
        <v>33.28</v>
      </c>
      <c r="F6996">
        <f t="shared" si="219"/>
        <v>101482</v>
      </c>
      <c r="H6996" s="679">
        <v>33.28</v>
      </c>
      <c r="I6996" s="679">
        <v>34.15</v>
      </c>
    </row>
    <row r="6997" spans="2:9" ht="30">
      <c r="B6997" s="395">
        <v>101483</v>
      </c>
      <c r="C6997" s="406" t="s">
        <v>4460</v>
      </c>
      <c r="D6997" s="395" t="s">
        <v>79</v>
      </c>
      <c r="E6997" s="407">
        <f t="shared" si="218"/>
        <v>34.549999999999997</v>
      </c>
      <c r="F6997">
        <f t="shared" si="219"/>
        <v>101483</v>
      </c>
      <c r="H6997" s="680">
        <v>34.549999999999997</v>
      </c>
      <c r="I6997" s="680">
        <v>35.43</v>
      </c>
    </row>
    <row r="6998" spans="2:9" ht="30">
      <c r="B6998" s="396">
        <v>101484</v>
      </c>
      <c r="C6998" s="401" t="s">
        <v>4461</v>
      </c>
      <c r="D6998" s="396" t="s">
        <v>79</v>
      </c>
      <c r="E6998" s="405">
        <f t="shared" si="218"/>
        <v>179.04</v>
      </c>
      <c r="F6998">
        <f t="shared" si="219"/>
        <v>101484</v>
      </c>
      <c r="H6998" s="679">
        <v>179.04</v>
      </c>
      <c r="I6998" s="679">
        <v>183.63</v>
      </c>
    </row>
    <row r="6999" spans="2:9" ht="30">
      <c r="B6999" s="395">
        <v>101485</v>
      </c>
      <c r="C6999" s="406" t="s">
        <v>4462</v>
      </c>
      <c r="D6999" s="395" t="s">
        <v>79</v>
      </c>
      <c r="E6999" s="407">
        <f t="shared" si="218"/>
        <v>137.44</v>
      </c>
      <c r="F6999">
        <f t="shared" si="219"/>
        <v>101485</v>
      </c>
      <c r="H6999" s="680">
        <v>137.44</v>
      </c>
      <c r="I6999" s="680">
        <v>140.96</v>
      </c>
    </row>
    <row r="7000" spans="2:9" ht="30">
      <c r="B7000" s="396">
        <v>101486</v>
      </c>
      <c r="C7000" s="401" t="s">
        <v>4463</v>
      </c>
      <c r="D7000" s="396" t="s">
        <v>79</v>
      </c>
      <c r="E7000" s="405">
        <f t="shared" si="218"/>
        <v>123.8</v>
      </c>
      <c r="F7000">
        <f t="shared" si="219"/>
        <v>101486</v>
      </c>
      <c r="H7000" s="679">
        <v>123.8</v>
      </c>
      <c r="I7000" s="679">
        <v>126.98</v>
      </c>
    </row>
    <row r="7001" spans="2:9" ht="30">
      <c r="B7001" s="395">
        <v>101487</v>
      </c>
      <c r="C7001" s="406" t="s">
        <v>4464</v>
      </c>
      <c r="D7001" s="395" t="s">
        <v>79</v>
      </c>
      <c r="E7001" s="407">
        <f t="shared" si="218"/>
        <v>90.64</v>
      </c>
      <c r="F7001">
        <f t="shared" si="219"/>
        <v>101487</v>
      </c>
      <c r="H7001" s="680">
        <v>90.64</v>
      </c>
      <c r="I7001" s="680">
        <v>92.97</v>
      </c>
    </row>
    <row r="7002" spans="2:9" ht="30">
      <c r="B7002" s="396">
        <v>101488</v>
      </c>
      <c r="C7002" s="401" t="s">
        <v>4465</v>
      </c>
      <c r="D7002" s="396" t="s">
        <v>79</v>
      </c>
      <c r="E7002" s="405">
        <f t="shared" si="218"/>
        <v>78.44</v>
      </c>
      <c r="F7002">
        <f t="shared" si="219"/>
        <v>101488</v>
      </c>
      <c r="H7002" s="679">
        <v>78.44</v>
      </c>
      <c r="I7002" s="679">
        <v>80.44</v>
      </c>
    </row>
    <row r="7003" spans="2:9" ht="30">
      <c r="B7003" s="395">
        <v>101188</v>
      </c>
      <c r="C7003" s="406" t="s">
        <v>4134</v>
      </c>
      <c r="D7003" s="395" t="s">
        <v>22</v>
      </c>
      <c r="E7003" s="407">
        <f t="shared" si="218"/>
        <v>5.32</v>
      </c>
      <c r="F7003">
        <f t="shared" si="219"/>
        <v>101188</v>
      </c>
      <c r="H7003" s="680">
        <v>5.32</v>
      </c>
      <c r="I7003" s="680">
        <v>5.72</v>
      </c>
    </row>
    <row r="7004" spans="2:9" ht="30">
      <c r="B7004" s="396">
        <v>101189</v>
      </c>
      <c r="C7004" s="401" t="s">
        <v>4135</v>
      </c>
      <c r="D7004" s="396" t="s">
        <v>22</v>
      </c>
      <c r="E7004" s="405">
        <f t="shared" si="218"/>
        <v>69.17</v>
      </c>
      <c r="F7004">
        <f t="shared" si="219"/>
        <v>101189</v>
      </c>
      <c r="H7004" s="679">
        <v>69.17</v>
      </c>
      <c r="I7004" s="679">
        <v>71.55</v>
      </c>
    </row>
    <row r="7005" spans="2:9" ht="30">
      <c r="B7005" s="395">
        <v>101190</v>
      </c>
      <c r="C7005" s="406" t="s">
        <v>4136</v>
      </c>
      <c r="D7005" s="395" t="s">
        <v>22</v>
      </c>
      <c r="E7005" s="407">
        <f t="shared" si="218"/>
        <v>68.41</v>
      </c>
      <c r="F7005">
        <f t="shared" si="219"/>
        <v>101190</v>
      </c>
      <c r="H7005" s="680">
        <v>68.41</v>
      </c>
      <c r="I7005" s="680">
        <v>70.790000000000006</v>
      </c>
    </row>
    <row r="7006" spans="2:9" ht="30">
      <c r="B7006" s="396">
        <v>101191</v>
      </c>
      <c r="C7006" s="401" t="s">
        <v>4137</v>
      </c>
      <c r="D7006" s="396" t="s">
        <v>22</v>
      </c>
      <c r="E7006" s="405">
        <f t="shared" si="218"/>
        <v>68.790000000000006</v>
      </c>
      <c r="F7006">
        <f t="shared" si="219"/>
        <v>101191</v>
      </c>
      <c r="H7006" s="679">
        <v>68.790000000000006</v>
      </c>
      <c r="I7006" s="679">
        <v>71.17</v>
      </c>
    </row>
    <row r="7007" spans="2:9" ht="30">
      <c r="B7007" s="395">
        <v>101192</v>
      </c>
      <c r="C7007" s="406" t="s">
        <v>4138</v>
      </c>
      <c r="D7007" s="395" t="s">
        <v>22</v>
      </c>
      <c r="E7007" s="407">
        <f t="shared" si="218"/>
        <v>68.78</v>
      </c>
      <c r="F7007">
        <f t="shared" si="219"/>
        <v>101192</v>
      </c>
      <c r="H7007" s="680">
        <v>68.78</v>
      </c>
      <c r="I7007" s="680">
        <v>71.16</v>
      </c>
    </row>
    <row r="7008" spans="2:9" ht="30">
      <c r="B7008" s="396">
        <v>101193</v>
      </c>
      <c r="C7008" s="401" t="s">
        <v>4139</v>
      </c>
      <c r="D7008" s="396" t="s">
        <v>22</v>
      </c>
      <c r="E7008" s="405">
        <f t="shared" si="218"/>
        <v>61.57</v>
      </c>
      <c r="F7008">
        <f t="shared" si="219"/>
        <v>101193</v>
      </c>
      <c r="H7008" s="679">
        <v>61.57</v>
      </c>
      <c r="I7008" s="679">
        <v>63.95</v>
      </c>
    </row>
    <row r="7009" spans="2:9" ht="30">
      <c r="B7009" s="395">
        <v>101194</v>
      </c>
      <c r="C7009" s="406" t="s">
        <v>4140</v>
      </c>
      <c r="D7009" s="395" t="s">
        <v>22</v>
      </c>
      <c r="E7009" s="407">
        <f t="shared" si="218"/>
        <v>61.95</v>
      </c>
      <c r="F7009">
        <f t="shared" si="219"/>
        <v>101194</v>
      </c>
      <c r="H7009" s="680">
        <v>61.95</v>
      </c>
      <c r="I7009" s="680">
        <v>64.33</v>
      </c>
    </row>
    <row r="7010" spans="2:9" ht="30">
      <c r="B7010" s="396">
        <v>101197</v>
      </c>
      <c r="C7010" s="401" t="s">
        <v>4141</v>
      </c>
      <c r="D7010" s="396" t="s">
        <v>22</v>
      </c>
      <c r="E7010" s="405">
        <f t="shared" si="218"/>
        <v>127.79</v>
      </c>
      <c r="F7010">
        <f t="shared" si="219"/>
        <v>101197</v>
      </c>
      <c r="H7010" s="679">
        <v>127.79</v>
      </c>
      <c r="I7010" s="679">
        <v>132.13999999999999</v>
      </c>
    </row>
    <row r="7011" spans="2:9" ht="30">
      <c r="B7011" s="395">
        <v>101198</v>
      </c>
      <c r="C7011" s="406" t="s">
        <v>4142</v>
      </c>
      <c r="D7011" s="395" t="s">
        <v>22</v>
      </c>
      <c r="E7011" s="407">
        <f t="shared" si="218"/>
        <v>90.79</v>
      </c>
      <c r="F7011">
        <f t="shared" si="219"/>
        <v>101198</v>
      </c>
      <c r="H7011" s="680">
        <v>90.79</v>
      </c>
      <c r="I7011" s="680">
        <v>94.58</v>
      </c>
    </row>
    <row r="7012" spans="2:9" ht="30">
      <c r="B7012" s="396">
        <v>101199</v>
      </c>
      <c r="C7012" s="401" t="s">
        <v>4143</v>
      </c>
      <c r="D7012" s="396" t="s">
        <v>22</v>
      </c>
      <c r="E7012" s="405">
        <f t="shared" si="218"/>
        <v>91.73</v>
      </c>
      <c r="F7012">
        <f t="shared" si="219"/>
        <v>101199</v>
      </c>
      <c r="H7012" s="679">
        <v>91.73</v>
      </c>
      <c r="I7012" s="679">
        <v>95.52</v>
      </c>
    </row>
    <row r="7013" spans="2:9" ht="30">
      <c r="B7013" s="395">
        <v>101200</v>
      </c>
      <c r="C7013" s="406" t="s">
        <v>4144</v>
      </c>
      <c r="D7013" s="395" t="s">
        <v>22</v>
      </c>
      <c r="E7013" s="407">
        <f t="shared" si="218"/>
        <v>49.03</v>
      </c>
      <c r="F7013">
        <f t="shared" si="219"/>
        <v>101200</v>
      </c>
      <c r="H7013" s="680">
        <v>49.03</v>
      </c>
      <c r="I7013" s="680">
        <v>51.25</v>
      </c>
    </row>
    <row r="7014" spans="2:9" ht="30">
      <c r="B7014" s="396">
        <v>101201</v>
      </c>
      <c r="C7014" s="401" t="s">
        <v>4145</v>
      </c>
      <c r="D7014" s="396" t="s">
        <v>22</v>
      </c>
      <c r="E7014" s="405">
        <f t="shared" si="218"/>
        <v>61.21</v>
      </c>
      <c r="F7014">
        <f t="shared" si="219"/>
        <v>101201</v>
      </c>
      <c r="H7014" s="679">
        <v>61.21</v>
      </c>
      <c r="I7014" s="679">
        <v>64.09</v>
      </c>
    </row>
    <row r="7015" spans="2:9" ht="30">
      <c r="B7015" s="395">
        <v>101202</v>
      </c>
      <c r="C7015" s="406" t="s">
        <v>4146</v>
      </c>
      <c r="D7015" s="395" t="s">
        <v>22</v>
      </c>
      <c r="E7015" s="407">
        <f t="shared" si="218"/>
        <v>38.64</v>
      </c>
      <c r="F7015">
        <f t="shared" si="219"/>
        <v>101202</v>
      </c>
      <c r="H7015" s="680">
        <v>38.64</v>
      </c>
      <c r="I7015" s="680">
        <v>41.03</v>
      </c>
    </row>
    <row r="7016" spans="2:9" ht="30">
      <c r="B7016" s="396">
        <v>101203</v>
      </c>
      <c r="C7016" s="401" t="s">
        <v>4147</v>
      </c>
      <c r="D7016" s="396" t="s">
        <v>22</v>
      </c>
      <c r="E7016" s="405">
        <f t="shared" si="218"/>
        <v>37.69</v>
      </c>
      <c r="F7016">
        <f t="shared" si="219"/>
        <v>101203</v>
      </c>
      <c r="H7016" s="679">
        <v>37.69</v>
      </c>
      <c r="I7016" s="679">
        <v>40.08</v>
      </c>
    </row>
    <row r="7017" spans="2:9" ht="30">
      <c r="B7017" s="395">
        <v>101204</v>
      </c>
      <c r="C7017" s="406" t="s">
        <v>4148</v>
      </c>
      <c r="D7017" s="395" t="s">
        <v>22</v>
      </c>
      <c r="E7017" s="407">
        <f t="shared" si="218"/>
        <v>38.07</v>
      </c>
      <c r="F7017">
        <f t="shared" si="219"/>
        <v>101204</v>
      </c>
      <c r="H7017" s="680">
        <v>38.07</v>
      </c>
      <c r="I7017" s="680">
        <v>40.46</v>
      </c>
    </row>
    <row r="7018" spans="2:9" ht="30">
      <c r="B7018" s="396">
        <v>101205</v>
      </c>
      <c r="C7018" s="401" t="s">
        <v>4149</v>
      </c>
      <c r="D7018" s="396" t="s">
        <v>22</v>
      </c>
      <c r="E7018" s="405">
        <f t="shared" si="218"/>
        <v>38.64</v>
      </c>
      <c r="F7018">
        <f t="shared" si="219"/>
        <v>101205</v>
      </c>
      <c r="H7018" s="679">
        <v>38.64</v>
      </c>
      <c r="I7018" s="679">
        <v>41.03</v>
      </c>
    </row>
    <row r="7019" spans="2:9" ht="45">
      <c r="B7019" s="395">
        <v>102362</v>
      </c>
      <c r="C7019" s="406" t="s">
        <v>5516</v>
      </c>
      <c r="D7019" s="395" t="s">
        <v>0</v>
      </c>
      <c r="E7019" s="407">
        <f t="shared" si="218"/>
        <v>175.93</v>
      </c>
      <c r="F7019">
        <f t="shared" si="219"/>
        <v>102362</v>
      </c>
      <c r="H7019" s="680">
        <v>175.93</v>
      </c>
      <c r="I7019" s="680">
        <v>180.25</v>
      </c>
    </row>
    <row r="7020" spans="2:9" ht="45">
      <c r="B7020" s="396">
        <v>102363</v>
      </c>
      <c r="C7020" s="401" t="s">
        <v>5517</v>
      </c>
      <c r="D7020" s="396" t="s">
        <v>0</v>
      </c>
      <c r="E7020" s="405">
        <f t="shared" si="218"/>
        <v>194.12</v>
      </c>
      <c r="F7020">
        <f t="shared" si="219"/>
        <v>102363</v>
      </c>
      <c r="H7020" s="679">
        <v>194.12</v>
      </c>
      <c r="I7020" s="679">
        <v>198.41</v>
      </c>
    </row>
    <row r="7021" spans="2:9" ht="45">
      <c r="B7021" s="395">
        <v>102364</v>
      </c>
      <c r="C7021" s="406" t="s">
        <v>5518</v>
      </c>
      <c r="D7021" s="395" t="s">
        <v>0</v>
      </c>
      <c r="E7021" s="407">
        <f t="shared" si="218"/>
        <v>226.88</v>
      </c>
      <c r="F7021">
        <f t="shared" si="219"/>
        <v>102364</v>
      </c>
      <c r="H7021" s="680">
        <v>226.88</v>
      </c>
      <c r="I7021" s="680">
        <v>231.17</v>
      </c>
    </row>
    <row r="7022" spans="2:9">
      <c r="B7022" s="396">
        <v>98509</v>
      </c>
      <c r="C7022" s="401" t="s">
        <v>2748</v>
      </c>
      <c r="D7022" s="396" t="s">
        <v>23</v>
      </c>
      <c r="E7022" s="405">
        <f t="shared" si="218"/>
        <v>73.510000000000005</v>
      </c>
      <c r="F7022">
        <f t="shared" si="219"/>
        <v>98509</v>
      </c>
      <c r="H7022" s="679">
        <v>73.510000000000005</v>
      </c>
      <c r="I7022" s="679">
        <v>73.75</v>
      </c>
    </row>
    <row r="7023" spans="2:9">
      <c r="B7023" s="395">
        <v>98510</v>
      </c>
      <c r="C7023" s="406" t="s">
        <v>2749</v>
      </c>
      <c r="D7023" s="395" t="s">
        <v>23</v>
      </c>
      <c r="E7023" s="407">
        <f t="shared" si="218"/>
        <v>101.14</v>
      </c>
      <c r="F7023">
        <f t="shared" si="219"/>
        <v>98510</v>
      </c>
      <c r="H7023" s="680">
        <v>101.14</v>
      </c>
      <c r="I7023" s="680">
        <v>102.87</v>
      </c>
    </row>
    <row r="7024" spans="2:9">
      <c r="B7024" s="396">
        <v>98511</v>
      </c>
      <c r="C7024" s="401" t="s">
        <v>2750</v>
      </c>
      <c r="D7024" s="396" t="s">
        <v>23</v>
      </c>
      <c r="E7024" s="405">
        <f t="shared" si="218"/>
        <v>197.72</v>
      </c>
      <c r="F7024">
        <f t="shared" si="219"/>
        <v>98511</v>
      </c>
      <c r="H7024" s="679">
        <v>197.72</v>
      </c>
      <c r="I7024" s="679">
        <v>200.21</v>
      </c>
    </row>
    <row r="7025" spans="2:9">
      <c r="B7025" s="395">
        <v>98516</v>
      </c>
      <c r="C7025" s="406" t="s">
        <v>2751</v>
      </c>
      <c r="D7025" s="395" t="s">
        <v>23</v>
      </c>
      <c r="E7025" s="407">
        <f t="shared" si="218"/>
        <v>395.28</v>
      </c>
      <c r="F7025">
        <f t="shared" si="219"/>
        <v>98516</v>
      </c>
      <c r="H7025" s="680">
        <v>395.28</v>
      </c>
      <c r="I7025" s="680">
        <v>409.35</v>
      </c>
    </row>
    <row r="7026" spans="2:9">
      <c r="B7026" s="396">
        <v>98519</v>
      </c>
      <c r="C7026" s="401" t="s">
        <v>2752</v>
      </c>
      <c r="D7026" s="396" t="s">
        <v>0</v>
      </c>
      <c r="E7026" s="405">
        <f t="shared" si="218"/>
        <v>1.67</v>
      </c>
      <c r="F7026">
        <f t="shared" si="219"/>
        <v>98519</v>
      </c>
      <c r="H7026" s="679">
        <v>1.67</v>
      </c>
      <c r="I7026" s="679">
        <v>1.85</v>
      </c>
    </row>
    <row r="7027" spans="2:9">
      <c r="B7027" s="395">
        <v>98520</v>
      </c>
      <c r="C7027" s="406" t="s">
        <v>2753</v>
      </c>
      <c r="D7027" s="395" t="s">
        <v>0</v>
      </c>
      <c r="E7027" s="407">
        <f t="shared" si="218"/>
        <v>4.43</v>
      </c>
      <c r="F7027">
        <f t="shared" si="219"/>
        <v>98520</v>
      </c>
      <c r="H7027" s="680">
        <v>4.43</v>
      </c>
      <c r="I7027" s="680">
        <v>4.59</v>
      </c>
    </row>
    <row r="7028" spans="2:9">
      <c r="B7028" s="396">
        <v>98521</v>
      </c>
      <c r="C7028" s="401" t="s">
        <v>2754</v>
      </c>
      <c r="D7028" s="396" t="s">
        <v>0</v>
      </c>
      <c r="E7028" s="405">
        <f t="shared" si="218"/>
        <v>0.31</v>
      </c>
      <c r="F7028">
        <f t="shared" si="219"/>
        <v>98521</v>
      </c>
      <c r="H7028" s="679">
        <v>0.31</v>
      </c>
      <c r="I7028" s="679">
        <v>0.33</v>
      </c>
    </row>
    <row r="7029" spans="2:9">
      <c r="B7029" s="395">
        <v>98522</v>
      </c>
      <c r="C7029" s="406" t="s">
        <v>2755</v>
      </c>
      <c r="D7029" s="395" t="s">
        <v>22</v>
      </c>
      <c r="E7029" s="407">
        <f t="shared" si="218"/>
        <v>177.69</v>
      </c>
      <c r="F7029">
        <f t="shared" si="219"/>
        <v>98522</v>
      </c>
      <c r="H7029" s="680">
        <v>177.69</v>
      </c>
      <c r="I7029" s="680">
        <v>182.77</v>
      </c>
    </row>
    <row r="7030" spans="2:9">
      <c r="B7030" s="396">
        <v>98524</v>
      </c>
      <c r="C7030" s="401" t="s">
        <v>2756</v>
      </c>
      <c r="D7030" s="396" t="s">
        <v>0</v>
      </c>
      <c r="E7030" s="405">
        <f t="shared" si="218"/>
        <v>2.6</v>
      </c>
      <c r="F7030">
        <f t="shared" si="219"/>
        <v>98524</v>
      </c>
      <c r="H7030" s="679">
        <v>2.6</v>
      </c>
      <c r="I7030" s="679">
        <v>2.88</v>
      </c>
    </row>
    <row r="7031" spans="2:9">
      <c r="B7031" s="395">
        <v>98503</v>
      </c>
      <c r="C7031" s="406" t="s">
        <v>2757</v>
      </c>
      <c r="D7031" s="395" t="s">
        <v>0</v>
      </c>
      <c r="E7031" s="407">
        <f t="shared" si="218"/>
        <v>19.52</v>
      </c>
      <c r="F7031">
        <f t="shared" si="219"/>
        <v>98503</v>
      </c>
      <c r="H7031" s="680">
        <v>19.52</v>
      </c>
      <c r="I7031" s="680">
        <v>19.98</v>
      </c>
    </row>
    <row r="7032" spans="2:9">
      <c r="B7032" s="396">
        <v>98504</v>
      </c>
      <c r="C7032" s="401" t="s">
        <v>6880</v>
      </c>
      <c r="D7032" s="396" t="s">
        <v>0</v>
      </c>
      <c r="E7032" s="405">
        <f t="shared" si="218"/>
        <v>14.16</v>
      </c>
      <c r="F7032">
        <f t="shared" si="219"/>
        <v>98504</v>
      </c>
      <c r="H7032" s="679">
        <v>14.16</v>
      </c>
      <c r="I7032" s="679">
        <v>14.53</v>
      </c>
    </row>
    <row r="7033" spans="2:9">
      <c r="B7033" s="395">
        <v>98505</v>
      </c>
      <c r="C7033" s="406" t="s">
        <v>2758</v>
      </c>
      <c r="D7033" s="395" t="s">
        <v>0</v>
      </c>
      <c r="E7033" s="407">
        <f t="shared" si="218"/>
        <v>104.66</v>
      </c>
      <c r="F7033">
        <f t="shared" si="219"/>
        <v>98505</v>
      </c>
      <c r="H7033" s="680">
        <v>104.66</v>
      </c>
      <c r="I7033" s="680">
        <v>105.17</v>
      </c>
    </row>
    <row r="7034" spans="2:9">
      <c r="B7034" s="396">
        <v>103946</v>
      </c>
      <c r="C7034" s="401" t="s">
        <v>6881</v>
      </c>
      <c r="D7034" s="396" t="s">
        <v>0</v>
      </c>
      <c r="E7034" s="405">
        <f t="shared" si="218"/>
        <v>18.45</v>
      </c>
      <c r="F7034">
        <f t="shared" si="219"/>
        <v>103946</v>
      </c>
      <c r="H7034" s="679">
        <v>18.45</v>
      </c>
      <c r="I7034" s="679">
        <v>18.82</v>
      </c>
    </row>
    <row r="7035" spans="2:9" ht="30">
      <c r="B7035" s="395">
        <v>103185</v>
      </c>
      <c r="C7035" s="406" t="s">
        <v>6206</v>
      </c>
      <c r="D7035" s="395" t="s">
        <v>23</v>
      </c>
      <c r="E7035" s="407">
        <f t="shared" si="218"/>
        <v>6074.43</v>
      </c>
      <c r="F7035">
        <f t="shared" si="219"/>
        <v>103185</v>
      </c>
      <c r="H7035" s="680">
        <v>6074.43</v>
      </c>
      <c r="I7035" s="680">
        <v>6085.94</v>
      </c>
    </row>
    <row r="7036" spans="2:9" ht="30">
      <c r="B7036" s="396">
        <v>103186</v>
      </c>
      <c r="C7036" s="401" t="s">
        <v>6207</v>
      </c>
      <c r="D7036" s="396" t="s">
        <v>23</v>
      </c>
      <c r="E7036" s="405">
        <f t="shared" si="218"/>
        <v>6419.49</v>
      </c>
      <c r="F7036">
        <f t="shared" si="219"/>
        <v>103186</v>
      </c>
      <c r="H7036" s="679">
        <v>6419.49</v>
      </c>
      <c r="I7036" s="679">
        <v>6424.2</v>
      </c>
    </row>
    <row r="7037" spans="2:9" ht="30">
      <c r="B7037" s="395">
        <v>103187</v>
      </c>
      <c r="C7037" s="406" t="s">
        <v>6208</v>
      </c>
      <c r="D7037" s="395" t="s">
        <v>23</v>
      </c>
      <c r="E7037" s="407">
        <f t="shared" si="218"/>
        <v>4817.03</v>
      </c>
      <c r="F7037">
        <f t="shared" si="219"/>
        <v>103187</v>
      </c>
      <c r="H7037" s="680">
        <v>4817.03</v>
      </c>
      <c r="I7037" s="680">
        <v>4824.91</v>
      </c>
    </row>
    <row r="7038" spans="2:9" ht="30">
      <c r="B7038" s="396">
        <v>103188</v>
      </c>
      <c r="C7038" s="401" t="s">
        <v>6209</v>
      </c>
      <c r="D7038" s="396" t="s">
        <v>23</v>
      </c>
      <c r="E7038" s="405">
        <f t="shared" si="218"/>
        <v>5183.6899999999996</v>
      </c>
      <c r="F7038">
        <f t="shared" si="219"/>
        <v>103188</v>
      </c>
      <c r="H7038" s="679">
        <v>5183.6899999999996</v>
      </c>
      <c r="I7038" s="679">
        <v>5189.75</v>
      </c>
    </row>
    <row r="7039" spans="2:9" ht="30">
      <c r="B7039" s="395">
        <v>103189</v>
      </c>
      <c r="C7039" s="406" t="s">
        <v>6210</v>
      </c>
      <c r="D7039" s="395" t="s">
        <v>23</v>
      </c>
      <c r="E7039" s="407">
        <f t="shared" si="218"/>
        <v>2595.73</v>
      </c>
      <c r="F7039">
        <f t="shared" si="219"/>
        <v>103189</v>
      </c>
      <c r="H7039" s="680">
        <v>2595.73</v>
      </c>
      <c r="I7039" s="680">
        <v>2599.9699999999998</v>
      </c>
    </row>
    <row r="7040" spans="2:9" ht="30">
      <c r="B7040" s="396">
        <v>103190</v>
      </c>
      <c r="C7040" s="401" t="s">
        <v>6211</v>
      </c>
      <c r="D7040" s="396" t="s">
        <v>23</v>
      </c>
      <c r="E7040" s="405">
        <f t="shared" si="218"/>
        <v>4037.91</v>
      </c>
      <c r="F7040">
        <f t="shared" si="219"/>
        <v>103190</v>
      </c>
      <c r="H7040" s="679">
        <v>4037.91</v>
      </c>
      <c r="I7040" s="679">
        <v>4045.92</v>
      </c>
    </row>
    <row r="7041" spans="2:9" ht="30">
      <c r="B7041" s="395">
        <v>103191</v>
      </c>
      <c r="C7041" s="406" t="s">
        <v>6212</v>
      </c>
      <c r="D7041" s="395" t="s">
        <v>23</v>
      </c>
      <c r="E7041" s="407">
        <f t="shared" si="218"/>
        <v>2353.13</v>
      </c>
      <c r="F7041">
        <f t="shared" si="219"/>
        <v>103191</v>
      </c>
      <c r="H7041" s="680">
        <v>2353.13</v>
      </c>
      <c r="I7041" s="680">
        <v>2359.71</v>
      </c>
    </row>
    <row r="7042" spans="2:9" ht="30">
      <c r="B7042" s="396">
        <v>103192</v>
      </c>
      <c r="C7042" s="401" t="s">
        <v>6213</v>
      </c>
      <c r="D7042" s="396" t="s">
        <v>23</v>
      </c>
      <c r="E7042" s="405">
        <f t="shared" si="218"/>
        <v>2505.41</v>
      </c>
      <c r="F7042">
        <f t="shared" si="219"/>
        <v>103192</v>
      </c>
      <c r="H7042" s="679">
        <v>2505.41</v>
      </c>
      <c r="I7042" s="679">
        <v>2511.9899999999998</v>
      </c>
    </row>
    <row r="7043" spans="2:9" ht="30">
      <c r="B7043" s="395">
        <v>103193</v>
      </c>
      <c r="C7043" s="406" t="s">
        <v>6214</v>
      </c>
      <c r="D7043" s="395" t="s">
        <v>23</v>
      </c>
      <c r="E7043" s="407">
        <f t="shared" ref="E7043:E7106" si="220">IF($K$2=$H$1,H7043,I7043)</f>
        <v>1929.26</v>
      </c>
      <c r="F7043">
        <f t="shared" si="219"/>
        <v>103193</v>
      </c>
      <c r="H7043" s="680">
        <v>1929.26</v>
      </c>
      <c r="I7043" s="680">
        <v>1935.84</v>
      </c>
    </row>
    <row r="7044" spans="2:9" ht="30">
      <c r="B7044" s="396">
        <v>103194</v>
      </c>
      <c r="C7044" s="401" t="s">
        <v>6215</v>
      </c>
      <c r="D7044" s="396" t="s">
        <v>23</v>
      </c>
      <c r="E7044" s="405">
        <f t="shared" si="220"/>
        <v>2779.68</v>
      </c>
      <c r="F7044">
        <f t="shared" ref="F7044:F7107" si="221">IF(LEN($B7044)=7,CONCATENATE(MID($B7044,1,6),"00",RIGHT($B7044,1)),IF(LEN($B7044)=8,CONCATENATE(MID($B7044,1,6),"0",RIGHT($B7044,2)),$B7044))</f>
        <v>103194</v>
      </c>
      <c r="H7044" s="679">
        <v>2779.68</v>
      </c>
      <c r="I7044" s="679">
        <v>2786.26</v>
      </c>
    </row>
    <row r="7045" spans="2:9" ht="30">
      <c r="B7045" s="395">
        <v>103195</v>
      </c>
      <c r="C7045" s="406" t="s">
        <v>6216</v>
      </c>
      <c r="D7045" s="395" t="s">
        <v>23</v>
      </c>
      <c r="E7045" s="407">
        <f t="shared" si="220"/>
        <v>2166.16</v>
      </c>
      <c r="F7045">
        <f t="shared" si="221"/>
        <v>103195</v>
      </c>
      <c r="H7045" s="680">
        <v>2166.16</v>
      </c>
      <c r="I7045" s="680">
        <v>2172.91</v>
      </c>
    </row>
    <row r="7046" spans="2:9" ht="30">
      <c r="B7046" s="396">
        <v>103205</v>
      </c>
      <c r="C7046" s="401" t="s">
        <v>6217</v>
      </c>
      <c r="D7046" s="396" t="s">
        <v>23</v>
      </c>
      <c r="E7046" s="405">
        <f t="shared" si="220"/>
        <v>4040.68</v>
      </c>
      <c r="F7046">
        <f t="shared" si="221"/>
        <v>103205</v>
      </c>
      <c r="H7046" s="679">
        <v>4040.68</v>
      </c>
      <c r="I7046" s="679">
        <v>4050.32</v>
      </c>
    </row>
    <row r="7047" spans="2:9" ht="30">
      <c r="B7047" s="395">
        <v>103206</v>
      </c>
      <c r="C7047" s="406" t="s">
        <v>6218</v>
      </c>
      <c r="D7047" s="395" t="s">
        <v>23</v>
      </c>
      <c r="E7047" s="407">
        <f t="shared" si="220"/>
        <v>2355.9</v>
      </c>
      <c r="F7047">
        <f t="shared" si="221"/>
        <v>103206</v>
      </c>
      <c r="H7047" s="680">
        <v>2355.9</v>
      </c>
      <c r="I7047" s="680">
        <v>2364.11</v>
      </c>
    </row>
    <row r="7048" spans="2:9" ht="30">
      <c r="B7048" s="396">
        <v>103207</v>
      </c>
      <c r="C7048" s="401" t="s">
        <v>6219</v>
      </c>
      <c r="D7048" s="396" t="s">
        <v>23</v>
      </c>
      <c r="E7048" s="405">
        <f t="shared" si="220"/>
        <v>2508.1799999999998</v>
      </c>
      <c r="F7048">
        <f t="shared" si="221"/>
        <v>103207</v>
      </c>
      <c r="H7048" s="679">
        <v>2508.1799999999998</v>
      </c>
      <c r="I7048" s="679">
        <v>2516.39</v>
      </c>
    </row>
    <row r="7049" spans="2:9" ht="30">
      <c r="B7049" s="395">
        <v>103208</v>
      </c>
      <c r="C7049" s="406" t="s">
        <v>6220</v>
      </c>
      <c r="D7049" s="395" t="s">
        <v>23</v>
      </c>
      <c r="E7049" s="407">
        <f t="shared" si="220"/>
        <v>1932.03</v>
      </c>
      <c r="F7049">
        <f t="shared" si="221"/>
        <v>103208</v>
      </c>
      <c r="H7049" s="680">
        <v>1932.03</v>
      </c>
      <c r="I7049" s="680">
        <v>1940.24</v>
      </c>
    </row>
    <row r="7050" spans="2:9" ht="30">
      <c r="B7050" s="396">
        <v>103209</v>
      </c>
      <c r="C7050" s="401" t="s">
        <v>6221</v>
      </c>
      <c r="D7050" s="396" t="s">
        <v>23</v>
      </c>
      <c r="E7050" s="405">
        <f t="shared" si="220"/>
        <v>2782.45</v>
      </c>
      <c r="F7050">
        <f t="shared" si="221"/>
        <v>103209</v>
      </c>
      <c r="H7050" s="679">
        <v>2782.45</v>
      </c>
      <c r="I7050" s="679">
        <v>2790.66</v>
      </c>
    </row>
    <row r="7051" spans="2:9" ht="30">
      <c r="B7051" s="395">
        <v>103210</v>
      </c>
      <c r="C7051" s="406" t="s">
        <v>6222</v>
      </c>
      <c r="D7051" s="395" t="s">
        <v>23</v>
      </c>
      <c r="E7051" s="407">
        <f t="shared" si="220"/>
        <v>2243.56</v>
      </c>
      <c r="F7051">
        <f t="shared" si="221"/>
        <v>103210</v>
      </c>
      <c r="H7051" s="680">
        <v>2243.56</v>
      </c>
      <c r="I7051" s="680">
        <v>2258.33</v>
      </c>
    </row>
    <row r="7052" spans="2:9" ht="30">
      <c r="B7052" s="396">
        <v>103304</v>
      </c>
      <c r="C7052" s="401" t="s">
        <v>6293</v>
      </c>
      <c r="D7052" s="396" t="s">
        <v>23</v>
      </c>
      <c r="E7052" s="405">
        <f t="shared" si="220"/>
        <v>1229.6300000000001</v>
      </c>
      <c r="F7052">
        <f t="shared" si="221"/>
        <v>103304</v>
      </c>
      <c r="H7052" s="679">
        <v>1229.6300000000001</v>
      </c>
      <c r="I7052" s="679">
        <v>1233.27</v>
      </c>
    </row>
    <row r="7053" spans="2:9" ht="30">
      <c r="B7053" s="395">
        <v>103307</v>
      </c>
      <c r="C7053" s="406" t="s">
        <v>6294</v>
      </c>
      <c r="D7053" s="395" t="s">
        <v>23</v>
      </c>
      <c r="E7053" s="407">
        <f t="shared" si="220"/>
        <v>1308.98</v>
      </c>
      <c r="F7053">
        <f t="shared" si="221"/>
        <v>103307</v>
      </c>
      <c r="H7053" s="680">
        <v>1308.98</v>
      </c>
      <c r="I7053" s="680">
        <v>1316.66</v>
      </c>
    </row>
    <row r="7054" spans="2:9" ht="30">
      <c r="B7054" s="396">
        <v>103310</v>
      </c>
      <c r="C7054" s="401" t="s">
        <v>6295</v>
      </c>
      <c r="D7054" s="396" t="s">
        <v>23</v>
      </c>
      <c r="E7054" s="405">
        <f t="shared" si="220"/>
        <v>1269.58</v>
      </c>
      <c r="F7054">
        <f t="shared" si="221"/>
        <v>103310</v>
      </c>
      <c r="H7054" s="679">
        <v>1269.58</v>
      </c>
      <c r="I7054" s="679">
        <v>1273.08</v>
      </c>
    </row>
    <row r="7055" spans="2:9" ht="30">
      <c r="B7055" s="395">
        <v>103314</v>
      </c>
      <c r="C7055" s="406" t="s">
        <v>6296</v>
      </c>
      <c r="D7055" s="395" t="s">
        <v>0</v>
      </c>
      <c r="E7055" s="407">
        <f t="shared" si="220"/>
        <v>233.82</v>
      </c>
      <c r="F7055">
        <f t="shared" si="221"/>
        <v>103314</v>
      </c>
      <c r="H7055" s="680">
        <v>233.82</v>
      </c>
      <c r="I7055" s="680">
        <v>236.58</v>
      </c>
    </row>
    <row r="7056" spans="2:9" ht="30">
      <c r="B7056" s="396">
        <v>103315</v>
      </c>
      <c r="C7056" s="401" t="s">
        <v>6297</v>
      </c>
      <c r="D7056" s="396" t="s">
        <v>0</v>
      </c>
      <c r="E7056" s="405">
        <f t="shared" si="220"/>
        <v>227.14</v>
      </c>
      <c r="F7056">
        <f t="shared" si="221"/>
        <v>103315</v>
      </c>
      <c r="H7056" s="679">
        <v>227.14</v>
      </c>
      <c r="I7056" s="679">
        <v>229.28</v>
      </c>
    </row>
    <row r="7057" spans="2:9">
      <c r="B7057" s="395">
        <v>103769</v>
      </c>
      <c r="C7057" s="406" t="s">
        <v>6490</v>
      </c>
      <c r="D7057" s="395" t="s">
        <v>23</v>
      </c>
      <c r="E7057" s="407">
        <f t="shared" si="220"/>
        <v>4764.1499999999996</v>
      </c>
      <c r="F7057">
        <f t="shared" si="221"/>
        <v>103769</v>
      </c>
      <c r="H7057" s="680">
        <v>4764.1499999999996</v>
      </c>
      <c r="I7057" s="680">
        <v>4800.66</v>
      </c>
    </row>
    <row r="7058" spans="2:9" ht="30">
      <c r="B7058" s="396">
        <v>98525</v>
      </c>
      <c r="C7058" s="401" t="s">
        <v>2759</v>
      </c>
      <c r="D7058" s="396" t="s">
        <v>0</v>
      </c>
      <c r="E7058" s="405">
        <f t="shared" si="220"/>
        <v>0.33</v>
      </c>
      <c r="F7058">
        <f t="shared" si="221"/>
        <v>98525</v>
      </c>
      <c r="H7058" s="679">
        <v>0.33</v>
      </c>
      <c r="I7058" s="679">
        <v>0.34</v>
      </c>
    </row>
    <row r="7059" spans="2:9" ht="30">
      <c r="B7059" s="395">
        <v>98526</v>
      </c>
      <c r="C7059" s="406" t="s">
        <v>2760</v>
      </c>
      <c r="D7059" s="395" t="s">
        <v>23</v>
      </c>
      <c r="E7059" s="407">
        <f t="shared" si="220"/>
        <v>71.040000000000006</v>
      </c>
      <c r="F7059">
        <f t="shared" si="221"/>
        <v>98526</v>
      </c>
      <c r="H7059" s="680">
        <v>71.040000000000006</v>
      </c>
      <c r="I7059" s="680">
        <v>75.38</v>
      </c>
    </row>
    <row r="7060" spans="2:9" ht="30">
      <c r="B7060" s="396">
        <v>98527</v>
      </c>
      <c r="C7060" s="401" t="s">
        <v>2761</v>
      </c>
      <c r="D7060" s="396" t="s">
        <v>23</v>
      </c>
      <c r="E7060" s="405">
        <f t="shared" si="220"/>
        <v>152.91999999999999</v>
      </c>
      <c r="F7060">
        <f t="shared" si="221"/>
        <v>98527</v>
      </c>
      <c r="H7060" s="679">
        <v>152.91999999999999</v>
      </c>
      <c r="I7060" s="679">
        <v>162.27000000000001</v>
      </c>
    </row>
    <row r="7061" spans="2:9">
      <c r="B7061" s="395">
        <v>98528</v>
      </c>
      <c r="C7061" s="406" t="s">
        <v>2762</v>
      </c>
      <c r="D7061" s="395" t="s">
        <v>23</v>
      </c>
      <c r="E7061" s="407">
        <f t="shared" si="220"/>
        <v>223.63</v>
      </c>
      <c r="F7061">
        <f t="shared" si="221"/>
        <v>98528</v>
      </c>
      <c r="H7061" s="680">
        <v>223.63</v>
      </c>
      <c r="I7061" s="680">
        <v>237.31</v>
      </c>
    </row>
    <row r="7062" spans="2:9">
      <c r="B7062" s="396">
        <v>98529</v>
      </c>
      <c r="C7062" s="401" t="s">
        <v>2763</v>
      </c>
      <c r="D7062" s="396" t="s">
        <v>23</v>
      </c>
      <c r="E7062" s="405">
        <f t="shared" si="220"/>
        <v>56.04</v>
      </c>
      <c r="F7062">
        <f t="shared" si="221"/>
        <v>98529</v>
      </c>
      <c r="H7062" s="679">
        <v>56.04</v>
      </c>
      <c r="I7062" s="679">
        <v>62.11</v>
      </c>
    </row>
    <row r="7063" spans="2:9">
      <c r="B7063" s="395">
        <v>98530</v>
      </c>
      <c r="C7063" s="406" t="s">
        <v>2764</v>
      </c>
      <c r="D7063" s="395" t="s">
        <v>23</v>
      </c>
      <c r="E7063" s="407">
        <f t="shared" si="220"/>
        <v>99.83</v>
      </c>
      <c r="F7063">
        <f t="shared" si="221"/>
        <v>98530</v>
      </c>
      <c r="H7063" s="680">
        <v>99.83</v>
      </c>
      <c r="I7063" s="680">
        <v>110.64</v>
      </c>
    </row>
    <row r="7064" spans="2:9">
      <c r="B7064" s="396">
        <v>98531</v>
      </c>
      <c r="C7064" s="401" t="s">
        <v>2765</v>
      </c>
      <c r="D7064" s="396" t="s">
        <v>23</v>
      </c>
      <c r="E7064" s="405">
        <f t="shared" si="220"/>
        <v>235.99</v>
      </c>
      <c r="F7064">
        <f t="shared" si="221"/>
        <v>98531</v>
      </c>
      <c r="H7064" s="679">
        <v>235.99</v>
      </c>
      <c r="I7064" s="679">
        <v>252.21</v>
      </c>
    </row>
    <row r="7065" spans="2:9">
      <c r="B7065" s="395">
        <v>98532</v>
      </c>
      <c r="C7065" s="406" t="s">
        <v>2766</v>
      </c>
      <c r="D7065" s="395" t="s">
        <v>23</v>
      </c>
      <c r="E7065" s="407">
        <f t="shared" si="220"/>
        <v>106.83</v>
      </c>
      <c r="F7065">
        <f t="shared" si="221"/>
        <v>98532</v>
      </c>
      <c r="H7065" s="680">
        <v>106.83</v>
      </c>
      <c r="I7065" s="680">
        <v>111.22</v>
      </c>
    </row>
    <row r="7066" spans="2:9">
      <c r="B7066" s="396">
        <v>98533</v>
      </c>
      <c r="C7066" s="401" t="s">
        <v>2767</v>
      </c>
      <c r="D7066" s="396" t="s">
        <v>23</v>
      </c>
      <c r="E7066" s="405">
        <f t="shared" si="220"/>
        <v>284.39999999999998</v>
      </c>
      <c r="F7066">
        <f t="shared" si="221"/>
        <v>98533</v>
      </c>
      <c r="H7066" s="679">
        <v>284.39999999999998</v>
      </c>
      <c r="I7066" s="679">
        <v>298.07</v>
      </c>
    </row>
    <row r="7067" spans="2:9">
      <c r="B7067" s="395">
        <v>98534</v>
      </c>
      <c r="C7067" s="406" t="s">
        <v>2768</v>
      </c>
      <c r="D7067" s="395" t="s">
        <v>23</v>
      </c>
      <c r="E7067" s="407">
        <f t="shared" si="220"/>
        <v>738.33</v>
      </c>
      <c r="F7067">
        <f t="shared" si="221"/>
        <v>98534</v>
      </c>
      <c r="H7067" s="680">
        <v>738.33</v>
      </c>
      <c r="I7067" s="680">
        <v>771.36</v>
      </c>
    </row>
    <row r="7068" spans="2:9">
      <c r="B7068" s="396">
        <v>98535</v>
      </c>
      <c r="C7068" s="401" t="s">
        <v>2769</v>
      </c>
      <c r="D7068" s="396" t="s">
        <v>23</v>
      </c>
      <c r="E7068" s="405">
        <f t="shared" si="220"/>
        <v>1151.97</v>
      </c>
      <c r="F7068">
        <f t="shared" si="221"/>
        <v>98535</v>
      </c>
      <c r="H7068" s="679">
        <v>1151.97</v>
      </c>
      <c r="I7068" s="679">
        <v>1207.67</v>
      </c>
    </row>
    <row r="7069" spans="2:9">
      <c r="B7069" s="395">
        <v>88238</v>
      </c>
      <c r="C7069" s="406" t="s">
        <v>88</v>
      </c>
      <c r="D7069" s="395" t="s">
        <v>36</v>
      </c>
      <c r="E7069" s="407">
        <f t="shared" si="220"/>
        <v>17.420000000000002</v>
      </c>
      <c r="F7069">
        <f t="shared" si="221"/>
        <v>88238</v>
      </c>
      <c r="H7069" s="680">
        <v>17.420000000000002</v>
      </c>
      <c r="I7069" s="680">
        <v>19.260000000000002</v>
      </c>
    </row>
    <row r="7070" spans="2:9">
      <c r="B7070" s="396">
        <v>88239</v>
      </c>
      <c r="C7070" s="401" t="s">
        <v>89</v>
      </c>
      <c r="D7070" s="396" t="s">
        <v>36</v>
      </c>
      <c r="E7070" s="405">
        <f t="shared" si="220"/>
        <v>18.309999999999999</v>
      </c>
      <c r="F7070">
        <f t="shared" si="221"/>
        <v>88239</v>
      </c>
      <c r="H7070" s="679">
        <v>18.309999999999999</v>
      </c>
      <c r="I7070" s="679">
        <v>20.32</v>
      </c>
    </row>
    <row r="7071" spans="2:9">
      <c r="B7071" s="395">
        <v>88240</v>
      </c>
      <c r="C7071" s="406" t="s">
        <v>90</v>
      </c>
      <c r="D7071" s="395" t="s">
        <v>36</v>
      </c>
      <c r="E7071" s="407">
        <f t="shared" si="220"/>
        <v>12.79</v>
      </c>
      <c r="F7071">
        <f t="shared" si="221"/>
        <v>88240</v>
      </c>
      <c r="H7071" s="680">
        <v>12.79</v>
      </c>
      <c r="I7071" s="680">
        <v>14.12</v>
      </c>
    </row>
    <row r="7072" spans="2:9">
      <c r="B7072" s="396">
        <v>88241</v>
      </c>
      <c r="C7072" s="401" t="s">
        <v>91</v>
      </c>
      <c r="D7072" s="396" t="s">
        <v>36</v>
      </c>
      <c r="E7072" s="405">
        <f t="shared" si="220"/>
        <v>17.420000000000002</v>
      </c>
      <c r="F7072">
        <f t="shared" si="221"/>
        <v>88241</v>
      </c>
      <c r="H7072" s="679">
        <v>17.420000000000002</v>
      </c>
      <c r="I7072" s="679">
        <v>19.260000000000002</v>
      </c>
    </row>
    <row r="7073" spans="2:9">
      <c r="B7073" s="395">
        <v>88242</v>
      </c>
      <c r="C7073" s="406" t="s">
        <v>92</v>
      </c>
      <c r="D7073" s="395" t="s">
        <v>36</v>
      </c>
      <c r="E7073" s="407">
        <f t="shared" si="220"/>
        <v>17.46</v>
      </c>
      <c r="F7073">
        <f t="shared" si="221"/>
        <v>88242</v>
      </c>
      <c r="H7073" s="680">
        <v>17.46</v>
      </c>
      <c r="I7073" s="680">
        <v>19.309999999999999</v>
      </c>
    </row>
    <row r="7074" spans="2:9">
      <c r="B7074" s="396">
        <v>88243</v>
      </c>
      <c r="C7074" s="401" t="s">
        <v>93</v>
      </c>
      <c r="D7074" s="396" t="s">
        <v>36</v>
      </c>
      <c r="E7074" s="405">
        <f t="shared" si="220"/>
        <v>18.29</v>
      </c>
      <c r="F7074">
        <f t="shared" si="221"/>
        <v>88243</v>
      </c>
      <c r="H7074" s="679">
        <v>18.29</v>
      </c>
      <c r="I7074" s="679">
        <v>20.3</v>
      </c>
    </row>
    <row r="7075" spans="2:9">
      <c r="B7075" s="395">
        <v>88245</v>
      </c>
      <c r="C7075" s="406" t="s">
        <v>94</v>
      </c>
      <c r="D7075" s="395" t="s">
        <v>36</v>
      </c>
      <c r="E7075" s="407">
        <f t="shared" si="220"/>
        <v>21.66</v>
      </c>
      <c r="F7075">
        <f t="shared" si="221"/>
        <v>88245</v>
      </c>
      <c r="H7075" s="680">
        <v>21.66</v>
      </c>
      <c r="I7075" s="680">
        <v>24.14</v>
      </c>
    </row>
    <row r="7076" spans="2:9">
      <c r="B7076" s="396">
        <v>88246</v>
      </c>
      <c r="C7076" s="401" t="s">
        <v>95</v>
      </c>
      <c r="D7076" s="396" t="s">
        <v>36</v>
      </c>
      <c r="E7076" s="405">
        <f t="shared" si="220"/>
        <v>18.350000000000001</v>
      </c>
      <c r="F7076">
        <f t="shared" si="221"/>
        <v>88246</v>
      </c>
      <c r="H7076" s="679">
        <v>18.350000000000001</v>
      </c>
      <c r="I7076" s="679">
        <v>20.52</v>
      </c>
    </row>
    <row r="7077" spans="2:9">
      <c r="B7077" s="395">
        <v>88247</v>
      </c>
      <c r="C7077" s="406" t="s">
        <v>96</v>
      </c>
      <c r="D7077" s="395" t="s">
        <v>36</v>
      </c>
      <c r="E7077" s="407">
        <f t="shared" si="220"/>
        <v>18.809999999999999</v>
      </c>
      <c r="F7077">
        <f t="shared" si="221"/>
        <v>88247</v>
      </c>
      <c r="H7077" s="680">
        <v>18.809999999999999</v>
      </c>
      <c r="I7077" s="680">
        <v>20.87</v>
      </c>
    </row>
    <row r="7078" spans="2:9">
      <c r="B7078" s="396">
        <v>88248</v>
      </c>
      <c r="C7078" s="401" t="s">
        <v>1909</v>
      </c>
      <c r="D7078" s="396" t="s">
        <v>36</v>
      </c>
      <c r="E7078" s="405">
        <f t="shared" si="220"/>
        <v>17.87</v>
      </c>
      <c r="F7078">
        <f t="shared" si="221"/>
        <v>88248</v>
      </c>
      <c r="H7078" s="679">
        <v>17.87</v>
      </c>
      <c r="I7078" s="679">
        <v>19.89</v>
      </c>
    </row>
    <row r="7079" spans="2:9">
      <c r="B7079" s="395">
        <v>88249</v>
      </c>
      <c r="C7079" s="406" t="s">
        <v>97</v>
      </c>
      <c r="D7079" s="395" t="s">
        <v>36</v>
      </c>
      <c r="E7079" s="407">
        <f t="shared" si="220"/>
        <v>22.54</v>
      </c>
      <c r="F7079">
        <f t="shared" si="221"/>
        <v>88249</v>
      </c>
      <c r="H7079" s="680">
        <v>22.54</v>
      </c>
      <c r="I7079" s="680">
        <v>25.63</v>
      </c>
    </row>
    <row r="7080" spans="2:9">
      <c r="B7080" s="396">
        <v>88250</v>
      </c>
      <c r="C7080" s="401" t="s">
        <v>98</v>
      </c>
      <c r="D7080" s="396" t="s">
        <v>36</v>
      </c>
      <c r="E7080" s="405">
        <f t="shared" si="220"/>
        <v>14.67</v>
      </c>
      <c r="F7080">
        <f t="shared" si="221"/>
        <v>88250</v>
      </c>
      <c r="H7080" s="679">
        <v>14.67</v>
      </c>
      <c r="I7080" s="679">
        <v>16.28</v>
      </c>
    </row>
    <row r="7081" spans="2:9">
      <c r="B7081" s="395">
        <v>88251</v>
      </c>
      <c r="C7081" s="406" t="s">
        <v>99</v>
      </c>
      <c r="D7081" s="395" t="s">
        <v>36</v>
      </c>
      <c r="E7081" s="407">
        <f t="shared" si="220"/>
        <v>18.440000000000001</v>
      </c>
      <c r="F7081">
        <f t="shared" si="221"/>
        <v>88251</v>
      </c>
      <c r="H7081" s="680">
        <v>18.440000000000001</v>
      </c>
      <c r="I7081" s="680">
        <v>20.45</v>
      </c>
    </row>
    <row r="7082" spans="2:9">
      <c r="B7082" s="396">
        <v>88252</v>
      </c>
      <c r="C7082" s="401" t="s">
        <v>100</v>
      </c>
      <c r="D7082" s="396" t="s">
        <v>36</v>
      </c>
      <c r="E7082" s="405">
        <f t="shared" si="220"/>
        <v>17.29</v>
      </c>
      <c r="F7082">
        <f t="shared" si="221"/>
        <v>88252</v>
      </c>
      <c r="H7082" s="679">
        <v>17.29</v>
      </c>
      <c r="I7082" s="679">
        <v>19.14</v>
      </c>
    </row>
    <row r="7083" spans="2:9">
      <c r="B7083" s="395">
        <v>88253</v>
      </c>
      <c r="C7083" s="406" t="s">
        <v>101</v>
      </c>
      <c r="D7083" s="395" t="s">
        <v>36</v>
      </c>
      <c r="E7083" s="407">
        <f t="shared" si="220"/>
        <v>9.34</v>
      </c>
      <c r="F7083">
        <f t="shared" si="221"/>
        <v>88253</v>
      </c>
      <c r="H7083" s="680">
        <v>9.34</v>
      </c>
      <c r="I7083" s="680">
        <v>10.45</v>
      </c>
    </row>
    <row r="7084" spans="2:9">
      <c r="B7084" s="396">
        <v>88255</v>
      </c>
      <c r="C7084" s="401" t="s">
        <v>102</v>
      </c>
      <c r="D7084" s="396" t="s">
        <v>36</v>
      </c>
      <c r="E7084" s="405">
        <f t="shared" si="220"/>
        <v>25.56</v>
      </c>
      <c r="F7084">
        <f t="shared" si="221"/>
        <v>88255</v>
      </c>
      <c r="H7084" s="679">
        <v>25.56</v>
      </c>
      <c r="I7084" s="679">
        <v>29.12</v>
      </c>
    </row>
    <row r="7085" spans="2:9">
      <c r="B7085" s="395">
        <v>88256</v>
      </c>
      <c r="C7085" s="406" t="s">
        <v>103</v>
      </c>
      <c r="D7085" s="395" t="s">
        <v>36</v>
      </c>
      <c r="E7085" s="407">
        <f t="shared" si="220"/>
        <v>21.72</v>
      </c>
      <c r="F7085">
        <f t="shared" si="221"/>
        <v>88256</v>
      </c>
      <c r="H7085" s="680">
        <v>21.72</v>
      </c>
      <c r="I7085" s="680">
        <v>24.21</v>
      </c>
    </row>
    <row r="7086" spans="2:9">
      <c r="B7086" s="396">
        <v>88257</v>
      </c>
      <c r="C7086" s="401" t="s">
        <v>104</v>
      </c>
      <c r="D7086" s="396" t="s">
        <v>36</v>
      </c>
      <c r="E7086" s="405">
        <f t="shared" si="220"/>
        <v>15.79</v>
      </c>
      <c r="F7086">
        <f t="shared" si="221"/>
        <v>88257</v>
      </c>
      <c r="H7086" s="679">
        <v>15.79</v>
      </c>
      <c r="I7086" s="679">
        <v>17.57</v>
      </c>
    </row>
    <row r="7087" spans="2:9">
      <c r="B7087" s="395">
        <v>88258</v>
      </c>
      <c r="C7087" s="406" t="s">
        <v>587</v>
      </c>
      <c r="D7087" s="395" t="s">
        <v>36</v>
      </c>
      <c r="E7087" s="407">
        <f t="shared" si="220"/>
        <v>15.07</v>
      </c>
      <c r="F7087">
        <f t="shared" si="221"/>
        <v>88258</v>
      </c>
      <c r="H7087" s="680">
        <v>15.07</v>
      </c>
      <c r="I7087" s="680">
        <v>17.03</v>
      </c>
    </row>
    <row r="7088" spans="2:9">
      <c r="B7088" s="396">
        <v>88260</v>
      </c>
      <c r="C7088" s="401" t="s">
        <v>105</v>
      </c>
      <c r="D7088" s="396" t="s">
        <v>36</v>
      </c>
      <c r="E7088" s="405">
        <f t="shared" si="220"/>
        <v>20.09</v>
      </c>
      <c r="F7088">
        <f t="shared" si="221"/>
        <v>88260</v>
      </c>
      <c r="H7088" s="679">
        <v>20.09</v>
      </c>
      <c r="I7088" s="679">
        <v>22.33</v>
      </c>
    </row>
    <row r="7089" spans="2:9">
      <c r="B7089" s="395">
        <v>88261</v>
      </c>
      <c r="C7089" s="406" t="s">
        <v>106</v>
      </c>
      <c r="D7089" s="395" t="s">
        <v>36</v>
      </c>
      <c r="E7089" s="407">
        <f t="shared" si="220"/>
        <v>20.56</v>
      </c>
      <c r="F7089">
        <f t="shared" si="221"/>
        <v>88261</v>
      </c>
      <c r="H7089" s="680">
        <v>20.56</v>
      </c>
      <c r="I7089" s="680">
        <v>22.91</v>
      </c>
    </row>
    <row r="7090" spans="2:9">
      <c r="B7090" s="396">
        <v>88262</v>
      </c>
      <c r="C7090" s="401" t="s">
        <v>107</v>
      </c>
      <c r="D7090" s="396" t="s">
        <v>36</v>
      </c>
      <c r="E7090" s="405">
        <f t="shared" si="220"/>
        <v>21.48</v>
      </c>
      <c r="F7090">
        <f t="shared" si="221"/>
        <v>88262</v>
      </c>
      <c r="H7090" s="679">
        <v>21.48</v>
      </c>
      <c r="I7090" s="679">
        <v>23.96</v>
      </c>
    </row>
    <row r="7091" spans="2:9">
      <c r="B7091" s="395">
        <v>88263</v>
      </c>
      <c r="C7091" s="406" t="s">
        <v>1910</v>
      </c>
      <c r="D7091" s="395" t="s">
        <v>36</v>
      </c>
      <c r="E7091" s="407">
        <f t="shared" si="220"/>
        <v>14.13</v>
      </c>
      <c r="F7091">
        <f t="shared" si="221"/>
        <v>88263</v>
      </c>
      <c r="H7091" s="680">
        <v>14.13</v>
      </c>
      <c r="I7091" s="680">
        <v>15.65</v>
      </c>
    </row>
    <row r="7092" spans="2:9">
      <c r="B7092" s="396">
        <v>88264</v>
      </c>
      <c r="C7092" s="401" t="s">
        <v>108</v>
      </c>
      <c r="D7092" s="396" t="s">
        <v>36</v>
      </c>
      <c r="E7092" s="405">
        <f t="shared" si="220"/>
        <v>22.67</v>
      </c>
      <c r="F7092">
        <f t="shared" si="221"/>
        <v>88264</v>
      </c>
      <c r="H7092" s="679">
        <v>22.67</v>
      </c>
      <c r="I7092" s="679">
        <v>25.3</v>
      </c>
    </row>
    <row r="7093" spans="2:9">
      <c r="B7093" s="395">
        <v>88265</v>
      </c>
      <c r="C7093" s="406" t="s">
        <v>109</v>
      </c>
      <c r="D7093" s="395" t="s">
        <v>36</v>
      </c>
      <c r="E7093" s="407">
        <f t="shared" si="220"/>
        <v>22.67</v>
      </c>
      <c r="F7093">
        <f t="shared" si="221"/>
        <v>88265</v>
      </c>
      <c r="H7093" s="680">
        <v>22.67</v>
      </c>
      <c r="I7093" s="680">
        <v>25.3</v>
      </c>
    </row>
    <row r="7094" spans="2:9">
      <c r="B7094" s="396">
        <v>88266</v>
      </c>
      <c r="C7094" s="401" t="s">
        <v>110</v>
      </c>
      <c r="D7094" s="396" t="s">
        <v>36</v>
      </c>
      <c r="E7094" s="405">
        <f t="shared" si="220"/>
        <v>27.73</v>
      </c>
      <c r="F7094">
        <f t="shared" si="221"/>
        <v>88266</v>
      </c>
      <c r="H7094" s="679">
        <v>27.73</v>
      </c>
      <c r="I7094" s="679">
        <v>31.13</v>
      </c>
    </row>
    <row r="7095" spans="2:9">
      <c r="B7095" s="395">
        <v>88267</v>
      </c>
      <c r="C7095" s="406" t="s">
        <v>111</v>
      </c>
      <c r="D7095" s="395" t="s">
        <v>36</v>
      </c>
      <c r="E7095" s="407">
        <f t="shared" si="220"/>
        <v>21.66</v>
      </c>
      <c r="F7095">
        <f t="shared" si="221"/>
        <v>88267</v>
      </c>
      <c r="H7095" s="680">
        <v>21.66</v>
      </c>
      <c r="I7095" s="680">
        <v>24.24</v>
      </c>
    </row>
    <row r="7096" spans="2:9">
      <c r="B7096" s="396">
        <v>88269</v>
      </c>
      <c r="C7096" s="401" t="s">
        <v>112</v>
      </c>
      <c r="D7096" s="396" t="s">
        <v>36</v>
      </c>
      <c r="E7096" s="405">
        <f t="shared" si="220"/>
        <v>20.93</v>
      </c>
      <c r="F7096">
        <f t="shared" si="221"/>
        <v>88269</v>
      </c>
      <c r="H7096" s="679">
        <v>20.93</v>
      </c>
      <c r="I7096" s="679">
        <v>23.3</v>
      </c>
    </row>
    <row r="7097" spans="2:9">
      <c r="B7097" s="395">
        <v>88270</v>
      </c>
      <c r="C7097" s="406" t="s">
        <v>113</v>
      </c>
      <c r="D7097" s="395" t="s">
        <v>36</v>
      </c>
      <c r="E7097" s="407">
        <f t="shared" si="220"/>
        <v>19.77</v>
      </c>
      <c r="F7097">
        <f t="shared" si="221"/>
        <v>88270</v>
      </c>
      <c r="H7097" s="680">
        <v>19.77</v>
      </c>
      <c r="I7097" s="680">
        <v>21.98</v>
      </c>
    </row>
    <row r="7098" spans="2:9">
      <c r="B7098" s="396">
        <v>88272</v>
      </c>
      <c r="C7098" s="401" t="s">
        <v>114</v>
      </c>
      <c r="D7098" s="396" t="s">
        <v>36</v>
      </c>
      <c r="E7098" s="405">
        <f t="shared" si="220"/>
        <v>22.18</v>
      </c>
      <c r="F7098">
        <f t="shared" si="221"/>
        <v>88272</v>
      </c>
      <c r="H7098" s="679">
        <v>22.18</v>
      </c>
      <c r="I7098" s="679">
        <v>24.62</v>
      </c>
    </row>
    <row r="7099" spans="2:9">
      <c r="B7099" s="395">
        <v>88273</v>
      </c>
      <c r="C7099" s="406" t="s">
        <v>115</v>
      </c>
      <c r="D7099" s="395" t="s">
        <v>36</v>
      </c>
      <c r="E7099" s="407">
        <f t="shared" si="220"/>
        <v>20.309999999999999</v>
      </c>
      <c r="F7099">
        <f t="shared" si="221"/>
        <v>88273</v>
      </c>
      <c r="H7099" s="680">
        <v>20.309999999999999</v>
      </c>
      <c r="I7099" s="680">
        <v>22.61</v>
      </c>
    </row>
    <row r="7100" spans="2:9">
      <c r="B7100" s="396">
        <v>88274</v>
      </c>
      <c r="C7100" s="401" t="s">
        <v>116</v>
      </c>
      <c r="D7100" s="396" t="s">
        <v>36</v>
      </c>
      <c r="E7100" s="405">
        <f t="shared" si="220"/>
        <v>21.72</v>
      </c>
      <c r="F7100">
        <f t="shared" si="221"/>
        <v>88274</v>
      </c>
      <c r="H7100" s="679">
        <v>21.72</v>
      </c>
      <c r="I7100" s="679">
        <v>24.21</v>
      </c>
    </row>
    <row r="7101" spans="2:9">
      <c r="B7101" s="395">
        <v>88275</v>
      </c>
      <c r="C7101" s="406" t="s">
        <v>117</v>
      </c>
      <c r="D7101" s="395" t="s">
        <v>36</v>
      </c>
      <c r="E7101" s="407">
        <f t="shared" si="220"/>
        <v>22.61</v>
      </c>
      <c r="F7101">
        <f t="shared" si="221"/>
        <v>88275</v>
      </c>
      <c r="H7101" s="680">
        <v>22.61</v>
      </c>
      <c r="I7101" s="680">
        <v>25.41</v>
      </c>
    </row>
    <row r="7102" spans="2:9">
      <c r="B7102" s="396">
        <v>88277</v>
      </c>
      <c r="C7102" s="401" t="s">
        <v>118</v>
      </c>
      <c r="D7102" s="396" t="s">
        <v>36</v>
      </c>
      <c r="E7102" s="405">
        <f t="shared" si="220"/>
        <v>16.690000000000001</v>
      </c>
      <c r="F7102">
        <f t="shared" si="221"/>
        <v>88277</v>
      </c>
      <c r="H7102" s="679">
        <v>16.690000000000001</v>
      </c>
      <c r="I7102" s="679">
        <v>18.600000000000001</v>
      </c>
    </row>
    <row r="7103" spans="2:9">
      <c r="B7103" s="395">
        <v>88278</v>
      </c>
      <c r="C7103" s="406" t="s">
        <v>119</v>
      </c>
      <c r="D7103" s="395" t="s">
        <v>36</v>
      </c>
      <c r="E7103" s="407">
        <f t="shared" si="220"/>
        <v>15.65</v>
      </c>
      <c r="F7103">
        <f t="shared" si="221"/>
        <v>88278</v>
      </c>
      <c r="H7103" s="680">
        <v>15.65</v>
      </c>
      <c r="I7103" s="680">
        <v>17.420000000000002</v>
      </c>
    </row>
    <row r="7104" spans="2:9">
      <c r="B7104" s="396">
        <v>88279</v>
      </c>
      <c r="C7104" s="401" t="s">
        <v>120</v>
      </c>
      <c r="D7104" s="396" t="s">
        <v>36</v>
      </c>
      <c r="E7104" s="405">
        <f t="shared" si="220"/>
        <v>23.86</v>
      </c>
      <c r="F7104">
        <f t="shared" si="221"/>
        <v>88279</v>
      </c>
      <c r="H7104" s="679">
        <v>23.86</v>
      </c>
      <c r="I7104" s="679">
        <v>26.68</v>
      </c>
    </row>
    <row r="7105" spans="2:9">
      <c r="B7105" s="395">
        <v>88281</v>
      </c>
      <c r="C7105" s="406" t="s">
        <v>121</v>
      </c>
      <c r="D7105" s="395" t="s">
        <v>36</v>
      </c>
      <c r="E7105" s="407">
        <f t="shared" si="220"/>
        <v>16.68</v>
      </c>
      <c r="F7105">
        <f t="shared" si="221"/>
        <v>88281</v>
      </c>
      <c r="H7105" s="680">
        <v>16.68</v>
      </c>
      <c r="I7105" s="680">
        <v>18.600000000000001</v>
      </c>
    </row>
    <row r="7106" spans="2:9">
      <c r="B7106" s="396">
        <v>88282</v>
      </c>
      <c r="C7106" s="401" t="s">
        <v>122</v>
      </c>
      <c r="D7106" s="396" t="s">
        <v>36</v>
      </c>
      <c r="E7106" s="405">
        <f t="shared" si="220"/>
        <v>17.45</v>
      </c>
      <c r="F7106">
        <f t="shared" si="221"/>
        <v>88282</v>
      </c>
      <c r="H7106" s="679">
        <v>17.45</v>
      </c>
      <c r="I7106" s="679">
        <v>19.48</v>
      </c>
    </row>
    <row r="7107" spans="2:9">
      <c r="B7107" s="395">
        <v>88283</v>
      </c>
      <c r="C7107" s="406" t="s">
        <v>123</v>
      </c>
      <c r="D7107" s="395" t="s">
        <v>36</v>
      </c>
      <c r="E7107" s="407">
        <f t="shared" ref="E7107:E7170" si="222">IF($K$2=$H$1,H7107,I7107)</f>
        <v>21.96</v>
      </c>
      <c r="F7107">
        <f t="shared" si="221"/>
        <v>88283</v>
      </c>
      <c r="H7107" s="680">
        <v>21.96</v>
      </c>
      <c r="I7107" s="680">
        <v>24.67</v>
      </c>
    </row>
    <row r="7108" spans="2:9">
      <c r="B7108" s="396">
        <v>88284</v>
      </c>
      <c r="C7108" s="401" t="s">
        <v>124</v>
      </c>
      <c r="D7108" s="396" t="s">
        <v>36</v>
      </c>
      <c r="E7108" s="405">
        <f t="shared" si="222"/>
        <v>16.47</v>
      </c>
      <c r="F7108">
        <f t="shared" ref="F7108:F7171" si="223">IF(LEN($B7108)=7,CONCATENATE(MID($B7108,1,6),"00",RIGHT($B7108,1)),IF(LEN($B7108)=8,CONCATENATE(MID($B7108,1,6),"0",RIGHT($B7108,2)),$B7108))</f>
        <v>88284</v>
      </c>
      <c r="H7108" s="679">
        <v>16.47</v>
      </c>
      <c r="I7108" s="679">
        <v>18.350000000000001</v>
      </c>
    </row>
    <row r="7109" spans="2:9">
      <c r="B7109" s="395">
        <v>88285</v>
      </c>
      <c r="C7109" s="406" t="s">
        <v>125</v>
      </c>
      <c r="D7109" s="395" t="s">
        <v>36</v>
      </c>
      <c r="E7109" s="407">
        <f t="shared" si="222"/>
        <v>18.68</v>
      </c>
      <c r="F7109">
        <f t="shared" si="223"/>
        <v>88285</v>
      </c>
      <c r="H7109" s="680">
        <v>18.68</v>
      </c>
      <c r="I7109" s="680">
        <v>20.89</v>
      </c>
    </row>
    <row r="7110" spans="2:9">
      <c r="B7110" s="396">
        <v>88286</v>
      </c>
      <c r="C7110" s="401" t="s">
        <v>126</v>
      </c>
      <c r="D7110" s="396" t="s">
        <v>36</v>
      </c>
      <c r="E7110" s="405">
        <f t="shared" si="222"/>
        <v>19.93</v>
      </c>
      <c r="F7110">
        <f t="shared" si="223"/>
        <v>88286</v>
      </c>
      <c r="H7110" s="679">
        <v>19.93</v>
      </c>
      <c r="I7110" s="679">
        <v>22.33</v>
      </c>
    </row>
    <row r="7111" spans="2:9">
      <c r="B7111" s="395">
        <v>88288</v>
      </c>
      <c r="C7111" s="406" t="s">
        <v>127</v>
      </c>
      <c r="D7111" s="395" t="s">
        <v>36</v>
      </c>
      <c r="E7111" s="407">
        <f t="shared" si="222"/>
        <v>11.38</v>
      </c>
      <c r="F7111">
        <f t="shared" si="223"/>
        <v>88288</v>
      </c>
      <c r="H7111" s="680">
        <v>11.38</v>
      </c>
      <c r="I7111" s="680">
        <v>12.8</v>
      </c>
    </row>
    <row r="7112" spans="2:9">
      <c r="B7112" s="396">
        <v>88291</v>
      </c>
      <c r="C7112" s="401" t="s">
        <v>128</v>
      </c>
      <c r="D7112" s="396" t="s">
        <v>36</v>
      </c>
      <c r="E7112" s="405">
        <f t="shared" si="222"/>
        <v>16.170000000000002</v>
      </c>
      <c r="F7112">
        <f t="shared" si="223"/>
        <v>88291</v>
      </c>
      <c r="H7112" s="679">
        <v>16.170000000000002</v>
      </c>
      <c r="I7112" s="679">
        <v>18</v>
      </c>
    </row>
    <row r="7113" spans="2:9">
      <c r="B7113" s="395">
        <v>88292</v>
      </c>
      <c r="C7113" s="406" t="s">
        <v>129</v>
      </c>
      <c r="D7113" s="395" t="s">
        <v>36</v>
      </c>
      <c r="E7113" s="407">
        <f t="shared" si="222"/>
        <v>16.809999999999999</v>
      </c>
      <c r="F7113">
        <f t="shared" si="223"/>
        <v>88292</v>
      </c>
      <c r="H7113" s="680">
        <v>16.809999999999999</v>
      </c>
      <c r="I7113" s="680">
        <v>18.73</v>
      </c>
    </row>
    <row r="7114" spans="2:9">
      <c r="B7114" s="396">
        <v>88293</v>
      </c>
      <c r="C7114" s="401" t="s">
        <v>379</v>
      </c>
      <c r="D7114" s="396" t="s">
        <v>36</v>
      </c>
      <c r="E7114" s="405">
        <f t="shared" si="222"/>
        <v>18.98</v>
      </c>
      <c r="F7114">
        <f t="shared" si="223"/>
        <v>88293</v>
      </c>
      <c r="H7114" s="679">
        <v>18.98</v>
      </c>
      <c r="I7114" s="679">
        <v>21.24</v>
      </c>
    </row>
    <row r="7115" spans="2:9">
      <c r="B7115" s="395">
        <v>88294</v>
      </c>
      <c r="C7115" s="406" t="s">
        <v>130</v>
      </c>
      <c r="D7115" s="395" t="s">
        <v>36</v>
      </c>
      <c r="E7115" s="407">
        <f t="shared" si="222"/>
        <v>20.48</v>
      </c>
      <c r="F7115">
        <f t="shared" si="223"/>
        <v>88294</v>
      </c>
      <c r="H7115" s="680">
        <v>20.48</v>
      </c>
      <c r="I7115" s="680">
        <v>22.96</v>
      </c>
    </row>
    <row r="7116" spans="2:9">
      <c r="B7116" s="396">
        <v>88295</v>
      </c>
      <c r="C7116" s="401" t="s">
        <v>131</v>
      </c>
      <c r="D7116" s="396" t="s">
        <v>36</v>
      </c>
      <c r="E7116" s="405">
        <f t="shared" si="222"/>
        <v>15.9</v>
      </c>
      <c r="F7116">
        <f t="shared" si="223"/>
        <v>88295</v>
      </c>
      <c r="H7116" s="679">
        <v>15.9</v>
      </c>
      <c r="I7116" s="679">
        <v>17.7</v>
      </c>
    </row>
    <row r="7117" spans="2:9">
      <c r="B7117" s="395">
        <v>88296</v>
      </c>
      <c r="C7117" s="406" t="s">
        <v>132</v>
      </c>
      <c r="D7117" s="395" t="s">
        <v>36</v>
      </c>
      <c r="E7117" s="407">
        <f t="shared" si="222"/>
        <v>15.98</v>
      </c>
      <c r="F7117">
        <f t="shared" si="223"/>
        <v>88296</v>
      </c>
      <c r="H7117" s="680">
        <v>15.98</v>
      </c>
      <c r="I7117" s="680">
        <v>17.78</v>
      </c>
    </row>
    <row r="7118" spans="2:9">
      <c r="B7118" s="396">
        <v>88297</v>
      </c>
      <c r="C7118" s="401" t="s">
        <v>133</v>
      </c>
      <c r="D7118" s="396" t="s">
        <v>36</v>
      </c>
      <c r="E7118" s="405">
        <f t="shared" si="222"/>
        <v>16.559999999999999</v>
      </c>
      <c r="F7118">
        <f t="shared" si="223"/>
        <v>88297</v>
      </c>
      <c r="H7118" s="679">
        <v>16.559999999999999</v>
      </c>
      <c r="I7118" s="679">
        <v>18.45</v>
      </c>
    </row>
    <row r="7119" spans="2:9">
      <c r="B7119" s="395">
        <v>88298</v>
      </c>
      <c r="C7119" s="406" t="s">
        <v>134</v>
      </c>
      <c r="D7119" s="395" t="s">
        <v>36</v>
      </c>
      <c r="E7119" s="407">
        <f t="shared" si="222"/>
        <v>13.85</v>
      </c>
      <c r="F7119">
        <f t="shared" si="223"/>
        <v>88298</v>
      </c>
      <c r="H7119" s="680">
        <v>13.85</v>
      </c>
      <c r="I7119" s="680">
        <v>15.34</v>
      </c>
    </row>
    <row r="7120" spans="2:9">
      <c r="B7120" s="396">
        <v>88299</v>
      </c>
      <c r="C7120" s="401" t="s">
        <v>135</v>
      </c>
      <c r="D7120" s="396" t="s">
        <v>36</v>
      </c>
      <c r="E7120" s="405">
        <f t="shared" si="222"/>
        <v>19.239999999999998</v>
      </c>
      <c r="F7120">
        <f t="shared" si="223"/>
        <v>88299</v>
      </c>
      <c r="H7120" s="679">
        <v>19.239999999999998</v>
      </c>
      <c r="I7120" s="679">
        <v>21.54</v>
      </c>
    </row>
    <row r="7121" spans="2:9">
      <c r="B7121" s="395">
        <v>88300</v>
      </c>
      <c r="C7121" s="406" t="s">
        <v>136</v>
      </c>
      <c r="D7121" s="395" t="s">
        <v>36</v>
      </c>
      <c r="E7121" s="407">
        <f t="shared" si="222"/>
        <v>22.7</v>
      </c>
      <c r="F7121">
        <f t="shared" si="223"/>
        <v>88300</v>
      </c>
      <c r="H7121" s="680">
        <v>22.7</v>
      </c>
      <c r="I7121" s="680">
        <v>25.51</v>
      </c>
    </row>
    <row r="7122" spans="2:9">
      <c r="B7122" s="396">
        <v>88301</v>
      </c>
      <c r="C7122" s="401" t="s">
        <v>137</v>
      </c>
      <c r="D7122" s="396" t="s">
        <v>36</v>
      </c>
      <c r="E7122" s="405">
        <f t="shared" si="222"/>
        <v>17.649999999999999</v>
      </c>
      <c r="F7122">
        <f t="shared" si="223"/>
        <v>88301</v>
      </c>
      <c r="H7122" s="679">
        <v>17.649999999999999</v>
      </c>
      <c r="I7122" s="679">
        <v>19.71</v>
      </c>
    </row>
    <row r="7123" spans="2:9">
      <c r="B7123" s="395">
        <v>88302</v>
      </c>
      <c r="C7123" s="406" t="s">
        <v>138</v>
      </c>
      <c r="D7123" s="395" t="s">
        <v>36</v>
      </c>
      <c r="E7123" s="407">
        <f t="shared" si="222"/>
        <v>19.73</v>
      </c>
      <c r="F7123">
        <f t="shared" si="223"/>
        <v>88302</v>
      </c>
      <c r="H7123" s="680">
        <v>19.73</v>
      </c>
      <c r="I7123" s="680">
        <v>22.1</v>
      </c>
    </row>
    <row r="7124" spans="2:9">
      <c r="B7124" s="396">
        <v>88303</v>
      </c>
      <c r="C7124" s="401" t="s">
        <v>139</v>
      </c>
      <c r="D7124" s="396" t="s">
        <v>36</v>
      </c>
      <c r="E7124" s="405">
        <f t="shared" si="222"/>
        <v>16.510000000000002</v>
      </c>
      <c r="F7124">
        <f t="shared" si="223"/>
        <v>88303</v>
      </c>
      <c r="H7124" s="679">
        <v>16.510000000000002</v>
      </c>
      <c r="I7124" s="679">
        <v>18.399999999999999</v>
      </c>
    </row>
    <row r="7125" spans="2:9">
      <c r="B7125" s="395">
        <v>88304</v>
      </c>
      <c r="C7125" s="406" t="s">
        <v>1911</v>
      </c>
      <c r="D7125" s="395" t="s">
        <v>36</v>
      </c>
      <c r="E7125" s="407">
        <f t="shared" si="222"/>
        <v>17.510000000000002</v>
      </c>
      <c r="F7125">
        <f t="shared" si="223"/>
        <v>88304</v>
      </c>
      <c r="H7125" s="680">
        <v>17.510000000000002</v>
      </c>
      <c r="I7125" s="680">
        <v>19.55</v>
      </c>
    </row>
    <row r="7126" spans="2:9">
      <c r="B7126" s="396">
        <v>88306</v>
      </c>
      <c r="C7126" s="401" t="s">
        <v>140</v>
      </c>
      <c r="D7126" s="396" t="s">
        <v>36</v>
      </c>
      <c r="E7126" s="405">
        <f t="shared" si="222"/>
        <v>18.739999999999998</v>
      </c>
      <c r="F7126">
        <f t="shared" si="223"/>
        <v>88306</v>
      </c>
      <c r="H7126" s="679">
        <v>18.739999999999998</v>
      </c>
      <c r="I7126" s="679">
        <v>20.97</v>
      </c>
    </row>
    <row r="7127" spans="2:9">
      <c r="B7127" s="395">
        <v>88307</v>
      </c>
      <c r="C7127" s="406" t="s">
        <v>141</v>
      </c>
      <c r="D7127" s="395" t="s">
        <v>36</v>
      </c>
      <c r="E7127" s="407">
        <f t="shared" si="222"/>
        <v>18.190000000000001</v>
      </c>
      <c r="F7127">
        <f t="shared" si="223"/>
        <v>88307</v>
      </c>
      <c r="H7127" s="680">
        <v>18.190000000000001</v>
      </c>
      <c r="I7127" s="680">
        <v>20.329999999999998</v>
      </c>
    </row>
    <row r="7128" spans="2:9">
      <c r="B7128" s="396">
        <v>88308</v>
      </c>
      <c r="C7128" s="401" t="s">
        <v>142</v>
      </c>
      <c r="D7128" s="396" t="s">
        <v>36</v>
      </c>
      <c r="E7128" s="405">
        <f t="shared" si="222"/>
        <v>21.72</v>
      </c>
      <c r="F7128">
        <f t="shared" si="223"/>
        <v>88308</v>
      </c>
      <c r="H7128" s="679">
        <v>21.72</v>
      </c>
      <c r="I7128" s="679">
        <v>24.21</v>
      </c>
    </row>
    <row r="7129" spans="2:9">
      <c r="B7129" s="395">
        <v>88309</v>
      </c>
      <c r="C7129" s="406" t="s">
        <v>143</v>
      </c>
      <c r="D7129" s="395" t="s">
        <v>36</v>
      </c>
      <c r="E7129" s="407">
        <f t="shared" si="222"/>
        <v>21.83</v>
      </c>
      <c r="F7129">
        <f t="shared" si="223"/>
        <v>88309</v>
      </c>
      <c r="H7129" s="680">
        <v>21.83</v>
      </c>
      <c r="I7129" s="680">
        <v>24.33</v>
      </c>
    </row>
    <row r="7130" spans="2:9">
      <c r="B7130" s="396">
        <v>88310</v>
      </c>
      <c r="C7130" s="401" t="s">
        <v>144</v>
      </c>
      <c r="D7130" s="396" t="s">
        <v>36</v>
      </c>
      <c r="E7130" s="405">
        <f t="shared" si="222"/>
        <v>23.07</v>
      </c>
      <c r="F7130">
        <f t="shared" si="223"/>
        <v>88310</v>
      </c>
      <c r="H7130" s="679">
        <v>23.07</v>
      </c>
      <c r="I7130" s="679">
        <v>25.56</v>
      </c>
    </row>
    <row r="7131" spans="2:9">
      <c r="B7131" s="395">
        <v>88311</v>
      </c>
      <c r="C7131" s="406" t="s">
        <v>145</v>
      </c>
      <c r="D7131" s="395" t="s">
        <v>36</v>
      </c>
      <c r="E7131" s="407">
        <f t="shared" si="222"/>
        <v>22.57</v>
      </c>
      <c r="F7131">
        <f t="shared" si="223"/>
        <v>88311</v>
      </c>
      <c r="H7131" s="680">
        <v>22.57</v>
      </c>
      <c r="I7131" s="680">
        <v>24.99</v>
      </c>
    </row>
    <row r="7132" spans="2:9">
      <c r="B7132" s="396">
        <v>88312</v>
      </c>
      <c r="C7132" s="401" t="s">
        <v>146</v>
      </c>
      <c r="D7132" s="396" t="s">
        <v>36</v>
      </c>
      <c r="E7132" s="405">
        <f t="shared" si="222"/>
        <v>23.07</v>
      </c>
      <c r="F7132">
        <f t="shared" si="223"/>
        <v>88312</v>
      </c>
      <c r="H7132" s="679">
        <v>23.07</v>
      </c>
      <c r="I7132" s="679">
        <v>25.56</v>
      </c>
    </row>
    <row r="7133" spans="2:9">
      <c r="B7133" s="395">
        <v>88313</v>
      </c>
      <c r="C7133" s="406" t="s">
        <v>147</v>
      </c>
      <c r="D7133" s="395" t="s">
        <v>36</v>
      </c>
      <c r="E7133" s="407">
        <f t="shared" si="222"/>
        <v>15.96</v>
      </c>
      <c r="F7133">
        <f t="shared" si="223"/>
        <v>88313</v>
      </c>
      <c r="H7133" s="680">
        <v>15.96</v>
      </c>
      <c r="I7133" s="680">
        <v>17.760000000000002</v>
      </c>
    </row>
    <row r="7134" spans="2:9">
      <c r="B7134" s="396">
        <v>88314</v>
      </c>
      <c r="C7134" s="401" t="s">
        <v>148</v>
      </c>
      <c r="D7134" s="396" t="s">
        <v>36</v>
      </c>
      <c r="E7134" s="405">
        <f t="shared" si="222"/>
        <v>14.6</v>
      </c>
      <c r="F7134">
        <f t="shared" si="223"/>
        <v>88314</v>
      </c>
      <c r="H7134" s="679">
        <v>14.6</v>
      </c>
      <c r="I7134" s="679">
        <v>16.2</v>
      </c>
    </row>
    <row r="7135" spans="2:9">
      <c r="B7135" s="395">
        <v>88315</v>
      </c>
      <c r="C7135" s="406" t="s">
        <v>149</v>
      </c>
      <c r="D7135" s="395" t="s">
        <v>36</v>
      </c>
      <c r="E7135" s="407">
        <f t="shared" si="222"/>
        <v>21.66</v>
      </c>
      <c r="F7135">
        <f t="shared" si="223"/>
        <v>88315</v>
      </c>
      <c r="H7135" s="680">
        <v>21.66</v>
      </c>
      <c r="I7135" s="680">
        <v>24.14</v>
      </c>
    </row>
    <row r="7136" spans="2:9">
      <c r="B7136" s="396">
        <v>88316</v>
      </c>
      <c r="C7136" s="401" t="s">
        <v>150</v>
      </c>
      <c r="D7136" s="396" t="s">
        <v>36</v>
      </c>
      <c r="E7136" s="405">
        <f t="shared" si="222"/>
        <v>17.420000000000002</v>
      </c>
      <c r="F7136">
        <f t="shared" si="223"/>
        <v>88316</v>
      </c>
      <c r="H7136" s="679">
        <v>17.420000000000002</v>
      </c>
      <c r="I7136" s="679">
        <v>19.29</v>
      </c>
    </row>
    <row r="7137" spans="2:9">
      <c r="B7137" s="395">
        <v>88317</v>
      </c>
      <c r="C7137" s="406" t="s">
        <v>151</v>
      </c>
      <c r="D7137" s="395" t="s">
        <v>36</v>
      </c>
      <c r="E7137" s="407">
        <f t="shared" si="222"/>
        <v>22.5</v>
      </c>
      <c r="F7137">
        <f t="shared" si="223"/>
        <v>88317</v>
      </c>
      <c r="H7137" s="680">
        <v>22.5</v>
      </c>
      <c r="I7137" s="680">
        <v>24.98</v>
      </c>
    </row>
    <row r="7138" spans="2:9">
      <c r="B7138" s="396">
        <v>88318</v>
      </c>
      <c r="C7138" s="401" t="s">
        <v>1912</v>
      </c>
      <c r="D7138" s="396" t="s">
        <v>36</v>
      </c>
      <c r="E7138" s="405">
        <f t="shared" si="222"/>
        <v>25.39</v>
      </c>
      <c r="F7138">
        <f t="shared" si="223"/>
        <v>88318</v>
      </c>
      <c r="H7138" s="679">
        <v>25.39</v>
      </c>
      <c r="I7138" s="679">
        <v>28.3</v>
      </c>
    </row>
    <row r="7139" spans="2:9">
      <c r="B7139" s="395">
        <v>88320</v>
      </c>
      <c r="C7139" s="406" t="s">
        <v>152</v>
      </c>
      <c r="D7139" s="395" t="s">
        <v>36</v>
      </c>
      <c r="E7139" s="407">
        <f t="shared" si="222"/>
        <v>21.48</v>
      </c>
      <c r="F7139">
        <f t="shared" si="223"/>
        <v>88320</v>
      </c>
      <c r="H7139" s="680">
        <v>21.48</v>
      </c>
      <c r="I7139" s="680">
        <v>23.96</v>
      </c>
    </row>
    <row r="7140" spans="2:9">
      <c r="B7140" s="396">
        <v>88321</v>
      </c>
      <c r="C7140" s="401" t="s">
        <v>153</v>
      </c>
      <c r="D7140" s="396" t="s">
        <v>36</v>
      </c>
      <c r="E7140" s="405">
        <f t="shared" si="222"/>
        <v>24.6</v>
      </c>
      <c r="F7140">
        <f t="shared" si="223"/>
        <v>88321</v>
      </c>
      <c r="H7140" s="679">
        <v>24.6</v>
      </c>
      <c r="I7140" s="679">
        <v>28</v>
      </c>
    </row>
    <row r="7141" spans="2:9">
      <c r="B7141" s="395">
        <v>88322</v>
      </c>
      <c r="C7141" s="406" t="s">
        <v>154</v>
      </c>
      <c r="D7141" s="395" t="s">
        <v>36</v>
      </c>
      <c r="E7141" s="407">
        <f t="shared" si="222"/>
        <v>23.89</v>
      </c>
      <c r="F7141">
        <f t="shared" si="223"/>
        <v>88322</v>
      </c>
      <c r="H7141" s="680">
        <v>23.89</v>
      </c>
      <c r="I7141" s="680">
        <v>27.18</v>
      </c>
    </row>
    <row r="7142" spans="2:9">
      <c r="B7142" s="396">
        <v>88323</v>
      </c>
      <c r="C7142" s="401" t="s">
        <v>155</v>
      </c>
      <c r="D7142" s="396" t="s">
        <v>36</v>
      </c>
      <c r="E7142" s="405">
        <f t="shared" si="222"/>
        <v>21.28</v>
      </c>
      <c r="F7142">
        <f t="shared" si="223"/>
        <v>88323</v>
      </c>
      <c r="H7142" s="679">
        <v>21.28</v>
      </c>
      <c r="I7142" s="679">
        <v>23.73</v>
      </c>
    </row>
    <row r="7143" spans="2:9">
      <c r="B7143" s="395">
        <v>88324</v>
      </c>
      <c r="C7143" s="406" t="s">
        <v>156</v>
      </c>
      <c r="D7143" s="395" t="s">
        <v>36</v>
      </c>
      <c r="E7143" s="407">
        <f t="shared" si="222"/>
        <v>16.649999999999999</v>
      </c>
      <c r="F7143">
        <f t="shared" si="223"/>
        <v>88324</v>
      </c>
      <c r="H7143" s="680">
        <v>16.649999999999999</v>
      </c>
      <c r="I7143" s="680">
        <v>18.55</v>
      </c>
    </row>
    <row r="7144" spans="2:9">
      <c r="B7144" s="396">
        <v>88325</v>
      </c>
      <c r="C7144" s="401" t="s">
        <v>157</v>
      </c>
      <c r="D7144" s="396" t="s">
        <v>36</v>
      </c>
      <c r="E7144" s="405">
        <f t="shared" si="222"/>
        <v>19.420000000000002</v>
      </c>
      <c r="F7144">
        <f t="shared" si="223"/>
        <v>88325</v>
      </c>
      <c r="H7144" s="679">
        <v>19.420000000000002</v>
      </c>
      <c r="I7144" s="679">
        <v>21.57</v>
      </c>
    </row>
    <row r="7145" spans="2:9">
      <c r="B7145" s="395">
        <v>88326</v>
      </c>
      <c r="C7145" s="406" t="s">
        <v>158</v>
      </c>
      <c r="D7145" s="395" t="s">
        <v>36</v>
      </c>
      <c r="E7145" s="407">
        <f t="shared" si="222"/>
        <v>21.74</v>
      </c>
      <c r="F7145">
        <f t="shared" si="223"/>
        <v>88326</v>
      </c>
      <c r="H7145" s="680">
        <v>21.74</v>
      </c>
      <c r="I7145" s="680">
        <v>24.26</v>
      </c>
    </row>
    <row r="7146" spans="2:9">
      <c r="B7146" s="396">
        <v>88377</v>
      </c>
      <c r="C7146" s="401" t="s">
        <v>1913</v>
      </c>
      <c r="D7146" s="396" t="s">
        <v>36</v>
      </c>
      <c r="E7146" s="405">
        <f t="shared" si="222"/>
        <v>15.75</v>
      </c>
      <c r="F7146">
        <f t="shared" si="223"/>
        <v>88377</v>
      </c>
      <c r="H7146" s="679">
        <v>15.75</v>
      </c>
      <c r="I7146" s="679">
        <v>17.510000000000002</v>
      </c>
    </row>
    <row r="7147" spans="2:9">
      <c r="B7147" s="395">
        <v>88441</v>
      </c>
      <c r="C7147" s="406" t="s">
        <v>159</v>
      </c>
      <c r="D7147" s="395" t="s">
        <v>36</v>
      </c>
      <c r="E7147" s="407">
        <f t="shared" si="222"/>
        <v>18.87</v>
      </c>
      <c r="F7147">
        <f t="shared" si="223"/>
        <v>88441</v>
      </c>
      <c r="H7147" s="680">
        <v>18.87</v>
      </c>
      <c r="I7147" s="680">
        <v>20.93</v>
      </c>
    </row>
    <row r="7148" spans="2:9">
      <c r="B7148" s="396">
        <v>88597</v>
      </c>
      <c r="C7148" s="401" t="s">
        <v>160</v>
      </c>
      <c r="D7148" s="396" t="s">
        <v>36</v>
      </c>
      <c r="E7148" s="405">
        <f t="shared" si="222"/>
        <v>17.48</v>
      </c>
      <c r="F7148">
        <f t="shared" si="223"/>
        <v>88597</v>
      </c>
      <c r="H7148" s="679">
        <v>17.48</v>
      </c>
      <c r="I7148" s="679">
        <v>19.809999999999999</v>
      </c>
    </row>
    <row r="7149" spans="2:9">
      <c r="B7149" s="395">
        <v>90766</v>
      </c>
      <c r="C7149" s="406" t="s">
        <v>161</v>
      </c>
      <c r="D7149" s="395" t="s">
        <v>36</v>
      </c>
      <c r="E7149" s="407">
        <f t="shared" si="222"/>
        <v>18.39</v>
      </c>
      <c r="F7149">
        <f t="shared" si="223"/>
        <v>90766</v>
      </c>
      <c r="H7149" s="680">
        <v>18.39</v>
      </c>
      <c r="I7149" s="680">
        <v>20.86</v>
      </c>
    </row>
    <row r="7150" spans="2:9">
      <c r="B7150" s="396">
        <v>90767</v>
      </c>
      <c r="C7150" s="401" t="s">
        <v>162</v>
      </c>
      <c r="D7150" s="396" t="s">
        <v>36</v>
      </c>
      <c r="E7150" s="405">
        <f t="shared" si="222"/>
        <v>19.2</v>
      </c>
      <c r="F7150">
        <f t="shared" si="223"/>
        <v>90767</v>
      </c>
      <c r="H7150" s="679">
        <v>19.2</v>
      </c>
      <c r="I7150" s="679">
        <v>21.79</v>
      </c>
    </row>
    <row r="7151" spans="2:9">
      <c r="B7151" s="395">
        <v>90768</v>
      </c>
      <c r="C7151" s="406" t="s">
        <v>163</v>
      </c>
      <c r="D7151" s="395" t="s">
        <v>36</v>
      </c>
      <c r="E7151" s="407">
        <f t="shared" si="222"/>
        <v>69.400000000000006</v>
      </c>
      <c r="F7151">
        <f t="shared" si="223"/>
        <v>90768</v>
      </c>
      <c r="H7151" s="680">
        <v>69.400000000000006</v>
      </c>
      <c r="I7151" s="680">
        <v>79.569999999999993</v>
      </c>
    </row>
    <row r="7152" spans="2:9">
      <c r="B7152" s="396">
        <v>90769</v>
      </c>
      <c r="C7152" s="401" t="s">
        <v>164</v>
      </c>
      <c r="D7152" s="396" t="s">
        <v>36</v>
      </c>
      <c r="E7152" s="405">
        <f t="shared" si="222"/>
        <v>97.77</v>
      </c>
      <c r="F7152">
        <f t="shared" si="223"/>
        <v>90769</v>
      </c>
      <c r="H7152" s="679">
        <v>97.77</v>
      </c>
      <c r="I7152" s="679">
        <v>112.21</v>
      </c>
    </row>
    <row r="7153" spans="2:9">
      <c r="B7153" s="395">
        <v>90770</v>
      </c>
      <c r="C7153" s="406" t="s">
        <v>165</v>
      </c>
      <c r="D7153" s="395" t="s">
        <v>36</v>
      </c>
      <c r="E7153" s="407">
        <f t="shared" si="222"/>
        <v>128.63999999999999</v>
      </c>
      <c r="F7153">
        <f t="shared" si="223"/>
        <v>90770</v>
      </c>
      <c r="H7153" s="680">
        <v>128.63999999999999</v>
      </c>
      <c r="I7153" s="680">
        <v>147.72</v>
      </c>
    </row>
    <row r="7154" spans="2:9">
      <c r="B7154" s="396">
        <v>90771</v>
      </c>
      <c r="C7154" s="401" t="s">
        <v>166</v>
      </c>
      <c r="D7154" s="396" t="s">
        <v>36</v>
      </c>
      <c r="E7154" s="405">
        <f t="shared" si="222"/>
        <v>12.52</v>
      </c>
      <c r="F7154">
        <f t="shared" si="223"/>
        <v>90771</v>
      </c>
      <c r="H7154" s="679">
        <v>12.52</v>
      </c>
      <c r="I7154" s="679">
        <v>14.12</v>
      </c>
    </row>
    <row r="7155" spans="2:9">
      <c r="B7155" s="395">
        <v>90772</v>
      </c>
      <c r="C7155" s="406" t="s">
        <v>167</v>
      </c>
      <c r="D7155" s="395" t="s">
        <v>36</v>
      </c>
      <c r="E7155" s="407">
        <f t="shared" si="222"/>
        <v>14.74</v>
      </c>
      <c r="F7155">
        <f t="shared" si="223"/>
        <v>90772</v>
      </c>
      <c r="H7155" s="680">
        <v>14.74</v>
      </c>
      <c r="I7155" s="680">
        <v>16.66</v>
      </c>
    </row>
    <row r="7156" spans="2:9">
      <c r="B7156" s="396">
        <v>90773</v>
      </c>
      <c r="C7156" s="401" t="s">
        <v>168</v>
      </c>
      <c r="D7156" s="396" t="s">
        <v>36</v>
      </c>
      <c r="E7156" s="405">
        <f t="shared" si="222"/>
        <v>9.15</v>
      </c>
      <c r="F7156">
        <f t="shared" si="223"/>
        <v>90773</v>
      </c>
      <c r="H7156" s="679">
        <v>9.15</v>
      </c>
      <c r="I7156" s="679">
        <v>10.24</v>
      </c>
    </row>
    <row r="7157" spans="2:9">
      <c r="B7157" s="395">
        <v>90775</v>
      </c>
      <c r="C7157" s="406" t="s">
        <v>169</v>
      </c>
      <c r="D7157" s="395" t="s">
        <v>36</v>
      </c>
      <c r="E7157" s="407">
        <f t="shared" si="222"/>
        <v>18.72</v>
      </c>
      <c r="F7157">
        <f t="shared" si="223"/>
        <v>90775</v>
      </c>
      <c r="H7157" s="680">
        <v>18.72</v>
      </c>
      <c r="I7157" s="680">
        <v>21.26</v>
      </c>
    </row>
    <row r="7158" spans="2:9">
      <c r="B7158" s="396">
        <v>90776</v>
      </c>
      <c r="C7158" s="401" t="s">
        <v>170</v>
      </c>
      <c r="D7158" s="396" t="s">
        <v>36</v>
      </c>
      <c r="E7158" s="405">
        <f t="shared" si="222"/>
        <v>24.76</v>
      </c>
      <c r="F7158">
        <f t="shared" si="223"/>
        <v>90776</v>
      </c>
      <c r="H7158" s="679">
        <v>24.76</v>
      </c>
      <c r="I7158" s="679">
        <v>28.11</v>
      </c>
    </row>
    <row r="7159" spans="2:9">
      <c r="B7159" s="395">
        <v>90777</v>
      </c>
      <c r="C7159" s="406" t="s">
        <v>171</v>
      </c>
      <c r="D7159" s="395" t="s">
        <v>36</v>
      </c>
      <c r="E7159" s="407">
        <f t="shared" si="222"/>
        <v>94.09</v>
      </c>
      <c r="F7159">
        <f t="shared" si="223"/>
        <v>90777</v>
      </c>
      <c r="H7159" s="680">
        <v>94.09</v>
      </c>
      <c r="I7159" s="680">
        <v>107.97</v>
      </c>
    </row>
    <row r="7160" spans="2:9">
      <c r="B7160" s="396">
        <v>90778</v>
      </c>
      <c r="C7160" s="401" t="s">
        <v>172</v>
      </c>
      <c r="D7160" s="396" t="s">
        <v>36</v>
      </c>
      <c r="E7160" s="405">
        <f t="shared" si="222"/>
        <v>106.83</v>
      </c>
      <c r="F7160">
        <f t="shared" si="223"/>
        <v>90778</v>
      </c>
      <c r="H7160" s="679">
        <v>106.83</v>
      </c>
      <c r="I7160" s="679">
        <v>122.63</v>
      </c>
    </row>
    <row r="7161" spans="2:9">
      <c r="B7161" s="395">
        <v>90779</v>
      </c>
      <c r="C7161" s="406" t="s">
        <v>173</v>
      </c>
      <c r="D7161" s="395" t="s">
        <v>36</v>
      </c>
      <c r="E7161" s="407">
        <f t="shared" si="222"/>
        <v>145.32</v>
      </c>
      <c r="F7161">
        <f t="shared" si="223"/>
        <v>90779</v>
      </c>
      <c r="H7161" s="680">
        <v>145.32</v>
      </c>
      <c r="I7161" s="680">
        <v>166.91</v>
      </c>
    </row>
    <row r="7162" spans="2:9">
      <c r="B7162" s="396">
        <v>90780</v>
      </c>
      <c r="C7162" s="401" t="s">
        <v>174</v>
      </c>
      <c r="D7162" s="396" t="s">
        <v>36</v>
      </c>
      <c r="E7162" s="405">
        <f t="shared" si="222"/>
        <v>50.56</v>
      </c>
      <c r="F7162">
        <f t="shared" si="223"/>
        <v>90780</v>
      </c>
      <c r="H7162" s="679">
        <v>50.56</v>
      </c>
      <c r="I7162" s="679">
        <v>57.8</v>
      </c>
    </row>
    <row r="7163" spans="2:9">
      <c r="B7163" s="395">
        <v>90781</v>
      </c>
      <c r="C7163" s="406" t="s">
        <v>175</v>
      </c>
      <c r="D7163" s="395" t="s">
        <v>36</v>
      </c>
      <c r="E7163" s="407">
        <f t="shared" si="222"/>
        <v>18.39</v>
      </c>
      <c r="F7163">
        <f t="shared" si="223"/>
        <v>90781</v>
      </c>
      <c r="H7163" s="680">
        <v>18.39</v>
      </c>
      <c r="I7163" s="680">
        <v>20.86</v>
      </c>
    </row>
    <row r="7164" spans="2:9">
      <c r="B7164" s="396">
        <v>91677</v>
      </c>
      <c r="C7164" s="401" t="s">
        <v>176</v>
      </c>
      <c r="D7164" s="396" t="s">
        <v>36</v>
      </c>
      <c r="E7164" s="405">
        <f t="shared" si="222"/>
        <v>91.58</v>
      </c>
      <c r="F7164">
        <f t="shared" si="223"/>
        <v>91677</v>
      </c>
      <c r="H7164" s="679">
        <v>91.58</v>
      </c>
      <c r="I7164" s="679">
        <v>105.08</v>
      </c>
    </row>
    <row r="7165" spans="2:9">
      <c r="B7165" s="395">
        <v>91678</v>
      </c>
      <c r="C7165" s="406" t="s">
        <v>177</v>
      </c>
      <c r="D7165" s="395" t="s">
        <v>36</v>
      </c>
      <c r="E7165" s="407">
        <f t="shared" si="222"/>
        <v>88.09</v>
      </c>
      <c r="F7165">
        <f t="shared" si="223"/>
        <v>91678</v>
      </c>
      <c r="H7165" s="680">
        <v>88.09</v>
      </c>
      <c r="I7165" s="680">
        <v>101.07</v>
      </c>
    </row>
    <row r="7166" spans="2:9">
      <c r="B7166" s="396">
        <v>93558</v>
      </c>
      <c r="C7166" s="401" t="s">
        <v>446</v>
      </c>
      <c r="D7166" s="396" t="s">
        <v>32</v>
      </c>
      <c r="E7166" s="405">
        <f t="shared" si="222"/>
        <v>3124.96</v>
      </c>
      <c r="F7166">
        <f t="shared" si="223"/>
        <v>93558</v>
      </c>
      <c r="H7166" s="679">
        <v>3124.96</v>
      </c>
      <c r="I7166" s="679">
        <v>3485.27</v>
      </c>
    </row>
    <row r="7167" spans="2:9">
      <c r="B7167" s="395">
        <v>93559</v>
      </c>
      <c r="C7167" s="406" t="s">
        <v>160</v>
      </c>
      <c r="D7167" s="395" t="s">
        <v>32</v>
      </c>
      <c r="E7167" s="407">
        <f t="shared" si="222"/>
        <v>3104.15</v>
      </c>
      <c r="F7167">
        <f t="shared" si="223"/>
        <v>93559</v>
      </c>
      <c r="H7167" s="680">
        <v>3104.15</v>
      </c>
      <c r="I7167" s="680">
        <v>3519.53</v>
      </c>
    </row>
    <row r="7168" spans="2:9">
      <c r="B7168" s="396">
        <v>93560</v>
      </c>
      <c r="C7168" s="401" t="s">
        <v>168</v>
      </c>
      <c r="D7168" s="396" t="s">
        <v>32</v>
      </c>
      <c r="E7168" s="405">
        <f t="shared" si="222"/>
        <v>1640.55</v>
      </c>
      <c r="F7168">
        <f t="shared" si="223"/>
        <v>93560</v>
      </c>
      <c r="H7168" s="679">
        <v>1640.55</v>
      </c>
      <c r="I7168" s="679">
        <v>1833.55</v>
      </c>
    </row>
    <row r="7169" spans="2:9">
      <c r="B7169" s="395">
        <v>93561</v>
      </c>
      <c r="C7169" s="406" t="s">
        <v>169</v>
      </c>
      <c r="D7169" s="395" t="s">
        <v>32</v>
      </c>
      <c r="E7169" s="407">
        <f t="shared" si="222"/>
        <v>3324.62</v>
      </c>
      <c r="F7169">
        <f t="shared" si="223"/>
        <v>93561</v>
      </c>
      <c r="H7169" s="680">
        <v>3324.62</v>
      </c>
      <c r="I7169" s="680">
        <v>3773.5</v>
      </c>
    </row>
    <row r="7170" spans="2:9">
      <c r="B7170" s="396">
        <v>93562</v>
      </c>
      <c r="C7170" s="401" t="s">
        <v>166</v>
      </c>
      <c r="D7170" s="396" t="s">
        <v>32</v>
      </c>
      <c r="E7170" s="405">
        <f t="shared" si="222"/>
        <v>2233.94</v>
      </c>
      <c r="F7170">
        <f t="shared" si="223"/>
        <v>93562</v>
      </c>
      <c r="H7170" s="679">
        <v>2233.94</v>
      </c>
      <c r="I7170" s="679">
        <v>2517.1</v>
      </c>
    </row>
    <row r="7171" spans="2:9">
      <c r="B7171" s="395">
        <v>93563</v>
      </c>
      <c r="C7171" s="406" t="s">
        <v>161</v>
      </c>
      <c r="D7171" s="395" t="s">
        <v>32</v>
      </c>
      <c r="E7171" s="407">
        <f t="shared" ref="E7171:E7234" si="224">IF($K$2=$H$1,H7171,I7171)</f>
        <v>3262.51</v>
      </c>
      <c r="F7171">
        <f t="shared" si="223"/>
        <v>93563</v>
      </c>
      <c r="H7171" s="680">
        <v>3262.51</v>
      </c>
      <c r="I7171" s="680">
        <v>3700.52</v>
      </c>
    </row>
    <row r="7172" spans="2:9">
      <c r="B7172" s="396">
        <v>93564</v>
      </c>
      <c r="C7172" s="401" t="s">
        <v>162</v>
      </c>
      <c r="D7172" s="396" t="s">
        <v>32</v>
      </c>
      <c r="E7172" s="405">
        <f t="shared" si="224"/>
        <v>3394.46</v>
      </c>
      <c r="F7172">
        <f t="shared" ref="F7172:F7235" si="225">IF(LEN($B7172)=7,CONCATENATE(MID($B7172,1,6),"00",RIGHT($B7172,1)),IF(LEN($B7172)=8,CONCATENATE(MID($B7172,1,6),"0",RIGHT($B7172,2)),$B7172))</f>
        <v>93564</v>
      </c>
      <c r="H7172" s="679">
        <v>3394.46</v>
      </c>
      <c r="I7172" s="679">
        <v>3852.52</v>
      </c>
    </row>
    <row r="7173" spans="2:9">
      <c r="B7173" s="395">
        <v>93565</v>
      </c>
      <c r="C7173" s="406" t="s">
        <v>171</v>
      </c>
      <c r="D7173" s="395" t="s">
        <v>32</v>
      </c>
      <c r="E7173" s="407">
        <f t="shared" si="224"/>
        <v>16547.82</v>
      </c>
      <c r="F7173">
        <f t="shared" si="225"/>
        <v>93565</v>
      </c>
      <c r="H7173" s="680">
        <v>16547.82</v>
      </c>
      <c r="I7173" s="680">
        <v>19006.740000000002</v>
      </c>
    </row>
    <row r="7174" spans="2:9">
      <c r="B7174" s="396">
        <v>93566</v>
      </c>
      <c r="C7174" s="401" t="s">
        <v>167</v>
      </c>
      <c r="D7174" s="396" t="s">
        <v>32</v>
      </c>
      <c r="E7174" s="405">
        <f t="shared" si="224"/>
        <v>2622.56</v>
      </c>
      <c r="F7174">
        <f t="shared" si="225"/>
        <v>93566</v>
      </c>
      <c r="H7174" s="679">
        <v>2622.56</v>
      </c>
      <c r="I7174" s="679">
        <v>2963.33</v>
      </c>
    </row>
    <row r="7175" spans="2:9">
      <c r="B7175" s="395">
        <v>93567</v>
      </c>
      <c r="C7175" s="406" t="s">
        <v>172</v>
      </c>
      <c r="D7175" s="395" t="s">
        <v>32</v>
      </c>
      <c r="E7175" s="407">
        <f t="shared" si="224"/>
        <v>18784.47</v>
      </c>
      <c r="F7175">
        <f t="shared" si="225"/>
        <v>93567</v>
      </c>
      <c r="H7175" s="680">
        <v>18784.47</v>
      </c>
      <c r="I7175" s="680">
        <v>21583.21</v>
      </c>
    </row>
    <row r="7176" spans="2:9">
      <c r="B7176" s="396">
        <v>93568</v>
      </c>
      <c r="C7176" s="401" t="s">
        <v>173</v>
      </c>
      <c r="D7176" s="396" t="s">
        <v>32</v>
      </c>
      <c r="E7176" s="405">
        <f t="shared" si="224"/>
        <v>25544.11</v>
      </c>
      <c r="F7176">
        <f t="shared" si="225"/>
        <v>93568</v>
      </c>
      <c r="H7176" s="679">
        <v>25544.11</v>
      </c>
      <c r="I7176" s="679">
        <v>29369.93</v>
      </c>
    </row>
    <row r="7177" spans="2:9">
      <c r="B7177" s="395">
        <v>93569</v>
      </c>
      <c r="C7177" s="406" t="s">
        <v>447</v>
      </c>
      <c r="D7177" s="395" t="s">
        <v>32</v>
      </c>
      <c r="E7177" s="407">
        <f t="shared" si="224"/>
        <v>12233.19</v>
      </c>
      <c r="F7177">
        <f t="shared" si="225"/>
        <v>93569</v>
      </c>
      <c r="H7177" s="680">
        <v>12233.19</v>
      </c>
      <c r="I7177" s="680">
        <v>14036.54</v>
      </c>
    </row>
    <row r="7178" spans="2:9">
      <c r="B7178" s="396">
        <v>93570</v>
      </c>
      <c r="C7178" s="401" t="s">
        <v>448</v>
      </c>
      <c r="D7178" s="396" t="s">
        <v>32</v>
      </c>
      <c r="E7178" s="405">
        <f t="shared" si="224"/>
        <v>17223.02</v>
      </c>
      <c r="F7178">
        <f t="shared" si="225"/>
        <v>93570</v>
      </c>
      <c r="H7178" s="679">
        <v>17223.02</v>
      </c>
      <c r="I7178" s="679">
        <v>19784.53</v>
      </c>
    </row>
    <row r="7179" spans="2:9">
      <c r="B7179" s="395">
        <v>93571</v>
      </c>
      <c r="C7179" s="406" t="s">
        <v>449</v>
      </c>
      <c r="D7179" s="395" t="s">
        <v>32</v>
      </c>
      <c r="E7179" s="407">
        <f t="shared" si="224"/>
        <v>22652.98</v>
      </c>
      <c r="F7179">
        <f t="shared" si="225"/>
        <v>93571</v>
      </c>
      <c r="H7179" s="680">
        <v>22652.98</v>
      </c>
      <c r="I7179" s="680">
        <v>26039.53</v>
      </c>
    </row>
    <row r="7180" spans="2:9">
      <c r="B7180" s="396">
        <v>93572</v>
      </c>
      <c r="C7180" s="401" t="s">
        <v>450</v>
      </c>
      <c r="D7180" s="396" t="s">
        <v>32</v>
      </c>
      <c r="E7180" s="405">
        <f t="shared" si="224"/>
        <v>4376.8</v>
      </c>
      <c r="F7180">
        <f t="shared" si="225"/>
        <v>93572</v>
      </c>
      <c r="H7180" s="679">
        <v>4376.8</v>
      </c>
      <c r="I7180" s="679">
        <v>4970.1899999999996</v>
      </c>
    </row>
    <row r="7181" spans="2:9">
      <c r="B7181" s="395">
        <v>94295</v>
      </c>
      <c r="C7181" s="406" t="s">
        <v>174</v>
      </c>
      <c r="D7181" s="395" t="s">
        <v>32</v>
      </c>
      <c r="E7181" s="407">
        <f t="shared" si="224"/>
        <v>8900.33</v>
      </c>
      <c r="F7181">
        <f t="shared" si="225"/>
        <v>94295</v>
      </c>
      <c r="H7181" s="680">
        <v>8900.33</v>
      </c>
      <c r="I7181" s="680">
        <v>10181.030000000001</v>
      </c>
    </row>
    <row r="7182" spans="2:9">
      <c r="B7182" s="396">
        <v>94296</v>
      </c>
      <c r="C7182" s="401" t="s">
        <v>175</v>
      </c>
      <c r="D7182" s="396" t="s">
        <v>32</v>
      </c>
      <c r="E7182" s="405">
        <f t="shared" si="224"/>
        <v>3260.42</v>
      </c>
      <c r="F7182">
        <f t="shared" si="225"/>
        <v>94296</v>
      </c>
      <c r="H7182" s="679">
        <v>3260.42</v>
      </c>
      <c r="I7182" s="679">
        <v>3699.55</v>
      </c>
    </row>
    <row r="7183" spans="2:9">
      <c r="B7183" s="395">
        <v>95308</v>
      </c>
      <c r="C7183" s="406" t="s">
        <v>1914</v>
      </c>
      <c r="D7183" s="395" t="s">
        <v>36</v>
      </c>
      <c r="E7183" s="407">
        <f t="shared" si="224"/>
        <v>0.14000000000000001</v>
      </c>
      <c r="F7183">
        <f t="shared" si="225"/>
        <v>95308</v>
      </c>
      <c r="H7183" s="680">
        <v>0.14000000000000001</v>
      </c>
      <c r="I7183" s="680">
        <v>0.16</v>
      </c>
    </row>
    <row r="7184" spans="2:9">
      <c r="B7184" s="396">
        <v>95309</v>
      </c>
      <c r="C7184" s="401" t="s">
        <v>1915</v>
      </c>
      <c r="D7184" s="396" t="s">
        <v>36</v>
      </c>
      <c r="E7184" s="405">
        <f t="shared" si="224"/>
        <v>0.2</v>
      </c>
      <c r="F7184">
        <f t="shared" si="225"/>
        <v>95309</v>
      </c>
      <c r="H7184" s="679">
        <v>0.2</v>
      </c>
      <c r="I7184" s="679">
        <v>0.23</v>
      </c>
    </row>
    <row r="7185" spans="2:9">
      <c r="B7185" s="395">
        <v>95310</v>
      </c>
      <c r="C7185" s="406" t="s">
        <v>1916</v>
      </c>
      <c r="D7185" s="395" t="s">
        <v>36</v>
      </c>
      <c r="E7185" s="407">
        <f t="shared" si="224"/>
        <v>0.1</v>
      </c>
      <c r="F7185">
        <f t="shared" si="225"/>
        <v>95310</v>
      </c>
      <c r="H7185" s="680">
        <v>0.1</v>
      </c>
      <c r="I7185" s="680">
        <v>0.12</v>
      </c>
    </row>
    <row r="7186" spans="2:9">
      <c r="B7186" s="396">
        <v>95311</v>
      </c>
      <c r="C7186" s="401" t="s">
        <v>1917</v>
      </c>
      <c r="D7186" s="396" t="s">
        <v>36</v>
      </c>
      <c r="E7186" s="405">
        <f t="shared" si="224"/>
        <v>0.14000000000000001</v>
      </c>
      <c r="F7186">
        <f t="shared" si="225"/>
        <v>95311</v>
      </c>
      <c r="H7186" s="679">
        <v>0.14000000000000001</v>
      </c>
      <c r="I7186" s="679">
        <v>0.16</v>
      </c>
    </row>
    <row r="7187" spans="2:9">
      <c r="B7187" s="395">
        <v>95312</v>
      </c>
      <c r="C7187" s="406" t="s">
        <v>1918</v>
      </c>
      <c r="D7187" s="395" t="s">
        <v>36</v>
      </c>
      <c r="E7187" s="407">
        <f t="shared" si="224"/>
        <v>0.18</v>
      </c>
      <c r="F7187">
        <f t="shared" si="225"/>
        <v>95312</v>
      </c>
      <c r="H7187" s="680">
        <v>0.18</v>
      </c>
      <c r="I7187" s="680">
        <v>0.21</v>
      </c>
    </row>
    <row r="7188" spans="2:9">
      <c r="B7188" s="396">
        <v>95313</v>
      </c>
      <c r="C7188" s="401" t="s">
        <v>1919</v>
      </c>
      <c r="D7188" s="396" t="s">
        <v>36</v>
      </c>
      <c r="E7188" s="405">
        <f t="shared" si="224"/>
        <v>0.15</v>
      </c>
      <c r="F7188">
        <f t="shared" si="225"/>
        <v>95313</v>
      </c>
      <c r="H7188" s="679">
        <v>0.15</v>
      </c>
      <c r="I7188" s="679">
        <v>0.18</v>
      </c>
    </row>
    <row r="7189" spans="2:9">
      <c r="B7189" s="395">
        <v>95314</v>
      </c>
      <c r="C7189" s="406" t="s">
        <v>579</v>
      </c>
      <c r="D7189" s="395" t="s">
        <v>36</v>
      </c>
      <c r="E7189" s="407">
        <f t="shared" si="224"/>
        <v>0.19</v>
      </c>
      <c r="F7189">
        <f t="shared" si="225"/>
        <v>95314</v>
      </c>
      <c r="H7189" s="680">
        <v>0.19</v>
      </c>
      <c r="I7189" s="680">
        <v>0.22</v>
      </c>
    </row>
    <row r="7190" spans="2:9">
      <c r="B7190" s="396">
        <v>95315</v>
      </c>
      <c r="C7190" s="401" t="s">
        <v>1920</v>
      </c>
      <c r="D7190" s="396" t="s">
        <v>36</v>
      </c>
      <c r="E7190" s="405">
        <f t="shared" si="224"/>
        <v>0.21</v>
      </c>
      <c r="F7190">
        <f t="shared" si="225"/>
        <v>95315</v>
      </c>
      <c r="H7190" s="679">
        <v>0.21</v>
      </c>
      <c r="I7190" s="679">
        <v>0.25</v>
      </c>
    </row>
    <row r="7191" spans="2:9">
      <c r="B7191" s="395">
        <v>95316</v>
      </c>
      <c r="C7191" s="406" t="s">
        <v>1921</v>
      </c>
      <c r="D7191" s="395" t="s">
        <v>36</v>
      </c>
      <c r="E7191" s="407">
        <f t="shared" si="224"/>
        <v>0.51</v>
      </c>
      <c r="F7191">
        <f t="shared" si="225"/>
        <v>95316</v>
      </c>
      <c r="H7191" s="680">
        <v>0.51</v>
      </c>
      <c r="I7191" s="680">
        <v>0.59</v>
      </c>
    </row>
    <row r="7192" spans="2:9">
      <c r="B7192" s="396">
        <v>95317</v>
      </c>
      <c r="C7192" s="401" t="s">
        <v>1922</v>
      </c>
      <c r="D7192" s="396" t="s">
        <v>36</v>
      </c>
      <c r="E7192" s="405">
        <f t="shared" si="224"/>
        <v>0.24</v>
      </c>
      <c r="F7192">
        <f t="shared" si="225"/>
        <v>95317</v>
      </c>
      <c r="H7192" s="679">
        <v>0.24</v>
      </c>
      <c r="I7192" s="679">
        <v>0.28000000000000003</v>
      </c>
    </row>
    <row r="7193" spans="2:9">
      <c r="B7193" s="395">
        <v>95318</v>
      </c>
      <c r="C7193" s="406" t="s">
        <v>1923</v>
      </c>
      <c r="D7193" s="395" t="s">
        <v>36</v>
      </c>
      <c r="E7193" s="407">
        <f t="shared" si="224"/>
        <v>0.17</v>
      </c>
      <c r="F7193">
        <f t="shared" si="225"/>
        <v>95318</v>
      </c>
      <c r="H7193" s="680">
        <v>0.17</v>
      </c>
      <c r="I7193" s="680">
        <v>0.2</v>
      </c>
    </row>
    <row r="7194" spans="2:9">
      <c r="B7194" s="396">
        <v>95319</v>
      </c>
      <c r="C7194" s="401" t="s">
        <v>1924</v>
      </c>
      <c r="D7194" s="396" t="s">
        <v>36</v>
      </c>
      <c r="E7194" s="405">
        <f t="shared" si="224"/>
        <v>0.12</v>
      </c>
      <c r="F7194">
        <f t="shared" si="225"/>
        <v>95319</v>
      </c>
      <c r="H7194" s="679">
        <v>0.12</v>
      </c>
      <c r="I7194" s="679">
        <v>0.14000000000000001</v>
      </c>
    </row>
    <row r="7195" spans="2:9">
      <c r="B7195" s="395">
        <v>95320</v>
      </c>
      <c r="C7195" s="406" t="s">
        <v>1925</v>
      </c>
      <c r="D7195" s="395" t="s">
        <v>36</v>
      </c>
      <c r="E7195" s="407">
        <f t="shared" si="224"/>
        <v>0.15</v>
      </c>
      <c r="F7195">
        <f t="shared" si="225"/>
        <v>95320</v>
      </c>
      <c r="H7195" s="680">
        <v>0.15</v>
      </c>
      <c r="I7195" s="680">
        <v>0.18</v>
      </c>
    </row>
    <row r="7196" spans="2:9">
      <c r="B7196" s="396">
        <v>95321</v>
      </c>
      <c r="C7196" s="401" t="s">
        <v>1926</v>
      </c>
      <c r="D7196" s="396" t="s">
        <v>36</v>
      </c>
      <c r="E7196" s="407">
        <f t="shared" si="224"/>
        <v>0.14000000000000001</v>
      </c>
      <c r="F7196">
        <f t="shared" si="225"/>
        <v>95321</v>
      </c>
      <c r="H7196" s="678">
        <v>0.14000000000000001</v>
      </c>
      <c r="I7196" s="678">
        <v>0.16</v>
      </c>
    </row>
    <row r="7197" spans="2:9">
      <c r="B7197" s="396">
        <v>95322</v>
      </c>
      <c r="C7197" s="401" t="s">
        <v>1927</v>
      </c>
      <c r="D7197" s="396" t="s">
        <v>36</v>
      </c>
      <c r="E7197" s="407">
        <f t="shared" si="224"/>
        <v>0.06</v>
      </c>
      <c r="F7197">
        <f t="shared" si="225"/>
        <v>95322</v>
      </c>
      <c r="H7197" s="678">
        <v>0.06</v>
      </c>
      <c r="I7197" s="678">
        <v>7.0000000000000007E-2</v>
      </c>
    </row>
    <row r="7198" spans="2:9">
      <c r="B7198" s="396">
        <v>95323</v>
      </c>
      <c r="C7198" s="401" t="s">
        <v>1928</v>
      </c>
      <c r="D7198" s="396" t="s">
        <v>36</v>
      </c>
      <c r="E7198" s="407">
        <f t="shared" si="224"/>
        <v>0.2</v>
      </c>
      <c r="F7198">
        <f t="shared" si="225"/>
        <v>95323</v>
      </c>
      <c r="H7198" s="678">
        <v>0.2</v>
      </c>
      <c r="I7198" s="678">
        <v>0.23</v>
      </c>
    </row>
    <row r="7199" spans="2:9">
      <c r="B7199" s="396">
        <v>95324</v>
      </c>
      <c r="C7199" s="401" t="s">
        <v>1929</v>
      </c>
      <c r="D7199" s="396" t="s">
        <v>36</v>
      </c>
      <c r="E7199" s="407">
        <f t="shared" si="224"/>
        <v>0.25</v>
      </c>
      <c r="F7199">
        <f t="shared" si="225"/>
        <v>95324</v>
      </c>
      <c r="H7199" s="678">
        <v>0.25</v>
      </c>
      <c r="I7199" s="678">
        <v>0.28999999999999998</v>
      </c>
    </row>
    <row r="7200" spans="2:9">
      <c r="B7200" s="396">
        <v>95325</v>
      </c>
      <c r="C7200" s="401" t="s">
        <v>1930</v>
      </c>
      <c r="D7200" s="396" t="s">
        <v>36</v>
      </c>
      <c r="E7200" s="407">
        <f t="shared" si="224"/>
        <v>0.21</v>
      </c>
      <c r="F7200">
        <f t="shared" si="225"/>
        <v>95325</v>
      </c>
      <c r="H7200" s="678">
        <v>0.21</v>
      </c>
      <c r="I7200" s="678">
        <v>0.25</v>
      </c>
    </row>
    <row r="7201" spans="2:9">
      <c r="B7201" s="396">
        <v>95326</v>
      </c>
      <c r="C7201" s="401" t="s">
        <v>1931</v>
      </c>
      <c r="D7201" s="396" t="s">
        <v>36</v>
      </c>
      <c r="E7201" s="407">
        <f t="shared" si="224"/>
        <v>0.06</v>
      </c>
      <c r="F7201">
        <f t="shared" si="225"/>
        <v>95326</v>
      </c>
      <c r="H7201" s="678">
        <v>0.06</v>
      </c>
      <c r="I7201" s="678">
        <v>7.0000000000000007E-2</v>
      </c>
    </row>
    <row r="7202" spans="2:9">
      <c r="B7202" s="396">
        <v>95328</v>
      </c>
      <c r="C7202" s="401" t="s">
        <v>1932</v>
      </c>
      <c r="D7202" s="396" t="s">
        <v>36</v>
      </c>
      <c r="E7202" s="407">
        <f t="shared" si="224"/>
        <v>0.17</v>
      </c>
      <c r="F7202">
        <f t="shared" si="225"/>
        <v>95328</v>
      </c>
      <c r="H7202" s="678">
        <v>0.17</v>
      </c>
      <c r="I7202" s="678">
        <v>0.2</v>
      </c>
    </row>
    <row r="7203" spans="2:9">
      <c r="B7203" s="396">
        <v>95329</v>
      </c>
      <c r="C7203" s="401" t="s">
        <v>1933</v>
      </c>
      <c r="D7203" s="396" t="s">
        <v>36</v>
      </c>
      <c r="E7203" s="407">
        <f t="shared" si="224"/>
        <v>0.23</v>
      </c>
      <c r="F7203">
        <f t="shared" si="225"/>
        <v>95329</v>
      </c>
      <c r="H7203" s="678">
        <v>0.23</v>
      </c>
      <c r="I7203" s="678">
        <v>0.27</v>
      </c>
    </row>
    <row r="7204" spans="2:9">
      <c r="B7204" s="396">
        <v>95330</v>
      </c>
      <c r="C7204" s="401" t="s">
        <v>1934</v>
      </c>
      <c r="D7204" s="396" t="s">
        <v>36</v>
      </c>
      <c r="E7204" s="407">
        <f t="shared" si="224"/>
        <v>0.19</v>
      </c>
      <c r="F7204">
        <f t="shared" si="225"/>
        <v>95330</v>
      </c>
      <c r="H7204" s="678">
        <v>0.19</v>
      </c>
      <c r="I7204" s="678">
        <v>0.22</v>
      </c>
    </row>
    <row r="7205" spans="2:9">
      <c r="B7205" s="396">
        <v>95331</v>
      </c>
      <c r="C7205" s="401" t="s">
        <v>1935</v>
      </c>
      <c r="D7205" s="396" t="s">
        <v>36</v>
      </c>
      <c r="E7205" s="407">
        <f t="shared" si="224"/>
        <v>0.12</v>
      </c>
      <c r="F7205">
        <f t="shared" si="225"/>
        <v>95331</v>
      </c>
      <c r="H7205" s="678">
        <v>0.12</v>
      </c>
      <c r="I7205" s="678">
        <v>0.13</v>
      </c>
    </row>
    <row r="7206" spans="2:9">
      <c r="B7206" s="396">
        <v>95332</v>
      </c>
      <c r="C7206" s="401" t="s">
        <v>1936</v>
      </c>
      <c r="D7206" s="396" t="s">
        <v>36</v>
      </c>
      <c r="E7206" s="407">
        <f t="shared" si="224"/>
        <v>0.65</v>
      </c>
      <c r="F7206">
        <f t="shared" si="225"/>
        <v>95332</v>
      </c>
      <c r="H7206" s="678">
        <v>0.65</v>
      </c>
      <c r="I7206" s="678">
        <v>0.75</v>
      </c>
    </row>
    <row r="7207" spans="2:9">
      <c r="B7207" s="396">
        <v>95333</v>
      </c>
      <c r="C7207" s="401" t="s">
        <v>1937</v>
      </c>
      <c r="D7207" s="396" t="s">
        <v>36</v>
      </c>
      <c r="E7207" s="407">
        <f t="shared" si="224"/>
        <v>0.65</v>
      </c>
      <c r="F7207">
        <f t="shared" si="225"/>
        <v>95333</v>
      </c>
      <c r="H7207" s="678">
        <v>0.65</v>
      </c>
      <c r="I7207" s="678">
        <v>0.75</v>
      </c>
    </row>
    <row r="7208" spans="2:9">
      <c r="B7208" s="396">
        <v>95334</v>
      </c>
      <c r="C7208" s="401" t="s">
        <v>1938</v>
      </c>
      <c r="D7208" s="396" t="s">
        <v>36</v>
      </c>
      <c r="E7208" s="407">
        <f t="shared" si="224"/>
        <v>0.7</v>
      </c>
      <c r="F7208">
        <f t="shared" si="225"/>
        <v>95334</v>
      </c>
      <c r="H7208" s="678">
        <v>0.7</v>
      </c>
      <c r="I7208" s="678">
        <v>0.81</v>
      </c>
    </row>
    <row r="7209" spans="2:9">
      <c r="B7209" s="396">
        <v>95335</v>
      </c>
      <c r="C7209" s="401" t="s">
        <v>1939</v>
      </c>
      <c r="D7209" s="396" t="s">
        <v>36</v>
      </c>
      <c r="E7209" s="407">
        <f t="shared" si="224"/>
        <v>0.31</v>
      </c>
      <c r="F7209">
        <f t="shared" si="225"/>
        <v>95335</v>
      </c>
      <c r="H7209" s="678">
        <v>0.31</v>
      </c>
      <c r="I7209" s="678">
        <v>0.36</v>
      </c>
    </row>
    <row r="7210" spans="2:9">
      <c r="B7210" s="396">
        <v>95337</v>
      </c>
      <c r="C7210" s="401" t="s">
        <v>580</v>
      </c>
      <c r="D7210" s="396" t="s">
        <v>36</v>
      </c>
      <c r="E7210" s="407">
        <f t="shared" si="224"/>
        <v>0.18</v>
      </c>
      <c r="F7210">
        <f t="shared" si="225"/>
        <v>95337</v>
      </c>
      <c r="H7210" s="678">
        <v>0.18</v>
      </c>
      <c r="I7210" s="678">
        <v>0.21</v>
      </c>
    </row>
    <row r="7211" spans="2:9">
      <c r="B7211" s="396">
        <v>95338</v>
      </c>
      <c r="C7211" s="401" t="s">
        <v>1940</v>
      </c>
      <c r="D7211" s="396" t="s">
        <v>36</v>
      </c>
      <c r="E7211" s="407">
        <f t="shared" si="224"/>
        <v>0.31</v>
      </c>
      <c r="F7211">
        <f t="shared" si="225"/>
        <v>95338</v>
      </c>
      <c r="H7211" s="678">
        <v>0.31</v>
      </c>
      <c r="I7211" s="678">
        <v>0.36</v>
      </c>
    </row>
    <row r="7212" spans="2:9">
      <c r="B7212" s="396">
        <v>95339</v>
      </c>
      <c r="C7212" s="401" t="s">
        <v>1941</v>
      </c>
      <c r="D7212" s="396" t="s">
        <v>36</v>
      </c>
      <c r="E7212" s="407">
        <f t="shared" si="224"/>
        <v>0.28999999999999998</v>
      </c>
      <c r="F7212">
        <f t="shared" si="225"/>
        <v>95339</v>
      </c>
      <c r="H7212" s="678">
        <v>0.28999999999999998</v>
      </c>
      <c r="I7212" s="678">
        <v>0.34</v>
      </c>
    </row>
    <row r="7213" spans="2:9">
      <c r="B7213" s="396">
        <v>95340</v>
      </c>
      <c r="C7213" s="401" t="s">
        <v>1942</v>
      </c>
      <c r="D7213" s="396" t="s">
        <v>36</v>
      </c>
      <c r="E7213" s="407">
        <f t="shared" si="224"/>
        <v>0.23</v>
      </c>
      <c r="F7213">
        <f t="shared" si="225"/>
        <v>95340</v>
      </c>
      <c r="H7213" s="678">
        <v>0.23</v>
      </c>
      <c r="I7213" s="678">
        <v>0.26</v>
      </c>
    </row>
    <row r="7214" spans="2:9">
      <c r="B7214" s="396">
        <v>95341</v>
      </c>
      <c r="C7214" s="401" t="s">
        <v>1943</v>
      </c>
      <c r="D7214" s="396" t="s">
        <v>36</v>
      </c>
      <c r="E7214" s="407">
        <f t="shared" si="224"/>
        <v>0.25</v>
      </c>
      <c r="F7214">
        <f t="shared" si="225"/>
        <v>95341</v>
      </c>
      <c r="H7214" s="678">
        <v>0.25</v>
      </c>
      <c r="I7214" s="678">
        <v>0.28999999999999998</v>
      </c>
    </row>
    <row r="7215" spans="2:9">
      <c r="B7215" s="396">
        <v>95342</v>
      </c>
      <c r="C7215" s="401" t="s">
        <v>1944</v>
      </c>
      <c r="D7215" s="396" t="s">
        <v>36</v>
      </c>
      <c r="E7215" s="407">
        <f t="shared" si="224"/>
        <v>0.16</v>
      </c>
      <c r="F7215">
        <f t="shared" si="225"/>
        <v>95342</v>
      </c>
      <c r="H7215" s="678">
        <v>0.16</v>
      </c>
      <c r="I7215" s="678">
        <v>0.18</v>
      </c>
    </row>
    <row r="7216" spans="2:9">
      <c r="B7216" s="396">
        <v>95343</v>
      </c>
      <c r="C7216" s="401" t="s">
        <v>1945</v>
      </c>
      <c r="D7216" s="396" t="s">
        <v>36</v>
      </c>
      <c r="E7216" s="407">
        <f t="shared" si="224"/>
        <v>0.19</v>
      </c>
      <c r="F7216">
        <f t="shared" si="225"/>
        <v>95343</v>
      </c>
      <c r="H7216" s="678">
        <v>0.19</v>
      </c>
      <c r="I7216" s="678">
        <v>0.22</v>
      </c>
    </row>
    <row r="7217" spans="2:9">
      <c r="B7217" s="396">
        <v>95344</v>
      </c>
      <c r="C7217" s="401" t="s">
        <v>1946</v>
      </c>
      <c r="D7217" s="396" t="s">
        <v>36</v>
      </c>
      <c r="E7217" s="407">
        <f t="shared" si="224"/>
        <v>0.13</v>
      </c>
      <c r="F7217">
        <f t="shared" si="225"/>
        <v>95344</v>
      </c>
      <c r="H7217" s="678">
        <v>0.13</v>
      </c>
      <c r="I7217" s="678">
        <v>0.16</v>
      </c>
    </row>
    <row r="7218" spans="2:9">
      <c r="B7218" s="396">
        <v>95345</v>
      </c>
      <c r="C7218" s="401" t="s">
        <v>1947</v>
      </c>
      <c r="D7218" s="396" t="s">
        <v>36</v>
      </c>
      <c r="E7218" s="407">
        <f t="shared" si="224"/>
        <v>0.57999999999999996</v>
      </c>
      <c r="F7218">
        <f t="shared" si="225"/>
        <v>95345</v>
      </c>
      <c r="H7218" s="678">
        <v>0.57999999999999996</v>
      </c>
      <c r="I7218" s="678">
        <v>0.67</v>
      </c>
    </row>
    <row r="7219" spans="2:9">
      <c r="B7219" s="396">
        <v>95346</v>
      </c>
      <c r="C7219" s="401" t="s">
        <v>1948</v>
      </c>
      <c r="D7219" s="396" t="s">
        <v>36</v>
      </c>
      <c r="E7219" s="407">
        <f t="shared" si="224"/>
        <v>0.06</v>
      </c>
      <c r="F7219">
        <f t="shared" si="225"/>
        <v>95346</v>
      </c>
      <c r="H7219" s="678">
        <v>0.06</v>
      </c>
      <c r="I7219" s="678">
        <v>7.0000000000000007E-2</v>
      </c>
    </row>
    <row r="7220" spans="2:9">
      <c r="B7220" s="396">
        <v>95347</v>
      </c>
      <c r="C7220" s="401" t="s">
        <v>1949</v>
      </c>
      <c r="D7220" s="396" t="s">
        <v>36</v>
      </c>
      <c r="E7220" s="407">
        <f t="shared" si="224"/>
        <v>7.0000000000000007E-2</v>
      </c>
      <c r="F7220">
        <f t="shared" si="225"/>
        <v>95347</v>
      </c>
      <c r="H7220" s="678">
        <v>7.0000000000000007E-2</v>
      </c>
      <c r="I7220" s="678">
        <v>0.08</v>
      </c>
    </row>
    <row r="7221" spans="2:9">
      <c r="B7221" s="396">
        <v>95348</v>
      </c>
      <c r="C7221" s="401" t="s">
        <v>1950</v>
      </c>
      <c r="D7221" s="396" t="s">
        <v>36</v>
      </c>
      <c r="E7221" s="407">
        <f t="shared" si="224"/>
        <v>0.09</v>
      </c>
      <c r="F7221">
        <f t="shared" si="225"/>
        <v>95348</v>
      </c>
      <c r="H7221">
        <v>0.09</v>
      </c>
      <c r="I7221">
        <v>0.1</v>
      </c>
    </row>
    <row r="7222" spans="2:9">
      <c r="B7222" s="396">
        <v>95349</v>
      </c>
      <c r="C7222" s="401" t="s">
        <v>1951</v>
      </c>
      <c r="D7222" s="396" t="s">
        <v>36</v>
      </c>
      <c r="E7222" s="407">
        <f t="shared" si="224"/>
        <v>0.06</v>
      </c>
      <c r="F7222">
        <f t="shared" si="225"/>
        <v>95349</v>
      </c>
      <c r="H7222">
        <v>0.06</v>
      </c>
      <c r="I7222">
        <v>7.0000000000000007E-2</v>
      </c>
    </row>
    <row r="7223" spans="2:9">
      <c r="B7223" s="396">
        <v>95350</v>
      </c>
      <c r="C7223" s="401" t="s">
        <v>1952</v>
      </c>
      <c r="D7223" s="396" t="s">
        <v>36</v>
      </c>
      <c r="E7223" s="407">
        <f t="shared" si="224"/>
        <v>7.0000000000000007E-2</v>
      </c>
      <c r="F7223">
        <f t="shared" si="225"/>
        <v>95350</v>
      </c>
      <c r="H7223">
        <v>7.0000000000000007E-2</v>
      </c>
      <c r="I7223">
        <v>0.08</v>
      </c>
    </row>
    <row r="7224" spans="2:9">
      <c r="B7224" s="396">
        <v>95351</v>
      </c>
      <c r="C7224" s="401" t="s">
        <v>1953</v>
      </c>
      <c r="D7224" s="396" t="s">
        <v>36</v>
      </c>
      <c r="E7224" s="407">
        <f t="shared" si="224"/>
        <v>0.26</v>
      </c>
      <c r="F7224">
        <f t="shared" si="225"/>
        <v>95351</v>
      </c>
      <c r="H7224">
        <v>0.26</v>
      </c>
      <c r="I7224">
        <v>0.3</v>
      </c>
    </row>
    <row r="7225" spans="2:9">
      <c r="B7225" s="396">
        <v>95352</v>
      </c>
      <c r="C7225" s="401" t="s">
        <v>1954</v>
      </c>
      <c r="D7225" s="396" t="s">
        <v>36</v>
      </c>
      <c r="E7225" s="407">
        <f t="shared" si="224"/>
        <v>0.08</v>
      </c>
      <c r="F7225">
        <f t="shared" si="225"/>
        <v>95352</v>
      </c>
      <c r="H7225">
        <v>0.08</v>
      </c>
      <c r="I7225">
        <v>0.09</v>
      </c>
    </row>
    <row r="7226" spans="2:9">
      <c r="B7226" s="396">
        <v>95354</v>
      </c>
      <c r="C7226" s="401" t="s">
        <v>1955</v>
      </c>
      <c r="D7226" s="396" t="s">
        <v>36</v>
      </c>
      <c r="E7226" s="407">
        <f t="shared" si="224"/>
        <v>0.1</v>
      </c>
      <c r="F7226">
        <f t="shared" si="225"/>
        <v>95354</v>
      </c>
      <c r="H7226">
        <v>0.1</v>
      </c>
      <c r="I7226">
        <v>0.12</v>
      </c>
    </row>
    <row r="7227" spans="2:9">
      <c r="B7227" s="396">
        <v>95355</v>
      </c>
      <c r="C7227" s="401" t="s">
        <v>1956</v>
      </c>
      <c r="D7227" s="396" t="s">
        <v>36</v>
      </c>
      <c r="E7227" s="407">
        <f t="shared" si="224"/>
        <v>0.11</v>
      </c>
      <c r="F7227">
        <f t="shared" si="225"/>
        <v>95355</v>
      </c>
      <c r="H7227">
        <v>0.11</v>
      </c>
      <c r="I7227">
        <v>0.12</v>
      </c>
    </row>
    <row r="7228" spans="2:9">
      <c r="B7228" s="396">
        <v>95356</v>
      </c>
      <c r="C7228" s="401" t="s">
        <v>1957</v>
      </c>
      <c r="D7228" s="396" t="s">
        <v>36</v>
      </c>
      <c r="E7228" s="407">
        <f t="shared" si="224"/>
        <v>0.12</v>
      </c>
      <c r="F7228">
        <f t="shared" si="225"/>
        <v>95356</v>
      </c>
      <c r="H7228">
        <v>0.12</v>
      </c>
      <c r="I7228">
        <v>0.14000000000000001</v>
      </c>
    </row>
    <row r="7229" spans="2:9">
      <c r="B7229" s="396">
        <v>95357</v>
      </c>
      <c r="C7229" s="401" t="s">
        <v>1958</v>
      </c>
      <c r="D7229" s="396" t="s">
        <v>36</v>
      </c>
      <c r="E7229" s="407">
        <f t="shared" si="224"/>
        <v>0.19</v>
      </c>
      <c r="F7229">
        <f t="shared" si="225"/>
        <v>95357</v>
      </c>
      <c r="H7229">
        <v>0.19</v>
      </c>
      <c r="I7229">
        <v>0.22</v>
      </c>
    </row>
    <row r="7230" spans="2:9">
      <c r="B7230" s="396">
        <v>95358</v>
      </c>
      <c r="C7230" s="401" t="s">
        <v>1959</v>
      </c>
      <c r="D7230" s="396" t="s">
        <v>36</v>
      </c>
      <c r="E7230" s="407">
        <f t="shared" si="224"/>
        <v>0.2</v>
      </c>
      <c r="F7230">
        <f t="shared" si="225"/>
        <v>95358</v>
      </c>
      <c r="H7230">
        <v>0.2</v>
      </c>
      <c r="I7230">
        <v>0.23</v>
      </c>
    </row>
    <row r="7231" spans="2:9">
      <c r="B7231" s="396">
        <v>95359</v>
      </c>
      <c r="C7231" s="401" t="s">
        <v>1960</v>
      </c>
      <c r="D7231" s="396" t="s">
        <v>36</v>
      </c>
      <c r="E7231" s="407">
        <f t="shared" si="224"/>
        <v>0.2</v>
      </c>
      <c r="F7231">
        <f t="shared" si="225"/>
        <v>95359</v>
      </c>
      <c r="H7231">
        <v>0.2</v>
      </c>
      <c r="I7231">
        <v>0.23</v>
      </c>
    </row>
    <row r="7232" spans="2:9">
      <c r="B7232" s="396">
        <v>95360</v>
      </c>
      <c r="C7232" s="401" t="s">
        <v>1961</v>
      </c>
      <c r="D7232" s="396" t="s">
        <v>36</v>
      </c>
      <c r="E7232" s="407">
        <f t="shared" si="224"/>
        <v>0.15</v>
      </c>
      <c r="F7232">
        <f t="shared" si="225"/>
        <v>95360</v>
      </c>
      <c r="H7232">
        <v>0.15</v>
      </c>
      <c r="I7232">
        <v>0.17</v>
      </c>
    </row>
    <row r="7233" spans="2:9">
      <c r="B7233" s="396">
        <v>95361</v>
      </c>
      <c r="C7233" s="401" t="s">
        <v>1962</v>
      </c>
      <c r="D7233" s="396" t="s">
        <v>36</v>
      </c>
      <c r="E7233" s="407">
        <f t="shared" si="224"/>
        <v>0.08</v>
      </c>
      <c r="F7233">
        <f t="shared" si="225"/>
        <v>95361</v>
      </c>
      <c r="H7233" s="678">
        <v>0.08</v>
      </c>
      <c r="I7233" s="678">
        <v>0.09</v>
      </c>
    </row>
    <row r="7234" spans="2:9">
      <c r="B7234" s="396">
        <v>95362</v>
      </c>
      <c r="C7234" s="401" t="s">
        <v>1963</v>
      </c>
      <c r="D7234" s="396" t="s">
        <v>36</v>
      </c>
      <c r="E7234" s="407">
        <f t="shared" si="224"/>
        <v>0.13</v>
      </c>
      <c r="F7234">
        <f t="shared" si="225"/>
        <v>95362</v>
      </c>
      <c r="H7234" s="678">
        <v>0.13</v>
      </c>
      <c r="I7234" s="678">
        <v>0.15</v>
      </c>
    </row>
    <row r="7235" spans="2:9">
      <c r="B7235" s="396">
        <v>95363</v>
      </c>
      <c r="C7235" s="401" t="s">
        <v>1964</v>
      </c>
      <c r="D7235" s="396" t="s">
        <v>36</v>
      </c>
      <c r="E7235" s="407">
        <f t="shared" ref="E7235:E7298" si="226">IF($K$2=$H$1,H7235,I7235)</f>
        <v>0.16</v>
      </c>
      <c r="F7235">
        <f t="shared" si="225"/>
        <v>95363</v>
      </c>
      <c r="H7235" s="678">
        <v>0.16</v>
      </c>
      <c r="I7235" s="678">
        <v>0.18</v>
      </c>
    </row>
    <row r="7236" spans="2:9">
      <c r="B7236" s="396">
        <v>95364</v>
      </c>
      <c r="C7236" s="401" t="s">
        <v>1965</v>
      </c>
      <c r="D7236" s="396" t="s">
        <v>36</v>
      </c>
      <c r="E7236" s="407">
        <f t="shared" si="226"/>
        <v>0.11</v>
      </c>
      <c r="F7236">
        <f t="shared" ref="F7236:F7299" si="227">IF(LEN($B7236)=7,CONCATENATE(MID($B7236,1,6),"00",RIGHT($B7236,1)),IF(LEN($B7236)=8,CONCATENATE(MID($B7236,1,6),"0",RIGHT($B7236,2)),$B7236))</f>
        <v>95364</v>
      </c>
      <c r="H7236" s="678">
        <v>0.11</v>
      </c>
      <c r="I7236" s="678">
        <v>0.13</v>
      </c>
    </row>
    <row r="7237" spans="2:9">
      <c r="B7237" s="396">
        <v>95365</v>
      </c>
      <c r="C7237" s="401" t="s">
        <v>1966</v>
      </c>
      <c r="D7237" s="396" t="s">
        <v>36</v>
      </c>
      <c r="E7237" s="407">
        <f t="shared" si="226"/>
        <v>0.13</v>
      </c>
      <c r="F7237">
        <f t="shared" si="227"/>
        <v>95365</v>
      </c>
      <c r="H7237" s="678">
        <v>0.13</v>
      </c>
      <c r="I7237" s="678">
        <v>0.15</v>
      </c>
    </row>
    <row r="7238" spans="2:9">
      <c r="B7238" s="396">
        <v>95366</v>
      </c>
      <c r="C7238" s="401" t="s">
        <v>1967</v>
      </c>
      <c r="D7238" s="396" t="s">
        <v>36</v>
      </c>
      <c r="E7238" s="407">
        <f t="shared" si="226"/>
        <v>0.1</v>
      </c>
      <c r="F7238">
        <f t="shared" si="227"/>
        <v>95366</v>
      </c>
      <c r="H7238" s="678">
        <v>0.1</v>
      </c>
      <c r="I7238" s="678">
        <v>0.12</v>
      </c>
    </row>
    <row r="7239" spans="2:9" ht="30">
      <c r="B7239" s="396">
        <v>95367</v>
      </c>
      <c r="C7239" s="401" t="s">
        <v>1968</v>
      </c>
      <c r="D7239" s="396" t="s">
        <v>36</v>
      </c>
      <c r="E7239" s="407">
        <f t="shared" si="226"/>
        <v>0.11</v>
      </c>
      <c r="F7239">
        <f t="shared" si="227"/>
        <v>95367</v>
      </c>
      <c r="H7239" s="678">
        <v>0.11</v>
      </c>
      <c r="I7239" s="678">
        <v>0.13</v>
      </c>
    </row>
    <row r="7240" spans="2:9">
      <c r="B7240" s="396">
        <v>95368</v>
      </c>
      <c r="C7240" s="401" t="s">
        <v>1969</v>
      </c>
      <c r="D7240" s="396" t="s">
        <v>36</v>
      </c>
      <c r="E7240" s="407">
        <f t="shared" si="226"/>
        <v>0.17</v>
      </c>
      <c r="F7240">
        <f t="shared" si="227"/>
        <v>95368</v>
      </c>
      <c r="H7240" s="678">
        <v>0.17</v>
      </c>
      <c r="I7240" s="678">
        <v>0.2</v>
      </c>
    </row>
    <row r="7241" spans="2:9">
      <c r="B7241" s="396">
        <v>95369</v>
      </c>
      <c r="C7241" s="401" t="s">
        <v>1970</v>
      </c>
      <c r="D7241" s="396" t="s">
        <v>36</v>
      </c>
      <c r="E7241" s="407">
        <f t="shared" si="226"/>
        <v>0.12</v>
      </c>
      <c r="F7241">
        <f t="shared" si="227"/>
        <v>95369</v>
      </c>
      <c r="H7241" s="678">
        <v>0.12</v>
      </c>
      <c r="I7241" s="678">
        <v>0.14000000000000001</v>
      </c>
    </row>
    <row r="7242" spans="2:9">
      <c r="B7242" s="396">
        <v>95370</v>
      </c>
      <c r="C7242" s="401" t="s">
        <v>1971</v>
      </c>
      <c r="D7242" s="396" t="s">
        <v>36</v>
      </c>
      <c r="E7242" s="407">
        <f t="shared" si="226"/>
        <v>0.25</v>
      </c>
      <c r="F7242">
        <f t="shared" si="227"/>
        <v>95370</v>
      </c>
      <c r="H7242" s="678">
        <v>0.25</v>
      </c>
      <c r="I7242" s="678">
        <v>0.28999999999999998</v>
      </c>
    </row>
    <row r="7243" spans="2:9">
      <c r="B7243" s="396">
        <v>95371</v>
      </c>
      <c r="C7243" s="401" t="s">
        <v>581</v>
      </c>
      <c r="D7243" s="396" t="s">
        <v>36</v>
      </c>
      <c r="E7243" s="407">
        <f t="shared" si="226"/>
        <v>0.36</v>
      </c>
      <c r="F7243">
        <f t="shared" si="227"/>
        <v>95371</v>
      </c>
      <c r="H7243" s="678">
        <v>0.36</v>
      </c>
      <c r="I7243" s="678">
        <v>0.41</v>
      </c>
    </row>
    <row r="7244" spans="2:9">
      <c r="B7244" s="396">
        <v>95372</v>
      </c>
      <c r="C7244" s="401" t="s">
        <v>582</v>
      </c>
      <c r="D7244" s="396" t="s">
        <v>36</v>
      </c>
      <c r="E7244" s="407">
        <f t="shared" si="226"/>
        <v>0.25</v>
      </c>
      <c r="F7244">
        <f t="shared" si="227"/>
        <v>95372</v>
      </c>
      <c r="H7244" s="678">
        <v>0.25</v>
      </c>
      <c r="I7244" s="678">
        <v>0.28999999999999998</v>
      </c>
    </row>
    <row r="7245" spans="2:9">
      <c r="B7245" s="396">
        <v>95373</v>
      </c>
      <c r="C7245" s="401" t="s">
        <v>1972</v>
      </c>
      <c r="D7245" s="396" t="s">
        <v>36</v>
      </c>
      <c r="E7245" s="407">
        <f t="shared" si="226"/>
        <v>0.24</v>
      </c>
      <c r="F7245">
        <f t="shared" si="227"/>
        <v>95373</v>
      </c>
      <c r="H7245" s="678">
        <v>0.24</v>
      </c>
      <c r="I7245" s="678">
        <v>0.28000000000000003</v>
      </c>
    </row>
    <row r="7246" spans="2:9">
      <c r="B7246" s="396">
        <v>95374</v>
      </c>
      <c r="C7246" s="401" t="s">
        <v>1973</v>
      </c>
      <c r="D7246" s="396" t="s">
        <v>36</v>
      </c>
      <c r="E7246" s="407">
        <f t="shared" si="226"/>
        <v>0.25</v>
      </c>
      <c r="F7246">
        <f t="shared" si="227"/>
        <v>95374</v>
      </c>
      <c r="H7246" s="678">
        <v>0.25</v>
      </c>
      <c r="I7246" s="678">
        <v>0.28999999999999998</v>
      </c>
    </row>
    <row r="7247" spans="2:9">
      <c r="B7247" s="396">
        <v>95375</v>
      </c>
      <c r="C7247" s="401" t="s">
        <v>583</v>
      </c>
      <c r="D7247" s="396" t="s">
        <v>36</v>
      </c>
      <c r="E7247" s="407">
        <f t="shared" si="226"/>
        <v>0.26</v>
      </c>
      <c r="F7247">
        <f t="shared" si="227"/>
        <v>95375</v>
      </c>
      <c r="H7247" s="678">
        <v>0.26</v>
      </c>
      <c r="I7247" s="678">
        <v>0.28999999999999998</v>
      </c>
    </row>
    <row r="7248" spans="2:9">
      <c r="B7248" s="396">
        <v>95376</v>
      </c>
      <c r="C7248" s="401" t="s">
        <v>1974</v>
      </c>
      <c r="D7248" s="396" t="s">
        <v>36</v>
      </c>
      <c r="E7248" s="407">
        <f t="shared" si="226"/>
        <v>0.05</v>
      </c>
      <c r="F7248">
        <f t="shared" si="227"/>
        <v>95376</v>
      </c>
      <c r="H7248" s="678">
        <v>0.05</v>
      </c>
      <c r="I7248" s="678">
        <v>0.06</v>
      </c>
    </row>
    <row r="7249" spans="2:9">
      <c r="B7249" s="396">
        <v>95377</v>
      </c>
      <c r="C7249" s="401" t="s">
        <v>1975</v>
      </c>
      <c r="D7249" s="396" t="s">
        <v>36</v>
      </c>
      <c r="E7249" s="407">
        <f t="shared" si="226"/>
        <v>0.19</v>
      </c>
      <c r="F7249">
        <f t="shared" si="227"/>
        <v>95377</v>
      </c>
      <c r="H7249" s="678">
        <v>0.19</v>
      </c>
      <c r="I7249" s="678">
        <v>0.22</v>
      </c>
    </row>
    <row r="7250" spans="2:9">
      <c r="B7250" s="396">
        <v>95378</v>
      </c>
      <c r="C7250" s="401" t="s">
        <v>584</v>
      </c>
      <c r="D7250" s="396" t="s">
        <v>36</v>
      </c>
      <c r="E7250" s="407">
        <f t="shared" si="226"/>
        <v>0.27</v>
      </c>
      <c r="F7250">
        <f t="shared" si="227"/>
        <v>95378</v>
      </c>
      <c r="H7250" s="678">
        <v>0.27</v>
      </c>
      <c r="I7250" s="678">
        <v>0.31</v>
      </c>
    </row>
    <row r="7251" spans="2:9">
      <c r="B7251" s="396">
        <v>95379</v>
      </c>
      <c r="C7251" s="401" t="s">
        <v>585</v>
      </c>
      <c r="D7251" s="396" t="s">
        <v>36</v>
      </c>
      <c r="E7251" s="407">
        <f t="shared" si="226"/>
        <v>0.19</v>
      </c>
      <c r="F7251">
        <f t="shared" si="227"/>
        <v>95379</v>
      </c>
      <c r="H7251" s="678">
        <v>0.19</v>
      </c>
      <c r="I7251" s="678">
        <v>0.22</v>
      </c>
    </row>
    <row r="7252" spans="2:9" ht="30">
      <c r="B7252" s="396">
        <v>95380</v>
      </c>
      <c r="C7252" s="401" t="s">
        <v>1976</v>
      </c>
      <c r="D7252" s="396" t="s">
        <v>36</v>
      </c>
      <c r="E7252" s="407">
        <f t="shared" si="226"/>
        <v>0.23</v>
      </c>
      <c r="F7252">
        <f t="shared" si="227"/>
        <v>95380</v>
      </c>
      <c r="H7252" s="678">
        <v>0.23</v>
      </c>
      <c r="I7252" s="678">
        <v>0.26</v>
      </c>
    </row>
    <row r="7253" spans="2:9">
      <c r="B7253" s="396">
        <v>95382</v>
      </c>
      <c r="C7253" s="401" t="s">
        <v>1977</v>
      </c>
      <c r="D7253" s="396" t="s">
        <v>36</v>
      </c>
      <c r="E7253" s="407">
        <f t="shared" si="226"/>
        <v>0.19</v>
      </c>
      <c r="F7253">
        <f t="shared" si="227"/>
        <v>95382</v>
      </c>
      <c r="H7253" s="678">
        <v>0.19</v>
      </c>
      <c r="I7253" s="678">
        <v>0.22</v>
      </c>
    </row>
    <row r="7254" spans="2:9">
      <c r="B7254" s="396">
        <v>95383</v>
      </c>
      <c r="C7254" s="401" t="s">
        <v>1978</v>
      </c>
      <c r="D7254" s="396" t="s">
        <v>36</v>
      </c>
      <c r="E7254" s="407">
        <f t="shared" si="226"/>
        <v>0.19</v>
      </c>
      <c r="F7254">
        <f t="shared" si="227"/>
        <v>95383</v>
      </c>
      <c r="H7254" s="678">
        <v>0.19</v>
      </c>
      <c r="I7254" s="678">
        <v>0.22</v>
      </c>
    </row>
    <row r="7255" spans="2:9">
      <c r="B7255" s="396">
        <v>95384</v>
      </c>
      <c r="C7255" s="401" t="s">
        <v>1979</v>
      </c>
      <c r="D7255" s="396" t="s">
        <v>36</v>
      </c>
      <c r="E7255" s="407">
        <f t="shared" si="226"/>
        <v>0.26</v>
      </c>
      <c r="F7255">
        <f t="shared" si="227"/>
        <v>95384</v>
      </c>
      <c r="H7255" s="678">
        <v>0.26</v>
      </c>
      <c r="I7255" s="678">
        <v>0.3</v>
      </c>
    </row>
    <row r="7256" spans="2:9">
      <c r="B7256" s="396">
        <v>95385</v>
      </c>
      <c r="C7256" s="401" t="s">
        <v>1980</v>
      </c>
      <c r="D7256" s="396" t="s">
        <v>36</v>
      </c>
      <c r="E7256" s="407">
        <f t="shared" si="226"/>
        <v>0.19</v>
      </c>
      <c r="F7256">
        <f t="shared" si="227"/>
        <v>95385</v>
      </c>
      <c r="H7256" s="678">
        <v>0.19</v>
      </c>
      <c r="I7256" s="678">
        <v>0.22</v>
      </c>
    </row>
    <row r="7257" spans="2:9">
      <c r="B7257" s="396">
        <v>95386</v>
      </c>
      <c r="C7257" s="401" t="s">
        <v>1981</v>
      </c>
      <c r="D7257" s="396" t="s">
        <v>36</v>
      </c>
      <c r="E7257" s="407">
        <f t="shared" si="226"/>
        <v>0.15</v>
      </c>
      <c r="F7257">
        <f t="shared" si="227"/>
        <v>95386</v>
      </c>
      <c r="H7257" s="678">
        <v>0.15</v>
      </c>
      <c r="I7257" s="678">
        <v>0.17</v>
      </c>
    </row>
    <row r="7258" spans="2:9">
      <c r="B7258" s="396">
        <v>95387</v>
      </c>
      <c r="C7258" s="401" t="s">
        <v>1982</v>
      </c>
      <c r="D7258" s="396" t="s">
        <v>36</v>
      </c>
      <c r="E7258" s="407">
        <f t="shared" si="226"/>
        <v>0.21</v>
      </c>
      <c r="F7258">
        <f t="shared" si="227"/>
        <v>95387</v>
      </c>
      <c r="H7258" s="678">
        <v>0.21</v>
      </c>
      <c r="I7258" s="678">
        <v>0.25</v>
      </c>
    </row>
    <row r="7259" spans="2:9">
      <c r="B7259" s="396">
        <v>95388</v>
      </c>
      <c r="C7259" s="401" t="s">
        <v>1983</v>
      </c>
      <c r="D7259" s="396" t="s">
        <v>36</v>
      </c>
      <c r="E7259" s="407">
        <f t="shared" si="226"/>
        <v>0.08</v>
      </c>
      <c r="F7259">
        <f t="shared" si="227"/>
        <v>95388</v>
      </c>
      <c r="H7259" s="678">
        <v>0.08</v>
      </c>
      <c r="I7259" s="678">
        <v>0.1</v>
      </c>
    </row>
    <row r="7260" spans="2:9">
      <c r="B7260" s="396">
        <v>95389</v>
      </c>
      <c r="C7260" s="401" t="s">
        <v>1984</v>
      </c>
      <c r="D7260" s="396" t="s">
        <v>36</v>
      </c>
      <c r="E7260" s="407">
        <f t="shared" si="226"/>
        <v>0.1</v>
      </c>
      <c r="F7260">
        <f t="shared" si="227"/>
        <v>95389</v>
      </c>
      <c r="H7260" s="678">
        <v>0.1</v>
      </c>
      <c r="I7260" s="678">
        <v>0.11</v>
      </c>
    </row>
    <row r="7261" spans="2:9">
      <c r="B7261" s="396">
        <v>95390</v>
      </c>
      <c r="C7261" s="401" t="s">
        <v>1985</v>
      </c>
      <c r="D7261" s="396" t="s">
        <v>36</v>
      </c>
      <c r="E7261" s="407">
        <f t="shared" si="226"/>
        <v>7.0000000000000007E-2</v>
      </c>
      <c r="F7261">
        <f t="shared" si="227"/>
        <v>95390</v>
      </c>
      <c r="H7261" s="678">
        <v>7.0000000000000007E-2</v>
      </c>
      <c r="I7261" s="678">
        <v>0.08</v>
      </c>
    </row>
    <row r="7262" spans="2:9">
      <c r="B7262" s="396">
        <v>95391</v>
      </c>
      <c r="C7262" s="401" t="s">
        <v>1986</v>
      </c>
      <c r="D7262" s="396" t="s">
        <v>36</v>
      </c>
      <c r="E7262" s="407">
        <f t="shared" si="226"/>
        <v>0.08</v>
      </c>
      <c r="F7262">
        <f t="shared" si="227"/>
        <v>95391</v>
      </c>
      <c r="H7262" s="678">
        <v>0.08</v>
      </c>
      <c r="I7262" s="678">
        <v>0.09</v>
      </c>
    </row>
    <row r="7263" spans="2:9">
      <c r="B7263" s="396">
        <v>95392</v>
      </c>
      <c r="C7263" s="401" t="s">
        <v>1987</v>
      </c>
      <c r="D7263" s="396" t="s">
        <v>36</v>
      </c>
      <c r="E7263" s="407">
        <f t="shared" si="226"/>
        <v>0.08</v>
      </c>
      <c r="F7263">
        <f t="shared" si="227"/>
        <v>95392</v>
      </c>
      <c r="H7263" s="678">
        <v>0.08</v>
      </c>
      <c r="I7263" s="678">
        <v>0.1</v>
      </c>
    </row>
    <row r="7264" spans="2:9">
      <c r="B7264" s="396">
        <v>95393</v>
      </c>
      <c r="C7264" s="401" t="s">
        <v>1988</v>
      </c>
      <c r="D7264" s="396" t="s">
        <v>36</v>
      </c>
      <c r="E7264" s="407">
        <f t="shared" si="226"/>
        <v>0.37</v>
      </c>
      <c r="F7264">
        <f t="shared" si="227"/>
        <v>95393</v>
      </c>
      <c r="H7264" s="678">
        <v>0.37</v>
      </c>
      <c r="I7264" s="678">
        <v>0.43</v>
      </c>
    </row>
    <row r="7265" spans="2:9">
      <c r="B7265" s="396">
        <v>95394</v>
      </c>
      <c r="C7265" s="401" t="s">
        <v>1989</v>
      </c>
      <c r="D7265" s="396" t="s">
        <v>36</v>
      </c>
      <c r="E7265" s="407">
        <f t="shared" si="226"/>
        <v>0.57999999999999996</v>
      </c>
      <c r="F7265">
        <f t="shared" si="227"/>
        <v>95394</v>
      </c>
      <c r="H7265" s="678">
        <v>0.57999999999999996</v>
      </c>
      <c r="I7265" s="678">
        <v>0.67</v>
      </c>
    </row>
    <row r="7266" spans="2:9">
      <c r="B7266" s="396">
        <v>95395</v>
      </c>
      <c r="C7266" s="401" t="s">
        <v>1990</v>
      </c>
      <c r="D7266" s="396" t="s">
        <v>36</v>
      </c>
      <c r="E7266" s="407">
        <f t="shared" si="226"/>
        <v>0.82</v>
      </c>
      <c r="F7266">
        <f t="shared" si="227"/>
        <v>95395</v>
      </c>
      <c r="H7266" s="678">
        <v>0.82</v>
      </c>
      <c r="I7266" s="678">
        <v>0.95</v>
      </c>
    </row>
    <row r="7267" spans="2:9">
      <c r="B7267" s="396">
        <v>95396</v>
      </c>
      <c r="C7267" s="401" t="s">
        <v>1991</v>
      </c>
      <c r="D7267" s="396" t="s">
        <v>36</v>
      </c>
      <c r="E7267" s="407">
        <f t="shared" si="226"/>
        <v>1.0900000000000001</v>
      </c>
      <c r="F7267">
        <f t="shared" si="227"/>
        <v>95396</v>
      </c>
      <c r="H7267" s="678">
        <v>1.0900000000000001</v>
      </c>
      <c r="I7267" s="678">
        <v>1.26</v>
      </c>
    </row>
    <row r="7268" spans="2:9">
      <c r="B7268" s="396">
        <v>95397</v>
      </c>
      <c r="C7268" s="401" t="s">
        <v>1992</v>
      </c>
      <c r="D7268" s="396" t="s">
        <v>36</v>
      </c>
      <c r="E7268" s="407">
        <f t="shared" si="226"/>
        <v>0.05</v>
      </c>
      <c r="F7268">
        <f t="shared" si="227"/>
        <v>95397</v>
      </c>
      <c r="H7268" s="678">
        <v>0.05</v>
      </c>
      <c r="I7268" s="678">
        <v>0.06</v>
      </c>
    </row>
    <row r="7269" spans="2:9">
      <c r="B7269" s="396">
        <v>95398</v>
      </c>
      <c r="C7269" s="401" t="s">
        <v>1993</v>
      </c>
      <c r="D7269" s="396" t="s">
        <v>36</v>
      </c>
      <c r="E7269" s="407">
        <f t="shared" si="226"/>
        <v>0.06</v>
      </c>
      <c r="F7269">
        <f t="shared" si="227"/>
        <v>95398</v>
      </c>
      <c r="H7269" s="678">
        <v>0.06</v>
      </c>
      <c r="I7269" s="678">
        <v>7.0000000000000007E-2</v>
      </c>
    </row>
    <row r="7270" spans="2:9">
      <c r="B7270" s="396">
        <v>95399</v>
      </c>
      <c r="C7270" s="401" t="s">
        <v>1994</v>
      </c>
      <c r="D7270" s="396" t="s">
        <v>36</v>
      </c>
      <c r="E7270" s="407">
        <f t="shared" si="226"/>
        <v>0.03</v>
      </c>
      <c r="F7270">
        <f t="shared" si="227"/>
        <v>95399</v>
      </c>
      <c r="H7270" s="678">
        <v>0.03</v>
      </c>
      <c r="I7270" s="678">
        <v>0.04</v>
      </c>
    </row>
    <row r="7271" spans="2:9">
      <c r="B7271" s="396">
        <v>95400</v>
      </c>
      <c r="C7271" s="401" t="s">
        <v>1995</v>
      </c>
      <c r="D7271" s="396" t="s">
        <v>36</v>
      </c>
      <c r="E7271" s="407">
        <f t="shared" si="226"/>
        <v>0.08</v>
      </c>
      <c r="F7271">
        <f t="shared" si="227"/>
        <v>95400</v>
      </c>
      <c r="H7271" s="678">
        <v>0.08</v>
      </c>
      <c r="I7271" s="678">
        <v>0.1</v>
      </c>
    </row>
    <row r="7272" spans="2:9">
      <c r="B7272" s="396">
        <v>95401</v>
      </c>
      <c r="C7272" s="401" t="s">
        <v>1996</v>
      </c>
      <c r="D7272" s="396" t="s">
        <v>36</v>
      </c>
      <c r="E7272" s="407">
        <f t="shared" si="226"/>
        <v>0.48</v>
      </c>
      <c r="F7272">
        <f t="shared" si="227"/>
        <v>95401</v>
      </c>
      <c r="H7272" s="678">
        <v>0.48</v>
      </c>
      <c r="I7272" s="678">
        <v>0.55000000000000004</v>
      </c>
    </row>
    <row r="7273" spans="2:9">
      <c r="B7273" s="396">
        <v>95402</v>
      </c>
      <c r="C7273" s="401" t="s">
        <v>1997</v>
      </c>
      <c r="D7273" s="396" t="s">
        <v>36</v>
      </c>
      <c r="E7273" s="407">
        <f t="shared" si="226"/>
        <v>1.4</v>
      </c>
      <c r="F7273">
        <f t="shared" si="227"/>
        <v>95402</v>
      </c>
      <c r="H7273" s="678">
        <v>1.4</v>
      </c>
      <c r="I7273" s="678">
        <v>1.61</v>
      </c>
    </row>
    <row r="7274" spans="2:9">
      <c r="B7274" s="396">
        <v>95403</v>
      </c>
      <c r="C7274" s="401" t="s">
        <v>1998</v>
      </c>
      <c r="D7274" s="396" t="s">
        <v>36</v>
      </c>
      <c r="E7274" s="407">
        <f t="shared" si="226"/>
        <v>1.6</v>
      </c>
      <c r="F7274">
        <f t="shared" si="227"/>
        <v>95403</v>
      </c>
      <c r="H7274" s="678">
        <v>1.6</v>
      </c>
      <c r="I7274" s="678">
        <v>1.84</v>
      </c>
    </row>
    <row r="7275" spans="2:9">
      <c r="B7275" s="396">
        <v>95404</v>
      </c>
      <c r="C7275" s="401" t="s">
        <v>1999</v>
      </c>
      <c r="D7275" s="396" t="s">
        <v>36</v>
      </c>
      <c r="E7275" s="407">
        <f t="shared" si="226"/>
        <v>2.1800000000000002</v>
      </c>
      <c r="F7275">
        <f t="shared" si="227"/>
        <v>95404</v>
      </c>
      <c r="H7275" s="678">
        <v>2.1800000000000002</v>
      </c>
      <c r="I7275" s="678">
        <v>2.5099999999999998</v>
      </c>
    </row>
    <row r="7276" spans="2:9">
      <c r="B7276" s="396">
        <v>95405</v>
      </c>
      <c r="C7276" s="401" t="s">
        <v>2000</v>
      </c>
      <c r="D7276" s="396" t="s">
        <v>36</v>
      </c>
      <c r="E7276" s="407">
        <f t="shared" si="226"/>
        <v>1.04</v>
      </c>
      <c r="F7276">
        <f t="shared" si="227"/>
        <v>95405</v>
      </c>
      <c r="H7276" s="678">
        <v>1.04</v>
      </c>
      <c r="I7276" s="678">
        <v>1.2</v>
      </c>
    </row>
    <row r="7277" spans="2:9">
      <c r="B7277" s="396">
        <v>95406</v>
      </c>
      <c r="C7277" s="401" t="s">
        <v>2001</v>
      </c>
      <c r="D7277" s="396" t="s">
        <v>36</v>
      </c>
      <c r="E7277" s="407">
        <f t="shared" si="226"/>
        <v>0.14000000000000001</v>
      </c>
      <c r="F7277">
        <f t="shared" si="227"/>
        <v>95406</v>
      </c>
      <c r="H7277" s="678">
        <v>0.14000000000000001</v>
      </c>
      <c r="I7277" s="678">
        <v>0.16</v>
      </c>
    </row>
    <row r="7278" spans="2:9">
      <c r="B7278" s="396">
        <v>95407</v>
      </c>
      <c r="C7278" s="401" t="s">
        <v>2002</v>
      </c>
      <c r="D7278" s="396" t="s">
        <v>36</v>
      </c>
      <c r="E7278" s="407">
        <f t="shared" si="226"/>
        <v>3.09</v>
      </c>
      <c r="F7278">
        <f t="shared" si="227"/>
        <v>95407</v>
      </c>
      <c r="H7278" s="678">
        <v>3.09</v>
      </c>
      <c r="I7278" s="678">
        <v>3.56</v>
      </c>
    </row>
    <row r="7279" spans="2:9">
      <c r="B7279" s="396">
        <v>95408</v>
      </c>
      <c r="C7279" s="401" t="s">
        <v>2003</v>
      </c>
      <c r="D7279" s="396" t="s">
        <v>32</v>
      </c>
      <c r="E7279" s="407">
        <f t="shared" si="226"/>
        <v>9.49</v>
      </c>
      <c r="F7279">
        <f t="shared" si="227"/>
        <v>95408</v>
      </c>
      <c r="H7279" s="678">
        <v>9.49</v>
      </c>
      <c r="I7279" s="678">
        <v>10.93</v>
      </c>
    </row>
    <row r="7280" spans="2:9">
      <c r="B7280" s="396">
        <v>95409</v>
      </c>
      <c r="C7280" s="401" t="s">
        <v>2004</v>
      </c>
      <c r="D7280" s="396" t="s">
        <v>32</v>
      </c>
      <c r="E7280" s="407">
        <f t="shared" si="226"/>
        <v>10.94</v>
      </c>
      <c r="F7280">
        <f t="shared" si="227"/>
        <v>95409</v>
      </c>
      <c r="H7280" s="678">
        <v>10.94</v>
      </c>
      <c r="I7280" s="678">
        <v>12.6</v>
      </c>
    </row>
    <row r="7281" spans="2:9">
      <c r="B7281" s="396">
        <v>95410</v>
      </c>
      <c r="C7281" s="401" t="s">
        <v>2005</v>
      </c>
      <c r="D7281" s="396" t="s">
        <v>32</v>
      </c>
      <c r="E7281" s="407">
        <f t="shared" si="226"/>
        <v>5.08</v>
      </c>
      <c r="F7281">
        <f t="shared" si="227"/>
        <v>95410</v>
      </c>
      <c r="H7281" s="678">
        <v>5.08</v>
      </c>
      <c r="I7281" s="678">
        <v>5.85</v>
      </c>
    </row>
    <row r="7282" spans="2:9">
      <c r="B7282" s="396">
        <v>95411</v>
      </c>
      <c r="C7282" s="401" t="s">
        <v>2006</v>
      </c>
      <c r="D7282" s="396" t="s">
        <v>32</v>
      </c>
      <c r="E7282" s="407">
        <f t="shared" si="226"/>
        <v>11.82</v>
      </c>
      <c r="F7282">
        <f t="shared" si="227"/>
        <v>95411</v>
      </c>
      <c r="H7282" s="678">
        <v>11.82</v>
      </c>
      <c r="I7282" s="678">
        <v>13.62</v>
      </c>
    </row>
    <row r="7283" spans="2:9">
      <c r="B7283" s="396">
        <v>95412</v>
      </c>
      <c r="C7283" s="401" t="s">
        <v>2007</v>
      </c>
      <c r="D7283" s="396" t="s">
        <v>32</v>
      </c>
      <c r="E7283" s="407">
        <f t="shared" si="226"/>
        <v>7.46</v>
      </c>
      <c r="F7283">
        <f t="shared" si="227"/>
        <v>95412</v>
      </c>
      <c r="H7283" s="678">
        <v>7.46</v>
      </c>
      <c r="I7283" s="678">
        <v>8.59</v>
      </c>
    </row>
    <row r="7284" spans="2:9">
      <c r="B7284" s="396">
        <v>95413</v>
      </c>
      <c r="C7284" s="401" t="s">
        <v>2008</v>
      </c>
      <c r="D7284" s="396" t="s">
        <v>32</v>
      </c>
      <c r="E7284" s="407">
        <f t="shared" si="226"/>
        <v>11.54</v>
      </c>
      <c r="F7284">
        <f t="shared" si="227"/>
        <v>95413</v>
      </c>
      <c r="H7284" s="678">
        <v>11.54</v>
      </c>
      <c r="I7284" s="678">
        <v>13.29</v>
      </c>
    </row>
    <row r="7285" spans="2:9">
      <c r="B7285" s="396">
        <v>95414</v>
      </c>
      <c r="C7285" s="401" t="s">
        <v>2009</v>
      </c>
      <c r="D7285" s="396" t="s">
        <v>32</v>
      </c>
      <c r="E7285" s="407">
        <f t="shared" si="226"/>
        <v>49.66</v>
      </c>
      <c r="F7285">
        <f t="shared" si="227"/>
        <v>95414</v>
      </c>
      <c r="H7285" s="678">
        <v>49.66</v>
      </c>
      <c r="I7285" s="678">
        <v>57.21</v>
      </c>
    </row>
    <row r="7286" spans="2:9">
      <c r="B7286" s="396">
        <v>95415</v>
      </c>
      <c r="C7286" s="401" t="s">
        <v>2010</v>
      </c>
      <c r="D7286" s="396" t="s">
        <v>32</v>
      </c>
      <c r="E7286" s="407">
        <f t="shared" si="226"/>
        <v>186.52</v>
      </c>
      <c r="F7286">
        <f t="shared" si="227"/>
        <v>95415</v>
      </c>
      <c r="H7286" s="678">
        <v>186.52</v>
      </c>
      <c r="I7286" s="678">
        <v>214.86</v>
      </c>
    </row>
    <row r="7287" spans="2:9">
      <c r="B7287" s="396">
        <v>95416</v>
      </c>
      <c r="C7287" s="401" t="s">
        <v>2011</v>
      </c>
      <c r="D7287" s="396" t="s">
        <v>32</v>
      </c>
      <c r="E7287" s="407">
        <f t="shared" si="226"/>
        <v>8.98</v>
      </c>
      <c r="F7287">
        <f t="shared" si="227"/>
        <v>95416</v>
      </c>
      <c r="H7287" s="678">
        <v>8.98</v>
      </c>
      <c r="I7287" s="678">
        <v>10.34</v>
      </c>
    </row>
    <row r="7288" spans="2:9">
      <c r="B7288" s="396">
        <v>95417</v>
      </c>
      <c r="C7288" s="401" t="s">
        <v>2012</v>
      </c>
      <c r="D7288" s="396" t="s">
        <v>32</v>
      </c>
      <c r="E7288" s="407">
        <f t="shared" si="226"/>
        <v>212.3</v>
      </c>
      <c r="F7288">
        <f t="shared" si="227"/>
        <v>95417</v>
      </c>
      <c r="H7288" s="678">
        <v>212.3</v>
      </c>
      <c r="I7288" s="678">
        <v>244.55</v>
      </c>
    </row>
    <row r="7289" spans="2:9">
      <c r="B7289" s="396">
        <v>95418</v>
      </c>
      <c r="C7289" s="401" t="s">
        <v>2013</v>
      </c>
      <c r="D7289" s="396" t="s">
        <v>32</v>
      </c>
      <c r="E7289" s="407">
        <f t="shared" si="226"/>
        <v>290.20999999999998</v>
      </c>
      <c r="F7289">
        <f t="shared" si="227"/>
        <v>95418</v>
      </c>
      <c r="H7289" s="678">
        <v>290.20999999999998</v>
      </c>
      <c r="I7289" s="678">
        <v>334.3</v>
      </c>
    </row>
    <row r="7290" spans="2:9">
      <c r="B7290" s="396">
        <v>95419</v>
      </c>
      <c r="C7290" s="401" t="s">
        <v>2014</v>
      </c>
      <c r="D7290" s="396" t="s">
        <v>32</v>
      </c>
      <c r="E7290" s="407">
        <f t="shared" si="226"/>
        <v>77.459999999999994</v>
      </c>
      <c r="F7290">
        <f t="shared" si="227"/>
        <v>95419</v>
      </c>
      <c r="H7290" s="678">
        <v>77.459999999999994</v>
      </c>
      <c r="I7290" s="678">
        <v>89.23</v>
      </c>
    </row>
    <row r="7291" spans="2:9">
      <c r="B7291" s="396">
        <v>95420</v>
      </c>
      <c r="C7291" s="401" t="s">
        <v>2015</v>
      </c>
      <c r="D7291" s="396" t="s">
        <v>32</v>
      </c>
      <c r="E7291" s="407">
        <f t="shared" si="226"/>
        <v>110.03</v>
      </c>
      <c r="F7291">
        <f t="shared" si="227"/>
        <v>95420</v>
      </c>
      <c r="H7291" s="678">
        <v>110.03</v>
      </c>
      <c r="I7291" s="678">
        <v>126.75</v>
      </c>
    </row>
    <row r="7292" spans="2:9">
      <c r="B7292" s="396">
        <v>95421</v>
      </c>
      <c r="C7292" s="401" t="s">
        <v>2016</v>
      </c>
      <c r="D7292" s="396" t="s">
        <v>32</v>
      </c>
      <c r="E7292" s="407">
        <f t="shared" si="226"/>
        <v>145.47</v>
      </c>
      <c r="F7292">
        <f t="shared" si="227"/>
        <v>95421</v>
      </c>
      <c r="H7292" s="678">
        <v>145.47</v>
      </c>
      <c r="I7292" s="678">
        <v>167.58</v>
      </c>
    </row>
    <row r="7293" spans="2:9">
      <c r="B7293" s="396">
        <v>95422</v>
      </c>
      <c r="C7293" s="401" t="s">
        <v>2017</v>
      </c>
      <c r="D7293" s="396" t="s">
        <v>32</v>
      </c>
      <c r="E7293" s="407">
        <f t="shared" si="226"/>
        <v>64.33</v>
      </c>
      <c r="F7293">
        <f t="shared" si="227"/>
        <v>95422</v>
      </c>
      <c r="H7293" s="678">
        <v>64.33</v>
      </c>
      <c r="I7293" s="678">
        <v>74.11</v>
      </c>
    </row>
    <row r="7294" spans="2:9">
      <c r="B7294" s="396">
        <v>95423</v>
      </c>
      <c r="C7294" s="401" t="s">
        <v>2018</v>
      </c>
      <c r="D7294" s="396" t="s">
        <v>32</v>
      </c>
      <c r="E7294" s="407">
        <f t="shared" si="226"/>
        <v>138.85</v>
      </c>
      <c r="F7294">
        <f t="shared" si="227"/>
        <v>95423</v>
      </c>
      <c r="H7294">
        <v>138.85</v>
      </c>
      <c r="I7294">
        <v>159.94999999999999</v>
      </c>
    </row>
    <row r="7295" spans="2:9">
      <c r="B7295" s="396">
        <v>95424</v>
      </c>
      <c r="C7295" s="401" t="s">
        <v>2019</v>
      </c>
      <c r="D7295" s="396" t="s">
        <v>32</v>
      </c>
      <c r="E7295" s="407">
        <f t="shared" si="226"/>
        <v>18.86</v>
      </c>
      <c r="F7295">
        <f t="shared" si="227"/>
        <v>95424</v>
      </c>
      <c r="H7295">
        <v>18.86</v>
      </c>
      <c r="I7295">
        <v>21.73</v>
      </c>
    </row>
    <row r="7296" spans="2:9">
      <c r="B7296" s="396">
        <v>100288</v>
      </c>
      <c r="C7296" s="401" t="s">
        <v>3346</v>
      </c>
      <c r="D7296" s="396" t="s">
        <v>36</v>
      </c>
      <c r="E7296" s="407">
        <f t="shared" si="226"/>
        <v>0.06</v>
      </c>
      <c r="F7296">
        <f t="shared" si="227"/>
        <v>100288</v>
      </c>
      <c r="H7296">
        <v>0.06</v>
      </c>
      <c r="I7296">
        <v>7.0000000000000007E-2</v>
      </c>
    </row>
    <row r="7297" spans="2:9">
      <c r="B7297" s="396">
        <v>100289</v>
      </c>
      <c r="C7297" s="401" t="s">
        <v>3347</v>
      </c>
      <c r="D7297" s="396" t="s">
        <v>36</v>
      </c>
      <c r="E7297" s="407">
        <f t="shared" si="226"/>
        <v>17.21</v>
      </c>
      <c r="F7297">
        <f t="shared" si="227"/>
        <v>100289</v>
      </c>
      <c r="H7297">
        <v>17.21</v>
      </c>
      <c r="I7297">
        <v>19.05</v>
      </c>
    </row>
    <row r="7298" spans="2:9">
      <c r="B7298" s="396">
        <v>100290</v>
      </c>
      <c r="C7298" s="401" t="s">
        <v>3348</v>
      </c>
      <c r="D7298" s="396" t="s">
        <v>36</v>
      </c>
      <c r="E7298" s="407">
        <f t="shared" si="226"/>
        <v>7.0000000000000007E-2</v>
      </c>
      <c r="F7298">
        <f t="shared" si="227"/>
        <v>100290</v>
      </c>
      <c r="H7298">
        <v>7.0000000000000007E-2</v>
      </c>
      <c r="I7298">
        <v>0.08</v>
      </c>
    </row>
    <row r="7299" spans="2:9">
      <c r="B7299" s="396">
        <v>100291</v>
      </c>
      <c r="C7299" s="401" t="s">
        <v>3349</v>
      </c>
      <c r="D7299" s="396" t="s">
        <v>36</v>
      </c>
      <c r="E7299" s="407">
        <f t="shared" ref="E7299:E7362" si="228">IF($K$2=$H$1,H7299,I7299)</f>
        <v>0.2</v>
      </c>
      <c r="F7299">
        <f t="shared" si="227"/>
        <v>100291</v>
      </c>
      <c r="H7299">
        <v>0.2</v>
      </c>
      <c r="I7299">
        <v>0.23</v>
      </c>
    </row>
    <row r="7300" spans="2:9">
      <c r="B7300" s="396">
        <v>100292</v>
      </c>
      <c r="C7300" s="401" t="s">
        <v>3350</v>
      </c>
      <c r="D7300" s="396" t="s">
        <v>36</v>
      </c>
      <c r="E7300" s="407">
        <f t="shared" si="228"/>
        <v>0.71</v>
      </c>
      <c r="F7300">
        <f t="shared" ref="F7300:F7363" si="229">IF(LEN($B7300)=7,CONCATENATE(MID($B7300,1,6),"00",RIGHT($B7300,1)),IF(LEN($B7300)=8,CONCATENATE(MID($B7300,1,6),"0",RIGHT($B7300,2)),$B7300))</f>
        <v>100292</v>
      </c>
      <c r="H7300">
        <v>0.71</v>
      </c>
      <c r="I7300">
        <v>0.81</v>
      </c>
    </row>
    <row r="7301" spans="2:9">
      <c r="B7301" s="396">
        <v>100293</v>
      </c>
      <c r="C7301" s="401" t="s">
        <v>3351</v>
      </c>
      <c r="D7301" s="396" t="s">
        <v>36</v>
      </c>
      <c r="E7301" s="407">
        <f t="shared" si="228"/>
        <v>0.18</v>
      </c>
      <c r="F7301">
        <f t="shared" si="229"/>
        <v>100293</v>
      </c>
      <c r="H7301">
        <v>0.18</v>
      </c>
      <c r="I7301">
        <v>0.21</v>
      </c>
    </row>
    <row r="7302" spans="2:9">
      <c r="B7302" s="396">
        <v>100294</v>
      </c>
      <c r="C7302" s="401" t="s">
        <v>3352</v>
      </c>
      <c r="D7302" s="396" t="s">
        <v>36</v>
      </c>
      <c r="E7302" s="407">
        <f t="shared" si="228"/>
        <v>0.33</v>
      </c>
      <c r="F7302">
        <f t="shared" si="229"/>
        <v>100294</v>
      </c>
      <c r="H7302">
        <v>0.33</v>
      </c>
      <c r="I7302">
        <v>0.38</v>
      </c>
    </row>
    <row r="7303" spans="2:9">
      <c r="B7303" s="396">
        <v>100295</v>
      </c>
      <c r="C7303" s="401" t="s">
        <v>3353</v>
      </c>
      <c r="D7303" s="396" t="s">
        <v>36</v>
      </c>
      <c r="E7303" s="407">
        <f t="shared" si="228"/>
        <v>0.46</v>
      </c>
      <c r="F7303">
        <f t="shared" si="229"/>
        <v>100295</v>
      </c>
      <c r="H7303">
        <v>0.46</v>
      </c>
      <c r="I7303">
        <v>0.53</v>
      </c>
    </row>
    <row r="7304" spans="2:9">
      <c r="B7304" s="396">
        <v>100296</v>
      </c>
      <c r="C7304" s="401" t="s">
        <v>3354</v>
      </c>
      <c r="D7304" s="396" t="s">
        <v>36</v>
      </c>
      <c r="E7304" s="407">
        <f t="shared" si="228"/>
        <v>1.1100000000000001</v>
      </c>
      <c r="F7304">
        <f t="shared" si="229"/>
        <v>100296</v>
      </c>
      <c r="H7304">
        <v>1.1100000000000001</v>
      </c>
      <c r="I7304">
        <v>1.28</v>
      </c>
    </row>
    <row r="7305" spans="2:9">
      <c r="B7305" s="396">
        <v>100297</v>
      </c>
      <c r="C7305" s="401" t="s">
        <v>3355</v>
      </c>
      <c r="D7305" s="396" t="s">
        <v>36</v>
      </c>
      <c r="E7305" s="407">
        <f t="shared" si="228"/>
        <v>1.25</v>
      </c>
      <c r="F7305">
        <f t="shared" si="229"/>
        <v>100297</v>
      </c>
      <c r="H7305">
        <v>1.25</v>
      </c>
      <c r="I7305">
        <v>1.44</v>
      </c>
    </row>
    <row r="7306" spans="2:9">
      <c r="B7306" s="396">
        <v>100298</v>
      </c>
      <c r="C7306" s="401" t="s">
        <v>3356</v>
      </c>
      <c r="D7306" s="396" t="s">
        <v>36</v>
      </c>
      <c r="E7306" s="407">
        <f t="shared" si="228"/>
        <v>0.52</v>
      </c>
      <c r="F7306">
        <f t="shared" si="229"/>
        <v>100298</v>
      </c>
      <c r="H7306">
        <v>0.52</v>
      </c>
      <c r="I7306">
        <v>0.59</v>
      </c>
    </row>
    <row r="7307" spans="2:9">
      <c r="B7307" s="396">
        <v>100299</v>
      </c>
      <c r="C7307" s="401" t="s">
        <v>3357</v>
      </c>
      <c r="D7307" s="396" t="s">
        <v>36</v>
      </c>
      <c r="E7307" s="407">
        <f t="shared" si="228"/>
        <v>0.41</v>
      </c>
      <c r="F7307">
        <f t="shared" si="229"/>
        <v>100299</v>
      </c>
      <c r="H7307">
        <v>0.41</v>
      </c>
      <c r="I7307">
        <v>0.48</v>
      </c>
    </row>
    <row r="7308" spans="2:9">
      <c r="B7308" s="396">
        <v>100300</v>
      </c>
      <c r="C7308" s="401" t="s">
        <v>3358</v>
      </c>
      <c r="D7308" s="396" t="s">
        <v>36</v>
      </c>
      <c r="E7308" s="407">
        <f t="shared" si="228"/>
        <v>15.2</v>
      </c>
      <c r="F7308">
        <f t="shared" si="229"/>
        <v>100300</v>
      </c>
      <c r="H7308">
        <v>15.2</v>
      </c>
      <c r="I7308">
        <v>17.190000000000001</v>
      </c>
    </row>
    <row r="7309" spans="2:9">
      <c r="B7309" s="396">
        <v>100301</v>
      </c>
      <c r="C7309" s="401" t="s">
        <v>3359</v>
      </c>
      <c r="D7309" s="396" t="s">
        <v>36</v>
      </c>
      <c r="E7309" s="407">
        <f t="shared" si="228"/>
        <v>19.84</v>
      </c>
      <c r="F7309">
        <f t="shared" si="229"/>
        <v>100301</v>
      </c>
      <c r="H7309">
        <v>19.84</v>
      </c>
      <c r="I7309">
        <v>21.85</v>
      </c>
    </row>
    <row r="7310" spans="2:9">
      <c r="B7310" s="396">
        <v>100302</v>
      </c>
      <c r="C7310" s="401" t="s">
        <v>3360</v>
      </c>
      <c r="D7310" s="396" t="s">
        <v>36</v>
      </c>
      <c r="E7310" s="407">
        <f t="shared" si="228"/>
        <v>135.68</v>
      </c>
      <c r="F7310">
        <f t="shared" si="229"/>
        <v>100302</v>
      </c>
      <c r="H7310">
        <v>135.68</v>
      </c>
      <c r="I7310">
        <v>155.80000000000001</v>
      </c>
    </row>
    <row r="7311" spans="2:9">
      <c r="B7311" s="396">
        <v>100303</v>
      </c>
      <c r="C7311" s="401" t="s">
        <v>3361</v>
      </c>
      <c r="D7311" s="396" t="s">
        <v>36</v>
      </c>
      <c r="E7311" s="407">
        <f t="shared" si="228"/>
        <v>17.46</v>
      </c>
      <c r="F7311">
        <f t="shared" si="229"/>
        <v>100303</v>
      </c>
      <c r="H7311">
        <v>17.46</v>
      </c>
      <c r="I7311">
        <v>19.309999999999999</v>
      </c>
    </row>
    <row r="7312" spans="2:9">
      <c r="B7312" s="396">
        <v>100304</v>
      </c>
      <c r="C7312" s="401" t="s">
        <v>3362</v>
      </c>
      <c r="D7312" s="396" t="s">
        <v>36</v>
      </c>
      <c r="E7312" s="407">
        <f t="shared" si="228"/>
        <v>65.42</v>
      </c>
      <c r="F7312">
        <f t="shared" si="229"/>
        <v>100304</v>
      </c>
      <c r="H7312">
        <v>65.42</v>
      </c>
      <c r="I7312">
        <v>74.98</v>
      </c>
    </row>
    <row r="7313" spans="2:9">
      <c r="B7313" s="396">
        <v>100305</v>
      </c>
      <c r="C7313" s="401" t="s">
        <v>3363</v>
      </c>
      <c r="D7313" s="396" t="s">
        <v>36</v>
      </c>
      <c r="E7313" s="407">
        <f t="shared" si="228"/>
        <v>95.12</v>
      </c>
      <c r="F7313">
        <f t="shared" si="229"/>
        <v>100305</v>
      </c>
      <c r="H7313">
        <v>95.12</v>
      </c>
      <c r="I7313">
        <v>109.15</v>
      </c>
    </row>
    <row r="7314" spans="2:9">
      <c r="B7314" s="396">
        <v>100306</v>
      </c>
      <c r="C7314" s="401" t="s">
        <v>3364</v>
      </c>
      <c r="D7314" s="396" t="s">
        <v>36</v>
      </c>
      <c r="E7314" s="407">
        <f t="shared" si="228"/>
        <v>107.06</v>
      </c>
      <c r="F7314">
        <f t="shared" si="229"/>
        <v>100306</v>
      </c>
      <c r="H7314">
        <v>107.06</v>
      </c>
      <c r="I7314">
        <v>122.89</v>
      </c>
    </row>
    <row r="7315" spans="2:9">
      <c r="B7315" s="396">
        <v>100307</v>
      </c>
      <c r="C7315" s="401" t="s">
        <v>3365</v>
      </c>
      <c r="D7315" s="396" t="s">
        <v>36</v>
      </c>
      <c r="E7315" s="407">
        <f t="shared" si="228"/>
        <v>19.899999999999999</v>
      </c>
      <c r="F7315">
        <f t="shared" si="229"/>
        <v>100307</v>
      </c>
      <c r="H7315">
        <v>19.899999999999999</v>
      </c>
      <c r="I7315">
        <v>22.11</v>
      </c>
    </row>
    <row r="7316" spans="2:9">
      <c r="B7316" s="396">
        <v>100308</v>
      </c>
      <c r="C7316" s="401" t="s">
        <v>3366</v>
      </c>
      <c r="D7316" s="396" t="s">
        <v>36</v>
      </c>
      <c r="E7316" s="407">
        <f t="shared" si="228"/>
        <v>23.62</v>
      </c>
      <c r="F7316">
        <f t="shared" si="229"/>
        <v>100308</v>
      </c>
      <c r="H7316">
        <v>23.62</v>
      </c>
      <c r="I7316">
        <v>26.39</v>
      </c>
    </row>
    <row r="7317" spans="2:9">
      <c r="B7317" s="396">
        <v>100309</v>
      </c>
      <c r="C7317" s="401" t="s">
        <v>3374</v>
      </c>
      <c r="D7317" s="396" t="s">
        <v>36</v>
      </c>
      <c r="E7317" s="407">
        <f t="shared" si="228"/>
        <v>24.6</v>
      </c>
      <c r="F7317">
        <f t="shared" si="229"/>
        <v>100309</v>
      </c>
      <c r="H7317">
        <v>24.6</v>
      </c>
      <c r="I7317">
        <v>28.01</v>
      </c>
    </row>
    <row r="7318" spans="2:9">
      <c r="B7318" s="396">
        <v>100310</v>
      </c>
      <c r="C7318" s="401" t="s">
        <v>3367</v>
      </c>
      <c r="D7318" s="396" t="s">
        <v>32</v>
      </c>
      <c r="E7318" s="407">
        <f t="shared" si="228"/>
        <v>9.2899999999999991</v>
      </c>
      <c r="F7318">
        <f t="shared" si="229"/>
        <v>100310</v>
      </c>
      <c r="H7318">
        <v>9.2899999999999991</v>
      </c>
      <c r="I7318">
        <v>10.71</v>
      </c>
    </row>
    <row r="7319" spans="2:9">
      <c r="B7319" s="396">
        <v>100311</v>
      </c>
      <c r="C7319" s="401" t="s">
        <v>3368</v>
      </c>
      <c r="D7319" s="396" t="s">
        <v>32</v>
      </c>
      <c r="E7319" s="407">
        <f t="shared" si="228"/>
        <v>94.26</v>
      </c>
      <c r="F7319">
        <f t="shared" si="229"/>
        <v>100311</v>
      </c>
      <c r="H7319">
        <v>94.26</v>
      </c>
      <c r="I7319">
        <v>108.59</v>
      </c>
    </row>
    <row r="7320" spans="2:9">
      <c r="B7320" s="396">
        <v>100312</v>
      </c>
      <c r="C7320" s="401" t="s">
        <v>3369</v>
      </c>
      <c r="D7320" s="396" t="s">
        <v>32</v>
      </c>
      <c r="E7320" s="407">
        <f t="shared" si="228"/>
        <v>115.56</v>
      </c>
      <c r="F7320">
        <f t="shared" si="229"/>
        <v>100312</v>
      </c>
      <c r="H7320">
        <v>115.56</v>
      </c>
      <c r="I7320">
        <v>133.12</v>
      </c>
    </row>
    <row r="7321" spans="2:9">
      <c r="B7321" s="396">
        <v>100313</v>
      </c>
      <c r="C7321" s="401" t="s">
        <v>3370</v>
      </c>
      <c r="D7321" s="396" t="s">
        <v>32</v>
      </c>
      <c r="E7321" s="407">
        <f t="shared" si="228"/>
        <v>147.85</v>
      </c>
      <c r="F7321">
        <f t="shared" si="229"/>
        <v>100313</v>
      </c>
      <c r="H7321">
        <v>147.85</v>
      </c>
      <c r="I7321">
        <v>170.32</v>
      </c>
    </row>
    <row r="7322" spans="2:9">
      <c r="B7322" s="396">
        <v>100314</v>
      </c>
      <c r="C7322" s="401" t="s">
        <v>3371</v>
      </c>
      <c r="D7322" s="396" t="s">
        <v>32</v>
      </c>
      <c r="E7322" s="407">
        <f t="shared" si="228"/>
        <v>166.81</v>
      </c>
      <c r="F7322">
        <f t="shared" si="229"/>
        <v>100314</v>
      </c>
      <c r="H7322" s="678">
        <v>166.81</v>
      </c>
      <c r="I7322" s="678">
        <v>192.15</v>
      </c>
    </row>
    <row r="7323" spans="2:9">
      <c r="B7323" s="396">
        <v>100315</v>
      </c>
      <c r="C7323" s="401" t="s">
        <v>3372</v>
      </c>
      <c r="D7323" s="396" t="s">
        <v>32</v>
      </c>
      <c r="E7323" s="407">
        <f t="shared" si="228"/>
        <v>55.51</v>
      </c>
      <c r="F7323">
        <f t="shared" si="229"/>
        <v>100315</v>
      </c>
      <c r="H7323" s="678">
        <v>55.51</v>
      </c>
      <c r="I7323" s="678">
        <v>63.94</v>
      </c>
    </row>
    <row r="7324" spans="2:9">
      <c r="B7324" s="396">
        <v>100316</v>
      </c>
      <c r="C7324" s="401" t="s">
        <v>3358</v>
      </c>
      <c r="D7324" s="396" t="s">
        <v>32</v>
      </c>
      <c r="E7324" s="407">
        <f t="shared" si="228"/>
        <v>2702.46</v>
      </c>
      <c r="F7324">
        <f t="shared" si="229"/>
        <v>100316</v>
      </c>
      <c r="H7324" s="678">
        <v>2702.46</v>
      </c>
      <c r="I7324" s="678">
        <v>3055.38</v>
      </c>
    </row>
    <row r="7325" spans="2:9">
      <c r="B7325" s="396">
        <v>100317</v>
      </c>
      <c r="C7325" s="401" t="s">
        <v>3373</v>
      </c>
      <c r="D7325" s="396" t="s">
        <v>32</v>
      </c>
      <c r="E7325" s="407">
        <f t="shared" si="228"/>
        <v>23908.639999999999</v>
      </c>
      <c r="F7325">
        <f t="shared" si="229"/>
        <v>100317</v>
      </c>
      <c r="H7325" s="678">
        <v>23908.639999999999</v>
      </c>
      <c r="I7325" s="678">
        <v>27485.98</v>
      </c>
    </row>
    <row r="7326" spans="2:9">
      <c r="B7326" s="396">
        <v>100318</v>
      </c>
      <c r="C7326" s="401" t="s">
        <v>3362</v>
      </c>
      <c r="D7326" s="396" t="s">
        <v>32</v>
      </c>
      <c r="E7326" s="407">
        <f t="shared" si="228"/>
        <v>11613.85</v>
      </c>
      <c r="F7326">
        <f t="shared" si="229"/>
        <v>100318</v>
      </c>
      <c r="H7326" s="678">
        <v>11613.85</v>
      </c>
      <c r="I7326" s="678">
        <v>13323.1</v>
      </c>
    </row>
    <row r="7327" spans="2:9">
      <c r="B7327" s="396">
        <v>100319</v>
      </c>
      <c r="C7327" s="401" t="s">
        <v>3363</v>
      </c>
      <c r="D7327" s="396" t="s">
        <v>32</v>
      </c>
      <c r="E7327" s="407">
        <f t="shared" si="228"/>
        <v>16742.509999999998</v>
      </c>
      <c r="F7327">
        <f t="shared" si="229"/>
        <v>100319</v>
      </c>
      <c r="H7327" s="678">
        <v>16742.509999999998</v>
      </c>
      <c r="I7327" s="678">
        <v>19231.02</v>
      </c>
    </row>
    <row r="7328" spans="2:9">
      <c r="B7328" s="396">
        <v>100320</v>
      </c>
      <c r="C7328" s="401" t="s">
        <v>3364</v>
      </c>
      <c r="D7328" s="396" t="s">
        <v>32</v>
      </c>
      <c r="E7328" s="407">
        <f t="shared" si="228"/>
        <v>18842.16</v>
      </c>
      <c r="F7328">
        <f t="shared" si="229"/>
        <v>100320</v>
      </c>
      <c r="H7328" s="678">
        <v>18842.16</v>
      </c>
      <c r="I7328" s="678">
        <v>21649.67</v>
      </c>
    </row>
    <row r="7329" spans="2:9">
      <c r="B7329" s="396">
        <v>100321</v>
      </c>
      <c r="C7329" s="401" t="s">
        <v>3374</v>
      </c>
      <c r="D7329" s="396" t="s">
        <v>32</v>
      </c>
      <c r="E7329" s="407">
        <f t="shared" si="228"/>
        <v>4344.46</v>
      </c>
      <c r="F7329">
        <f t="shared" si="229"/>
        <v>100321</v>
      </c>
      <c r="H7329" s="678">
        <v>4344.46</v>
      </c>
      <c r="I7329" s="678">
        <v>4946.8599999999997</v>
      </c>
    </row>
    <row r="7330" spans="2:9">
      <c r="B7330" s="396">
        <v>100533</v>
      </c>
      <c r="C7330" s="401" t="s">
        <v>3547</v>
      </c>
      <c r="D7330" s="396" t="s">
        <v>36</v>
      </c>
      <c r="E7330" s="407">
        <f t="shared" si="228"/>
        <v>15.06</v>
      </c>
      <c r="F7330">
        <f t="shared" si="229"/>
        <v>100533</v>
      </c>
      <c r="H7330" s="678">
        <v>15.06</v>
      </c>
      <c r="I7330" s="678">
        <v>17.03</v>
      </c>
    </row>
    <row r="7331" spans="2:9">
      <c r="B7331" s="396">
        <v>100534</v>
      </c>
      <c r="C7331" s="401" t="s">
        <v>3547</v>
      </c>
      <c r="D7331" s="396" t="s">
        <v>32</v>
      </c>
      <c r="E7331" s="407">
        <f t="shared" si="228"/>
        <v>2680.57</v>
      </c>
      <c r="F7331">
        <f t="shared" si="229"/>
        <v>100534</v>
      </c>
      <c r="H7331" s="678">
        <v>2680.57</v>
      </c>
      <c r="I7331" s="678">
        <v>3030.16</v>
      </c>
    </row>
    <row r="7332" spans="2:9">
      <c r="B7332" s="396">
        <v>100535</v>
      </c>
      <c r="C7332" s="401" t="s">
        <v>3548</v>
      </c>
      <c r="D7332" s="396" t="s">
        <v>36</v>
      </c>
      <c r="E7332" s="407">
        <f t="shared" si="228"/>
        <v>0.24</v>
      </c>
      <c r="F7332">
        <f t="shared" si="229"/>
        <v>100535</v>
      </c>
      <c r="H7332" s="678">
        <v>0.24</v>
      </c>
      <c r="I7332" s="678">
        <v>0.27</v>
      </c>
    </row>
    <row r="7333" spans="2:9">
      <c r="B7333" s="396">
        <v>100536</v>
      </c>
      <c r="C7333" s="401" t="s">
        <v>3549</v>
      </c>
      <c r="D7333" s="396" t="s">
        <v>32</v>
      </c>
      <c r="E7333" s="407">
        <f t="shared" si="228"/>
        <v>32.21</v>
      </c>
      <c r="F7333">
        <f t="shared" si="229"/>
        <v>100536</v>
      </c>
      <c r="H7333" s="678">
        <v>32.21</v>
      </c>
      <c r="I7333" s="678">
        <v>37.1</v>
      </c>
    </row>
    <row r="7334" spans="2:9">
      <c r="B7334" s="396">
        <v>101284</v>
      </c>
      <c r="C7334" s="401" t="s">
        <v>4157</v>
      </c>
      <c r="D7334" s="396" t="s">
        <v>36</v>
      </c>
      <c r="E7334" s="407">
        <f t="shared" si="228"/>
        <v>1.72</v>
      </c>
      <c r="F7334">
        <f t="shared" si="229"/>
        <v>101284</v>
      </c>
      <c r="H7334" s="678">
        <v>1.72</v>
      </c>
      <c r="I7334" s="678">
        <v>1.98</v>
      </c>
    </row>
    <row r="7335" spans="2:9">
      <c r="B7335" s="396">
        <v>101285</v>
      </c>
      <c r="C7335" s="401" t="s">
        <v>4158</v>
      </c>
      <c r="D7335" s="396" t="s">
        <v>36</v>
      </c>
      <c r="E7335" s="407">
        <f t="shared" si="228"/>
        <v>0.45</v>
      </c>
      <c r="F7335">
        <f t="shared" si="229"/>
        <v>101285</v>
      </c>
      <c r="H7335" s="678">
        <v>0.45</v>
      </c>
      <c r="I7335" s="678">
        <v>0.52</v>
      </c>
    </row>
    <row r="7336" spans="2:9">
      <c r="B7336" s="396">
        <v>101286</v>
      </c>
      <c r="C7336" s="401" t="s">
        <v>4159</v>
      </c>
      <c r="D7336" s="396" t="s">
        <v>32</v>
      </c>
      <c r="E7336" s="407">
        <f t="shared" si="228"/>
        <v>19.46</v>
      </c>
      <c r="F7336">
        <f t="shared" si="229"/>
        <v>101286</v>
      </c>
      <c r="H7336" s="678">
        <v>19.46</v>
      </c>
      <c r="I7336" s="678">
        <v>22.41</v>
      </c>
    </row>
    <row r="7337" spans="2:9">
      <c r="B7337" s="396">
        <v>101287</v>
      </c>
      <c r="C7337" s="401" t="s">
        <v>4160</v>
      </c>
      <c r="D7337" s="396" t="s">
        <v>32</v>
      </c>
      <c r="E7337" s="407">
        <f t="shared" si="228"/>
        <v>68.22</v>
      </c>
      <c r="F7337">
        <f t="shared" si="229"/>
        <v>101287</v>
      </c>
      <c r="H7337" s="678">
        <v>68.22</v>
      </c>
      <c r="I7337" s="678">
        <v>78.58</v>
      </c>
    </row>
    <row r="7338" spans="2:9">
      <c r="B7338" s="396">
        <v>101288</v>
      </c>
      <c r="C7338" s="401" t="s">
        <v>4161</v>
      </c>
      <c r="D7338" s="396" t="s">
        <v>32</v>
      </c>
      <c r="E7338" s="407">
        <f t="shared" si="228"/>
        <v>13.98</v>
      </c>
      <c r="F7338">
        <f t="shared" si="229"/>
        <v>101288</v>
      </c>
      <c r="H7338" s="678">
        <v>13.98</v>
      </c>
      <c r="I7338" s="678">
        <v>16.100000000000001</v>
      </c>
    </row>
    <row r="7339" spans="2:9">
      <c r="B7339" s="396">
        <v>101289</v>
      </c>
      <c r="C7339" s="401" t="s">
        <v>4162</v>
      </c>
      <c r="D7339" s="396" t="s">
        <v>32</v>
      </c>
      <c r="E7339" s="407">
        <f t="shared" si="228"/>
        <v>19.46</v>
      </c>
      <c r="F7339">
        <f t="shared" si="229"/>
        <v>101289</v>
      </c>
      <c r="H7339" s="678">
        <v>19.46</v>
      </c>
      <c r="I7339" s="678">
        <v>22.41</v>
      </c>
    </row>
    <row r="7340" spans="2:9">
      <c r="B7340" s="396">
        <v>101290</v>
      </c>
      <c r="C7340" s="401" t="s">
        <v>4163</v>
      </c>
      <c r="D7340" s="396" t="s">
        <v>32</v>
      </c>
      <c r="E7340" s="407">
        <f t="shared" si="228"/>
        <v>26.97</v>
      </c>
      <c r="F7340">
        <f t="shared" si="229"/>
        <v>101290</v>
      </c>
      <c r="H7340" s="678">
        <v>26.97</v>
      </c>
      <c r="I7340" s="678">
        <v>31.07</v>
      </c>
    </row>
    <row r="7341" spans="2:9">
      <c r="B7341" s="396">
        <v>101291</v>
      </c>
      <c r="C7341" s="401" t="s">
        <v>4164</v>
      </c>
      <c r="D7341" s="396" t="s">
        <v>32</v>
      </c>
      <c r="E7341" s="407">
        <f t="shared" si="228"/>
        <v>21.07</v>
      </c>
      <c r="F7341">
        <f t="shared" si="229"/>
        <v>101291</v>
      </c>
      <c r="H7341" s="678">
        <v>21.07</v>
      </c>
      <c r="I7341" s="678">
        <v>24.27</v>
      </c>
    </row>
    <row r="7342" spans="2:9">
      <c r="B7342" s="396">
        <v>101292</v>
      </c>
      <c r="C7342" s="401" t="s">
        <v>4165</v>
      </c>
      <c r="D7342" s="396" t="s">
        <v>32</v>
      </c>
      <c r="E7342" s="407">
        <f t="shared" si="228"/>
        <v>21.09</v>
      </c>
      <c r="F7342">
        <f t="shared" si="229"/>
        <v>101292</v>
      </c>
      <c r="H7342" s="678">
        <v>21.09</v>
      </c>
      <c r="I7342" s="678">
        <v>24.29</v>
      </c>
    </row>
    <row r="7343" spans="2:9">
      <c r="B7343" s="396">
        <v>101293</v>
      </c>
      <c r="C7343" s="401" t="s">
        <v>4166</v>
      </c>
      <c r="D7343" s="396" t="s">
        <v>32</v>
      </c>
      <c r="E7343" s="407">
        <f t="shared" si="228"/>
        <v>26.15</v>
      </c>
      <c r="F7343">
        <f t="shared" si="229"/>
        <v>101293</v>
      </c>
      <c r="H7343" s="678">
        <v>26.15</v>
      </c>
      <c r="I7343" s="678">
        <v>30.13</v>
      </c>
    </row>
    <row r="7344" spans="2:9">
      <c r="B7344" s="396">
        <v>101294</v>
      </c>
      <c r="C7344" s="401" t="s">
        <v>4167</v>
      </c>
      <c r="D7344" s="396" t="s">
        <v>32</v>
      </c>
      <c r="E7344" s="407">
        <f t="shared" si="228"/>
        <v>29.07</v>
      </c>
      <c r="F7344">
        <f t="shared" si="229"/>
        <v>101294</v>
      </c>
      <c r="H7344" s="678">
        <v>29.07</v>
      </c>
      <c r="I7344" s="678">
        <v>33.49</v>
      </c>
    </row>
    <row r="7345" spans="2:9">
      <c r="B7345" s="396">
        <v>101295</v>
      </c>
      <c r="C7345" s="401" t="s">
        <v>4168</v>
      </c>
      <c r="D7345" s="396" t="s">
        <v>32</v>
      </c>
      <c r="E7345" s="407">
        <f t="shared" si="228"/>
        <v>24.9</v>
      </c>
      <c r="F7345">
        <f t="shared" si="229"/>
        <v>101295</v>
      </c>
      <c r="H7345" s="678">
        <v>24.9</v>
      </c>
      <c r="I7345" s="678">
        <v>28.69</v>
      </c>
    </row>
    <row r="7346" spans="2:9" ht="30">
      <c r="B7346" s="396">
        <v>101296</v>
      </c>
      <c r="C7346" s="401" t="s">
        <v>4169</v>
      </c>
      <c r="D7346" s="396" t="s">
        <v>32</v>
      </c>
      <c r="E7346" s="407">
        <f t="shared" si="228"/>
        <v>32.869999999999997</v>
      </c>
      <c r="F7346">
        <f t="shared" si="229"/>
        <v>101296</v>
      </c>
      <c r="H7346" s="678">
        <v>32.869999999999997</v>
      </c>
      <c r="I7346" s="678">
        <v>37.86</v>
      </c>
    </row>
    <row r="7347" spans="2:9">
      <c r="B7347" s="396">
        <v>101297</v>
      </c>
      <c r="C7347" s="401" t="s">
        <v>4170</v>
      </c>
      <c r="D7347" s="396" t="s">
        <v>32</v>
      </c>
      <c r="E7347" s="407">
        <f t="shared" si="228"/>
        <v>23.57</v>
      </c>
      <c r="F7347">
        <f t="shared" si="229"/>
        <v>101297</v>
      </c>
      <c r="H7347" s="678">
        <v>23.57</v>
      </c>
      <c r="I7347" s="678">
        <v>27.16</v>
      </c>
    </row>
    <row r="7348" spans="2:9">
      <c r="B7348" s="396">
        <v>101298</v>
      </c>
      <c r="C7348" s="401" t="s">
        <v>4171</v>
      </c>
      <c r="D7348" s="396" t="s">
        <v>32</v>
      </c>
      <c r="E7348" s="407">
        <f t="shared" si="228"/>
        <v>16.95</v>
      </c>
      <c r="F7348">
        <f t="shared" si="229"/>
        <v>101298</v>
      </c>
      <c r="H7348" s="678">
        <v>16.95</v>
      </c>
      <c r="I7348" s="678">
        <v>19.53</v>
      </c>
    </row>
    <row r="7349" spans="2:9">
      <c r="B7349" s="396">
        <v>101299</v>
      </c>
      <c r="C7349" s="401" t="s">
        <v>4172</v>
      </c>
      <c r="D7349" s="396" t="s">
        <v>32</v>
      </c>
      <c r="E7349" s="407">
        <f t="shared" si="228"/>
        <v>24.9</v>
      </c>
      <c r="F7349">
        <f t="shared" si="229"/>
        <v>101299</v>
      </c>
      <c r="H7349" s="678">
        <v>24.9</v>
      </c>
      <c r="I7349" s="678">
        <v>28.69</v>
      </c>
    </row>
    <row r="7350" spans="2:9">
      <c r="B7350" s="396">
        <v>101300</v>
      </c>
      <c r="C7350" s="401" t="s">
        <v>4173</v>
      </c>
      <c r="D7350" s="396" t="s">
        <v>32</v>
      </c>
      <c r="E7350" s="407">
        <f t="shared" si="228"/>
        <v>19.489999999999998</v>
      </c>
      <c r="F7350">
        <f t="shared" si="229"/>
        <v>101300</v>
      </c>
      <c r="H7350" s="678">
        <v>19.489999999999998</v>
      </c>
      <c r="I7350" s="678">
        <v>22.45</v>
      </c>
    </row>
    <row r="7351" spans="2:9">
      <c r="B7351" s="396">
        <v>101301</v>
      </c>
      <c r="C7351" s="401" t="s">
        <v>4174</v>
      </c>
      <c r="D7351" s="396" t="s">
        <v>32</v>
      </c>
      <c r="E7351" s="407">
        <f t="shared" si="228"/>
        <v>8.48</v>
      </c>
      <c r="F7351">
        <f t="shared" si="229"/>
        <v>101301</v>
      </c>
      <c r="H7351" s="678">
        <v>8.48</v>
      </c>
      <c r="I7351" s="678">
        <v>9.77</v>
      </c>
    </row>
    <row r="7352" spans="2:9">
      <c r="B7352" s="396">
        <v>101302</v>
      </c>
      <c r="C7352" s="401" t="s">
        <v>4175</v>
      </c>
      <c r="D7352" s="396" t="s">
        <v>32</v>
      </c>
      <c r="E7352" s="407">
        <f t="shared" si="228"/>
        <v>27.15</v>
      </c>
      <c r="F7352">
        <f t="shared" si="229"/>
        <v>101302</v>
      </c>
      <c r="H7352" s="678">
        <v>27.15</v>
      </c>
      <c r="I7352" s="678">
        <v>31.27</v>
      </c>
    </row>
    <row r="7353" spans="2:9">
      <c r="B7353" s="396">
        <v>101303</v>
      </c>
      <c r="C7353" s="401" t="s">
        <v>4176</v>
      </c>
      <c r="D7353" s="396" t="s">
        <v>32</v>
      </c>
      <c r="E7353" s="407">
        <f t="shared" si="228"/>
        <v>61.31</v>
      </c>
      <c r="F7353">
        <f t="shared" si="229"/>
        <v>101303</v>
      </c>
      <c r="H7353" s="678">
        <v>61.31</v>
      </c>
      <c r="I7353" s="678">
        <v>70.63</v>
      </c>
    </row>
    <row r="7354" spans="2:9">
      <c r="B7354" s="396">
        <v>101304</v>
      </c>
      <c r="C7354" s="401" t="s">
        <v>4177</v>
      </c>
      <c r="D7354" s="396" t="s">
        <v>32</v>
      </c>
      <c r="E7354" s="407">
        <f t="shared" si="228"/>
        <v>33.47</v>
      </c>
      <c r="F7354">
        <f t="shared" si="229"/>
        <v>101304</v>
      </c>
      <c r="H7354" s="678">
        <v>33.47</v>
      </c>
      <c r="I7354" s="678">
        <v>38.56</v>
      </c>
    </row>
    <row r="7355" spans="2:9">
      <c r="B7355" s="396">
        <v>101305</v>
      </c>
      <c r="C7355" s="401" t="s">
        <v>4178</v>
      </c>
      <c r="D7355" s="396" t="s">
        <v>32</v>
      </c>
      <c r="E7355" s="407">
        <f t="shared" si="228"/>
        <v>29</v>
      </c>
      <c r="F7355">
        <f t="shared" si="229"/>
        <v>101305</v>
      </c>
      <c r="H7355" s="678">
        <v>29</v>
      </c>
      <c r="I7355" s="678">
        <v>33.4</v>
      </c>
    </row>
    <row r="7356" spans="2:9">
      <c r="B7356" s="396">
        <v>101307</v>
      </c>
      <c r="C7356" s="401" t="s">
        <v>4179</v>
      </c>
      <c r="D7356" s="396" t="s">
        <v>32</v>
      </c>
      <c r="E7356" s="407">
        <f t="shared" si="228"/>
        <v>23.69</v>
      </c>
      <c r="F7356">
        <f t="shared" si="229"/>
        <v>101307</v>
      </c>
      <c r="H7356" s="678">
        <v>23.69</v>
      </c>
      <c r="I7356" s="678">
        <v>27.29</v>
      </c>
    </row>
    <row r="7357" spans="2:9">
      <c r="B7357" s="396">
        <v>101308</v>
      </c>
      <c r="C7357" s="401" t="s">
        <v>4180</v>
      </c>
      <c r="D7357" s="396" t="s">
        <v>32</v>
      </c>
      <c r="E7357" s="407">
        <f t="shared" si="228"/>
        <v>18.53</v>
      </c>
      <c r="F7357">
        <f t="shared" si="229"/>
        <v>101308</v>
      </c>
      <c r="H7357" s="678">
        <v>18.53</v>
      </c>
      <c r="I7357" s="678">
        <v>21.35</v>
      </c>
    </row>
    <row r="7358" spans="2:9">
      <c r="B7358" s="396">
        <v>101309</v>
      </c>
      <c r="C7358" s="401" t="s">
        <v>4181</v>
      </c>
      <c r="D7358" s="396" t="s">
        <v>32</v>
      </c>
      <c r="E7358" s="407">
        <f t="shared" si="228"/>
        <v>26.97</v>
      </c>
      <c r="F7358">
        <f t="shared" si="229"/>
        <v>101309</v>
      </c>
      <c r="H7358" s="678">
        <v>26.97</v>
      </c>
      <c r="I7358" s="678">
        <v>31.07</v>
      </c>
    </row>
    <row r="7359" spans="2:9">
      <c r="B7359" s="396">
        <v>101310</v>
      </c>
      <c r="C7359" s="401" t="s">
        <v>4182</v>
      </c>
      <c r="D7359" s="396" t="s">
        <v>32</v>
      </c>
      <c r="E7359" s="407">
        <f t="shared" si="228"/>
        <v>31.52</v>
      </c>
      <c r="F7359">
        <f t="shared" si="229"/>
        <v>101310</v>
      </c>
      <c r="H7359" s="678">
        <v>31.52</v>
      </c>
      <c r="I7359" s="678">
        <v>36.31</v>
      </c>
    </row>
    <row r="7360" spans="2:9">
      <c r="B7360" s="396">
        <v>101311</v>
      </c>
      <c r="C7360" s="401" t="s">
        <v>4183</v>
      </c>
      <c r="D7360" s="396" t="s">
        <v>32</v>
      </c>
      <c r="E7360" s="407">
        <f t="shared" si="228"/>
        <v>26.15</v>
      </c>
      <c r="F7360">
        <f t="shared" si="229"/>
        <v>101311</v>
      </c>
      <c r="H7360" s="678">
        <v>26.15</v>
      </c>
      <c r="I7360" s="678">
        <v>30.13</v>
      </c>
    </row>
    <row r="7361" spans="2:9">
      <c r="B7361" s="396">
        <v>101312</v>
      </c>
      <c r="C7361" s="401" t="s">
        <v>4184</v>
      </c>
      <c r="D7361" s="396" t="s">
        <v>32</v>
      </c>
      <c r="E7361" s="407">
        <f t="shared" si="228"/>
        <v>16.09</v>
      </c>
      <c r="F7361">
        <f t="shared" si="229"/>
        <v>101312</v>
      </c>
      <c r="H7361" s="678">
        <v>16.09</v>
      </c>
      <c r="I7361" s="678">
        <v>18.54</v>
      </c>
    </row>
    <row r="7362" spans="2:9">
      <c r="B7362" s="396">
        <v>101313</v>
      </c>
      <c r="C7362" s="401" t="s">
        <v>4185</v>
      </c>
      <c r="D7362" s="396" t="s">
        <v>32</v>
      </c>
      <c r="E7362" s="407">
        <f t="shared" si="228"/>
        <v>87.52</v>
      </c>
      <c r="F7362">
        <f t="shared" si="229"/>
        <v>101313</v>
      </c>
      <c r="H7362" s="678">
        <v>87.52</v>
      </c>
      <c r="I7362" s="678">
        <v>100.81</v>
      </c>
    </row>
    <row r="7363" spans="2:9">
      <c r="B7363" s="396">
        <v>101314</v>
      </c>
      <c r="C7363" s="401" t="s">
        <v>4186</v>
      </c>
      <c r="D7363" s="396" t="s">
        <v>32</v>
      </c>
      <c r="E7363" s="407">
        <f t="shared" ref="E7363:E7426" si="230">IF($K$2=$H$1,H7363,I7363)</f>
        <v>87.52</v>
      </c>
      <c r="F7363">
        <f t="shared" si="229"/>
        <v>101314</v>
      </c>
      <c r="H7363" s="678">
        <v>87.52</v>
      </c>
      <c r="I7363" s="678">
        <v>100.81</v>
      </c>
    </row>
    <row r="7364" spans="2:9">
      <c r="B7364" s="396">
        <v>101315</v>
      </c>
      <c r="C7364" s="401" t="s">
        <v>4187</v>
      </c>
      <c r="D7364" s="396" t="s">
        <v>32</v>
      </c>
      <c r="E7364" s="407">
        <f t="shared" si="230"/>
        <v>93.99</v>
      </c>
      <c r="F7364">
        <f t="shared" ref="F7364:F7427" si="231">IF(LEN($B7364)=7,CONCATENATE(MID($B7364,1,6),"00",RIGHT($B7364,1)),IF(LEN($B7364)=8,CONCATENATE(MID($B7364,1,6),"0",RIGHT($B7364,2)),$B7364))</f>
        <v>101315</v>
      </c>
      <c r="H7364" s="678">
        <v>93.99</v>
      </c>
      <c r="I7364" s="678">
        <v>108.27</v>
      </c>
    </row>
    <row r="7365" spans="2:9">
      <c r="B7365" s="396">
        <v>101316</v>
      </c>
      <c r="C7365" s="401" t="s">
        <v>4188</v>
      </c>
      <c r="D7365" s="396" t="s">
        <v>32</v>
      </c>
      <c r="E7365" s="407">
        <f t="shared" si="230"/>
        <v>42.17</v>
      </c>
      <c r="F7365">
        <f t="shared" si="231"/>
        <v>101316</v>
      </c>
      <c r="H7365" s="678">
        <v>42.17</v>
      </c>
      <c r="I7365" s="678">
        <v>48.57</v>
      </c>
    </row>
    <row r="7366" spans="2:9">
      <c r="B7366" s="396">
        <v>101317</v>
      </c>
      <c r="C7366" s="401" t="s">
        <v>4189</v>
      </c>
      <c r="D7366" s="396" t="s">
        <v>32</v>
      </c>
      <c r="E7366" s="407">
        <f t="shared" si="230"/>
        <v>228.6</v>
      </c>
      <c r="F7366">
        <f t="shared" si="231"/>
        <v>101317</v>
      </c>
      <c r="H7366" s="678">
        <v>228.6</v>
      </c>
      <c r="I7366" s="678">
        <v>263.33</v>
      </c>
    </row>
    <row r="7367" spans="2:9">
      <c r="B7367" s="396">
        <v>101318</v>
      </c>
      <c r="C7367" s="401" t="s">
        <v>4190</v>
      </c>
      <c r="D7367" s="396" t="s">
        <v>32</v>
      </c>
      <c r="E7367" s="407">
        <f t="shared" si="230"/>
        <v>410.9</v>
      </c>
      <c r="F7367">
        <f t="shared" si="231"/>
        <v>101318</v>
      </c>
      <c r="H7367" s="678">
        <v>410.9</v>
      </c>
      <c r="I7367" s="678">
        <v>473.34</v>
      </c>
    </row>
    <row r="7368" spans="2:9">
      <c r="B7368" s="396">
        <v>101319</v>
      </c>
      <c r="C7368" s="401" t="s">
        <v>4191</v>
      </c>
      <c r="D7368" s="396" t="s">
        <v>32</v>
      </c>
      <c r="E7368" s="407">
        <f t="shared" si="230"/>
        <v>60.73</v>
      </c>
      <c r="F7368">
        <f t="shared" si="231"/>
        <v>101319</v>
      </c>
      <c r="H7368" s="678">
        <v>60.73</v>
      </c>
      <c r="I7368" s="678">
        <v>69.959999999999994</v>
      </c>
    </row>
    <row r="7369" spans="2:9">
      <c r="B7369" s="396">
        <v>101320</v>
      </c>
      <c r="C7369" s="401" t="s">
        <v>4192</v>
      </c>
      <c r="D7369" s="396" t="s">
        <v>32</v>
      </c>
      <c r="E7369" s="407">
        <f t="shared" si="230"/>
        <v>20.97</v>
      </c>
      <c r="F7369">
        <f t="shared" si="231"/>
        <v>101320</v>
      </c>
      <c r="H7369" s="678">
        <v>20.97</v>
      </c>
      <c r="I7369" s="678">
        <v>24.16</v>
      </c>
    </row>
    <row r="7370" spans="2:9">
      <c r="B7370" s="396">
        <v>101322</v>
      </c>
      <c r="C7370" s="401" t="s">
        <v>4193</v>
      </c>
      <c r="D7370" s="396" t="s">
        <v>32</v>
      </c>
      <c r="E7370" s="407">
        <f t="shared" si="230"/>
        <v>25</v>
      </c>
      <c r="F7370">
        <f t="shared" si="231"/>
        <v>101322</v>
      </c>
      <c r="H7370" s="678">
        <v>25</v>
      </c>
      <c r="I7370" s="678">
        <v>28.8</v>
      </c>
    </row>
    <row r="7371" spans="2:9">
      <c r="B7371" s="396">
        <v>101323</v>
      </c>
      <c r="C7371" s="401" t="s">
        <v>4194</v>
      </c>
      <c r="D7371" s="396" t="s">
        <v>32</v>
      </c>
      <c r="E7371" s="407">
        <f t="shared" si="230"/>
        <v>42.22</v>
      </c>
      <c r="F7371">
        <f t="shared" si="231"/>
        <v>101323</v>
      </c>
      <c r="H7371" s="678">
        <v>42.22</v>
      </c>
      <c r="I7371" s="678">
        <v>48.64</v>
      </c>
    </row>
    <row r="7372" spans="2:9">
      <c r="B7372" s="396">
        <v>101324</v>
      </c>
      <c r="C7372" s="401" t="s">
        <v>4195</v>
      </c>
      <c r="D7372" s="396" t="s">
        <v>32</v>
      </c>
      <c r="E7372" s="407">
        <f t="shared" si="230"/>
        <v>8.9499999999999993</v>
      </c>
      <c r="F7372">
        <f t="shared" si="231"/>
        <v>101324</v>
      </c>
      <c r="H7372" s="678">
        <v>8.9499999999999993</v>
      </c>
      <c r="I7372" s="678">
        <v>10.31</v>
      </c>
    </row>
    <row r="7373" spans="2:9">
      <c r="B7373" s="396">
        <v>101325</v>
      </c>
      <c r="C7373" s="401" t="s">
        <v>4196</v>
      </c>
      <c r="D7373" s="396" t="s">
        <v>32</v>
      </c>
      <c r="E7373" s="407">
        <f t="shared" si="230"/>
        <v>25.72</v>
      </c>
      <c r="F7373">
        <f t="shared" si="231"/>
        <v>101325</v>
      </c>
      <c r="H7373" s="678">
        <v>25.72</v>
      </c>
      <c r="I7373" s="678">
        <v>29.62</v>
      </c>
    </row>
    <row r="7374" spans="2:9">
      <c r="B7374" s="396">
        <v>101326</v>
      </c>
      <c r="C7374" s="401" t="s">
        <v>4197</v>
      </c>
      <c r="D7374" s="396" t="s">
        <v>32</v>
      </c>
      <c r="E7374" s="407">
        <f t="shared" si="230"/>
        <v>9.66</v>
      </c>
      <c r="F7374">
        <f t="shared" si="231"/>
        <v>101326</v>
      </c>
      <c r="H7374" s="678">
        <v>9.66</v>
      </c>
      <c r="I7374" s="678">
        <v>11.12</v>
      </c>
    </row>
    <row r="7375" spans="2:9">
      <c r="B7375" s="396">
        <v>101327</v>
      </c>
      <c r="C7375" s="401" t="s">
        <v>4198</v>
      </c>
      <c r="D7375" s="396" t="s">
        <v>32</v>
      </c>
      <c r="E7375" s="407">
        <f t="shared" si="230"/>
        <v>9.1999999999999993</v>
      </c>
      <c r="F7375">
        <f t="shared" si="231"/>
        <v>101327</v>
      </c>
      <c r="H7375" s="678">
        <v>9.1999999999999993</v>
      </c>
      <c r="I7375" s="678">
        <v>10.6</v>
      </c>
    </row>
    <row r="7376" spans="2:9">
      <c r="B7376" s="396">
        <v>101328</v>
      </c>
      <c r="C7376" s="401" t="s">
        <v>4199</v>
      </c>
      <c r="D7376" s="396" t="s">
        <v>32</v>
      </c>
      <c r="E7376" s="407">
        <f t="shared" si="230"/>
        <v>12.67</v>
      </c>
      <c r="F7376">
        <f t="shared" si="231"/>
        <v>101328</v>
      </c>
      <c r="H7376" s="678">
        <v>12.67</v>
      </c>
      <c r="I7376" s="678">
        <v>14.6</v>
      </c>
    </row>
    <row r="7377" spans="2:9">
      <c r="B7377" s="396">
        <v>101329</v>
      </c>
      <c r="C7377" s="401" t="s">
        <v>4200</v>
      </c>
      <c r="D7377" s="396" t="s">
        <v>32</v>
      </c>
      <c r="E7377" s="407">
        <f t="shared" si="230"/>
        <v>39.74</v>
      </c>
      <c r="F7377">
        <f t="shared" si="231"/>
        <v>101329</v>
      </c>
      <c r="H7377" s="678">
        <v>39.74</v>
      </c>
      <c r="I7377" s="678">
        <v>45.78</v>
      </c>
    </row>
    <row r="7378" spans="2:9">
      <c r="B7378" s="396">
        <v>101330</v>
      </c>
      <c r="C7378" s="401" t="s">
        <v>4201</v>
      </c>
      <c r="D7378" s="396" t="s">
        <v>32</v>
      </c>
      <c r="E7378" s="407">
        <f t="shared" si="230"/>
        <v>31.02</v>
      </c>
      <c r="F7378">
        <f t="shared" si="231"/>
        <v>101330</v>
      </c>
      <c r="H7378" s="678">
        <v>31.02</v>
      </c>
      <c r="I7378" s="678">
        <v>35.74</v>
      </c>
    </row>
    <row r="7379" spans="2:9">
      <c r="B7379" s="396">
        <v>101331</v>
      </c>
      <c r="C7379" s="401" t="s">
        <v>4202</v>
      </c>
      <c r="D7379" s="396" t="s">
        <v>32</v>
      </c>
      <c r="E7379" s="407">
        <f t="shared" si="230"/>
        <v>33.47</v>
      </c>
      <c r="F7379">
        <f t="shared" si="231"/>
        <v>101331</v>
      </c>
      <c r="H7379" s="678">
        <v>33.47</v>
      </c>
      <c r="I7379" s="678">
        <v>38.56</v>
      </c>
    </row>
    <row r="7380" spans="2:9">
      <c r="B7380" s="396">
        <v>101332</v>
      </c>
      <c r="C7380" s="401" t="s">
        <v>4203</v>
      </c>
      <c r="D7380" s="396" t="s">
        <v>32</v>
      </c>
      <c r="E7380" s="407">
        <f t="shared" si="230"/>
        <v>8.7899999999999991</v>
      </c>
      <c r="F7380">
        <f t="shared" si="231"/>
        <v>101332</v>
      </c>
      <c r="H7380" s="678">
        <v>8.7899999999999991</v>
      </c>
      <c r="I7380" s="678">
        <v>10.130000000000001</v>
      </c>
    </row>
    <row r="7381" spans="2:9">
      <c r="B7381" s="396">
        <v>101333</v>
      </c>
      <c r="C7381" s="401" t="s">
        <v>4204</v>
      </c>
      <c r="D7381" s="396" t="s">
        <v>32</v>
      </c>
      <c r="E7381" s="407">
        <f t="shared" si="230"/>
        <v>21.37</v>
      </c>
      <c r="F7381">
        <f t="shared" si="231"/>
        <v>101333</v>
      </c>
      <c r="H7381" s="678">
        <v>21.37</v>
      </c>
      <c r="I7381" s="678">
        <v>24.62</v>
      </c>
    </row>
    <row r="7382" spans="2:9">
      <c r="B7382" s="396">
        <v>101334</v>
      </c>
      <c r="C7382" s="401" t="s">
        <v>4205</v>
      </c>
      <c r="D7382" s="396" t="s">
        <v>32</v>
      </c>
      <c r="E7382" s="407">
        <f t="shared" si="230"/>
        <v>69.069999999999993</v>
      </c>
      <c r="F7382">
        <f t="shared" si="231"/>
        <v>101334</v>
      </c>
      <c r="H7382" s="678">
        <v>69.069999999999993</v>
      </c>
      <c r="I7382" s="678">
        <v>79.569999999999993</v>
      </c>
    </row>
    <row r="7383" spans="2:9">
      <c r="B7383" s="396">
        <v>101335</v>
      </c>
      <c r="C7383" s="401" t="s">
        <v>4206</v>
      </c>
      <c r="D7383" s="396" t="s">
        <v>32</v>
      </c>
      <c r="E7383" s="407">
        <f t="shared" si="230"/>
        <v>10.35</v>
      </c>
      <c r="F7383">
        <f t="shared" si="231"/>
        <v>101335</v>
      </c>
      <c r="H7383" s="678">
        <v>10.35</v>
      </c>
      <c r="I7383" s="678">
        <v>11.93</v>
      </c>
    </row>
    <row r="7384" spans="2:9">
      <c r="B7384" s="396">
        <v>101336</v>
      </c>
      <c r="C7384" s="401" t="s">
        <v>4207</v>
      </c>
      <c r="D7384" s="396" t="s">
        <v>32</v>
      </c>
      <c r="E7384" s="407">
        <f t="shared" si="230"/>
        <v>35.75</v>
      </c>
      <c r="F7384">
        <f t="shared" si="231"/>
        <v>101336</v>
      </c>
      <c r="H7384" s="678">
        <v>35.75</v>
      </c>
      <c r="I7384" s="678">
        <v>41.18</v>
      </c>
    </row>
    <row r="7385" spans="2:9">
      <c r="B7385" s="396">
        <v>101337</v>
      </c>
      <c r="C7385" s="401" t="s">
        <v>4208</v>
      </c>
      <c r="D7385" s="396" t="s">
        <v>32</v>
      </c>
      <c r="E7385" s="407">
        <f t="shared" si="230"/>
        <v>10.83</v>
      </c>
      <c r="F7385">
        <f t="shared" si="231"/>
        <v>101337</v>
      </c>
      <c r="H7385" s="678">
        <v>10.83</v>
      </c>
      <c r="I7385" s="678">
        <v>12.47</v>
      </c>
    </row>
    <row r="7386" spans="2:9">
      <c r="B7386" s="396">
        <v>101338</v>
      </c>
      <c r="C7386" s="401" t="s">
        <v>4209</v>
      </c>
      <c r="D7386" s="396" t="s">
        <v>32</v>
      </c>
      <c r="E7386" s="407">
        <f t="shared" si="230"/>
        <v>16.309999999999999</v>
      </c>
      <c r="F7386">
        <f t="shared" si="231"/>
        <v>101338</v>
      </c>
      <c r="H7386" s="678">
        <v>16.309999999999999</v>
      </c>
      <c r="I7386" s="678">
        <v>18.79</v>
      </c>
    </row>
    <row r="7387" spans="2:9">
      <c r="B7387" s="396">
        <v>101339</v>
      </c>
      <c r="C7387" s="401" t="s">
        <v>4210</v>
      </c>
      <c r="D7387" s="396" t="s">
        <v>32</v>
      </c>
      <c r="E7387" s="407">
        <f t="shared" si="230"/>
        <v>13.99</v>
      </c>
      <c r="F7387">
        <f t="shared" si="231"/>
        <v>101339</v>
      </c>
      <c r="H7387" s="678">
        <v>13.99</v>
      </c>
      <c r="I7387" s="678">
        <v>16.11</v>
      </c>
    </row>
    <row r="7388" spans="2:9" ht="30">
      <c r="B7388" s="396">
        <v>101340</v>
      </c>
      <c r="C7388" s="401" t="s">
        <v>4211</v>
      </c>
      <c r="D7388" s="396" t="s">
        <v>32</v>
      </c>
      <c r="E7388" s="407">
        <f t="shared" si="230"/>
        <v>13.5</v>
      </c>
      <c r="F7388">
        <f t="shared" si="231"/>
        <v>101340</v>
      </c>
      <c r="H7388" s="678">
        <v>13.5</v>
      </c>
      <c r="I7388" s="678">
        <v>15.55</v>
      </c>
    </row>
    <row r="7389" spans="2:9" ht="30">
      <c r="B7389" s="396">
        <v>101341</v>
      </c>
      <c r="C7389" s="401" t="s">
        <v>4212</v>
      </c>
      <c r="D7389" s="396" t="s">
        <v>32</v>
      </c>
      <c r="E7389" s="407">
        <f t="shared" si="230"/>
        <v>14.71</v>
      </c>
      <c r="F7389">
        <f t="shared" si="231"/>
        <v>101341</v>
      </c>
      <c r="H7389" s="678">
        <v>14.71</v>
      </c>
      <c r="I7389" s="678">
        <v>16.95</v>
      </c>
    </row>
    <row r="7390" spans="2:9" ht="30">
      <c r="B7390" s="396">
        <v>101342</v>
      </c>
      <c r="C7390" s="401" t="s">
        <v>4213</v>
      </c>
      <c r="D7390" s="396" t="s">
        <v>32</v>
      </c>
      <c r="E7390" s="407">
        <f t="shared" si="230"/>
        <v>17.22</v>
      </c>
      <c r="F7390">
        <f t="shared" si="231"/>
        <v>101342</v>
      </c>
      <c r="H7390" s="678">
        <v>17.22</v>
      </c>
      <c r="I7390" s="678">
        <v>19.829999999999998</v>
      </c>
    </row>
    <row r="7391" spans="2:9">
      <c r="B7391" s="396">
        <v>101343</v>
      </c>
      <c r="C7391" s="401" t="s">
        <v>4214</v>
      </c>
      <c r="D7391" s="396" t="s">
        <v>32</v>
      </c>
      <c r="E7391" s="407">
        <f t="shared" si="230"/>
        <v>26.15</v>
      </c>
      <c r="F7391">
        <f t="shared" si="231"/>
        <v>101343</v>
      </c>
      <c r="H7391" s="678">
        <v>26.15</v>
      </c>
      <c r="I7391" s="678">
        <v>30.13</v>
      </c>
    </row>
    <row r="7392" spans="2:9">
      <c r="B7392" s="396">
        <v>101344</v>
      </c>
      <c r="C7392" s="401" t="s">
        <v>4215</v>
      </c>
      <c r="D7392" s="396" t="s">
        <v>32</v>
      </c>
      <c r="E7392" s="407">
        <f t="shared" si="230"/>
        <v>26.7</v>
      </c>
      <c r="F7392">
        <f t="shared" si="231"/>
        <v>101344</v>
      </c>
      <c r="H7392" s="678">
        <v>26.7</v>
      </c>
      <c r="I7392" s="678">
        <v>30.76</v>
      </c>
    </row>
    <row r="7393" spans="2:9">
      <c r="B7393" s="396">
        <v>101345</v>
      </c>
      <c r="C7393" s="401" t="s">
        <v>4216</v>
      </c>
      <c r="D7393" s="396" t="s">
        <v>32</v>
      </c>
      <c r="E7393" s="407">
        <f t="shared" si="230"/>
        <v>26.85</v>
      </c>
      <c r="F7393">
        <f t="shared" si="231"/>
        <v>101345</v>
      </c>
      <c r="H7393" s="678">
        <v>26.85</v>
      </c>
      <c r="I7393" s="678">
        <v>30.93</v>
      </c>
    </row>
    <row r="7394" spans="2:9">
      <c r="B7394" s="396">
        <v>101346</v>
      </c>
      <c r="C7394" s="401" t="s">
        <v>4217</v>
      </c>
      <c r="D7394" s="396" t="s">
        <v>32</v>
      </c>
      <c r="E7394" s="407">
        <f t="shared" si="230"/>
        <v>23.41</v>
      </c>
      <c r="F7394">
        <f t="shared" si="231"/>
        <v>101346</v>
      </c>
      <c r="H7394" s="678">
        <v>23.41</v>
      </c>
      <c r="I7394" s="678">
        <v>26.97</v>
      </c>
    </row>
    <row r="7395" spans="2:9">
      <c r="B7395" s="396">
        <v>101347</v>
      </c>
      <c r="C7395" s="401" t="s">
        <v>4218</v>
      </c>
      <c r="D7395" s="396" t="s">
        <v>32</v>
      </c>
      <c r="E7395" s="407">
        <f t="shared" si="230"/>
        <v>19.93</v>
      </c>
      <c r="F7395">
        <f t="shared" si="231"/>
        <v>101347</v>
      </c>
      <c r="H7395" s="678">
        <v>19.93</v>
      </c>
      <c r="I7395" s="678">
        <v>22.96</v>
      </c>
    </row>
    <row r="7396" spans="2:9">
      <c r="B7396" s="396">
        <v>101348</v>
      </c>
      <c r="C7396" s="401" t="s">
        <v>4219</v>
      </c>
      <c r="D7396" s="396" t="s">
        <v>32</v>
      </c>
      <c r="E7396" s="407">
        <f t="shared" si="230"/>
        <v>11.33</v>
      </c>
      <c r="F7396">
        <f t="shared" si="231"/>
        <v>101348</v>
      </c>
      <c r="H7396" s="678">
        <v>11.33</v>
      </c>
      <c r="I7396" s="678">
        <v>13.05</v>
      </c>
    </row>
    <row r="7397" spans="2:9">
      <c r="B7397" s="396">
        <v>101349</v>
      </c>
      <c r="C7397" s="401" t="s">
        <v>4220</v>
      </c>
      <c r="D7397" s="396" t="s">
        <v>32</v>
      </c>
      <c r="E7397" s="407">
        <f t="shared" si="230"/>
        <v>17.510000000000002</v>
      </c>
      <c r="F7397">
        <f t="shared" si="231"/>
        <v>101349</v>
      </c>
      <c r="H7397" s="678">
        <v>17.510000000000002</v>
      </c>
      <c r="I7397" s="678">
        <v>20.170000000000002</v>
      </c>
    </row>
    <row r="7398" spans="2:9">
      <c r="B7398" s="396">
        <v>101350</v>
      </c>
      <c r="C7398" s="401" t="s">
        <v>4221</v>
      </c>
      <c r="D7398" s="396" t="s">
        <v>32</v>
      </c>
      <c r="E7398" s="407">
        <f t="shared" si="230"/>
        <v>21.48</v>
      </c>
      <c r="F7398">
        <f t="shared" si="231"/>
        <v>101350</v>
      </c>
      <c r="H7398" s="678">
        <v>21.48</v>
      </c>
      <c r="I7398" s="678">
        <v>24.75</v>
      </c>
    </row>
    <row r="7399" spans="2:9">
      <c r="B7399" s="396">
        <v>101351</v>
      </c>
      <c r="C7399" s="401" t="s">
        <v>4222</v>
      </c>
      <c r="D7399" s="396" t="s">
        <v>32</v>
      </c>
      <c r="E7399" s="407">
        <f t="shared" si="230"/>
        <v>15.69</v>
      </c>
      <c r="F7399">
        <f t="shared" si="231"/>
        <v>101351</v>
      </c>
      <c r="H7399" s="678">
        <v>15.69</v>
      </c>
      <c r="I7399" s="678">
        <v>18.07</v>
      </c>
    </row>
    <row r="7400" spans="2:9" ht="30">
      <c r="B7400" s="396">
        <v>101352</v>
      </c>
      <c r="C7400" s="401" t="s">
        <v>4223</v>
      </c>
      <c r="D7400" s="396" t="s">
        <v>32</v>
      </c>
      <c r="E7400" s="407">
        <f t="shared" si="230"/>
        <v>18.079999999999998</v>
      </c>
      <c r="F7400">
        <f t="shared" si="231"/>
        <v>101352</v>
      </c>
      <c r="H7400" s="678">
        <v>18.079999999999998</v>
      </c>
      <c r="I7400" s="678">
        <v>20.82</v>
      </c>
    </row>
    <row r="7401" spans="2:9">
      <c r="B7401" s="396">
        <v>101353</v>
      </c>
      <c r="C7401" s="401" t="s">
        <v>4224</v>
      </c>
      <c r="D7401" s="396" t="s">
        <v>32</v>
      </c>
      <c r="E7401" s="407">
        <f t="shared" si="230"/>
        <v>14.38</v>
      </c>
      <c r="F7401">
        <f t="shared" si="231"/>
        <v>101353</v>
      </c>
      <c r="H7401" s="678">
        <v>14.38</v>
      </c>
      <c r="I7401" s="678">
        <v>16.559999999999999</v>
      </c>
    </row>
    <row r="7402" spans="2:9">
      <c r="B7402" s="396">
        <v>101354</v>
      </c>
      <c r="C7402" s="401" t="s">
        <v>4225</v>
      </c>
      <c r="D7402" s="396" t="s">
        <v>32</v>
      </c>
      <c r="E7402" s="407">
        <f t="shared" si="230"/>
        <v>20.09</v>
      </c>
      <c r="F7402">
        <f t="shared" si="231"/>
        <v>101354</v>
      </c>
      <c r="H7402" s="678">
        <v>20.09</v>
      </c>
      <c r="I7402" s="678">
        <v>23.14</v>
      </c>
    </row>
    <row r="7403" spans="2:9" ht="30">
      <c r="B7403" s="396">
        <v>101355</v>
      </c>
      <c r="C7403" s="401" t="s">
        <v>4226</v>
      </c>
      <c r="D7403" s="396" t="s">
        <v>32</v>
      </c>
      <c r="E7403" s="407">
        <f t="shared" si="230"/>
        <v>15.52</v>
      </c>
      <c r="F7403">
        <f t="shared" si="231"/>
        <v>101355</v>
      </c>
      <c r="H7403" s="678">
        <v>15.52</v>
      </c>
      <c r="I7403" s="678">
        <v>17.88</v>
      </c>
    </row>
    <row r="7404" spans="2:9">
      <c r="B7404" s="396">
        <v>101356</v>
      </c>
      <c r="C7404" s="401" t="s">
        <v>4227</v>
      </c>
      <c r="D7404" s="396" t="s">
        <v>32</v>
      </c>
      <c r="E7404" s="407">
        <f t="shared" si="230"/>
        <v>33.47</v>
      </c>
      <c r="F7404">
        <f t="shared" si="231"/>
        <v>101356</v>
      </c>
      <c r="H7404" s="678">
        <v>33.47</v>
      </c>
      <c r="I7404" s="678">
        <v>38.56</v>
      </c>
    </row>
    <row r="7405" spans="2:9">
      <c r="B7405" s="396">
        <v>101357</v>
      </c>
      <c r="C7405" s="401" t="s">
        <v>4228</v>
      </c>
      <c r="D7405" s="396" t="s">
        <v>32</v>
      </c>
      <c r="E7405" s="407">
        <f t="shared" si="230"/>
        <v>48.09</v>
      </c>
      <c r="F7405">
        <f t="shared" si="231"/>
        <v>101357</v>
      </c>
      <c r="H7405" s="678">
        <v>48.09</v>
      </c>
      <c r="I7405" s="678">
        <v>55.4</v>
      </c>
    </row>
    <row r="7406" spans="2:9">
      <c r="B7406" s="396">
        <v>101358</v>
      </c>
      <c r="C7406" s="401" t="s">
        <v>4229</v>
      </c>
      <c r="D7406" s="396" t="s">
        <v>32</v>
      </c>
      <c r="E7406" s="407">
        <f t="shared" si="230"/>
        <v>33.47</v>
      </c>
      <c r="F7406">
        <f t="shared" si="231"/>
        <v>101358</v>
      </c>
      <c r="H7406" s="678">
        <v>33.47</v>
      </c>
      <c r="I7406" s="678">
        <v>38.56</v>
      </c>
    </row>
    <row r="7407" spans="2:9">
      <c r="B7407" s="396">
        <v>101359</v>
      </c>
      <c r="C7407" s="401" t="s">
        <v>4230</v>
      </c>
      <c r="D7407" s="396" t="s">
        <v>32</v>
      </c>
      <c r="E7407" s="407">
        <f t="shared" si="230"/>
        <v>32.5</v>
      </c>
      <c r="F7407">
        <f t="shared" si="231"/>
        <v>101359</v>
      </c>
      <c r="H7407" s="678">
        <v>32.5</v>
      </c>
      <c r="I7407" s="678">
        <v>37.44</v>
      </c>
    </row>
    <row r="7408" spans="2:9">
      <c r="B7408" s="396">
        <v>101360</v>
      </c>
      <c r="C7408" s="401" t="s">
        <v>4231</v>
      </c>
      <c r="D7408" s="396" t="s">
        <v>32</v>
      </c>
      <c r="E7408" s="407">
        <f t="shared" si="230"/>
        <v>33.47</v>
      </c>
      <c r="F7408">
        <f t="shared" si="231"/>
        <v>101360</v>
      </c>
      <c r="H7408" s="678">
        <v>33.47</v>
      </c>
      <c r="I7408" s="678">
        <v>38.56</v>
      </c>
    </row>
    <row r="7409" spans="2:9">
      <c r="B7409" s="396">
        <v>101361</v>
      </c>
      <c r="C7409" s="401" t="s">
        <v>4232</v>
      </c>
      <c r="D7409" s="396" t="s">
        <v>32</v>
      </c>
      <c r="E7409" s="407">
        <f t="shared" si="230"/>
        <v>34.590000000000003</v>
      </c>
      <c r="F7409">
        <f t="shared" si="231"/>
        <v>101361</v>
      </c>
      <c r="H7409" s="678">
        <v>34.590000000000003</v>
      </c>
      <c r="I7409" s="678">
        <v>39.840000000000003</v>
      </c>
    </row>
    <row r="7410" spans="2:9">
      <c r="B7410" s="396">
        <v>101362</v>
      </c>
      <c r="C7410" s="401" t="s">
        <v>4233</v>
      </c>
      <c r="D7410" s="396" t="s">
        <v>32</v>
      </c>
      <c r="E7410" s="407">
        <f t="shared" si="230"/>
        <v>7.48</v>
      </c>
      <c r="F7410">
        <f t="shared" si="231"/>
        <v>101362</v>
      </c>
      <c r="H7410" s="678">
        <v>7.48</v>
      </c>
      <c r="I7410" s="678">
        <v>8.6199999999999992</v>
      </c>
    </row>
    <row r="7411" spans="2:9">
      <c r="B7411" s="396">
        <v>101363</v>
      </c>
      <c r="C7411" s="401" t="s">
        <v>4234</v>
      </c>
      <c r="D7411" s="396" t="s">
        <v>32</v>
      </c>
      <c r="E7411" s="407">
        <f t="shared" si="230"/>
        <v>26.15</v>
      </c>
      <c r="F7411">
        <f t="shared" si="231"/>
        <v>101363</v>
      </c>
      <c r="H7411" s="678">
        <v>26.15</v>
      </c>
      <c r="I7411" s="678">
        <v>30.13</v>
      </c>
    </row>
    <row r="7412" spans="2:9">
      <c r="B7412" s="396">
        <v>101364</v>
      </c>
      <c r="C7412" s="401" t="s">
        <v>4235</v>
      </c>
      <c r="D7412" s="396" t="s">
        <v>32</v>
      </c>
      <c r="E7412" s="407">
        <f t="shared" si="230"/>
        <v>35.840000000000003</v>
      </c>
      <c r="F7412">
        <f t="shared" si="231"/>
        <v>101364</v>
      </c>
      <c r="H7412" s="678">
        <v>35.840000000000003</v>
      </c>
      <c r="I7412" s="678">
        <v>41.28</v>
      </c>
    </row>
    <row r="7413" spans="2:9">
      <c r="B7413" s="396">
        <v>101365</v>
      </c>
      <c r="C7413" s="401" t="s">
        <v>4236</v>
      </c>
      <c r="D7413" s="396" t="s">
        <v>32</v>
      </c>
      <c r="E7413" s="407">
        <f t="shared" si="230"/>
        <v>26.15</v>
      </c>
      <c r="F7413">
        <f t="shared" si="231"/>
        <v>101365</v>
      </c>
      <c r="H7413" s="678">
        <v>26.15</v>
      </c>
      <c r="I7413" s="678">
        <v>30.13</v>
      </c>
    </row>
    <row r="7414" spans="2:9">
      <c r="B7414" s="396">
        <v>101366</v>
      </c>
      <c r="C7414" s="401" t="s">
        <v>4237</v>
      </c>
      <c r="D7414" s="396" t="s">
        <v>32</v>
      </c>
      <c r="E7414" s="407">
        <f t="shared" si="230"/>
        <v>30.73</v>
      </c>
      <c r="F7414">
        <f t="shared" si="231"/>
        <v>101366</v>
      </c>
      <c r="H7414" s="678">
        <v>30.73</v>
      </c>
      <c r="I7414" s="678">
        <v>35.4</v>
      </c>
    </row>
    <row r="7415" spans="2:9">
      <c r="B7415" s="396">
        <v>101367</v>
      </c>
      <c r="C7415" s="401" t="s">
        <v>4238</v>
      </c>
      <c r="D7415" s="396" t="s">
        <v>32</v>
      </c>
      <c r="E7415" s="407">
        <f t="shared" si="230"/>
        <v>26.15</v>
      </c>
      <c r="F7415">
        <f t="shared" si="231"/>
        <v>101367</v>
      </c>
      <c r="H7415" s="678">
        <v>26.15</v>
      </c>
      <c r="I7415" s="678">
        <v>30.13</v>
      </c>
    </row>
    <row r="7416" spans="2:9" ht="30">
      <c r="B7416" s="396">
        <v>101368</v>
      </c>
      <c r="C7416" s="401" t="s">
        <v>4239</v>
      </c>
      <c r="D7416" s="396" t="s">
        <v>32</v>
      </c>
      <c r="E7416" s="407">
        <f t="shared" si="230"/>
        <v>25.93</v>
      </c>
      <c r="F7416">
        <f t="shared" si="231"/>
        <v>101368</v>
      </c>
      <c r="H7416" s="678">
        <v>25.93</v>
      </c>
      <c r="I7416" s="678">
        <v>29.87</v>
      </c>
    </row>
    <row r="7417" spans="2:9">
      <c r="B7417" s="396">
        <v>101369</v>
      </c>
      <c r="C7417" s="401" t="s">
        <v>4240</v>
      </c>
      <c r="D7417" s="396" t="s">
        <v>32</v>
      </c>
      <c r="E7417" s="407">
        <f t="shared" si="230"/>
        <v>34.69</v>
      </c>
      <c r="F7417">
        <f t="shared" si="231"/>
        <v>101369</v>
      </c>
      <c r="H7417" s="678">
        <v>34.69</v>
      </c>
      <c r="I7417" s="678">
        <v>39.96</v>
      </c>
    </row>
    <row r="7418" spans="2:9">
      <c r="B7418" s="396">
        <v>101370</v>
      </c>
      <c r="C7418" s="401" t="s">
        <v>4241</v>
      </c>
      <c r="D7418" s="396" t="s">
        <v>32</v>
      </c>
      <c r="E7418" s="407">
        <f t="shared" si="230"/>
        <v>25.84</v>
      </c>
      <c r="F7418">
        <f t="shared" si="231"/>
        <v>101370</v>
      </c>
      <c r="H7418" s="678">
        <v>25.84</v>
      </c>
      <c r="I7418" s="678">
        <v>29.77</v>
      </c>
    </row>
    <row r="7419" spans="2:9">
      <c r="B7419" s="396">
        <v>101371</v>
      </c>
      <c r="C7419" s="401" t="s">
        <v>4242</v>
      </c>
      <c r="D7419" s="396" t="s">
        <v>32</v>
      </c>
      <c r="E7419" s="407">
        <f t="shared" si="230"/>
        <v>28.86</v>
      </c>
      <c r="F7419">
        <f t="shared" si="231"/>
        <v>101371</v>
      </c>
      <c r="H7419" s="678">
        <v>28.86</v>
      </c>
      <c r="I7419" s="678">
        <v>33.25</v>
      </c>
    </row>
    <row r="7420" spans="2:9">
      <c r="B7420" s="396">
        <v>101372</v>
      </c>
      <c r="C7420" s="401" t="s">
        <v>4243</v>
      </c>
      <c r="D7420" s="396" t="s">
        <v>32</v>
      </c>
      <c r="E7420" s="407">
        <f t="shared" si="230"/>
        <v>8.6</v>
      </c>
      <c r="F7420">
        <f t="shared" si="231"/>
        <v>101372</v>
      </c>
      <c r="H7420" s="678">
        <v>8.6</v>
      </c>
      <c r="I7420" s="678">
        <v>9.9</v>
      </c>
    </row>
    <row r="7421" spans="2:9">
      <c r="B7421" s="396">
        <v>101373</v>
      </c>
      <c r="C7421" s="401" t="s">
        <v>4244</v>
      </c>
      <c r="D7421" s="396" t="s">
        <v>36</v>
      </c>
      <c r="E7421" s="407">
        <f t="shared" si="230"/>
        <v>146.01</v>
      </c>
      <c r="F7421">
        <f t="shared" si="231"/>
        <v>101373</v>
      </c>
      <c r="H7421" s="678">
        <v>146.01</v>
      </c>
      <c r="I7421" s="678">
        <v>167.71</v>
      </c>
    </row>
    <row r="7422" spans="2:9">
      <c r="B7422" s="396">
        <v>101374</v>
      </c>
      <c r="C7422" s="401" t="s">
        <v>88</v>
      </c>
      <c r="D7422" s="396" t="s">
        <v>32</v>
      </c>
      <c r="E7422" s="407">
        <f t="shared" si="230"/>
        <v>3134.46</v>
      </c>
      <c r="F7422">
        <f t="shared" si="231"/>
        <v>101374</v>
      </c>
      <c r="H7422" s="678">
        <v>3134.46</v>
      </c>
      <c r="I7422" s="678">
        <v>3462</v>
      </c>
    </row>
    <row r="7423" spans="2:9">
      <c r="B7423" s="396">
        <v>101375</v>
      </c>
      <c r="C7423" s="401" t="s">
        <v>4245</v>
      </c>
      <c r="D7423" s="396" t="s">
        <v>32</v>
      </c>
      <c r="E7423" s="407">
        <f t="shared" si="230"/>
        <v>3358.44</v>
      </c>
      <c r="F7423">
        <f t="shared" si="231"/>
        <v>101375</v>
      </c>
      <c r="H7423" s="678">
        <v>3358.44</v>
      </c>
      <c r="I7423" s="678">
        <v>3720.55</v>
      </c>
    </row>
    <row r="7424" spans="2:9">
      <c r="B7424" s="396">
        <v>101376</v>
      </c>
      <c r="C7424" s="401" t="s">
        <v>4246</v>
      </c>
      <c r="D7424" s="396" t="s">
        <v>32</v>
      </c>
      <c r="E7424" s="407">
        <f t="shared" si="230"/>
        <v>2302.14</v>
      </c>
      <c r="F7424">
        <f t="shared" si="231"/>
        <v>101376</v>
      </c>
      <c r="H7424" s="678">
        <v>2302.14</v>
      </c>
      <c r="I7424" s="678">
        <v>2537.42</v>
      </c>
    </row>
    <row r="7425" spans="2:9">
      <c r="B7425" s="396">
        <v>101377</v>
      </c>
      <c r="C7425" s="401" t="s">
        <v>91</v>
      </c>
      <c r="D7425" s="396" t="s">
        <v>32</v>
      </c>
      <c r="E7425" s="407">
        <f t="shared" si="230"/>
        <v>3134.46</v>
      </c>
      <c r="F7425">
        <f t="shared" si="231"/>
        <v>101377</v>
      </c>
      <c r="H7425" s="678">
        <v>3134.46</v>
      </c>
      <c r="I7425" s="678">
        <v>3462</v>
      </c>
    </row>
    <row r="7426" spans="2:9">
      <c r="B7426" s="396">
        <v>101378</v>
      </c>
      <c r="C7426" s="401" t="s">
        <v>3359</v>
      </c>
      <c r="D7426" s="396" t="s">
        <v>32</v>
      </c>
      <c r="E7426" s="407">
        <f t="shared" si="230"/>
        <v>3571.56</v>
      </c>
      <c r="F7426">
        <f t="shared" si="231"/>
        <v>101378</v>
      </c>
      <c r="H7426" s="678">
        <v>3571.56</v>
      </c>
      <c r="I7426" s="678">
        <v>3927.16</v>
      </c>
    </row>
    <row r="7427" spans="2:9">
      <c r="B7427" s="396">
        <v>101379</v>
      </c>
      <c r="C7427" s="401" t="s">
        <v>4247</v>
      </c>
      <c r="D7427" s="396" t="s">
        <v>32</v>
      </c>
      <c r="E7427" s="407">
        <f t="shared" ref="E7427:E7490" si="232">IF($K$2=$H$1,H7427,I7427)</f>
        <v>3313.16</v>
      </c>
      <c r="F7427">
        <f t="shared" si="231"/>
        <v>101379</v>
      </c>
      <c r="H7427" s="678">
        <v>3313.16</v>
      </c>
      <c r="I7427" s="678">
        <v>3667.86</v>
      </c>
    </row>
    <row r="7428" spans="2:9">
      <c r="B7428" s="396">
        <v>101380</v>
      </c>
      <c r="C7428" s="401" t="s">
        <v>93</v>
      </c>
      <c r="D7428" s="396" t="s">
        <v>32</v>
      </c>
      <c r="E7428" s="407">
        <f t="shared" si="232"/>
        <v>3281.51</v>
      </c>
      <c r="F7428">
        <f t="shared" ref="F7428:F7491" si="233">IF(LEN($B7428)=7,CONCATENATE(MID($B7428,1,6),"00",RIGHT($B7428,1)),IF(LEN($B7428)=8,CONCATENATE(MID($B7428,1,6),"0",RIGHT($B7428,2)),$B7428))</f>
        <v>101380</v>
      </c>
      <c r="H7428" s="678">
        <v>3281.51</v>
      </c>
      <c r="I7428" s="678">
        <v>3636.49</v>
      </c>
    </row>
    <row r="7429" spans="2:9">
      <c r="B7429" s="396">
        <v>101381</v>
      </c>
      <c r="C7429" s="401" t="s">
        <v>94</v>
      </c>
      <c r="D7429" s="396" t="s">
        <v>32</v>
      </c>
      <c r="E7429" s="407">
        <f t="shared" si="232"/>
        <v>3876.04</v>
      </c>
      <c r="F7429">
        <f t="shared" si="233"/>
        <v>101381</v>
      </c>
      <c r="H7429" s="678">
        <v>3876.04</v>
      </c>
      <c r="I7429" s="678">
        <v>4316.28</v>
      </c>
    </row>
    <row r="7430" spans="2:9">
      <c r="B7430" s="396">
        <v>101382</v>
      </c>
      <c r="C7430" s="401" t="s">
        <v>4248</v>
      </c>
      <c r="D7430" s="396" t="s">
        <v>32</v>
      </c>
      <c r="E7430" s="407">
        <f t="shared" si="232"/>
        <v>3276.34</v>
      </c>
      <c r="F7430">
        <f t="shared" si="233"/>
        <v>101382</v>
      </c>
      <c r="H7430" s="678">
        <v>3276.34</v>
      </c>
      <c r="I7430" s="678">
        <v>3659.66</v>
      </c>
    </row>
    <row r="7431" spans="2:9">
      <c r="B7431" s="396">
        <v>101383</v>
      </c>
      <c r="C7431" s="401" t="s">
        <v>3361</v>
      </c>
      <c r="D7431" s="396" t="s">
        <v>32</v>
      </c>
      <c r="E7431" s="407">
        <f t="shared" si="232"/>
        <v>3139.9</v>
      </c>
      <c r="F7431">
        <f t="shared" si="233"/>
        <v>101383</v>
      </c>
      <c r="H7431" s="678">
        <v>3139.9</v>
      </c>
      <c r="I7431" s="678">
        <v>3468.28</v>
      </c>
    </row>
    <row r="7432" spans="2:9">
      <c r="B7432" s="396">
        <v>101384</v>
      </c>
      <c r="C7432" s="401" t="s">
        <v>1909</v>
      </c>
      <c r="D7432" s="396" t="s">
        <v>32</v>
      </c>
      <c r="E7432" s="407">
        <f t="shared" si="232"/>
        <v>3197.18</v>
      </c>
      <c r="F7432">
        <f t="shared" si="233"/>
        <v>101384</v>
      </c>
      <c r="H7432" s="678">
        <v>3197.18</v>
      </c>
      <c r="I7432" s="678">
        <v>3553.92</v>
      </c>
    </row>
    <row r="7433" spans="2:9">
      <c r="B7433" s="396">
        <v>101385</v>
      </c>
      <c r="C7433" s="401" t="s">
        <v>4249</v>
      </c>
      <c r="D7433" s="396" t="s">
        <v>32</v>
      </c>
      <c r="E7433" s="407">
        <f t="shared" si="232"/>
        <v>3992.35</v>
      </c>
      <c r="F7433">
        <f t="shared" si="233"/>
        <v>101385</v>
      </c>
      <c r="H7433" s="678">
        <v>3992.35</v>
      </c>
      <c r="I7433" s="678">
        <v>4541.26</v>
      </c>
    </row>
    <row r="7434" spans="2:9">
      <c r="B7434" s="396">
        <v>101386</v>
      </c>
      <c r="C7434" s="401" t="s">
        <v>98</v>
      </c>
      <c r="D7434" s="396" t="s">
        <v>32</v>
      </c>
      <c r="E7434" s="407">
        <f t="shared" si="232"/>
        <v>2632.05</v>
      </c>
      <c r="F7434">
        <f t="shared" si="233"/>
        <v>101386</v>
      </c>
      <c r="H7434" s="678">
        <v>2632.05</v>
      </c>
      <c r="I7434" s="678">
        <v>2917.47</v>
      </c>
    </row>
    <row r="7435" spans="2:9">
      <c r="B7435" s="396">
        <v>101387</v>
      </c>
      <c r="C7435" s="401" t="s">
        <v>4250</v>
      </c>
      <c r="D7435" s="396" t="s">
        <v>32</v>
      </c>
      <c r="E7435" s="407">
        <f t="shared" si="232"/>
        <v>3139.9</v>
      </c>
      <c r="F7435">
        <f t="shared" si="233"/>
        <v>101387</v>
      </c>
      <c r="H7435" s="678">
        <v>3139.9</v>
      </c>
      <c r="I7435" s="678">
        <v>3468.28</v>
      </c>
    </row>
    <row r="7436" spans="2:9">
      <c r="B7436" s="396">
        <v>101388</v>
      </c>
      <c r="C7436" s="401" t="s">
        <v>100</v>
      </c>
      <c r="D7436" s="396" t="s">
        <v>32</v>
      </c>
      <c r="E7436" s="407">
        <f t="shared" si="232"/>
        <v>3104.57</v>
      </c>
      <c r="F7436">
        <f t="shared" si="233"/>
        <v>101388</v>
      </c>
      <c r="H7436" s="678">
        <v>3104.57</v>
      </c>
      <c r="I7436" s="678">
        <v>3432.67</v>
      </c>
    </row>
    <row r="7437" spans="2:9">
      <c r="B7437" s="396">
        <v>101389</v>
      </c>
      <c r="C7437" s="401" t="s">
        <v>101</v>
      </c>
      <c r="D7437" s="396" t="s">
        <v>32</v>
      </c>
      <c r="E7437" s="407">
        <f t="shared" si="232"/>
        <v>1670.95</v>
      </c>
      <c r="F7437">
        <f t="shared" si="233"/>
        <v>101389</v>
      </c>
      <c r="H7437" s="678">
        <v>1670.95</v>
      </c>
      <c r="I7437" s="678">
        <v>1868.57</v>
      </c>
    </row>
    <row r="7438" spans="2:9">
      <c r="B7438" s="396">
        <v>101390</v>
      </c>
      <c r="C7438" s="401" t="s">
        <v>4251</v>
      </c>
      <c r="D7438" s="396" t="s">
        <v>32</v>
      </c>
      <c r="E7438" s="407">
        <f t="shared" si="232"/>
        <v>4524.3599999999997</v>
      </c>
      <c r="F7438">
        <f t="shared" si="233"/>
        <v>101390</v>
      </c>
      <c r="H7438" s="678">
        <v>4524.3599999999997</v>
      </c>
      <c r="I7438" s="678">
        <v>5156.42</v>
      </c>
    </row>
    <row r="7439" spans="2:9">
      <c r="B7439" s="396">
        <v>101391</v>
      </c>
      <c r="C7439" s="401" t="s">
        <v>4252</v>
      </c>
      <c r="D7439" s="396" t="s">
        <v>32</v>
      </c>
      <c r="E7439" s="407">
        <f t="shared" si="232"/>
        <v>3883.36</v>
      </c>
      <c r="F7439">
        <f t="shared" si="233"/>
        <v>101391</v>
      </c>
      <c r="H7439" s="678">
        <v>3883.36</v>
      </c>
      <c r="I7439" s="678">
        <v>4324.71</v>
      </c>
    </row>
    <row r="7440" spans="2:9">
      <c r="B7440" s="396">
        <v>101392</v>
      </c>
      <c r="C7440" s="401" t="s">
        <v>4253</v>
      </c>
      <c r="D7440" s="396" t="s">
        <v>32</v>
      </c>
      <c r="E7440" s="407">
        <f t="shared" si="232"/>
        <v>2824.93</v>
      </c>
      <c r="F7440">
        <f t="shared" si="233"/>
        <v>101392</v>
      </c>
      <c r="H7440" s="678">
        <v>2824.93</v>
      </c>
      <c r="I7440" s="678">
        <v>3139.65</v>
      </c>
    </row>
    <row r="7441" spans="2:9">
      <c r="B7441" s="396">
        <v>101394</v>
      </c>
      <c r="C7441" s="401" t="s">
        <v>105</v>
      </c>
      <c r="D7441" s="396" t="s">
        <v>32</v>
      </c>
      <c r="E7441" s="407">
        <f t="shared" si="232"/>
        <v>3602.93</v>
      </c>
      <c r="F7441">
        <f t="shared" si="233"/>
        <v>101394</v>
      </c>
      <c r="H7441" s="678">
        <v>3602.93</v>
      </c>
      <c r="I7441" s="678">
        <v>4001.67</v>
      </c>
    </row>
    <row r="7442" spans="2:9">
      <c r="B7442" s="396">
        <v>101395</v>
      </c>
      <c r="C7442" s="401" t="s">
        <v>4254</v>
      </c>
      <c r="D7442" s="396" t="s">
        <v>32</v>
      </c>
      <c r="E7442" s="407">
        <f t="shared" si="232"/>
        <v>3285.79</v>
      </c>
      <c r="F7442">
        <f t="shared" si="233"/>
        <v>101395</v>
      </c>
      <c r="H7442" s="678">
        <v>3285.79</v>
      </c>
      <c r="I7442" s="678">
        <v>3641.39</v>
      </c>
    </row>
    <row r="7443" spans="2:9">
      <c r="B7443" s="1140">
        <v>101396</v>
      </c>
      <c r="C7443" s="401" t="s">
        <v>4255</v>
      </c>
      <c r="D7443" s="396" t="s">
        <v>32</v>
      </c>
      <c r="E7443" s="407">
        <f t="shared" si="232"/>
        <v>3680.6</v>
      </c>
      <c r="F7443">
        <f t="shared" si="233"/>
        <v>101396</v>
      </c>
      <c r="H7443" s="678">
        <v>3680.6</v>
      </c>
      <c r="I7443" s="678">
        <v>4096.1899999999996</v>
      </c>
    </row>
    <row r="7444" spans="2:9">
      <c r="B7444" s="1140">
        <v>101397</v>
      </c>
      <c r="C7444" s="401" t="s">
        <v>107</v>
      </c>
      <c r="D7444" s="396" t="s">
        <v>32</v>
      </c>
      <c r="E7444" s="407">
        <f t="shared" si="232"/>
        <v>3842.77</v>
      </c>
      <c r="F7444">
        <f t="shared" si="233"/>
        <v>101397</v>
      </c>
      <c r="H7444" s="678">
        <v>3842.77</v>
      </c>
      <c r="I7444" s="678">
        <v>4283.01</v>
      </c>
    </row>
    <row r="7445" spans="2:9">
      <c r="B7445" s="1140">
        <v>101398</v>
      </c>
      <c r="C7445" s="401" t="s">
        <v>4256</v>
      </c>
      <c r="D7445" s="396" t="s">
        <v>32</v>
      </c>
      <c r="E7445" s="407">
        <f t="shared" si="232"/>
        <v>2536.7199999999998</v>
      </c>
      <c r="F7445">
        <f t="shared" si="233"/>
        <v>101398</v>
      </c>
      <c r="H7445" s="678">
        <v>2536.7199999999998</v>
      </c>
      <c r="I7445" s="678">
        <v>2807.66</v>
      </c>
    </row>
    <row r="7446" spans="2:9">
      <c r="B7446" s="1140">
        <v>101399</v>
      </c>
      <c r="C7446" s="401" t="s">
        <v>108</v>
      </c>
      <c r="D7446" s="396" t="s">
        <v>32</v>
      </c>
      <c r="E7446" s="407">
        <f t="shared" si="232"/>
        <v>4032.54</v>
      </c>
      <c r="F7446">
        <f t="shared" si="233"/>
        <v>101399</v>
      </c>
      <c r="H7446" s="678">
        <v>4032.54</v>
      </c>
      <c r="I7446" s="678">
        <v>4497.0600000000004</v>
      </c>
    </row>
    <row r="7447" spans="2:9">
      <c r="B7447" s="1140">
        <v>101400</v>
      </c>
      <c r="C7447" s="401" t="s">
        <v>4257</v>
      </c>
      <c r="D7447" s="396" t="s">
        <v>32</v>
      </c>
      <c r="E7447" s="407">
        <f t="shared" si="232"/>
        <v>4032.54</v>
      </c>
      <c r="F7447">
        <f t="shared" si="233"/>
        <v>101400</v>
      </c>
      <c r="H7447" s="678">
        <v>4032.54</v>
      </c>
      <c r="I7447" s="678">
        <v>4497.0600000000004</v>
      </c>
    </row>
    <row r="7448" spans="2:9">
      <c r="B7448" s="1140">
        <v>101401</v>
      </c>
      <c r="C7448" s="401" t="s">
        <v>110</v>
      </c>
      <c r="D7448" s="396" t="s">
        <v>32</v>
      </c>
      <c r="E7448" s="407">
        <f t="shared" si="232"/>
        <v>4924.5600000000004</v>
      </c>
      <c r="F7448">
        <f t="shared" si="233"/>
        <v>101401</v>
      </c>
      <c r="H7448" s="678">
        <v>4924.5600000000004</v>
      </c>
      <c r="I7448" s="678">
        <v>5524.62</v>
      </c>
    </row>
    <row r="7449" spans="2:9">
      <c r="B7449" s="1140">
        <v>101402</v>
      </c>
      <c r="C7449" s="401" t="s">
        <v>111</v>
      </c>
      <c r="D7449" s="396" t="s">
        <v>32</v>
      </c>
      <c r="E7449" s="407">
        <f t="shared" si="232"/>
        <v>3861.28</v>
      </c>
      <c r="F7449">
        <f t="shared" si="233"/>
        <v>101402</v>
      </c>
      <c r="H7449" s="678">
        <v>3861.28</v>
      </c>
      <c r="I7449" s="678">
        <v>4318.91</v>
      </c>
    </row>
    <row r="7450" spans="2:9">
      <c r="B7450" s="1140">
        <v>101403</v>
      </c>
      <c r="C7450" s="401" t="s">
        <v>4244</v>
      </c>
      <c r="D7450" s="396" t="s">
        <v>32</v>
      </c>
      <c r="E7450" s="407">
        <f t="shared" si="232"/>
        <v>25686.39</v>
      </c>
      <c r="F7450">
        <f t="shared" si="233"/>
        <v>101403</v>
      </c>
      <c r="H7450" s="678">
        <v>25686.39</v>
      </c>
      <c r="I7450" s="678">
        <v>29533.83</v>
      </c>
    </row>
    <row r="7451" spans="2:9">
      <c r="B7451" s="1140">
        <v>101404</v>
      </c>
      <c r="C7451" s="401" t="s">
        <v>176</v>
      </c>
      <c r="D7451" s="396" t="s">
        <v>32</v>
      </c>
      <c r="E7451" s="407">
        <f t="shared" si="232"/>
        <v>16033.76</v>
      </c>
      <c r="F7451">
        <f t="shared" si="233"/>
        <v>101404</v>
      </c>
      <c r="H7451" s="678">
        <v>16033.76</v>
      </c>
      <c r="I7451" s="678">
        <v>18414.57</v>
      </c>
    </row>
    <row r="7452" spans="2:9">
      <c r="B7452" s="1140">
        <v>101405</v>
      </c>
      <c r="C7452" s="401" t="s">
        <v>177</v>
      </c>
      <c r="D7452" s="396" t="s">
        <v>32</v>
      </c>
      <c r="E7452" s="407">
        <f t="shared" si="232"/>
        <v>15533.31</v>
      </c>
      <c r="F7452">
        <f t="shared" si="233"/>
        <v>101405</v>
      </c>
      <c r="H7452" s="678">
        <v>15533.31</v>
      </c>
      <c r="I7452" s="678">
        <v>17838.080000000002</v>
      </c>
    </row>
    <row r="7453" spans="2:9">
      <c r="B7453" s="1140">
        <v>101407</v>
      </c>
      <c r="C7453" s="401" t="s">
        <v>112</v>
      </c>
      <c r="D7453" s="396" t="s">
        <v>32</v>
      </c>
      <c r="E7453" s="407">
        <f t="shared" si="232"/>
        <v>3748.09</v>
      </c>
      <c r="F7453">
        <f t="shared" si="233"/>
        <v>101407</v>
      </c>
      <c r="H7453" s="678">
        <v>3748.09</v>
      </c>
      <c r="I7453" s="678">
        <v>4168.88</v>
      </c>
    </row>
    <row r="7454" spans="2:9">
      <c r="B7454" s="1140">
        <v>101408</v>
      </c>
      <c r="C7454" s="401" t="s">
        <v>113</v>
      </c>
      <c r="D7454" s="396" t="s">
        <v>32</v>
      </c>
      <c r="E7454" s="407">
        <f t="shared" si="232"/>
        <v>3541.94</v>
      </c>
      <c r="F7454">
        <f t="shared" si="233"/>
        <v>101408</v>
      </c>
      <c r="H7454" s="678">
        <v>3541.94</v>
      </c>
      <c r="I7454" s="678">
        <v>3931.41</v>
      </c>
    </row>
    <row r="7455" spans="2:9">
      <c r="B7455" s="1140">
        <v>101409</v>
      </c>
      <c r="C7455" s="401" t="s">
        <v>4258</v>
      </c>
      <c r="D7455" s="396" t="s">
        <v>32</v>
      </c>
      <c r="E7455" s="407">
        <f t="shared" si="232"/>
        <v>2985.26</v>
      </c>
      <c r="F7455">
        <f t="shared" si="233"/>
        <v>101409</v>
      </c>
      <c r="H7455" s="678">
        <v>2985.26</v>
      </c>
      <c r="I7455" s="678">
        <v>3324.34</v>
      </c>
    </row>
    <row r="7456" spans="2:9">
      <c r="B7456" s="1140">
        <v>101410</v>
      </c>
      <c r="C7456" s="401" t="s">
        <v>159</v>
      </c>
      <c r="D7456" s="396" t="s">
        <v>32</v>
      </c>
      <c r="E7456" s="407">
        <f t="shared" si="232"/>
        <v>3391.53</v>
      </c>
      <c r="F7456">
        <f t="shared" si="233"/>
        <v>101410</v>
      </c>
      <c r="H7456" s="678">
        <v>3391.53</v>
      </c>
      <c r="I7456" s="678">
        <v>3758.14</v>
      </c>
    </row>
    <row r="7457" spans="2:9">
      <c r="B7457" s="1140">
        <v>101411</v>
      </c>
      <c r="C7457" s="401" t="s">
        <v>4259</v>
      </c>
      <c r="D7457" s="396" t="s">
        <v>32</v>
      </c>
      <c r="E7457" s="407">
        <f t="shared" si="232"/>
        <v>2678.62</v>
      </c>
      <c r="F7457">
        <f t="shared" si="233"/>
        <v>101411</v>
      </c>
      <c r="H7457" s="678">
        <v>2678.62</v>
      </c>
      <c r="I7457" s="678">
        <v>3027.92</v>
      </c>
    </row>
    <row r="7458" spans="2:9">
      <c r="B7458" s="1140">
        <v>101412</v>
      </c>
      <c r="C7458" s="401" t="s">
        <v>4260</v>
      </c>
      <c r="D7458" s="396" t="s">
        <v>32</v>
      </c>
      <c r="E7458" s="407">
        <f t="shared" si="232"/>
        <v>3976.17</v>
      </c>
      <c r="F7458">
        <f t="shared" si="233"/>
        <v>101412</v>
      </c>
      <c r="H7458" s="678">
        <v>3976.17</v>
      </c>
      <c r="I7458" s="678">
        <v>4407.49</v>
      </c>
    </row>
    <row r="7459" spans="2:9">
      <c r="B7459" s="1140">
        <v>101413</v>
      </c>
      <c r="C7459" s="401" t="s">
        <v>115</v>
      </c>
      <c r="D7459" s="396" t="s">
        <v>32</v>
      </c>
      <c r="E7459" s="407">
        <f t="shared" si="232"/>
        <v>3637.42</v>
      </c>
      <c r="F7459">
        <f t="shared" si="233"/>
        <v>101413</v>
      </c>
      <c r="H7459" s="678">
        <v>3637.42</v>
      </c>
      <c r="I7459" s="678">
        <v>4046.46</v>
      </c>
    </row>
    <row r="7460" spans="2:9">
      <c r="B7460" s="1140">
        <v>101414</v>
      </c>
      <c r="C7460" s="401" t="s">
        <v>4261</v>
      </c>
      <c r="D7460" s="396" t="s">
        <v>32</v>
      </c>
      <c r="E7460" s="407">
        <f t="shared" si="232"/>
        <v>3883.36</v>
      </c>
      <c r="F7460">
        <f t="shared" si="233"/>
        <v>101414</v>
      </c>
      <c r="H7460" s="678">
        <v>3883.36</v>
      </c>
      <c r="I7460" s="678">
        <v>4324.71</v>
      </c>
    </row>
    <row r="7461" spans="2:9">
      <c r="B7461" s="1140">
        <v>101415</v>
      </c>
      <c r="C7461" s="401" t="s">
        <v>4262</v>
      </c>
      <c r="D7461" s="396" t="s">
        <v>32</v>
      </c>
      <c r="E7461" s="407">
        <f t="shared" si="232"/>
        <v>4028.9</v>
      </c>
      <c r="F7461">
        <f t="shared" si="233"/>
        <v>101415</v>
      </c>
      <c r="H7461" s="678">
        <v>4028.9</v>
      </c>
      <c r="I7461" s="678">
        <v>4526.5600000000004</v>
      </c>
    </row>
    <row r="7462" spans="2:9">
      <c r="B7462" s="1140">
        <v>101416</v>
      </c>
      <c r="C7462" s="401" t="s">
        <v>3366</v>
      </c>
      <c r="D7462" s="396" t="s">
        <v>32</v>
      </c>
      <c r="E7462" s="407">
        <f t="shared" si="232"/>
        <v>4207.08</v>
      </c>
      <c r="F7462">
        <f t="shared" si="233"/>
        <v>101416</v>
      </c>
      <c r="H7462" s="678">
        <v>4207.08</v>
      </c>
      <c r="I7462" s="678">
        <v>4698.1400000000003</v>
      </c>
    </row>
    <row r="7463" spans="2:9">
      <c r="B7463" s="1140">
        <v>101417</v>
      </c>
      <c r="C7463" s="401" t="s">
        <v>4263</v>
      </c>
      <c r="D7463" s="396" t="s">
        <v>32</v>
      </c>
      <c r="E7463" s="407">
        <f t="shared" si="232"/>
        <v>3551.65</v>
      </c>
      <c r="F7463">
        <f t="shared" si="233"/>
        <v>101417</v>
      </c>
      <c r="H7463" s="678">
        <v>3551.65</v>
      </c>
      <c r="I7463" s="678">
        <v>3943.12</v>
      </c>
    </row>
    <row r="7464" spans="2:9">
      <c r="B7464" s="1140">
        <v>101418</v>
      </c>
      <c r="C7464" s="401" t="s">
        <v>4264</v>
      </c>
      <c r="D7464" s="396" t="s">
        <v>32</v>
      </c>
      <c r="E7464" s="407">
        <f t="shared" si="232"/>
        <v>2806.59</v>
      </c>
      <c r="F7464">
        <f t="shared" si="233"/>
        <v>101418</v>
      </c>
      <c r="H7464" s="678">
        <v>2806.59</v>
      </c>
      <c r="I7464" s="678">
        <v>3118.53</v>
      </c>
    </row>
    <row r="7465" spans="2:9">
      <c r="B7465" s="1140">
        <v>101419</v>
      </c>
      <c r="C7465" s="401" t="s">
        <v>4265</v>
      </c>
      <c r="D7465" s="396" t="s">
        <v>32</v>
      </c>
      <c r="E7465" s="407">
        <f t="shared" si="232"/>
        <v>4188.74</v>
      </c>
      <c r="F7465">
        <f t="shared" si="233"/>
        <v>101419</v>
      </c>
      <c r="H7465" s="678">
        <v>4188.74</v>
      </c>
      <c r="I7465" s="678">
        <v>4677.01</v>
      </c>
    </row>
    <row r="7466" spans="2:9">
      <c r="B7466" s="1140">
        <v>101420</v>
      </c>
      <c r="C7466" s="401" t="s">
        <v>4266</v>
      </c>
      <c r="D7466" s="396" t="s">
        <v>32</v>
      </c>
      <c r="E7466" s="407">
        <f t="shared" si="232"/>
        <v>2990.39</v>
      </c>
      <c r="F7466">
        <f t="shared" si="233"/>
        <v>101420</v>
      </c>
      <c r="H7466" s="678">
        <v>2990.39</v>
      </c>
      <c r="I7466" s="678">
        <v>3330.25</v>
      </c>
    </row>
    <row r="7467" spans="2:9">
      <c r="B7467" s="1140">
        <v>101421</v>
      </c>
      <c r="C7467" s="401" t="s">
        <v>4267</v>
      </c>
      <c r="D7467" s="396" t="s">
        <v>32</v>
      </c>
      <c r="E7467" s="407">
        <f t="shared" si="232"/>
        <v>3920.41</v>
      </c>
      <c r="F7467">
        <f t="shared" si="233"/>
        <v>101421</v>
      </c>
      <c r="H7467" s="678">
        <v>3920.41</v>
      </c>
      <c r="I7467" s="678">
        <v>4401.59</v>
      </c>
    </row>
    <row r="7468" spans="2:9">
      <c r="B7468" s="1140">
        <v>101422</v>
      </c>
      <c r="C7468" s="401" t="s">
        <v>4268</v>
      </c>
      <c r="D7468" s="396" t="s">
        <v>32</v>
      </c>
      <c r="E7468" s="407">
        <f t="shared" si="232"/>
        <v>2951.1</v>
      </c>
      <c r="F7468">
        <f t="shared" si="233"/>
        <v>101422</v>
      </c>
      <c r="H7468" s="678">
        <v>2951.1</v>
      </c>
      <c r="I7468" s="678">
        <v>3285</v>
      </c>
    </row>
    <row r="7469" spans="2:9">
      <c r="B7469" s="1140">
        <v>101423</v>
      </c>
      <c r="C7469" s="401" t="s">
        <v>4269</v>
      </c>
      <c r="D7469" s="396" t="s">
        <v>32</v>
      </c>
      <c r="E7469" s="407">
        <f t="shared" si="232"/>
        <v>3340.75</v>
      </c>
      <c r="F7469">
        <f t="shared" si="233"/>
        <v>101423</v>
      </c>
      <c r="H7469" s="678">
        <v>3340.75</v>
      </c>
      <c r="I7469" s="678">
        <v>3733.86</v>
      </c>
    </row>
    <row r="7470" spans="2:9">
      <c r="B7470" s="1140">
        <v>101424</v>
      </c>
      <c r="C7470" s="401" t="s">
        <v>4270</v>
      </c>
      <c r="D7470" s="396" t="s">
        <v>32</v>
      </c>
      <c r="E7470" s="407">
        <f t="shared" si="232"/>
        <v>3554.69</v>
      </c>
      <c r="F7470">
        <f t="shared" si="233"/>
        <v>101424</v>
      </c>
      <c r="H7470" s="678">
        <v>3554.69</v>
      </c>
      <c r="I7470" s="678">
        <v>3980.3</v>
      </c>
    </row>
    <row r="7471" spans="2:9">
      <c r="B7471" s="1140">
        <v>101425</v>
      </c>
      <c r="C7471" s="401" t="s">
        <v>4271</v>
      </c>
      <c r="D7471" s="396" t="s">
        <v>32</v>
      </c>
      <c r="E7471" s="407">
        <f t="shared" si="232"/>
        <v>2029.81</v>
      </c>
      <c r="F7471">
        <f t="shared" si="233"/>
        <v>101425</v>
      </c>
      <c r="H7471" s="678">
        <v>2029.81</v>
      </c>
      <c r="I7471" s="678">
        <v>2281.9499999999998</v>
      </c>
    </row>
    <row r="7472" spans="2:9">
      <c r="B7472" s="1140">
        <v>101426</v>
      </c>
      <c r="C7472" s="401" t="s">
        <v>4272</v>
      </c>
      <c r="D7472" s="396" t="s">
        <v>32</v>
      </c>
      <c r="E7472" s="407">
        <f t="shared" si="232"/>
        <v>3253.03</v>
      </c>
      <c r="F7472">
        <f t="shared" si="233"/>
        <v>101426</v>
      </c>
      <c r="H7472" s="678">
        <v>3253.03</v>
      </c>
      <c r="I7472" s="678">
        <v>3632.8</v>
      </c>
    </row>
    <row r="7473" spans="2:9">
      <c r="B7473" s="1140">
        <v>101427</v>
      </c>
      <c r="C7473" s="401" t="s">
        <v>128</v>
      </c>
      <c r="D7473" s="396" t="s">
        <v>32</v>
      </c>
      <c r="E7473" s="407">
        <f t="shared" si="232"/>
        <v>2897.15</v>
      </c>
      <c r="F7473">
        <f t="shared" si="233"/>
        <v>101427</v>
      </c>
      <c r="H7473" s="678">
        <v>2897.15</v>
      </c>
      <c r="I7473" s="678">
        <v>3222.84</v>
      </c>
    </row>
    <row r="7474" spans="2:9">
      <c r="B7474" s="1140">
        <v>101428</v>
      </c>
      <c r="C7474" s="401" t="s">
        <v>4273</v>
      </c>
      <c r="D7474" s="396" t="s">
        <v>32</v>
      </c>
      <c r="E7474" s="407">
        <f t="shared" si="232"/>
        <v>2822.19</v>
      </c>
      <c r="F7474">
        <f t="shared" si="233"/>
        <v>101428</v>
      </c>
      <c r="H7474" s="678">
        <v>2822.19</v>
      </c>
      <c r="I7474" s="678">
        <v>3136.5</v>
      </c>
    </row>
    <row r="7475" spans="2:9">
      <c r="B7475" s="1140">
        <v>101429</v>
      </c>
      <c r="C7475" s="401" t="s">
        <v>4274</v>
      </c>
      <c r="D7475" s="396" t="s">
        <v>32</v>
      </c>
      <c r="E7475" s="407">
        <f t="shared" si="232"/>
        <v>3008.09</v>
      </c>
      <c r="F7475">
        <f t="shared" si="233"/>
        <v>101429</v>
      </c>
      <c r="H7475" s="678">
        <v>3008.09</v>
      </c>
      <c r="I7475" s="678">
        <v>3350.64</v>
      </c>
    </row>
    <row r="7476" spans="2:9">
      <c r="B7476" s="1140">
        <v>101430</v>
      </c>
      <c r="C7476" s="401" t="s">
        <v>4275</v>
      </c>
      <c r="D7476" s="396" t="s">
        <v>32</v>
      </c>
      <c r="E7476" s="407">
        <f t="shared" si="232"/>
        <v>3391.82</v>
      </c>
      <c r="F7476">
        <f t="shared" si="233"/>
        <v>101430</v>
      </c>
      <c r="H7476" s="678">
        <v>3391.82</v>
      </c>
      <c r="I7476" s="678">
        <v>3792.67</v>
      </c>
    </row>
    <row r="7477" spans="2:9">
      <c r="B7477" s="1140">
        <v>101431</v>
      </c>
      <c r="C7477" s="401" t="s">
        <v>130</v>
      </c>
      <c r="D7477" s="396" t="s">
        <v>32</v>
      </c>
      <c r="E7477" s="407">
        <f t="shared" si="232"/>
        <v>3650.95</v>
      </c>
      <c r="F7477">
        <f t="shared" si="233"/>
        <v>101431</v>
      </c>
      <c r="H7477" s="678">
        <v>3650.95</v>
      </c>
      <c r="I7477" s="678">
        <v>4091.19</v>
      </c>
    </row>
    <row r="7478" spans="2:9">
      <c r="B7478" s="1140">
        <v>101432</v>
      </c>
      <c r="C7478" s="401" t="s">
        <v>4276</v>
      </c>
      <c r="D7478" s="396" t="s">
        <v>32</v>
      </c>
      <c r="E7478" s="407">
        <f t="shared" si="232"/>
        <v>2845.57</v>
      </c>
      <c r="F7478">
        <f t="shared" si="233"/>
        <v>101432</v>
      </c>
      <c r="H7478" s="678">
        <v>2845.57</v>
      </c>
      <c r="I7478" s="678">
        <v>3163.43</v>
      </c>
    </row>
    <row r="7479" spans="2:9">
      <c r="B7479" s="1140">
        <v>101433</v>
      </c>
      <c r="C7479" s="401" t="s">
        <v>132</v>
      </c>
      <c r="D7479" s="396" t="s">
        <v>32</v>
      </c>
      <c r="E7479" s="407">
        <f t="shared" si="232"/>
        <v>2857.05</v>
      </c>
      <c r="F7479">
        <f t="shared" si="233"/>
        <v>101433</v>
      </c>
      <c r="H7479" s="678">
        <v>2857.05</v>
      </c>
      <c r="I7479" s="678">
        <v>3176.66</v>
      </c>
    </row>
    <row r="7480" spans="2:9">
      <c r="B7480" s="1140">
        <v>101434</v>
      </c>
      <c r="C7480" s="401" t="s">
        <v>4277</v>
      </c>
      <c r="D7480" s="396" t="s">
        <v>32</v>
      </c>
      <c r="E7480" s="407">
        <f t="shared" si="232"/>
        <v>3347.38</v>
      </c>
      <c r="F7480">
        <f t="shared" si="233"/>
        <v>101434</v>
      </c>
      <c r="H7480" s="678">
        <v>3347.38</v>
      </c>
      <c r="I7480" s="678">
        <v>3741.49</v>
      </c>
    </row>
    <row r="7481" spans="2:9">
      <c r="B7481" s="1140">
        <v>101435</v>
      </c>
      <c r="C7481" s="401" t="s">
        <v>4278</v>
      </c>
      <c r="D7481" s="396" t="s">
        <v>32</v>
      </c>
      <c r="E7481" s="407">
        <f t="shared" si="232"/>
        <v>2962.24</v>
      </c>
      <c r="F7481">
        <f t="shared" si="233"/>
        <v>101435</v>
      </c>
      <c r="H7481" s="678">
        <v>2962.24</v>
      </c>
      <c r="I7481" s="678">
        <v>3297.83</v>
      </c>
    </row>
    <row r="7482" spans="2:9">
      <c r="B7482" s="1140">
        <v>101436</v>
      </c>
      <c r="C7482" s="401" t="s">
        <v>134</v>
      </c>
      <c r="D7482" s="396" t="s">
        <v>32</v>
      </c>
      <c r="E7482" s="407">
        <f t="shared" si="232"/>
        <v>2490.38</v>
      </c>
      <c r="F7482">
        <f t="shared" si="233"/>
        <v>101436</v>
      </c>
      <c r="H7482" s="678">
        <v>2490.38</v>
      </c>
      <c r="I7482" s="678">
        <v>2754.27</v>
      </c>
    </row>
    <row r="7483" spans="2:9">
      <c r="B7483" s="1140">
        <v>101437</v>
      </c>
      <c r="C7483" s="401" t="s">
        <v>4279</v>
      </c>
      <c r="D7483" s="396" t="s">
        <v>32</v>
      </c>
      <c r="E7483" s="407">
        <f t="shared" si="232"/>
        <v>3436.79</v>
      </c>
      <c r="F7483">
        <f t="shared" si="233"/>
        <v>101437</v>
      </c>
      <c r="H7483" s="678">
        <v>3436.79</v>
      </c>
      <c r="I7483" s="678">
        <v>3844.48</v>
      </c>
    </row>
    <row r="7484" spans="2:9">
      <c r="B7484" s="1140">
        <v>101438</v>
      </c>
      <c r="C7484" s="401" t="s">
        <v>136</v>
      </c>
      <c r="D7484" s="396" t="s">
        <v>32</v>
      </c>
      <c r="E7484" s="407">
        <f t="shared" si="232"/>
        <v>4045.38</v>
      </c>
      <c r="F7484">
        <f t="shared" si="233"/>
        <v>101438</v>
      </c>
      <c r="H7484" s="678">
        <v>4045.38</v>
      </c>
      <c r="I7484" s="678">
        <v>4545.55</v>
      </c>
    </row>
    <row r="7485" spans="2:9">
      <c r="B7485" s="1140">
        <v>101439</v>
      </c>
      <c r="C7485" s="401" t="s">
        <v>137</v>
      </c>
      <c r="D7485" s="396" t="s">
        <v>32</v>
      </c>
      <c r="E7485" s="407">
        <f t="shared" si="232"/>
        <v>3157.45</v>
      </c>
      <c r="F7485">
        <f t="shared" si="233"/>
        <v>101439</v>
      </c>
      <c r="H7485" s="678">
        <v>3157.45</v>
      </c>
      <c r="I7485" s="678">
        <v>3522.7</v>
      </c>
    </row>
    <row r="7486" spans="2:9">
      <c r="B7486" s="1140">
        <v>101440</v>
      </c>
      <c r="C7486" s="401" t="s">
        <v>4280</v>
      </c>
      <c r="D7486" s="396" t="s">
        <v>32</v>
      </c>
      <c r="E7486" s="407">
        <f t="shared" si="232"/>
        <v>3523.73</v>
      </c>
      <c r="F7486">
        <f t="shared" si="233"/>
        <v>101440</v>
      </c>
      <c r="H7486" s="678">
        <v>3523.73</v>
      </c>
      <c r="I7486" s="678">
        <v>3944.62</v>
      </c>
    </row>
    <row r="7487" spans="2:9">
      <c r="B7487" s="1140">
        <v>101441</v>
      </c>
      <c r="C7487" s="401" t="s">
        <v>139</v>
      </c>
      <c r="D7487" s="396" t="s">
        <v>32</v>
      </c>
      <c r="E7487" s="407">
        <f t="shared" si="232"/>
        <v>2956.69</v>
      </c>
      <c r="F7487">
        <f t="shared" si="233"/>
        <v>101441</v>
      </c>
      <c r="H7487" s="678">
        <v>2956.69</v>
      </c>
      <c r="I7487" s="678">
        <v>3291.43</v>
      </c>
    </row>
    <row r="7488" spans="2:9">
      <c r="B7488" s="1140">
        <v>101442</v>
      </c>
      <c r="C7488" s="401" t="s">
        <v>4281</v>
      </c>
      <c r="D7488" s="396" t="s">
        <v>32</v>
      </c>
      <c r="E7488" s="407">
        <f t="shared" si="232"/>
        <v>2979.63</v>
      </c>
      <c r="F7488">
        <f t="shared" si="233"/>
        <v>101442</v>
      </c>
      <c r="H7488" s="678">
        <v>2979.63</v>
      </c>
      <c r="I7488" s="678">
        <v>3317.86</v>
      </c>
    </row>
    <row r="7489" spans="2:9">
      <c r="B7489" s="1140">
        <v>101443</v>
      </c>
      <c r="C7489" s="401" t="s">
        <v>1911</v>
      </c>
      <c r="D7489" s="396" t="s">
        <v>32</v>
      </c>
      <c r="E7489" s="407">
        <f t="shared" si="232"/>
        <v>3132.48</v>
      </c>
      <c r="F7489">
        <f t="shared" si="233"/>
        <v>101443</v>
      </c>
      <c r="H7489" s="678">
        <v>3132.48</v>
      </c>
      <c r="I7489" s="678">
        <v>3493.94</v>
      </c>
    </row>
    <row r="7490" spans="2:9">
      <c r="B7490" s="1140">
        <v>101444</v>
      </c>
      <c r="C7490" s="401" t="s">
        <v>142</v>
      </c>
      <c r="D7490" s="396" t="s">
        <v>32</v>
      </c>
      <c r="E7490" s="407">
        <f t="shared" si="232"/>
        <v>3883.36</v>
      </c>
      <c r="F7490">
        <f t="shared" si="233"/>
        <v>101444</v>
      </c>
      <c r="H7490" s="678">
        <v>3883.36</v>
      </c>
      <c r="I7490" s="678">
        <v>4324.71</v>
      </c>
    </row>
    <row r="7491" spans="2:9">
      <c r="B7491" s="1140">
        <v>101445</v>
      </c>
      <c r="C7491" s="401" t="s">
        <v>143</v>
      </c>
      <c r="D7491" s="396" t="s">
        <v>32</v>
      </c>
      <c r="E7491" s="407">
        <f t="shared" ref="E7491:E7510" si="234">IF($K$2=$H$1,H7491,I7491)</f>
        <v>3897.98</v>
      </c>
      <c r="F7491">
        <f t="shared" si="233"/>
        <v>101445</v>
      </c>
      <c r="H7491" s="678">
        <v>3897.98</v>
      </c>
      <c r="I7491" s="678">
        <v>4341.55</v>
      </c>
    </row>
    <row r="7492" spans="2:9">
      <c r="B7492" s="1140">
        <v>101446</v>
      </c>
      <c r="C7492" s="401" t="s">
        <v>144</v>
      </c>
      <c r="D7492" s="396" t="s">
        <v>32</v>
      </c>
      <c r="E7492" s="407">
        <f t="shared" si="234"/>
        <v>4135.8599999999997</v>
      </c>
      <c r="F7492">
        <f t="shared" ref="F7492:F7510" si="235">IF(LEN($B7492)=7,CONCATENATE(MID($B7492,1,6),"00",RIGHT($B7492,1)),IF(LEN($B7492)=8,CONCATENATE(MID($B7492,1,6),"0",RIGHT($B7492,2)),$B7492))</f>
        <v>101446</v>
      </c>
      <c r="H7492" s="678">
        <v>4135.8599999999997</v>
      </c>
      <c r="I7492" s="678">
        <v>4577.21</v>
      </c>
    </row>
    <row r="7493" spans="2:9">
      <c r="B7493" s="1140">
        <v>101447</v>
      </c>
      <c r="C7493" s="401" t="s">
        <v>145</v>
      </c>
      <c r="D7493" s="396" t="s">
        <v>32</v>
      </c>
      <c r="E7493" s="407">
        <f t="shared" si="234"/>
        <v>4051.81</v>
      </c>
      <c r="F7493">
        <f t="shared" si="235"/>
        <v>101447</v>
      </c>
      <c r="H7493" s="678">
        <v>4051.81</v>
      </c>
      <c r="I7493" s="678">
        <v>4480.3900000000003</v>
      </c>
    </row>
    <row r="7494" spans="2:9">
      <c r="B7494" s="1140">
        <v>101448</v>
      </c>
      <c r="C7494" s="401" t="s">
        <v>146</v>
      </c>
      <c r="D7494" s="396" t="s">
        <v>32</v>
      </c>
      <c r="E7494" s="407">
        <f t="shared" si="234"/>
        <v>4135.8599999999997</v>
      </c>
      <c r="F7494">
        <f t="shared" si="235"/>
        <v>101448</v>
      </c>
      <c r="H7494" s="678">
        <v>4135.8599999999997</v>
      </c>
      <c r="I7494" s="678">
        <v>4577.21</v>
      </c>
    </row>
    <row r="7495" spans="2:9">
      <c r="B7495" s="1140">
        <v>101449</v>
      </c>
      <c r="C7495" s="401" t="s">
        <v>4282</v>
      </c>
      <c r="D7495" s="396" t="s">
        <v>32</v>
      </c>
      <c r="E7495" s="407">
        <f t="shared" si="234"/>
        <v>2853.46</v>
      </c>
      <c r="F7495">
        <f t="shared" si="235"/>
        <v>101449</v>
      </c>
      <c r="H7495" s="678">
        <v>2853.46</v>
      </c>
      <c r="I7495" s="678">
        <v>3172.51</v>
      </c>
    </row>
    <row r="7496" spans="2:9">
      <c r="B7496" s="1140">
        <v>101450</v>
      </c>
      <c r="C7496" s="401" t="s">
        <v>148</v>
      </c>
      <c r="D7496" s="396" t="s">
        <v>32</v>
      </c>
      <c r="E7496" s="407">
        <f t="shared" si="234"/>
        <v>2622.58</v>
      </c>
      <c r="F7496">
        <f t="shared" si="235"/>
        <v>101450</v>
      </c>
      <c r="H7496" s="678">
        <v>2622.58</v>
      </c>
      <c r="I7496" s="678">
        <v>2906.56</v>
      </c>
    </row>
    <row r="7497" spans="2:9">
      <c r="B7497" s="1140">
        <v>101451</v>
      </c>
      <c r="C7497" s="401" t="s">
        <v>149</v>
      </c>
      <c r="D7497" s="396" t="s">
        <v>32</v>
      </c>
      <c r="E7497" s="407">
        <f t="shared" si="234"/>
        <v>3876.04</v>
      </c>
      <c r="F7497">
        <f t="shared" si="235"/>
        <v>101451</v>
      </c>
      <c r="H7497" s="678">
        <v>3876.04</v>
      </c>
      <c r="I7497" s="678">
        <v>4316.28</v>
      </c>
    </row>
    <row r="7498" spans="2:9">
      <c r="B7498" s="1140">
        <v>101452</v>
      </c>
      <c r="C7498" s="401" t="s">
        <v>4283</v>
      </c>
      <c r="D7498" s="396" t="s">
        <v>32</v>
      </c>
      <c r="E7498" s="407">
        <f t="shared" si="234"/>
        <v>3120.92</v>
      </c>
      <c r="F7498">
        <f t="shared" si="235"/>
        <v>101452</v>
      </c>
      <c r="H7498" s="678">
        <v>3120.92</v>
      </c>
      <c r="I7498" s="678">
        <v>3451.5</v>
      </c>
    </row>
    <row r="7499" spans="2:9">
      <c r="B7499" s="1140">
        <v>101453</v>
      </c>
      <c r="C7499" s="401" t="s">
        <v>151</v>
      </c>
      <c r="D7499" s="396" t="s">
        <v>32</v>
      </c>
      <c r="E7499" s="407">
        <f t="shared" si="234"/>
        <v>4034.83</v>
      </c>
      <c r="F7499">
        <f t="shared" si="235"/>
        <v>101453</v>
      </c>
      <c r="H7499" s="678">
        <v>4034.83</v>
      </c>
      <c r="I7499" s="678">
        <v>4475.07</v>
      </c>
    </row>
    <row r="7500" spans="2:9">
      <c r="B7500" s="1140">
        <v>101454</v>
      </c>
      <c r="C7500" s="401" t="s">
        <v>4284</v>
      </c>
      <c r="D7500" s="396" t="s">
        <v>32</v>
      </c>
      <c r="E7500" s="407">
        <f t="shared" si="234"/>
        <v>4542.2299999999996</v>
      </c>
      <c r="F7500">
        <f t="shared" si="235"/>
        <v>101454</v>
      </c>
      <c r="H7500" s="678">
        <v>4542.2299999999996</v>
      </c>
      <c r="I7500" s="678">
        <v>5059.55</v>
      </c>
    </row>
    <row r="7501" spans="2:9">
      <c r="B7501" s="1140">
        <v>101455</v>
      </c>
      <c r="C7501" s="401" t="s">
        <v>152</v>
      </c>
      <c r="D7501" s="396" t="s">
        <v>32</v>
      </c>
      <c r="E7501" s="407">
        <f t="shared" si="234"/>
        <v>3842.77</v>
      </c>
      <c r="F7501">
        <f t="shared" si="235"/>
        <v>101455</v>
      </c>
      <c r="H7501" s="678">
        <v>3842.77</v>
      </c>
      <c r="I7501" s="678">
        <v>4283.01</v>
      </c>
    </row>
    <row r="7502" spans="2:9">
      <c r="B7502" s="1140">
        <v>101456</v>
      </c>
      <c r="C7502" s="401" t="s">
        <v>4285</v>
      </c>
      <c r="D7502" s="396" t="s">
        <v>32</v>
      </c>
      <c r="E7502" s="407">
        <f t="shared" si="234"/>
        <v>4353.6000000000004</v>
      </c>
      <c r="F7502">
        <f t="shared" si="235"/>
        <v>101456</v>
      </c>
      <c r="H7502" s="678">
        <v>4353.6000000000004</v>
      </c>
      <c r="I7502" s="678">
        <v>4957.3999999999996</v>
      </c>
    </row>
    <row r="7503" spans="2:9">
      <c r="B7503" s="1140">
        <v>101457</v>
      </c>
      <c r="C7503" s="401" t="s">
        <v>4286</v>
      </c>
      <c r="D7503" s="396" t="s">
        <v>32</v>
      </c>
      <c r="E7503" s="407">
        <f t="shared" si="234"/>
        <v>4596.3</v>
      </c>
      <c r="F7503">
        <f t="shared" si="235"/>
        <v>101457</v>
      </c>
      <c r="H7503" s="678">
        <v>4596.3</v>
      </c>
      <c r="I7503" s="678">
        <v>5180.17</v>
      </c>
    </row>
    <row r="7504" spans="2:9">
      <c r="B7504" s="1140">
        <v>101458</v>
      </c>
      <c r="C7504" s="401" t="s">
        <v>4287</v>
      </c>
      <c r="D7504" s="396" t="s">
        <v>32</v>
      </c>
      <c r="E7504" s="407">
        <f t="shared" si="234"/>
        <v>3808.32</v>
      </c>
      <c r="F7504">
        <f t="shared" si="235"/>
        <v>101458</v>
      </c>
      <c r="H7504" s="678">
        <v>3808.32</v>
      </c>
      <c r="I7504" s="678">
        <v>4243.32</v>
      </c>
    </row>
    <row r="7505" spans="2:9">
      <c r="B7505" s="1140">
        <v>101459</v>
      </c>
      <c r="C7505" s="401" t="s">
        <v>157</v>
      </c>
      <c r="D7505" s="396" t="s">
        <v>32</v>
      </c>
      <c r="E7505" s="407">
        <f t="shared" si="234"/>
        <v>3483.31</v>
      </c>
      <c r="F7505">
        <f t="shared" si="235"/>
        <v>101459</v>
      </c>
      <c r="H7505" s="678">
        <v>3483.31</v>
      </c>
      <c r="I7505" s="678">
        <v>3863.88</v>
      </c>
    </row>
    <row r="7506" spans="2:9">
      <c r="B7506" s="1140">
        <v>101460</v>
      </c>
      <c r="C7506" s="401" t="s">
        <v>3347</v>
      </c>
      <c r="D7506" s="396" t="s">
        <v>32</v>
      </c>
      <c r="E7506" s="407">
        <f t="shared" si="234"/>
        <v>3093.68</v>
      </c>
      <c r="F7506">
        <f t="shared" si="235"/>
        <v>101460</v>
      </c>
      <c r="H7506" s="678">
        <v>3093.68</v>
      </c>
      <c r="I7506" s="678">
        <v>3420.12</v>
      </c>
    </row>
    <row r="7507" spans="2:9">
      <c r="B7507" s="1140">
        <v>101457</v>
      </c>
      <c r="C7507" s="401" t="s">
        <v>4286</v>
      </c>
      <c r="D7507" s="396" t="s">
        <v>32</v>
      </c>
      <c r="E7507" s="407">
        <f t="shared" si="234"/>
        <v>4595.21</v>
      </c>
      <c r="F7507">
        <f t="shared" si="235"/>
        <v>101457</v>
      </c>
      <c r="H7507" s="678">
        <v>4595.21</v>
      </c>
      <c r="I7507" s="678">
        <v>5179.08</v>
      </c>
    </row>
    <row r="7508" spans="2:9">
      <c r="B7508" s="1140">
        <v>101458</v>
      </c>
      <c r="C7508" s="401" t="s">
        <v>4287</v>
      </c>
      <c r="D7508" s="396" t="s">
        <v>32</v>
      </c>
      <c r="E7508" s="407">
        <f t="shared" si="234"/>
        <v>3807.23</v>
      </c>
      <c r="F7508">
        <f t="shared" si="235"/>
        <v>101458</v>
      </c>
      <c r="H7508" s="678">
        <v>3807.23</v>
      </c>
      <c r="I7508" s="678">
        <v>4242.2299999999996</v>
      </c>
    </row>
    <row r="7509" spans="2:9">
      <c r="B7509" s="1140">
        <v>101459</v>
      </c>
      <c r="C7509" s="401" t="s">
        <v>157</v>
      </c>
      <c r="D7509" s="396" t="s">
        <v>32</v>
      </c>
      <c r="E7509" s="407">
        <f t="shared" si="234"/>
        <v>3482.22</v>
      </c>
      <c r="F7509">
        <f t="shared" si="235"/>
        <v>101459</v>
      </c>
      <c r="H7509" s="678">
        <v>3482.22</v>
      </c>
      <c r="I7509" s="678">
        <v>3862.79</v>
      </c>
    </row>
    <row r="7510" spans="2:9">
      <c r="B7510" s="1140">
        <v>101460</v>
      </c>
      <c r="C7510" s="401" t="s">
        <v>3347</v>
      </c>
      <c r="D7510" s="396" t="s">
        <v>32</v>
      </c>
      <c r="E7510" s="407">
        <f t="shared" si="234"/>
        <v>3092.59</v>
      </c>
      <c r="F7510">
        <f t="shared" si="235"/>
        <v>101460</v>
      </c>
      <c r="H7510" s="678">
        <v>3092.59</v>
      </c>
      <c r="I7510" s="678">
        <v>3419.03</v>
      </c>
    </row>
  </sheetData>
  <pageMargins left="0.511811024" right="0.511811024" top="0.78740157499999996" bottom="0.78740157499999996" header="0.31496062000000002" footer="0.31496062000000002"/>
  <pageSetup paperSize="9" scale="67" orientation="portrait" r:id="rId1"/>
</worksheet>
</file>

<file path=xl/worksheets/sheet34.xml><?xml version="1.0" encoding="utf-8"?>
<worksheet xmlns="http://schemas.openxmlformats.org/spreadsheetml/2006/main" xmlns:r="http://schemas.openxmlformats.org/officeDocument/2006/relationships">
  <sheetPr codeName="Planilha11">
    <tabColor rgb="FFFFCCFF"/>
  </sheetPr>
  <dimension ref="A1:J5021"/>
  <sheetViews>
    <sheetView topLeftCell="A1996" zoomScale="55" zoomScaleNormal="55" zoomScalePageLayoutView="55" workbookViewId="0">
      <selection activeCell="G30" sqref="G30:H31"/>
    </sheetView>
  </sheetViews>
  <sheetFormatPr defaultRowHeight="15"/>
  <cols>
    <col min="1" max="1" width="10.7109375" style="396" customWidth="1"/>
    <col min="2" max="2" width="120.7109375" style="401" customWidth="1"/>
    <col min="3" max="3" width="10.7109375" style="396" customWidth="1"/>
    <col min="4" max="4" width="12.7109375" customWidth="1"/>
    <col min="6" max="6" width="18.42578125" customWidth="1"/>
    <col min="7" max="7" width="20.140625" bestFit="1" customWidth="1"/>
    <col min="8" max="8" width="12.42578125" bestFit="1" customWidth="1"/>
    <col min="10" max="10" width="23.28515625" customWidth="1"/>
  </cols>
  <sheetData>
    <row r="1" spans="1:10" ht="16.5" thickBot="1">
      <c r="A1" s="404" t="s">
        <v>3375</v>
      </c>
      <c r="B1" s="403" t="s">
        <v>3376</v>
      </c>
      <c r="C1" s="404" t="s">
        <v>3377</v>
      </c>
      <c r="D1" s="404" t="s">
        <v>31</v>
      </c>
      <c r="F1" s="404" t="s">
        <v>2705</v>
      </c>
      <c r="G1" s="404" t="s">
        <v>2706</v>
      </c>
    </row>
    <row r="2" spans="1:10" ht="15.75" thickBot="1">
      <c r="A2" s="396">
        <v>38605</v>
      </c>
      <c r="B2" s="401" t="s">
        <v>8746</v>
      </c>
      <c r="C2" s="396" t="s">
        <v>2021</v>
      </c>
      <c r="D2" s="405">
        <f>IF($J$2=$F$1,F2,G2)</f>
        <v>142.15</v>
      </c>
      <c r="F2" s="679">
        <v>142.15</v>
      </c>
      <c r="G2" s="679">
        <v>142.15</v>
      </c>
      <c r="H2" t="b">
        <f>F2=G2</f>
        <v>1</v>
      </c>
      <c r="J2" s="427" t="str">
        <f>'ORÇAMENTO '!L6</f>
        <v>DESONERADO</v>
      </c>
    </row>
    <row r="3" spans="1:10">
      <c r="A3" s="395">
        <v>11270</v>
      </c>
      <c r="B3" s="406" t="s">
        <v>8747</v>
      </c>
      <c r="C3" s="395" t="s">
        <v>2021</v>
      </c>
      <c r="D3" s="407">
        <f t="shared" ref="D3:D66" si="0">IF($J$2=$F$1,F3,G3)</f>
        <v>2.76</v>
      </c>
      <c r="F3" s="680">
        <v>2.76</v>
      </c>
      <c r="G3" s="680">
        <v>2.76</v>
      </c>
      <c r="H3" t="b">
        <f t="shared" ref="H3:H66" si="1">F3=G3</f>
        <v>1</v>
      </c>
    </row>
    <row r="4" spans="1:10">
      <c r="A4" s="396">
        <v>412</v>
      </c>
      <c r="B4" s="401" t="s">
        <v>8748</v>
      </c>
      <c r="C4" s="396" t="s">
        <v>2021</v>
      </c>
      <c r="D4" s="405">
        <f t="shared" si="0"/>
        <v>1.38</v>
      </c>
      <c r="F4" s="679">
        <v>1.38</v>
      </c>
      <c r="G4" s="679">
        <v>1.38</v>
      </c>
      <c r="H4" t="b">
        <f t="shared" si="1"/>
        <v>1</v>
      </c>
    </row>
    <row r="5" spans="1:10">
      <c r="A5" s="395">
        <v>414</v>
      </c>
      <c r="B5" s="406" t="s">
        <v>8749</v>
      </c>
      <c r="C5" s="395" t="s">
        <v>2021</v>
      </c>
      <c r="D5" s="407">
        <f t="shared" si="0"/>
        <v>0.08</v>
      </c>
      <c r="F5" s="680">
        <v>0.08</v>
      </c>
      <c r="G5" s="680">
        <v>0.08</v>
      </c>
      <c r="H5" t="b">
        <f t="shared" si="1"/>
        <v>1</v>
      </c>
    </row>
    <row r="6" spans="1:10">
      <c r="A6" s="396">
        <v>410</v>
      </c>
      <c r="B6" s="401" t="s">
        <v>8750</v>
      </c>
      <c r="C6" s="396" t="s">
        <v>2021</v>
      </c>
      <c r="D6" s="405">
        <f t="shared" si="0"/>
        <v>0.21</v>
      </c>
      <c r="F6" s="679">
        <v>0.21</v>
      </c>
      <c r="G6" s="679">
        <v>0.21</v>
      </c>
      <c r="H6" t="b">
        <f t="shared" si="1"/>
        <v>1</v>
      </c>
    </row>
    <row r="7" spans="1:10">
      <c r="A7" s="395">
        <v>411</v>
      </c>
      <c r="B7" s="406" t="s">
        <v>8751</v>
      </c>
      <c r="C7" s="395" t="s">
        <v>2021</v>
      </c>
      <c r="D7" s="407">
        <f t="shared" si="0"/>
        <v>0.27</v>
      </c>
      <c r="F7" s="680">
        <v>0.27</v>
      </c>
      <c r="G7" s="680">
        <v>0.27</v>
      </c>
      <c r="H7" t="b">
        <f t="shared" si="1"/>
        <v>1</v>
      </c>
    </row>
    <row r="8" spans="1:10">
      <c r="A8" s="396">
        <v>408</v>
      </c>
      <c r="B8" s="401" t="s">
        <v>8752</v>
      </c>
      <c r="C8" s="396" t="s">
        <v>2021</v>
      </c>
      <c r="D8" s="405">
        <f t="shared" si="0"/>
        <v>1.34</v>
      </c>
      <c r="F8" s="679">
        <v>1.34</v>
      </c>
      <c r="G8" s="679">
        <v>1.34</v>
      </c>
      <c r="H8" t="b">
        <f t="shared" si="1"/>
        <v>1</v>
      </c>
    </row>
    <row r="9" spans="1:10">
      <c r="A9" s="395">
        <v>39131</v>
      </c>
      <c r="B9" s="406" t="s">
        <v>8753</v>
      </c>
      <c r="C9" s="395" t="s">
        <v>2021</v>
      </c>
      <c r="D9" s="407">
        <f t="shared" si="0"/>
        <v>4.18</v>
      </c>
      <c r="F9" s="680">
        <v>4.18</v>
      </c>
      <c r="G9" s="680">
        <v>4.18</v>
      </c>
      <c r="H9" t="b">
        <f t="shared" si="1"/>
        <v>1</v>
      </c>
    </row>
    <row r="10" spans="1:10">
      <c r="A10" s="396">
        <v>394</v>
      </c>
      <c r="B10" s="401" t="s">
        <v>8754</v>
      </c>
      <c r="C10" s="396" t="s">
        <v>2021</v>
      </c>
      <c r="D10" s="405">
        <f t="shared" si="0"/>
        <v>4.2300000000000004</v>
      </c>
      <c r="F10" s="679">
        <v>4.2300000000000004</v>
      </c>
      <c r="G10" s="679">
        <v>4.2300000000000004</v>
      </c>
      <c r="H10" t="b">
        <f t="shared" si="1"/>
        <v>1</v>
      </c>
    </row>
    <row r="11" spans="1:10">
      <c r="A11" s="395">
        <v>39130</v>
      </c>
      <c r="B11" s="406" t="s">
        <v>8755</v>
      </c>
      <c r="C11" s="395" t="s">
        <v>2021</v>
      </c>
      <c r="D11" s="407">
        <f t="shared" si="0"/>
        <v>3.82</v>
      </c>
      <c r="F11" s="680">
        <v>3.82</v>
      </c>
      <c r="G11" s="680">
        <v>3.82</v>
      </c>
      <c r="H11" t="b">
        <f t="shared" si="1"/>
        <v>1</v>
      </c>
    </row>
    <row r="12" spans="1:10">
      <c r="A12" s="396">
        <v>395</v>
      </c>
      <c r="B12" s="401" t="s">
        <v>8756</v>
      </c>
      <c r="C12" s="396" t="s">
        <v>2021</v>
      </c>
      <c r="D12" s="405">
        <f t="shared" si="0"/>
        <v>4.08</v>
      </c>
      <c r="F12" s="679">
        <v>4.08</v>
      </c>
      <c r="G12" s="679">
        <v>4.08</v>
      </c>
      <c r="H12" t="b">
        <f t="shared" si="1"/>
        <v>1</v>
      </c>
    </row>
    <row r="13" spans="1:10">
      <c r="A13" s="395">
        <v>39127</v>
      </c>
      <c r="B13" s="406" t="s">
        <v>8757</v>
      </c>
      <c r="C13" s="395" t="s">
        <v>2021</v>
      </c>
      <c r="D13" s="407">
        <f t="shared" si="0"/>
        <v>2.0099999999999998</v>
      </c>
      <c r="F13" s="680">
        <v>2.0099999999999998</v>
      </c>
      <c r="G13" s="680">
        <v>2.0099999999999998</v>
      </c>
      <c r="H13" t="b">
        <f t="shared" si="1"/>
        <v>1</v>
      </c>
    </row>
    <row r="14" spans="1:10">
      <c r="A14" s="396">
        <v>392</v>
      </c>
      <c r="B14" s="401" t="s">
        <v>8758</v>
      </c>
      <c r="C14" s="396" t="s">
        <v>2021</v>
      </c>
      <c r="D14" s="405">
        <f t="shared" si="0"/>
        <v>2.06</v>
      </c>
      <c r="F14" s="679">
        <v>2.06</v>
      </c>
      <c r="G14" s="679">
        <v>2.06</v>
      </c>
      <c r="H14" t="b">
        <f t="shared" si="1"/>
        <v>1</v>
      </c>
    </row>
    <row r="15" spans="1:10">
      <c r="A15" s="395">
        <v>39129</v>
      </c>
      <c r="B15" s="406" t="s">
        <v>8759</v>
      </c>
      <c r="C15" s="395" t="s">
        <v>2021</v>
      </c>
      <c r="D15" s="407">
        <f t="shared" si="0"/>
        <v>2.35</v>
      </c>
      <c r="F15" s="680">
        <v>2.35</v>
      </c>
      <c r="G15" s="680">
        <v>2.35</v>
      </c>
      <c r="H15" t="b">
        <f t="shared" si="1"/>
        <v>1</v>
      </c>
    </row>
    <row r="16" spans="1:10">
      <c r="A16" s="396">
        <v>393</v>
      </c>
      <c r="B16" s="401" t="s">
        <v>8760</v>
      </c>
      <c r="C16" s="396" t="s">
        <v>2021</v>
      </c>
      <c r="D16" s="405">
        <f t="shared" si="0"/>
        <v>2.46</v>
      </c>
      <c r="F16" s="679">
        <v>2.46</v>
      </c>
      <c r="G16" s="679">
        <v>2.46</v>
      </c>
      <c r="H16" t="b">
        <f t="shared" si="1"/>
        <v>1</v>
      </c>
    </row>
    <row r="17" spans="1:8">
      <c r="A17" s="395">
        <v>39133</v>
      </c>
      <c r="B17" s="406" t="s">
        <v>8761</v>
      </c>
      <c r="C17" s="395" t="s">
        <v>2021</v>
      </c>
      <c r="D17" s="407">
        <f t="shared" si="0"/>
        <v>5.49</v>
      </c>
      <c r="F17" s="680">
        <v>5.49</v>
      </c>
      <c r="G17" s="680">
        <v>5.49</v>
      </c>
      <c r="H17" t="b">
        <f t="shared" si="1"/>
        <v>1</v>
      </c>
    </row>
    <row r="18" spans="1:8">
      <c r="A18" s="396">
        <v>397</v>
      </c>
      <c r="B18" s="401" t="s">
        <v>8762</v>
      </c>
      <c r="C18" s="396" t="s">
        <v>2021</v>
      </c>
      <c r="D18" s="405">
        <f t="shared" si="0"/>
        <v>6.07</v>
      </c>
      <c r="F18" s="679">
        <v>6.07</v>
      </c>
      <c r="G18" s="679">
        <v>6.07</v>
      </c>
      <c r="H18" t="b">
        <f t="shared" si="1"/>
        <v>1</v>
      </c>
    </row>
    <row r="19" spans="1:8">
      <c r="A19" s="395">
        <v>39132</v>
      </c>
      <c r="B19" s="406" t="s">
        <v>8763</v>
      </c>
      <c r="C19" s="395" t="s">
        <v>2021</v>
      </c>
      <c r="D19" s="407">
        <f t="shared" si="0"/>
        <v>4.3899999999999997</v>
      </c>
      <c r="F19" s="680">
        <v>4.3899999999999997</v>
      </c>
      <c r="G19" s="680">
        <v>4.3899999999999997</v>
      </c>
      <c r="H19" t="b">
        <f t="shared" si="1"/>
        <v>1</v>
      </c>
    </row>
    <row r="20" spans="1:8">
      <c r="A20" s="396">
        <v>396</v>
      </c>
      <c r="B20" s="401" t="s">
        <v>8764</v>
      </c>
      <c r="C20" s="396" t="s">
        <v>2021</v>
      </c>
      <c r="D20" s="405">
        <f t="shared" si="0"/>
        <v>4.71</v>
      </c>
      <c r="F20" s="679">
        <v>4.71</v>
      </c>
      <c r="G20" s="679">
        <v>4.71</v>
      </c>
      <c r="H20" t="b">
        <f t="shared" si="1"/>
        <v>1</v>
      </c>
    </row>
    <row r="21" spans="1:8">
      <c r="A21" s="395">
        <v>39135</v>
      </c>
      <c r="B21" s="406" t="s">
        <v>8765</v>
      </c>
      <c r="C21" s="395" t="s">
        <v>2021</v>
      </c>
      <c r="D21" s="407">
        <f t="shared" si="0"/>
        <v>8.7899999999999991</v>
      </c>
      <c r="F21" s="680">
        <v>8.7899999999999991</v>
      </c>
      <c r="G21" s="680">
        <v>8.7899999999999991</v>
      </c>
      <c r="H21" t="b">
        <f t="shared" si="1"/>
        <v>1</v>
      </c>
    </row>
    <row r="22" spans="1:8">
      <c r="A22" s="396">
        <v>39128</v>
      </c>
      <c r="B22" s="401" t="s">
        <v>8766</v>
      </c>
      <c r="C22" s="396" t="s">
        <v>2021</v>
      </c>
      <c r="D22" s="405">
        <f t="shared" si="0"/>
        <v>2.19</v>
      </c>
      <c r="F22" s="679">
        <v>2.19</v>
      </c>
      <c r="G22" s="679">
        <v>2.19</v>
      </c>
      <c r="H22" t="b">
        <f t="shared" si="1"/>
        <v>1</v>
      </c>
    </row>
    <row r="23" spans="1:8">
      <c r="A23" s="395">
        <v>400</v>
      </c>
      <c r="B23" s="406" t="s">
        <v>8767</v>
      </c>
      <c r="C23" s="395" t="s">
        <v>2021</v>
      </c>
      <c r="D23" s="407">
        <f t="shared" si="0"/>
        <v>2.14</v>
      </c>
      <c r="F23" s="680">
        <v>2.14</v>
      </c>
      <c r="G23" s="680">
        <v>2.14</v>
      </c>
      <c r="H23" t="b">
        <f t="shared" si="1"/>
        <v>1</v>
      </c>
    </row>
    <row r="24" spans="1:8">
      <c r="A24" s="396">
        <v>39125</v>
      </c>
      <c r="B24" s="401" t="s">
        <v>8768</v>
      </c>
      <c r="C24" s="396" t="s">
        <v>2021</v>
      </c>
      <c r="D24" s="407">
        <f t="shared" si="0"/>
        <v>2.19</v>
      </c>
      <c r="F24" s="679">
        <v>2.19</v>
      </c>
      <c r="G24" s="679">
        <v>2.19</v>
      </c>
      <c r="H24" t="b">
        <f t="shared" si="1"/>
        <v>1</v>
      </c>
    </row>
    <row r="25" spans="1:8">
      <c r="A25" s="395">
        <v>39134</v>
      </c>
      <c r="B25" s="406" t="s">
        <v>8769</v>
      </c>
      <c r="C25" s="395" t="s">
        <v>2021</v>
      </c>
      <c r="D25" s="407">
        <f t="shared" si="0"/>
        <v>7.32</v>
      </c>
      <c r="F25" s="680">
        <v>7.32</v>
      </c>
      <c r="G25" s="680">
        <v>7.32</v>
      </c>
      <c r="H25" t="b">
        <f t="shared" si="1"/>
        <v>1</v>
      </c>
    </row>
    <row r="26" spans="1:8">
      <c r="A26" s="396">
        <v>398</v>
      </c>
      <c r="B26" s="401" t="s">
        <v>8770</v>
      </c>
      <c r="C26" s="396" t="s">
        <v>2021</v>
      </c>
      <c r="D26" s="405">
        <f t="shared" si="0"/>
        <v>6.75</v>
      </c>
      <c r="F26" s="679">
        <v>6.75</v>
      </c>
      <c r="G26" s="679">
        <v>6.75</v>
      </c>
      <c r="H26" t="b">
        <f t="shared" si="1"/>
        <v>1</v>
      </c>
    </row>
    <row r="27" spans="1:8">
      <c r="A27" s="395">
        <v>39126</v>
      </c>
      <c r="B27" s="406" t="s">
        <v>8771</v>
      </c>
      <c r="C27" s="395" t="s">
        <v>2021</v>
      </c>
      <c r="D27" s="407">
        <f t="shared" si="0"/>
        <v>9.89</v>
      </c>
      <c r="F27" s="680">
        <v>9.89</v>
      </c>
      <c r="G27" s="680">
        <v>9.89</v>
      </c>
      <c r="H27" t="b">
        <f t="shared" si="1"/>
        <v>1</v>
      </c>
    </row>
    <row r="28" spans="1:8">
      <c r="A28" s="396">
        <v>399</v>
      </c>
      <c r="B28" s="401" t="s">
        <v>8772</v>
      </c>
      <c r="C28" s="396" t="s">
        <v>2021</v>
      </c>
      <c r="D28" s="405">
        <f t="shared" si="0"/>
        <v>8.7100000000000009</v>
      </c>
      <c r="F28" s="679">
        <v>8.7100000000000009</v>
      </c>
      <c r="G28" s="679">
        <v>8.7100000000000009</v>
      </c>
      <c r="H28" t="b">
        <f t="shared" si="1"/>
        <v>1</v>
      </c>
    </row>
    <row r="29" spans="1:8">
      <c r="A29" s="395">
        <v>39158</v>
      </c>
      <c r="B29" s="406" t="s">
        <v>8773</v>
      </c>
      <c r="C29" s="395" t="s">
        <v>2021</v>
      </c>
      <c r="D29" s="407">
        <f t="shared" si="0"/>
        <v>23.39</v>
      </c>
      <c r="F29" s="680">
        <v>23.39</v>
      </c>
      <c r="G29" s="680">
        <v>23.39</v>
      </c>
      <c r="H29" t="b">
        <f t="shared" si="1"/>
        <v>1</v>
      </c>
    </row>
    <row r="30" spans="1:8">
      <c r="A30" s="396">
        <v>39141</v>
      </c>
      <c r="B30" s="401" t="s">
        <v>8774</v>
      </c>
      <c r="C30" s="396" t="s">
        <v>2021</v>
      </c>
      <c r="D30" s="405">
        <f t="shared" si="0"/>
        <v>1.7</v>
      </c>
      <c r="F30" s="679">
        <v>1.7</v>
      </c>
      <c r="G30" s="679">
        <v>1.7</v>
      </c>
      <c r="H30" t="b">
        <f t="shared" si="1"/>
        <v>1</v>
      </c>
    </row>
    <row r="31" spans="1:8">
      <c r="A31" s="395">
        <v>39140</v>
      </c>
      <c r="B31" s="406" t="s">
        <v>8775</v>
      </c>
      <c r="C31" s="395" t="s">
        <v>2021</v>
      </c>
      <c r="D31" s="407">
        <f t="shared" si="0"/>
        <v>1.54</v>
      </c>
      <c r="F31" s="680">
        <v>1.54</v>
      </c>
      <c r="G31" s="680">
        <v>1.54</v>
      </c>
      <c r="H31" t="b">
        <f t="shared" si="1"/>
        <v>1</v>
      </c>
    </row>
    <row r="32" spans="1:8">
      <c r="A32" s="396">
        <v>39137</v>
      </c>
      <c r="B32" s="401" t="s">
        <v>8776</v>
      </c>
      <c r="C32" s="396" t="s">
        <v>2021</v>
      </c>
      <c r="D32" s="405">
        <f t="shared" si="0"/>
        <v>0.88</v>
      </c>
      <c r="F32" s="679">
        <v>0.88</v>
      </c>
      <c r="G32" s="679">
        <v>0.88</v>
      </c>
      <c r="H32" t="b">
        <f t="shared" si="1"/>
        <v>1</v>
      </c>
    </row>
    <row r="33" spans="1:8">
      <c r="A33" s="395">
        <v>39139</v>
      </c>
      <c r="B33" s="406" t="s">
        <v>8777</v>
      </c>
      <c r="C33" s="395" t="s">
        <v>2021</v>
      </c>
      <c r="D33" s="407">
        <f t="shared" si="0"/>
        <v>1.28</v>
      </c>
      <c r="F33" s="680">
        <v>1.28</v>
      </c>
      <c r="G33" s="680">
        <v>1.28</v>
      </c>
      <c r="H33" t="b">
        <f t="shared" si="1"/>
        <v>1</v>
      </c>
    </row>
    <row r="34" spans="1:8">
      <c r="A34" s="396">
        <v>39143</v>
      </c>
      <c r="B34" s="401" t="s">
        <v>8778</v>
      </c>
      <c r="C34" s="396" t="s">
        <v>2021</v>
      </c>
      <c r="D34" s="405">
        <f t="shared" si="0"/>
        <v>3.5</v>
      </c>
      <c r="F34" s="679">
        <v>3.5</v>
      </c>
      <c r="G34" s="679">
        <v>3.5</v>
      </c>
      <c r="H34" t="b">
        <f t="shared" si="1"/>
        <v>1</v>
      </c>
    </row>
    <row r="35" spans="1:8">
      <c r="A35" s="395">
        <v>39142</v>
      </c>
      <c r="B35" s="406" t="s">
        <v>8779</v>
      </c>
      <c r="C35" s="395" t="s">
        <v>2021</v>
      </c>
      <c r="D35" s="407">
        <f t="shared" si="0"/>
        <v>2.5099999999999998</v>
      </c>
      <c r="F35" s="680">
        <v>2.5099999999999998</v>
      </c>
      <c r="G35" s="680">
        <v>2.5099999999999998</v>
      </c>
      <c r="H35" t="b">
        <f t="shared" si="1"/>
        <v>1</v>
      </c>
    </row>
    <row r="36" spans="1:8">
      <c r="A36" s="396">
        <v>39138</v>
      </c>
      <c r="B36" s="401" t="s">
        <v>8780</v>
      </c>
      <c r="C36" s="396" t="s">
        <v>2021</v>
      </c>
      <c r="D36" s="405">
        <f t="shared" si="0"/>
        <v>0.94</v>
      </c>
      <c r="F36" s="679">
        <v>0.94</v>
      </c>
      <c r="G36" s="679">
        <v>0.94</v>
      </c>
      <c r="H36" t="b">
        <f t="shared" si="1"/>
        <v>1</v>
      </c>
    </row>
    <row r="37" spans="1:8">
      <c r="A37" s="395">
        <v>39136</v>
      </c>
      <c r="B37" s="406" t="s">
        <v>8781</v>
      </c>
      <c r="C37" s="395" t="s">
        <v>2021</v>
      </c>
      <c r="D37" s="407">
        <f t="shared" si="0"/>
        <v>0.62</v>
      </c>
      <c r="F37" s="680">
        <v>0.62</v>
      </c>
      <c r="G37" s="680">
        <v>0.62</v>
      </c>
      <c r="H37" t="b">
        <f t="shared" si="1"/>
        <v>1</v>
      </c>
    </row>
    <row r="38" spans="1:8">
      <c r="A38" s="396">
        <v>39144</v>
      </c>
      <c r="B38" s="401" t="s">
        <v>8782</v>
      </c>
      <c r="C38" s="396" t="s">
        <v>2021</v>
      </c>
      <c r="D38" s="405">
        <f t="shared" si="0"/>
        <v>4.08</v>
      </c>
      <c r="F38" s="679">
        <v>4.08</v>
      </c>
      <c r="G38" s="679">
        <v>4.08</v>
      </c>
      <c r="H38" t="b">
        <f t="shared" si="1"/>
        <v>1</v>
      </c>
    </row>
    <row r="39" spans="1:8">
      <c r="A39" s="395">
        <v>39145</v>
      </c>
      <c r="B39" s="406" t="s">
        <v>8783</v>
      </c>
      <c r="C39" s="395" t="s">
        <v>2021</v>
      </c>
      <c r="D39" s="407">
        <f t="shared" si="0"/>
        <v>6.72</v>
      </c>
      <c r="F39" s="680">
        <v>6.72</v>
      </c>
      <c r="G39" s="680">
        <v>6.72</v>
      </c>
      <c r="H39" t="b">
        <f t="shared" si="1"/>
        <v>1</v>
      </c>
    </row>
    <row r="40" spans="1:8">
      <c r="A40" s="396">
        <v>12615</v>
      </c>
      <c r="B40" s="401" t="s">
        <v>8784</v>
      </c>
      <c r="C40" s="396" t="s">
        <v>2021</v>
      </c>
      <c r="D40" s="405">
        <f t="shared" si="0"/>
        <v>15.38</v>
      </c>
      <c r="F40" s="679">
        <v>15.38</v>
      </c>
      <c r="G40" s="679">
        <v>15.38</v>
      </c>
      <c r="H40" t="b">
        <f t="shared" si="1"/>
        <v>1</v>
      </c>
    </row>
    <row r="41" spans="1:8">
      <c r="A41" s="395">
        <v>11927</v>
      </c>
      <c r="B41" s="406" t="s">
        <v>8785</v>
      </c>
      <c r="C41" s="395" t="s">
        <v>2021</v>
      </c>
      <c r="D41" s="407">
        <f t="shared" si="0"/>
        <v>8.24</v>
      </c>
      <c r="F41" s="680">
        <v>8.24</v>
      </c>
      <c r="G41" s="680">
        <v>8.24</v>
      </c>
      <c r="H41" t="b">
        <f t="shared" si="1"/>
        <v>1</v>
      </c>
    </row>
    <row r="42" spans="1:8">
      <c r="A42" s="396">
        <v>11928</v>
      </c>
      <c r="B42" s="401" t="s">
        <v>8786</v>
      </c>
      <c r="C42" s="396" t="s">
        <v>2021</v>
      </c>
      <c r="D42" s="405">
        <f t="shared" si="0"/>
        <v>9.43</v>
      </c>
      <c r="F42" s="679">
        <v>9.43</v>
      </c>
      <c r="G42" s="679">
        <v>9.43</v>
      </c>
      <c r="H42" t="b">
        <f t="shared" si="1"/>
        <v>1</v>
      </c>
    </row>
    <row r="43" spans="1:8">
      <c r="A43" s="395">
        <v>11929</v>
      </c>
      <c r="B43" s="406" t="s">
        <v>8787</v>
      </c>
      <c r="C43" s="395" t="s">
        <v>2021</v>
      </c>
      <c r="D43" s="407">
        <f t="shared" si="0"/>
        <v>14.6</v>
      </c>
      <c r="F43" s="680">
        <v>14.6</v>
      </c>
      <c r="G43" s="680">
        <v>14.6</v>
      </c>
      <c r="H43" t="b">
        <f t="shared" si="1"/>
        <v>1</v>
      </c>
    </row>
    <row r="44" spans="1:8">
      <c r="A44" s="396">
        <v>36801</v>
      </c>
      <c r="B44" s="401" t="s">
        <v>8788</v>
      </c>
      <c r="C44" s="396" t="s">
        <v>2021</v>
      </c>
      <c r="D44" s="405">
        <f t="shared" si="0"/>
        <v>35.74</v>
      </c>
      <c r="F44" s="679">
        <v>35.74</v>
      </c>
      <c r="G44" s="679">
        <v>35.74</v>
      </c>
      <c r="H44" t="b">
        <f t="shared" si="1"/>
        <v>1</v>
      </c>
    </row>
    <row r="45" spans="1:8">
      <c r="A45" s="395">
        <v>36246</v>
      </c>
      <c r="B45" s="406" t="s">
        <v>8789</v>
      </c>
      <c r="C45" s="395" t="s">
        <v>2024</v>
      </c>
      <c r="D45" s="407">
        <f t="shared" si="0"/>
        <v>4.8</v>
      </c>
      <c r="F45" s="680">
        <v>4.8</v>
      </c>
      <c r="G45" s="680">
        <v>4.8</v>
      </c>
      <c r="H45" t="b">
        <f t="shared" si="1"/>
        <v>1</v>
      </c>
    </row>
    <row r="46" spans="1:8">
      <c r="A46" s="396">
        <v>37600</v>
      </c>
      <c r="B46" s="401" t="s">
        <v>8790</v>
      </c>
      <c r="C46" s="396" t="s">
        <v>2021</v>
      </c>
      <c r="D46" s="405">
        <f t="shared" si="0"/>
        <v>118.4</v>
      </c>
      <c r="F46" s="679">
        <v>118.4</v>
      </c>
      <c r="G46" s="679">
        <v>118.4</v>
      </c>
      <c r="H46" t="b">
        <f t="shared" si="1"/>
        <v>1</v>
      </c>
    </row>
    <row r="47" spans="1:8">
      <c r="A47" s="395">
        <v>37599</v>
      </c>
      <c r="B47" s="406" t="s">
        <v>8791</v>
      </c>
      <c r="C47" s="395" t="s">
        <v>2021</v>
      </c>
      <c r="D47" s="407">
        <f t="shared" si="0"/>
        <v>110.21</v>
      </c>
      <c r="F47" s="680">
        <v>110.21</v>
      </c>
      <c r="G47" s="680">
        <v>110.21</v>
      </c>
      <c r="H47" t="b">
        <f t="shared" si="1"/>
        <v>1</v>
      </c>
    </row>
    <row r="48" spans="1:8" ht="30">
      <c r="A48" s="396">
        <v>1</v>
      </c>
      <c r="B48" s="401" t="s">
        <v>8792</v>
      </c>
      <c r="C48" s="396" t="s">
        <v>2025</v>
      </c>
      <c r="D48" s="405">
        <f t="shared" si="0"/>
        <v>109.94</v>
      </c>
      <c r="F48" s="679">
        <v>109.94</v>
      </c>
      <c r="G48" s="679">
        <v>109.94</v>
      </c>
      <c r="H48" t="b">
        <f t="shared" si="1"/>
        <v>1</v>
      </c>
    </row>
    <row r="49" spans="1:8">
      <c r="A49" s="395">
        <v>3</v>
      </c>
      <c r="B49" s="406" t="s">
        <v>8793</v>
      </c>
      <c r="C49" s="395" t="s">
        <v>2026</v>
      </c>
      <c r="D49" s="407">
        <f t="shared" si="0"/>
        <v>13.67</v>
      </c>
      <c r="F49" s="680">
        <v>13.67</v>
      </c>
      <c r="G49" s="680">
        <v>13.67</v>
      </c>
      <c r="H49" t="b">
        <f t="shared" si="1"/>
        <v>1</v>
      </c>
    </row>
    <row r="50" spans="1:8">
      <c r="A50" s="396">
        <v>43054</v>
      </c>
      <c r="B50" s="401" t="s">
        <v>8794</v>
      </c>
      <c r="C50" s="396" t="s">
        <v>2025</v>
      </c>
      <c r="D50" s="405">
        <f t="shared" si="0"/>
        <v>12.07</v>
      </c>
      <c r="F50" s="679">
        <v>12.07</v>
      </c>
      <c r="G50" s="679">
        <v>12.07</v>
      </c>
      <c r="H50" t="b">
        <f t="shared" si="1"/>
        <v>1</v>
      </c>
    </row>
    <row r="51" spans="1:8">
      <c r="A51" s="395">
        <v>42402</v>
      </c>
      <c r="B51" s="406" t="s">
        <v>8795</v>
      </c>
      <c r="C51" s="395" t="s">
        <v>2025</v>
      </c>
      <c r="D51" s="407">
        <f t="shared" si="0"/>
        <v>11.53</v>
      </c>
      <c r="F51" s="680">
        <v>11.53</v>
      </c>
      <c r="G51" s="680">
        <v>11.53</v>
      </c>
      <c r="H51" t="b">
        <f t="shared" si="1"/>
        <v>1</v>
      </c>
    </row>
    <row r="52" spans="1:8">
      <c r="A52" s="396">
        <v>42403</v>
      </c>
      <c r="B52" s="401" t="s">
        <v>8796</v>
      </c>
      <c r="C52" s="396" t="s">
        <v>2025</v>
      </c>
      <c r="D52" s="405">
        <f t="shared" si="0"/>
        <v>14.8</v>
      </c>
      <c r="F52" s="679">
        <v>14.8</v>
      </c>
      <c r="G52" s="679">
        <v>14.8</v>
      </c>
      <c r="H52" t="b">
        <f t="shared" si="1"/>
        <v>1</v>
      </c>
    </row>
    <row r="53" spans="1:8">
      <c r="A53" s="395">
        <v>42404</v>
      </c>
      <c r="B53" s="406" t="s">
        <v>8797</v>
      </c>
      <c r="C53" s="395" t="s">
        <v>2025</v>
      </c>
      <c r="D53" s="407">
        <f t="shared" si="0"/>
        <v>14.71</v>
      </c>
      <c r="F53" s="680">
        <v>14.71</v>
      </c>
      <c r="G53" s="680">
        <v>14.71</v>
      </c>
      <c r="H53" t="b">
        <f t="shared" si="1"/>
        <v>1</v>
      </c>
    </row>
    <row r="54" spans="1:8">
      <c r="A54" s="396">
        <v>42405</v>
      </c>
      <c r="B54" s="401" t="s">
        <v>8798</v>
      </c>
      <c r="C54" s="396" t="s">
        <v>2025</v>
      </c>
      <c r="D54" s="405">
        <f t="shared" si="0"/>
        <v>15.67</v>
      </c>
      <c r="F54" s="679">
        <v>15.67</v>
      </c>
      <c r="G54" s="679">
        <v>15.67</v>
      </c>
      <c r="H54" t="b">
        <f t="shared" si="1"/>
        <v>1</v>
      </c>
    </row>
    <row r="55" spans="1:8">
      <c r="A55" s="395">
        <v>34341</v>
      </c>
      <c r="B55" s="406" t="s">
        <v>8799</v>
      </c>
      <c r="C55" s="395" t="s">
        <v>2025</v>
      </c>
      <c r="D55" s="407">
        <f t="shared" si="0"/>
        <v>13.6</v>
      </c>
      <c r="F55" s="680">
        <v>13.6</v>
      </c>
      <c r="G55" s="680">
        <v>13.6</v>
      </c>
      <c r="H55" t="b">
        <f t="shared" si="1"/>
        <v>1</v>
      </c>
    </row>
    <row r="56" spans="1:8">
      <c r="A56" s="396">
        <v>43053</v>
      </c>
      <c r="B56" s="401" t="s">
        <v>8800</v>
      </c>
      <c r="C56" s="396" t="s">
        <v>2025</v>
      </c>
      <c r="D56" s="405">
        <f t="shared" si="0"/>
        <v>10.78</v>
      </c>
      <c r="F56" s="679">
        <v>10.78</v>
      </c>
      <c r="G56" s="679">
        <v>10.78</v>
      </c>
      <c r="H56" t="b">
        <f t="shared" si="1"/>
        <v>1</v>
      </c>
    </row>
    <row r="57" spans="1:8">
      <c r="A57" s="395">
        <v>43058</v>
      </c>
      <c r="B57" s="406" t="s">
        <v>8801</v>
      </c>
      <c r="C57" s="395" t="s">
        <v>2025</v>
      </c>
      <c r="D57" s="407">
        <f t="shared" si="0"/>
        <v>11.18</v>
      </c>
      <c r="F57" s="680">
        <v>11.18</v>
      </c>
      <c r="G57" s="680">
        <v>11.18</v>
      </c>
      <c r="H57" t="b">
        <f t="shared" si="1"/>
        <v>1</v>
      </c>
    </row>
    <row r="58" spans="1:8">
      <c r="A58" s="396">
        <v>34</v>
      </c>
      <c r="B58" s="401" t="s">
        <v>8802</v>
      </c>
      <c r="C58" s="396" t="s">
        <v>2025</v>
      </c>
      <c r="D58" s="405">
        <f t="shared" si="0"/>
        <v>11.23</v>
      </c>
      <c r="F58" s="679">
        <v>11.23</v>
      </c>
      <c r="G58" s="679">
        <v>11.23</v>
      </c>
      <c r="H58" t="b">
        <f t="shared" si="1"/>
        <v>1</v>
      </c>
    </row>
    <row r="59" spans="1:8">
      <c r="A59" s="395">
        <v>43055</v>
      </c>
      <c r="B59" s="406" t="s">
        <v>8803</v>
      </c>
      <c r="C59" s="395" t="s">
        <v>2025</v>
      </c>
      <c r="D59" s="407">
        <f t="shared" si="0"/>
        <v>9.73</v>
      </c>
      <c r="F59" s="680">
        <v>9.73</v>
      </c>
      <c r="G59" s="680">
        <v>9.73</v>
      </c>
      <c r="H59" t="b">
        <f t="shared" si="1"/>
        <v>1</v>
      </c>
    </row>
    <row r="60" spans="1:8">
      <c r="A60" s="396">
        <v>43056</v>
      </c>
      <c r="B60" s="401" t="s">
        <v>8804</v>
      </c>
      <c r="C60" s="396" t="s">
        <v>2025</v>
      </c>
      <c r="D60" s="405">
        <f t="shared" si="0"/>
        <v>11.22</v>
      </c>
      <c r="F60" s="679">
        <v>11.22</v>
      </c>
      <c r="G60" s="679">
        <v>11.22</v>
      </c>
      <c r="H60" t="b">
        <f t="shared" si="1"/>
        <v>1</v>
      </c>
    </row>
    <row r="61" spans="1:8">
      <c r="A61" s="395">
        <v>43057</v>
      </c>
      <c r="B61" s="406" t="s">
        <v>8805</v>
      </c>
      <c r="C61" s="395" t="s">
        <v>2025</v>
      </c>
      <c r="D61" s="407">
        <f t="shared" si="0"/>
        <v>12.33</v>
      </c>
      <c r="F61" s="680">
        <v>12.33</v>
      </c>
      <c r="G61" s="680">
        <v>12.33</v>
      </c>
      <c r="H61" t="b">
        <f t="shared" si="1"/>
        <v>1</v>
      </c>
    </row>
    <row r="62" spans="1:8">
      <c r="A62" s="396">
        <v>34449</v>
      </c>
      <c r="B62" s="401" t="s">
        <v>8806</v>
      </c>
      <c r="C62" s="396" t="s">
        <v>2025</v>
      </c>
      <c r="D62" s="405">
        <f t="shared" si="0"/>
        <v>13.18</v>
      </c>
      <c r="F62" s="679">
        <v>13.18</v>
      </c>
      <c r="G62" s="679">
        <v>13.18</v>
      </c>
      <c r="H62" t="b">
        <f t="shared" si="1"/>
        <v>1</v>
      </c>
    </row>
    <row r="63" spans="1:8">
      <c r="A63" s="395">
        <v>32</v>
      </c>
      <c r="B63" s="406" t="s">
        <v>8807</v>
      </c>
      <c r="C63" s="395" t="s">
        <v>2025</v>
      </c>
      <c r="D63" s="407">
        <f t="shared" si="0"/>
        <v>11.85</v>
      </c>
      <c r="F63" s="680">
        <v>11.85</v>
      </c>
      <c r="G63" s="680">
        <v>11.85</v>
      </c>
      <c r="H63" t="b">
        <f t="shared" si="1"/>
        <v>1</v>
      </c>
    </row>
    <row r="64" spans="1:8">
      <c r="A64" s="396">
        <v>33</v>
      </c>
      <c r="B64" s="401" t="s">
        <v>8808</v>
      </c>
      <c r="C64" s="396" t="s">
        <v>2025</v>
      </c>
      <c r="D64" s="405">
        <f t="shared" si="0"/>
        <v>11.92</v>
      </c>
      <c r="F64" s="679">
        <v>11.92</v>
      </c>
      <c r="G64" s="679">
        <v>11.92</v>
      </c>
      <c r="H64" t="b">
        <f t="shared" si="1"/>
        <v>1</v>
      </c>
    </row>
    <row r="65" spans="1:8">
      <c r="A65" s="395">
        <v>43061</v>
      </c>
      <c r="B65" s="406" t="s">
        <v>8809</v>
      </c>
      <c r="C65" s="395" t="s">
        <v>2025</v>
      </c>
      <c r="D65" s="407">
        <f t="shared" si="0"/>
        <v>11.14</v>
      </c>
      <c r="F65" s="680">
        <v>11.14</v>
      </c>
      <c r="G65" s="680">
        <v>11.14</v>
      </c>
      <c r="H65" t="b">
        <f t="shared" si="1"/>
        <v>1</v>
      </c>
    </row>
    <row r="66" spans="1:8">
      <c r="A66" s="396">
        <v>43059</v>
      </c>
      <c r="B66" s="401" t="s">
        <v>8810</v>
      </c>
      <c r="C66" s="396" t="s">
        <v>2025</v>
      </c>
      <c r="D66" s="405">
        <f t="shared" si="0"/>
        <v>10.63</v>
      </c>
      <c r="F66" s="679">
        <v>10.63</v>
      </c>
      <c r="G66" s="679">
        <v>10.63</v>
      </c>
      <c r="H66" t="b">
        <f t="shared" si="1"/>
        <v>1</v>
      </c>
    </row>
    <row r="67" spans="1:8">
      <c r="A67" s="395">
        <v>43062</v>
      </c>
      <c r="B67" s="406" t="s">
        <v>8811</v>
      </c>
      <c r="C67" s="395" t="s">
        <v>2025</v>
      </c>
      <c r="D67" s="407">
        <f t="shared" ref="D67:D130" si="2">IF($J$2=$F$1,F67,G67)</f>
        <v>11.78</v>
      </c>
      <c r="F67" s="680">
        <v>11.78</v>
      </c>
      <c r="G67" s="680">
        <v>11.78</v>
      </c>
      <c r="H67" t="b">
        <f t="shared" ref="H67:H130" si="3">F67=G67</f>
        <v>1</v>
      </c>
    </row>
    <row r="68" spans="1:8">
      <c r="A68" s="396">
        <v>43060</v>
      </c>
      <c r="B68" s="401" t="s">
        <v>8812</v>
      </c>
      <c r="C68" s="396" t="s">
        <v>2025</v>
      </c>
      <c r="D68" s="405">
        <f t="shared" si="2"/>
        <v>9.26</v>
      </c>
      <c r="F68" s="679">
        <v>9.26</v>
      </c>
      <c r="G68" s="679">
        <v>9.26</v>
      </c>
      <c r="H68" t="b">
        <f t="shared" si="3"/>
        <v>1</v>
      </c>
    </row>
    <row r="69" spans="1:8">
      <c r="A69" s="395">
        <v>40410</v>
      </c>
      <c r="B69" s="406" t="s">
        <v>8813</v>
      </c>
      <c r="C69" s="395" t="s">
        <v>2021</v>
      </c>
      <c r="D69" s="407">
        <f t="shared" si="2"/>
        <v>26.72</v>
      </c>
      <c r="F69" s="680">
        <v>26.72</v>
      </c>
      <c r="G69" s="680">
        <v>26.72</v>
      </c>
      <c r="H69" t="b">
        <f t="shared" si="3"/>
        <v>1</v>
      </c>
    </row>
    <row r="70" spans="1:8">
      <c r="A70" s="396">
        <v>40411</v>
      </c>
      <c r="B70" s="401" t="s">
        <v>8814</v>
      </c>
      <c r="C70" s="396" t="s">
        <v>2021</v>
      </c>
      <c r="D70" s="405">
        <f t="shared" si="2"/>
        <v>29</v>
      </c>
      <c r="F70" s="679">
        <v>29</v>
      </c>
      <c r="G70" s="679">
        <v>29</v>
      </c>
      <c r="H70" t="b">
        <f t="shared" si="3"/>
        <v>1</v>
      </c>
    </row>
    <row r="71" spans="1:8">
      <c r="A71" s="395">
        <v>40412</v>
      </c>
      <c r="B71" s="406" t="s">
        <v>8815</v>
      </c>
      <c r="C71" s="395" t="s">
        <v>2021</v>
      </c>
      <c r="D71" s="407">
        <f t="shared" si="2"/>
        <v>32.54</v>
      </c>
      <c r="F71" s="680">
        <v>32.54</v>
      </c>
      <c r="G71" s="680">
        <v>32.54</v>
      </c>
      <c r="H71" t="b">
        <f t="shared" si="3"/>
        <v>1</v>
      </c>
    </row>
    <row r="72" spans="1:8">
      <c r="A72" s="396">
        <v>44254</v>
      </c>
      <c r="B72" s="401" t="s">
        <v>8816</v>
      </c>
      <c r="C72" s="396" t="s">
        <v>2021</v>
      </c>
      <c r="D72" s="405">
        <f t="shared" si="2"/>
        <v>27.31</v>
      </c>
      <c r="F72" s="679">
        <v>27.31</v>
      </c>
      <c r="G72" s="679">
        <v>27.31</v>
      </c>
      <c r="H72" t="b">
        <f t="shared" si="3"/>
        <v>1</v>
      </c>
    </row>
    <row r="73" spans="1:8">
      <c r="A73" s="395">
        <v>44255</v>
      </c>
      <c r="B73" s="406" t="s">
        <v>8817</v>
      </c>
      <c r="C73" s="395" t="s">
        <v>2021</v>
      </c>
      <c r="D73" s="407">
        <f t="shared" si="2"/>
        <v>30.27</v>
      </c>
      <c r="F73" s="680">
        <v>30.27</v>
      </c>
      <c r="G73" s="680">
        <v>30.27</v>
      </c>
      <c r="H73" t="b">
        <f t="shared" si="3"/>
        <v>1</v>
      </c>
    </row>
    <row r="74" spans="1:8">
      <c r="A74" s="396">
        <v>44256</v>
      </c>
      <c r="B74" s="401" t="s">
        <v>8818</v>
      </c>
      <c r="C74" s="396" t="s">
        <v>2021</v>
      </c>
      <c r="D74" s="405">
        <f t="shared" si="2"/>
        <v>34.19</v>
      </c>
      <c r="F74" s="679">
        <v>34.19</v>
      </c>
      <c r="G74" s="679">
        <v>34.19</v>
      </c>
      <c r="H74" t="b">
        <f t="shared" si="3"/>
        <v>1</v>
      </c>
    </row>
    <row r="75" spans="1:8">
      <c r="A75" s="395">
        <v>44257</v>
      </c>
      <c r="B75" s="406" t="s">
        <v>8819</v>
      </c>
      <c r="C75" s="395" t="s">
        <v>2021</v>
      </c>
      <c r="D75" s="407">
        <f t="shared" si="2"/>
        <v>54.08</v>
      </c>
      <c r="F75" s="680">
        <v>54.08</v>
      </c>
      <c r="G75" s="680">
        <v>54.08</v>
      </c>
      <c r="H75" t="b">
        <f t="shared" si="3"/>
        <v>1</v>
      </c>
    </row>
    <row r="76" spans="1:8">
      <c r="A76" s="396">
        <v>44258</v>
      </c>
      <c r="B76" s="401" t="s">
        <v>8820</v>
      </c>
      <c r="C76" s="396" t="s">
        <v>2021</v>
      </c>
      <c r="D76" s="405">
        <f t="shared" si="2"/>
        <v>61.81</v>
      </c>
      <c r="F76" s="679">
        <v>61.81</v>
      </c>
      <c r="G76" s="679">
        <v>61.81</v>
      </c>
      <c r="H76" t="b">
        <f t="shared" si="3"/>
        <v>1</v>
      </c>
    </row>
    <row r="77" spans="1:8">
      <c r="A77" s="395">
        <v>44259</v>
      </c>
      <c r="B77" s="406" t="s">
        <v>8821</v>
      </c>
      <c r="C77" s="395" t="s">
        <v>2021</v>
      </c>
      <c r="D77" s="407">
        <f t="shared" si="2"/>
        <v>84.84</v>
      </c>
      <c r="F77" s="680">
        <v>84.84</v>
      </c>
      <c r="G77" s="680">
        <v>84.84</v>
      </c>
      <c r="H77" t="b">
        <f t="shared" si="3"/>
        <v>1</v>
      </c>
    </row>
    <row r="78" spans="1:8" ht="30">
      <c r="A78" s="396">
        <v>55</v>
      </c>
      <c r="B78" s="401" t="s">
        <v>8822</v>
      </c>
      <c r="C78" s="396" t="s">
        <v>2021</v>
      </c>
      <c r="D78" s="405">
        <f t="shared" si="2"/>
        <v>4.6500000000000004</v>
      </c>
      <c r="F78" s="679">
        <v>4.6500000000000004</v>
      </c>
      <c r="G78" s="679">
        <v>4.6500000000000004</v>
      </c>
      <c r="H78" t="b">
        <f t="shared" si="3"/>
        <v>1</v>
      </c>
    </row>
    <row r="79" spans="1:8" ht="30">
      <c r="A79" s="395">
        <v>61</v>
      </c>
      <c r="B79" s="406" t="s">
        <v>8823</v>
      </c>
      <c r="C79" s="395" t="s">
        <v>2021</v>
      </c>
      <c r="D79" s="407">
        <f t="shared" si="2"/>
        <v>4.4000000000000004</v>
      </c>
      <c r="F79" s="680">
        <v>4.4000000000000004</v>
      </c>
      <c r="G79" s="680">
        <v>4.4000000000000004</v>
      </c>
      <c r="H79" t="b">
        <f t="shared" si="3"/>
        <v>1</v>
      </c>
    </row>
    <row r="80" spans="1:8" ht="30">
      <c r="A80" s="396">
        <v>62</v>
      </c>
      <c r="B80" s="401" t="s">
        <v>8824</v>
      </c>
      <c r="C80" s="396" t="s">
        <v>2021</v>
      </c>
      <c r="D80" s="405">
        <f t="shared" si="2"/>
        <v>9.11</v>
      </c>
      <c r="F80" s="679">
        <v>9.11</v>
      </c>
      <c r="G80" s="679">
        <v>9.11</v>
      </c>
      <c r="H80" t="b">
        <f t="shared" si="3"/>
        <v>1</v>
      </c>
    </row>
    <row r="81" spans="1:8">
      <c r="A81" s="395">
        <v>103</v>
      </c>
      <c r="B81" s="406" t="s">
        <v>8825</v>
      </c>
      <c r="C81" s="395" t="s">
        <v>2021</v>
      </c>
      <c r="D81" s="407">
        <f t="shared" si="2"/>
        <v>54.47</v>
      </c>
      <c r="F81" s="680">
        <v>54.47</v>
      </c>
      <c r="G81" s="680">
        <v>54.47</v>
      </c>
      <c r="H81" t="b">
        <f t="shared" si="3"/>
        <v>1</v>
      </c>
    </row>
    <row r="82" spans="1:8">
      <c r="A82" s="396">
        <v>107</v>
      </c>
      <c r="B82" s="401" t="s">
        <v>8826</v>
      </c>
      <c r="C82" s="396" t="s">
        <v>2021</v>
      </c>
      <c r="D82" s="405">
        <f t="shared" si="2"/>
        <v>1.02</v>
      </c>
      <c r="F82" s="679">
        <v>1.02</v>
      </c>
      <c r="G82" s="679">
        <v>1.02</v>
      </c>
      <c r="H82" t="b">
        <f t="shared" si="3"/>
        <v>1</v>
      </c>
    </row>
    <row r="83" spans="1:8">
      <c r="A83" s="395">
        <v>65</v>
      </c>
      <c r="B83" s="406" t="s">
        <v>8827</v>
      </c>
      <c r="C83" s="395" t="s">
        <v>2021</v>
      </c>
      <c r="D83" s="407">
        <f t="shared" si="2"/>
        <v>1.1200000000000001</v>
      </c>
      <c r="F83" s="680">
        <v>1.1200000000000001</v>
      </c>
      <c r="G83" s="680">
        <v>1.1200000000000001</v>
      </c>
      <c r="H83" t="b">
        <f t="shared" si="3"/>
        <v>1</v>
      </c>
    </row>
    <row r="84" spans="1:8">
      <c r="A84" s="396">
        <v>108</v>
      </c>
      <c r="B84" s="401" t="s">
        <v>8828</v>
      </c>
      <c r="C84" s="396" t="s">
        <v>2021</v>
      </c>
      <c r="D84" s="405">
        <f t="shared" si="2"/>
        <v>2.2599999999999998</v>
      </c>
      <c r="F84" s="679">
        <v>2.2599999999999998</v>
      </c>
      <c r="G84" s="679">
        <v>2.2599999999999998</v>
      </c>
      <c r="H84" t="b">
        <f t="shared" si="3"/>
        <v>1</v>
      </c>
    </row>
    <row r="85" spans="1:8">
      <c r="A85" s="395">
        <v>110</v>
      </c>
      <c r="B85" s="406" t="s">
        <v>8829</v>
      </c>
      <c r="C85" s="395" t="s">
        <v>2021</v>
      </c>
      <c r="D85" s="407">
        <f t="shared" si="2"/>
        <v>7.84</v>
      </c>
      <c r="F85" s="680">
        <v>7.84</v>
      </c>
      <c r="G85" s="680">
        <v>7.84</v>
      </c>
      <c r="H85" t="b">
        <f t="shared" si="3"/>
        <v>1</v>
      </c>
    </row>
    <row r="86" spans="1:8">
      <c r="A86" s="396">
        <v>109</v>
      </c>
      <c r="B86" s="401" t="s">
        <v>8830</v>
      </c>
      <c r="C86" s="396" t="s">
        <v>2021</v>
      </c>
      <c r="D86" s="405">
        <f t="shared" si="2"/>
        <v>4.67</v>
      </c>
      <c r="F86" s="679">
        <v>4.67</v>
      </c>
      <c r="G86" s="679">
        <v>4.67</v>
      </c>
      <c r="H86" t="b">
        <f t="shared" si="3"/>
        <v>1</v>
      </c>
    </row>
    <row r="87" spans="1:8">
      <c r="A87" s="395">
        <v>111</v>
      </c>
      <c r="B87" s="406" t="s">
        <v>8831</v>
      </c>
      <c r="C87" s="395" t="s">
        <v>2021</v>
      </c>
      <c r="D87" s="407">
        <f t="shared" si="2"/>
        <v>10.6</v>
      </c>
      <c r="F87" s="680">
        <v>10.6</v>
      </c>
      <c r="G87" s="680">
        <v>10.6</v>
      </c>
      <c r="H87" t="b">
        <f t="shared" si="3"/>
        <v>1</v>
      </c>
    </row>
    <row r="88" spans="1:8">
      <c r="A88" s="396">
        <v>112</v>
      </c>
      <c r="B88" s="401" t="s">
        <v>8832</v>
      </c>
      <c r="C88" s="396" t="s">
        <v>2021</v>
      </c>
      <c r="D88" s="405">
        <f t="shared" si="2"/>
        <v>5.62</v>
      </c>
      <c r="F88" s="679">
        <v>5.62</v>
      </c>
      <c r="G88" s="679">
        <v>5.62</v>
      </c>
      <c r="H88" t="b">
        <f t="shared" si="3"/>
        <v>1</v>
      </c>
    </row>
    <row r="89" spans="1:8">
      <c r="A89" s="395">
        <v>113</v>
      </c>
      <c r="B89" s="406" t="s">
        <v>8833</v>
      </c>
      <c r="C89" s="395" t="s">
        <v>2021</v>
      </c>
      <c r="D89" s="407">
        <f t="shared" si="2"/>
        <v>14.07</v>
      </c>
      <c r="F89" s="680">
        <v>14.07</v>
      </c>
      <c r="G89" s="680">
        <v>14.07</v>
      </c>
      <c r="H89" t="b">
        <f t="shared" si="3"/>
        <v>1</v>
      </c>
    </row>
    <row r="90" spans="1:8">
      <c r="A90" s="396">
        <v>104</v>
      </c>
      <c r="B90" s="401" t="s">
        <v>8834</v>
      </c>
      <c r="C90" s="396" t="s">
        <v>2021</v>
      </c>
      <c r="D90" s="405">
        <f t="shared" si="2"/>
        <v>24.48</v>
      </c>
      <c r="F90" s="679">
        <v>24.48</v>
      </c>
      <c r="G90" s="679">
        <v>24.48</v>
      </c>
      <c r="H90" t="b">
        <f t="shared" si="3"/>
        <v>1</v>
      </c>
    </row>
    <row r="91" spans="1:8">
      <c r="A91" s="395">
        <v>102</v>
      </c>
      <c r="B91" s="406" t="s">
        <v>8835</v>
      </c>
      <c r="C91" s="395" t="s">
        <v>2021</v>
      </c>
      <c r="D91" s="407">
        <f t="shared" si="2"/>
        <v>33.75</v>
      </c>
      <c r="F91" s="680">
        <v>33.75</v>
      </c>
      <c r="G91" s="680">
        <v>33.75</v>
      </c>
      <c r="H91" t="b">
        <f t="shared" si="3"/>
        <v>1</v>
      </c>
    </row>
    <row r="92" spans="1:8">
      <c r="A92" s="396">
        <v>95</v>
      </c>
      <c r="B92" s="401" t="s">
        <v>8836</v>
      </c>
      <c r="C92" s="396" t="s">
        <v>2021</v>
      </c>
      <c r="D92" s="405">
        <f t="shared" si="2"/>
        <v>14.26</v>
      </c>
      <c r="F92" s="679">
        <v>14.26</v>
      </c>
      <c r="G92" s="679">
        <v>14.26</v>
      </c>
      <c r="H92" t="b">
        <f t="shared" si="3"/>
        <v>1</v>
      </c>
    </row>
    <row r="93" spans="1:8">
      <c r="A93" s="395">
        <v>96</v>
      </c>
      <c r="B93" s="406" t="s">
        <v>8837</v>
      </c>
      <c r="C93" s="395" t="s">
        <v>2021</v>
      </c>
      <c r="D93" s="407">
        <f t="shared" si="2"/>
        <v>15.52</v>
      </c>
      <c r="F93" s="680">
        <v>15.52</v>
      </c>
      <c r="G93" s="680">
        <v>15.52</v>
      </c>
      <c r="H93" t="b">
        <f t="shared" si="3"/>
        <v>1</v>
      </c>
    </row>
    <row r="94" spans="1:8">
      <c r="A94" s="396">
        <v>97</v>
      </c>
      <c r="B94" s="401" t="s">
        <v>8838</v>
      </c>
      <c r="C94" s="396" t="s">
        <v>2021</v>
      </c>
      <c r="D94" s="405">
        <f t="shared" si="2"/>
        <v>23.34</v>
      </c>
      <c r="F94" s="679">
        <v>23.34</v>
      </c>
      <c r="G94" s="679">
        <v>23.34</v>
      </c>
      <c r="H94" t="b">
        <f t="shared" si="3"/>
        <v>1</v>
      </c>
    </row>
    <row r="95" spans="1:8">
      <c r="A95" s="395">
        <v>98</v>
      </c>
      <c r="B95" s="406" t="s">
        <v>8839</v>
      </c>
      <c r="C95" s="395" t="s">
        <v>2021</v>
      </c>
      <c r="D95" s="407">
        <f t="shared" si="2"/>
        <v>34.94</v>
      </c>
      <c r="F95" s="680">
        <v>34.94</v>
      </c>
      <c r="G95" s="680">
        <v>34.94</v>
      </c>
      <c r="H95" t="b">
        <f t="shared" si="3"/>
        <v>1</v>
      </c>
    </row>
    <row r="96" spans="1:8">
      <c r="A96" s="396">
        <v>99</v>
      </c>
      <c r="B96" s="401" t="s">
        <v>8840</v>
      </c>
      <c r="C96" s="396" t="s">
        <v>2021</v>
      </c>
      <c r="D96" s="405">
        <f t="shared" si="2"/>
        <v>33.020000000000003</v>
      </c>
      <c r="F96" s="679">
        <v>33.020000000000003</v>
      </c>
      <c r="G96" s="679">
        <v>33.020000000000003</v>
      </c>
      <c r="H96" t="b">
        <f t="shared" si="3"/>
        <v>1</v>
      </c>
    </row>
    <row r="97" spans="1:8">
      <c r="A97" s="395">
        <v>100</v>
      </c>
      <c r="B97" s="406" t="s">
        <v>8841</v>
      </c>
      <c r="C97" s="395" t="s">
        <v>2021</v>
      </c>
      <c r="D97" s="407">
        <f t="shared" si="2"/>
        <v>57.7</v>
      </c>
      <c r="F97" s="680">
        <v>57.7</v>
      </c>
      <c r="G97" s="680">
        <v>57.7</v>
      </c>
      <c r="H97" t="b">
        <f t="shared" si="3"/>
        <v>1</v>
      </c>
    </row>
    <row r="98" spans="1:8">
      <c r="A98" s="396">
        <v>75</v>
      </c>
      <c r="B98" s="401" t="s">
        <v>8842</v>
      </c>
      <c r="C98" s="396" t="s">
        <v>2021</v>
      </c>
      <c r="D98" s="405">
        <f t="shared" si="2"/>
        <v>336.4</v>
      </c>
      <c r="F98" s="679">
        <v>336.4</v>
      </c>
      <c r="G98" s="679">
        <v>336.4</v>
      </c>
      <c r="H98" t="b">
        <f t="shared" si="3"/>
        <v>1</v>
      </c>
    </row>
    <row r="99" spans="1:8">
      <c r="A99" s="395">
        <v>83</v>
      </c>
      <c r="B99" s="406" t="s">
        <v>8843</v>
      </c>
      <c r="C99" s="395" t="s">
        <v>2021</v>
      </c>
      <c r="D99" s="407">
        <f t="shared" si="2"/>
        <v>268.94</v>
      </c>
      <c r="F99" s="680">
        <v>268.94</v>
      </c>
      <c r="G99" s="680">
        <v>268.94</v>
      </c>
      <c r="H99" t="b">
        <f t="shared" si="3"/>
        <v>1</v>
      </c>
    </row>
    <row r="100" spans="1:8">
      <c r="A100" s="396">
        <v>74</v>
      </c>
      <c r="B100" s="401" t="s">
        <v>8844</v>
      </c>
      <c r="C100" s="396" t="s">
        <v>2021</v>
      </c>
      <c r="D100" s="405">
        <f t="shared" si="2"/>
        <v>384.51</v>
      </c>
      <c r="F100" s="679">
        <v>384.51</v>
      </c>
      <c r="G100" s="679">
        <v>384.51</v>
      </c>
      <c r="H100" t="b">
        <f t="shared" si="3"/>
        <v>1</v>
      </c>
    </row>
    <row r="101" spans="1:8">
      <c r="A101" s="395">
        <v>106</v>
      </c>
      <c r="B101" s="406" t="s">
        <v>8845</v>
      </c>
      <c r="C101" s="395" t="s">
        <v>2021</v>
      </c>
      <c r="D101" s="407">
        <f t="shared" si="2"/>
        <v>486.22</v>
      </c>
      <c r="F101" s="680">
        <v>486.22</v>
      </c>
      <c r="G101" s="680">
        <v>486.22</v>
      </c>
      <c r="H101" t="b">
        <f t="shared" si="3"/>
        <v>1</v>
      </c>
    </row>
    <row r="102" spans="1:8">
      <c r="A102" s="396">
        <v>88</v>
      </c>
      <c r="B102" s="401" t="s">
        <v>8846</v>
      </c>
      <c r="C102" s="396" t="s">
        <v>2021</v>
      </c>
      <c r="D102" s="405">
        <f t="shared" si="2"/>
        <v>13.66</v>
      </c>
      <c r="F102" s="679">
        <v>13.66</v>
      </c>
      <c r="G102" s="679">
        <v>13.66</v>
      </c>
      <c r="H102" t="b">
        <f t="shared" si="3"/>
        <v>1</v>
      </c>
    </row>
    <row r="103" spans="1:8">
      <c r="A103" s="395">
        <v>82</v>
      </c>
      <c r="B103" s="406" t="s">
        <v>8847</v>
      </c>
      <c r="C103" s="395" t="s">
        <v>2021</v>
      </c>
      <c r="D103" s="407">
        <f t="shared" si="2"/>
        <v>255.87</v>
      </c>
      <c r="F103" s="680">
        <v>255.87</v>
      </c>
      <c r="G103" s="680">
        <v>255.87</v>
      </c>
      <c r="H103" t="b">
        <f t="shared" si="3"/>
        <v>1</v>
      </c>
    </row>
    <row r="104" spans="1:8">
      <c r="A104" s="396">
        <v>105</v>
      </c>
      <c r="B104" s="401" t="s">
        <v>8848</v>
      </c>
      <c r="C104" s="396" t="s">
        <v>2021</v>
      </c>
      <c r="D104" s="405">
        <f t="shared" si="2"/>
        <v>362.57</v>
      </c>
      <c r="F104" s="679">
        <v>362.57</v>
      </c>
      <c r="G104" s="679">
        <v>362.57</v>
      </c>
      <c r="H104" t="b">
        <f t="shared" si="3"/>
        <v>1</v>
      </c>
    </row>
    <row r="105" spans="1:8">
      <c r="A105" s="395">
        <v>60</v>
      </c>
      <c r="B105" s="406" t="s">
        <v>8849</v>
      </c>
      <c r="C105" s="395" t="s">
        <v>2021</v>
      </c>
      <c r="D105" s="407">
        <f t="shared" si="2"/>
        <v>6.03</v>
      </c>
      <c r="F105" s="680">
        <v>6.03</v>
      </c>
      <c r="G105" s="680">
        <v>6.03</v>
      </c>
      <c r="H105" t="b">
        <f t="shared" si="3"/>
        <v>1</v>
      </c>
    </row>
    <row r="106" spans="1:8">
      <c r="A106" s="396">
        <v>72</v>
      </c>
      <c r="B106" s="401" t="s">
        <v>8850</v>
      </c>
      <c r="C106" s="396" t="s">
        <v>2021</v>
      </c>
      <c r="D106" s="405">
        <f t="shared" si="2"/>
        <v>63.34</v>
      </c>
      <c r="F106" s="679">
        <v>63.34</v>
      </c>
      <c r="G106" s="679">
        <v>63.34</v>
      </c>
      <c r="H106" t="b">
        <f t="shared" si="3"/>
        <v>1</v>
      </c>
    </row>
    <row r="107" spans="1:8">
      <c r="A107" s="395">
        <v>67</v>
      </c>
      <c r="B107" s="406" t="s">
        <v>8851</v>
      </c>
      <c r="C107" s="395" t="s">
        <v>2021</v>
      </c>
      <c r="D107" s="407">
        <f t="shared" si="2"/>
        <v>20.48</v>
      </c>
      <c r="F107" s="680">
        <v>20.48</v>
      </c>
      <c r="G107" s="680">
        <v>20.48</v>
      </c>
      <c r="H107" t="b">
        <f t="shared" si="3"/>
        <v>1</v>
      </c>
    </row>
    <row r="108" spans="1:8">
      <c r="A108" s="396">
        <v>71</v>
      </c>
      <c r="B108" s="401" t="s">
        <v>8852</v>
      </c>
      <c r="C108" s="396" t="s">
        <v>2021</v>
      </c>
      <c r="D108" s="405">
        <f t="shared" si="2"/>
        <v>39.119999999999997</v>
      </c>
      <c r="F108" s="679">
        <v>39.119999999999997</v>
      </c>
      <c r="G108" s="679">
        <v>39.119999999999997</v>
      </c>
      <c r="H108" t="b">
        <f t="shared" si="3"/>
        <v>1</v>
      </c>
    </row>
    <row r="109" spans="1:8">
      <c r="A109" s="395">
        <v>73</v>
      </c>
      <c r="B109" s="406" t="s">
        <v>8853</v>
      </c>
      <c r="C109" s="395" t="s">
        <v>2021</v>
      </c>
      <c r="D109" s="407">
        <f t="shared" si="2"/>
        <v>19.600000000000001</v>
      </c>
      <c r="F109" s="680">
        <v>19.600000000000001</v>
      </c>
      <c r="G109" s="680">
        <v>19.600000000000001</v>
      </c>
      <c r="H109" t="b">
        <f t="shared" si="3"/>
        <v>1</v>
      </c>
    </row>
    <row r="110" spans="1:8">
      <c r="A110" s="396">
        <v>37997</v>
      </c>
      <c r="B110" s="401" t="s">
        <v>8854</v>
      </c>
      <c r="C110" s="396" t="s">
        <v>2021</v>
      </c>
      <c r="D110" s="405">
        <f t="shared" si="2"/>
        <v>16.27</v>
      </c>
      <c r="F110" s="679">
        <v>16.27</v>
      </c>
      <c r="G110" s="679">
        <v>16.27</v>
      </c>
      <c r="H110" t="b">
        <f t="shared" si="3"/>
        <v>1</v>
      </c>
    </row>
    <row r="111" spans="1:8">
      <c r="A111" s="395">
        <v>37998</v>
      </c>
      <c r="B111" s="406" t="s">
        <v>8855</v>
      </c>
      <c r="C111" s="395" t="s">
        <v>2021</v>
      </c>
      <c r="D111" s="407">
        <f t="shared" si="2"/>
        <v>21.78</v>
      </c>
      <c r="F111" s="680">
        <v>21.78</v>
      </c>
      <c r="G111" s="680">
        <v>21.78</v>
      </c>
      <c r="H111" t="b">
        <f t="shared" si="3"/>
        <v>1</v>
      </c>
    </row>
    <row r="112" spans="1:8" ht="30">
      <c r="A112" s="396">
        <v>10899</v>
      </c>
      <c r="B112" s="401" t="s">
        <v>8856</v>
      </c>
      <c r="C112" s="396" t="s">
        <v>2021</v>
      </c>
      <c r="D112" s="405">
        <f t="shared" si="2"/>
        <v>78.849999999999994</v>
      </c>
      <c r="F112" s="679">
        <v>78.849999999999994</v>
      </c>
      <c r="G112" s="679">
        <v>78.849999999999994</v>
      </c>
      <c r="H112" t="b">
        <f t="shared" si="3"/>
        <v>1</v>
      </c>
    </row>
    <row r="113" spans="1:8" ht="30">
      <c r="A113" s="395">
        <v>10900</v>
      </c>
      <c r="B113" s="406" t="s">
        <v>8857</v>
      </c>
      <c r="C113" s="395" t="s">
        <v>2021</v>
      </c>
      <c r="D113" s="407">
        <f t="shared" si="2"/>
        <v>61.71</v>
      </c>
      <c r="F113" s="680">
        <v>61.71</v>
      </c>
      <c r="G113" s="680">
        <v>61.71</v>
      </c>
      <c r="H113" t="b">
        <f t="shared" si="3"/>
        <v>1</v>
      </c>
    </row>
    <row r="114" spans="1:8">
      <c r="A114" s="396">
        <v>46</v>
      </c>
      <c r="B114" s="401" t="s">
        <v>8858</v>
      </c>
      <c r="C114" s="396" t="s">
        <v>2021</v>
      </c>
      <c r="D114" s="405">
        <f t="shared" si="2"/>
        <v>49.14</v>
      </c>
      <c r="F114" s="679">
        <v>49.14</v>
      </c>
      <c r="G114" s="679">
        <v>49.14</v>
      </c>
      <c r="H114" t="b">
        <f t="shared" si="3"/>
        <v>1</v>
      </c>
    </row>
    <row r="115" spans="1:8">
      <c r="A115" s="395">
        <v>47</v>
      </c>
      <c r="B115" s="406" t="s">
        <v>8859</v>
      </c>
      <c r="C115" s="395" t="s">
        <v>2021</v>
      </c>
      <c r="D115" s="407">
        <f t="shared" si="2"/>
        <v>84.02</v>
      </c>
      <c r="F115" s="680">
        <v>84.02</v>
      </c>
      <c r="G115" s="680">
        <v>84.02</v>
      </c>
      <c r="H115" t="b">
        <f t="shared" si="3"/>
        <v>1</v>
      </c>
    </row>
    <row r="116" spans="1:8">
      <c r="A116" s="396">
        <v>48</v>
      </c>
      <c r="B116" s="401" t="s">
        <v>8860</v>
      </c>
      <c r="C116" s="396" t="s">
        <v>2021</v>
      </c>
      <c r="D116" s="405">
        <f t="shared" si="2"/>
        <v>21.91</v>
      </c>
      <c r="F116" s="679">
        <v>21.91</v>
      </c>
      <c r="G116" s="679">
        <v>21.91</v>
      </c>
      <c r="H116" t="b">
        <f t="shared" si="3"/>
        <v>1</v>
      </c>
    </row>
    <row r="117" spans="1:8">
      <c r="A117" s="395">
        <v>52</v>
      </c>
      <c r="B117" s="406" t="s">
        <v>8861</v>
      </c>
      <c r="C117" s="395" t="s">
        <v>2021</v>
      </c>
      <c r="D117" s="407">
        <f t="shared" si="2"/>
        <v>16.649999999999999</v>
      </c>
      <c r="F117" s="680">
        <v>16.649999999999999</v>
      </c>
      <c r="G117" s="680">
        <v>16.649999999999999</v>
      </c>
      <c r="H117" t="b">
        <f t="shared" si="3"/>
        <v>1</v>
      </c>
    </row>
    <row r="118" spans="1:8">
      <c r="A118" s="396">
        <v>43</v>
      </c>
      <c r="B118" s="401" t="s">
        <v>8862</v>
      </c>
      <c r="C118" s="396" t="s">
        <v>2021</v>
      </c>
      <c r="D118" s="405">
        <f t="shared" si="2"/>
        <v>56.19</v>
      </c>
      <c r="F118" s="679">
        <v>56.19</v>
      </c>
      <c r="G118" s="679">
        <v>56.19</v>
      </c>
      <c r="H118" t="b">
        <f t="shared" si="3"/>
        <v>1</v>
      </c>
    </row>
    <row r="119" spans="1:8">
      <c r="A119" s="395">
        <v>39719</v>
      </c>
      <c r="B119" s="406" t="s">
        <v>8863</v>
      </c>
      <c r="C119" s="395" t="s">
        <v>2026</v>
      </c>
      <c r="D119" s="407">
        <f t="shared" si="2"/>
        <v>198.15</v>
      </c>
      <c r="F119" s="680">
        <v>198.15</v>
      </c>
      <c r="G119" s="680">
        <v>198.15</v>
      </c>
      <c r="H119" t="b">
        <f t="shared" si="3"/>
        <v>1</v>
      </c>
    </row>
    <row r="120" spans="1:8">
      <c r="A120" s="396">
        <v>3410</v>
      </c>
      <c r="B120" s="401" t="s">
        <v>8864</v>
      </c>
      <c r="C120" s="396" t="s">
        <v>2025</v>
      </c>
      <c r="D120" s="405">
        <f t="shared" si="2"/>
        <v>44.57</v>
      </c>
      <c r="F120" s="679">
        <v>44.57</v>
      </c>
      <c r="G120" s="679">
        <v>44.57</v>
      </c>
      <c r="H120" t="b">
        <f t="shared" si="3"/>
        <v>1</v>
      </c>
    </row>
    <row r="121" spans="1:8">
      <c r="A121" s="395">
        <v>4791</v>
      </c>
      <c r="B121" s="406" t="s">
        <v>8865</v>
      </c>
      <c r="C121" s="395" t="s">
        <v>2025</v>
      </c>
      <c r="D121" s="407">
        <f t="shared" si="2"/>
        <v>26.1</v>
      </c>
      <c r="F121" s="680">
        <v>26.1</v>
      </c>
      <c r="G121" s="680">
        <v>26.1</v>
      </c>
      <c r="H121" t="b">
        <f t="shared" si="3"/>
        <v>1</v>
      </c>
    </row>
    <row r="122" spans="1:8">
      <c r="A122" s="396">
        <v>157</v>
      </c>
      <c r="B122" s="401" t="s">
        <v>8866</v>
      </c>
      <c r="C122" s="396" t="s">
        <v>2025</v>
      </c>
      <c r="D122" s="405">
        <f t="shared" si="2"/>
        <v>174.64</v>
      </c>
      <c r="F122" s="679">
        <v>174.64</v>
      </c>
      <c r="G122" s="679">
        <v>174.64</v>
      </c>
      <c r="H122" t="b">
        <f t="shared" si="3"/>
        <v>1</v>
      </c>
    </row>
    <row r="123" spans="1:8">
      <c r="A123" s="395">
        <v>156</v>
      </c>
      <c r="B123" s="406" t="s">
        <v>8867</v>
      </c>
      <c r="C123" s="395" t="s">
        <v>2025</v>
      </c>
      <c r="D123" s="407">
        <f t="shared" si="2"/>
        <v>62.18</v>
      </c>
      <c r="F123" s="680">
        <v>62.18</v>
      </c>
      <c r="G123" s="680">
        <v>62.18</v>
      </c>
      <c r="H123" t="b">
        <f t="shared" si="3"/>
        <v>1</v>
      </c>
    </row>
    <row r="124" spans="1:8">
      <c r="A124" s="396">
        <v>131</v>
      </c>
      <c r="B124" s="401" t="s">
        <v>8868</v>
      </c>
      <c r="C124" s="396" t="s">
        <v>2025</v>
      </c>
      <c r="D124" s="405">
        <f t="shared" si="2"/>
        <v>53.18</v>
      </c>
      <c r="F124" s="679">
        <v>53.18</v>
      </c>
      <c r="G124" s="679">
        <v>53.18</v>
      </c>
      <c r="H124" t="b">
        <f t="shared" si="3"/>
        <v>1</v>
      </c>
    </row>
    <row r="125" spans="1:8">
      <c r="A125" s="395">
        <v>21114</v>
      </c>
      <c r="B125" s="406" t="s">
        <v>8869</v>
      </c>
      <c r="C125" s="395" t="s">
        <v>2021</v>
      </c>
      <c r="D125" s="407">
        <f t="shared" si="2"/>
        <v>39.06</v>
      </c>
      <c r="F125" s="680">
        <v>39.06</v>
      </c>
      <c r="G125" s="680">
        <v>39.06</v>
      </c>
      <c r="H125" t="b">
        <f t="shared" si="3"/>
        <v>1</v>
      </c>
    </row>
    <row r="126" spans="1:8">
      <c r="A126" s="396">
        <v>119</v>
      </c>
      <c r="B126" s="401" t="s">
        <v>8870</v>
      </c>
      <c r="C126" s="396" t="s">
        <v>2021</v>
      </c>
      <c r="D126" s="405">
        <f t="shared" si="2"/>
        <v>9.9</v>
      </c>
      <c r="F126" s="679">
        <v>9.9</v>
      </c>
      <c r="G126" s="679">
        <v>9.9</v>
      </c>
      <c r="H126" t="b">
        <f t="shared" si="3"/>
        <v>1</v>
      </c>
    </row>
    <row r="127" spans="1:8">
      <c r="A127" s="395">
        <v>122</v>
      </c>
      <c r="B127" s="406" t="s">
        <v>8871</v>
      </c>
      <c r="C127" s="395" t="s">
        <v>2021</v>
      </c>
      <c r="D127" s="407">
        <f t="shared" si="2"/>
        <v>76.17</v>
      </c>
      <c r="F127" s="680">
        <v>76.17</v>
      </c>
      <c r="G127" s="680">
        <v>76.17</v>
      </c>
      <c r="H127" t="b">
        <f t="shared" si="3"/>
        <v>1</v>
      </c>
    </row>
    <row r="128" spans="1:8">
      <c r="A128" s="396">
        <v>20080</v>
      </c>
      <c r="B128" s="401" t="s">
        <v>8872</v>
      </c>
      <c r="C128" s="396" t="s">
        <v>2021</v>
      </c>
      <c r="D128" s="405">
        <f t="shared" si="2"/>
        <v>24.86</v>
      </c>
      <c r="F128" s="679">
        <v>24.86</v>
      </c>
      <c r="G128" s="679">
        <v>24.86</v>
      </c>
      <c r="H128" t="b">
        <f t="shared" si="3"/>
        <v>1</v>
      </c>
    </row>
    <row r="129" spans="1:8">
      <c r="A129" s="395">
        <v>124</v>
      </c>
      <c r="B129" s="406" t="s">
        <v>8873</v>
      </c>
      <c r="C129" s="395" t="s">
        <v>2026</v>
      </c>
      <c r="D129" s="407">
        <f t="shared" si="2"/>
        <v>20.51</v>
      </c>
      <c r="F129" s="680">
        <v>20.51</v>
      </c>
      <c r="G129" s="680">
        <v>20.51</v>
      </c>
      <c r="H129" t="b">
        <f t="shared" si="3"/>
        <v>1</v>
      </c>
    </row>
    <row r="130" spans="1:8">
      <c r="A130" s="396">
        <v>7334</v>
      </c>
      <c r="B130" s="401" t="s">
        <v>8874</v>
      </c>
      <c r="C130" s="396" t="s">
        <v>2026</v>
      </c>
      <c r="D130" s="405">
        <f t="shared" si="2"/>
        <v>34.78</v>
      </c>
      <c r="F130" s="679">
        <v>34.78</v>
      </c>
      <c r="G130" s="679">
        <v>34.78</v>
      </c>
      <c r="H130" t="b">
        <f t="shared" si="3"/>
        <v>1</v>
      </c>
    </row>
    <row r="131" spans="1:8">
      <c r="A131" s="395">
        <v>123</v>
      </c>
      <c r="B131" s="406" t="s">
        <v>8875</v>
      </c>
      <c r="C131" s="395" t="s">
        <v>2026</v>
      </c>
      <c r="D131" s="407">
        <f t="shared" ref="D131:D194" si="4">IF($J$2=$F$1,F131,G131)</f>
        <v>8.39</v>
      </c>
      <c r="F131" s="680">
        <v>8.39</v>
      </c>
      <c r="G131" s="680">
        <v>8.39</v>
      </c>
      <c r="H131" t="b">
        <f t="shared" ref="H131:H194" si="5">F131=G131</f>
        <v>1</v>
      </c>
    </row>
    <row r="132" spans="1:8">
      <c r="A132" s="396">
        <v>127</v>
      </c>
      <c r="B132" s="401" t="s">
        <v>8876</v>
      </c>
      <c r="C132" s="396" t="s">
        <v>2026</v>
      </c>
      <c r="D132" s="405">
        <f t="shared" si="4"/>
        <v>20.03</v>
      </c>
      <c r="F132" s="679">
        <v>20.03</v>
      </c>
      <c r="G132" s="679">
        <v>20.03</v>
      </c>
      <c r="H132" t="b">
        <f t="shared" si="5"/>
        <v>1</v>
      </c>
    </row>
    <row r="133" spans="1:8">
      <c r="A133" s="395">
        <v>41373</v>
      </c>
      <c r="B133" s="406" t="s">
        <v>8877</v>
      </c>
      <c r="C133" s="395" t="s">
        <v>2026</v>
      </c>
      <c r="D133" s="407">
        <f t="shared" si="4"/>
        <v>27.91</v>
      </c>
      <c r="F133" s="680">
        <v>27.91</v>
      </c>
      <c r="G133" s="680">
        <v>27.91</v>
      </c>
      <c r="H133" t="b">
        <f t="shared" si="5"/>
        <v>1</v>
      </c>
    </row>
    <row r="134" spans="1:8">
      <c r="A134" s="396">
        <v>133</v>
      </c>
      <c r="B134" s="401" t="s">
        <v>8878</v>
      </c>
      <c r="C134" s="396" t="s">
        <v>2026</v>
      </c>
      <c r="D134" s="405">
        <f t="shared" si="4"/>
        <v>8.32</v>
      </c>
      <c r="F134" s="679">
        <v>8.32</v>
      </c>
      <c r="G134" s="679">
        <v>8.32</v>
      </c>
      <c r="H134" t="b">
        <f t="shared" si="5"/>
        <v>1</v>
      </c>
    </row>
    <row r="135" spans="1:8">
      <c r="A135" s="395">
        <v>43617</v>
      </c>
      <c r="B135" s="406" t="s">
        <v>8879</v>
      </c>
      <c r="C135" s="395" t="s">
        <v>2026</v>
      </c>
      <c r="D135" s="407">
        <f t="shared" si="4"/>
        <v>9.2899999999999991</v>
      </c>
      <c r="F135" s="680">
        <v>9.2899999999999991</v>
      </c>
      <c r="G135" s="680">
        <v>9.2899999999999991</v>
      </c>
      <c r="H135" t="b">
        <f t="shared" si="5"/>
        <v>1</v>
      </c>
    </row>
    <row r="136" spans="1:8">
      <c r="A136" s="396">
        <v>132</v>
      </c>
      <c r="B136" s="401" t="s">
        <v>8880</v>
      </c>
      <c r="C136" s="396" t="s">
        <v>2026</v>
      </c>
      <c r="D136" s="405">
        <f t="shared" si="4"/>
        <v>8.6199999999999992</v>
      </c>
      <c r="F136" s="679">
        <v>8.6199999999999992</v>
      </c>
      <c r="G136" s="679">
        <v>8.6199999999999992</v>
      </c>
      <c r="H136" t="b">
        <f t="shared" si="5"/>
        <v>1</v>
      </c>
    </row>
    <row r="137" spans="1:8">
      <c r="A137" s="395">
        <v>43618</v>
      </c>
      <c r="B137" s="406" t="s">
        <v>8881</v>
      </c>
      <c r="C137" s="395" t="s">
        <v>2025</v>
      </c>
      <c r="D137" s="407">
        <f t="shared" si="4"/>
        <v>21.71</v>
      </c>
      <c r="F137" s="680">
        <v>21.71</v>
      </c>
      <c r="G137" s="680">
        <v>21.71</v>
      </c>
      <c r="H137" t="b">
        <f t="shared" si="5"/>
        <v>1</v>
      </c>
    </row>
    <row r="138" spans="1:8" ht="30">
      <c r="A138" s="396">
        <v>37476</v>
      </c>
      <c r="B138" s="401" t="s">
        <v>8882</v>
      </c>
      <c r="C138" s="396" t="s">
        <v>2021</v>
      </c>
      <c r="D138" s="405">
        <f t="shared" si="4"/>
        <v>3826.89</v>
      </c>
      <c r="F138" s="679">
        <v>3826.89</v>
      </c>
      <c r="G138" s="679">
        <v>3826.89</v>
      </c>
      <c r="H138" t="b">
        <f t="shared" si="5"/>
        <v>1</v>
      </c>
    </row>
    <row r="139" spans="1:8" ht="30">
      <c r="A139" s="395">
        <v>37478</v>
      </c>
      <c r="B139" s="406" t="s">
        <v>8883</v>
      </c>
      <c r="C139" s="395" t="s">
        <v>2021</v>
      </c>
      <c r="D139" s="407">
        <f t="shared" si="4"/>
        <v>4793.2700000000004</v>
      </c>
      <c r="F139" s="680">
        <v>4793.2700000000004</v>
      </c>
      <c r="G139" s="680">
        <v>4793.2700000000004</v>
      </c>
      <c r="H139" t="b">
        <f t="shared" si="5"/>
        <v>1</v>
      </c>
    </row>
    <row r="140" spans="1:8" ht="30">
      <c r="A140" s="396">
        <v>37477</v>
      </c>
      <c r="B140" s="401" t="s">
        <v>8884</v>
      </c>
      <c r="C140" s="396" t="s">
        <v>2021</v>
      </c>
      <c r="D140" s="405">
        <f t="shared" si="4"/>
        <v>6494.11</v>
      </c>
      <c r="F140" s="679">
        <v>6494.11</v>
      </c>
      <c r="G140" s="679">
        <v>6494.11</v>
      </c>
      <c r="H140" t="b">
        <f t="shared" si="5"/>
        <v>1</v>
      </c>
    </row>
    <row r="141" spans="1:8" ht="30">
      <c r="A141" s="395">
        <v>37479</v>
      </c>
      <c r="B141" s="406" t="s">
        <v>8885</v>
      </c>
      <c r="C141" s="395" t="s">
        <v>2021</v>
      </c>
      <c r="D141" s="407">
        <f t="shared" si="4"/>
        <v>7702.1</v>
      </c>
      <c r="F141" s="680">
        <v>7702.1</v>
      </c>
      <c r="G141" s="680">
        <v>7702.1</v>
      </c>
      <c r="H141" t="b">
        <f t="shared" si="5"/>
        <v>1</v>
      </c>
    </row>
    <row r="142" spans="1:8">
      <c r="A142" s="396">
        <v>4319</v>
      </c>
      <c r="B142" s="401" t="s">
        <v>8886</v>
      </c>
      <c r="C142" s="396" t="s">
        <v>2021</v>
      </c>
      <c r="D142" s="405">
        <f t="shared" si="4"/>
        <v>1.67</v>
      </c>
      <c r="F142" s="679">
        <v>1.67</v>
      </c>
      <c r="G142" s="679">
        <v>1.67</v>
      </c>
      <c r="H142" t="b">
        <f t="shared" si="5"/>
        <v>1</v>
      </c>
    </row>
    <row r="143" spans="1:8">
      <c r="A143" s="395">
        <v>42409</v>
      </c>
      <c r="B143" s="406" t="s">
        <v>8887</v>
      </c>
      <c r="C143" s="395" t="s">
        <v>2025</v>
      </c>
      <c r="D143" s="407">
        <f t="shared" si="4"/>
        <v>13.67</v>
      </c>
      <c r="F143" s="680">
        <v>13.67</v>
      </c>
      <c r="G143" s="680">
        <v>13.67</v>
      </c>
      <c r="H143" t="b">
        <f t="shared" si="5"/>
        <v>1</v>
      </c>
    </row>
    <row r="144" spans="1:8">
      <c r="A144" s="396">
        <v>40553</v>
      </c>
      <c r="B144" s="401" t="s">
        <v>8888</v>
      </c>
      <c r="C144" s="396" t="s">
        <v>2022</v>
      </c>
      <c r="D144" s="405">
        <f t="shared" si="4"/>
        <v>48.5</v>
      </c>
      <c r="F144" s="679">
        <v>48.5</v>
      </c>
      <c r="G144" s="679">
        <v>48.5</v>
      </c>
      <c r="H144" t="b">
        <f t="shared" si="5"/>
        <v>1</v>
      </c>
    </row>
    <row r="145" spans="1:8">
      <c r="A145" s="395">
        <v>6114</v>
      </c>
      <c r="B145" s="406" t="s">
        <v>8889</v>
      </c>
      <c r="C145" s="395" t="s">
        <v>2020</v>
      </c>
      <c r="D145" s="407">
        <f t="shared" si="4"/>
        <v>12.1</v>
      </c>
      <c r="F145" s="680">
        <v>12.1</v>
      </c>
      <c r="G145" s="680">
        <v>13.92</v>
      </c>
      <c r="H145" t="b">
        <f t="shared" si="5"/>
        <v>0</v>
      </c>
    </row>
    <row r="146" spans="1:8">
      <c r="A146" s="396">
        <v>40912</v>
      </c>
      <c r="B146" s="401" t="s">
        <v>8890</v>
      </c>
      <c r="C146" s="396" t="s">
        <v>2027</v>
      </c>
      <c r="D146" s="405">
        <f t="shared" si="4"/>
        <v>2136.34</v>
      </c>
      <c r="F146" s="679">
        <v>2136.34</v>
      </c>
      <c r="G146" s="679">
        <v>2460.9299999999998</v>
      </c>
      <c r="H146" t="b">
        <f t="shared" si="5"/>
        <v>0</v>
      </c>
    </row>
    <row r="147" spans="1:8">
      <c r="A147" s="395">
        <v>247</v>
      </c>
      <c r="B147" s="406" t="s">
        <v>8891</v>
      </c>
      <c r="C147" s="395" t="s">
        <v>2020</v>
      </c>
      <c r="D147" s="407">
        <f t="shared" si="4"/>
        <v>13.13</v>
      </c>
      <c r="F147" s="680">
        <v>13.13</v>
      </c>
      <c r="G147" s="680">
        <v>15.11</v>
      </c>
      <c r="H147" t="b">
        <f t="shared" si="5"/>
        <v>0</v>
      </c>
    </row>
    <row r="148" spans="1:8">
      <c r="A148" s="396">
        <v>40919</v>
      </c>
      <c r="B148" s="401" t="s">
        <v>8892</v>
      </c>
      <c r="C148" s="396" t="s">
        <v>2027</v>
      </c>
      <c r="D148" s="405">
        <f t="shared" si="4"/>
        <v>2315</v>
      </c>
      <c r="F148" s="679">
        <v>2315</v>
      </c>
      <c r="G148" s="679">
        <v>2666.75</v>
      </c>
      <c r="H148" t="b">
        <f t="shared" si="5"/>
        <v>0</v>
      </c>
    </row>
    <row r="149" spans="1:8">
      <c r="A149" s="395">
        <v>40984</v>
      </c>
      <c r="B149" s="406" t="s">
        <v>8893</v>
      </c>
      <c r="C149" s="395" t="s">
        <v>2027</v>
      </c>
      <c r="D149" s="407">
        <f t="shared" si="4"/>
        <v>1534.59</v>
      </c>
      <c r="F149" s="680">
        <v>1534.59</v>
      </c>
      <c r="G149" s="680">
        <v>1767.75</v>
      </c>
      <c r="H149" t="b">
        <f t="shared" si="5"/>
        <v>0</v>
      </c>
    </row>
    <row r="150" spans="1:8">
      <c r="A150" s="396">
        <v>44499</v>
      </c>
      <c r="B150" s="401" t="s">
        <v>8894</v>
      </c>
      <c r="C150" s="396" t="s">
        <v>2020</v>
      </c>
      <c r="D150" s="405">
        <f t="shared" si="4"/>
        <v>8.69</v>
      </c>
      <c r="F150" s="679">
        <v>8.69</v>
      </c>
      <c r="G150" s="679">
        <v>10</v>
      </c>
      <c r="H150" t="b">
        <f t="shared" si="5"/>
        <v>0</v>
      </c>
    </row>
    <row r="151" spans="1:8">
      <c r="A151" s="395">
        <v>248</v>
      </c>
      <c r="B151" s="406" t="s">
        <v>8895</v>
      </c>
      <c r="C151" s="395" t="s">
        <v>2020</v>
      </c>
      <c r="D151" s="407">
        <f t="shared" si="4"/>
        <v>12.1</v>
      </c>
      <c r="F151" s="680">
        <v>12.1</v>
      </c>
      <c r="G151" s="680">
        <v>13.92</v>
      </c>
      <c r="H151" t="b">
        <f t="shared" si="5"/>
        <v>0</v>
      </c>
    </row>
    <row r="152" spans="1:8">
      <c r="A152" s="396">
        <v>41086</v>
      </c>
      <c r="B152" s="401" t="s">
        <v>8896</v>
      </c>
      <c r="C152" s="396" t="s">
        <v>2027</v>
      </c>
      <c r="D152" s="405">
        <f t="shared" si="4"/>
        <v>2136.34</v>
      </c>
      <c r="F152" s="679">
        <v>2136.34</v>
      </c>
      <c r="G152" s="679">
        <v>2460.9299999999998</v>
      </c>
      <c r="H152" t="b">
        <f t="shared" si="5"/>
        <v>0</v>
      </c>
    </row>
    <row r="153" spans="1:8">
      <c r="A153" s="395">
        <v>34466</v>
      </c>
      <c r="B153" s="406" t="s">
        <v>8897</v>
      </c>
      <c r="C153" s="395" t="s">
        <v>2020</v>
      </c>
      <c r="D153" s="407">
        <f t="shared" si="4"/>
        <v>13.11</v>
      </c>
      <c r="F153" s="680">
        <v>13.11</v>
      </c>
      <c r="G153" s="680">
        <v>15.09</v>
      </c>
      <c r="H153" t="b">
        <f t="shared" si="5"/>
        <v>0</v>
      </c>
    </row>
    <row r="154" spans="1:8">
      <c r="A154" s="396">
        <v>41083</v>
      </c>
      <c r="B154" s="401" t="s">
        <v>8898</v>
      </c>
      <c r="C154" s="396" t="s">
        <v>2027</v>
      </c>
      <c r="D154" s="405">
        <f t="shared" si="4"/>
        <v>2313.4299999999998</v>
      </c>
      <c r="F154" s="679">
        <v>2313.4299999999998</v>
      </c>
      <c r="G154" s="679">
        <v>2664.93</v>
      </c>
      <c r="H154" t="b">
        <f t="shared" si="5"/>
        <v>0</v>
      </c>
    </row>
    <row r="155" spans="1:8">
      <c r="A155" s="395">
        <v>252</v>
      </c>
      <c r="B155" s="406" t="s">
        <v>8899</v>
      </c>
      <c r="C155" s="395" t="s">
        <v>2020</v>
      </c>
      <c r="D155" s="407">
        <f t="shared" si="4"/>
        <v>13.11</v>
      </c>
      <c r="F155" s="680">
        <v>13.11</v>
      </c>
      <c r="G155" s="680">
        <v>15.09</v>
      </c>
      <c r="H155" t="b">
        <f t="shared" si="5"/>
        <v>0</v>
      </c>
    </row>
    <row r="156" spans="1:8">
      <c r="A156" s="396">
        <v>40909</v>
      </c>
      <c r="B156" s="401" t="s">
        <v>8900</v>
      </c>
      <c r="C156" s="396" t="s">
        <v>2027</v>
      </c>
      <c r="D156" s="405">
        <f t="shared" si="4"/>
        <v>2313.4299999999998</v>
      </c>
      <c r="F156" s="679">
        <v>2313.4299999999998</v>
      </c>
      <c r="G156" s="679">
        <v>2664.93</v>
      </c>
      <c r="H156" t="b">
        <f t="shared" si="5"/>
        <v>0</v>
      </c>
    </row>
    <row r="157" spans="1:8">
      <c r="A157" s="395">
        <v>242</v>
      </c>
      <c r="B157" s="406" t="s">
        <v>8901</v>
      </c>
      <c r="C157" s="395" t="s">
        <v>2020</v>
      </c>
      <c r="D157" s="407">
        <f t="shared" si="4"/>
        <v>13.13</v>
      </c>
      <c r="F157" s="680">
        <v>13.13</v>
      </c>
      <c r="G157" s="680">
        <v>15.11</v>
      </c>
      <c r="H157" t="b">
        <f t="shared" si="5"/>
        <v>0</v>
      </c>
    </row>
    <row r="158" spans="1:8">
      <c r="A158" s="396">
        <v>41085</v>
      </c>
      <c r="B158" s="401" t="s">
        <v>8902</v>
      </c>
      <c r="C158" s="396" t="s">
        <v>2027</v>
      </c>
      <c r="D158" s="405">
        <f t="shared" si="4"/>
        <v>2315.25</v>
      </c>
      <c r="F158" s="679">
        <v>2315.25</v>
      </c>
      <c r="G158" s="679">
        <v>2667.03</v>
      </c>
      <c r="H158" t="b">
        <f t="shared" si="5"/>
        <v>0</v>
      </c>
    </row>
    <row r="159" spans="1:8">
      <c r="A159" s="395">
        <v>427</v>
      </c>
      <c r="B159" s="406" t="s">
        <v>8903</v>
      </c>
      <c r="C159" s="395" t="s">
        <v>2021</v>
      </c>
      <c r="D159" s="407">
        <f t="shared" si="4"/>
        <v>10.8</v>
      </c>
      <c r="F159" s="680">
        <v>10.8</v>
      </c>
      <c r="G159" s="680">
        <v>10.8</v>
      </c>
      <c r="H159" t="b">
        <f t="shared" si="5"/>
        <v>1</v>
      </c>
    </row>
    <row r="160" spans="1:8">
      <c r="A160" s="396">
        <v>417</v>
      </c>
      <c r="B160" s="401" t="s">
        <v>8904</v>
      </c>
      <c r="C160" s="396" t="s">
        <v>2021</v>
      </c>
      <c r="D160" s="405">
        <f t="shared" si="4"/>
        <v>5.09</v>
      </c>
      <c r="F160" s="679">
        <v>5.09</v>
      </c>
      <c r="G160" s="679">
        <v>5.09</v>
      </c>
      <c r="H160" t="b">
        <f t="shared" si="5"/>
        <v>1</v>
      </c>
    </row>
    <row r="161" spans="1:8">
      <c r="A161" s="395">
        <v>11273</v>
      </c>
      <c r="B161" s="406" t="s">
        <v>8905</v>
      </c>
      <c r="C161" s="395" t="s">
        <v>2021</v>
      </c>
      <c r="D161" s="407">
        <f t="shared" si="4"/>
        <v>15.8</v>
      </c>
      <c r="F161" s="680">
        <v>15.8</v>
      </c>
      <c r="G161" s="680">
        <v>15.8</v>
      </c>
      <c r="H161" t="b">
        <f t="shared" si="5"/>
        <v>1</v>
      </c>
    </row>
    <row r="162" spans="1:8">
      <c r="A162" s="396">
        <v>11272</v>
      </c>
      <c r="B162" s="401" t="s">
        <v>8906</v>
      </c>
      <c r="C162" s="396" t="s">
        <v>2021</v>
      </c>
      <c r="D162" s="405">
        <f t="shared" si="4"/>
        <v>9.5399999999999991</v>
      </c>
      <c r="F162" s="679">
        <v>9.5399999999999991</v>
      </c>
      <c r="G162" s="679">
        <v>9.5399999999999991</v>
      </c>
      <c r="H162" t="b">
        <f t="shared" si="5"/>
        <v>1</v>
      </c>
    </row>
    <row r="163" spans="1:8">
      <c r="A163" s="395">
        <v>11275</v>
      </c>
      <c r="B163" s="406" t="s">
        <v>8907</v>
      </c>
      <c r="C163" s="395" t="s">
        <v>2021</v>
      </c>
      <c r="D163" s="407">
        <f t="shared" si="4"/>
        <v>3.83</v>
      </c>
      <c r="F163" s="680">
        <v>3.83</v>
      </c>
      <c r="G163" s="680">
        <v>3.83</v>
      </c>
      <c r="H163" t="b">
        <f t="shared" si="5"/>
        <v>1</v>
      </c>
    </row>
    <row r="164" spans="1:8">
      <c r="A164" s="396">
        <v>11274</v>
      </c>
      <c r="B164" s="401" t="s">
        <v>8908</v>
      </c>
      <c r="C164" s="396" t="s">
        <v>2021</v>
      </c>
      <c r="D164" s="405">
        <f t="shared" si="4"/>
        <v>2.92</v>
      </c>
      <c r="F164" s="679">
        <v>2.92</v>
      </c>
      <c r="G164" s="679">
        <v>2.92</v>
      </c>
      <c r="H164" t="b">
        <f t="shared" si="5"/>
        <v>1</v>
      </c>
    </row>
    <row r="165" spans="1:8">
      <c r="A165" s="395">
        <v>38470</v>
      </c>
      <c r="B165" s="406" t="s">
        <v>8909</v>
      </c>
      <c r="C165" s="395" t="s">
        <v>2021</v>
      </c>
      <c r="D165" s="407">
        <f t="shared" si="4"/>
        <v>43.75</v>
      </c>
      <c r="F165" s="680">
        <v>43.75</v>
      </c>
      <c r="G165" s="680">
        <v>43.75</v>
      </c>
      <c r="H165" t="b">
        <f t="shared" si="5"/>
        <v>1</v>
      </c>
    </row>
    <row r="166" spans="1:8">
      <c r="A166" s="396">
        <v>38547</v>
      </c>
      <c r="B166" s="401" t="s">
        <v>8910</v>
      </c>
      <c r="C166" s="396" t="s">
        <v>2021</v>
      </c>
      <c r="D166" s="405">
        <f t="shared" si="4"/>
        <v>119.38</v>
      </c>
      <c r="F166" s="679">
        <v>119.38</v>
      </c>
      <c r="G166" s="679">
        <v>119.38</v>
      </c>
      <c r="H166" t="b">
        <f t="shared" si="5"/>
        <v>1</v>
      </c>
    </row>
    <row r="167" spans="1:8">
      <c r="A167" s="395">
        <v>38469</v>
      </c>
      <c r="B167" s="406" t="s">
        <v>8911</v>
      </c>
      <c r="C167" s="395" t="s">
        <v>2021</v>
      </c>
      <c r="D167" s="407">
        <f t="shared" si="4"/>
        <v>128.37</v>
      </c>
      <c r="F167" s="680">
        <v>128.37</v>
      </c>
      <c r="G167" s="680">
        <v>128.37</v>
      </c>
      <c r="H167" t="b">
        <f t="shared" si="5"/>
        <v>1</v>
      </c>
    </row>
    <row r="168" spans="1:8">
      <c r="A168" s="396">
        <v>38467</v>
      </c>
      <c r="B168" s="401" t="s">
        <v>8912</v>
      </c>
      <c r="C168" s="396" t="s">
        <v>2021</v>
      </c>
      <c r="D168" s="405">
        <f t="shared" si="4"/>
        <v>72.23</v>
      </c>
      <c r="F168" s="679">
        <v>72.23</v>
      </c>
      <c r="G168" s="679">
        <v>72.23</v>
      </c>
      <c r="H168" t="b">
        <f t="shared" si="5"/>
        <v>1</v>
      </c>
    </row>
    <row r="169" spans="1:8">
      <c r="A169" s="395">
        <v>38468</v>
      </c>
      <c r="B169" s="406" t="s">
        <v>8913</v>
      </c>
      <c r="C169" s="395" t="s">
        <v>2021</v>
      </c>
      <c r="D169" s="407">
        <f t="shared" si="4"/>
        <v>79.48</v>
      </c>
      <c r="F169" s="680">
        <v>79.48</v>
      </c>
      <c r="G169" s="680">
        <v>79.48</v>
      </c>
      <c r="H169" t="b">
        <f t="shared" si="5"/>
        <v>1</v>
      </c>
    </row>
    <row r="170" spans="1:8">
      <c r="A170" s="396">
        <v>38471</v>
      </c>
      <c r="B170" s="401" t="s">
        <v>8914</v>
      </c>
      <c r="C170" s="396" t="s">
        <v>2021</v>
      </c>
      <c r="D170" s="405">
        <f t="shared" si="4"/>
        <v>103.22</v>
      </c>
      <c r="F170" s="679">
        <v>103.22</v>
      </c>
      <c r="G170" s="679">
        <v>103.22</v>
      </c>
      <c r="H170" t="b">
        <f t="shared" si="5"/>
        <v>1</v>
      </c>
    </row>
    <row r="171" spans="1:8">
      <c r="A171" s="395">
        <v>37370</v>
      </c>
      <c r="B171" s="406" t="s">
        <v>8915</v>
      </c>
      <c r="C171" s="395" t="s">
        <v>2020</v>
      </c>
      <c r="D171" s="407">
        <f t="shared" si="4"/>
        <v>1.0900000000000001</v>
      </c>
      <c r="F171" s="680">
        <v>1.0900000000000001</v>
      </c>
      <c r="G171" s="680">
        <v>1.0900000000000001</v>
      </c>
      <c r="H171" t="b">
        <f t="shared" si="5"/>
        <v>1</v>
      </c>
    </row>
    <row r="172" spans="1:8">
      <c r="A172" s="396">
        <v>40861</v>
      </c>
      <c r="B172" s="401" t="s">
        <v>13883</v>
      </c>
      <c r="C172" s="396" t="s">
        <v>2027</v>
      </c>
      <c r="D172" s="405">
        <f t="shared" si="4"/>
        <v>164.77</v>
      </c>
      <c r="F172" s="679">
        <v>164.77</v>
      </c>
      <c r="G172" s="679">
        <v>164.77</v>
      </c>
      <c r="H172" t="b">
        <f t="shared" si="5"/>
        <v>1</v>
      </c>
    </row>
    <row r="173" spans="1:8">
      <c r="A173" s="395">
        <v>10658</v>
      </c>
      <c r="B173" s="406" t="s">
        <v>8916</v>
      </c>
      <c r="C173" s="395" t="s">
        <v>2021</v>
      </c>
      <c r="D173" s="407">
        <f t="shared" si="4"/>
        <v>8364.5</v>
      </c>
      <c r="F173" s="680">
        <v>8364.5</v>
      </c>
      <c r="G173" s="680">
        <v>8364.5</v>
      </c>
      <c r="H173" t="b">
        <f t="shared" si="5"/>
        <v>1</v>
      </c>
    </row>
    <row r="174" spans="1:8">
      <c r="A174" s="396">
        <v>253</v>
      </c>
      <c r="B174" s="401" t="s">
        <v>8917</v>
      </c>
      <c r="C174" s="396" t="s">
        <v>2020</v>
      </c>
      <c r="D174" s="405">
        <f t="shared" si="4"/>
        <v>16.29</v>
      </c>
      <c r="F174" s="679">
        <v>16.29</v>
      </c>
      <c r="G174" s="679">
        <v>18.739999999999998</v>
      </c>
      <c r="H174" t="b">
        <f t="shared" si="5"/>
        <v>0</v>
      </c>
    </row>
    <row r="175" spans="1:8">
      <c r="A175" s="395">
        <v>40809</v>
      </c>
      <c r="B175" s="406" t="s">
        <v>8918</v>
      </c>
      <c r="C175" s="395" t="s">
        <v>2027</v>
      </c>
      <c r="D175" s="407">
        <f t="shared" si="4"/>
        <v>2871.23</v>
      </c>
      <c r="F175" s="680">
        <v>2871.23</v>
      </c>
      <c r="G175" s="680">
        <v>3307.49</v>
      </c>
      <c r="H175" t="b">
        <f t="shared" si="5"/>
        <v>0</v>
      </c>
    </row>
    <row r="176" spans="1:8" ht="30">
      <c r="A176" s="396">
        <v>42428</v>
      </c>
      <c r="B176" s="401" t="s">
        <v>8919</v>
      </c>
      <c r="C176" s="396" t="s">
        <v>2021</v>
      </c>
      <c r="D176" s="405">
        <f t="shared" si="4"/>
        <v>2251</v>
      </c>
      <c r="F176" s="679">
        <v>2251</v>
      </c>
      <c r="G176" s="679">
        <v>2251</v>
      </c>
      <c r="H176" t="b">
        <f t="shared" si="5"/>
        <v>1</v>
      </c>
    </row>
    <row r="177" spans="1:8">
      <c r="A177" s="395">
        <v>583</v>
      </c>
      <c r="B177" s="406" t="s">
        <v>8920</v>
      </c>
      <c r="C177" s="395" t="s">
        <v>2025</v>
      </c>
      <c r="D177" s="407">
        <f t="shared" si="4"/>
        <v>41.68</v>
      </c>
      <c r="F177" s="680">
        <v>41.68</v>
      </c>
      <c r="G177" s="680">
        <v>41.68</v>
      </c>
      <c r="H177" t="b">
        <f t="shared" si="5"/>
        <v>1</v>
      </c>
    </row>
    <row r="178" spans="1:8">
      <c r="A178" s="396">
        <v>301</v>
      </c>
      <c r="B178" s="401" t="s">
        <v>8921</v>
      </c>
      <c r="C178" s="396" t="s">
        <v>2021</v>
      </c>
      <c r="D178" s="405">
        <f t="shared" si="4"/>
        <v>4</v>
      </c>
      <c r="F178" s="679">
        <v>4</v>
      </c>
      <c r="G178" s="679">
        <v>4</v>
      </c>
      <c r="H178" t="b">
        <f t="shared" si="5"/>
        <v>1</v>
      </c>
    </row>
    <row r="179" spans="1:8">
      <c r="A179" s="395">
        <v>296</v>
      </c>
      <c r="B179" s="406" t="s">
        <v>8922</v>
      </c>
      <c r="C179" s="395" t="s">
        <v>2021</v>
      </c>
      <c r="D179" s="407">
        <f t="shared" si="4"/>
        <v>2.2599999999999998</v>
      </c>
      <c r="F179" s="680">
        <v>2.2599999999999998</v>
      </c>
      <c r="G179" s="680">
        <v>2.2599999999999998</v>
      </c>
      <c r="H179" t="b">
        <f t="shared" si="5"/>
        <v>1</v>
      </c>
    </row>
    <row r="180" spans="1:8">
      <c r="A180" s="396">
        <v>297</v>
      </c>
      <c r="B180" s="401" t="s">
        <v>8923</v>
      </c>
      <c r="C180" s="396" t="s">
        <v>2021</v>
      </c>
      <c r="D180" s="405">
        <f t="shared" si="4"/>
        <v>3.32</v>
      </c>
      <c r="F180" s="679">
        <v>3.32</v>
      </c>
      <c r="G180" s="679">
        <v>3.32</v>
      </c>
      <c r="H180" t="b">
        <f t="shared" si="5"/>
        <v>1</v>
      </c>
    </row>
    <row r="181" spans="1:8">
      <c r="A181" s="395">
        <v>299</v>
      </c>
      <c r="B181" s="406" t="s">
        <v>8924</v>
      </c>
      <c r="C181" s="395" t="s">
        <v>2021</v>
      </c>
      <c r="D181" s="407">
        <f t="shared" si="4"/>
        <v>4.6900000000000004</v>
      </c>
      <c r="F181" s="680">
        <v>4.6900000000000004</v>
      </c>
      <c r="G181" s="680">
        <v>4.6900000000000004</v>
      </c>
      <c r="H181" t="b">
        <f t="shared" si="5"/>
        <v>1</v>
      </c>
    </row>
    <row r="182" spans="1:8">
      <c r="A182" s="396">
        <v>300</v>
      </c>
      <c r="B182" s="401" t="s">
        <v>8925</v>
      </c>
      <c r="C182" s="396" t="s">
        <v>2021</v>
      </c>
      <c r="D182" s="405">
        <f t="shared" si="4"/>
        <v>16.239999999999998</v>
      </c>
      <c r="F182" s="679">
        <v>16.239999999999998</v>
      </c>
      <c r="G182" s="679">
        <v>16.239999999999998</v>
      </c>
      <c r="H182" t="b">
        <f t="shared" si="5"/>
        <v>1</v>
      </c>
    </row>
    <row r="183" spans="1:8">
      <c r="A183" s="395">
        <v>20085</v>
      </c>
      <c r="B183" s="406" t="s">
        <v>8926</v>
      </c>
      <c r="C183" s="395" t="s">
        <v>2021</v>
      </c>
      <c r="D183" s="407">
        <f t="shared" si="4"/>
        <v>2.97</v>
      </c>
      <c r="F183" s="680">
        <v>2.97</v>
      </c>
      <c r="G183" s="680">
        <v>2.97</v>
      </c>
      <c r="H183" t="b">
        <f t="shared" si="5"/>
        <v>1</v>
      </c>
    </row>
    <row r="184" spans="1:8">
      <c r="A184" s="396">
        <v>298</v>
      </c>
      <c r="B184" s="401" t="s">
        <v>8927</v>
      </c>
      <c r="C184" s="396" t="s">
        <v>2021</v>
      </c>
      <c r="D184" s="405">
        <f t="shared" si="4"/>
        <v>3.61</v>
      </c>
      <c r="F184" s="679">
        <v>3.61</v>
      </c>
      <c r="G184" s="679">
        <v>3.61</v>
      </c>
      <c r="H184" t="b">
        <f t="shared" si="5"/>
        <v>1</v>
      </c>
    </row>
    <row r="185" spans="1:8">
      <c r="A185" s="395">
        <v>311</v>
      </c>
      <c r="B185" s="406" t="s">
        <v>8928</v>
      </c>
      <c r="C185" s="395" t="s">
        <v>2021</v>
      </c>
      <c r="D185" s="407">
        <f t="shared" si="4"/>
        <v>13.39</v>
      </c>
      <c r="F185" s="680">
        <v>13.39</v>
      </c>
      <c r="G185" s="680">
        <v>13.39</v>
      </c>
      <c r="H185" t="b">
        <f t="shared" si="5"/>
        <v>1</v>
      </c>
    </row>
    <row r="186" spans="1:8">
      <c r="A186" s="396">
        <v>318</v>
      </c>
      <c r="B186" s="401" t="s">
        <v>8929</v>
      </c>
      <c r="C186" s="396" t="s">
        <v>2021</v>
      </c>
      <c r="D186" s="405">
        <f t="shared" si="4"/>
        <v>26.97</v>
      </c>
      <c r="F186" s="679">
        <v>26.97</v>
      </c>
      <c r="G186" s="679">
        <v>26.97</v>
      </c>
      <c r="H186" t="b">
        <f t="shared" si="5"/>
        <v>1</v>
      </c>
    </row>
    <row r="187" spans="1:8">
      <c r="A187" s="395">
        <v>319</v>
      </c>
      <c r="B187" s="406" t="s">
        <v>8930</v>
      </c>
      <c r="C187" s="395" t="s">
        <v>2021</v>
      </c>
      <c r="D187" s="407">
        <f t="shared" si="4"/>
        <v>42.28</v>
      </c>
      <c r="F187" s="680">
        <v>42.28</v>
      </c>
      <c r="G187" s="680">
        <v>42.28</v>
      </c>
      <c r="H187" t="b">
        <f t="shared" si="5"/>
        <v>1</v>
      </c>
    </row>
    <row r="188" spans="1:8">
      <c r="A188" s="396">
        <v>303</v>
      </c>
      <c r="B188" s="401" t="s">
        <v>8931</v>
      </c>
      <c r="C188" s="396" t="s">
        <v>2021</v>
      </c>
      <c r="D188" s="405">
        <f t="shared" si="4"/>
        <v>4.43</v>
      </c>
      <c r="F188" s="679">
        <v>4.43</v>
      </c>
      <c r="G188" s="679">
        <v>4.43</v>
      </c>
      <c r="H188" t="b">
        <f t="shared" si="5"/>
        <v>1</v>
      </c>
    </row>
    <row r="189" spans="1:8">
      <c r="A189" s="395">
        <v>305</v>
      </c>
      <c r="B189" s="406" t="s">
        <v>8932</v>
      </c>
      <c r="C189" s="395" t="s">
        <v>2021</v>
      </c>
      <c r="D189" s="407">
        <f t="shared" si="4"/>
        <v>13.94</v>
      </c>
      <c r="F189" s="680">
        <v>13.94</v>
      </c>
      <c r="G189" s="680">
        <v>13.94</v>
      </c>
      <c r="H189" t="b">
        <f t="shared" si="5"/>
        <v>1</v>
      </c>
    </row>
    <row r="190" spans="1:8">
      <c r="A190" s="396">
        <v>306</v>
      </c>
      <c r="B190" s="401" t="s">
        <v>8933</v>
      </c>
      <c r="C190" s="396" t="s">
        <v>2021</v>
      </c>
      <c r="D190" s="405">
        <f t="shared" si="4"/>
        <v>21.14</v>
      </c>
      <c r="F190" s="679">
        <v>21.14</v>
      </c>
      <c r="G190" s="679">
        <v>21.14</v>
      </c>
      <c r="H190" t="b">
        <f t="shared" si="5"/>
        <v>1</v>
      </c>
    </row>
    <row r="191" spans="1:8">
      <c r="A191" s="395">
        <v>307</v>
      </c>
      <c r="B191" s="406" t="s">
        <v>8934</v>
      </c>
      <c r="C191" s="395" t="s">
        <v>2021</v>
      </c>
      <c r="D191" s="407">
        <f t="shared" si="4"/>
        <v>53.41</v>
      </c>
      <c r="F191" s="680">
        <v>53.41</v>
      </c>
      <c r="G191" s="680">
        <v>53.41</v>
      </c>
      <c r="H191" t="b">
        <f t="shared" si="5"/>
        <v>1</v>
      </c>
    </row>
    <row r="192" spans="1:8">
      <c r="A192" s="396">
        <v>309</v>
      </c>
      <c r="B192" s="401" t="s">
        <v>8935</v>
      </c>
      <c r="C192" s="396" t="s">
        <v>2021</v>
      </c>
      <c r="D192" s="405">
        <f t="shared" si="4"/>
        <v>87.49</v>
      </c>
      <c r="F192" s="679">
        <v>87.49</v>
      </c>
      <c r="G192" s="679">
        <v>87.49</v>
      </c>
      <c r="H192" t="b">
        <f t="shared" si="5"/>
        <v>1</v>
      </c>
    </row>
    <row r="193" spans="1:8">
      <c r="A193" s="395">
        <v>310</v>
      </c>
      <c r="B193" s="406" t="s">
        <v>8936</v>
      </c>
      <c r="C193" s="395" t="s">
        <v>2021</v>
      </c>
      <c r="D193" s="407">
        <f t="shared" si="4"/>
        <v>121.26</v>
      </c>
      <c r="F193" s="680">
        <v>121.26</v>
      </c>
      <c r="G193" s="680">
        <v>121.26</v>
      </c>
      <c r="H193" t="b">
        <f t="shared" si="5"/>
        <v>1</v>
      </c>
    </row>
    <row r="194" spans="1:8">
      <c r="A194" s="396">
        <v>328</v>
      </c>
      <c r="B194" s="401" t="s">
        <v>8937</v>
      </c>
      <c r="C194" s="396" t="s">
        <v>2021</v>
      </c>
      <c r="D194" s="405">
        <f t="shared" si="4"/>
        <v>10.6</v>
      </c>
      <c r="F194" s="679">
        <v>10.6</v>
      </c>
      <c r="G194" s="679">
        <v>10.6</v>
      </c>
      <c r="H194" t="b">
        <f t="shared" si="5"/>
        <v>1</v>
      </c>
    </row>
    <row r="195" spans="1:8">
      <c r="A195" s="395">
        <v>325</v>
      </c>
      <c r="B195" s="406" t="s">
        <v>8938</v>
      </c>
      <c r="C195" s="395" t="s">
        <v>2021</v>
      </c>
      <c r="D195" s="407">
        <f t="shared" ref="D195:D258" si="6">IF($J$2=$F$1,F195,G195)</f>
        <v>3.13</v>
      </c>
      <c r="F195" s="680">
        <v>3.13</v>
      </c>
      <c r="G195" s="680">
        <v>3.13</v>
      </c>
      <c r="H195" t="b">
        <f t="shared" ref="H195:H258" si="7">F195=G195</f>
        <v>1</v>
      </c>
    </row>
    <row r="196" spans="1:8">
      <c r="A196" s="396">
        <v>20326</v>
      </c>
      <c r="B196" s="401" t="s">
        <v>8939</v>
      </c>
      <c r="C196" s="396" t="s">
        <v>2021</v>
      </c>
      <c r="D196" s="405">
        <f t="shared" si="6"/>
        <v>5.72</v>
      </c>
      <c r="F196" s="679">
        <v>5.72</v>
      </c>
      <c r="G196" s="679">
        <v>5.72</v>
      </c>
      <c r="H196" t="b">
        <f t="shared" si="7"/>
        <v>1</v>
      </c>
    </row>
    <row r="197" spans="1:8">
      <c r="A197" s="395">
        <v>329</v>
      </c>
      <c r="B197" s="406" t="s">
        <v>8940</v>
      </c>
      <c r="C197" s="395" t="s">
        <v>2021</v>
      </c>
      <c r="D197" s="407">
        <f t="shared" si="6"/>
        <v>8.86</v>
      </c>
      <c r="F197" s="680">
        <v>8.86</v>
      </c>
      <c r="G197" s="680">
        <v>8.86</v>
      </c>
      <c r="H197" t="b">
        <f t="shared" si="7"/>
        <v>1</v>
      </c>
    </row>
    <row r="198" spans="1:8">
      <c r="A198" s="396">
        <v>308</v>
      </c>
      <c r="B198" s="401" t="s">
        <v>8941</v>
      </c>
      <c r="C198" s="396" t="s">
        <v>2021</v>
      </c>
      <c r="D198" s="405">
        <f t="shared" si="6"/>
        <v>119.21</v>
      </c>
      <c r="F198" s="679">
        <v>119.21</v>
      </c>
      <c r="G198" s="679">
        <v>119.21</v>
      </c>
      <c r="H198" t="b">
        <f t="shared" si="7"/>
        <v>1</v>
      </c>
    </row>
    <row r="199" spans="1:8">
      <c r="A199" s="395">
        <v>39642</v>
      </c>
      <c r="B199" s="406" t="s">
        <v>8942</v>
      </c>
      <c r="C199" s="395" t="s">
        <v>2021</v>
      </c>
      <c r="D199" s="407">
        <f t="shared" si="6"/>
        <v>3.93</v>
      </c>
      <c r="F199" s="680">
        <v>3.93</v>
      </c>
      <c r="G199" s="680">
        <v>3.93</v>
      </c>
      <c r="H199" t="b">
        <f t="shared" si="7"/>
        <v>1</v>
      </c>
    </row>
    <row r="200" spans="1:8">
      <c r="A200" s="396">
        <v>39641</v>
      </c>
      <c r="B200" s="401" t="s">
        <v>8943</v>
      </c>
      <c r="C200" s="396" t="s">
        <v>2021</v>
      </c>
      <c r="D200" s="405">
        <f t="shared" si="6"/>
        <v>3.45</v>
      </c>
      <c r="F200" s="679">
        <v>3.45</v>
      </c>
      <c r="G200" s="679">
        <v>3.45</v>
      </c>
      <c r="H200" t="b">
        <f t="shared" si="7"/>
        <v>1</v>
      </c>
    </row>
    <row r="201" spans="1:8">
      <c r="A201" s="395">
        <v>39643</v>
      </c>
      <c r="B201" s="406" t="s">
        <v>8944</v>
      </c>
      <c r="C201" s="395" t="s">
        <v>2021</v>
      </c>
      <c r="D201" s="407">
        <f t="shared" si="6"/>
        <v>4.6100000000000003</v>
      </c>
      <c r="F201" s="680">
        <v>4.6100000000000003</v>
      </c>
      <c r="G201" s="680">
        <v>4.6100000000000003</v>
      </c>
      <c r="H201" t="b">
        <f t="shared" si="7"/>
        <v>1</v>
      </c>
    </row>
    <row r="202" spans="1:8">
      <c r="A202" s="396">
        <v>39644</v>
      </c>
      <c r="B202" s="401" t="s">
        <v>8945</v>
      </c>
      <c r="C202" s="396" t="s">
        <v>2021</v>
      </c>
      <c r="D202" s="405">
        <f t="shared" si="6"/>
        <v>7.15</v>
      </c>
      <c r="F202" s="679">
        <v>7.15</v>
      </c>
      <c r="G202" s="679">
        <v>7.15</v>
      </c>
      <c r="H202" t="b">
        <f t="shared" si="7"/>
        <v>1</v>
      </c>
    </row>
    <row r="203" spans="1:8">
      <c r="A203" s="395">
        <v>39645</v>
      </c>
      <c r="B203" s="406" t="s">
        <v>8946</v>
      </c>
      <c r="C203" s="395" t="s">
        <v>2021</v>
      </c>
      <c r="D203" s="407">
        <f t="shared" si="6"/>
        <v>7.84</v>
      </c>
      <c r="F203" s="680">
        <v>7.84</v>
      </c>
      <c r="G203" s="680">
        <v>7.84</v>
      </c>
      <c r="H203" t="b">
        <f t="shared" si="7"/>
        <v>1</v>
      </c>
    </row>
    <row r="204" spans="1:8">
      <c r="A204" s="396">
        <v>41610</v>
      </c>
      <c r="B204" s="401" t="s">
        <v>8947</v>
      </c>
      <c r="C204" s="396" t="s">
        <v>2021</v>
      </c>
      <c r="D204" s="405">
        <f t="shared" si="6"/>
        <v>709.98</v>
      </c>
      <c r="F204" s="679">
        <v>709.98</v>
      </c>
      <c r="G204" s="679">
        <v>709.98</v>
      </c>
      <c r="H204" t="b">
        <f t="shared" si="7"/>
        <v>1</v>
      </c>
    </row>
    <row r="205" spans="1:8">
      <c r="A205" s="395">
        <v>41611</v>
      </c>
      <c r="B205" s="406" t="s">
        <v>8948</v>
      </c>
      <c r="C205" s="395" t="s">
        <v>2021</v>
      </c>
      <c r="D205" s="407">
        <f t="shared" si="6"/>
        <v>1119.07</v>
      </c>
      <c r="F205" s="680">
        <v>1119.07</v>
      </c>
      <c r="G205" s="680">
        <v>1119.07</v>
      </c>
      <c r="H205" t="b">
        <f t="shared" si="7"/>
        <v>1</v>
      </c>
    </row>
    <row r="206" spans="1:8">
      <c r="A206" s="396">
        <v>41612</v>
      </c>
      <c r="B206" s="401" t="s">
        <v>8949</v>
      </c>
      <c r="C206" s="396" t="s">
        <v>2021</v>
      </c>
      <c r="D206" s="405">
        <f t="shared" si="6"/>
        <v>1571.34</v>
      </c>
      <c r="F206" s="679">
        <v>1571.34</v>
      </c>
      <c r="G206" s="679">
        <v>1571.34</v>
      </c>
      <c r="H206" t="b">
        <f t="shared" si="7"/>
        <v>1</v>
      </c>
    </row>
    <row r="207" spans="1:8">
      <c r="A207" s="395">
        <v>41637</v>
      </c>
      <c r="B207" s="406" t="s">
        <v>8950</v>
      </c>
      <c r="C207" s="395" t="s">
        <v>2021</v>
      </c>
      <c r="D207" s="407">
        <f t="shared" si="6"/>
        <v>146.88999999999999</v>
      </c>
      <c r="F207" s="680">
        <v>146.88999999999999</v>
      </c>
      <c r="G207" s="680">
        <v>146.88999999999999</v>
      </c>
      <c r="H207" t="b">
        <f t="shared" si="7"/>
        <v>1</v>
      </c>
    </row>
    <row r="208" spans="1:8">
      <c r="A208" s="396">
        <v>41638</v>
      </c>
      <c r="B208" s="401" t="s">
        <v>8951</v>
      </c>
      <c r="C208" s="396" t="s">
        <v>2021</v>
      </c>
      <c r="D208" s="405">
        <f t="shared" si="6"/>
        <v>191.34</v>
      </c>
      <c r="F208" s="679">
        <v>191.34</v>
      </c>
      <c r="G208" s="679">
        <v>191.34</v>
      </c>
      <c r="H208" t="b">
        <f t="shared" si="7"/>
        <v>1</v>
      </c>
    </row>
    <row r="209" spans="1:8">
      <c r="A209" s="395">
        <v>41639</v>
      </c>
      <c r="B209" s="406" t="s">
        <v>8952</v>
      </c>
      <c r="C209" s="395" t="s">
        <v>2021</v>
      </c>
      <c r="D209" s="407">
        <f t="shared" si="6"/>
        <v>462.89</v>
      </c>
      <c r="F209" s="680">
        <v>462.89</v>
      </c>
      <c r="G209" s="680">
        <v>462.89</v>
      </c>
      <c r="H209" t="b">
        <f t="shared" si="7"/>
        <v>1</v>
      </c>
    </row>
    <row r="210" spans="1:8">
      <c r="A210" s="396">
        <v>11789</v>
      </c>
      <c r="B210" s="401" t="s">
        <v>8953</v>
      </c>
      <c r="C210" s="396" t="s">
        <v>2021</v>
      </c>
      <c r="D210" s="405">
        <f t="shared" si="6"/>
        <v>1.44</v>
      </c>
      <c r="F210" s="679">
        <v>1.44</v>
      </c>
      <c r="G210" s="679">
        <v>1.44</v>
      </c>
      <c r="H210" t="b">
        <f t="shared" si="7"/>
        <v>1</v>
      </c>
    </row>
    <row r="211" spans="1:8">
      <c r="A211" s="395">
        <v>20975</v>
      </c>
      <c r="B211" s="406" t="s">
        <v>8954</v>
      </c>
      <c r="C211" s="395" t="s">
        <v>2021</v>
      </c>
      <c r="D211" s="407">
        <f t="shared" si="6"/>
        <v>12.36</v>
      </c>
      <c r="F211" s="680">
        <v>12.36</v>
      </c>
      <c r="G211" s="680">
        <v>12.36</v>
      </c>
      <c r="H211" t="b">
        <f t="shared" si="7"/>
        <v>1</v>
      </c>
    </row>
    <row r="212" spans="1:8">
      <c r="A212" s="396">
        <v>20976</v>
      </c>
      <c r="B212" s="401" t="s">
        <v>8955</v>
      </c>
      <c r="C212" s="396" t="s">
        <v>2021</v>
      </c>
      <c r="D212" s="405">
        <f t="shared" si="6"/>
        <v>18.68</v>
      </c>
      <c r="F212" s="679">
        <v>18.68</v>
      </c>
      <c r="G212" s="679">
        <v>18.68</v>
      </c>
      <c r="H212" t="b">
        <f t="shared" si="7"/>
        <v>1</v>
      </c>
    </row>
    <row r="213" spans="1:8">
      <c r="A213" s="395">
        <v>40340</v>
      </c>
      <c r="B213" s="406" t="s">
        <v>8956</v>
      </c>
      <c r="C213" s="395" t="s">
        <v>2021</v>
      </c>
      <c r="D213" s="407">
        <f t="shared" si="6"/>
        <v>29.42</v>
      </c>
      <c r="F213" s="680">
        <v>29.42</v>
      </c>
      <c r="G213" s="680">
        <v>29.42</v>
      </c>
      <c r="H213" t="b">
        <f t="shared" si="7"/>
        <v>1</v>
      </c>
    </row>
    <row r="214" spans="1:8">
      <c r="A214" s="396">
        <v>40341</v>
      </c>
      <c r="B214" s="401" t="s">
        <v>8957</v>
      </c>
      <c r="C214" s="396" t="s">
        <v>2021</v>
      </c>
      <c r="D214" s="405">
        <f t="shared" si="6"/>
        <v>35.119999999999997</v>
      </c>
      <c r="F214" s="679">
        <v>35.119999999999997</v>
      </c>
      <c r="G214" s="679">
        <v>35.119999999999997</v>
      </c>
      <c r="H214" t="b">
        <f t="shared" si="7"/>
        <v>1</v>
      </c>
    </row>
    <row r="215" spans="1:8">
      <c r="A215" s="395">
        <v>40342</v>
      </c>
      <c r="B215" s="406" t="s">
        <v>8958</v>
      </c>
      <c r="C215" s="395" t="s">
        <v>2021</v>
      </c>
      <c r="D215" s="407">
        <f t="shared" si="6"/>
        <v>41.88</v>
      </c>
      <c r="F215" s="680">
        <v>41.88</v>
      </c>
      <c r="G215" s="680">
        <v>41.88</v>
      </c>
      <c r="H215" t="b">
        <f t="shared" si="7"/>
        <v>1</v>
      </c>
    </row>
    <row r="216" spans="1:8">
      <c r="A216" s="396">
        <v>40343</v>
      </c>
      <c r="B216" s="401" t="s">
        <v>8959</v>
      </c>
      <c r="C216" s="396" t="s">
        <v>2021</v>
      </c>
      <c r="D216" s="405">
        <f t="shared" si="6"/>
        <v>49.68</v>
      </c>
      <c r="F216" s="679">
        <v>49.68</v>
      </c>
      <c r="G216" s="679">
        <v>49.68</v>
      </c>
      <c r="H216" t="b">
        <f t="shared" si="7"/>
        <v>1</v>
      </c>
    </row>
    <row r="217" spans="1:8">
      <c r="A217" s="395">
        <v>40344</v>
      </c>
      <c r="B217" s="406" t="s">
        <v>8960</v>
      </c>
      <c r="C217" s="395" t="s">
        <v>2021</v>
      </c>
      <c r="D217" s="407">
        <f t="shared" si="6"/>
        <v>67.72</v>
      </c>
      <c r="F217" s="680">
        <v>67.72</v>
      </c>
      <c r="G217" s="680">
        <v>67.72</v>
      </c>
      <c r="H217" t="b">
        <f t="shared" si="7"/>
        <v>1</v>
      </c>
    </row>
    <row r="218" spans="1:8">
      <c r="A218" s="396">
        <v>40345</v>
      </c>
      <c r="B218" s="401" t="s">
        <v>8961</v>
      </c>
      <c r="C218" s="396" t="s">
        <v>2021</v>
      </c>
      <c r="D218" s="405">
        <f t="shared" si="6"/>
        <v>83.45</v>
      </c>
      <c r="F218" s="679">
        <v>83.45</v>
      </c>
      <c r="G218" s="679">
        <v>83.45</v>
      </c>
      <c r="H218" t="b">
        <f t="shared" si="7"/>
        <v>1</v>
      </c>
    </row>
    <row r="219" spans="1:8">
      <c r="A219" s="395">
        <v>40346</v>
      </c>
      <c r="B219" s="406" t="s">
        <v>8962</v>
      </c>
      <c r="C219" s="395" t="s">
        <v>2021</v>
      </c>
      <c r="D219" s="407">
        <f t="shared" si="6"/>
        <v>96.8</v>
      </c>
      <c r="F219" s="680">
        <v>96.8</v>
      </c>
      <c r="G219" s="680">
        <v>96.8</v>
      </c>
      <c r="H219" t="b">
        <f t="shared" si="7"/>
        <v>1</v>
      </c>
    </row>
    <row r="220" spans="1:8">
      <c r="A220" s="396">
        <v>40347</v>
      </c>
      <c r="B220" s="401" t="s">
        <v>8963</v>
      </c>
      <c r="C220" s="396" t="s">
        <v>2021</v>
      </c>
      <c r="D220" s="405">
        <f t="shared" si="6"/>
        <v>121.62</v>
      </c>
      <c r="F220" s="679">
        <v>121.62</v>
      </c>
      <c r="G220" s="679">
        <v>121.62</v>
      </c>
      <c r="H220" t="b">
        <f t="shared" si="7"/>
        <v>1</v>
      </c>
    </row>
    <row r="221" spans="1:8">
      <c r="A221" s="395">
        <v>6138</v>
      </c>
      <c r="B221" s="406" t="s">
        <v>8964</v>
      </c>
      <c r="C221" s="395" t="s">
        <v>2021</v>
      </c>
      <c r="D221" s="407">
        <f t="shared" si="6"/>
        <v>13.97</v>
      </c>
      <c r="F221" s="680">
        <v>13.97</v>
      </c>
      <c r="G221" s="680">
        <v>13.97</v>
      </c>
      <c r="H221" t="b">
        <f t="shared" si="7"/>
        <v>1</v>
      </c>
    </row>
    <row r="222" spans="1:8" ht="30">
      <c r="A222" s="396">
        <v>43424</v>
      </c>
      <c r="B222" s="401" t="s">
        <v>8965</v>
      </c>
      <c r="C222" s="396" t="s">
        <v>2021</v>
      </c>
      <c r="D222" s="405">
        <f t="shared" si="6"/>
        <v>594.84</v>
      </c>
      <c r="F222" s="679">
        <v>594.84</v>
      </c>
      <c r="G222" s="679">
        <v>594.84</v>
      </c>
      <c r="H222" t="b">
        <f t="shared" si="7"/>
        <v>1</v>
      </c>
    </row>
    <row r="223" spans="1:8" ht="30">
      <c r="A223" s="395">
        <v>43426</v>
      </c>
      <c r="B223" s="406" t="s">
        <v>8966</v>
      </c>
      <c r="C223" s="395" t="s">
        <v>2021</v>
      </c>
      <c r="D223" s="407">
        <f t="shared" si="6"/>
        <v>2051.63</v>
      </c>
      <c r="F223" s="680">
        <v>2051.63</v>
      </c>
      <c r="G223" s="680">
        <v>2051.63</v>
      </c>
      <c r="H223" t="b">
        <f t="shared" si="7"/>
        <v>1</v>
      </c>
    </row>
    <row r="224" spans="1:8" ht="30">
      <c r="A224" s="396">
        <v>12565</v>
      </c>
      <c r="B224" s="401" t="s">
        <v>8967</v>
      </c>
      <c r="C224" s="396" t="s">
        <v>2021</v>
      </c>
      <c r="D224" s="405">
        <f t="shared" si="6"/>
        <v>719.48</v>
      </c>
      <c r="F224" s="679">
        <v>719.48</v>
      </c>
      <c r="G224" s="679">
        <v>719.48</v>
      </c>
      <c r="H224" t="b">
        <f t="shared" si="7"/>
        <v>1</v>
      </c>
    </row>
    <row r="225" spans="1:8" ht="30">
      <c r="A225" s="395">
        <v>12567</v>
      </c>
      <c r="B225" s="406" t="s">
        <v>8968</v>
      </c>
      <c r="C225" s="395" t="s">
        <v>2021</v>
      </c>
      <c r="D225" s="407">
        <f t="shared" si="6"/>
        <v>966.38</v>
      </c>
      <c r="F225" s="680">
        <v>966.38</v>
      </c>
      <c r="G225" s="680">
        <v>966.38</v>
      </c>
      <c r="H225" t="b">
        <f t="shared" si="7"/>
        <v>1</v>
      </c>
    </row>
    <row r="226" spans="1:8" ht="30">
      <c r="A226" s="396">
        <v>12568</v>
      </c>
      <c r="B226" s="401" t="s">
        <v>8969</v>
      </c>
      <c r="C226" s="396" t="s">
        <v>2021</v>
      </c>
      <c r="D226" s="405">
        <f t="shared" si="6"/>
        <v>1352.94</v>
      </c>
      <c r="F226" s="679">
        <v>1352.94</v>
      </c>
      <c r="G226" s="679">
        <v>1352.94</v>
      </c>
      <c r="H226" t="b">
        <f t="shared" si="7"/>
        <v>1</v>
      </c>
    </row>
    <row r="227" spans="1:8">
      <c r="A227" s="395">
        <v>43441</v>
      </c>
      <c r="B227" s="406" t="s">
        <v>8970</v>
      </c>
      <c r="C227" s="395" t="s">
        <v>2021</v>
      </c>
      <c r="D227" s="407">
        <f t="shared" si="6"/>
        <v>173.94</v>
      </c>
      <c r="F227" s="680">
        <v>173.94</v>
      </c>
      <c r="G227" s="680">
        <v>173.94</v>
      </c>
      <c r="H227" t="b">
        <f t="shared" si="7"/>
        <v>1</v>
      </c>
    </row>
    <row r="228" spans="1:8">
      <c r="A228" s="396">
        <v>43423</v>
      </c>
      <c r="B228" s="401" t="s">
        <v>8971</v>
      </c>
      <c r="C228" s="396" t="s">
        <v>2021</v>
      </c>
      <c r="D228" s="405">
        <f t="shared" si="6"/>
        <v>81.17</v>
      </c>
      <c r="F228" s="679">
        <v>81.17</v>
      </c>
      <c r="G228" s="679">
        <v>81.17</v>
      </c>
      <c r="H228" t="b">
        <f t="shared" si="7"/>
        <v>1</v>
      </c>
    </row>
    <row r="229" spans="1:8">
      <c r="A229" s="395">
        <v>12532</v>
      </c>
      <c r="B229" s="406" t="s">
        <v>8972</v>
      </c>
      <c r="C229" s="395" t="s">
        <v>2021</v>
      </c>
      <c r="D229" s="407">
        <f t="shared" si="6"/>
        <v>125.19</v>
      </c>
      <c r="F229" s="680">
        <v>125.19</v>
      </c>
      <c r="G229" s="680">
        <v>125.19</v>
      </c>
      <c r="H229" t="b">
        <f t="shared" si="7"/>
        <v>1</v>
      </c>
    </row>
    <row r="230" spans="1:8" ht="30">
      <c r="A230" s="396">
        <v>43444</v>
      </c>
      <c r="B230" s="401" t="s">
        <v>8973</v>
      </c>
      <c r="C230" s="396" t="s">
        <v>2021</v>
      </c>
      <c r="D230" s="405">
        <f t="shared" si="6"/>
        <v>420.37</v>
      </c>
      <c r="F230" s="679">
        <v>420.37</v>
      </c>
      <c r="G230" s="679">
        <v>420.37</v>
      </c>
      <c r="H230" t="b">
        <f t="shared" si="7"/>
        <v>1</v>
      </c>
    </row>
    <row r="231" spans="1:8" ht="30">
      <c r="A231" s="395">
        <v>12551</v>
      </c>
      <c r="B231" s="406" t="s">
        <v>8974</v>
      </c>
      <c r="C231" s="395" t="s">
        <v>2021</v>
      </c>
      <c r="D231" s="407">
        <f t="shared" si="6"/>
        <v>299.92</v>
      </c>
      <c r="F231" s="680">
        <v>299.92</v>
      </c>
      <c r="G231" s="680">
        <v>299.92</v>
      </c>
      <c r="H231" t="b">
        <f t="shared" si="7"/>
        <v>1</v>
      </c>
    </row>
    <row r="232" spans="1:8" ht="30">
      <c r="A232" s="396">
        <v>43442</v>
      </c>
      <c r="B232" s="401" t="s">
        <v>8975</v>
      </c>
      <c r="C232" s="396" t="s">
        <v>2021</v>
      </c>
      <c r="D232" s="405">
        <f t="shared" si="6"/>
        <v>231.93</v>
      </c>
      <c r="F232" s="679">
        <v>231.93</v>
      </c>
      <c r="G232" s="679">
        <v>231.93</v>
      </c>
      <c r="H232" t="b">
        <f t="shared" si="7"/>
        <v>1</v>
      </c>
    </row>
    <row r="233" spans="1:8" ht="30">
      <c r="A233" s="395">
        <v>43443</v>
      </c>
      <c r="B233" s="406" t="s">
        <v>8976</v>
      </c>
      <c r="C233" s="395" t="s">
        <v>2021</v>
      </c>
      <c r="D233" s="407">
        <f t="shared" si="6"/>
        <v>304.41000000000003</v>
      </c>
      <c r="F233" s="680">
        <v>304.41000000000003</v>
      </c>
      <c r="G233" s="680">
        <v>304.41000000000003</v>
      </c>
      <c r="H233" t="b">
        <f t="shared" si="7"/>
        <v>1</v>
      </c>
    </row>
    <row r="234" spans="1:8" ht="30">
      <c r="A234" s="396">
        <v>12544</v>
      </c>
      <c r="B234" s="401" t="s">
        <v>8977</v>
      </c>
      <c r="C234" s="396" t="s">
        <v>2021</v>
      </c>
      <c r="D234" s="405">
        <f t="shared" si="6"/>
        <v>164.28</v>
      </c>
      <c r="F234" s="679">
        <v>164.28</v>
      </c>
      <c r="G234" s="679">
        <v>164.28</v>
      </c>
      <c r="H234" t="b">
        <f t="shared" si="7"/>
        <v>1</v>
      </c>
    </row>
    <row r="235" spans="1:8" ht="30">
      <c r="A235" s="395">
        <v>12547</v>
      </c>
      <c r="B235" s="406" t="s">
        <v>8978</v>
      </c>
      <c r="C235" s="395" t="s">
        <v>2021</v>
      </c>
      <c r="D235" s="407">
        <f t="shared" si="6"/>
        <v>220.95</v>
      </c>
      <c r="F235" s="680">
        <v>220.95</v>
      </c>
      <c r="G235" s="680">
        <v>220.95</v>
      </c>
      <c r="H235" t="b">
        <f t="shared" si="7"/>
        <v>1</v>
      </c>
    </row>
    <row r="236" spans="1:8" ht="30">
      <c r="A236" s="396">
        <v>43445</v>
      </c>
      <c r="B236" s="401" t="s">
        <v>8979</v>
      </c>
      <c r="C236" s="396" t="s">
        <v>2021</v>
      </c>
      <c r="D236" s="405">
        <f t="shared" si="6"/>
        <v>579.83000000000004</v>
      </c>
      <c r="F236" s="679">
        <v>579.83000000000004</v>
      </c>
      <c r="G236" s="679">
        <v>579.83000000000004</v>
      </c>
      <c r="H236" t="b">
        <f t="shared" si="7"/>
        <v>1</v>
      </c>
    </row>
    <row r="237" spans="1:8" ht="30">
      <c r="A237" s="395">
        <v>12563</v>
      </c>
      <c r="B237" s="406" t="s">
        <v>8980</v>
      </c>
      <c r="C237" s="395" t="s">
        <v>2021</v>
      </c>
      <c r="D237" s="407">
        <f t="shared" si="6"/>
        <v>414.85</v>
      </c>
      <c r="F237" s="680">
        <v>414.85</v>
      </c>
      <c r="G237" s="680">
        <v>414.85</v>
      </c>
      <c r="H237" t="b">
        <f t="shared" si="7"/>
        <v>1</v>
      </c>
    </row>
    <row r="238" spans="1:8" ht="30">
      <c r="A238" s="396">
        <v>43425</v>
      </c>
      <c r="B238" s="401" t="s">
        <v>8981</v>
      </c>
      <c r="C238" s="396" t="s">
        <v>2021</v>
      </c>
      <c r="D238" s="405">
        <f t="shared" si="6"/>
        <v>260.92</v>
      </c>
      <c r="F238" s="679">
        <v>260.92</v>
      </c>
      <c r="G238" s="679">
        <v>260.92</v>
      </c>
      <c r="H238" t="b">
        <f t="shared" si="7"/>
        <v>1</v>
      </c>
    </row>
    <row r="239" spans="1:8" ht="30">
      <c r="A239" s="395">
        <v>43446</v>
      </c>
      <c r="B239" s="406" t="s">
        <v>8982</v>
      </c>
      <c r="C239" s="395" t="s">
        <v>2021</v>
      </c>
      <c r="D239" s="407">
        <f t="shared" si="6"/>
        <v>550.84</v>
      </c>
      <c r="F239" s="680">
        <v>550.84</v>
      </c>
      <c r="G239" s="680">
        <v>550.84</v>
      </c>
      <c r="H239" t="b">
        <f t="shared" si="7"/>
        <v>1</v>
      </c>
    </row>
    <row r="240" spans="1:8" ht="30">
      <c r="A240" s="396">
        <v>43447</v>
      </c>
      <c r="B240" s="401" t="s">
        <v>8983</v>
      </c>
      <c r="C240" s="396" t="s">
        <v>2021</v>
      </c>
      <c r="D240" s="405">
        <f t="shared" si="6"/>
        <v>676.47</v>
      </c>
      <c r="F240" s="679">
        <v>676.47</v>
      </c>
      <c r="G240" s="679">
        <v>676.47</v>
      </c>
      <c r="H240" t="b">
        <f t="shared" si="7"/>
        <v>1</v>
      </c>
    </row>
    <row r="241" spans="1:8" ht="30">
      <c r="A241" s="395">
        <v>43448</v>
      </c>
      <c r="B241" s="406" t="s">
        <v>8984</v>
      </c>
      <c r="C241" s="395" t="s">
        <v>2021</v>
      </c>
      <c r="D241" s="407">
        <f t="shared" si="6"/>
        <v>947.05</v>
      </c>
      <c r="F241" s="680">
        <v>947.05</v>
      </c>
      <c r="G241" s="680">
        <v>947.05</v>
      </c>
      <c r="H241" t="b">
        <f t="shared" si="7"/>
        <v>1</v>
      </c>
    </row>
    <row r="242" spans="1:8" ht="30">
      <c r="A242" s="396">
        <v>13761</v>
      </c>
      <c r="B242" s="401" t="s">
        <v>8985</v>
      </c>
      <c r="C242" s="396" t="s">
        <v>2021</v>
      </c>
      <c r="D242" s="405">
        <f t="shared" si="6"/>
        <v>4473.8900000000003</v>
      </c>
      <c r="F242" s="679">
        <v>4473.8900000000003</v>
      </c>
      <c r="G242" s="679">
        <v>4473.8900000000003</v>
      </c>
      <c r="H242" t="b">
        <f t="shared" si="7"/>
        <v>1</v>
      </c>
    </row>
    <row r="243" spans="1:8" ht="30">
      <c r="A243" s="395">
        <v>4814</v>
      </c>
      <c r="B243" s="406" t="s">
        <v>8986</v>
      </c>
      <c r="C243" s="395" t="s">
        <v>2021</v>
      </c>
      <c r="D243" s="407">
        <f t="shared" si="6"/>
        <v>73.069999999999993</v>
      </c>
      <c r="F243" s="680">
        <v>73.069999999999993</v>
      </c>
      <c r="G243" s="680">
        <v>73.069999999999993</v>
      </c>
      <c r="H243" t="b">
        <f t="shared" si="7"/>
        <v>1</v>
      </c>
    </row>
    <row r="244" spans="1:8">
      <c r="A244" s="396">
        <v>44473</v>
      </c>
      <c r="B244" s="401" t="s">
        <v>8987</v>
      </c>
      <c r="C244" s="396" t="s">
        <v>2021</v>
      </c>
      <c r="D244" s="405">
        <f t="shared" si="6"/>
        <v>2782.37</v>
      </c>
      <c r="F244" s="679">
        <v>2782.37</v>
      </c>
      <c r="G244" s="679">
        <v>2782.37</v>
      </c>
      <c r="H244" t="b">
        <f t="shared" si="7"/>
        <v>1</v>
      </c>
    </row>
    <row r="245" spans="1:8">
      <c r="A245" s="395">
        <v>6122</v>
      </c>
      <c r="B245" s="406" t="s">
        <v>8988</v>
      </c>
      <c r="C245" s="395" t="s">
        <v>2020</v>
      </c>
      <c r="D245" s="407">
        <f t="shared" si="6"/>
        <v>16.809999999999999</v>
      </c>
      <c r="F245" s="680">
        <v>16.809999999999999</v>
      </c>
      <c r="G245" s="680">
        <v>19.34</v>
      </c>
      <c r="H245" t="b">
        <f t="shared" si="7"/>
        <v>0</v>
      </c>
    </row>
    <row r="246" spans="1:8">
      <c r="A246" s="396">
        <v>40810</v>
      </c>
      <c r="B246" s="401" t="s">
        <v>8989</v>
      </c>
      <c r="C246" s="396" t="s">
        <v>2027</v>
      </c>
      <c r="D246" s="405">
        <f t="shared" si="6"/>
        <v>2965.06</v>
      </c>
      <c r="F246" s="679">
        <v>2965.06</v>
      </c>
      <c r="G246" s="679">
        <v>3415.57</v>
      </c>
      <c r="H246" t="b">
        <f t="shared" si="7"/>
        <v>0</v>
      </c>
    </row>
    <row r="247" spans="1:8">
      <c r="A247" s="395">
        <v>21100</v>
      </c>
      <c r="B247" s="406" t="s">
        <v>8990</v>
      </c>
      <c r="C247" s="395" t="s">
        <v>2021</v>
      </c>
      <c r="D247" s="407">
        <f t="shared" si="6"/>
        <v>3563.75</v>
      </c>
      <c r="F247" s="680">
        <v>3563.75</v>
      </c>
      <c r="G247" s="680">
        <v>3563.75</v>
      </c>
      <c r="H247" t="b">
        <f t="shared" si="7"/>
        <v>1</v>
      </c>
    </row>
    <row r="248" spans="1:8" ht="30">
      <c r="A248" s="396">
        <v>11816</v>
      </c>
      <c r="B248" s="401" t="s">
        <v>8991</v>
      </c>
      <c r="C248" s="396" t="s">
        <v>2021</v>
      </c>
      <c r="D248" s="405">
        <f t="shared" si="6"/>
        <v>3800</v>
      </c>
      <c r="F248" s="679">
        <v>3800</v>
      </c>
      <c r="G248" s="679">
        <v>3800</v>
      </c>
      <c r="H248" t="b">
        <f t="shared" si="7"/>
        <v>1</v>
      </c>
    </row>
    <row r="249" spans="1:8" ht="30">
      <c r="A249" s="395">
        <v>11814</v>
      </c>
      <c r="B249" s="406" t="s">
        <v>8992</v>
      </c>
      <c r="C249" s="395" t="s">
        <v>2021</v>
      </c>
      <c r="D249" s="407">
        <f t="shared" si="6"/>
        <v>8271.64</v>
      </c>
      <c r="F249" s="680">
        <v>8271.64</v>
      </c>
      <c r="G249" s="680">
        <v>8271.64</v>
      </c>
      <c r="H249" t="b">
        <f t="shared" si="7"/>
        <v>1</v>
      </c>
    </row>
    <row r="250" spans="1:8" ht="30">
      <c r="A250" s="396">
        <v>14186</v>
      </c>
      <c r="B250" s="401" t="s">
        <v>8993</v>
      </c>
      <c r="C250" s="396" t="s">
        <v>2021</v>
      </c>
      <c r="D250" s="405">
        <f t="shared" si="6"/>
        <v>10386.17</v>
      </c>
      <c r="F250" s="679">
        <v>10386.17</v>
      </c>
      <c r="G250" s="679">
        <v>10386.17</v>
      </c>
      <c r="H250" t="b">
        <f t="shared" si="7"/>
        <v>1</v>
      </c>
    </row>
    <row r="251" spans="1:8" ht="30">
      <c r="A251" s="395">
        <v>14185</v>
      </c>
      <c r="B251" s="406" t="s">
        <v>8994</v>
      </c>
      <c r="C251" s="395" t="s">
        <v>2021</v>
      </c>
      <c r="D251" s="407">
        <f t="shared" si="6"/>
        <v>13454.13</v>
      </c>
      <c r="F251" s="680">
        <v>13454.13</v>
      </c>
      <c r="G251" s="680">
        <v>13454.13</v>
      </c>
      <c r="H251" t="b">
        <f t="shared" si="7"/>
        <v>1</v>
      </c>
    </row>
    <row r="252" spans="1:8" ht="30">
      <c r="A252" s="396">
        <v>11811</v>
      </c>
      <c r="B252" s="401" t="s">
        <v>8995</v>
      </c>
      <c r="C252" s="396" t="s">
        <v>2021</v>
      </c>
      <c r="D252" s="405">
        <f t="shared" si="6"/>
        <v>5144.3500000000004</v>
      </c>
      <c r="F252" s="679">
        <v>5144.3500000000004</v>
      </c>
      <c r="G252" s="679">
        <v>5144.3500000000004</v>
      </c>
      <c r="H252" t="b">
        <f t="shared" si="7"/>
        <v>1</v>
      </c>
    </row>
    <row r="253" spans="1:8">
      <c r="A253" s="395">
        <v>44498</v>
      </c>
      <c r="B253" s="406" t="s">
        <v>8996</v>
      </c>
      <c r="C253" s="395" t="s">
        <v>2021</v>
      </c>
      <c r="D253" s="407">
        <f t="shared" si="6"/>
        <v>291184.53000000003</v>
      </c>
      <c r="F253" s="680">
        <v>291184.53000000003</v>
      </c>
      <c r="G253" s="680">
        <v>291184.53000000003</v>
      </c>
      <c r="H253" t="b">
        <f t="shared" si="7"/>
        <v>1</v>
      </c>
    </row>
    <row r="254" spans="1:8" ht="30">
      <c r="A254" s="396">
        <v>34469</v>
      </c>
      <c r="B254" s="401" t="s">
        <v>8997</v>
      </c>
      <c r="C254" s="396" t="s">
        <v>2021</v>
      </c>
      <c r="D254" s="405">
        <f t="shared" si="6"/>
        <v>10372.16</v>
      </c>
      <c r="F254" s="679">
        <v>10372.16</v>
      </c>
      <c r="G254" s="679">
        <v>10372.16</v>
      </c>
      <c r="H254" t="b">
        <f t="shared" si="7"/>
        <v>1</v>
      </c>
    </row>
    <row r="255" spans="1:8" ht="30">
      <c r="A255" s="395">
        <v>34476</v>
      </c>
      <c r="B255" s="406" t="s">
        <v>8998</v>
      </c>
      <c r="C255" s="395" t="s">
        <v>2021</v>
      </c>
      <c r="D255" s="407">
        <f t="shared" si="6"/>
        <v>5409.52</v>
      </c>
      <c r="F255" s="680">
        <v>5409.52</v>
      </c>
      <c r="G255" s="680">
        <v>5409.52</v>
      </c>
      <c r="H255" t="b">
        <f t="shared" si="7"/>
        <v>1</v>
      </c>
    </row>
    <row r="256" spans="1:8" ht="30">
      <c r="A256" s="396">
        <v>34477</v>
      </c>
      <c r="B256" s="401" t="s">
        <v>8999</v>
      </c>
      <c r="C256" s="396" t="s">
        <v>2021</v>
      </c>
      <c r="D256" s="405">
        <f t="shared" si="6"/>
        <v>7179.48</v>
      </c>
      <c r="F256" s="679">
        <v>7179.48</v>
      </c>
      <c r="G256" s="679">
        <v>7179.48</v>
      </c>
      <c r="H256" t="b">
        <f t="shared" si="7"/>
        <v>1</v>
      </c>
    </row>
    <row r="257" spans="1:8" ht="30">
      <c r="A257" s="395">
        <v>34482</v>
      </c>
      <c r="B257" s="406" t="s">
        <v>9000</v>
      </c>
      <c r="C257" s="395" t="s">
        <v>2021</v>
      </c>
      <c r="D257" s="407">
        <f t="shared" si="6"/>
        <v>6705.24</v>
      </c>
      <c r="F257" s="680">
        <v>6705.24</v>
      </c>
      <c r="G257" s="680">
        <v>6705.24</v>
      </c>
      <c r="H257" t="b">
        <f t="shared" si="7"/>
        <v>1</v>
      </c>
    </row>
    <row r="258" spans="1:8" ht="30">
      <c r="A258" s="396">
        <v>34472</v>
      </c>
      <c r="B258" s="401" t="s">
        <v>9001</v>
      </c>
      <c r="C258" s="396" t="s">
        <v>2021</v>
      </c>
      <c r="D258" s="405">
        <f t="shared" si="6"/>
        <v>3191.19</v>
      </c>
      <c r="F258" s="679">
        <v>3191.19</v>
      </c>
      <c r="G258" s="679">
        <v>3191.19</v>
      </c>
      <c r="H258" t="b">
        <f t="shared" si="7"/>
        <v>1</v>
      </c>
    </row>
    <row r="259" spans="1:8" ht="30">
      <c r="A259" s="395">
        <v>42425</v>
      </c>
      <c r="B259" s="406" t="s">
        <v>9002</v>
      </c>
      <c r="C259" s="395" t="s">
        <v>2021</v>
      </c>
      <c r="D259" s="407">
        <f t="shared" ref="D259:D322" si="8">IF($J$2=$F$1,F259,G259)</f>
        <v>2426.35</v>
      </c>
      <c r="F259" s="680">
        <v>2426.35</v>
      </c>
      <c r="G259" s="680">
        <v>2426.35</v>
      </c>
      <c r="H259" t="b">
        <f t="shared" ref="H259:H322" si="9">F259=G259</f>
        <v>1</v>
      </c>
    </row>
    <row r="260" spans="1:8" ht="30">
      <c r="A260" s="396">
        <v>42422</v>
      </c>
      <c r="B260" s="401" t="s">
        <v>9003</v>
      </c>
      <c r="C260" s="396" t="s">
        <v>2021</v>
      </c>
      <c r="D260" s="405">
        <f t="shared" si="8"/>
        <v>3602</v>
      </c>
      <c r="F260" s="679">
        <v>3602</v>
      </c>
      <c r="G260" s="679">
        <v>3602</v>
      </c>
      <c r="H260" t="b">
        <f t="shared" si="9"/>
        <v>1</v>
      </c>
    </row>
    <row r="261" spans="1:8" ht="30">
      <c r="A261" s="395">
        <v>43184</v>
      </c>
      <c r="B261" s="406" t="s">
        <v>9004</v>
      </c>
      <c r="C261" s="395" t="s">
        <v>2021</v>
      </c>
      <c r="D261" s="407">
        <f t="shared" si="8"/>
        <v>4978.3100000000004</v>
      </c>
      <c r="F261" s="680">
        <v>4978.3100000000004</v>
      </c>
      <c r="G261" s="680">
        <v>4978.3100000000004</v>
      </c>
      <c r="H261" t="b">
        <f t="shared" si="9"/>
        <v>1</v>
      </c>
    </row>
    <row r="262" spans="1:8" ht="30">
      <c r="A262" s="396">
        <v>42424</v>
      </c>
      <c r="B262" s="401" t="s">
        <v>9005</v>
      </c>
      <c r="C262" s="396" t="s">
        <v>2021</v>
      </c>
      <c r="D262" s="405">
        <f t="shared" si="8"/>
        <v>2166.94</v>
      </c>
      <c r="F262" s="679">
        <v>2166.94</v>
      </c>
      <c r="G262" s="679">
        <v>2166.94</v>
      </c>
      <c r="H262" t="b">
        <f t="shared" si="9"/>
        <v>1</v>
      </c>
    </row>
    <row r="263" spans="1:8" ht="30">
      <c r="A263" s="395">
        <v>42421</v>
      </c>
      <c r="B263" s="406" t="s">
        <v>9006</v>
      </c>
      <c r="C263" s="395" t="s">
        <v>2021</v>
      </c>
      <c r="D263" s="407">
        <f t="shared" si="8"/>
        <v>19729.78</v>
      </c>
      <c r="F263" s="680">
        <v>19729.78</v>
      </c>
      <c r="G263" s="680">
        <v>19729.78</v>
      </c>
      <c r="H263" t="b">
        <f t="shared" si="9"/>
        <v>1</v>
      </c>
    </row>
    <row r="264" spans="1:8" ht="30">
      <c r="A264" s="396">
        <v>42416</v>
      </c>
      <c r="B264" s="401" t="s">
        <v>9007</v>
      </c>
      <c r="C264" s="396" t="s">
        <v>2021</v>
      </c>
      <c r="D264" s="405">
        <f t="shared" si="8"/>
        <v>9341.44</v>
      </c>
      <c r="F264" s="679">
        <v>9341.44</v>
      </c>
      <c r="G264" s="679">
        <v>9341.44</v>
      </c>
      <c r="H264" t="b">
        <f t="shared" si="9"/>
        <v>1</v>
      </c>
    </row>
    <row r="265" spans="1:8" ht="30">
      <c r="A265" s="395">
        <v>42417</v>
      </c>
      <c r="B265" s="406" t="s">
        <v>9008</v>
      </c>
      <c r="C265" s="395" t="s">
        <v>2021</v>
      </c>
      <c r="D265" s="407">
        <f t="shared" si="8"/>
        <v>10472.52</v>
      </c>
      <c r="F265" s="680">
        <v>10472.52</v>
      </c>
      <c r="G265" s="680">
        <v>10472.52</v>
      </c>
      <c r="H265" t="b">
        <f t="shared" si="9"/>
        <v>1</v>
      </c>
    </row>
    <row r="266" spans="1:8" ht="30">
      <c r="A266" s="396">
        <v>42419</v>
      </c>
      <c r="B266" s="401" t="s">
        <v>9009</v>
      </c>
      <c r="C266" s="396" t="s">
        <v>2021</v>
      </c>
      <c r="D266" s="405">
        <f t="shared" si="8"/>
        <v>11831.73</v>
      </c>
      <c r="F266" s="679">
        <v>11831.73</v>
      </c>
      <c r="G266" s="679">
        <v>11831.73</v>
      </c>
      <c r="H266" t="b">
        <f t="shared" si="9"/>
        <v>1</v>
      </c>
    </row>
    <row r="267" spans="1:8" ht="30">
      <c r="A267" s="395">
        <v>42420</v>
      </c>
      <c r="B267" s="406" t="s">
        <v>9010</v>
      </c>
      <c r="C267" s="395" t="s">
        <v>2021</v>
      </c>
      <c r="D267" s="407">
        <f t="shared" si="8"/>
        <v>16261.83</v>
      </c>
      <c r="F267" s="680">
        <v>16261.83</v>
      </c>
      <c r="G267" s="680">
        <v>16261.83</v>
      </c>
      <c r="H267" t="b">
        <f t="shared" si="9"/>
        <v>1</v>
      </c>
    </row>
    <row r="268" spans="1:8" ht="30">
      <c r="A268" s="396">
        <v>43195</v>
      </c>
      <c r="B268" s="401" t="s">
        <v>9011</v>
      </c>
      <c r="C268" s="396" t="s">
        <v>2021</v>
      </c>
      <c r="D268" s="405">
        <f t="shared" si="8"/>
        <v>5726.02</v>
      </c>
      <c r="F268" s="679">
        <v>5726.02</v>
      </c>
      <c r="G268" s="679">
        <v>5726.02</v>
      </c>
      <c r="H268" t="b">
        <f t="shared" si="9"/>
        <v>1</v>
      </c>
    </row>
    <row r="269" spans="1:8" ht="30">
      <c r="A269" s="395">
        <v>43196</v>
      </c>
      <c r="B269" s="406" t="s">
        <v>9012</v>
      </c>
      <c r="C269" s="395" t="s">
        <v>2021</v>
      </c>
      <c r="D269" s="407">
        <f t="shared" si="8"/>
        <v>7096.58</v>
      </c>
      <c r="F269" s="680">
        <v>7096.58</v>
      </c>
      <c r="G269" s="680">
        <v>7096.58</v>
      </c>
      <c r="H269" t="b">
        <f t="shared" si="9"/>
        <v>1</v>
      </c>
    </row>
    <row r="270" spans="1:8" ht="30">
      <c r="A270" s="396">
        <v>43198</v>
      </c>
      <c r="B270" s="401" t="s">
        <v>9013</v>
      </c>
      <c r="C270" s="396" t="s">
        <v>2021</v>
      </c>
      <c r="D270" s="405">
        <f t="shared" si="8"/>
        <v>10545.35</v>
      </c>
      <c r="F270" s="679">
        <v>10545.35</v>
      </c>
      <c r="G270" s="679">
        <v>10545.35</v>
      </c>
      <c r="H270" t="b">
        <f t="shared" si="9"/>
        <v>1</v>
      </c>
    </row>
    <row r="271" spans="1:8" ht="30">
      <c r="A271" s="395">
        <v>43199</v>
      </c>
      <c r="B271" s="406" t="s">
        <v>9014</v>
      </c>
      <c r="C271" s="395" t="s">
        <v>2021</v>
      </c>
      <c r="D271" s="407">
        <f t="shared" si="8"/>
        <v>10931.77</v>
      </c>
      <c r="F271" s="680">
        <v>10931.77</v>
      </c>
      <c r="G271" s="680">
        <v>10931.77</v>
      </c>
      <c r="H271" t="b">
        <f t="shared" si="9"/>
        <v>1</v>
      </c>
    </row>
    <row r="272" spans="1:8" ht="30">
      <c r="A272" s="396">
        <v>43200</v>
      </c>
      <c r="B272" s="401" t="s">
        <v>9015</v>
      </c>
      <c r="C272" s="396" t="s">
        <v>2021</v>
      </c>
      <c r="D272" s="405">
        <f t="shared" si="8"/>
        <v>12545</v>
      </c>
      <c r="F272" s="679">
        <v>12545</v>
      </c>
      <c r="G272" s="679">
        <v>12545</v>
      </c>
      <c r="H272" t="b">
        <f t="shared" si="9"/>
        <v>1</v>
      </c>
    </row>
    <row r="273" spans="1:8" ht="30">
      <c r="A273" s="395">
        <v>39556</v>
      </c>
      <c r="B273" s="406" t="s">
        <v>9016</v>
      </c>
      <c r="C273" s="395" t="s">
        <v>2021</v>
      </c>
      <c r="D273" s="407">
        <f t="shared" si="8"/>
        <v>6851.71</v>
      </c>
      <c r="F273" s="680">
        <v>6851.71</v>
      </c>
      <c r="G273" s="680">
        <v>6851.71</v>
      </c>
      <c r="H273" t="b">
        <f t="shared" si="9"/>
        <v>1</v>
      </c>
    </row>
    <row r="274" spans="1:8" ht="30">
      <c r="A274" s="396">
        <v>39557</v>
      </c>
      <c r="B274" s="401" t="s">
        <v>9017</v>
      </c>
      <c r="C274" s="396" t="s">
        <v>2021</v>
      </c>
      <c r="D274" s="405">
        <f t="shared" si="8"/>
        <v>7377.8</v>
      </c>
      <c r="F274" s="679">
        <v>7377.8</v>
      </c>
      <c r="G274" s="679">
        <v>7377.8</v>
      </c>
      <c r="H274" t="b">
        <f t="shared" si="9"/>
        <v>1</v>
      </c>
    </row>
    <row r="275" spans="1:8" ht="30">
      <c r="A275" s="395">
        <v>39559</v>
      </c>
      <c r="B275" s="406" t="s">
        <v>9018</v>
      </c>
      <c r="C275" s="395" t="s">
        <v>2021</v>
      </c>
      <c r="D275" s="407">
        <f t="shared" si="8"/>
        <v>10902.96</v>
      </c>
      <c r="F275" s="680">
        <v>10902.96</v>
      </c>
      <c r="G275" s="680">
        <v>10902.96</v>
      </c>
      <c r="H275" t="b">
        <f t="shared" si="9"/>
        <v>1</v>
      </c>
    </row>
    <row r="276" spans="1:8" ht="30">
      <c r="A276" s="396">
        <v>39560</v>
      </c>
      <c r="B276" s="401" t="s">
        <v>9019</v>
      </c>
      <c r="C276" s="396" t="s">
        <v>2021</v>
      </c>
      <c r="D276" s="405">
        <f t="shared" si="8"/>
        <v>12613.66</v>
      </c>
      <c r="F276" s="679">
        <v>12613.66</v>
      </c>
      <c r="G276" s="679">
        <v>12613.66</v>
      </c>
      <c r="H276" t="b">
        <f t="shared" si="9"/>
        <v>1</v>
      </c>
    </row>
    <row r="277" spans="1:8" ht="30">
      <c r="A277" s="395">
        <v>39561</v>
      </c>
      <c r="B277" s="406" t="s">
        <v>9020</v>
      </c>
      <c r="C277" s="395" t="s">
        <v>2021</v>
      </c>
      <c r="D277" s="407">
        <f t="shared" si="8"/>
        <v>13195.5</v>
      </c>
      <c r="F277" s="680">
        <v>13195.5</v>
      </c>
      <c r="G277" s="680">
        <v>13195.5</v>
      </c>
      <c r="H277" t="b">
        <f t="shared" si="9"/>
        <v>1</v>
      </c>
    </row>
    <row r="278" spans="1:8" ht="30">
      <c r="A278" s="396">
        <v>43190</v>
      </c>
      <c r="B278" s="401" t="s">
        <v>9021</v>
      </c>
      <c r="C278" s="396" t="s">
        <v>2021</v>
      </c>
      <c r="D278" s="405">
        <f t="shared" si="8"/>
        <v>1947.3</v>
      </c>
      <c r="F278" s="679">
        <v>1947.3</v>
      </c>
      <c r="G278" s="679">
        <v>1947.3</v>
      </c>
      <c r="H278" t="b">
        <f t="shared" si="9"/>
        <v>1</v>
      </c>
    </row>
    <row r="279" spans="1:8" ht="30">
      <c r="A279" s="395">
        <v>39555</v>
      </c>
      <c r="B279" s="406" t="s">
        <v>9022</v>
      </c>
      <c r="C279" s="395" t="s">
        <v>2021</v>
      </c>
      <c r="D279" s="407">
        <f t="shared" si="8"/>
        <v>2106.48</v>
      </c>
      <c r="F279" s="680">
        <v>2106.48</v>
      </c>
      <c r="G279" s="680">
        <v>2106.48</v>
      </c>
      <c r="H279" t="b">
        <f t="shared" si="9"/>
        <v>1</v>
      </c>
    </row>
    <row r="280" spans="1:8" ht="30">
      <c r="A280" s="396">
        <v>43191</v>
      </c>
      <c r="B280" s="401" t="s">
        <v>9023</v>
      </c>
      <c r="C280" s="396" t="s">
        <v>2021</v>
      </c>
      <c r="D280" s="405">
        <f t="shared" si="8"/>
        <v>2801.91</v>
      </c>
      <c r="F280" s="679">
        <v>2801.91</v>
      </c>
      <c r="G280" s="679">
        <v>2801.91</v>
      </c>
      <c r="H280" t="b">
        <f t="shared" si="9"/>
        <v>1</v>
      </c>
    </row>
    <row r="281" spans="1:8" ht="30">
      <c r="A281" s="395">
        <v>39548</v>
      </c>
      <c r="B281" s="406" t="s">
        <v>9024</v>
      </c>
      <c r="C281" s="395" t="s">
        <v>2021</v>
      </c>
      <c r="D281" s="407">
        <f t="shared" si="8"/>
        <v>3124.57</v>
      </c>
      <c r="F281" s="680">
        <v>3124.57</v>
      </c>
      <c r="G281" s="680">
        <v>3124.57</v>
      </c>
      <c r="H281" t="b">
        <f t="shared" si="9"/>
        <v>1</v>
      </c>
    </row>
    <row r="282" spans="1:8" ht="30">
      <c r="A282" s="396">
        <v>43192</v>
      </c>
      <c r="B282" s="401" t="s">
        <v>9025</v>
      </c>
      <c r="C282" s="396" t="s">
        <v>2021</v>
      </c>
      <c r="D282" s="405">
        <f t="shared" si="8"/>
        <v>3670.26</v>
      </c>
      <c r="F282" s="679">
        <v>3670.26</v>
      </c>
      <c r="G282" s="679">
        <v>3670.26</v>
      </c>
      <c r="H282" t="b">
        <f t="shared" si="9"/>
        <v>1</v>
      </c>
    </row>
    <row r="283" spans="1:8" ht="30">
      <c r="A283" s="395">
        <v>39554</v>
      </c>
      <c r="B283" s="406" t="s">
        <v>9026</v>
      </c>
      <c r="C283" s="395" t="s">
        <v>2021</v>
      </c>
      <c r="D283" s="407">
        <f t="shared" si="8"/>
        <v>4131.7700000000004</v>
      </c>
      <c r="F283" s="680">
        <v>4131.7700000000004</v>
      </c>
      <c r="G283" s="680">
        <v>4131.7700000000004</v>
      </c>
      <c r="H283" t="b">
        <f t="shared" si="9"/>
        <v>1</v>
      </c>
    </row>
    <row r="284" spans="1:8" ht="30">
      <c r="A284" s="396">
        <v>43194</v>
      </c>
      <c r="B284" s="401" t="s">
        <v>9027</v>
      </c>
      <c r="C284" s="396" t="s">
        <v>2021</v>
      </c>
      <c r="D284" s="405">
        <f t="shared" si="8"/>
        <v>1668.2</v>
      </c>
      <c r="F284" s="679">
        <v>1668.2</v>
      </c>
      <c r="G284" s="679">
        <v>1668.2</v>
      </c>
      <c r="H284" t="b">
        <f t="shared" si="9"/>
        <v>1</v>
      </c>
    </row>
    <row r="285" spans="1:8" ht="30">
      <c r="A285" s="395">
        <v>39551</v>
      </c>
      <c r="B285" s="406" t="s">
        <v>9028</v>
      </c>
      <c r="C285" s="395" t="s">
        <v>2021</v>
      </c>
      <c r="D285" s="407">
        <f t="shared" si="8"/>
        <v>1836.87</v>
      </c>
      <c r="F285" s="680">
        <v>1836.87</v>
      </c>
      <c r="G285" s="680">
        <v>1836.87</v>
      </c>
      <c r="H285" t="b">
        <f t="shared" si="9"/>
        <v>1</v>
      </c>
    </row>
    <row r="286" spans="1:8" ht="30">
      <c r="A286" s="396">
        <v>43185</v>
      </c>
      <c r="B286" s="401" t="s">
        <v>9029</v>
      </c>
      <c r="C286" s="396" t="s">
        <v>2021</v>
      </c>
      <c r="D286" s="405">
        <f t="shared" si="8"/>
        <v>5220.04</v>
      </c>
      <c r="F286" s="679">
        <v>5220.04</v>
      </c>
      <c r="G286" s="679">
        <v>5220.04</v>
      </c>
      <c r="H286" t="b">
        <f t="shared" si="9"/>
        <v>1</v>
      </c>
    </row>
    <row r="287" spans="1:8" ht="30">
      <c r="A287" s="395">
        <v>43186</v>
      </c>
      <c r="B287" s="406" t="s">
        <v>9030</v>
      </c>
      <c r="C287" s="395" t="s">
        <v>2021</v>
      </c>
      <c r="D287" s="407">
        <f t="shared" si="8"/>
        <v>5506.09</v>
      </c>
      <c r="F287" s="680">
        <v>5506.09</v>
      </c>
      <c r="G287" s="680">
        <v>5506.09</v>
      </c>
      <c r="H287" t="b">
        <f t="shared" si="9"/>
        <v>1</v>
      </c>
    </row>
    <row r="288" spans="1:8" ht="30">
      <c r="A288" s="396">
        <v>43187</v>
      </c>
      <c r="B288" s="401" t="s">
        <v>9031</v>
      </c>
      <c r="C288" s="396" t="s">
        <v>2021</v>
      </c>
      <c r="D288" s="405">
        <f t="shared" si="8"/>
        <v>7306.64</v>
      </c>
      <c r="F288" s="679">
        <v>7306.64</v>
      </c>
      <c r="G288" s="679">
        <v>7306.64</v>
      </c>
      <c r="H288" t="b">
        <f t="shared" si="9"/>
        <v>1</v>
      </c>
    </row>
    <row r="289" spans="1:8" ht="30">
      <c r="A289" s="395">
        <v>43188</v>
      </c>
      <c r="B289" s="406" t="s">
        <v>9032</v>
      </c>
      <c r="C289" s="395" t="s">
        <v>2021</v>
      </c>
      <c r="D289" s="407">
        <f t="shared" si="8"/>
        <v>8852.9599999999991</v>
      </c>
      <c r="F289" s="680">
        <v>8852.9599999999991</v>
      </c>
      <c r="G289" s="680">
        <v>8852.9599999999991</v>
      </c>
      <c r="H289" t="b">
        <f t="shared" si="9"/>
        <v>1</v>
      </c>
    </row>
    <row r="290" spans="1:8" ht="30">
      <c r="A290" s="396">
        <v>43189</v>
      </c>
      <c r="B290" s="401" t="s">
        <v>9033</v>
      </c>
      <c r="C290" s="396" t="s">
        <v>2021</v>
      </c>
      <c r="D290" s="405">
        <f t="shared" si="8"/>
        <v>9958.11</v>
      </c>
      <c r="F290" s="679">
        <v>9958.11</v>
      </c>
      <c r="G290" s="679">
        <v>9958.11</v>
      </c>
      <c r="H290" t="b">
        <f t="shared" si="9"/>
        <v>1</v>
      </c>
    </row>
    <row r="291" spans="1:8">
      <c r="A291" s="395">
        <v>39580</v>
      </c>
      <c r="B291" s="406" t="s">
        <v>9034</v>
      </c>
      <c r="C291" s="395" t="s">
        <v>2021</v>
      </c>
      <c r="D291" s="407">
        <f t="shared" si="8"/>
        <v>78473.960000000006</v>
      </c>
      <c r="F291" s="680">
        <v>78473.960000000006</v>
      </c>
      <c r="G291" s="680">
        <v>78473.960000000006</v>
      </c>
      <c r="H291" t="b">
        <f t="shared" si="9"/>
        <v>1</v>
      </c>
    </row>
    <row r="292" spans="1:8">
      <c r="A292" s="396">
        <v>39577</v>
      </c>
      <c r="B292" s="401" t="s">
        <v>9035</v>
      </c>
      <c r="C292" s="396" t="s">
        <v>2021</v>
      </c>
      <c r="D292" s="405">
        <f t="shared" si="8"/>
        <v>24562.18</v>
      </c>
      <c r="F292" s="679">
        <v>24562.18</v>
      </c>
      <c r="G292" s="679">
        <v>24562.18</v>
      </c>
      <c r="H292" t="b">
        <f t="shared" si="9"/>
        <v>1</v>
      </c>
    </row>
    <row r="293" spans="1:8">
      <c r="A293" s="395">
        <v>39578</v>
      </c>
      <c r="B293" s="406" t="s">
        <v>9036</v>
      </c>
      <c r="C293" s="395" t="s">
        <v>2021</v>
      </c>
      <c r="D293" s="407">
        <f t="shared" si="8"/>
        <v>31697.98</v>
      </c>
      <c r="F293" s="680">
        <v>31697.98</v>
      </c>
      <c r="G293" s="680">
        <v>31697.98</v>
      </c>
      <c r="H293" t="b">
        <f t="shared" si="9"/>
        <v>1</v>
      </c>
    </row>
    <row r="294" spans="1:8">
      <c r="A294" s="396">
        <v>39579</v>
      </c>
      <c r="B294" s="401" t="s">
        <v>9037</v>
      </c>
      <c r="C294" s="396" t="s">
        <v>2021</v>
      </c>
      <c r="D294" s="405">
        <f t="shared" si="8"/>
        <v>46118.080000000002</v>
      </c>
      <c r="F294" s="679">
        <v>46118.080000000002</v>
      </c>
      <c r="G294" s="679">
        <v>46118.080000000002</v>
      </c>
      <c r="H294" t="b">
        <f t="shared" si="9"/>
        <v>1</v>
      </c>
    </row>
    <row r="295" spans="1:8" ht="30">
      <c r="A295" s="395">
        <v>39826</v>
      </c>
      <c r="B295" s="406" t="s">
        <v>9038</v>
      </c>
      <c r="C295" s="395" t="s">
        <v>2021</v>
      </c>
      <c r="D295" s="407">
        <f t="shared" si="8"/>
        <v>5664.14</v>
      </c>
      <c r="F295" s="680">
        <v>5664.14</v>
      </c>
      <c r="G295" s="680">
        <v>5664.14</v>
      </c>
      <c r="H295" t="b">
        <f t="shared" si="9"/>
        <v>1</v>
      </c>
    </row>
    <row r="296" spans="1:8">
      <c r="A296" s="396">
        <v>10700</v>
      </c>
      <c r="B296" s="401" t="s">
        <v>9039</v>
      </c>
      <c r="C296" s="396" t="s">
        <v>2021</v>
      </c>
      <c r="D296" s="405">
        <f t="shared" si="8"/>
        <v>29021.73</v>
      </c>
      <c r="F296" s="679">
        <v>29021.73</v>
      </c>
      <c r="G296" s="679">
        <v>29021.73</v>
      </c>
      <c r="H296" t="b">
        <f t="shared" si="9"/>
        <v>1</v>
      </c>
    </row>
    <row r="297" spans="1:8">
      <c r="A297" s="395">
        <v>346</v>
      </c>
      <c r="B297" s="406" t="s">
        <v>9040</v>
      </c>
      <c r="C297" s="395" t="s">
        <v>2025</v>
      </c>
      <c r="D297" s="407">
        <f t="shared" si="8"/>
        <v>29.59</v>
      </c>
      <c r="F297" s="680">
        <v>29.59</v>
      </c>
      <c r="G297" s="680">
        <v>29.59</v>
      </c>
      <c r="H297" t="b">
        <f t="shared" si="9"/>
        <v>1</v>
      </c>
    </row>
    <row r="298" spans="1:8">
      <c r="A298" s="396">
        <v>3312</v>
      </c>
      <c r="B298" s="401" t="s">
        <v>9041</v>
      </c>
      <c r="C298" s="396" t="s">
        <v>2025</v>
      </c>
      <c r="D298" s="405">
        <f t="shared" si="8"/>
        <v>26.2</v>
      </c>
      <c r="F298" s="679">
        <v>26.2</v>
      </c>
      <c r="G298" s="679">
        <v>26.2</v>
      </c>
      <c r="H298" t="b">
        <f t="shared" si="9"/>
        <v>1</v>
      </c>
    </row>
    <row r="299" spans="1:8">
      <c r="A299" s="395">
        <v>339</v>
      </c>
      <c r="B299" s="406" t="s">
        <v>9042</v>
      </c>
      <c r="C299" s="395" t="s">
        <v>2024</v>
      </c>
      <c r="D299" s="407">
        <f t="shared" si="8"/>
        <v>1.52</v>
      </c>
      <c r="F299" s="680">
        <v>1.52</v>
      </c>
      <c r="G299" s="680">
        <v>1.52</v>
      </c>
      <c r="H299" t="b">
        <f t="shared" si="9"/>
        <v>1</v>
      </c>
    </row>
    <row r="300" spans="1:8">
      <c r="A300" s="396">
        <v>340</v>
      </c>
      <c r="B300" s="401" t="s">
        <v>9043</v>
      </c>
      <c r="C300" s="396" t="s">
        <v>2024</v>
      </c>
      <c r="D300" s="405">
        <f t="shared" si="8"/>
        <v>1.37</v>
      </c>
      <c r="F300" s="679">
        <v>1.37</v>
      </c>
      <c r="G300" s="679">
        <v>1.37</v>
      </c>
      <c r="H300" t="b">
        <f t="shared" si="9"/>
        <v>1</v>
      </c>
    </row>
    <row r="301" spans="1:8">
      <c r="A301" s="395">
        <v>43130</v>
      </c>
      <c r="B301" s="406" t="s">
        <v>9044</v>
      </c>
      <c r="C301" s="395" t="s">
        <v>2025</v>
      </c>
      <c r="D301" s="407">
        <f t="shared" si="8"/>
        <v>24.98</v>
      </c>
      <c r="F301" s="680">
        <v>24.98</v>
      </c>
      <c r="G301" s="680">
        <v>24.98</v>
      </c>
      <c r="H301" t="b">
        <f t="shared" si="9"/>
        <v>1</v>
      </c>
    </row>
    <row r="302" spans="1:8">
      <c r="A302" s="396">
        <v>344</v>
      </c>
      <c r="B302" s="401" t="s">
        <v>9045</v>
      </c>
      <c r="C302" s="396" t="s">
        <v>2025</v>
      </c>
      <c r="D302" s="405">
        <f t="shared" si="8"/>
        <v>32.840000000000003</v>
      </c>
      <c r="F302" s="679">
        <v>32.840000000000003</v>
      </c>
      <c r="G302" s="679">
        <v>32.840000000000003</v>
      </c>
      <c r="H302" t="b">
        <f t="shared" si="9"/>
        <v>1</v>
      </c>
    </row>
    <row r="303" spans="1:8">
      <c r="A303" s="395">
        <v>345</v>
      </c>
      <c r="B303" s="406" t="s">
        <v>9046</v>
      </c>
      <c r="C303" s="395" t="s">
        <v>2025</v>
      </c>
      <c r="D303" s="407">
        <f t="shared" si="8"/>
        <v>35.630000000000003</v>
      </c>
      <c r="F303" s="680">
        <v>35.630000000000003</v>
      </c>
      <c r="G303" s="680">
        <v>35.630000000000003</v>
      </c>
      <c r="H303" t="b">
        <f t="shared" si="9"/>
        <v>1</v>
      </c>
    </row>
    <row r="304" spans="1:8" ht="30">
      <c r="A304" s="396">
        <v>43131</v>
      </c>
      <c r="B304" s="401" t="s">
        <v>9047</v>
      </c>
      <c r="C304" s="396" t="s">
        <v>2025</v>
      </c>
      <c r="D304" s="405">
        <f t="shared" si="8"/>
        <v>29.02</v>
      </c>
      <c r="F304" s="679">
        <v>29.02</v>
      </c>
      <c r="G304" s="679">
        <v>29.02</v>
      </c>
      <c r="H304" t="b">
        <f t="shared" si="9"/>
        <v>1</v>
      </c>
    </row>
    <row r="305" spans="1:8">
      <c r="A305" s="395">
        <v>3313</v>
      </c>
      <c r="B305" s="406" t="s">
        <v>9048</v>
      </c>
      <c r="C305" s="395" t="s">
        <v>2025</v>
      </c>
      <c r="D305" s="407">
        <f t="shared" si="8"/>
        <v>33.72</v>
      </c>
      <c r="F305" s="680">
        <v>33.72</v>
      </c>
      <c r="G305" s="680">
        <v>33.72</v>
      </c>
      <c r="H305" t="b">
        <f t="shared" si="9"/>
        <v>1</v>
      </c>
    </row>
    <row r="306" spans="1:8">
      <c r="A306" s="396">
        <v>43132</v>
      </c>
      <c r="B306" s="401" t="s">
        <v>9049</v>
      </c>
      <c r="C306" s="396" t="s">
        <v>2025</v>
      </c>
      <c r="D306" s="405">
        <f t="shared" si="8"/>
        <v>24.98</v>
      </c>
      <c r="F306" s="679">
        <v>24.98</v>
      </c>
      <c r="G306" s="679">
        <v>24.98</v>
      </c>
      <c r="H306" t="b">
        <f t="shared" si="9"/>
        <v>1</v>
      </c>
    </row>
    <row r="307" spans="1:8">
      <c r="A307" s="395">
        <v>366</v>
      </c>
      <c r="B307" s="406" t="s">
        <v>9050</v>
      </c>
      <c r="C307" s="395" t="s">
        <v>2022</v>
      </c>
      <c r="D307" s="407">
        <f t="shared" si="8"/>
        <v>127.95</v>
      </c>
      <c r="F307" s="680">
        <v>127.95</v>
      </c>
      <c r="G307" s="680">
        <v>127.95</v>
      </c>
      <c r="H307" t="b">
        <f t="shared" si="9"/>
        <v>1</v>
      </c>
    </row>
    <row r="308" spans="1:8">
      <c r="A308" s="396">
        <v>367</v>
      </c>
      <c r="B308" s="401" t="s">
        <v>9051</v>
      </c>
      <c r="C308" s="396" t="s">
        <v>2022</v>
      </c>
      <c r="D308" s="405">
        <f t="shared" si="8"/>
        <v>129.62</v>
      </c>
      <c r="F308" s="679">
        <v>129.62</v>
      </c>
      <c r="G308" s="679">
        <v>129.62</v>
      </c>
      <c r="H308" t="b">
        <f t="shared" si="9"/>
        <v>1</v>
      </c>
    </row>
    <row r="309" spans="1:8">
      <c r="A309" s="395">
        <v>370</v>
      </c>
      <c r="B309" s="406" t="s">
        <v>9052</v>
      </c>
      <c r="C309" s="395" t="s">
        <v>2022</v>
      </c>
      <c r="D309" s="407">
        <f t="shared" si="8"/>
        <v>127.95</v>
      </c>
      <c r="F309" s="680">
        <v>127.95</v>
      </c>
      <c r="G309" s="680">
        <v>127.95</v>
      </c>
      <c r="H309" t="b">
        <f t="shared" si="9"/>
        <v>1</v>
      </c>
    </row>
    <row r="310" spans="1:8">
      <c r="A310" s="396">
        <v>368</v>
      </c>
      <c r="B310" s="401" t="s">
        <v>9053</v>
      </c>
      <c r="C310" s="396" t="s">
        <v>2022</v>
      </c>
      <c r="D310" s="405">
        <f t="shared" si="8"/>
        <v>63.97</v>
      </c>
      <c r="F310" s="679">
        <v>63.97</v>
      </c>
      <c r="G310" s="679">
        <v>63.97</v>
      </c>
      <c r="H310" t="b">
        <f t="shared" si="9"/>
        <v>1</v>
      </c>
    </row>
    <row r="311" spans="1:8">
      <c r="A311" s="395">
        <v>11075</v>
      </c>
      <c r="B311" s="406" t="s">
        <v>9054</v>
      </c>
      <c r="C311" s="395" t="s">
        <v>2022</v>
      </c>
      <c r="D311" s="407">
        <f t="shared" si="8"/>
        <v>1468.47</v>
      </c>
      <c r="F311" s="680">
        <v>1468.47</v>
      </c>
      <c r="G311" s="680">
        <v>1468.47</v>
      </c>
      <c r="H311" t="b">
        <f t="shared" si="9"/>
        <v>1</v>
      </c>
    </row>
    <row r="312" spans="1:8">
      <c r="A312" s="396">
        <v>1381</v>
      </c>
      <c r="B312" s="401" t="s">
        <v>9055</v>
      </c>
      <c r="C312" s="396" t="s">
        <v>2025</v>
      </c>
      <c r="D312" s="405">
        <f t="shared" si="8"/>
        <v>1</v>
      </c>
      <c r="F312" s="679">
        <v>1</v>
      </c>
      <c r="G312" s="679">
        <v>1</v>
      </c>
      <c r="H312" t="b">
        <f t="shared" si="9"/>
        <v>1</v>
      </c>
    </row>
    <row r="313" spans="1:8">
      <c r="A313" s="395">
        <v>34353</v>
      </c>
      <c r="B313" s="406" t="s">
        <v>9056</v>
      </c>
      <c r="C313" s="395" t="s">
        <v>2025</v>
      </c>
      <c r="D313" s="407">
        <f t="shared" si="8"/>
        <v>1.86</v>
      </c>
      <c r="F313" s="680">
        <v>1.86</v>
      </c>
      <c r="G313" s="680">
        <v>1.86</v>
      </c>
      <c r="H313" t="b">
        <f t="shared" si="9"/>
        <v>1</v>
      </c>
    </row>
    <row r="314" spans="1:8">
      <c r="A314" s="396">
        <v>37595</v>
      </c>
      <c r="B314" s="401" t="s">
        <v>9057</v>
      </c>
      <c r="C314" s="396" t="s">
        <v>2025</v>
      </c>
      <c r="D314" s="405">
        <f t="shared" si="8"/>
        <v>3.07</v>
      </c>
      <c r="F314" s="679">
        <v>3.07</v>
      </c>
      <c r="G314" s="679">
        <v>3.07</v>
      </c>
      <c r="H314" t="b">
        <f t="shared" si="9"/>
        <v>1</v>
      </c>
    </row>
    <row r="315" spans="1:8">
      <c r="A315" s="395">
        <v>37596</v>
      </c>
      <c r="B315" s="406" t="s">
        <v>9058</v>
      </c>
      <c r="C315" s="395" t="s">
        <v>2025</v>
      </c>
      <c r="D315" s="407">
        <f t="shared" si="8"/>
        <v>3.52</v>
      </c>
      <c r="F315" s="680">
        <v>3.52</v>
      </c>
      <c r="G315" s="680">
        <v>3.52</v>
      </c>
      <c r="H315" t="b">
        <f t="shared" si="9"/>
        <v>1</v>
      </c>
    </row>
    <row r="316" spans="1:8">
      <c r="A316" s="396">
        <v>371</v>
      </c>
      <c r="B316" s="401" t="s">
        <v>9059</v>
      </c>
      <c r="C316" s="396" t="s">
        <v>2025</v>
      </c>
      <c r="D316" s="405">
        <f t="shared" si="8"/>
        <v>1.0900000000000001</v>
      </c>
      <c r="F316" s="679">
        <v>1.0900000000000001</v>
      </c>
      <c r="G316" s="679">
        <v>1.0900000000000001</v>
      </c>
      <c r="H316" t="b">
        <f t="shared" si="9"/>
        <v>1</v>
      </c>
    </row>
    <row r="317" spans="1:8">
      <c r="A317" s="395">
        <v>37553</v>
      </c>
      <c r="B317" s="406" t="s">
        <v>9060</v>
      </c>
      <c r="C317" s="395" t="s">
        <v>2025</v>
      </c>
      <c r="D317" s="407">
        <f t="shared" si="8"/>
        <v>2.04</v>
      </c>
      <c r="F317" s="680">
        <v>2.04</v>
      </c>
      <c r="G317" s="680">
        <v>2.04</v>
      </c>
      <c r="H317" t="b">
        <f t="shared" si="9"/>
        <v>1</v>
      </c>
    </row>
    <row r="318" spans="1:8">
      <c r="A318" s="396">
        <v>37552</v>
      </c>
      <c r="B318" s="401" t="s">
        <v>9061</v>
      </c>
      <c r="C318" s="396" t="s">
        <v>2025</v>
      </c>
      <c r="D318" s="405">
        <f t="shared" si="8"/>
        <v>3.28</v>
      </c>
      <c r="F318" s="679">
        <v>3.28</v>
      </c>
      <c r="G318" s="679">
        <v>3.28</v>
      </c>
      <c r="H318" t="b">
        <f t="shared" si="9"/>
        <v>1</v>
      </c>
    </row>
    <row r="319" spans="1:8">
      <c r="A319" s="395">
        <v>36880</v>
      </c>
      <c r="B319" s="406" t="s">
        <v>9062</v>
      </c>
      <c r="C319" s="395" t="s">
        <v>2025</v>
      </c>
      <c r="D319" s="407">
        <f t="shared" si="8"/>
        <v>3.33</v>
      </c>
      <c r="F319" s="680">
        <v>3.33</v>
      </c>
      <c r="G319" s="680">
        <v>3.33</v>
      </c>
      <c r="H319" t="b">
        <f t="shared" si="9"/>
        <v>1</v>
      </c>
    </row>
    <row r="320" spans="1:8">
      <c r="A320" s="396">
        <v>34355</v>
      </c>
      <c r="B320" s="401" t="s">
        <v>9063</v>
      </c>
      <c r="C320" s="396" t="s">
        <v>2025</v>
      </c>
      <c r="D320" s="405">
        <f t="shared" si="8"/>
        <v>2.87</v>
      </c>
      <c r="F320" s="679">
        <v>2.87</v>
      </c>
      <c r="G320" s="679">
        <v>2.87</v>
      </c>
      <c r="H320" t="b">
        <f t="shared" si="9"/>
        <v>1</v>
      </c>
    </row>
    <row r="321" spans="1:8">
      <c r="A321" s="395">
        <v>130</v>
      </c>
      <c r="B321" s="406" t="s">
        <v>9064</v>
      </c>
      <c r="C321" s="395" t="s">
        <v>2025</v>
      </c>
      <c r="D321" s="407">
        <f t="shared" si="8"/>
        <v>4.78</v>
      </c>
      <c r="F321" s="680">
        <v>4.78</v>
      </c>
      <c r="G321" s="680">
        <v>4.78</v>
      </c>
      <c r="H321" t="b">
        <f t="shared" si="9"/>
        <v>1</v>
      </c>
    </row>
    <row r="322" spans="1:8">
      <c r="A322" s="396">
        <v>135</v>
      </c>
      <c r="B322" s="401" t="s">
        <v>9065</v>
      </c>
      <c r="C322" s="396" t="s">
        <v>2025</v>
      </c>
      <c r="D322" s="405">
        <f t="shared" si="8"/>
        <v>3.85</v>
      </c>
      <c r="F322" s="679">
        <v>3.85</v>
      </c>
      <c r="G322" s="679">
        <v>3.85</v>
      </c>
      <c r="H322" t="b">
        <f t="shared" si="9"/>
        <v>1</v>
      </c>
    </row>
    <row r="323" spans="1:8">
      <c r="A323" s="395">
        <v>36886</v>
      </c>
      <c r="B323" s="406" t="s">
        <v>9066</v>
      </c>
      <c r="C323" s="395" t="s">
        <v>2025</v>
      </c>
      <c r="D323" s="407">
        <f t="shared" ref="D323:D386" si="10">IF($J$2=$F$1,F323,G323)</f>
        <v>1.03</v>
      </c>
      <c r="F323" s="680">
        <v>1.03</v>
      </c>
      <c r="G323" s="680">
        <v>1.03</v>
      </c>
      <c r="H323" t="b">
        <f t="shared" ref="H323:H386" si="11">F323=G323</f>
        <v>1</v>
      </c>
    </row>
    <row r="324" spans="1:8">
      <c r="A324" s="396">
        <v>38546</v>
      </c>
      <c r="B324" s="401" t="s">
        <v>9067</v>
      </c>
      <c r="C324" s="396" t="s">
        <v>2022</v>
      </c>
      <c r="D324" s="405">
        <f t="shared" si="10"/>
        <v>751.8</v>
      </c>
      <c r="F324" s="679">
        <v>751.8</v>
      </c>
      <c r="G324" s="679">
        <v>751.8</v>
      </c>
      <c r="H324" t="b">
        <f t="shared" si="11"/>
        <v>1</v>
      </c>
    </row>
    <row r="325" spans="1:8">
      <c r="A325" s="395">
        <v>34549</v>
      </c>
      <c r="B325" s="406" t="s">
        <v>9068</v>
      </c>
      <c r="C325" s="395" t="s">
        <v>2022</v>
      </c>
      <c r="D325" s="407">
        <f t="shared" si="10"/>
        <v>730.33</v>
      </c>
      <c r="F325" s="680">
        <v>730.33</v>
      </c>
      <c r="G325" s="680">
        <v>730.33</v>
      </c>
      <c r="H325" t="b">
        <f t="shared" si="11"/>
        <v>1</v>
      </c>
    </row>
    <row r="326" spans="1:8">
      <c r="A326" s="396">
        <v>6081</v>
      </c>
      <c r="B326" s="401" t="s">
        <v>9069</v>
      </c>
      <c r="C326" s="396" t="s">
        <v>2022</v>
      </c>
      <c r="D326" s="405">
        <f t="shared" si="10"/>
        <v>51.12</v>
      </c>
      <c r="F326" s="679">
        <v>51.12</v>
      </c>
      <c r="G326" s="679">
        <v>51.12</v>
      </c>
      <c r="H326" t="b">
        <f t="shared" si="11"/>
        <v>1</v>
      </c>
    </row>
    <row r="327" spans="1:8">
      <c r="A327" s="395">
        <v>6077</v>
      </c>
      <c r="B327" s="406" t="s">
        <v>9070</v>
      </c>
      <c r="C327" s="395" t="s">
        <v>2022</v>
      </c>
      <c r="D327" s="407">
        <f t="shared" si="10"/>
        <v>36.51</v>
      </c>
      <c r="F327" s="680">
        <v>36.51</v>
      </c>
      <c r="G327" s="680">
        <v>36.51</v>
      </c>
      <c r="H327" t="b">
        <f t="shared" si="11"/>
        <v>1</v>
      </c>
    </row>
    <row r="328" spans="1:8">
      <c r="A328" s="396">
        <v>6079</v>
      </c>
      <c r="B328" s="401" t="s">
        <v>9071</v>
      </c>
      <c r="C328" s="396" t="s">
        <v>2022</v>
      </c>
      <c r="D328" s="405">
        <f t="shared" si="10"/>
        <v>36.51</v>
      </c>
      <c r="F328" s="679">
        <v>36.51</v>
      </c>
      <c r="G328" s="679">
        <v>36.51</v>
      </c>
      <c r="H328" t="b">
        <f t="shared" si="11"/>
        <v>1</v>
      </c>
    </row>
    <row r="329" spans="1:8">
      <c r="A329" s="395">
        <v>1091</v>
      </c>
      <c r="B329" s="406" t="s">
        <v>9072</v>
      </c>
      <c r="C329" s="395" t="s">
        <v>2021</v>
      </c>
      <c r="D329" s="407">
        <f t="shared" si="10"/>
        <v>43.04</v>
      </c>
      <c r="F329" s="680">
        <v>43.04</v>
      </c>
      <c r="G329" s="680">
        <v>43.04</v>
      </c>
      <c r="H329" t="b">
        <f t="shared" si="11"/>
        <v>1</v>
      </c>
    </row>
    <row r="330" spans="1:8">
      <c r="A330" s="396">
        <v>1094</v>
      </c>
      <c r="B330" s="401" t="s">
        <v>9073</v>
      </c>
      <c r="C330" s="396" t="s">
        <v>2021</v>
      </c>
      <c r="D330" s="405">
        <f t="shared" si="10"/>
        <v>30.1</v>
      </c>
      <c r="F330" s="679">
        <v>30.1</v>
      </c>
      <c r="G330" s="679">
        <v>30.1</v>
      </c>
      <c r="H330" t="b">
        <f t="shared" si="11"/>
        <v>1</v>
      </c>
    </row>
    <row r="331" spans="1:8">
      <c r="A331" s="395">
        <v>1095</v>
      </c>
      <c r="B331" s="406" t="s">
        <v>9074</v>
      </c>
      <c r="C331" s="395" t="s">
        <v>2021</v>
      </c>
      <c r="D331" s="407">
        <f t="shared" si="10"/>
        <v>63.97</v>
      </c>
      <c r="F331" s="680">
        <v>63.97</v>
      </c>
      <c r="G331" s="680">
        <v>63.97</v>
      </c>
      <c r="H331" t="b">
        <f t="shared" si="11"/>
        <v>1</v>
      </c>
    </row>
    <row r="332" spans="1:8">
      <c r="A332" s="396">
        <v>1092</v>
      </c>
      <c r="B332" s="401" t="s">
        <v>9075</v>
      </c>
      <c r="C332" s="396" t="s">
        <v>2021</v>
      </c>
      <c r="D332" s="405">
        <f t="shared" si="10"/>
        <v>49.5</v>
      </c>
      <c r="F332" s="679">
        <v>49.5</v>
      </c>
      <c r="G332" s="679">
        <v>49.5</v>
      </c>
      <c r="H332" t="b">
        <f t="shared" si="11"/>
        <v>1</v>
      </c>
    </row>
    <row r="333" spans="1:8">
      <c r="A333" s="395">
        <v>1093</v>
      </c>
      <c r="B333" s="406" t="s">
        <v>9076</v>
      </c>
      <c r="C333" s="395" t="s">
        <v>2021</v>
      </c>
      <c r="D333" s="407">
        <f t="shared" si="10"/>
        <v>115.6</v>
      </c>
      <c r="F333" s="680">
        <v>115.6</v>
      </c>
      <c r="G333" s="680">
        <v>115.6</v>
      </c>
      <c r="H333" t="b">
        <f t="shared" si="11"/>
        <v>1</v>
      </c>
    </row>
    <row r="334" spans="1:8">
      <c r="A334" s="396">
        <v>1090</v>
      </c>
      <c r="B334" s="401" t="s">
        <v>9077</v>
      </c>
      <c r="C334" s="396" t="s">
        <v>2021</v>
      </c>
      <c r="D334" s="405">
        <f t="shared" si="10"/>
        <v>82.77</v>
      </c>
      <c r="F334" s="679">
        <v>82.77</v>
      </c>
      <c r="G334" s="679">
        <v>82.77</v>
      </c>
      <c r="H334" t="b">
        <f t="shared" si="11"/>
        <v>1</v>
      </c>
    </row>
    <row r="335" spans="1:8">
      <c r="A335" s="395">
        <v>1096</v>
      </c>
      <c r="B335" s="406" t="s">
        <v>9078</v>
      </c>
      <c r="C335" s="395" t="s">
        <v>2021</v>
      </c>
      <c r="D335" s="407">
        <f t="shared" si="10"/>
        <v>148.94999999999999</v>
      </c>
      <c r="F335" s="680">
        <v>148.94999999999999</v>
      </c>
      <c r="G335" s="680">
        <v>148.94999999999999</v>
      </c>
      <c r="H335" t="b">
        <f t="shared" si="11"/>
        <v>1</v>
      </c>
    </row>
    <row r="336" spans="1:8">
      <c r="A336" s="396">
        <v>1097</v>
      </c>
      <c r="B336" s="401" t="s">
        <v>9079</v>
      </c>
      <c r="C336" s="396" t="s">
        <v>2021</v>
      </c>
      <c r="D336" s="405">
        <f t="shared" si="10"/>
        <v>126.44</v>
      </c>
      <c r="F336" s="679">
        <v>126.44</v>
      </c>
      <c r="G336" s="679">
        <v>126.44</v>
      </c>
      <c r="H336" t="b">
        <f t="shared" si="11"/>
        <v>1</v>
      </c>
    </row>
    <row r="337" spans="1:8">
      <c r="A337" s="395">
        <v>378</v>
      </c>
      <c r="B337" s="406" t="s">
        <v>9080</v>
      </c>
      <c r="C337" s="395" t="s">
        <v>2020</v>
      </c>
      <c r="D337" s="407">
        <f t="shared" si="10"/>
        <v>16.29</v>
      </c>
      <c r="F337" s="680">
        <v>16.29</v>
      </c>
      <c r="G337" s="680">
        <v>18.739999999999998</v>
      </c>
      <c r="H337" t="b">
        <f t="shared" si="11"/>
        <v>0</v>
      </c>
    </row>
    <row r="338" spans="1:8">
      <c r="A338" s="396">
        <v>40911</v>
      </c>
      <c r="B338" s="401" t="s">
        <v>9081</v>
      </c>
      <c r="C338" s="396" t="s">
        <v>2027</v>
      </c>
      <c r="D338" s="405">
        <f t="shared" si="10"/>
        <v>2871.23</v>
      </c>
      <c r="F338" s="679">
        <v>2871.23</v>
      </c>
      <c r="G338" s="679">
        <v>3307.49</v>
      </c>
      <c r="H338" t="b">
        <f t="shared" si="11"/>
        <v>0</v>
      </c>
    </row>
    <row r="339" spans="1:8">
      <c r="A339" s="395">
        <v>33939</v>
      </c>
      <c r="B339" s="406" t="s">
        <v>9082</v>
      </c>
      <c r="C339" s="395" t="s">
        <v>2020</v>
      </c>
      <c r="D339" s="407">
        <f t="shared" si="10"/>
        <v>66.89</v>
      </c>
      <c r="F339" s="680">
        <v>66.89</v>
      </c>
      <c r="G339" s="680">
        <v>76.97</v>
      </c>
      <c r="H339" t="b">
        <f t="shared" si="11"/>
        <v>0</v>
      </c>
    </row>
    <row r="340" spans="1:8">
      <c r="A340" s="396">
        <v>40815</v>
      </c>
      <c r="B340" s="401" t="s">
        <v>9083</v>
      </c>
      <c r="C340" s="396" t="s">
        <v>2027</v>
      </c>
      <c r="D340" s="405">
        <f t="shared" si="10"/>
        <v>11791.29</v>
      </c>
      <c r="F340" s="679">
        <v>11791.29</v>
      </c>
      <c r="G340" s="679">
        <v>13582.87</v>
      </c>
      <c r="H340" t="b">
        <f t="shared" si="11"/>
        <v>0</v>
      </c>
    </row>
    <row r="341" spans="1:8">
      <c r="A341" s="395">
        <v>34760</v>
      </c>
      <c r="B341" s="406" t="s">
        <v>9084</v>
      </c>
      <c r="C341" s="395" t="s">
        <v>2020</v>
      </c>
      <c r="D341" s="407">
        <f t="shared" si="10"/>
        <v>63.16</v>
      </c>
      <c r="F341" s="680">
        <v>63.16</v>
      </c>
      <c r="G341" s="680">
        <v>72.67</v>
      </c>
      <c r="H341" t="b">
        <f t="shared" si="11"/>
        <v>0</v>
      </c>
    </row>
    <row r="342" spans="1:8">
      <c r="A342" s="396">
        <v>40935</v>
      </c>
      <c r="B342" s="401" t="s">
        <v>9085</v>
      </c>
      <c r="C342" s="396" t="s">
        <v>2027</v>
      </c>
      <c r="D342" s="405">
        <f t="shared" si="10"/>
        <v>11133.85</v>
      </c>
      <c r="F342" s="679">
        <v>11133.85</v>
      </c>
      <c r="G342" s="679">
        <v>12825.54</v>
      </c>
      <c r="H342" t="b">
        <f t="shared" si="11"/>
        <v>0</v>
      </c>
    </row>
    <row r="343" spans="1:8">
      <c r="A343" s="395">
        <v>33952</v>
      </c>
      <c r="B343" s="406" t="s">
        <v>9086</v>
      </c>
      <c r="C343" s="395" t="s">
        <v>2020</v>
      </c>
      <c r="D343" s="407">
        <f t="shared" si="10"/>
        <v>95.02</v>
      </c>
      <c r="F343" s="680">
        <v>95.02</v>
      </c>
      <c r="G343" s="680">
        <v>109.33</v>
      </c>
      <c r="H343" t="b">
        <f t="shared" si="11"/>
        <v>0</v>
      </c>
    </row>
    <row r="344" spans="1:8">
      <c r="A344" s="396">
        <v>40816</v>
      </c>
      <c r="B344" s="401" t="s">
        <v>9087</v>
      </c>
      <c r="C344" s="396" t="s">
        <v>2027</v>
      </c>
      <c r="D344" s="405">
        <f t="shared" si="10"/>
        <v>16748.55</v>
      </c>
      <c r="F344" s="679">
        <v>16748.55</v>
      </c>
      <c r="G344" s="679">
        <v>19293.34</v>
      </c>
      <c r="H344" t="b">
        <f t="shared" si="11"/>
        <v>0</v>
      </c>
    </row>
    <row r="345" spans="1:8">
      <c r="A345" s="395">
        <v>33953</v>
      </c>
      <c r="B345" s="406" t="s">
        <v>9088</v>
      </c>
      <c r="C345" s="395" t="s">
        <v>2020</v>
      </c>
      <c r="D345" s="407">
        <f t="shared" si="10"/>
        <v>125.62</v>
      </c>
      <c r="F345" s="680">
        <v>125.62</v>
      </c>
      <c r="G345" s="680">
        <v>144.53</v>
      </c>
      <c r="H345" t="b">
        <f t="shared" si="11"/>
        <v>0</v>
      </c>
    </row>
    <row r="346" spans="1:8">
      <c r="A346" s="396">
        <v>40817</v>
      </c>
      <c r="B346" s="401" t="s">
        <v>9089</v>
      </c>
      <c r="C346" s="396" t="s">
        <v>2027</v>
      </c>
      <c r="D346" s="405">
        <f t="shared" si="10"/>
        <v>22143.07</v>
      </c>
      <c r="F346" s="679">
        <v>22143.07</v>
      </c>
      <c r="G346" s="679">
        <v>25507.51</v>
      </c>
      <c r="H346" t="b">
        <f t="shared" si="11"/>
        <v>0</v>
      </c>
    </row>
    <row r="347" spans="1:8">
      <c r="A347" s="395">
        <v>13348</v>
      </c>
      <c r="B347" s="406" t="s">
        <v>9090</v>
      </c>
      <c r="C347" s="395" t="s">
        <v>2021</v>
      </c>
      <c r="D347" s="407">
        <f t="shared" si="10"/>
        <v>1.7</v>
      </c>
      <c r="F347" s="680">
        <v>1.7</v>
      </c>
      <c r="G347" s="680">
        <v>1.7</v>
      </c>
      <c r="H347" t="b">
        <f t="shared" si="11"/>
        <v>1</v>
      </c>
    </row>
    <row r="348" spans="1:8">
      <c r="A348" s="396">
        <v>39211</v>
      </c>
      <c r="B348" s="401" t="s">
        <v>9091</v>
      </c>
      <c r="C348" s="396" t="s">
        <v>2021</v>
      </c>
      <c r="D348" s="405">
        <f t="shared" si="10"/>
        <v>1.65</v>
      </c>
      <c r="F348" s="679">
        <v>1.65</v>
      </c>
      <c r="G348" s="679">
        <v>1.65</v>
      </c>
      <c r="H348" t="b">
        <f t="shared" si="11"/>
        <v>1</v>
      </c>
    </row>
    <row r="349" spans="1:8">
      <c r="A349" s="395">
        <v>39212</v>
      </c>
      <c r="B349" s="406" t="s">
        <v>9092</v>
      </c>
      <c r="C349" s="395" t="s">
        <v>2021</v>
      </c>
      <c r="D349" s="407">
        <f t="shared" si="10"/>
        <v>1.84</v>
      </c>
      <c r="F349" s="680">
        <v>1.84</v>
      </c>
      <c r="G349" s="680">
        <v>1.84</v>
      </c>
      <c r="H349" t="b">
        <f t="shared" si="11"/>
        <v>1</v>
      </c>
    </row>
    <row r="350" spans="1:8">
      <c r="A350" s="396">
        <v>39208</v>
      </c>
      <c r="B350" s="401" t="s">
        <v>9093</v>
      </c>
      <c r="C350" s="396" t="s">
        <v>2021</v>
      </c>
      <c r="D350" s="405">
        <f t="shared" si="10"/>
        <v>0.5</v>
      </c>
      <c r="F350" s="679">
        <v>0.5</v>
      </c>
      <c r="G350" s="679">
        <v>0.5</v>
      </c>
      <c r="H350" t="b">
        <f t="shared" si="11"/>
        <v>1</v>
      </c>
    </row>
    <row r="351" spans="1:8">
      <c r="A351" s="395">
        <v>39210</v>
      </c>
      <c r="B351" s="406" t="s">
        <v>9094</v>
      </c>
      <c r="C351" s="395" t="s">
        <v>2021</v>
      </c>
      <c r="D351" s="407">
        <f t="shared" si="10"/>
        <v>0.92</v>
      </c>
      <c r="F351" s="680">
        <v>0.92</v>
      </c>
      <c r="G351" s="680">
        <v>0.92</v>
      </c>
      <c r="H351" t="b">
        <f t="shared" si="11"/>
        <v>1</v>
      </c>
    </row>
    <row r="352" spans="1:8">
      <c r="A352" s="396">
        <v>39214</v>
      </c>
      <c r="B352" s="401" t="s">
        <v>9095</v>
      </c>
      <c r="C352" s="396" t="s">
        <v>2021</v>
      </c>
      <c r="D352" s="405">
        <f t="shared" si="10"/>
        <v>3.41</v>
      </c>
      <c r="F352" s="679">
        <v>3.41</v>
      </c>
      <c r="G352" s="679">
        <v>3.41</v>
      </c>
      <c r="H352" t="b">
        <f t="shared" si="11"/>
        <v>1</v>
      </c>
    </row>
    <row r="353" spans="1:8">
      <c r="A353" s="395">
        <v>39213</v>
      </c>
      <c r="B353" s="406" t="s">
        <v>9096</v>
      </c>
      <c r="C353" s="395" t="s">
        <v>2021</v>
      </c>
      <c r="D353" s="407">
        <f t="shared" si="10"/>
        <v>2.41</v>
      </c>
      <c r="F353" s="680">
        <v>2.41</v>
      </c>
      <c r="G353" s="680">
        <v>2.41</v>
      </c>
      <c r="H353" t="b">
        <f t="shared" si="11"/>
        <v>1</v>
      </c>
    </row>
    <row r="354" spans="1:8">
      <c r="A354" s="396">
        <v>39209</v>
      </c>
      <c r="B354" s="401" t="s">
        <v>9097</v>
      </c>
      <c r="C354" s="396" t="s">
        <v>2021</v>
      </c>
      <c r="D354" s="405">
        <f t="shared" si="10"/>
        <v>0.6</v>
      </c>
      <c r="F354" s="679">
        <v>0.6</v>
      </c>
      <c r="G354" s="679">
        <v>0.6</v>
      </c>
      <c r="H354" t="b">
        <f t="shared" si="11"/>
        <v>1</v>
      </c>
    </row>
    <row r="355" spans="1:8">
      <c r="A355" s="395">
        <v>39207</v>
      </c>
      <c r="B355" s="406" t="s">
        <v>9098</v>
      </c>
      <c r="C355" s="395" t="s">
        <v>2021</v>
      </c>
      <c r="D355" s="407">
        <f t="shared" si="10"/>
        <v>0.92</v>
      </c>
      <c r="F355" s="680">
        <v>0.92</v>
      </c>
      <c r="G355" s="680">
        <v>0.92</v>
      </c>
      <c r="H355" t="b">
        <f t="shared" si="11"/>
        <v>1</v>
      </c>
    </row>
    <row r="356" spans="1:8">
      <c r="A356" s="396">
        <v>39215</v>
      </c>
      <c r="B356" s="401" t="s">
        <v>9099</v>
      </c>
      <c r="C356" s="396" t="s">
        <v>2021</v>
      </c>
      <c r="D356" s="405">
        <f t="shared" si="10"/>
        <v>6.21</v>
      </c>
      <c r="F356" s="679">
        <v>6.21</v>
      </c>
      <c r="G356" s="679">
        <v>6.21</v>
      </c>
      <c r="H356" t="b">
        <f t="shared" si="11"/>
        <v>1</v>
      </c>
    </row>
    <row r="357" spans="1:8">
      <c r="A357" s="395">
        <v>39216</v>
      </c>
      <c r="B357" s="406" t="s">
        <v>9100</v>
      </c>
      <c r="C357" s="395" t="s">
        <v>2021</v>
      </c>
      <c r="D357" s="407">
        <f t="shared" si="10"/>
        <v>8.67</v>
      </c>
      <c r="F357" s="680">
        <v>8.67</v>
      </c>
      <c r="G357" s="680">
        <v>8.67</v>
      </c>
      <c r="H357" t="b">
        <f t="shared" si="11"/>
        <v>1</v>
      </c>
    </row>
    <row r="358" spans="1:8" ht="30">
      <c r="A358" s="396">
        <v>11267</v>
      </c>
      <c r="B358" s="401" t="s">
        <v>9101</v>
      </c>
      <c r="C358" s="396" t="s">
        <v>2021</v>
      </c>
      <c r="D358" s="405">
        <f t="shared" si="10"/>
        <v>1.49</v>
      </c>
      <c r="F358" s="679">
        <v>1.49</v>
      </c>
      <c r="G358" s="679">
        <v>1.49</v>
      </c>
      <c r="H358" t="b">
        <f t="shared" si="11"/>
        <v>1</v>
      </c>
    </row>
    <row r="359" spans="1:8">
      <c r="A359" s="395">
        <v>379</v>
      </c>
      <c r="B359" s="406" t="s">
        <v>9102</v>
      </c>
      <c r="C359" s="395" t="s">
        <v>2021</v>
      </c>
      <c r="D359" s="407">
        <f t="shared" si="10"/>
        <v>1.5</v>
      </c>
      <c r="F359" s="680">
        <v>1.5</v>
      </c>
      <c r="G359" s="680">
        <v>1.5</v>
      </c>
      <c r="H359" t="b">
        <f t="shared" si="11"/>
        <v>1</v>
      </c>
    </row>
    <row r="360" spans="1:8">
      <c r="A360" s="396">
        <v>510</v>
      </c>
      <c r="B360" s="401" t="s">
        <v>9103</v>
      </c>
      <c r="C360" s="396" t="s">
        <v>2025</v>
      </c>
      <c r="D360" s="405">
        <f t="shared" si="10"/>
        <v>17.75</v>
      </c>
      <c r="F360" s="679">
        <v>17.75</v>
      </c>
      <c r="G360" s="679">
        <v>17.75</v>
      </c>
      <c r="H360" t="b">
        <f t="shared" si="11"/>
        <v>1</v>
      </c>
    </row>
    <row r="361" spans="1:8">
      <c r="A361" s="395">
        <v>516</v>
      </c>
      <c r="B361" s="406" t="s">
        <v>9104</v>
      </c>
      <c r="C361" s="395" t="s">
        <v>2025</v>
      </c>
      <c r="D361" s="407">
        <f t="shared" si="10"/>
        <v>21.03</v>
      </c>
      <c r="F361" s="680">
        <v>21.03</v>
      </c>
      <c r="G361" s="680">
        <v>21.03</v>
      </c>
      <c r="H361" t="b">
        <f t="shared" si="11"/>
        <v>1</v>
      </c>
    </row>
    <row r="362" spans="1:8">
      <c r="A362" s="396">
        <v>509</v>
      </c>
      <c r="B362" s="401" t="s">
        <v>9105</v>
      </c>
      <c r="C362" s="396" t="s">
        <v>2025</v>
      </c>
      <c r="D362" s="405">
        <f t="shared" si="10"/>
        <v>23.6</v>
      </c>
      <c r="F362" s="679">
        <v>23.6</v>
      </c>
      <c r="G362" s="679">
        <v>23.6</v>
      </c>
      <c r="H362" t="b">
        <f t="shared" si="11"/>
        <v>1</v>
      </c>
    </row>
    <row r="363" spans="1:8">
      <c r="A363" s="395">
        <v>40331</v>
      </c>
      <c r="B363" s="406" t="s">
        <v>9106</v>
      </c>
      <c r="C363" s="395" t="s">
        <v>2020</v>
      </c>
      <c r="D363" s="407">
        <f t="shared" si="10"/>
        <v>14.14</v>
      </c>
      <c r="F363" s="680">
        <v>14.14</v>
      </c>
      <c r="G363" s="680">
        <v>16.27</v>
      </c>
      <c r="H363" t="b">
        <f t="shared" si="11"/>
        <v>0</v>
      </c>
    </row>
    <row r="364" spans="1:8">
      <c r="A364" s="396">
        <v>40930</v>
      </c>
      <c r="B364" s="401" t="s">
        <v>9107</v>
      </c>
      <c r="C364" s="396" t="s">
        <v>2027</v>
      </c>
      <c r="D364" s="405">
        <f t="shared" si="10"/>
        <v>2493.6999999999998</v>
      </c>
      <c r="F364" s="679">
        <v>2493.6999999999998</v>
      </c>
      <c r="G364" s="679">
        <v>2872.6</v>
      </c>
      <c r="H364" t="b">
        <f t="shared" si="11"/>
        <v>0</v>
      </c>
    </row>
    <row r="365" spans="1:8">
      <c r="A365" s="395">
        <v>11761</v>
      </c>
      <c r="B365" s="406" t="s">
        <v>9108</v>
      </c>
      <c r="C365" s="395" t="s">
        <v>2021</v>
      </c>
      <c r="D365" s="407">
        <f t="shared" si="10"/>
        <v>84.91</v>
      </c>
      <c r="F365" s="680">
        <v>84.91</v>
      </c>
      <c r="G365" s="680">
        <v>84.91</v>
      </c>
      <c r="H365" t="b">
        <f t="shared" si="11"/>
        <v>1</v>
      </c>
    </row>
    <row r="366" spans="1:8">
      <c r="A366" s="396">
        <v>377</v>
      </c>
      <c r="B366" s="401" t="s">
        <v>9109</v>
      </c>
      <c r="C366" s="396" t="s">
        <v>2021</v>
      </c>
      <c r="D366" s="405">
        <f t="shared" si="10"/>
        <v>39.9</v>
      </c>
      <c r="F366" s="679">
        <v>39.9</v>
      </c>
      <c r="G366" s="679">
        <v>39.9</v>
      </c>
      <c r="H366" t="b">
        <f t="shared" si="11"/>
        <v>1</v>
      </c>
    </row>
    <row r="367" spans="1:8">
      <c r="A367" s="395">
        <v>7588</v>
      </c>
      <c r="B367" s="406" t="s">
        <v>9110</v>
      </c>
      <c r="C367" s="395" t="s">
        <v>2021</v>
      </c>
      <c r="D367" s="407">
        <f t="shared" si="10"/>
        <v>56.93</v>
      </c>
      <c r="F367" s="680">
        <v>56.93</v>
      </c>
      <c r="G367" s="680">
        <v>56.93</v>
      </c>
      <c r="H367" t="b">
        <f t="shared" si="11"/>
        <v>1</v>
      </c>
    </row>
    <row r="368" spans="1:8">
      <c r="A368" s="396">
        <v>34392</v>
      </c>
      <c r="B368" s="401" t="s">
        <v>9111</v>
      </c>
      <c r="C368" s="396" t="s">
        <v>2020</v>
      </c>
      <c r="D368" s="405">
        <f t="shared" si="10"/>
        <v>13.11</v>
      </c>
      <c r="F368" s="679">
        <v>13.11</v>
      </c>
      <c r="G368" s="679">
        <v>15.09</v>
      </c>
      <c r="H368" t="b">
        <f t="shared" si="11"/>
        <v>0</v>
      </c>
    </row>
    <row r="369" spans="1:8">
      <c r="A369" s="395">
        <v>40908</v>
      </c>
      <c r="B369" s="406" t="s">
        <v>9112</v>
      </c>
      <c r="C369" s="395" t="s">
        <v>2027</v>
      </c>
      <c r="D369" s="407">
        <f t="shared" si="10"/>
        <v>2313.4299999999998</v>
      </c>
      <c r="F369" s="680">
        <v>2313.4299999999998</v>
      </c>
      <c r="G369" s="680">
        <v>2664.93</v>
      </c>
      <c r="H369" t="b">
        <f t="shared" si="11"/>
        <v>0</v>
      </c>
    </row>
    <row r="370" spans="1:8">
      <c r="A370" s="396">
        <v>34551</v>
      </c>
      <c r="B370" s="401" t="s">
        <v>9113</v>
      </c>
      <c r="C370" s="396" t="s">
        <v>2020</v>
      </c>
      <c r="D370" s="405">
        <f t="shared" si="10"/>
        <v>12.1</v>
      </c>
      <c r="F370" s="679">
        <v>12.1</v>
      </c>
      <c r="G370" s="679">
        <v>13.92</v>
      </c>
      <c r="H370" t="b">
        <f t="shared" si="11"/>
        <v>0</v>
      </c>
    </row>
    <row r="371" spans="1:8">
      <c r="A371" s="395">
        <v>41078</v>
      </c>
      <c r="B371" s="406" t="s">
        <v>9114</v>
      </c>
      <c r="C371" s="395" t="s">
        <v>2027</v>
      </c>
      <c r="D371" s="407">
        <f t="shared" si="10"/>
        <v>2136.34</v>
      </c>
      <c r="F371" s="680">
        <v>2136.34</v>
      </c>
      <c r="G371" s="680">
        <v>2460.9299999999998</v>
      </c>
      <c r="H371" t="b">
        <f t="shared" si="11"/>
        <v>0</v>
      </c>
    </row>
    <row r="372" spans="1:8">
      <c r="A372" s="396">
        <v>246</v>
      </c>
      <c r="B372" s="401" t="s">
        <v>9115</v>
      </c>
      <c r="C372" s="396" t="s">
        <v>2020</v>
      </c>
      <c r="D372" s="405">
        <f t="shared" si="10"/>
        <v>13.13</v>
      </c>
      <c r="F372" s="679">
        <v>13.13</v>
      </c>
      <c r="G372" s="679">
        <v>15.11</v>
      </c>
      <c r="H372" t="b">
        <f t="shared" si="11"/>
        <v>0</v>
      </c>
    </row>
    <row r="373" spans="1:8">
      <c r="A373" s="395">
        <v>40927</v>
      </c>
      <c r="B373" s="406" t="s">
        <v>9116</v>
      </c>
      <c r="C373" s="395" t="s">
        <v>2027</v>
      </c>
      <c r="D373" s="407">
        <f t="shared" si="10"/>
        <v>2315</v>
      </c>
      <c r="F373" s="680">
        <v>2315</v>
      </c>
      <c r="G373" s="680">
        <v>2666.75</v>
      </c>
      <c r="H373" t="b">
        <f t="shared" si="11"/>
        <v>0</v>
      </c>
    </row>
    <row r="374" spans="1:8">
      <c r="A374" s="396">
        <v>2350</v>
      </c>
      <c r="B374" s="401" t="s">
        <v>9117</v>
      </c>
      <c r="C374" s="396" t="s">
        <v>2020</v>
      </c>
      <c r="D374" s="405">
        <f t="shared" si="10"/>
        <v>12.66</v>
      </c>
      <c r="F374" s="679">
        <v>12.66</v>
      </c>
      <c r="G374" s="679">
        <v>14.57</v>
      </c>
      <c r="H374" t="b">
        <f t="shared" si="11"/>
        <v>0</v>
      </c>
    </row>
    <row r="375" spans="1:8">
      <c r="A375" s="395">
        <v>40812</v>
      </c>
      <c r="B375" s="406" t="s">
        <v>9118</v>
      </c>
      <c r="C375" s="395" t="s">
        <v>2027</v>
      </c>
      <c r="D375" s="407">
        <f t="shared" si="10"/>
        <v>2233.84</v>
      </c>
      <c r="F375" s="680">
        <v>2233.84</v>
      </c>
      <c r="G375" s="680">
        <v>2573.25</v>
      </c>
      <c r="H375" t="b">
        <f t="shared" si="11"/>
        <v>0</v>
      </c>
    </row>
    <row r="376" spans="1:8">
      <c r="A376" s="396">
        <v>245</v>
      </c>
      <c r="B376" s="401" t="s">
        <v>9119</v>
      </c>
      <c r="C376" s="396" t="s">
        <v>2020</v>
      </c>
      <c r="D376" s="405">
        <f t="shared" si="10"/>
        <v>20.350000000000001</v>
      </c>
      <c r="F376" s="679">
        <v>20.350000000000001</v>
      </c>
      <c r="G376" s="679">
        <v>23.41</v>
      </c>
      <c r="H376" t="b">
        <f t="shared" si="11"/>
        <v>0</v>
      </c>
    </row>
    <row r="377" spans="1:8">
      <c r="A377" s="395">
        <v>41090</v>
      </c>
      <c r="B377" s="406" t="s">
        <v>9120</v>
      </c>
      <c r="C377" s="395" t="s">
        <v>2027</v>
      </c>
      <c r="D377" s="407">
        <f t="shared" si="10"/>
        <v>3589.04</v>
      </c>
      <c r="F377" s="680">
        <v>3589.04</v>
      </c>
      <c r="G377" s="680">
        <v>4134.3599999999997</v>
      </c>
      <c r="H377" t="b">
        <f t="shared" si="11"/>
        <v>0</v>
      </c>
    </row>
    <row r="378" spans="1:8">
      <c r="A378" s="396">
        <v>251</v>
      </c>
      <c r="B378" s="401" t="s">
        <v>9121</v>
      </c>
      <c r="C378" s="396" t="s">
        <v>2020</v>
      </c>
      <c r="D378" s="405">
        <f t="shared" si="10"/>
        <v>10.55</v>
      </c>
      <c r="F378" s="679">
        <v>10.55</v>
      </c>
      <c r="G378" s="679">
        <v>12.14</v>
      </c>
      <c r="H378" t="b">
        <f t="shared" si="11"/>
        <v>0</v>
      </c>
    </row>
    <row r="379" spans="1:8">
      <c r="A379" s="395">
        <v>40975</v>
      </c>
      <c r="B379" s="406" t="s">
        <v>9122</v>
      </c>
      <c r="C379" s="395" t="s">
        <v>2027</v>
      </c>
      <c r="D379" s="407">
        <f t="shared" si="10"/>
        <v>1861.53</v>
      </c>
      <c r="F379" s="680">
        <v>1861.53</v>
      </c>
      <c r="G379" s="680">
        <v>2144.37</v>
      </c>
      <c r="H379" t="b">
        <f t="shared" si="11"/>
        <v>0</v>
      </c>
    </row>
    <row r="380" spans="1:8">
      <c r="A380" s="396">
        <v>6127</v>
      </c>
      <c r="B380" s="401" t="s">
        <v>9123</v>
      </c>
      <c r="C380" s="396" t="s">
        <v>2020</v>
      </c>
      <c r="D380" s="405">
        <f t="shared" si="10"/>
        <v>12.1</v>
      </c>
      <c r="F380" s="679">
        <v>12.1</v>
      </c>
      <c r="G380" s="679">
        <v>13.92</v>
      </c>
      <c r="H380" t="b">
        <f t="shared" si="11"/>
        <v>0</v>
      </c>
    </row>
    <row r="381" spans="1:8">
      <c r="A381" s="395">
        <v>41072</v>
      </c>
      <c r="B381" s="406" t="s">
        <v>9124</v>
      </c>
      <c r="C381" s="395" t="s">
        <v>2027</v>
      </c>
      <c r="D381" s="407">
        <f t="shared" si="10"/>
        <v>2136.34</v>
      </c>
      <c r="F381" s="680">
        <v>2136.34</v>
      </c>
      <c r="G381" s="680">
        <v>2460.9299999999998</v>
      </c>
      <c r="H381" t="b">
        <f t="shared" si="11"/>
        <v>0</v>
      </c>
    </row>
    <row r="382" spans="1:8">
      <c r="A382" s="396">
        <v>6121</v>
      </c>
      <c r="B382" s="401" t="s">
        <v>9125</v>
      </c>
      <c r="C382" s="396" t="s">
        <v>2020</v>
      </c>
      <c r="D382" s="405">
        <f t="shared" si="10"/>
        <v>12.14</v>
      </c>
      <c r="F382" s="679">
        <v>12.14</v>
      </c>
      <c r="G382" s="679">
        <v>13.97</v>
      </c>
      <c r="H382" t="b">
        <f t="shared" si="11"/>
        <v>0</v>
      </c>
    </row>
    <row r="383" spans="1:8">
      <c r="A383" s="395">
        <v>41071</v>
      </c>
      <c r="B383" s="406" t="s">
        <v>9126</v>
      </c>
      <c r="C383" s="395" t="s">
        <v>2027</v>
      </c>
      <c r="D383" s="407">
        <f t="shared" si="10"/>
        <v>2139.91</v>
      </c>
      <c r="F383" s="680">
        <v>2139.91</v>
      </c>
      <c r="G383" s="680">
        <v>2465.0500000000002</v>
      </c>
      <c r="H383" t="b">
        <f t="shared" si="11"/>
        <v>0</v>
      </c>
    </row>
    <row r="384" spans="1:8">
      <c r="A384" s="396">
        <v>244</v>
      </c>
      <c r="B384" s="401" t="s">
        <v>9127</v>
      </c>
      <c r="C384" s="396" t="s">
        <v>2020</v>
      </c>
      <c r="D384" s="405">
        <f t="shared" si="10"/>
        <v>7.32</v>
      </c>
      <c r="F384" s="679">
        <v>7.32</v>
      </c>
      <c r="G384" s="679">
        <v>8.42</v>
      </c>
      <c r="H384" t="b">
        <f t="shared" si="11"/>
        <v>0</v>
      </c>
    </row>
    <row r="385" spans="1:8">
      <c r="A385" s="395">
        <v>41093</v>
      </c>
      <c r="B385" s="406" t="s">
        <v>9128</v>
      </c>
      <c r="C385" s="395" t="s">
        <v>2027</v>
      </c>
      <c r="D385" s="407">
        <f t="shared" si="10"/>
        <v>1292.1400000000001</v>
      </c>
      <c r="F385" s="680">
        <v>1292.1400000000001</v>
      </c>
      <c r="G385" s="680">
        <v>1488.47</v>
      </c>
      <c r="H385" t="b">
        <f t="shared" si="11"/>
        <v>0</v>
      </c>
    </row>
    <row r="386" spans="1:8">
      <c r="A386" s="396">
        <v>532</v>
      </c>
      <c r="B386" s="401" t="s">
        <v>9129</v>
      </c>
      <c r="C386" s="396" t="s">
        <v>2020</v>
      </c>
      <c r="D386" s="405">
        <f t="shared" si="10"/>
        <v>23.43</v>
      </c>
      <c r="F386" s="679">
        <v>23.43</v>
      </c>
      <c r="G386" s="679">
        <v>26.96</v>
      </c>
      <c r="H386" t="b">
        <f t="shared" si="11"/>
        <v>0</v>
      </c>
    </row>
    <row r="387" spans="1:8">
      <c r="A387" s="395">
        <v>40931</v>
      </c>
      <c r="B387" s="406" t="s">
        <v>9130</v>
      </c>
      <c r="C387" s="395" t="s">
        <v>2027</v>
      </c>
      <c r="D387" s="407">
        <f t="shared" ref="D387:D450" si="12">IF($J$2=$F$1,F387,G387)</f>
        <v>4132.7700000000004</v>
      </c>
      <c r="F387" s="680">
        <v>4132.7700000000004</v>
      </c>
      <c r="G387" s="680">
        <v>4760.71</v>
      </c>
      <c r="H387" t="b">
        <f t="shared" ref="H387:H450" si="13">F387=G387</f>
        <v>0</v>
      </c>
    </row>
    <row r="388" spans="1:8">
      <c r="A388" s="396">
        <v>36150</v>
      </c>
      <c r="B388" s="401" t="s">
        <v>9131</v>
      </c>
      <c r="C388" s="396" t="s">
        <v>2021</v>
      </c>
      <c r="D388" s="405">
        <f t="shared" si="12"/>
        <v>47.22</v>
      </c>
      <c r="F388" s="679">
        <v>47.22</v>
      </c>
      <c r="G388" s="679">
        <v>47.22</v>
      </c>
      <c r="H388" t="b">
        <f t="shared" si="13"/>
        <v>1</v>
      </c>
    </row>
    <row r="389" spans="1:8">
      <c r="A389" s="395">
        <v>4760</v>
      </c>
      <c r="B389" s="406" t="s">
        <v>9132</v>
      </c>
      <c r="C389" s="395" t="s">
        <v>2020</v>
      </c>
      <c r="D389" s="407">
        <f t="shared" si="12"/>
        <v>16.29</v>
      </c>
      <c r="F389" s="680">
        <v>16.29</v>
      </c>
      <c r="G389" s="680">
        <v>18.739999999999998</v>
      </c>
      <c r="H389" t="b">
        <f t="shared" si="13"/>
        <v>0</v>
      </c>
    </row>
    <row r="390" spans="1:8">
      <c r="A390" s="396">
        <v>41069</v>
      </c>
      <c r="B390" s="401" t="s">
        <v>9133</v>
      </c>
      <c r="C390" s="396" t="s">
        <v>2027</v>
      </c>
      <c r="D390" s="405">
        <f t="shared" si="12"/>
        <v>2871.23</v>
      </c>
      <c r="F390" s="679">
        <v>2871.23</v>
      </c>
      <c r="G390" s="679">
        <v>3307.49</v>
      </c>
      <c r="H390" t="b">
        <f t="shared" si="13"/>
        <v>0</v>
      </c>
    </row>
    <row r="391" spans="1:8">
      <c r="A391" s="395">
        <v>10422</v>
      </c>
      <c r="B391" s="406" t="s">
        <v>9134</v>
      </c>
      <c r="C391" s="395" t="s">
        <v>2021</v>
      </c>
      <c r="D391" s="407">
        <f t="shared" si="12"/>
        <v>390.66</v>
      </c>
      <c r="F391" s="680">
        <v>390.66</v>
      </c>
      <c r="G391" s="680">
        <v>390.66</v>
      </c>
      <c r="H391" t="b">
        <f t="shared" si="13"/>
        <v>1</v>
      </c>
    </row>
    <row r="392" spans="1:8">
      <c r="A392" s="396">
        <v>44019</v>
      </c>
      <c r="B392" s="401" t="s">
        <v>9135</v>
      </c>
      <c r="C392" s="396" t="s">
        <v>2021</v>
      </c>
      <c r="D392" s="405">
        <f t="shared" si="12"/>
        <v>540.77</v>
      </c>
      <c r="F392" s="679">
        <v>540.77</v>
      </c>
      <c r="G392" s="679">
        <v>540.77</v>
      </c>
      <c r="H392" t="b">
        <f t="shared" si="13"/>
        <v>1</v>
      </c>
    </row>
    <row r="393" spans="1:8">
      <c r="A393" s="395">
        <v>36520</v>
      </c>
      <c r="B393" s="406" t="s">
        <v>9136</v>
      </c>
      <c r="C393" s="395" t="s">
        <v>2021</v>
      </c>
      <c r="D393" s="407">
        <f t="shared" si="12"/>
        <v>657.52</v>
      </c>
      <c r="F393" s="680">
        <v>657.52</v>
      </c>
      <c r="G393" s="680">
        <v>657.52</v>
      </c>
      <c r="H393" t="b">
        <f t="shared" si="13"/>
        <v>1</v>
      </c>
    </row>
    <row r="394" spans="1:8" ht="30">
      <c r="A394" s="396">
        <v>42319</v>
      </c>
      <c r="B394" s="401" t="s">
        <v>9137</v>
      </c>
      <c r="C394" s="396" t="s">
        <v>2021</v>
      </c>
      <c r="D394" s="405">
        <f t="shared" si="12"/>
        <v>589.16999999999996</v>
      </c>
      <c r="F394" s="679">
        <v>589.16999999999996</v>
      </c>
      <c r="G394" s="679">
        <v>589.16999999999996</v>
      </c>
      <c r="H394" t="b">
        <f t="shared" si="13"/>
        <v>1</v>
      </c>
    </row>
    <row r="395" spans="1:8">
      <c r="A395" s="395">
        <v>10420</v>
      </c>
      <c r="B395" s="406" t="s">
        <v>9138</v>
      </c>
      <c r="C395" s="395" t="s">
        <v>2021</v>
      </c>
      <c r="D395" s="407">
        <f t="shared" si="12"/>
        <v>209</v>
      </c>
      <c r="F395" s="680">
        <v>209</v>
      </c>
      <c r="G395" s="680">
        <v>209</v>
      </c>
      <c r="H395" t="b">
        <f t="shared" si="13"/>
        <v>1</v>
      </c>
    </row>
    <row r="396" spans="1:8">
      <c r="A396" s="396">
        <v>10421</v>
      </c>
      <c r="B396" s="401" t="s">
        <v>9139</v>
      </c>
      <c r="C396" s="396" t="s">
        <v>2021</v>
      </c>
      <c r="D396" s="405">
        <f t="shared" si="12"/>
        <v>229.66</v>
      </c>
      <c r="F396" s="679">
        <v>229.66</v>
      </c>
      <c r="G396" s="679">
        <v>229.66</v>
      </c>
      <c r="H396" t="b">
        <f t="shared" si="13"/>
        <v>1</v>
      </c>
    </row>
    <row r="397" spans="1:8">
      <c r="A397" s="395">
        <v>11786</v>
      </c>
      <c r="B397" s="406" t="s">
        <v>9140</v>
      </c>
      <c r="C397" s="395" t="s">
        <v>2021</v>
      </c>
      <c r="D397" s="407">
        <f t="shared" si="12"/>
        <v>463.09</v>
      </c>
      <c r="F397" s="680">
        <v>463.09</v>
      </c>
      <c r="G397" s="680">
        <v>463.09</v>
      </c>
      <c r="H397" t="b">
        <f t="shared" si="13"/>
        <v>1</v>
      </c>
    </row>
    <row r="398" spans="1:8">
      <c r="A398" s="396">
        <v>10</v>
      </c>
      <c r="B398" s="401" t="s">
        <v>9141</v>
      </c>
      <c r="C398" s="396" t="s">
        <v>2021</v>
      </c>
      <c r="D398" s="405">
        <f t="shared" si="12"/>
        <v>19.87</v>
      </c>
      <c r="F398" s="679">
        <v>19.87</v>
      </c>
      <c r="G398" s="679">
        <v>19.87</v>
      </c>
      <c r="H398" t="b">
        <f t="shared" si="13"/>
        <v>1</v>
      </c>
    </row>
    <row r="399" spans="1:8">
      <c r="A399" s="395">
        <v>4815</v>
      </c>
      <c r="B399" s="406" t="s">
        <v>9142</v>
      </c>
      <c r="C399" s="395" t="s">
        <v>2021</v>
      </c>
      <c r="D399" s="407">
        <f t="shared" si="12"/>
        <v>6.67</v>
      </c>
      <c r="F399" s="680">
        <v>6.67</v>
      </c>
      <c r="G399" s="680">
        <v>6.67</v>
      </c>
      <c r="H399" t="b">
        <f t="shared" si="13"/>
        <v>1</v>
      </c>
    </row>
    <row r="400" spans="1:8">
      <c r="A400" s="396">
        <v>541</v>
      </c>
      <c r="B400" s="401" t="s">
        <v>9143</v>
      </c>
      <c r="C400" s="396" t="s">
        <v>2021</v>
      </c>
      <c r="D400" s="405">
        <f t="shared" si="12"/>
        <v>241.2</v>
      </c>
      <c r="F400" s="679">
        <v>241.2</v>
      </c>
      <c r="G400" s="679">
        <v>241.2</v>
      </c>
      <c r="H400" t="b">
        <f t="shared" si="13"/>
        <v>1</v>
      </c>
    </row>
    <row r="401" spans="1:8">
      <c r="A401" s="395">
        <v>542</v>
      </c>
      <c r="B401" s="406" t="s">
        <v>9144</v>
      </c>
      <c r="C401" s="395" t="s">
        <v>2021</v>
      </c>
      <c r="D401" s="407">
        <f t="shared" si="12"/>
        <v>302.33999999999997</v>
      </c>
      <c r="F401" s="680">
        <v>302.33999999999997</v>
      </c>
      <c r="G401" s="680">
        <v>302.33999999999997</v>
      </c>
      <c r="H401" t="b">
        <f t="shared" si="13"/>
        <v>1</v>
      </c>
    </row>
    <row r="402" spans="1:8">
      <c r="A402" s="396">
        <v>540</v>
      </c>
      <c r="B402" s="401" t="s">
        <v>9145</v>
      </c>
      <c r="C402" s="396" t="s">
        <v>2021</v>
      </c>
      <c r="D402" s="405">
        <f t="shared" si="12"/>
        <v>681.33</v>
      </c>
      <c r="F402" s="679">
        <v>681.33</v>
      </c>
      <c r="G402" s="679">
        <v>681.33</v>
      </c>
      <c r="H402" t="b">
        <f t="shared" si="13"/>
        <v>1</v>
      </c>
    </row>
    <row r="403" spans="1:8" ht="30">
      <c r="A403" s="395">
        <v>38364</v>
      </c>
      <c r="B403" s="406" t="s">
        <v>9146</v>
      </c>
      <c r="C403" s="395" t="s">
        <v>2021</v>
      </c>
      <c r="D403" s="407">
        <f t="shared" si="12"/>
        <v>1153.03</v>
      </c>
      <c r="F403" s="680">
        <v>1153.03</v>
      </c>
      <c r="G403" s="680">
        <v>1153.03</v>
      </c>
      <c r="H403" t="b">
        <f t="shared" si="13"/>
        <v>1</v>
      </c>
    </row>
    <row r="404" spans="1:8">
      <c r="A404" s="396">
        <v>11692</v>
      </c>
      <c r="B404" s="401" t="s">
        <v>9147</v>
      </c>
      <c r="C404" s="396" t="s">
        <v>2023</v>
      </c>
      <c r="D404" s="405">
        <f t="shared" si="12"/>
        <v>481.13</v>
      </c>
      <c r="F404" s="679">
        <v>481.13</v>
      </c>
      <c r="G404" s="679">
        <v>481.13</v>
      </c>
      <c r="H404" t="b">
        <f t="shared" si="13"/>
        <v>1</v>
      </c>
    </row>
    <row r="405" spans="1:8" ht="30">
      <c r="A405" s="395">
        <v>1746</v>
      </c>
      <c r="B405" s="406" t="s">
        <v>9148</v>
      </c>
      <c r="C405" s="395" t="s">
        <v>2021</v>
      </c>
      <c r="D405" s="407">
        <f t="shared" si="12"/>
        <v>303.49</v>
      </c>
      <c r="F405" s="680">
        <v>303.49</v>
      </c>
      <c r="G405" s="680">
        <v>303.49</v>
      </c>
      <c r="H405" t="b">
        <f t="shared" si="13"/>
        <v>1</v>
      </c>
    </row>
    <row r="406" spans="1:8" ht="30">
      <c r="A406" s="396">
        <v>1748</v>
      </c>
      <c r="B406" s="401" t="s">
        <v>9149</v>
      </c>
      <c r="C406" s="396" t="s">
        <v>2021</v>
      </c>
      <c r="D406" s="405">
        <f t="shared" si="12"/>
        <v>403.57</v>
      </c>
      <c r="F406" s="679">
        <v>403.57</v>
      </c>
      <c r="G406" s="679">
        <v>403.57</v>
      </c>
      <c r="H406" t="b">
        <f t="shared" si="13"/>
        <v>1</v>
      </c>
    </row>
    <row r="407" spans="1:8" ht="30">
      <c r="A407" s="395">
        <v>1749</v>
      </c>
      <c r="B407" s="406" t="s">
        <v>9150</v>
      </c>
      <c r="C407" s="395" t="s">
        <v>2021</v>
      </c>
      <c r="D407" s="407">
        <f t="shared" si="12"/>
        <v>584.70000000000005</v>
      </c>
      <c r="F407" s="680">
        <v>584.70000000000005</v>
      </c>
      <c r="G407" s="680">
        <v>584.70000000000005</v>
      </c>
      <c r="H407" t="b">
        <f t="shared" si="13"/>
        <v>1</v>
      </c>
    </row>
    <row r="408" spans="1:8" ht="30">
      <c r="A408" s="396">
        <v>37412</v>
      </c>
      <c r="B408" s="401" t="s">
        <v>9151</v>
      </c>
      <c r="C408" s="396" t="s">
        <v>2021</v>
      </c>
      <c r="D408" s="405">
        <f t="shared" si="12"/>
        <v>296.66000000000003</v>
      </c>
      <c r="F408" s="679">
        <v>296.66000000000003</v>
      </c>
      <c r="G408" s="679">
        <v>296.66000000000003</v>
      </c>
      <c r="H408" t="b">
        <f t="shared" si="13"/>
        <v>1</v>
      </c>
    </row>
    <row r="409" spans="1:8">
      <c r="A409" s="395">
        <v>1745</v>
      </c>
      <c r="B409" s="406" t="s">
        <v>9152</v>
      </c>
      <c r="C409" s="395" t="s">
        <v>2021</v>
      </c>
      <c r="D409" s="407">
        <f t="shared" si="12"/>
        <v>352.77</v>
      </c>
      <c r="F409" s="680">
        <v>352.77</v>
      </c>
      <c r="G409" s="680">
        <v>352.77</v>
      </c>
      <c r="H409" t="b">
        <f t="shared" si="13"/>
        <v>1</v>
      </c>
    </row>
    <row r="410" spans="1:8">
      <c r="A410" s="396">
        <v>1750</v>
      </c>
      <c r="B410" s="401" t="s">
        <v>9153</v>
      </c>
      <c r="C410" s="396" t="s">
        <v>2021</v>
      </c>
      <c r="D410" s="405">
        <f t="shared" si="12"/>
        <v>824.37</v>
      </c>
      <c r="F410" s="679">
        <v>824.37</v>
      </c>
      <c r="G410" s="679">
        <v>824.37</v>
      </c>
      <c r="H410" t="b">
        <f t="shared" si="13"/>
        <v>1</v>
      </c>
    </row>
    <row r="411" spans="1:8">
      <c r="A411" s="395">
        <v>11687</v>
      </c>
      <c r="B411" s="406" t="s">
        <v>9154</v>
      </c>
      <c r="C411" s="395" t="s">
        <v>2024</v>
      </c>
      <c r="D411" s="407">
        <f t="shared" si="12"/>
        <v>1313.47</v>
      </c>
      <c r="F411" s="680">
        <v>1313.47</v>
      </c>
      <c r="G411" s="680">
        <v>1313.47</v>
      </c>
      <c r="H411" t="b">
        <f t="shared" si="13"/>
        <v>1</v>
      </c>
    </row>
    <row r="412" spans="1:8">
      <c r="A412" s="396">
        <v>11689</v>
      </c>
      <c r="B412" s="401" t="s">
        <v>9155</v>
      </c>
      <c r="C412" s="396" t="s">
        <v>2024</v>
      </c>
      <c r="D412" s="405">
        <f t="shared" si="12"/>
        <v>1645.7</v>
      </c>
      <c r="F412" s="679">
        <v>1645.7</v>
      </c>
      <c r="G412" s="679">
        <v>1645.7</v>
      </c>
      <c r="H412" t="b">
        <f t="shared" si="13"/>
        <v>1</v>
      </c>
    </row>
    <row r="413" spans="1:8">
      <c r="A413" s="395">
        <v>11693</v>
      </c>
      <c r="B413" s="406" t="s">
        <v>9156</v>
      </c>
      <c r="C413" s="395" t="s">
        <v>2023</v>
      </c>
      <c r="D413" s="407">
        <f t="shared" si="12"/>
        <v>267.44</v>
      </c>
      <c r="F413" s="680">
        <v>267.44</v>
      </c>
      <c r="G413" s="680">
        <v>267.44</v>
      </c>
      <c r="H413" t="b">
        <f t="shared" si="13"/>
        <v>1</v>
      </c>
    </row>
    <row r="414" spans="1:8">
      <c r="A414" s="396">
        <v>36215</v>
      </c>
      <c r="B414" s="401" t="s">
        <v>9157</v>
      </c>
      <c r="C414" s="396" t="s">
        <v>2021</v>
      </c>
      <c r="D414" s="405">
        <f t="shared" si="12"/>
        <v>883.19</v>
      </c>
      <c r="F414" s="679">
        <v>883.19</v>
      </c>
      <c r="G414" s="679">
        <v>883.19</v>
      </c>
      <c r="H414" t="b">
        <f t="shared" si="13"/>
        <v>1</v>
      </c>
    </row>
    <row r="415" spans="1:8" ht="30">
      <c r="A415" s="395">
        <v>42439</v>
      </c>
      <c r="B415" s="406" t="s">
        <v>9158</v>
      </c>
      <c r="C415" s="395" t="s">
        <v>2021</v>
      </c>
      <c r="D415" s="407">
        <f t="shared" si="12"/>
        <v>1197.21</v>
      </c>
      <c r="F415" s="680">
        <v>1197.21</v>
      </c>
      <c r="G415" s="680">
        <v>1197.21</v>
      </c>
      <c r="H415" t="b">
        <f t="shared" si="13"/>
        <v>1</v>
      </c>
    </row>
    <row r="416" spans="1:8">
      <c r="A416" s="396">
        <v>38381</v>
      </c>
      <c r="B416" s="401" t="s">
        <v>9159</v>
      </c>
      <c r="C416" s="396" t="s">
        <v>2021</v>
      </c>
      <c r="D416" s="405">
        <f t="shared" si="12"/>
        <v>12.31</v>
      </c>
      <c r="F416" s="679">
        <v>12.31</v>
      </c>
      <c r="G416" s="679">
        <v>12.31</v>
      </c>
      <c r="H416" t="b">
        <f t="shared" si="13"/>
        <v>1</v>
      </c>
    </row>
    <row r="417" spans="1:8">
      <c r="A417" s="395">
        <v>39621</v>
      </c>
      <c r="B417" s="406" t="s">
        <v>9160</v>
      </c>
      <c r="C417" s="395" t="s">
        <v>2028</v>
      </c>
      <c r="D417" s="407">
        <f t="shared" si="12"/>
        <v>1374.96</v>
      </c>
      <c r="F417" s="680">
        <v>1374.96</v>
      </c>
      <c r="G417" s="680">
        <v>1374.96</v>
      </c>
      <c r="H417" t="b">
        <f t="shared" si="13"/>
        <v>1</v>
      </c>
    </row>
    <row r="418" spans="1:8">
      <c r="A418" s="396">
        <v>39624</v>
      </c>
      <c r="B418" s="401" t="s">
        <v>9161</v>
      </c>
      <c r="C418" s="396" t="s">
        <v>2028</v>
      </c>
      <c r="D418" s="405">
        <f t="shared" si="12"/>
        <v>1516.73</v>
      </c>
      <c r="F418" s="679">
        <v>1516.73</v>
      </c>
      <c r="G418" s="679">
        <v>1516.73</v>
      </c>
      <c r="H418" t="b">
        <f t="shared" si="13"/>
        <v>1</v>
      </c>
    </row>
    <row r="419" spans="1:8">
      <c r="A419" s="395">
        <v>39615</v>
      </c>
      <c r="B419" s="406" t="s">
        <v>9162</v>
      </c>
      <c r="C419" s="395" t="s">
        <v>2021</v>
      </c>
      <c r="D419" s="407">
        <f t="shared" si="12"/>
        <v>612.9</v>
      </c>
      <c r="F419" s="680">
        <v>612.9</v>
      </c>
      <c r="G419" s="680">
        <v>612.9</v>
      </c>
      <c r="H419" t="b">
        <f t="shared" si="13"/>
        <v>1</v>
      </c>
    </row>
    <row r="420" spans="1:8">
      <c r="A420" s="396">
        <v>39620</v>
      </c>
      <c r="B420" s="401" t="s">
        <v>9163</v>
      </c>
      <c r="C420" s="396" t="s">
        <v>2021</v>
      </c>
      <c r="D420" s="405">
        <f t="shared" si="12"/>
        <v>936.06</v>
      </c>
      <c r="F420" s="679">
        <v>936.06</v>
      </c>
      <c r="G420" s="679">
        <v>936.06</v>
      </c>
      <c r="H420" t="b">
        <f t="shared" si="13"/>
        <v>1</v>
      </c>
    </row>
    <row r="421" spans="1:8">
      <c r="A421" s="395">
        <v>39623</v>
      </c>
      <c r="B421" s="406" t="s">
        <v>9164</v>
      </c>
      <c r="C421" s="395" t="s">
        <v>2021</v>
      </c>
      <c r="D421" s="407">
        <f t="shared" si="12"/>
        <v>1002.6</v>
      </c>
      <c r="F421" s="680">
        <v>1002.6</v>
      </c>
      <c r="G421" s="680">
        <v>1002.6</v>
      </c>
      <c r="H421" t="b">
        <f t="shared" si="13"/>
        <v>1</v>
      </c>
    </row>
    <row r="422" spans="1:8">
      <c r="A422" s="396">
        <v>546</v>
      </c>
      <c r="B422" s="401" t="s">
        <v>9165</v>
      </c>
      <c r="C422" s="396" t="s">
        <v>2025</v>
      </c>
      <c r="D422" s="405">
        <f t="shared" si="12"/>
        <v>10.57</v>
      </c>
      <c r="F422" s="679">
        <v>10.57</v>
      </c>
      <c r="G422" s="679">
        <v>10.57</v>
      </c>
      <c r="H422" t="b">
        <f t="shared" si="13"/>
        <v>1</v>
      </c>
    </row>
    <row r="423" spans="1:8">
      <c r="A423" s="395">
        <v>566</v>
      </c>
      <c r="B423" s="406" t="s">
        <v>9166</v>
      </c>
      <c r="C423" s="395" t="s">
        <v>2024</v>
      </c>
      <c r="D423" s="407">
        <f t="shared" si="12"/>
        <v>5.01</v>
      </c>
      <c r="F423" s="680">
        <v>5.01</v>
      </c>
      <c r="G423" s="680">
        <v>5.01</v>
      </c>
      <c r="H423" t="b">
        <f t="shared" si="13"/>
        <v>1</v>
      </c>
    </row>
    <row r="424" spans="1:8">
      <c r="A424" s="396">
        <v>565</v>
      </c>
      <c r="B424" s="401" t="s">
        <v>9167</v>
      </c>
      <c r="C424" s="396" t="s">
        <v>2024</v>
      </c>
      <c r="D424" s="405">
        <f t="shared" si="12"/>
        <v>18.28</v>
      </c>
      <c r="F424" s="679">
        <v>18.28</v>
      </c>
      <c r="G424" s="679">
        <v>18.28</v>
      </c>
      <c r="H424" t="b">
        <f t="shared" si="13"/>
        <v>1</v>
      </c>
    </row>
    <row r="425" spans="1:8">
      <c r="A425" s="395">
        <v>555</v>
      </c>
      <c r="B425" s="406" t="s">
        <v>9168</v>
      </c>
      <c r="C425" s="395" t="s">
        <v>2024</v>
      </c>
      <c r="D425" s="407">
        <f t="shared" si="12"/>
        <v>12.96</v>
      </c>
      <c r="F425" s="680">
        <v>12.96</v>
      </c>
      <c r="G425" s="680">
        <v>12.96</v>
      </c>
      <c r="H425" t="b">
        <f t="shared" si="13"/>
        <v>1</v>
      </c>
    </row>
    <row r="426" spans="1:8">
      <c r="A426" s="396">
        <v>557</v>
      </c>
      <c r="B426" s="401" t="s">
        <v>9169</v>
      </c>
      <c r="C426" s="396" t="s">
        <v>2024</v>
      </c>
      <c r="D426" s="405">
        <f t="shared" si="12"/>
        <v>40.67</v>
      </c>
      <c r="F426" s="679">
        <v>40.67</v>
      </c>
      <c r="G426" s="679">
        <v>40.67</v>
      </c>
      <c r="H426" t="b">
        <f t="shared" si="13"/>
        <v>1</v>
      </c>
    </row>
    <row r="427" spans="1:8">
      <c r="A427" s="395">
        <v>552</v>
      </c>
      <c r="B427" s="406" t="s">
        <v>9170</v>
      </c>
      <c r="C427" s="395" t="s">
        <v>2024</v>
      </c>
      <c r="D427" s="407">
        <f t="shared" si="12"/>
        <v>20.18</v>
      </c>
      <c r="F427" s="680">
        <v>20.18</v>
      </c>
      <c r="G427" s="680">
        <v>20.18</v>
      </c>
      <c r="H427" t="b">
        <f t="shared" si="13"/>
        <v>1</v>
      </c>
    </row>
    <row r="428" spans="1:8">
      <c r="A428" s="396">
        <v>563</v>
      </c>
      <c r="B428" s="401" t="s">
        <v>9171</v>
      </c>
      <c r="C428" s="396" t="s">
        <v>2024</v>
      </c>
      <c r="D428" s="405">
        <f t="shared" si="12"/>
        <v>30.32</v>
      </c>
      <c r="F428" s="679">
        <v>30.32</v>
      </c>
      <c r="G428" s="679">
        <v>30.32</v>
      </c>
      <c r="H428" t="b">
        <f t="shared" si="13"/>
        <v>1</v>
      </c>
    </row>
    <row r="429" spans="1:8">
      <c r="A429" s="395">
        <v>549</v>
      </c>
      <c r="B429" s="406" t="s">
        <v>9172</v>
      </c>
      <c r="C429" s="395" t="s">
        <v>2024</v>
      </c>
      <c r="D429" s="407">
        <f t="shared" si="12"/>
        <v>54.57</v>
      </c>
      <c r="F429" s="680">
        <v>54.57</v>
      </c>
      <c r="G429" s="680">
        <v>54.57</v>
      </c>
      <c r="H429" t="b">
        <f t="shared" si="13"/>
        <v>1</v>
      </c>
    </row>
    <row r="430" spans="1:8">
      <c r="A430" s="396">
        <v>551</v>
      </c>
      <c r="B430" s="401" t="s">
        <v>9173</v>
      </c>
      <c r="C430" s="396" t="s">
        <v>2024</v>
      </c>
      <c r="D430" s="405">
        <f t="shared" si="12"/>
        <v>108.05</v>
      </c>
      <c r="F430" s="679">
        <v>108.05</v>
      </c>
      <c r="G430" s="679">
        <v>108.05</v>
      </c>
      <c r="H430" t="b">
        <f t="shared" si="13"/>
        <v>1</v>
      </c>
    </row>
    <row r="431" spans="1:8">
      <c r="A431" s="395">
        <v>559</v>
      </c>
      <c r="B431" s="406" t="s">
        <v>9174</v>
      </c>
      <c r="C431" s="395" t="s">
        <v>2024</v>
      </c>
      <c r="D431" s="407">
        <f t="shared" si="12"/>
        <v>27.01</v>
      </c>
      <c r="F431" s="680">
        <v>27.01</v>
      </c>
      <c r="G431" s="680">
        <v>27.01</v>
      </c>
      <c r="H431" t="b">
        <f t="shared" si="13"/>
        <v>1</v>
      </c>
    </row>
    <row r="432" spans="1:8">
      <c r="A432" s="396">
        <v>560</v>
      </c>
      <c r="B432" s="401" t="s">
        <v>9175</v>
      </c>
      <c r="C432" s="396" t="s">
        <v>2024</v>
      </c>
      <c r="D432" s="405">
        <f t="shared" si="12"/>
        <v>33.79</v>
      </c>
      <c r="F432" s="679">
        <v>33.79</v>
      </c>
      <c r="G432" s="679">
        <v>33.79</v>
      </c>
      <c r="H432" t="b">
        <f t="shared" si="13"/>
        <v>1</v>
      </c>
    </row>
    <row r="433" spans="1:8">
      <c r="A433" s="395">
        <v>547</v>
      </c>
      <c r="B433" s="406" t="s">
        <v>9176</v>
      </c>
      <c r="C433" s="395" t="s">
        <v>2024</v>
      </c>
      <c r="D433" s="407">
        <f t="shared" si="12"/>
        <v>40.46</v>
      </c>
      <c r="F433" s="680">
        <v>40.46</v>
      </c>
      <c r="G433" s="680">
        <v>40.46</v>
      </c>
      <c r="H433" t="b">
        <f t="shared" si="13"/>
        <v>1</v>
      </c>
    </row>
    <row r="434" spans="1:8">
      <c r="A434" s="396">
        <v>36207</v>
      </c>
      <c r="B434" s="401" t="s">
        <v>9177</v>
      </c>
      <c r="C434" s="396" t="s">
        <v>2021</v>
      </c>
      <c r="D434" s="405">
        <f t="shared" si="12"/>
        <v>391.19</v>
      </c>
      <c r="F434" s="679">
        <v>391.19</v>
      </c>
      <c r="G434" s="679">
        <v>391.19</v>
      </c>
      <c r="H434" t="b">
        <f t="shared" si="13"/>
        <v>1</v>
      </c>
    </row>
    <row r="435" spans="1:8">
      <c r="A435" s="395">
        <v>36209</v>
      </c>
      <c r="B435" s="406" t="s">
        <v>9178</v>
      </c>
      <c r="C435" s="395" t="s">
        <v>2021</v>
      </c>
      <c r="D435" s="407">
        <f t="shared" si="12"/>
        <v>448.95</v>
      </c>
      <c r="F435" s="680">
        <v>448.95</v>
      </c>
      <c r="G435" s="680">
        <v>448.95</v>
      </c>
      <c r="H435" t="b">
        <f t="shared" si="13"/>
        <v>1</v>
      </c>
    </row>
    <row r="436" spans="1:8">
      <c r="A436" s="396">
        <v>36210</v>
      </c>
      <c r="B436" s="401" t="s">
        <v>9179</v>
      </c>
      <c r="C436" s="396" t="s">
        <v>2021</v>
      </c>
      <c r="D436" s="405">
        <f t="shared" si="12"/>
        <v>485.75</v>
      </c>
      <c r="F436" s="679">
        <v>485.75</v>
      </c>
      <c r="G436" s="679">
        <v>485.75</v>
      </c>
      <c r="H436" t="b">
        <f t="shared" si="13"/>
        <v>1</v>
      </c>
    </row>
    <row r="437" spans="1:8">
      <c r="A437" s="395">
        <v>36204</v>
      </c>
      <c r="B437" s="406" t="s">
        <v>9180</v>
      </c>
      <c r="C437" s="395" t="s">
        <v>2021</v>
      </c>
      <c r="D437" s="407">
        <f t="shared" si="12"/>
        <v>172.23</v>
      </c>
      <c r="F437" s="680">
        <v>172.23</v>
      </c>
      <c r="G437" s="680">
        <v>172.23</v>
      </c>
      <c r="H437" t="b">
        <f t="shared" si="13"/>
        <v>1</v>
      </c>
    </row>
    <row r="438" spans="1:8">
      <c r="A438" s="396">
        <v>36205</v>
      </c>
      <c r="B438" s="401" t="s">
        <v>9181</v>
      </c>
      <c r="C438" s="396" t="s">
        <v>2021</v>
      </c>
      <c r="D438" s="405">
        <f t="shared" si="12"/>
        <v>191.28</v>
      </c>
      <c r="F438" s="679">
        <v>191.28</v>
      </c>
      <c r="G438" s="679">
        <v>191.28</v>
      </c>
      <c r="H438" t="b">
        <f t="shared" si="13"/>
        <v>1</v>
      </c>
    </row>
    <row r="439" spans="1:8">
      <c r="A439" s="395">
        <v>36081</v>
      </c>
      <c r="B439" s="406" t="s">
        <v>9182</v>
      </c>
      <c r="C439" s="395" t="s">
        <v>2021</v>
      </c>
      <c r="D439" s="407">
        <f t="shared" si="12"/>
        <v>203.95</v>
      </c>
      <c r="F439" s="680">
        <v>203.95</v>
      </c>
      <c r="G439" s="680">
        <v>203.95</v>
      </c>
      <c r="H439" t="b">
        <f t="shared" si="13"/>
        <v>1</v>
      </c>
    </row>
    <row r="440" spans="1:8">
      <c r="A440" s="396">
        <v>36206</v>
      </c>
      <c r="B440" s="401" t="s">
        <v>9183</v>
      </c>
      <c r="C440" s="396" t="s">
        <v>2021</v>
      </c>
      <c r="D440" s="405">
        <f t="shared" si="12"/>
        <v>213.67</v>
      </c>
      <c r="F440" s="679">
        <v>213.67</v>
      </c>
      <c r="G440" s="679">
        <v>213.67</v>
      </c>
      <c r="H440" t="b">
        <f t="shared" si="13"/>
        <v>1</v>
      </c>
    </row>
    <row r="441" spans="1:8">
      <c r="A441" s="395">
        <v>36218</v>
      </c>
      <c r="B441" s="406" t="s">
        <v>9184</v>
      </c>
      <c r="C441" s="395" t="s">
        <v>2021</v>
      </c>
      <c r="D441" s="407">
        <f t="shared" si="12"/>
        <v>136.26</v>
      </c>
      <c r="F441" s="680">
        <v>136.26</v>
      </c>
      <c r="G441" s="680">
        <v>136.26</v>
      </c>
      <c r="H441" t="b">
        <f t="shared" si="13"/>
        <v>1</v>
      </c>
    </row>
    <row r="442" spans="1:8">
      <c r="A442" s="396">
        <v>36220</v>
      </c>
      <c r="B442" s="401" t="s">
        <v>9185</v>
      </c>
      <c r="C442" s="396" t="s">
        <v>2021</v>
      </c>
      <c r="D442" s="405">
        <f t="shared" si="12"/>
        <v>156.24</v>
      </c>
      <c r="F442" s="679">
        <v>156.24</v>
      </c>
      <c r="G442" s="679">
        <v>156.24</v>
      </c>
      <c r="H442" t="b">
        <f t="shared" si="13"/>
        <v>1</v>
      </c>
    </row>
    <row r="443" spans="1:8">
      <c r="A443" s="395">
        <v>36080</v>
      </c>
      <c r="B443" s="406" t="s">
        <v>9186</v>
      </c>
      <c r="C443" s="395" t="s">
        <v>2021</v>
      </c>
      <c r="D443" s="407">
        <f t="shared" si="12"/>
        <v>169</v>
      </c>
      <c r="F443" s="680">
        <v>169</v>
      </c>
      <c r="G443" s="680">
        <v>169</v>
      </c>
      <c r="H443" t="b">
        <f t="shared" si="13"/>
        <v>1</v>
      </c>
    </row>
    <row r="444" spans="1:8">
      <c r="A444" s="396">
        <v>36223</v>
      </c>
      <c r="B444" s="401" t="s">
        <v>9187</v>
      </c>
      <c r="C444" s="396" t="s">
        <v>2021</v>
      </c>
      <c r="D444" s="405">
        <f t="shared" si="12"/>
        <v>176.97</v>
      </c>
      <c r="F444" s="679">
        <v>176.97</v>
      </c>
      <c r="G444" s="679">
        <v>176.97</v>
      </c>
      <c r="H444" t="b">
        <f t="shared" si="13"/>
        <v>1</v>
      </c>
    </row>
    <row r="445" spans="1:8">
      <c r="A445" s="395">
        <v>38127</v>
      </c>
      <c r="B445" s="406" t="s">
        <v>9188</v>
      </c>
      <c r="C445" s="395" t="s">
        <v>2021</v>
      </c>
      <c r="D445" s="407">
        <f t="shared" si="12"/>
        <v>455</v>
      </c>
      <c r="F445" s="680">
        <v>455</v>
      </c>
      <c r="G445" s="680">
        <v>455</v>
      </c>
      <c r="H445" t="b">
        <f t="shared" si="13"/>
        <v>1</v>
      </c>
    </row>
    <row r="446" spans="1:8">
      <c r="A446" s="396">
        <v>38060</v>
      </c>
      <c r="B446" s="401" t="s">
        <v>9189</v>
      </c>
      <c r="C446" s="396" t="s">
        <v>2021</v>
      </c>
      <c r="D446" s="405">
        <f t="shared" si="12"/>
        <v>59.53</v>
      </c>
      <c r="F446" s="679">
        <v>59.53</v>
      </c>
      <c r="G446" s="679">
        <v>59.53</v>
      </c>
      <c r="H446" t="b">
        <f t="shared" si="13"/>
        <v>1</v>
      </c>
    </row>
    <row r="447" spans="1:8">
      <c r="A447" s="395">
        <v>10956</v>
      </c>
      <c r="B447" s="406" t="s">
        <v>9190</v>
      </c>
      <c r="C447" s="395" t="s">
        <v>2021</v>
      </c>
      <c r="D447" s="407">
        <f t="shared" si="12"/>
        <v>65.28</v>
      </c>
      <c r="F447" s="680">
        <v>65.28</v>
      </c>
      <c r="G447" s="680">
        <v>65.28</v>
      </c>
      <c r="H447" t="b">
        <f t="shared" si="13"/>
        <v>1</v>
      </c>
    </row>
    <row r="448" spans="1:8">
      <c r="A448" s="396">
        <v>39380</v>
      </c>
      <c r="B448" s="401" t="s">
        <v>9191</v>
      </c>
      <c r="C448" s="396" t="s">
        <v>2021</v>
      </c>
      <c r="D448" s="405">
        <f t="shared" si="12"/>
        <v>20.65</v>
      </c>
      <c r="F448" s="679">
        <v>20.65</v>
      </c>
      <c r="G448" s="679">
        <v>20.65</v>
      </c>
      <c r="H448" t="b">
        <f t="shared" si="13"/>
        <v>1</v>
      </c>
    </row>
    <row r="449" spans="1:8">
      <c r="A449" s="395">
        <v>44172</v>
      </c>
      <c r="B449" s="406" t="s">
        <v>9192</v>
      </c>
      <c r="C449" s="395" t="s">
        <v>2021</v>
      </c>
      <c r="D449" s="407">
        <f t="shared" si="12"/>
        <v>6.59</v>
      </c>
      <c r="F449" s="680">
        <v>6.59</v>
      </c>
      <c r="G449" s="680">
        <v>6.59</v>
      </c>
      <c r="H449" t="b">
        <f t="shared" si="13"/>
        <v>1</v>
      </c>
    </row>
    <row r="450" spans="1:8">
      <c r="A450" s="396">
        <v>37597</v>
      </c>
      <c r="B450" s="401" t="s">
        <v>9193</v>
      </c>
      <c r="C450" s="396" t="s">
        <v>2021</v>
      </c>
      <c r="D450" s="405">
        <f t="shared" si="12"/>
        <v>632675.78</v>
      </c>
      <c r="F450" s="679">
        <v>632675.78</v>
      </c>
      <c r="G450" s="679">
        <v>632675.78</v>
      </c>
      <c r="H450" t="b">
        <f t="shared" si="13"/>
        <v>1</v>
      </c>
    </row>
    <row r="451" spans="1:8" ht="45">
      <c r="A451" s="395">
        <v>183</v>
      </c>
      <c r="B451" s="406" t="s">
        <v>9194</v>
      </c>
      <c r="C451" s="395" t="s">
        <v>2029</v>
      </c>
      <c r="D451" s="407">
        <f t="shared" ref="D451:D514" si="14">IF($J$2=$F$1,F451,G451)</f>
        <v>222</v>
      </c>
      <c r="F451" s="680">
        <v>222</v>
      </c>
      <c r="G451" s="680">
        <v>222</v>
      </c>
      <c r="H451" t="b">
        <f t="shared" ref="H451:H514" si="15">F451=G451</f>
        <v>1</v>
      </c>
    </row>
    <row r="452" spans="1:8" ht="30">
      <c r="A452" s="396">
        <v>184</v>
      </c>
      <c r="B452" s="401" t="s">
        <v>9195</v>
      </c>
      <c r="C452" s="396" t="s">
        <v>2029</v>
      </c>
      <c r="D452" s="405">
        <f t="shared" si="14"/>
        <v>137.49</v>
      </c>
      <c r="F452" s="679">
        <v>137.49</v>
      </c>
      <c r="G452" s="679">
        <v>137.49</v>
      </c>
      <c r="H452" t="b">
        <f t="shared" si="15"/>
        <v>1</v>
      </c>
    </row>
    <row r="453" spans="1:8" ht="45">
      <c r="A453" s="395">
        <v>181</v>
      </c>
      <c r="B453" s="406" t="s">
        <v>9196</v>
      </c>
      <c r="C453" s="395" t="s">
        <v>2029</v>
      </c>
      <c r="D453" s="407">
        <f t="shared" si="14"/>
        <v>296.47000000000003</v>
      </c>
      <c r="F453" s="680">
        <v>296.47000000000003</v>
      </c>
      <c r="G453" s="680">
        <v>296.47000000000003</v>
      </c>
      <c r="H453" t="b">
        <f t="shared" si="15"/>
        <v>1</v>
      </c>
    </row>
    <row r="454" spans="1:8" ht="30">
      <c r="A454" s="396">
        <v>20001</v>
      </c>
      <c r="B454" s="401" t="s">
        <v>9197</v>
      </c>
      <c r="C454" s="396" t="s">
        <v>2029</v>
      </c>
      <c r="D454" s="405">
        <f t="shared" si="14"/>
        <v>171.87</v>
      </c>
      <c r="F454" s="679">
        <v>171.87</v>
      </c>
      <c r="G454" s="679">
        <v>171.87</v>
      </c>
      <c r="H454" t="b">
        <f t="shared" si="15"/>
        <v>1</v>
      </c>
    </row>
    <row r="455" spans="1:8" ht="30">
      <c r="A455" s="395">
        <v>39837</v>
      </c>
      <c r="B455" s="406" t="s">
        <v>9198</v>
      </c>
      <c r="C455" s="395" t="s">
        <v>2029</v>
      </c>
      <c r="D455" s="407">
        <f t="shared" si="14"/>
        <v>512.9</v>
      </c>
      <c r="F455" s="680">
        <v>512.9</v>
      </c>
      <c r="G455" s="680">
        <v>512.9</v>
      </c>
      <c r="H455" t="b">
        <f t="shared" si="15"/>
        <v>1</v>
      </c>
    </row>
    <row r="456" spans="1:8">
      <c r="A456" s="396">
        <v>43366</v>
      </c>
      <c r="B456" s="401" t="s">
        <v>9199</v>
      </c>
      <c r="C456" s="396" t="s">
        <v>2025</v>
      </c>
      <c r="D456" s="405">
        <f t="shared" si="14"/>
        <v>1.54</v>
      </c>
      <c r="F456" s="679">
        <v>1.54</v>
      </c>
      <c r="G456" s="679">
        <v>1.54</v>
      </c>
      <c r="H456" t="b">
        <f t="shared" si="15"/>
        <v>1</v>
      </c>
    </row>
    <row r="457" spans="1:8" ht="30">
      <c r="A457" s="395">
        <v>10535</v>
      </c>
      <c r="B457" s="406" t="s">
        <v>9200</v>
      </c>
      <c r="C457" s="395" t="s">
        <v>2021</v>
      </c>
      <c r="D457" s="407">
        <f t="shared" si="14"/>
        <v>5712.5</v>
      </c>
      <c r="F457" s="680">
        <v>5712.5</v>
      </c>
      <c r="G457" s="680">
        <v>5712.5</v>
      </c>
      <c r="H457" t="b">
        <f t="shared" si="15"/>
        <v>1</v>
      </c>
    </row>
    <row r="458" spans="1:8">
      <c r="A458" s="396">
        <v>10537</v>
      </c>
      <c r="B458" s="401" t="s">
        <v>9201</v>
      </c>
      <c r="C458" s="396" t="s">
        <v>2021</v>
      </c>
      <c r="D458" s="405">
        <f t="shared" si="14"/>
        <v>7790.3</v>
      </c>
      <c r="F458" s="679">
        <v>7790.3</v>
      </c>
      <c r="G458" s="679">
        <v>7790.3</v>
      </c>
      <c r="H458" t="b">
        <f t="shared" si="15"/>
        <v>1</v>
      </c>
    </row>
    <row r="459" spans="1:8">
      <c r="A459" s="395">
        <v>13891</v>
      </c>
      <c r="B459" s="406" t="s">
        <v>9202</v>
      </c>
      <c r="C459" s="395" t="s">
        <v>2021</v>
      </c>
      <c r="D459" s="407">
        <f t="shared" si="14"/>
        <v>7145.46</v>
      </c>
      <c r="F459" s="680">
        <v>7145.46</v>
      </c>
      <c r="G459" s="680">
        <v>7145.46</v>
      </c>
      <c r="H459" t="b">
        <f t="shared" si="15"/>
        <v>1</v>
      </c>
    </row>
    <row r="460" spans="1:8">
      <c r="A460" s="396">
        <v>44492</v>
      </c>
      <c r="B460" s="401" t="s">
        <v>9203</v>
      </c>
      <c r="C460" s="396" t="s">
        <v>2021</v>
      </c>
      <c r="D460" s="405">
        <f t="shared" si="14"/>
        <v>31079.87</v>
      </c>
      <c r="F460" s="679">
        <v>31079.87</v>
      </c>
      <c r="G460" s="679">
        <v>31079.87</v>
      </c>
      <c r="H460" t="b">
        <f t="shared" si="15"/>
        <v>1</v>
      </c>
    </row>
    <row r="461" spans="1:8" ht="30">
      <c r="A461" s="395">
        <v>36396</v>
      </c>
      <c r="B461" s="406" t="s">
        <v>9204</v>
      </c>
      <c r="C461" s="395" t="s">
        <v>2021</v>
      </c>
      <c r="D461" s="407">
        <f t="shared" si="14"/>
        <v>6535.48</v>
      </c>
      <c r="F461" s="680">
        <v>6535.48</v>
      </c>
      <c r="G461" s="680">
        <v>6535.48</v>
      </c>
      <c r="H461" t="b">
        <f t="shared" si="15"/>
        <v>1</v>
      </c>
    </row>
    <row r="462" spans="1:8" ht="30">
      <c r="A462" s="396">
        <v>36397</v>
      </c>
      <c r="B462" s="401" t="s">
        <v>9205</v>
      </c>
      <c r="C462" s="396" t="s">
        <v>2021</v>
      </c>
      <c r="D462" s="405">
        <f t="shared" si="14"/>
        <v>23237.279999999999</v>
      </c>
      <c r="F462" s="679">
        <v>23237.279999999999</v>
      </c>
      <c r="G462" s="679">
        <v>23237.279999999999</v>
      </c>
      <c r="H462" t="b">
        <f t="shared" si="15"/>
        <v>1</v>
      </c>
    </row>
    <row r="463" spans="1:8">
      <c r="A463" s="395">
        <v>36398</v>
      </c>
      <c r="B463" s="406" t="s">
        <v>9206</v>
      </c>
      <c r="C463" s="395" t="s">
        <v>2021</v>
      </c>
      <c r="D463" s="407">
        <f t="shared" si="14"/>
        <v>28242.98</v>
      </c>
      <c r="F463" s="680">
        <v>28242.98</v>
      </c>
      <c r="G463" s="680">
        <v>28242.98</v>
      </c>
      <c r="H463" t="b">
        <f t="shared" si="15"/>
        <v>1</v>
      </c>
    </row>
    <row r="464" spans="1:8">
      <c r="A464" s="396">
        <v>647</v>
      </c>
      <c r="B464" s="401" t="s">
        <v>9207</v>
      </c>
      <c r="C464" s="396" t="s">
        <v>2020</v>
      </c>
      <c r="D464" s="405">
        <f t="shared" si="14"/>
        <v>11.58</v>
      </c>
      <c r="F464" s="679">
        <v>11.58</v>
      </c>
      <c r="G464" s="679">
        <v>13.32</v>
      </c>
      <c r="H464" t="b">
        <f t="shared" si="15"/>
        <v>0</v>
      </c>
    </row>
    <row r="465" spans="1:8">
      <c r="A465" s="395">
        <v>40920</v>
      </c>
      <c r="B465" s="406" t="s">
        <v>9208</v>
      </c>
      <c r="C465" s="395" t="s">
        <v>2027</v>
      </c>
      <c r="D465" s="407">
        <f t="shared" si="14"/>
        <v>2042.36</v>
      </c>
      <c r="F465" s="680">
        <v>2042.36</v>
      </c>
      <c r="G465" s="680">
        <v>2352.6799999999998</v>
      </c>
      <c r="H465" t="b">
        <f t="shared" si="15"/>
        <v>0</v>
      </c>
    </row>
    <row r="466" spans="1:8">
      <c r="A466" s="396">
        <v>715</v>
      </c>
      <c r="B466" s="401" t="s">
        <v>9209</v>
      </c>
      <c r="C466" s="396" t="s">
        <v>2021</v>
      </c>
      <c r="D466" s="405">
        <f t="shared" si="14"/>
        <v>25.7</v>
      </c>
      <c r="F466" s="679">
        <v>25.7</v>
      </c>
      <c r="G466" s="679">
        <v>25.7</v>
      </c>
      <c r="H466" t="b">
        <f t="shared" si="15"/>
        <v>1</v>
      </c>
    </row>
    <row r="467" spans="1:8">
      <c r="A467" s="395">
        <v>716</v>
      </c>
      <c r="B467" s="406" t="s">
        <v>9210</v>
      </c>
      <c r="C467" s="395" t="s">
        <v>2021</v>
      </c>
      <c r="D467" s="407">
        <f t="shared" si="14"/>
        <v>29.06</v>
      </c>
      <c r="F467" s="680">
        <v>29.06</v>
      </c>
      <c r="G467" s="680">
        <v>29.06</v>
      </c>
      <c r="H467" t="b">
        <f t="shared" si="15"/>
        <v>1</v>
      </c>
    </row>
    <row r="468" spans="1:8">
      <c r="A468" s="396">
        <v>38783</v>
      </c>
      <c r="B468" s="401" t="s">
        <v>9211</v>
      </c>
      <c r="C468" s="396" t="s">
        <v>2021</v>
      </c>
      <c r="D468" s="405">
        <f t="shared" si="14"/>
        <v>1.44</v>
      </c>
      <c r="F468" s="679">
        <v>1.44</v>
      </c>
      <c r="G468" s="679">
        <v>1.44</v>
      </c>
      <c r="H468" t="b">
        <f t="shared" si="15"/>
        <v>1</v>
      </c>
    </row>
    <row r="469" spans="1:8">
      <c r="A469" s="395">
        <v>37593</v>
      </c>
      <c r="B469" s="406" t="s">
        <v>9212</v>
      </c>
      <c r="C469" s="395" t="s">
        <v>2021</v>
      </c>
      <c r="D469" s="407">
        <f t="shared" si="14"/>
        <v>3.55</v>
      </c>
      <c r="F469" s="680">
        <v>3.55</v>
      </c>
      <c r="G469" s="680">
        <v>3.55</v>
      </c>
      <c r="H469" t="b">
        <f t="shared" si="15"/>
        <v>1</v>
      </c>
    </row>
    <row r="470" spans="1:8">
      <c r="A470" s="396">
        <v>37594</v>
      </c>
      <c r="B470" s="401" t="s">
        <v>9213</v>
      </c>
      <c r="C470" s="396" t="s">
        <v>2021</v>
      </c>
      <c r="D470" s="405">
        <f t="shared" si="14"/>
        <v>4.41</v>
      </c>
      <c r="F470" s="679">
        <v>4.41</v>
      </c>
      <c r="G470" s="679">
        <v>4.41</v>
      </c>
      <c r="H470" t="b">
        <f t="shared" si="15"/>
        <v>1</v>
      </c>
    </row>
    <row r="471" spans="1:8">
      <c r="A471" s="395">
        <v>37592</v>
      </c>
      <c r="B471" s="406" t="s">
        <v>9214</v>
      </c>
      <c r="C471" s="395" t="s">
        <v>2021</v>
      </c>
      <c r="D471" s="407">
        <f t="shared" si="14"/>
        <v>2.79</v>
      </c>
      <c r="F471" s="680">
        <v>2.79</v>
      </c>
      <c r="G471" s="680">
        <v>2.79</v>
      </c>
      <c r="H471" t="b">
        <f t="shared" si="15"/>
        <v>1</v>
      </c>
    </row>
    <row r="472" spans="1:8">
      <c r="A472" s="396">
        <v>7270</v>
      </c>
      <c r="B472" s="401" t="s">
        <v>9215</v>
      </c>
      <c r="C472" s="396" t="s">
        <v>2021</v>
      </c>
      <c r="D472" s="405">
        <f t="shared" si="14"/>
        <v>1.25</v>
      </c>
      <c r="F472" s="679">
        <v>1.25</v>
      </c>
      <c r="G472" s="679">
        <v>1.25</v>
      </c>
      <c r="H472" t="b">
        <f t="shared" si="15"/>
        <v>1</v>
      </c>
    </row>
    <row r="473" spans="1:8">
      <c r="A473" s="395">
        <v>7267</v>
      </c>
      <c r="B473" s="406" t="s">
        <v>9216</v>
      </c>
      <c r="C473" s="395" t="s">
        <v>2021</v>
      </c>
      <c r="D473" s="407">
        <f t="shared" si="14"/>
        <v>0.98</v>
      </c>
      <c r="F473" s="680">
        <v>0.98</v>
      </c>
      <c r="G473" s="680">
        <v>0.98</v>
      </c>
      <c r="H473" t="b">
        <f t="shared" si="15"/>
        <v>1</v>
      </c>
    </row>
    <row r="474" spans="1:8">
      <c r="A474" s="396">
        <v>7271</v>
      </c>
      <c r="B474" s="401" t="s">
        <v>9217</v>
      </c>
      <c r="C474" s="396" t="s">
        <v>2021</v>
      </c>
      <c r="D474" s="405">
        <f t="shared" si="14"/>
        <v>1.08</v>
      </c>
      <c r="F474" s="679">
        <v>1.08</v>
      </c>
      <c r="G474" s="679">
        <v>1.08</v>
      </c>
      <c r="H474" t="b">
        <f t="shared" si="15"/>
        <v>1</v>
      </c>
    </row>
    <row r="475" spans="1:8">
      <c r="A475" s="395">
        <v>7268</v>
      </c>
      <c r="B475" s="406" t="s">
        <v>9218</v>
      </c>
      <c r="C475" s="395" t="s">
        <v>2021</v>
      </c>
      <c r="D475" s="407">
        <f t="shared" si="14"/>
        <v>1.5</v>
      </c>
      <c r="F475" s="680">
        <v>1.5</v>
      </c>
      <c r="G475" s="680">
        <v>1.5</v>
      </c>
      <c r="H475" t="b">
        <f t="shared" si="15"/>
        <v>1</v>
      </c>
    </row>
    <row r="476" spans="1:8">
      <c r="A476" s="396">
        <v>41372</v>
      </c>
      <c r="B476" s="401" t="s">
        <v>9219</v>
      </c>
      <c r="C476" s="396" t="s">
        <v>2023</v>
      </c>
      <c r="D476" s="405">
        <f t="shared" si="14"/>
        <v>90.61</v>
      </c>
      <c r="F476" s="679">
        <v>90.61</v>
      </c>
      <c r="G476" s="679">
        <v>90.61</v>
      </c>
      <c r="H476" t="b">
        <f t="shared" si="15"/>
        <v>1</v>
      </c>
    </row>
    <row r="477" spans="1:8">
      <c r="A477" s="395">
        <v>41371</v>
      </c>
      <c r="B477" s="406" t="s">
        <v>9220</v>
      </c>
      <c r="C477" s="395" t="s">
        <v>2023</v>
      </c>
      <c r="D477" s="407">
        <f t="shared" si="14"/>
        <v>53.55</v>
      </c>
      <c r="F477" s="680">
        <v>53.55</v>
      </c>
      <c r="G477" s="680">
        <v>53.55</v>
      </c>
      <c r="H477" t="b">
        <f t="shared" si="15"/>
        <v>1</v>
      </c>
    </row>
    <row r="478" spans="1:8">
      <c r="A478" s="396">
        <v>34556</v>
      </c>
      <c r="B478" s="401" t="s">
        <v>9221</v>
      </c>
      <c r="C478" s="396" t="s">
        <v>2021</v>
      </c>
      <c r="D478" s="405">
        <f t="shared" si="14"/>
        <v>5.05</v>
      </c>
      <c r="F478" s="679">
        <v>5.05</v>
      </c>
      <c r="G478" s="679">
        <v>5.05</v>
      </c>
      <c r="H478" t="b">
        <f t="shared" si="15"/>
        <v>1</v>
      </c>
    </row>
    <row r="479" spans="1:8">
      <c r="A479" s="395">
        <v>37873</v>
      </c>
      <c r="B479" s="406" t="s">
        <v>9222</v>
      </c>
      <c r="C479" s="395" t="s">
        <v>2021</v>
      </c>
      <c r="D479" s="407">
        <f t="shared" si="14"/>
        <v>5.14</v>
      </c>
      <c r="F479" s="680">
        <v>5.14</v>
      </c>
      <c r="G479" s="680">
        <v>5.14</v>
      </c>
      <c r="H479" t="b">
        <f t="shared" si="15"/>
        <v>1</v>
      </c>
    </row>
    <row r="480" spans="1:8">
      <c r="A480" s="396">
        <v>34564</v>
      </c>
      <c r="B480" s="401" t="s">
        <v>9223</v>
      </c>
      <c r="C480" s="396" t="s">
        <v>2021</v>
      </c>
      <c r="D480" s="405">
        <f t="shared" si="14"/>
        <v>5.38</v>
      </c>
      <c r="F480" s="679">
        <v>5.38</v>
      </c>
      <c r="G480" s="679">
        <v>5.38</v>
      </c>
      <c r="H480" t="b">
        <f t="shared" si="15"/>
        <v>1</v>
      </c>
    </row>
    <row r="481" spans="1:8">
      <c r="A481" s="395">
        <v>34565</v>
      </c>
      <c r="B481" s="406" t="s">
        <v>9224</v>
      </c>
      <c r="C481" s="395" t="s">
        <v>2021</v>
      </c>
      <c r="D481" s="407">
        <f t="shared" si="14"/>
        <v>5.69</v>
      </c>
      <c r="F481" s="680">
        <v>5.69</v>
      </c>
      <c r="G481" s="680">
        <v>5.69</v>
      </c>
      <c r="H481" t="b">
        <f t="shared" si="15"/>
        <v>1</v>
      </c>
    </row>
    <row r="482" spans="1:8">
      <c r="A482" s="396">
        <v>38590</v>
      </c>
      <c r="B482" s="401" t="s">
        <v>9225</v>
      </c>
      <c r="C482" s="396" t="s">
        <v>2021</v>
      </c>
      <c r="D482" s="405">
        <f t="shared" si="14"/>
        <v>4.21</v>
      </c>
      <c r="F482" s="679">
        <v>4.21</v>
      </c>
      <c r="G482" s="679">
        <v>4.21</v>
      </c>
      <c r="H482" t="b">
        <f t="shared" si="15"/>
        <v>1</v>
      </c>
    </row>
    <row r="483" spans="1:8">
      <c r="A483" s="395">
        <v>34566</v>
      </c>
      <c r="B483" s="406" t="s">
        <v>9226</v>
      </c>
      <c r="C483" s="395" t="s">
        <v>2021</v>
      </c>
      <c r="D483" s="407">
        <f t="shared" si="14"/>
        <v>4.42</v>
      </c>
      <c r="F483" s="680">
        <v>4.42</v>
      </c>
      <c r="G483" s="680">
        <v>4.42</v>
      </c>
      <c r="H483" t="b">
        <f t="shared" si="15"/>
        <v>1</v>
      </c>
    </row>
    <row r="484" spans="1:8">
      <c r="A484" s="396">
        <v>34567</v>
      </c>
      <c r="B484" s="401" t="s">
        <v>9227</v>
      </c>
      <c r="C484" s="396" t="s">
        <v>2021</v>
      </c>
      <c r="D484" s="405">
        <f t="shared" si="14"/>
        <v>4.6900000000000004</v>
      </c>
      <c r="F484" s="679">
        <v>4.6900000000000004</v>
      </c>
      <c r="G484" s="679">
        <v>4.6900000000000004</v>
      </c>
      <c r="H484" t="b">
        <f t="shared" si="15"/>
        <v>1</v>
      </c>
    </row>
    <row r="485" spans="1:8">
      <c r="A485" s="395">
        <v>38591</v>
      </c>
      <c r="B485" s="406" t="s">
        <v>9228</v>
      </c>
      <c r="C485" s="395" t="s">
        <v>2021</v>
      </c>
      <c r="D485" s="407">
        <f t="shared" si="14"/>
        <v>4.25</v>
      </c>
      <c r="F485" s="680">
        <v>4.25</v>
      </c>
      <c r="G485" s="680">
        <v>4.25</v>
      </c>
      <c r="H485" t="b">
        <f t="shared" si="15"/>
        <v>1</v>
      </c>
    </row>
    <row r="486" spans="1:8">
      <c r="A486" s="396">
        <v>34568</v>
      </c>
      <c r="B486" s="401" t="s">
        <v>9229</v>
      </c>
      <c r="C486" s="396" t="s">
        <v>2021</v>
      </c>
      <c r="D486" s="405">
        <f t="shared" si="14"/>
        <v>5.54</v>
      </c>
      <c r="F486" s="679">
        <v>5.54</v>
      </c>
      <c r="G486" s="679">
        <v>5.54</v>
      </c>
      <c r="H486" t="b">
        <f t="shared" si="15"/>
        <v>1</v>
      </c>
    </row>
    <row r="487" spans="1:8">
      <c r="A487" s="395">
        <v>34569</v>
      </c>
      <c r="B487" s="406" t="s">
        <v>9230</v>
      </c>
      <c r="C487" s="395" t="s">
        <v>2021</v>
      </c>
      <c r="D487" s="407">
        <f t="shared" si="14"/>
        <v>5.69</v>
      </c>
      <c r="F487" s="680">
        <v>5.69</v>
      </c>
      <c r="G487" s="680">
        <v>5.69</v>
      </c>
      <c r="H487" t="b">
        <f t="shared" si="15"/>
        <v>1</v>
      </c>
    </row>
    <row r="488" spans="1:8">
      <c r="A488" s="396">
        <v>34570</v>
      </c>
      <c r="B488" s="401" t="s">
        <v>9231</v>
      </c>
      <c r="C488" s="396" t="s">
        <v>2021</v>
      </c>
      <c r="D488" s="405">
        <f t="shared" si="14"/>
        <v>6.18</v>
      </c>
      <c r="F488" s="679">
        <v>6.18</v>
      </c>
      <c r="G488" s="679">
        <v>6.18</v>
      </c>
      <c r="H488" t="b">
        <f t="shared" si="15"/>
        <v>1</v>
      </c>
    </row>
    <row r="489" spans="1:8">
      <c r="A489" s="395">
        <v>25070</v>
      </c>
      <c r="B489" s="406" t="s">
        <v>9232</v>
      </c>
      <c r="C489" s="395" t="s">
        <v>2021</v>
      </c>
      <c r="D489" s="407">
        <f t="shared" si="14"/>
        <v>4.6500000000000004</v>
      </c>
      <c r="F489" s="680">
        <v>4.6500000000000004</v>
      </c>
      <c r="G489" s="680">
        <v>4.6500000000000004</v>
      </c>
      <c r="H489" t="b">
        <f t="shared" si="15"/>
        <v>1</v>
      </c>
    </row>
    <row r="490" spans="1:8">
      <c r="A490" s="396">
        <v>34571</v>
      </c>
      <c r="B490" s="401" t="s">
        <v>9233</v>
      </c>
      <c r="C490" s="396" t="s">
        <v>2021</v>
      </c>
      <c r="D490" s="405">
        <f t="shared" si="14"/>
        <v>4.7</v>
      </c>
      <c r="F490" s="679">
        <v>4.7</v>
      </c>
      <c r="G490" s="679">
        <v>4.7</v>
      </c>
      <c r="H490" t="b">
        <f t="shared" si="15"/>
        <v>1</v>
      </c>
    </row>
    <row r="491" spans="1:8">
      <c r="A491" s="395">
        <v>34573</v>
      </c>
      <c r="B491" s="406" t="s">
        <v>9234</v>
      </c>
      <c r="C491" s="395" t="s">
        <v>2021</v>
      </c>
      <c r="D491" s="407">
        <f t="shared" si="14"/>
        <v>4.9400000000000004</v>
      </c>
      <c r="F491" s="680">
        <v>4.9400000000000004</v>
      </c>
      <c r="G491" s="680">
        <v>4.9400000000000004</v>
      </c>
      <c r="H491" t="b">
        <f t="shared" si="15"/>
        <v>1</v>
      </c>
    </row>
    <row r="492" spans="1:8">
      <c r="A492" s="396">
        <v>37107</v>
      </c>
      <c r="B492" s="401" t="s">
        <v>9235</v>
      </c>
      <c r="C492" s="396" t="s">
        <v>2021</v>
      </c>
      <c r="D492" s="405">
        <f t="shared" si="14"/>
        <v>6.53</v>
      </c>
      <c r="F492" s="679">
        <v>6.53</v>
      </c>
      <c r="G492" s="679">
        <v>6.53</v>
      </c>
      <c r="H492" t="b">
        <f t="shared" si="15"/>
        <v>1</v>
      </c>
    </row>
    <row r="493" spans="1:8">
      <c r="A493" s="395">
        <v>34576</v>
      </c>
      <c r="B493" s="406" t="s">
        <v>9236</v>
      </c>
      <c r="C493" s="395" t="s">
        <v>2021</v>
      </c>
      <c r="D493" s="407">
        <f t="shared" si="14"/>
        <v>7.2</v>
      </c>
      <c r="F493" s="680">
        <v>7.2</v>
      </c>
      <c r="G493" s="680">
        <v>7.2</v>
      </c>
      <c r="H493" t="b">
        <f t="shared" si="15"/>
        <v>1</v>
      </c>
    </row>
    <row r="494" spans="1:8">
      <c r="A494" s="396">
        <v>34577</v>
      </c>
      <c r="B494" s="401" t="s">
        <v>9237</v>
      </c>
      <c r="C494" s="396" t="s">
        <v>2021</v>
      </c>
      <c r="D494" s="405">
        <f t="shared" si="14"/>
        <v>7.51</v>
      </c>
      <c r="F494" s="679">
        <v>7.51</v>
      </c>
      <c r="G494" s="679">
        <v>7.51</v>
      </c>
      <c r="H494" t="b">
        <f t="shared" si="15"/>
        <v>1</v>
      </c>
    </row>
    <row r="495" spans="1:8">
      <c r="A495" s="395">
        <v>34578</v>
      </c>
      <c r="B495" s="406" t="s">
        <v>9238</v>
      </c>
      <c r="C495" s="395" t="s">
        <v>2021</v>
      </c>
      <c r="D495" s="407">
        <f t="shared" si="14"/>
        <v>8.15</v>
      </c>
      <c r="F495" s="680">
        <v>8.15</v>
      </c>
      <c r="G495" s="680">
        <v>8.15</v>
      </c>
      <c r="H495" t="b">
        <f t="shared" si="15"/>
        <v>1</v>
      </c>
    </row>
    <row r="496" spans="1:8">
      <c r="A496" s="396">
        <v>34579</v>
      </c>
      <c r="B496" s="401" t="s">
        <v>9239</v>
      </c>
      <c r="C496" s="396" t="s">
        <v>2021</v>
      </c>
      <c r="D496" s="405">
        <f t="shared" si="14"/>
        <v>8.69</v>
      </c>
      <c r="F496" s="679">
        <v>8.69</v>
      </c>
      <c r="G496" s="679">
        <v>8.69</v>
      </c>
      <c r="H496" t="b">
        <f t="shared" si="15"/>
        <v>1</v>
      </c>
    </row>
    <row r="497" spans="1:8">
      <c r="A497" s="395">
        <v>25067</v>
      </c>
      <c r="B497" s="406" t="s">
        <v>9240</v>
      </c>
      <c r="C497" s="395" t="s">
        <v>2021</v>
      </c>
      <c r="D497" s="407">
        <f t="shared" si="14"/>
        <v>5.82</v>
      </c>
      <c r="F497" s="680">
        <v>5.82</v>
      </c>
      <c r="G497" s="680">
        <v>5.82</v>
      </c>
      <c r="H497" t="b">
        <f t="shared" si="15"/>
        <v>1</v>
      </c>
    </row>
    <row r="498" spans="1:8">
      <c r="A498" s="396">
        <v>34580</v>
      </c>
      <c r="B498" s="401" t="s">
        <v>9241</v>
      </c>
      <c r="C498" s="396" t="s">
        <v>2021</v>
      </c>
      <c r="D498" s="405">
        <f t="shared" si="14"/>
        <v>6.49</v>
      </c>
      <c r="F498" s="679">
        <v>6.49</v>
      </c>
      <c r="G498" s="679">
        <v>6.49</v>
      </c>
      <c r="H498" t="b">
        <f t="shared" si="15"/>
        <v>1</v>
      </c>
    </row>
    <row r="499" spans="1:8">
      <c r="A499" s="395">
        <v>25071</v>
      </c>
      <c r="B499" s="406" t="s">
        <v>9242</v>
      </c>
      <c r="C499" s="395" t="s">
        <v>2021</v>
      </c>
      <c r="D499" s="407">
        <f t="shared" si="14"/>
        <v>3.23</v>
      </c>
      <c r="F499" s="680">
        <v>3.23</v>
      </c>
      <c r="G499" s="680">
        <v>3.23</v>
      </c>
      <c r="H499" t="b">
        <f t="shared" si="15"/>
        <v>1</v>
      </c>
    </row>
    <row r="500" spans="1:8">
      <c r="A500" s="396">
        <v>44171</v>
      </c>
      <c r="B500" s="401" t="s">
        <v>9243</v>
      </c>
      <c r="C500" s="396" t="s">
        <v>2021</v>
      </c>
      <c r="D500" s="405">
        <f t="shared" si="14"/>
        <v>18.809999999999999</v>
      </c>
      <c r="F500" s="679">
        <v>18.809999999999999</v>
      </c>
      <c r="G500" s="679">
        <v>18.809999999999999</v>
      </c>
      <c r="H500" t="b">
        <f t="shared" si="15"/>
        <v>1</v>
      </c>
    </row>
    <row r="501" spans="1:8">
      <c r="A501" s="395">
        <v>38395</v>
      </c>
      <c r="B501" s="406" t="s">
        <v>9244</v>
      </c>
      <c r="C501" s="395" t="s">
        <v>2021</v>
      </c>
      <c r="D501" s="407">
        <f t="shared" si="14"/>
        <v>10.28</v>
      </c>
      <c r="F501" s="680">
        <v>10.28</v>
      </c>
      <c r="G501" s="680">
        <v>10.28</v>
      </c>
      <c r="H501" t="b">
        <f t="shared" si="15"/>
        <v>1</v>
      </c>
    </row>
    <row r="502" spans="1:8">
      <c r="A502" s="396">
        <v>34583</v>
      </c>
      <c r="B502" s="401" t="s">
        <v>9245</v>
      </c>
      <c r="C502" s="396" t="s">
        <v>2023</v>
      </c>
      <c r="D502" s="405">
        <f t="shared" si="14"/>
        <v>69.94</v>
      </c>
      <c r="F502" s="679">
        <v>69.94</v>
      </c>
      <c r="G502" s="679">
        <v>69.94</v>
      </c>
      <c r="H502" t="b">
        <f t="shared" si="15"/>
        <v>1</v>
      </c>
    </row>
    <row r="503" spans="1:8">
      <c r="A503" s="395">
        <v>34584</v>
      </c>
      <c r="B503" s="406" t="s">
        <v>9246</v>
      </c>
      <c r="C503" s="395" t="s">
        <v>2023</v>
      </c>
      <c r="D503" s="407">
        <f t="shared" si="14"/>
        <v>51.29</v>
      </c>
      <c r="F503" s="680">
        <v>51.29</v>
      </c>
      <c r="G503" s="680">
        <v>51.29</v>
      </c>
      <c r="H503" t="b">
        <f t="shared" si="15"/>
        <v>1</v>
      </c>
    </row>
    <row r="504" spans="1:8" ht="30">
      <c r="A504" s="396">
        <v>709</v>
      </c>
      <c r="B504" s="401" t="s">
        <v>9247</v>
      </c>
      <c r="C504" s="396" t="s">
        <v>2023</v>
      </c>
      <c r="D504" s="405">
        <f t="shared" si="14"/>
        <v>806.26</v>
      </c>
      <c r="F504" s="679">
        <v>806.26</v>
      </c>
      <c r="G504" s="679">
        <v>806.26</v>
      </c>
      <c r="H504" t="b">
        <f t="shared" si="15"/>
        <v>1</v>
      </c>
    </row>
    <row r="505" spans="1:8">
      <c r="A505" s="395">
        <v>34599</v>
      </c>
      <c r="B505" s="406" t="s">
        <v>9248</v>
      </c>
      <c r="C505" s="395" t="s">
        <v>2021</v>
      </c>
      <c r="D505" s="407">
        <f t="shared" si="14"/>
        <v>3.32</v>
      </c>
      <c r="F505" s="680">
        <v>3.32</v>
      </c>
      <c r="G505" s="680">
        <v>3.32</v>
      </c>
      <c r="H505" t="b">
        <f t="shared" si="15"/>
        <v>1</v>
      </c>
    </row>
    <row r="506" spans="1:8">
      <c r="A506" s="396">
        <v>34592</v>
      </c>
      <c r="B506" s="401" t="s">
        <v>9249</v>
      </c>
      <c r="C506" s="396" t="s">
        <v>2021</v>
      </c>
      <c r="D506" s="405">
        <f t="shared" si="14"/>
        <v>3.7</v>
      </c>
      <c r="F506" s="679">
        <v>3.7</v>
      </c>
      <c r="G506" s="679">
        <v>3.7</v>
      </c>
      <c r="H506" t="b">
        <f t="shared" si="15"/>
        <v>1</v>
      </c>
    </row>
    <row r="507" spans="1:8">
      <c r="A507" s="395">
        <v>37103</v>
      </c>
      <c r="B507" s="406" t="s">
        <v>9250</v>
      </c>
      <c r="C507" s="395" t="s">
        <v>2021</v>
      </c>
      <c r="D507" s="407">
        <f t="shared" si="14"/>
        <v>4.2300000000000004</v>
      </c>
      <c r="F507" s="680">
        <v>4.2300000000000004</v>
      </c>
      <c r="G507" s="680">
        <v>4.2300000000000004</v>
      </c>
      <c r="H507" t="b">
        <f t="shared" si="15"/>
        <v>1</v>
      </c>
    </row>
    <row r="508" spans="1:8">
      <c r="A508" s="396">
        <v>34555</v>
      </c>
      <c r="B508" s="401" t="s">
        <v>9251</v>
      </c>
      <c r="C508" s="396" t="s">
        <v>2021</v>
      </c>
      <c r="D508" s="405">
        <f t="shared" si="14"/>
        <v>5.37</v>
      </c>
      <c r="F508" s="679">
        <v>5.37</v>
      </c>
      <c r="G508" s="679">
        <v>5.37</v>
      </c>
      <c r="H508" t="b">
        <f t="shared" si="15"/>
        <v>1</v>
      </c>
    </row>
    <row r="509" spans="1:8">
      <c r="A509" s="395">
        <v>674</v>
      </c>
      <c r="B509" s="406" t="s">
        <v>9252</v>
      </c>
      <c r="C509" s="395" t="s">
        <v>2023</v>
      </c>
      <c r="D509" s="407">
        <f t="shared" si="14"/>
        <v>64.56</v>
      </c>
      <c r="F509" s="680">
        <v>64.56</v>
      </c>
      <c r="G509" s="680">
        <v>64.56</v>
      </c>
      <c r="H509" t="b">
        <f t="shared" si="15"/>
        <v>1</v>
      </c>
    </row>
    <row r="510" spans="1:8">
      <c r="A510" s="396">
        <v>34600</v>
      </c>
      <c r="B510" s="401" t="s">
        <v>9253</v>
      </c>
      <c r="C510" s="396" t="s">
        <v>2023</v>
      </c>
      <c r="D510" s="405">
        <f t="shared" si="14"/>
        <v>94.83</v>
      </c>
      <c r="F510" s="679">
        <v>94.83</v>
      </c>
      <c r="G510" s="679">
        <v>94.83</v>
      </c>
      <c r="H510" t="b">
        <f t="shared" si="15"/>
        <v>1</v>
      </c>
    </row>
    <row r="511" spans="1:8">
      <c r="A511" s="395">
        <v>652</v>
      </c>
      <c r="B511" s="406" t="s">
        <v>9254</v>
      </c>
      <c r="C511" s="395" t="s">
        <v>2023</v>
      </c>
      <c r="D511" s="407">
        <f t="shared" si="14"/>
        <v>145.27000000000001</v>
      </c>
      <c r="F511" s="680">
        <v>145.27000000000001</v>
      </c>
      <c r="G511" s="680">
        <v>145.27000000000001</v>
      </c>
      <c r="H511" t="b">
        <f t="shared" si="15"/>
        <v>1</v>
      </c>
    </row>
    <row r="512" spans="1:8">
      <c r="A512" s="396">
        <v>651</v>
      </c>
      <c r="B512" s="401" t="s">
        <v>9255</v>
      </c>
      <c r="C512" s="396" t="s">
        <v>2021</v>
      </c>
      <c r="D512" s="405">
        <f t="shared" si="14"/>
        <v>4.08</v>
      </c>
      <c r="F512" s="679">
        <v>4.08</v>
      </c>
      <c r="G512" s="679">
        <v>4.08</v>
      </c>
      <c r="H512" t="b">
        <f t="shared" si="15"/>
        <v>1</v>
      </c>
    </row>
    <row r="513" spans="1:8">
      <c r="A513" s="395">
        <v>654</v>
      </c>
      <c r="B513" s="406" t="s">
        <v>9256</v>
      </c>
      <c r="C513" s="395" t="s">
        <v>2021</v>
      </c>
      <c r="D513" s="407">
        <f t="shared" si="14"/>
        <v>5.05</v>
      </c>
      <c r="F513" s="680">
        <v>5.05</v>
      </c>
      <c r="G513" s="680">
        <v>5.05</v>
      </c>
      <c r="H513" t="b">
        <f t="shared" si="15"/>
        <v>1</v>
      </c>
    </row>
    <row r="514" spans="1:8">
      <c r="A514" s="396">
        <v>650</v>
      </c>
      <c r="B514" s="401" t="s">
        <v>9257</v>
      </c>
      <c r="C514" s="396" t="s">
        <v>2021</v>
      </c>
      <c r="D514" s="405">
        <f t="shared" si="14"/>
        <v>3.26</v>
      </c>
      <c r="F514" s="679">
        <v>3.26</v>
      </c>
      <c r="G514" s="679">
        <v>3.26</v>
      </c>
      <c r="H514" t="b">
        <f t="shared" si="15"/>
        <v>1</v>
      </c>
    </row>
    <row r="515" spans="1:8">
      <c r="A515" s="395">
        <v>718</v>
      </c>
      <c r="B515" s="406" t="s">
        <v>9258</v>
      </c>
      <c r="C515" s="395" t="s">
        <v>2021</v>
      </c>
      <c r="D515" s="407">
        <f t="shared" ref="D515:D578" si="16">IF($J$2=$F$1,F515,G515)</f>
        <v>25.39</v>
      </c>
      <c r="F515" s="680">
        <v>25.39</v>
      </c>
      <c r="G515" s="680">
        <v>25.39</v>
      </c>
      <c r="H515" t="b">
        <f t="shared" ref="H515:H578" si="17">F515=G515</f>
        <v>1</v>
      </c>
    </row>
    <row r="516" spans="1:8">
      <c r="A516" s="396">
        <v>11981</v>
      </c>
      <c r="B516" s="401" t="s">
        <v>9259</v>
      </c>
      <c r="C516" s="396" t="s">
        <v>2021</v>
      </c>
      <c r="D516" s="405">
        <f t="shared" si="16"/>
        <v>24.67</v>
      </c>
      <c r="F516" s="679">
        <v>24.67</v>
      </c>
      <c r="G516" s="679">
        <v>24.67</v>
      </c>
      <c r="H516" t="b">
        <f t="shared" si="17"/>
        <v>1</v>
      </c>
    </row>
    <row r="517" spans="1:8">
      <c r="A517" s="395">
        <v>34586</v>
      </c>
      <c r="B517" s="406" t="s">
        <v>9260</v>
      </c>
      <c r="C517" s="395" t="s">
        <v>2021</v>
      </c>
      <c r="D517" s="407">
        <f t="shared" si="16"/>
        <v>3.03</v>
      </c>
      <c r="F517" s="680">
        <v>3.03</v>
      </c>
      <c r="G517" s="680">
        <v>3.03</v>
      </c>
      <c r="H517" t="b">
        <f t="shared" si="17"/>
        <v>1</v>
      </c>
    </row>
    <row r="518" spans="1:8">
      <c r="A518" s="396">
        <v>38603</v>
      </c>
      <c r="B518" s="401" t="s">
        <v>9261</v>
      </c>
      <c r="C518" s="396" t="s">
        <v>2021</v>
      </c>
      <c r="D518" s="405">
        <f t="shared" si="16"/>
        <v>3.67</v>
      </c>
      <c r="F518" s="679">
        <v>3.67</v>
      </c>
      <c r="G518" s="679">
        <v>3.67</v>
      </c>
      <c r="H518" t="b">
        <f t="shared" si="17"/>
        <v>1</v>
      </c>
    </row>
    <row r="519" spans="1:8">
      <c r="A519" s="395">
        <v>34588</v>
      </c>
      <c r="B519" s="406" t="s">
        <v>9262</v>
      </c>
      <c r="C519" s="395" t="s">
        <v>2021</v>
      </c>
      <c r="D519" s="407">
        <f t="shared" si="16"/>
        <v>3.96</v>
      </c>
      <c r="F519" s="680">
        <v>3.96</v>
      </c>
      <c r="G519" s="680">
        <v>3.96</v>
      </c>
      <c r="H519" t="b">
        <f t="shared" si="17"/>
        <v>1</v>
      </c>
    </row>
    <row r="520" spans="1:8">
      <c r="A520" s="396">
        <v>34590</v>
      </c>
      <c r="B520" s="401" t="s">
        <v>9263</v>
      </c>
      <c r="C520" s="396" t="s">
        <v>2021</v>
      </c>
      <c r="D520" s="405">
        <f t="shared" si="16"/>
        <v>3.61</v>
      </c>
      <c r="F520" s="679">
        <v>3.61</v>
      </c>
      <c r="G520" s="679">
        <v>3.61</v>
      </c>
      <c r="H520" t="b">
        <f t="shared" si="17"/>
        <v>1</v>
      </c>
    </row>
    <row r="521" spans="1:8">
      <c r="A521" s="395">
        <v>34591</v>
      </c>
      <c r="B521" s="406" t="s">
        <v>9264</v>
      </c>
      <c r="C521" s="395" t="s">
        <v>2021</v>
      </c>
      <c r="D521" s="407">
        <f t="shared" si="16"/>
        <v>4.9000000000000004</v>
      </c>
      <c r="F521" s="680">
        <v>4.9000000000000004</v>
      </c>
      <c r="G521" s="680">
        <v>4.9000000000000004</v>
      </c>
      <c r="H521" t="b">
        <f t="shared" si="17"/>
        <v>1</v>
      </c>
    </row>
    <row r="522" spans="1:8" ht="30">
      <c r="A522" s="396">
        <v>40517</v>
      </c>
      <c r="B522" s="401" t="s">
        <v>9265</v>
      </c>
      <c r="C522" s="396" t="s">
        <v>2023</v>
      </c>
      <c r="D522" s="405">
        <f t="shared" si="16"/>
        <v>71.31</v>
      </c>
      <c r="F522" s="679">
        <v>71.31</v>
      </c>
      <c r="G522" s="679">
        <v>71.31</v>
      </c>
      <c r="H522" t="b">
        <f t="shared" si="17"/>
        <v>1</v>
      </c>
    </row>
    <row r="523" spans="1:8" ht="30">
      <c r="A523" s="395">
        <v>40515</v>
      </c>
      <c r="B523" s="406" t="s">
        <v>9266</v>
      </c>
      <c r="C523" s="395" t="s">
        <v>2023</v>
      </c>
      <c r="D523" s="407">
        <f t="shared" si="16"/>
        <v>160.44999999999999</v>
      </c>
      <c r="F523" s="680">
        <v>160.44999999999999</v>
      </c>
      <c r="G523" s="680">
        <v>160.44999999999999</v>
      </c>
      <c r="H523" t="b">
        <f t="shared" si="17"/>
        <v>1</v>
      </c>
    </row>
    <row r="524" spans="1:8" ht="45">
      <c r="A524" s="396">
        <v>40529</v>
      </c>
      <c r="B524" s="401" t="s">
        <v>9267</v>
      </c>
      <c r="C524" s="396" t="s">
        <v>2023</v>
      </c>
      <c r="D524" s="405">
        <f t="shared" si="16"/>
        <v>102.51</v>
      </c>
      <c r="F524" s="679">
        <v>102.51</v>
      </c>
      <c r="G524" s="679">
        <v>102.51</v>
      </c>
      <c r="H524" t="b">
        <f t="shared" si="17"/>
        <v>1</v>
      </c>
    </row>
    <row r="525" spans="1:8" ht="45">
      <c r="A525" s="395">
        <v>36170</v>
      </c>
      <c r="B525" s="406" t="s">
        <v>9268</v>
      </c>
      <c r="C525" s="395" t="s">
        <v>2023</v>
      </c>
      <c r="D525" s="407">
        <f t="shared" si="16"/>
        <v>85.05</v>
      </c>
      <c r="F525" s="680">
        <v>85.05</v>
      </c>
      <c r="G525" s="680">
        <v>85.05</v>
      </c>
      <c r="H525" t="b">
        <f t="shared" si="17"/>
        <v>1</v>
      </c>
    </row>
    <row r="526" spans="1:8" ht="45">
      <c r="A526" s="396">
        <v>40524</v>
      </c>
      <c r="B526" s="401" t="s">
        <v>9269</v>
      </c>
      <c r="C526" s="396" t="s">
        <v>2023</v>
      </c>
      <c r="D526" s="405">
        <f t="shared" si="16"/>
        <v>100.28</v>
      </c>
      <c r="F526" s="679">
        <v>100.28</v>
      </c>
      <c r="G526" s="679">
        <v>100.28</v>
      </c>
      <c r="H526" t="b">
        <f t="shared" si="17"/>
        <v>1</v>
      </c>
    </row>
    <row r="527" spans="1:8" ht="45">
      <c r="A527" s="395">
        <v>36156</v>
      </c>
      <c r="B527" s="406" t="s">
        <v>9270</v>
      </c>
      <c r="C527" s="395" t="s">
        <v>2023</v>
      </c>
      <c r="D527" s="407">
        <f t="shared" si="16"/>
        <v>77.989999999999995</v>
      </c>
      <c r="F527" s="680">
        <v>77.989999999999995</v>
      </c>
      <c r="G527" s="680">
        <v>77.989999999999995</v>
      </c>
      <c r="H527" t="b">
        <f t="shared" si="17"/>
        <v>1</v>
      </c>
    </row>
    <row r="528" spans="1:8" ht="45">
      <c r="A528" s="396">
        <v>36155</v>
      </c>
      <c r="B528" s="401" t="s">
        <v>9271</v>
      </c>
      <c r="C528" s="396" t="s">
        <v>2023</v>
      </c>
      <c r="D528" s="405">
        <f t="shared" si="16"/>
        <v>67.33</v>
      </c>
      <c r="F528" s="679">
        <v>67.33</v>
      </c>
      <c r="G528" s="679">
        <v>67.33</v>
      </c>
      <c r="H528" t="b">
        <f t="shared" si="17"/>
        <v>1</v>
      </c>
    </row>
    <row r="529" spans="1:8" ht="45">
      <c r="A529" s="395">
        <v>36154</v>
      </c>
      <c r="B529" s="406" t="s">
        <v>9272</v>
      </c>
      <c r="C529" s="395" t="s">
        <v>2023</v>
      </c>
      <c r="D529" s="407">
        <f t="shared" si="16"/>
        <v>93.59</v>
      </c>
      <c r="F529" s="680">
        <v>93.59</v>
      </c>
      <c r="G529" s="680">
        <v>93.59</v>
      </c>
      <c r="H529" t="b">
        <f t="shared" si="17"/>
        <v>1</v>
      </c>
    </row>
    <row r="530" spans="1:8" ht="30">
      <c r="A530" s="396">
        <v>695</v>
      </c>
      <c r="B530" s="401" t="s">
        <v>9273</v>
      </c>
      <c r="C530" s="396" t="s">
        <v>2023</v>
      </c>
      <c r="D530" s="405">
        <f t="shared" si="16"/>
        <v>68.739999999999995</v>
      </c>
      <c r="F530" s="679">
        <v>68.739999999999995</v>
      </c>
      <c r="G530" s="679">
        <v>68.739999999999995</v>
      </c>
      <c r="H530" t="b">
        <f t="shared" si="17"/>
        <v>1</v>
      </c>
    </row>
    <row r="531" spans="1:8" ht="30">
      <c r="A531" s="395">
        <v>679</v>
      </c>
      <c r="B531" s="406" t="s">
        <v>9274</v>
      </c>
      <c r="C531" s="395" t="s">
        <v>2023</v>
      </c>
      <c r="D531" s="407">
        <f t="shared" si="16"/>
        <v>102.51</v>
      </c>
      <c r="F531" s="680">
        <v>102.51</v>
      </c>
      <c r="G531" s="680">
        <v>102.51</v>
      </c>
      <c r="H531" t="b">
        <f t="shared" si="17"/>
        <v>1</v>
      </c>
    </row>
    <row r="532" spans="1:8" ht="30">
      <c r="A532" s="396">
        <v>711</v>
      </c>
      <c r="B532" s="401" t="s">
        <v>9275</v>
      </c>
      <c r="C532" s="396" t="s">
        <v>2023</v>
      </c>
      <c r="D532" s="405">
        <f t="shared" si="16"/>
        <v>67.81</v>
      </c>
      <c r="F532" s="679">
        <v>67.81</v>
      </c>
      <c r="G532" s="679">
        <v>67.81</v>
      </c>
      <c r="H532" t="b">
        <f t="shared" si="17"/>
        <v>1</v>
      </c>
    </row>
    <row r="533" spans="1:8" ht="30">
      <c r="A533" s="395">
        <v>712</v>
      </c>
      <c r="B533" s="406" t="s">
        <v>9276</v>
      </c>
      <c r="C533" s="395" t="s">
        <v>2023</v>
      </c>
      <c r="D533" s="407">
        <f t="shared" si="16"/>
        <v>85.41</v>
      </c>
      <c r="F533" s="680">
        <v>85.41</v>
      </c>
      <c r="G533" s="680">
        <v>85.41</v>
      </c>
      <c r="H533" t="b">
        <f t="shared" si="17"/>
        <v>1</v>
      </c>
    </row>
    <row r="534" spans="1:8">
      <c r="A534" s="396">
        <v>12614</v>
      </c>
      <c r="B534" s="401" t="s">
        <v>9277</v>
      </c>
      <c r="C534" s="396" t="s">
        <v>2021</v>
      </c>
      <c r="D534" s="405">
        <f t="shared" si="16"/>
        <v>66.33</v>
      </c>
      <c r="F534" s="679">
        <v>66.33</v>
      </c>
      <c r="G534" s="679">
        <v>66.33</v>
      </c>
      <c r="H534" t="b">
        <f t="shared" si="17"/>
        <v>1</v>
      </c>
    </row>
    <row r="535" spans="1:8">
      <c r="A535" s="395">
        <v>6140</v>
      </c>
      <c r="B535" s="406" t="s">
        <v>9278</v>
      </c>
      <c r="C535" s="395" t="s">
        <v>2021</v>
      </c>
      <c r="D535" s="407">
        <f t="shared" si="16"/>
        <v>4.1500000000000004</v>
      </c>
      <c r="F535" s="680">
        <v>4.1500000000000004</v>
      </c>
      <c r="G535" s="680">
        <v>4.1500000000000004</v>
      </c>
      <c r="H535" t="b">
        <f t="shared" si="17"/>
        <v>1</v>
      </c>
    </row>
    <row r="536" spans="1:8">
      <c r="A536" s="396">
        <v>38399</v>
      </c>
      <c r="B536" s="401" t="s">
        <v>9279</v>
      </c>
      <c r="C536" s="396" t="s">
        <v>2021</v>
      </c>
      <c r="D536" s="405">
        <f t="shared" si="16"/>
        <v>303.37</v>
      </c>
      <c r="F536" s="679">
        <v>303.37</v>
      </c>
      <c r="G536" s="679">
        <v>303.37</v>
      </c>
      <c r="H536" t="b">
        <f t="shared" si="17"/>
        <v>1</v>
      </c>
    </row>
    <row r="537" spans="1:8" ht="30">
      <c r="A537" s="395">
        <v>735</v>
      </c>
      <c r="B537" s="406" t="s">
        <v>9280</v>
      </c>
      <c r="C537" s="395" t="s">
        <v>2021</v>
      </c>
      <c r="D537" s="407">
        <f t="shared" si="16"/>
        <v>2733.92</v>
      </c>
      <c r="F537" s="680">
        <v>2733.92</v>
      </c>
      <c r="G537" s="680">
        <v>2733.92</v>
      </c>
      <c r="H537" t="b">
        <f t="shared" si="17"/>
        <v>1</v>
      </c>
    </row>
    <row r="538" spans="1:8" ht="30">
      <c r="A538" s="396">
        <v>736</v>
      </c>
      <c r="B538" s="401" t="s">
        <v>9281</v>
      </c>
      <c r="C538" s="396" t="s">
        <v>2021</v>
      </c>
      <c r="D538" s="405">
        <f t="shared" si="16"/>
        <v>2298.73</v>
      </c>
      <c r="F538" s="679">
        <v>2298.73</v>
      </c>
      <c r="G538" s="679">
        <v>2298.73</v>
      </c>
      <c r="H538" t="b">
        <f t="shared" si="17"/>
        <v>1</v>
      </c>
    </row>
    <row r="539" spans="1:8" ht="30">
      <c r="A539" s="395">
        <v>729</v>
      </c>
      <c r="B539" s="406" t="s">
        <v>9282</v>
      </c>
      <c r="C539" s="395" t="s">
        <v>2021</v>
      </c>
      <c r="D539" s="407">
        <f t="shared" si="16"/>
        <v>936.76</v>
      </c>
      <c r="F539" s="680">
        <v>936.76</v>
      </c>
      <c r="G539" s="680">
        <v>936.76</v>
      </c>
      <c r="H539" t="b">
        <f t="shared" si="17"/>
        <v>1</v>
      </c>
    </row>
    <row r="540" spans="1:8" ht="30">
      <c r="A540" s="396">
        <v>39925</v>
      </c>
      <c r="B540" s="401" t="s">
        <v>9283</v>
      </c>
      <c r="C540" s="396" t="s">
        <v>2021</v>
      </c>
      <c r="D540" s="405">
        <f t="shared" si="16"/>
        <v>13536.09</v>
      </c>
      <c r="F540" s="679">
        <v>13536.09</v>
      </c>
      <c r="G540" s="679">
        <v>13536.09</v>
      </c>
      <c r="H540" t="b">
        <f t="shared" si="17"/>
        <v>1</v>
      </c>
    </row>
    <row r="541" spans="1:8" ht="30">
      <c r="A541" s="395">
        <v>731</v>
      </c>
      <c r="B541" s="406" t="s">
        <v>9284</v>
      </c>
      <c r="C541" s="395" t="s">
        <v>2021</v>
      </c>
      <c r="D541" s="407">
        <f t="shared" si="16"/>
        <v>911.7</v>
      </c>
      <c r="F541" s="680">
        <v>911.7</v>
      </c>
      <c r="G541" s="680">
        <v>911.7</v>
      </c>
      <c r="H541" t="b">
        <f t="shared" si="17"/>
        <v>1</v>
      </c>
    </row>
    <row r="542" spans="1:8" ht="30">
      <c r="A542" s="396">
        <v>10575</v>
      </c>
      <c r="B542" s="401" t="s">
        <v>9285</v>
      </c>
      <c r="C542" s="396" t="s">
        <v>2021</v>
      </c>
      <c r="D542" s="405">
        <f t="shared" si="16"/>
        <v>1422.77</v>
      </c>
      <c r="F542" s="679">
        <v>1422.77</v>
      </c>
      <c r="G542" s="679">
        <v>1422.77</v>
      </c>
      <c r="H542" t="b">
        <f t="shared" si="17"/>
        <v>1</v>
      </c>
    </row>
    <row r="543" spans="1:8" ht="30">
      <c r="A543" s="395">
        <v>733</v>
      </c>
      <c r="B543" s="406" t="s">
        <v>9286</v>
      </c>
      <c r="C543" s="395" t="s">
        <v>2021</v>
      </c>
      <c r="D543" s="407">
        <f t="shared" si="16"/>
        <v>1557.76</v>
      </c>
      <c r="F543" s="680">
        <v>1557.76</v>
      </c>
      <c r="G543" s="680">
        <v>1557.76</v>
      </c>
      <c r="H543" t="b">
        <f t="shared" si="17"/>
        <v>1</v>
      </c>
    </row>
    <row r="544" spans="1:8" ht="30">
      <c r="A544" s="396">
        <v>732</v>
      </c>
      <c r="B544" s="401" t="s">
        <v>9287</v>
      </c>
      <c r="C544" s="396" t="s">
        <v>2021</v>
      </c>
      <c r="D544" s="405">
        <f t="shared" si="16"/>
        <v>1536.82</v>
      </c>
      <c r="F544" s="679">
        <v>1536.82</v>
      </c>
      <c r="G544" s="679">
        <v>1536.82</v>
      </c>
      <c r="H544" t="b">
        <f t="shared" si="17"/>
        <v>1</v>
      </c>
    </row>
    <row r="545" spans="1:8" ht="30">
      <c r="A545" s="395">
        <v>737</v>
      </c>
      <c r="B545" s="406" t="s">
        <v>9288</v>
      </c>
      <c r="C545" s="395" t="s">
        <v>2021</v>
      </c>
      <c r="D545" s="407">
        <f t="shared" si="16"/>
        <v>8618.0400000000009</v>
      </c>
      <c r="F545" s="680">
        <v>8618.0400000000009</v>
      </c>
      <c r="G545" s="680">
        <v>8618.0400000000009</v>
      </c>
      <c r="H545" t="b">
        <f t="shared" si="17"/>
        <v>1</v>
      </c>
    </row>
    <row r="546" spans="1:8" ht="30">
      <c r="A546" s="396">
        <v>738</v>
      </c>
      <c r="B546" s="401" t="s">
        <v>9289</v>
      </c>
      <c r="C546" s="396" t="s">
        <v>2021</v>
      </c>
      <c r="D546" s="405">
        <f t="shared" si="16"/>
        <v>3996.12</v>
      </c>
      <c r="F546" s="679">
        <v>3996.12</v>
      </c>
      <c r="G546" s="679">
        <v>3996.12</v>
      </c>
      <c r="H546" t="b">
        <f t="shared" si="17"/>
        <v>1</v>
      </c>
    </row>
    <row r="547" spans="1:8" ht="30">
      <c r="A547" s="395">
        <v>740</v>
      </c>
      <c r="B547" s="406" t="s">
        <v>9290</v>
      </c>
      <c r="C547" s="395" t="s">
        <v>2021</v>
      </c>
      <c r="D547" s="407">
        <f t="shared" si="16"/>
        <v>8107.31</v>
      </c>
      <c r="F547" s="680">
        <v>8107.31</v>
      </c>
      <c r="G547" s="680">
        <v>8107.31</v>
      </c>
      <c r="H547" t="b">
        <f t="shared" si="17"/>
        <v>1</v>
      </c>
    </row>
    <row r="548" spans="1:8" ht="30">
      <c r="A548" s="396">
        <v>734</v>
      </c>
      <c r="B548" s="401" t="s">
        <v>9291</v>
      </c>
      <c r="C548" s="396" t="s">
        <v>2021</v>
      </c>
      <c r="D548" s="405">
        <f t="shared" si="16"/>
        <v>1647.47</v>
      </c>
      <c r="F548" s="679">
        <v>1647.47</v>
      </c>
      <c r="G548" s="679">
        <v>1647.47</v>
      </c>
      <c r="H548" t="b">
        <f t="shared" si="17"/>
        <v>1</v>
      </c>
    </row>
    <row r="549" spans="1:8">
      <c r="A549" s="395">
        <v>39008</v>
      </c>
      <c r="B549" s="406" t="s">
        <v>9292</v>
      </c>
      <c r="C549" s="395" t="s">
        <v>2021</v>
      </c>
      <c r="D549" s="407">
        <f t="shared" si="16"/>
        <v>69637.119999999995</v>
      </c>
      <c r="F549" s="680">
        <v>69637.119999999995</v>
      </c>
      <c r="G549" s="680">
        <v>69637.119999999995</v>
      </c>
      <c r="H549" t="b">
        <f t="shared" si="17"/>
        <v>1</v>
      </c>
    </row>
    <row r="550" spans="1:8">
      <c r="A550" s="396">
        <v>39009</v>
      </c>
      <c r="B550" s="401" t="s">
        <v>9293</v>
      </c>
      <c r="C550" s="396" t="s">
        <v>2021</v>
      </c>
      <c r="D550" s="405">
        <f t="shared" si="16"/>
        <v>74607.539999999994</v>
      </c>
      <c r="F550" s="679">
        <v>74607.539999999994</v>
      </c>
      <c r="G550" s="679">
        <v>74607.539999999994</v>
      </c>
      <c r="H550" t="b">
        <f t="shared" si="17"/>
        <v>1</v>
      </c>
    </row>
    <row r="551" spans="1:8" ht="30">
      <c r="A551" s="395">
        <v>10587</v>
      </c>
      <c r="B551" s="406" t="s">
        <v>9294</v>
      </c>
      <c r="C551" s="395" t="s">
        <v>2021</v>
      </c>
      <c r="D551" s="407">
        <f t="shared" si="16"/>
        <v>3579.08</v>
      </c>
      <c r="F551" s="680">
        <v>3579.08</v>
      </c>
      <c r="G551" s="680">
        <v>3579.08</v>
      </c>
      <c r="H551" t="b">
        <f t="shared" si="17"/>
        <v>1</v>
      </c>
    </row>
    <row r="552" spans="1:8" ht="30">
      <c r="A552" s="396">
        <v>759</v>
      </c>
      <c r="B552" s="401" t="s">
        <v>9295</v>
      </c>
      <c r="C552" s="396" t="s">
        <v>2021</v>
      </c>
      <c r="D552" s="405">
        <f t="shared" si="16"/>
        <v>5146.01</v>
      </c>
      <c r="F552" s="679">
        <v>5146.01</v>
      </c>
      <c r="G552" s="679">
        <v>5146.01</v>
      </c>
      <c r="H552" t="b">
        <f t="shared" si="17"/>
        <v>1</v>
      </c>
    </row>
    <row r="553" spans="1:8" ht="30">
      <c r="A553" s="395">
        <v>761</v>
      </c>
      <c r="B553" s="406" t="s">
        <v>9296</v>
      </c>
      <c r="C553" s="395" t="s">
        <v>2021</v>
      </c>
      <c r="D553" s="407">
        <f t="shared" si="16"/>
        <v>8722.92</v>
      </c>
      <c r="F553" s="680">
        <v>8722.92</v>
      </c>
      <c r="G553" s="680">
        <v>8722.92</v>
      </c>
      <c r="H553" t="b">
        <f t="shared" si="17"/>
        <v>1</v>
      </c>
    </row>
    <row r="554" spans="1:8" ht="30">
      <c r="A554" s="396">
        <v>750</v>
      </c>
      <c r="B554" s="401" t="s">
        <v>9297</v>
      </c>
      <c r="C554" s="396" t="s">
        <v>2021</v>
      </c>
      <c r="D554" s="405">
        <f t="shared" si="16"/>
        <v>8281.7199999999993</v>
      </c>
      <c r="F554" s="679">
        <v>8281.7199999999993</v>
      </c>
      <c r="G554" s="679">
        <v>8281.7199999999993</v>
      </c>
      <c r="H554" t="b">
        <f t="shared" si="17"/>
        <v>1</v>
      </c>
    </row>
    <row r="555" spans="1:8" ht="30">
      <c r="A555" s="395">
        <v>755</v>
      </c>
      <c r="B555" s="406" t="s">
        <v>9298</v>
      </c>
      <c r="C555" s="395" t="s">
        <v>2021</v>
      </c>
      <c r="D555" s="407">
        <f t="shared" si="16"/>
        <v>33984.160000000003</v>
      </c>
      <c r="F555" s="680">
        <v>33984.160000000003</v>
      </c>
      <c r="G555" s="680">
        <v>33984.160000000003</v>
      </c>
      <c r="H555" t="b">
        <f t="shared" si="17"/>
        <v>1</v>
      </c>
    </row>
    <row r="556" spans="1:8" ht="30">
      <c r="A556" s="396">
        <v>749</v>
      </c>
      <c r="B556" s="401" t="s">
        <v>9299</v>
      </c>
      <c r="C556" s="396" t="s">
        <v>2021</v>
      </c>
      <c r="D556" s="405">
        <f t="shared" si="16"/>
        <v>12498.74</v>
      </c>
      <c r="F556" s="679">
        <v>12498.74</v>
      </c>
      <c r="G556" s="679">
        <v>12498.74</v>
      </c>
      <c r="H556" t="b">
        <f t="shared" si="17"/>
        <v>1</v>
      </c>
    </row>
    <row r="557" spans="1:8" ht="30">
      <c r="A557" s="395">
        <v>756</v>
      </c>
      <c r="B557" s="406" t="s">
        <v>9300</v>
      </c>
      <c r="C557" s="395" t="s">
        <v>2021</v>
      </c>
      <c r="D557" s="407">
        <f t="shared" si="16"/>
        <v>37064.269999999997</v>
      </c>
      <c r="F557" s="680">
        <v>37064.269999999997</v>
      </c>
      <c r="G557" s="680">
        <v>37064.269999999997</v>
      </c>
      <c r="H557" t="b">
        <f t="shared" si="17"/>
        <v>1</v>
      </c>
    </row>
    <row r="558" spans="1:8" ht="30">
      <c r="A558" s="396">
        <v>757</v>
      </c>
      <c r="B558" s="401" t="s">
        <v>9301</v>
      </c>
      <c r="C558" s="396" t="s">
        <v>2021</v>
      </c>
      <c r="D558" s="405">
        <f t="shared" si="16"/>
        <v>16829.55</v>
      </c>
      <c r="F558" s="679">
        <v>16829.55</v>
      </c>
      <c r="G558" s="679">
        <v>16829.55</v>
      </c>
      <c r="H558" t="b">
        <f t="shared" si="17"/>
        <v>1</v>
      </c>
    </row>
    <row r="559" spans="1:8" ht="30">
      <c r="A559" s="395">
        <v>10588</v>
      </c>
      <c r="B559" s="406" t="s">
        <v>9302</v>
      </c>
      <c r="C559" s="395" t="s">
        <v>2021</v>
      </c>
      <c r="D559" s="407">
        <f t="shared" si="16"/>
        <v>3715.54</v>
      </c>
      <c r="F559" s="680">
        <v>3715.54</v>
      </c>
      <c r="G559" s="680">
        <v>3715.54</v>
      </c>
      <c r="H559" t="b">
        <f t="shared" si="17"/>
        <v>1</v>
      </c>
    </row>
    <row r="560" spans="1:8" ht="30">
      <c r="A560" s="396">
        <v>10592</v>
      </c>
      <c r="B560" s="401" t="s">
        <v>9303</v>
      </c>
      <c r="C560" s="396" t="s">
        <v>2021</v>
      </c>
      <c r="D560" s="405">
        <f t="shared" si="16"/>
        <v>4487.88</v>
      </c>
      <c r="F560" s="679">
        <v>4487.88</v>
      </c>
      <c r="G560" s="679">
        <v>4487.88</v>
      </c>
      <c r="H560" t="b">
        <f t="shared" si="17"/>
        <v>1</v>
      </c>
    </row>
    <row r="561" spans="1:8" ht="30">
      <c r="A561" s="395">
        <v>10589</v>
      </c>
      <c r="B561" s="406" t="s">
        <v>9304</v>
      </c>
      <c r="C561" s="395" t="s">
        <v>2021</v>
      </c>
      <c r="D561" s="407">
        <f t="shared" si="16"/>
        <v>6029.18</v>
      </c>
      <c r="F561" s="680">
        <v>6029.18</v>
      </c>
      <c r="G561" s="680">
        <v>6029.18</v>
      </c>
      <c r="H561" t="b">
        <f t="shared" si="17"/>
        <v>1</v>
      </c>
    </row>
    <row r="562" spans="1:8" ht="30">
      <c r="A562" s="396">
        <v>760</v>
      </c>
      <c r="B562" s="401" t="s">
        <v>9305</v>
      </c>
      <c r="C562" s="396" t="s">
        <v>2021</v>
      </c>
      <c r="D562" s="405">
        <f t="shared" si="16"/>
        <v>33659.1</v>
      </c>
      <c r="F562" s="679">
        <v>33659.1</v>
      </c>
      <c r="G562" s="679">
        <v>33659.1</v>
      </c>
      <c r="H562" t="b">
        <f t="shared" si="17"/>
        <v>1</v>
      </c>
    </row>
    <row r="563" spans="1:8" ht="30">
      <c r="A563" s="395">
        <v>751</v>
      </c>
      <c r="B563" s="406" t="s">
        <v>9306</v>
      </c>
      <c r="C563" s="395" t="s">
        <v>2021</v>
      </c>
      <c r="D563" s="407">
        <f t="shared" si="16"/>
        <v>5301.3</v>
      </c>
      <c r="F563" s="680">
        <v>5301.3</v>
      </c>
      <c r="G563" s="680">
        <v>5301.3</v>
      </c>
      <c r="H563" t="b">
        <f t="shared" si="17"/>
        <v>1</v>
      </c>
    </row>
    <row r="564" spans="1:8" ht="30">
      <c r="A564" s="396">
        <v>754</v>
      </c>
      <c r="B564" s="401" t="s">
        <v>9307</v>
      </c>
      <c r="C564" s="396" t="s">
        <v>2021</v>
      </c>
      <c r="D564" s="405">
        <f t="shared" si="16"/>
        <v>8414.77</v>
      </c>
      <c r="F564" s="679">
        <v>8414.77</v>
      </c>
      <c r="G564" s="679">
        <v>8414.77</v>
      </c>
      <c r="H564" t="b">
        <f t="shared" si="17"/>
        <v>1</v>
      </c>
    </row>
    <row r="565" spans="1:8">
      <c r="A565" s="395">
        <v>44489</v>
      </c>
      <c r="B565" s="406" t="s">
        <v>9308</v>
      </c>
      <c r="C565" s="395" t="s">
        <v>2021</v>
      </c>
      <c r="D565" s="407">
        <f t="shared" si="16"/>
        <v>232878.11</v>
      </c>
      <c r="F565" s="680">
        <v>232878.11</v>
      </c>
      <c r="G565" s="680">
        <v>232878.11</v>
      </c>
      <c r="H565" t="b">
        <f t="shared" si="17"/>
        <v>1</v>
      </c>
    </row>
    <row r="566" spans="1:8" ht="30">
      <c r="A566" s="396">
        <v>39917</v>
      </c>
      <c r="B566" s="401" t="s">
        <v>9309</v>
      </c>
      <c r="C566" s="396" t="s">
        <v>2021</v>
      </c>
      <c r="D566" s="405">
        <f t="shared" si="16"/>
        <v>106967.64</v>
      </c>
      <c r="F566" s="679">
        <v>106967.64</v>
      </c>
      <c r="G566" s="679">
        <v>106967.64</v>
      </c>
      <c r="H566" t="b">
        <f t="shared" si="17"/>
        <v>1</v>
      </c>
    </row>
    <row r="567" spans="1:8">
      <c r="A567" s="395">
        <v>38167</v>
      </c>
      <c r="B567" s="406" t="s">
        <v>9310</v>
      </c>
      <c r="C567" s="395" t="s">
        <v>2028</v>
      </c>
      <c r="D567" s="407">
        <f t="shared" si="16"/>
        <v>30.97</v>
      </c>
      <c r="F567" s="680">
        <v>30.97</v>
      </c>
      <c r="G567" s="680">
        <v>30.97</v>
      </c>
      <c r="H567" t="b">
        <f t="shared" si="17"/>
        <v>1</v>
      </c>
    </row>
    <row r="568" spans="1:8">
      <c r="A568" s="396">
        <v>36145</v>
      </c>
      <c r="B568" s="401" t="s">
        <v>9311</v>
      </c>
      <c r="C568" s="396" t="s">
        <v>2028</v>
      </c>
      <c r="D568" s="405">
        <f t="shared" si="16"/>
        <v>45.79</v>
      </c>
      <c r="F568" s="679">
        <v>45.79</v>
      </c>
      <c r="G568" s="679">
        <v>45.79</v>
      </c>
      <c r="H568" t="b">
        <f t="shared" si="17"/>
        <v>1</v>
      </c>
    </row>
    <row r="569" spans="1:8">
      <c r="A569" s="395">
        <v>12893</v>
      </c>
      <c r="B569" s="406" t="s">
        <v>9312</v>
      </c>
      <c r="C569" s="395" t="s">
        <v>2028</v>
      </c>
      <c r="D569" s="407">
        <f t="shared" si="16"/>
        <v>76.319999999999993</v>
      </c>
      <c r="F569" s="680">
        <v>76.319999999999993</v>
      </c>
      <c r="G569" s="680">
        <v>76.319999999999993</v>
      </c>
      <c r="H569" t="b">
        <f t="shared" si="17"/>
        <v>1</v>
      </c>
    </row>
    <row r="570" spans="1:8">
      <c r="A570" s="396">
        <v>11685</v>
      </c>
      <c r="B570" s="401" t="s">
        <v>9313</v>
      </c>
      <c r="C570" s="396" t="s">
        <v>2021</v>
      </c>
      <c r="D570" s="405">
        <f t="shared" si="16"/>
        <v>32.700000000000003</v>
      </c>
      <c r="F570" s="679">
        <v>32.700000000000003</v>
      </c>
      <c r="G570" s="679">
        <v>32.700000000000003</v>
      </c>
      <c r="H570" t="b">
        <f t="shared" si="17"/>
        <v>1</v>
      </c>
    </row>
    <row r="571" spans="1:8">
      <c r="A571" s="395">
        <v>11680</v>
      </c>
      <c r="B571" s="406" t="s">
        <v>9314</v>
      </c>
      <c r="C571" s="395" t="s">
        <v>2021</v>
      </c>
      <c r="D571" s="407">
        <f t="shared" si="16"/>
        <v>21.37</v>
      </c>
      <c r="F571" s="680">
        <v>21.37</v>
      </c>
      <c r="G571" s="680">
        <v>21.37</v>
      </c>
      <c r="H571" t="b">
        <f t="shared" si="17"/>
        <v>1</v>
      </c>
    </row>
    <row r="572" spans="1:8">
      <c r="A572" s="396">
        <v>11679</v>
      </c>
      <c r="B572" s="401" t="s">
        <v>9315</v>
      </c>
      <c r="C572" s="396" t="s">
        <v>2021</v>
      </c>
      <c r="D572" s="405">
        <f t="shared" si="16"/>
        <v>28.98</v>
      </c>
      <c r="F572" s="679">
        <v>28.98</v>
      </c>
      <c r="G572" s="679">
        <v>28.98</v>
      </c>
      <c r="H572" t="b">
        <f t="shared" si="17"/>
        <v>1</v>
      </c>
    </row>
    <row r="573" spans="1:8">
      <c r="A573" s="395">
        <v>2512</v>
      </c>
      <c r="B573" s="406" t="s">
        <v>9316</v>
      </c>
      <c r="C573" s="395" t="s">
        <v>2021</v>
      </c>
      <c r="D573" s="407">
        <f t="shared" si="16"/>
        <v>39.700000000000003</v>
      </c>
      <c r="F573" s="680">
        <v>39.700000000000003</v>
      </c>
      <c r="G573" s="680">
        <v>39.700000000000003</v>
      </c>
      <c r="H573" t="b">
        <f t="shared" si="17"/>
        <v>1</v>
      </c>
    </row>
    <row r="574" spans="1:8">
      <c r="A574" s="396">
        <v>4374</v>
      </c>
      <c r="B574" s="401" t="s">
        <v>9317</v>
      </c>
      <c r="C574" s="396" t="s">
        <v>2021</v>
      </c>
      <c r="D574" s="405">
        <f t="shared" si="16"/>
        <v>0.4</v>
      </c>
      <c r="F574" s="679">
        <v>0.4</v>
      </c>
      <c r="G574" s="679">
        <v>0.4</v>
      </c>
      <c r="H574" t="b">
        <f t="shared" si="17"/>
        <v>1</v>
      </c>
    </row>
    <row r="575" spans="1:8" ht="30">
      <c r="A575" s="395">
        <v>7568</v>
      </c>
      <c r="B575" s="406" t="s">
        <v>9318</v>
      </c>
      <c r="C575" s="395" t="s">
        <v>2021</v>
      </c>
      <c r="D575" s="407">
        <f t="shared" si="16"/>
        <v>0.67</v>
      </c>
      <c r="F575" s="680">
        <v>0.67</v>
      </c>
      <c r="G575" s="680">
        <v>0.67</v>
      </c>
      <c r="H575" t="b">
        <f t="shared" si="17"/>
        <v>1</v>
      </c>
    </row>
    <row r="576" spans="1:8">
      <c r="A576" s="396">
        <v>7584</v>
      </c>
      <c r="B576" s="401" t="s">
        <v>9319</v>
      </c>
      <c r="C576" s="396" t="s">
        <v>2021</v>
      </c>
      <c r="D576" s="405">
        <f t="shared" si="16"/>
        <v>1.02</v>
      </c>
      <c r="F576" s="679">
        <v>1.02</v>
      </c>
      <c r="G576" s="679">
        <v>1.02</v>
      </c>
      <c r="H576" t="b">
        <f t="shared" si="17"/>
        <v>1</v>
      </c>
    </row>
    <row r="577" spans="1:8">
      <c r="A577" s="395">
        <v>11945</v>
      </c>
      <c r="B577" s="406" t="s">
        <v>9320</v>
      </c>
      <c r="C577" s="395" t="s">
        <v>2021</v>
      </c>
      <c r="D577" s="407">
        <f t="shared" si="16"/>
        <v>0.06</v>
      </c>
      <c r="F577" s="680">
        <v>0.06</v>
      </c>
      <c r="G577" s="680">
        <v>0.06</v>
      </c>
      <c r="H577" t="b">
        <f t="shared" si="17"/>
        <v>1</v>
      </c>
    </row>
    <row r="578" spans="1:8">
      <c r="A578" s="396">
        <v>11946</v>
      </c>
      <c r="B578" s="401" t="s">
        <v>9321</v>
      </c>
      <c r="C578" s="396" t="s">
        <v>2021</v>
      </c>
      <c r="D578" s="405">
        <f t="shared" si="16"/>
        <v>7.0000000000000007E-2</v>
      </c>
      <c r="F578" s="679">
        <v>7.0000000000000007E-2</v>
      </c>
      <c r="G578" s="679">
        <v>7.0000000000000007E-2</v>
      </c>
      <c r="H578" t="b">
        <f t="shared" si="17"/>
        <v>1</v>
      </c>
    </row>
    <row r="579" spans="1:8">
      <c r="A579" s="395">
        <v>4375</v>
      </c>
      <c r="B579" s="406" t="s">
        <v>9322</v>
      </c>
      <c r="C579" s="395" t="s">
        <v>2021</v>
      </c>
      <c r="D579" s="407">
        <f t="shared" ref="D579:D642" si="18">IF($J$2=$F$1,F579,G579)</f>
        <v>0.11</v>
      </c>
      <c r="F579" s="680">
        <v>0.11</v>
      </c>
      <c r="G579" s="680">
        <v>0.11</v>
      </c>
      <c r="H579" t="b">
        <f t="shared" ref="H579:H642" si="19">F579=G579</f>
        <v>1</v>
      </c>
    </row>
    <row r="580" spans="1:8" ht="30">
      <c r="A580" s="396">
        <v>11950</v>
      </c>
      <c r="B580" s="401" t="s">
        <v>9323</v>
      </c>
      <c r="C580" s="396" t="s">
        <v>2021</v>
      </c>
      <c r="D580" s="405">
        <f t="shared" si="18"/>
        <v>0.22</v>
      </c>
      <c r="F580" s="679">
        <v>0.22</v>
      </c>
      <c r="G580" s="679">
        <v>0.22</v>
      </c>
      <c r="H580" t="b">
        <f t="shared" si="19"/>
        <v>1</v>
      </c>
    </row>
    <row r="581" spans="1:8">
      <c r="A581" s="395">
        <v>4376</v>
      </c>
      <c r="B581" s="406" t="s">
        <v>9324</v>
      </c>
      <c r="C581" s="395" t="s">
        <v>2021</v>
      </c>
      <c r="D581" s="407">
        <f t="shared" si="18"/>
        <v>0.21</v>
      </c>
      <c r="F581" s="680">
        <v>0.21</v>
      </c>
      <c r="G581" s="680">
        <v>0.21</v>
      </c>
      <c r="H581" t="b">
        <f t="shared" si="19"/>
        <v>1</v>
      </c>
    </row>
    <row r="582" spans="1:8" ht="30">
      <c r="A582" s="396">
        <v>7583</v>
      </c>
      <c r="B582" s="401" t="s">
        <v>9325</v>
      </c>
      <c r="C582" s="396" t="s">
        <v>2021</v>
      </c>
      <c r="D582" s="405">
        <f t="shared" si="18"/>
        <v>0.46</v>
      </c>
      <c r="F582" s="679">
        <v>0.46</v>
      </c>
      <c r="G582" s="679">
        <v>0.46</v>
      </c>
      <c r="H582" t="b">
        <f t="shared" si="19"/>
        <v>1</v>
      </c>
    </row>
    <row r="583" spans="1:8" ht="30">
      <c r="A583" s="395">
        <v>4350</v>
      </c>
      <c r="B583" s="406" t="s">
        <v>9326</v>
      </c>
      <c r="C583" s="395" t="s">
        <v>2021</v>
      </c>
      <c r="D583" s="407">
        <f t="shared" si="18"/>
        <v>0.68</v>
      </c>
      <c r="F583" s="680">
        <v>0.68</v>
      </c>
      <c r="G583" s="680">
        <v>0.68</v>
      </c>
      <c r="H583" t="b">
        <f t="shared" si="19"/>
        <v>1</v>
      </c>
    </row>
    <row r="584" spans="1:8">
      <c r="A584" s="396">
        <v>44400</v>
      </c>
      <c r="B584" s="401" t="s">
        <v>9327</v>
      </c>
      <c r="C584" s="396" t="s">
        <v>2021</v>
      </c>
      <c r="D584" s="405">
        <f t="shared" si="18"/>
        <v>30.16</v>
      </c>
      <c r="F584" s="679">
        <v>30.16</v>
      </c>
      <c r="G584" s="679">
        <v>30.16</v>
      </c>
      <c r="H584" t="b">
        <f t="shared" si="19"/>
        <v>1</v>
      </c>
    </row>
    <row r="585" spans="1:8">
      <c r="A585" s="395">
        <v>39886</v>
      </c>
      <c r="B585" s="406" t="s">
        <v>9328</v>
      </c>
      <c r="C585" s="395" t="s">
        <v>2021</v>
      </c>
      <c r="D585" s="407">
        <f t="shared" si="18"/>
        <v>5.71</v>
      </c>
      <c r="F585" s="680">
        <v>5.71</v>
      </c>
      <c r="G585" s="680">
        <v>5.71</v>
      </c>
      <c r="H585" t="b">
        <f t="shared" si="19"/>
        <v>1</v>
      </c>
    </row>
    <row r="586" spans="1:8">
      <c r="A586" s="396">
        <v>39887</v>
      </c>
      <c r="B586" s="401" t="s">
        <v>9329</v>
      </c>
      <c r="C586" s="396" t="s">
        <v>2021</v>
      </c>
      <c r="D586" s="405">
        <f t="shared" si="18"/>
        <v>8.57</v>
      </c>
      <c r="F586" s="679">
        <v>8.57</v>
      </c>
      <c r="G586" s="679">
        <v>8.57</v>
      </c>
      <c r="H586" t="b">
        <f t="shared" si="19"/>
        <v>1</v>
      </c>
    </row>
    <row r="587" spans="1:8">
      <c r="A587" s="395">
        <v>39888</v>
      </c>
      <c r="B587" s="406" t="s">
        <v>9330</v>
      </c>
      <c r="C587" s="395" t="s">
        <v>2021</v>
      </c>
      <c r="D587" s="407">
        <f t="shared" si="18"/>
        <v>19.600000000000001</v>
      </c>
      <c r="F587" s="680">
        <v>19.600000000000001</v>
      </c>
      <c r="G587" s="680">
        <v>19.600000000000001</v>
      </c>
      <c r="H587" t="b">
        <f t="shared" si="19"/>
        <v>1</v>
      </c>
    </row>
    <row r="588" spans="1:8">
      <c r="A588" s="396">
        <v>39890</v>
      </c>
      <c r="B588" s="401" t="s">
        <v>9331</v>
      </c>
      <c r="C588" s="396" t="s">
        <v>2021</v>
      </c>
      <c r="D588" s="405">
        <f t="shared" si="18"/>
        <v>33.46</v>
      </c>
      <c r="F588" s="679">
        <v>33.46</v>
      </c>
      <c r="G588" s="679">
        <v>33.46</v>
      </c>
      <c r="H588" t="b">
        <f t="shared" si="19"/>
        <v>1</v>
      </c>
    </row>
    <row r="589" spans="1:8">
      <c r="A589" s="395">
        <v>39891</v>
      </c>
      <c r="B589" s="406" t="s">
        <v>9332</v>
      </c>
      <c r="C589" s="395" t="s">
        <v>2021</v>
      </c>
      <c r="D589" s="407">
        <f t="shared" si="18"/>
        <v>47.18</v>
      </c>
      <c r="F589" s="680">
        <v>47.18</v>
      </c>
      <c r="G589" s="680">
        <v>47.18</v>
      </c>
      <c r="H589" t="b">
        <f t="shared" si="19"/>
        <v>1</v>
      </c>
    </row>
    <row r="590" spans="1:8">
      <c r="A590" s="396">
        <v>39892</v>
      </c>
      <c r="B590" s="401" t="s">
        <v>9333</v>
      </c>
      <c r="C590" s="396" t="s">
        <v>2021</v>
      </c>
      <c r="D590" s="405">
        <f t="shared" si="18"/>
        <v>147.07</v>
      </c>
      <c r="F590" s="679">
        <v>147.07</v>
      </c>
      <c r="G590" s="679">
        <v>147.07</v>
      </c>
      <c r="H590" t="b">
        <f t="shared" si="19"/>
        <v>1</v>
      </c>
    </row>
    <row r="591" spans="1:8">
      <c r="A591" s="395">
        <v>790</v>
      </c>
      <c r="B591" s="406" t="s">
        <v>9334</v>
      </c>
      <c r="C591" s="395" t="s">
        <v>2021</v>
      </c>
      <c r="D591" s="407">
        <f t="shared" si="18"/>
        <v>15.04</v>
      </c>
      <c r="F591" s="680">
        <v>15.04</v>
      </c>
      <c r="G591" s="680">
        <v>15.04</v>
      </c>
      <c r="H591" t="b">
        <f t="shared" si="19"/>
        <v>1</v>
      </c>
    </row>
    <row r="592" spans="1:8">
      <c r="A592" s="396">
        <v>766</v>
      </c>
      <c r="B592" s="401" t="s">
        <v>9335</v>
      </c>
      <c r="C592" s="396" t="s">
        <v>2021</v>
      </c>
      <c r="D592" s="405">
        <f t="shared" si="18"/>
        <v>15.04</v>
      </c>
      <c r="F592" s="679">
        <v>15.04</v>
      </c>
      <c r="G592" s="679">
        <v>15.04</v>
      </c>
      <c r="H592" t="b">
        <f t="shared" si="19"/>
        <v>1</v>
      </c>
    </row>
    <row r="593" spans="1:8">
      <c r="A593" s="395">
        <v>791</v>
      </c>
      <c r="B593" s="406" t="s">
        <v>9336</v>
      </c>
      <c r="C593" s="395" t="s">
        <v>2021</v>
      </c>
      <c r="D593" s="407">
        <f t="shared" si="18"/>
        <v>15.04</v>
      </c>
      <c r="F593" s="680">
        <v>15.04</v>
      </c>
      <c r="G593" s="680">
        <v>15.04</v>
      </c>
      <c r="H593" t="b">
        <f t="shared" si="19"/>
        <v>1</v>
      </c>
    </row>
    <row r="594" spans="1:8">
      <c r="A594" s="396">
        <v>767</v>
      </c>
      <c r="B594" s="401" t="s">
        <v>9337</v>
      </c>
      <c r="C594" s="396" t="s">
        <v>2021</v>
      </c>
      <c r="D594" s="405">
        <f t="shared" si="18"/>
        <v>15.04</v>
      </c>
      <c r="F594" s="679">
        <v>15.04</v>
      </c>
      <c r="G594" s="679">
        <v>15.04</v>
      </c>
      <c r="H594" t="b">
        <f t="shared" si="19"/>
        <v>1</v>
      </c>
    </row>
    <row r="595" spans="1:8">
      <c r="A595" s="395">
        <v>768</v>
      </c>
      <c r="B595" s="406" t="s">
        <v>9338</v>
      </c>
      <c r="C595" s="395" t="s">
        <v>2021</v>
      </c>
      <c r="D595" s="407">
        <f t="shared" si="18"/>
        <v>11.81</v>
      </c>
      <c r="F595" s="680">
        <v>11.81</v>
      </c>
      <c r="G595" s="680">
        <v>11.81</v>
      </c>
      <c r="H595" t="b">
        <f t="shared" si="19"/>
        <v>1</v>
      </c>
    </row>
    <row r="596" spans="1:8">
      <c r="A596" s="396">
        <v>789</v>
      </c>
      <c r="B596" s="401" t="s">
        <v>9339</v>
      </c>
      <c r="C596" s="396" t="s">
        <v>2021</v>
      </c>
      <c r="D596" s="405">
        <f t="shared" si="18"/>
        <v>11.56</v>
      </c>
      <c r="F596" s="679">
        <v>11.56</v>
      </c>
      <c r="G596" s="679">
        <v>11.56</v>
      </c>
      <c r="H596" t="b">
        <f t="shared" si="19"/>
        <v>1</v>
      </c>
    </row>
    <row r="597" spans="1:8">
      <c r="A597" s="395">
        <v>769</v>
      </c>
      <c r="B597" s="406" t="s">
        <v>9340</v>
      </c>
      <c r="C597" s="395" t="s">
        <v>2021</v>
      </c>
      <c r="D597" s="407">
        <f t="shared" si="18"/>
        <v>11.81</v>
      </c>
      <c r="F597" s="680">
        <v>11.81</v>
      </c>
      <c r="G597" s="680">
        <v>11.81</v>
      </c>
      <c r="H597" t="b">
        <f t="shared" si="19"/>
        <v>1</v>
      </c>
    </row>
    <row r="598" spans="1:8">
      <c r="A598" s="396">
        <v>770</v>
      </c>
      <c r="B598" s="401" t="s">
        <v>9341</v>
      </c>
      <c r="C598" s="396" t="s">
        <v>2021</v>
      </c>
      <c r="D598" s="405">
        <f t="shared" si="18"/>
        <v>4.17</v>
      </c>
      <c r="F598" s="679">
        <v>4.17</v>
      </c>
      <c r="G598" s="679">
        <v>4.17</v>
      </c>
      <c r="H598" t="b">
        <f t="shared" si="19"/>
        <v>1</v>
      </c>
    </row>
    <row r="599" spans="1:8">
      <c r="A599" s="395">
        <v>12394</v>
      </c>
      <c r="B599" s="406" t="s">
        <v>9342</v>
      </c>
      <c r="C599" s="395" t="s">
        <v>2021</v>
      </c>
      <c r="D599" s="407">
        <f t="shared" si="18"/>
        <v>4.17</v>
      </c>
      <c r="F599" s="680">
        <v>4.17</v>
      </c>
      <c r="G599" s="680">
        <v>4.17</v>
      </c>
      <c r="H599" t="b">
        <f t="shared" si="19"/>
        <v>1</v>
      </c>
    </row>
    <row r="600" spans="1:8">
      <c r="A600" s="396">
        <v>764</v>
      </c>
      <c r="B600" s="401" t="s">
        <v>9343</v>
      </c>
      <c r="C600" s="396" t="s">
        <v>2021</v>
      </c>
      <c r="D600" s="405">
        <f t="shared" si="18"/>
        <v>7.27</v>
      </c>
      <c r="F600" s="679">
        <v>7.27</v>
      </c>
      <c r="G600" s="679">
        <v>7.27</v>
      </c>
      <c r="H600" t="b">
        <f t="shared" si="19"/>
        <v>1</v>
      </c>
    </row>
    <row r="601" spans="1:8">
      <c r="A601" s="395">
        <v>765</v>
      </c>
      <c r="B601" s="406" t="s">
        <v>9344</v>
      </c>
      <c r="C601" s="395" t="s">
        <v>2021</v>
      </c>
      <c r="D601" s="407">
        <f t="shared" si="18"/>
        <v>7.27</v>
      </c>
      <c r="F601" s="680">
        <v>7.27</v>
      </c>
      <c r="G601" s="680">
        <v>7.27</v>
      </c>
      <c r="H601" t="b">
        <f t="shared" si="19"/>
        <v>1</v>
      </c>
    </row>
    <row r="602" spans="1:8">
      <c r="A602" s="396">
        <v>787</v>
      </c>
      <c r="B602" s="401" t="s">
        <v>9345</v>
      </c>
      <c r="C602" s="396" t="s">
        <v>2021</v>
      </c>
      <c r="D602" s="405">
        <f t="shared" si="18"/>
        <v>32.47</v>
      </c>
      <c r="F602" s="679">
        <v>32.47</v>
      </c>
      <c r="G602" s="679">
        <v>32.47</v>
      </c>
      <c r="H602" t="b">
        <f t="shared" si="19"/>
        <v>1</v>
      </c>
    </row>
    <row r="603" spans="1:8">
      <c r="A603" s="395">
        <v>774</v>
      </c>
      <c r="B603" s="406" t="s">
        <v>9346</v>
      </c>
      <c r="C603" s="395" t="s">
        <v>2021</v>
      </c>
      <c r="D603" s="407">
        <f t="shared" si="18"/>
        <v>32.47</v>
      </c>
      <c r="F603" s="680">
        <v>32.47</v>
      </c>
      <c r="G603" s="680">
        <v>32.47</v>
      </c>
      <c r="H603" t="b">
        <f t="shared" si="19"/>
        <v>1</v>
      </c>
    </row>
    <row r="604" spans="1:8">
      <c r="A604" s="396">
        <v>773</v>
      </c>
      <c r="B604" s="401" t="s">
        <v>9347</v>
      </c>
      <c r="C604" s="396" t="s">
        <v>2021</v>
      </c>
      <c r="D604" s="405">
        <f t="shared" si="18"/>
        <v>32.47</v>
      </c>
      <c r="F604" s="679">
        <v>32.47</v>
      </c>
      <c r="G604" s="679">
        <v>32.47</v>
      </c>
      <c r="H604" t="b">
        <f t="shared" si="19"/>
        <v>1</v>
      </c>
    </row>
    <row r="605" spans="1:8">
      <c r="A605" s="395">
        <v>775</v>
      </c>
      <c r="B605" s="406" t="s">
        <v>9348</v>
      </c>
      <c r="C605" s="395" t="s">
        <v>2021</v>
      </c>
      <c r="D605" s="407">
        <f t="shared" si="18"/>
        <v>32.47</v>
      </c>
      <c r="F605" s="680">
        <v>32.47</v>
      </c>
      <c r="G605" s="680">
        <v>32.47</v>
      </c>
      <c r="H605" t="b">
        <f t="shared" si="19"/>
        <v>1</v>
      </c>
    </row>
    <row r="606" spans="1:8">
      <c r="A606" s="396">
        <v>788</v>
      </c>
      <c r="B606" s="401" t="s">
        <v>9349</v>
      </c>
      <c r="C606" s="396" t="s">
        <v>2021</v>
      </c>
      <c r="D606" s="405">
        <f t="shared" si="18"/>
        <v>20.18</v>
      </c>
      <c r="F606" s="679">
        <v>20.18</v>
      </c>
      <c r="G606" s="679">
        <v>20.18</v>
      </c>
      <c r="H606" t="b">
        <f t="shared" si="19"/>
        <v>1</v>
      </c>
    </row>
    <row r="607" spans="1:8">
      <c r="A607" s="395">
        <v>772</v>
      </c>
      <c r="B607" s="406" t="s">
        <v>9350</v>
      </c>
      <c r="C607" s="395" t="s">
        <v>2021</v>
      </c>
      <c r="D607" s="407">
        <f t="shared" si="18"/>
        <v>20.18</v>
      </c>
      <c r="F607" s="680">
        <v>20.18</v>
      </c>
      <c r="G607" s="680">
        <v>20.18</v>
      </c>
      <c r="H607" t="b">
        <f t="shared" si="19"/>
        <v>1</v>
      </c>
    </row>
    <row r="608" spans="1:8">
      <c r="A608" s="396">
        <v>771</v>
      </c>
      <c r="B608" s="401" t="s">
        <v>9351</v>
      </c>
      <c r="C608" s="396" t="s">
        <v>2021</v>
      </c>
      <c r="D608" s="405">
        <f t="shared" si="18"/>
        <v>20.18</v>
      </c>
      <c r="F608" s="679">
        <v>20.18</v>
      </c>
      <c r="G608" s="679">
        <v>20.18</v>
      </c>
      <c r="H608" t="b">
        <f t="shared" si="19"/>
        <v>1</v>
      </c>
    </row>
    <row r="609" spans="1:8">
      <c r="A609" s="395">
        <v>779</v>
      </c>
      <c r="B609" s="406" t="s">
        <v>9352</v>
      </c>
      <c r="C609" s="395" t="s">
        <v>2021</v>
      </c>
      <c r="D609" s="407">
        <f t="shared" si="18"/>
        <v>5.0199999999999996</v>
      </c>
      <c r="F609" s="680">
        <v>5.0199999999999996</v>
      </c>
      <c r="G609" s="680">
        <v>5.0199999999999996</v>
      </c>
      <c r="H609" t="b">
        <f t="shared" si="19"/>
        <v>1</v>
      </c>
    </row>
    <row r="610" spans="1:8">
      <c r="A610" s="396">
        <v>776</v>
      </c>
      <c r="B610" s="401" t="s">
        <v>9353</v>
      </c>
      <c r="C610" s="396" t="s">
        <v>2021</v>
      </c>
      <c r="D610" s="405">
        <f t="shared" si="18"/>
        <v>47.87</v>
      </c>
      <c r="F610" s="679">
        <v>47.87</v>
      </c>
      <c r="G610" s="679">
        <v>47.87</v>
      </c>
      <c r="H610" t="b">
        <f t="shared" si="19"/>
        <v>1</v>
      </c>
    </row>
    <row r="611" spans="1:8">
      <c r="A611" s="395">
        <v>777</v>
      </c>
      <c r="B611" s="406" t="s">
        <v>9354</v>
      </c>
      <c r="C611" s="395" t="s">
        <v>2021</v>
      </c>
      <c r="D611" s="407">
        <f t="shared" si="18"/>
        <v>46.54</v>
      </c>
      <c r="F611" s="680">
        <v>46.54</v>
      </c>
      <c r="G611" s="680">
        <v>46.54</v>
      </c>
      <c r="H611" t="b">
        <f t="shared" si="19"/>
        <v>1</v>
      </c>
    </row>
    <row r="612" spans="1:8">
      <c r="A612" s="396">
        <v>780</v>
      </c>
      <c r="B612" s="401" t="s">
        <v>9355</v>
      </c>
      <c r="C612" s="396" t="s">
        <v>2021</v>
      </c>
      <c r="D612" s="405">
        <f t="shared" si="18"/>
        <v>46.77</v>
      </c>
      <c r="F612" s="679">
        <v>46.77</v>
      </c>
      <c r="G612" s="679">
        <v>46.77</v>
      </c>
      <c r="H612" t="b">
        <f t="shared" si="19"/>
        <v>1</v>
      </c>
    </row>
    <row r="613" spans="1:8">
      <c r="A613" s="395">
        <v>778</v>
      </c>
      <c r="B613" s="406" t="s">
        <v>9356</v>
      </c>
      <c r="C613" s="395" t="s">
        <v>2021</v>
      </c>
      <c r="D613" s="407">
        <f t="shared" si="18"/>
        <v>47.87</v>
      </c>
      <c r="F613" s="680">
        <v>47.87</v>
      </c>
      <c r="G613" s="680">
        <v>47.87</v>
      </c>
      <c r="H613" t="b">
        <f t="shared" si="19"/>
        <v>1</v>
      </c>
    </row>
    <row r="614" spans="1:8">
      <c r="A614" s="396">
        <v>781</v>
      </c>
      <c r="B614" s="401" t="s">
        <v>9357</v>
      </c>
      <c r="C614" s="396" t="s">
        <v>2021</v>
      </c>
      <c r="D614" s="405">
        <f t="shared" si="18"/>
        <v>88.45</v>
      </c>
      <c r="F614" s="679">
        <v>88.45</v>
      </c>
      <c r="G614" s="679">
        <v>88.45</v>
      </c>
      <c r="H614" t="b">
        <f t="shared" si="19"/>
        <v>1</v>
      </c>
    </row>
    <row r="615" spans="1:8">
      <c r="A615" s="395">
        <v>786</v>
      </c>
      <c r="B615" s="406" t="s">
        <v>9358</v>
      </c>
      <c r="C615" s="395" t="s">
        <v>2021</v>
      </c>
      <c r="D615" s="407">
        <f t="shared" si="18"/>
        <v>88.45</v>
      </c>
      <c r="F615" s="680">
        <v>88.45</v>
      </c>
      <c r="G615" s="680">
        <v>88.45</v>
      </c>
      <c r="H615" t="b">
        <f t="shared" si="19"/>
        <v>1</v>
      </c>
    </row>
    <row r="616" spans="1:8">
      <c r="A616" s="396">
        <v>782</v>
      </c>
      <c r="B616" s="401" t="s">
        <v>9359</v>
      </c>
      <c r="C616" s="396" t="s">
        <v>2021</v>
      </c>
      <c r="D616" s="405">
        <f t="shared" si="18"/>
        <v>88.45</v>
      </c>
      <c r="F616" s="679">
        <v>88.45</v>
      </c>
      <c r="G616" s="679">
        <v>88.45</v>
      </c>
      <c r="H616" t="b">
        <f t="shared" si="19"/>
        <v>1</v>
      </c>
    </row>
    <row r="617" spans="1:8">
      <c r="A617" s="395">
        <v>783</v>
      </c>
      <c r="B617" s="406" t="s">
        <v>9360</v>
      </c>
      <c r="C617" s="395" t="s">
        <v>2021</v>
      </c>
      <c r="D617" s="407">
        <f t="shared" si="18"/>
        <v>242.08</v>
      </c>
      <c r="F617" s="680">
        <v>242.08</v>
      </c>
      <c r="G617" s="680">
        <v>242.08</v>
      </c>
      <c r="H617" t="b">
        <f t="shared" si="19"/>
        <v>1</v>
      </c>
    </row>
    <row r="618" spans="1:8">
      <c r="A618" s="396">
        <v>785</v>
      </c>
      <c r="B618" s="401" t="s">
        <v>9361</v>
      </c>
      <c r="C618" s="396" t="s">
        <v>2021</v>
      </c>
      <c r="D618" s="405">
        <f t="shared" si="18"/>
        <v>255.78</v>
      </c>
      <c r="F618" s="679">
        <v>255.78</v>
      </c>
      <c r="G618" s="679">
        <v>255.78</v>
      </c>
      <c r="H618" t="b">
        <f t="shared" si="19"/>
        <v>1</v>
      </c>
    </row>
    <row r="619" spans="1:8">
      <c r="A619" s="395">
        <v>784</v>
      </c>
      <c r="B619" s="406" t="s">
        <v>9362</v>
      </c>
      <c r="C619" s="395" t="s">
        <v>2021</v>
      </c>
      <c r="D619" s="407">
        <f t="shared" si="18"/>
        <v>274.39</v>
      </c>
      <c r="F619" s="680">
        <v>274.39</v>
      </c>
      <c r="G619" s="680">
        <v>274.39</v>
      </c>
      <c r="H619" t="b">
        <f t="shared" si="19"/>
        <v>1</v>
      </c>
    </row>
    <row r="620" spans="1:8">
      <c r="A620" s="396">
        <v>828</v>
      </c>
      <c r="B620" s="401" t="s">
        <v>9363</v>
      </c>
      <c r="C620" s="396" t="s">
        <v>2021</v>
      </c>
      <c r="D620" s="405">
        <f t="shared" si="18"/>
        <v>0.75</v>
      </c>
      <c r="F620" s="679">
        <v>0.75</v>
      </c>
      <c r="G620" s="679">
        <v>0.75</v>
      </c>
      <c r="H620" t="b">
        <f t="shared" si="19"/>
        <v>1</v>
      </c>
    </row>
    <row r="621" spans="1:8">
      <c r="A621" s="395">
        <v>829</v>
      </c>
      <c r="B621" s="406" t="s">
        <v>9364</v>
      </c>
      <c r="C621" s="395" t="s">
        <v>2021</v>
      </c>
      <c r="D621" s="407">
        <f t="shared" si="18"/>
        <v>1.2</v>
      </c>
      <c r="F621" s="680">
        <v>1.2</v>
      </c>
      <c r="G621" s="680">
        <v>1.2</v>
      </c>
      <c r="H621" t="b">
        <f t="shared" si="19"/>
        <v>1</v>
      </c>
    </row>
    <row r="622" spans="1:8">
      <c r="A622" s="396">
        <v>812</v>
      </c>
      <c r="B622" s="401" t="s">
        <v>9365</v>
      </c>
      <c r="C622" s="396" t="s">
        <v>2021</v>
      </c>
      <c r="D622" s="405">
        <f t="shared" si="18"/>
        <v>2.65</v>
      </c>
      <c r="F622" s="679">
        <v>2.65</v>
      </c>
      <c r="G622" s="679">
        <v>2.65</v>
      </c>
      <c r="H622" t="b">
        <f t="shared" si="19"/>
        <v>1</v>
      </c>
    </row>
    <row r="623" spans="1:8">
      <c r="A623" s="395">
        <v>819</v>
      </c>
      <c r="B623" s="406" t="s">
        <v>9366</v>
      </c>
      <c r="C623" s="395" t="s">
        <v>2021</v>
      </c>
      <c r="D623" s="407">
        <f t="shared" si="18"/>
        <v>4.5999999999999996</v>
      </c>
      <c r="F623" s="680">
        <v>4.5999999999999996</v>
      </c>
      <c r="G623" s="680">
        <v>4.5999999999999996</v>
      </c>
      <c r="H623" t="b">
        <f t="shared" si="19"/>
        <v>1</v>
      </c>
    </row>
    <row r="624" spans="1:8">
      <c r="A624" s="396">
        <v>818</v>
      </c>
      <c r="B624" s="401" t="s">
        <v>9367</v>
      </c>
      <c r="C624" s="396" t="s">
        <v>2021</v>
      </c>
      <c r="D624" s="405">
        <f t="shared" si="18"/>
        <v>8.59</v>
      </c>
      <c r="F624" s="679">
        <v>8.59</v>
      </c>
      <c r="G624" s="679">
        <v>8.59</v>
      </c>
      <c r="H624" t="b">
        <f t="shared" si="19"/>
        <v>1</v>
      </c>
    </row>
    <row r="625" spans="1:8">
      <c r="A625" s="395">
        <v>832</v>
      </c>
      <c r="B625" s="406" t="s">
        <v>9368</v>
      </c>
      <c r="C625" s="395" t="s">
        <v>2021</v>
      </c>
      <c r="D625" s="407">
        <f t="shared" si="18"/>
        <v>3.54</v>
      </c>
      <c r="F625" s="680">
        <v>3.54</v>
      </c>
      <c r="G625" s="680">
        <v>3.54</v>
      </c>
      <c r="H625" t="b">
        <f t="shared" si="19"/>
        <v>1</v>
      </c>
    </row>
    <row r="626" spans="1:8">
      <c r="A626" s="396">
        <v>834</v>
      </c>
      <c r="B626" s="401" t="s">
        <v>9369</v>
      </c>
      <c r="C626" s="396" t="s">
        <v>2021</v>
      </c>
      <c r="D626" s="405">
        <f t="shared" si="18"/>
        <v>4.59</v>
      </c>
      <c r="F626" s="679">
        <v>4.59</v>
      </c>
      <c r="G626" s="679">
        <v>4.59</v>
      </c>
      <c r="H626" t="b">
        <f t="shared" si="19"/>
        <v>1</v>
      </c>
    </row>
    <row r="627" spans="1:8">
      <c r="A627" s="395">
        <v>813</v>
      </c>
      <c r="B627" s="406" t="s">
        <v>9370</v>
      </c>
      <c r="C627" s="395" t="s">
        <v>2021</v>
      </c>
      <c r="D627" s="407">
        <f t="shared" si="18"/>
        <v>5.34</v>
      </c>
      <c r="F627" s="680">
        <v>5.34</v>
      </c>
      <c r="G627" s="680">
        <v>5.34</v>
      </c>
      <c r="H627" t="b">
        <f t="shared" si="19"/>
        <v>1</v>
      </c>
    </row>
    <row r="628" spans="1:8">
      <c r="A628" s="396">
        <v>820</v>
      </c>
      <c r="B628" s="401" t="s">
        <v>9371</v>
      </c>
      <c r="C628" s="396" t="s">
        <v>2021</v>
      </c>
      <c r="D628" s="405">
        <f t="shared" si="18"/>
        <v>7.19</v>
      </c>
      <c r="F628" s="679">
        <v>7.19</v>
      </c>
      <c r="G628" s="679">
        <v>7.19</v>
      </c>
      <c r="H628" t="b">
        <f t="shared" si="19"/>
        <v>1</v>
      </c>
    </row>
    <row r="629" spans="1:8">
      <c r="A629" s="395">
        <v>816</v>
      </c>
      <c r="B629" s="406" t="s">
        <v>9372</v>
      </c>
      <c r="C629" s="395" t="s">
        <v>2021</v>
      </c>
      <c r="D629" s="407">
        <f t="shared" si="18"/>
        <v>12.82</v>
      </c>
      <c r="F629" s="680">
        <v>12.82</v>
      </c>
      <c r="G629" s="680">
        <v>12.82</v>
      </c>
      <c r="H629" t="b">
        <f t="shared" si="19"/>
        <v>1</v>
      </c>
    </row>
    <row r="630" spans="1:8">
      <c r="A630" s="396">
        <v>814</v>
      </c>
      <c r="B630" s="401" t="s">
        <v>9373</v>
      </c>
      <c r="C630" s="396" t="s">
        <v>2021</v>
      </c>
      <c r="D630" s="405">
        <f t="shared" si="18"/>
        <v>15.92</v>
      </c>
      <c r="F630" s="679">
        <v>15.92</v>
      </c>
      <c r="G630" s="679">
        <v>15.92</v>
      </c>
      <c r="H630" t="b">
        <f t="shared" si="19"/>
        <v>1</v>
      </c>
    </row>
    <row r="631" spans="1:8">
      <c r="A631" s="395">
        <v>822</v>
      </c>
      <c r="B631" s="406" t="s">
        <v>9374</v>
      </c>
      <c r="C631" s="395" t="s">
        <v>2021</v>
      </c>
      <c r="D631" s="407">
        <f t="shared" si="18"/>
        <v>20.78</v>
      </c>
      <c r="F631" s="680">
        <v>20.78</v>
      </c>
      <c r="G631" s="680">
        <v>20.78</v>
      </c>
      <c r="H631" t="b">
        <f t="shared" si="19"/>
        <v>1</v>
      </c>
    </row>
    <row r="632" spans="1:8">
      <c r="A632" s="396">
        <v>821</v>
      </c>
      <c r="B632" s="401" t="s">
        <v>9375</v>
      </c>
      <c r="C632" s="396" t="s">
        <v>2021</v>
      </c>
      <c r="D632" s="405">
        <f t="shared" si="18"/>
        <v>23.77</v>
      </c>
      <c r="F632" s="679">
        <v>23.77</v>
      </c>
      <c r="G632" s="679">
        <v>23.77</v>
      </c>
      <c r="H632" t="b">
        <f t="shared" si="19"/>
        <v>1</v>
      </c>
    </row>
    <row r="633" spans="1:8">
      <c r="A633" s="395">
        <v>20086</v>
      </c>
      <c r="B633" s="406" t="s">
        <v>9376</v>
      </c>
      <c r="C633" s="395" t="s">
        <v>2021</v>
      </c>
      <c r="D633" s="407">
        <f t="shared" si="18"/>
        <v>3.79</v>
      </c>
      <c r="F633" s="680">
        <v>3.79</v>
      </c>
      <c r="G633" s="680">
        <v>3.79</v>
      </c>
      <c r="H633" t="b">
        <f t="shared" si="19"/>
        <v>1</v>
      </c>
    </row>
    <row r="634" spans="1:8">
      <c r="A634" s="396">
        <v>39191</v>
      </c>
      <c r="B634" s="401" t="s">
        <v>9377</v>
      </c>
      <c r="C634" s="396" t="s">
        <v>2021</v>
      </c>
      <c r="D634" s="405">
        <f t="shared" si="18"/>
        <v>19.36</v>
      </c>
      <c r="F634" s="679">
        <v>19.36</v>
      </c>
      <c r="G634" s="679">
        <v>19.36</v>
      </c>
      <c r="H634" t="b">
        <f t="shared" si="19"/>
        <v>1</v>
      </c>
    </row>
    <row r="635" spans="1:8">
      <c r="A635" s="395">
        <v>39190</v>
      </c>
      <c r="B635" s="406" t="s">
        <v>9378</v>
      </c>
      <c r="C635" s="395" t="s">
        <v>2021</v>
      </c>
      <c r="D635" s="407">
        <f t="shared" si="18"/>
        <v>20.23</v>
      </c>
      <c r="F635" s="680">
        <v>20.23</v>
      </c>
      <c r="G635" s="680">
        <v>20.23</v>
      </c>
      <c r="H635" t="b">
        <f t="shared" si="19"/>
        <v>1</v>
      </c>
    </row>
    <row r="636" spans="1:8">
      <c r="A636" s="396">
        <v>39189</v>
      </c>
      <c r="B636" s="401" t="s">
        <v>9379</v>
      </c>
      <c r="C636" s="396" t="s">
        <v>2021</v>
      </c>
      <c r="D636" s="405">
        <f t="shared" si="18"/>
        <v>21.41</v>
      </c>
      <c r="F636" s="679">
        <v>21.41</v>
      </c>
      <c r="G636" s="679">
        <v>21.41</v>
      </c>
      <c r="H636" t="b">
        <f t="shared" si="19"/>
        <v>1</v>
      </c>
    </row>
    <row r="637" spans="1:8">
      <c r="A637" s="395">
        <v>39186</v>
      </c>
      <c r="B637" s="406" t="s">
        <v>9380</v>
      </c>
      <c r="C637" s="395" t="s">
        <v>2021</v>
      </c>
      <c r="D637" s="407">
        <f t="shared" si="18"/>
        <v>19.149999999999999</v>
      </c>
      <c r="F637" s="680">
        <v>19.149999999999999</v>
      </c>
      <c r="G637" s="680">
        <v>19.149999999999999</v>
      </c>
      <c r="H637" t="b">
        <f t="shared" si="19"/>
        <v>1</v>
      </c>
    </row>
    <row r="638" spans="1:8">
      <c r="A638" s="396">
        <v>39188</v>
      </c>
      <c r="B638" s="401" t="s">
        <v>9381</v>
      </c>
      <c r="C638" s="396" t="s">
        <v>2021</v>
      </c>
      <c r="D638" s="405">
        <f t="shared" si="18"/>
        <v>15.76</v>
      </c>
      <c r="F638" s="679">
        <v>15.76</v>
      </c>
      <c r="G638" s="679">
        <v>15.76</v>
      </c>
      <c r="H638" t="b">
        <f t="shared" si="19"/>
        <v>1</v>
      </c>
    </row>
    <row r="639" spans="1:8">
      <c r="A639" s="395">
        <v>39187</v>
      </c>
      <c r="B639" s="406" t="s">
        <v>9382</v>
      </c>
      <c r="C639" s="395" t="s">
        <v>2021</v>
      </c>
      <c r="D639" s="407">
        <f t="shared" si="18"/>
        <v>16.52</v>
      </c>
      <c r="F639" s="680">
        <v>16.52</v>
      </c>
      <c r="G639" s="680">
        <v>16.52</v>
      </c>
      <c r="H639" t="b">
        <f t="shared" si="19"/>
        <v>1</v>
      </c>
    </row>
    <row r="640" spans="1:8">
      <c r="A640" s="396">
        <v>39184</v>
      </c>
      <c r="B640" s="401" t="s">
        <v>9383</v>
      </c>
      <c r="C640" s="396" t="s">
        <v>2021</v>
      </c>
      <c r="D640" s="405">
        <f t="shared" si="18"/>
        <v>6.21</v>
      </c>
      <c r="F640" s="679">
        <v>6.21</v>
      </c>
      <c r="G640" s="679">
        <v>6.21</v>
      </c>
      <c r="H640" t="b">
        <f t="shared" si="19"/>
        <v>1</v>
      </c>
    </row>
    <row r="641" spans="1:8">
      <c r="A641" s="395">
        <v>39185</v>
      </c>
      <c r="B641" s="406" t="s">
        <v>9384</v>
      </c>
      <c r="C641" s="395" t="s">
        <v>2021</v>
      </c>
      <c r="D641" s="407">
        <f t="shared" si="18"/>
        <v>5.66</v>
      </c>
      <c r="F641" s="680">
        <v>5.66</v>
      </c>
      <c r="G641" s="680">
        <v>5.66</v>
      </c>
      <c r="H641" t="b">
        <f t="shared" si="19"/>
        <v>1</v>
      </c>
    </row>
    <row r="642" spans="1:8">
      <c r="A642" s="396">
        <v>39198</v>
      </c>
      <c r="B642" s="401" t="s">
        <v>9385</v>
      </c>
      <c r="C642" s="396" t="s">
        <v>2021</v>
      </c>
      <c r="D642" s="405">
        <f t="shared" si="18"/>
        <v>63.52</v>
      </c>
      <c r="F642" s="679">
        <v>63.52</v>
      </c>
      <c r="G642" s="679">
        <v>63.52</v>
      </c>
      <c r="H642" t="b">
        <f t="shared" si="19"/>
        <v>1</v>
      </c>
    </row>
    <row r="643" spans="1:8">
      <c r="A643" s="395">
        <v>39197</v>
      </c>
      <c r="B643" s="406" t="s">
        <v>9386</v>
      </c>
      <c r="C643" s="395" t="s">
        <v>2021</v>
      </c>
      <c r="D643" s="407">
        <f t="shared" ref="D643:D706" si="20">IF($J$2=$F$1,F643,G643)</f>
        <v>66.36</v>
      </c>
      <c r="F643" s="680">
        <v>66.36</v>
      </c>
      <c r="G643" s="680">
        <v>66.36</v>
      </c>
      <c r="H643" t="b">
        <f t="shared" ref="H643:H706" si="21">F643=G643</f>
        <v>1</v>
      </c>
    </row>
    <row r="644" spans="1:8">
      <c r="A644" s="396">
        <v>39196</v>
      </c>
      <c r="B644" s="401" t="s">
        <v>9387</v>
      </c>
      <c r="C644" s="396" t="s">
        <v>2021</v>
      </c>
      <c r="D644" s="405">
        <f t="shared" si="20"/>
        <v>68.430000000000007</v>
      </c>
      <c r="F644" s="679">
        <v>68.430000000000007</v>
      </c>
      <c r="G644" s="679">
        <v>68.430000000000007</v>
      </c>
      <c r="H644" t="b">
        <f t="shared" si="21"/>
        <v>1</v>
      </c>
    </row>
    <row r="645" spans="1:8">
      <c r="A645" s="395">
        <v>39199</v>
      </c>
      <c r="B645" s="406" t="s">
        <v>9388</v>
      </c>
      <c r="C645" s="395" t="s">
        <v>2021</v>
      </c>
      <c r="D645" s="407">
        <f t="shared" si="20"/>
        <v>61.13</v>
      </c>
      <c r="F645" s="680">
        <v>61.13</v>
      </c>
      <c r="G645" s="680">
        <v>61.13</v>
      </c>
      <c r="H645" t="b">
        <f t="shared" si="21"/>
        <v>1</v>
      </c>
    </row>
    <row r="646" spans="1:8">
      <c r="A646" s="396">
        <v>39195</v>
      </c>
      <c r="B646" s="401" t="s">
        <v>9389</v>
      </c>
      <c r="C646" s="396" t="s">
        <v>2021</v>
      </c>
      <c r="D646" s="405">
        <f t="shared" si="20"/>
        <v>35.28</v>
      </c>
      <c r="F646" s="679">
        <v>35.28</v>
      </c>
      <c r="G646" s="679">
        <v>35.28</v>
      </c>
      <c r="H646" t="b">
        <f t="shared" si="21"/>
        <v>1</v>
      </c>
    </row>
    <row r="647" spans="1:8">
      <c r="A647" s="395">
        <v>39194</v>
      </c>
      <c r="B647" s="406" t="s">
        <v>9390</v>
      </c>
      <c r="C647" s="395" t="s">
        <v>2021</v>
      </c>
      <c r="D647" s="407">
        <f t="shared" si="20"/>
        <v>37.76</v>
      </c>
      <c r="F647" s="680">
        <v>37.76</v>
      </c>
      <c r="G647" s="680">
        <v>37.76</v>
      </c>
      <c r="H647" t="b">
        <f t="shared" si="21"/>
        <v>1</v>
      </c>
    </row>
    <row r="648" spans="1:8">
      <c r="A648" s="396">
        <v>39193</v>
      </c>
      <c r="B648" s="401" t="s">
        <v>9391</v>
      </c>
      <c r="C648" s="396" t="s">
        <v>2021</v>
      </c>
      <c r="D648" s="405">
        <f t="shared" si="20"/>
        <v>41.38</v>
      </c>
      <c r="F648" s="679">
        <v>41.38</v>
      </c>
      <c r="G648" s="679">
        <v>41.38</v>
      </c>
      <c r="H648" t="b">
        <f t="shared" si="21"/>
        <v>1</v>
      </c>
    </row>
    <row r="649" spans="1:8">
      <c r="A649" s="395">
        <v>39192</v>
      </c>
      <c r="B649" s="406" t="s">
        <v>9392</v>
      </c>
      <c r="C649" s="395" t="s">
        <v>2021</v>
      </c>
      <c r="D649" s="407">
        <f t="shared" si="20"/>
        <v>43.05</v>
      </c>
      <c r="F649" s="680">
        <v>43.05</v>
      </c>
      <c r="G649" s="680">
        <v>43.05</v>
      </c>
      <c r="H649" t="b">
        <f t="shared" si="21"/>
        <v>1</v>
      </c>
    </row>
    <row r="650" spans="1:8">
      <c r="A650" s="396">
        <v>39920</v>
      </c>
      <c r="B650" s="401" t="s">
        <v>9393</v>
      </c>
      <c r="C650" s="396" t="s">
        <v>2021</v>
      </c>
      <c r="D650" s="405">
        <f t="shared" si="20"/>
        <v>5.21</v>
      </c>
      <c r="F650" s="679">
        <v>5.21</v>
      </c>
      <c r="G650" s="679">
        <v>5.21</v>
      </c>
      <c r="H650" t="b">
        <f t="shared" si="21"/>
        <v>1</v>
      </c>
    </row>
    <row r="651" spans="1:8">
      <c r="A651" s="395">
        <v>39201</v>
      </c>
      <c r="B651" s="406" t="s">
        <v>9394</v>
      </c>
      <c r="C651" s="395" t="s">
        <v>2021</v>
      </c>
      <c r="D651" s="407">
        <f t="shared" si="20"/>
        <v>75.95</v>
      </c>
      <c r="F651" s="680">
        <v>75.95</v>
      </c>
      <c r="G651" s="680">
        <v>75.95</v>
      </c>
      <c r="H651" t="b">
        <f t="shared" si="21"/>
        <v>1</v>
      </c>
    </row>
    <row r="652" spans="1:8">
      <c r="A652" s="396">
        <v>39200</v>
      </c>
      <c r="B652" s="401" t="s">
        <v>9395</v>
      </c>
      <c r="C652" s="396" t="s">
        <v>2021</v>
      </c>
      <c r="D652" s="405">
        <f t="shared" si="20"/>
        <v>76.56</v>
      </c>
      <c r="F652" s="679">
        <v>76.56</v>
      </c>
      <c r="G652" s="679">
        <v>76.56</v>
      </c>
      <c r="H652" t="b">
        <f t="shared" si="21"/>
        <v>1</v>
      </c>
    </row>
    <row r="653" spans="1:8">
      <c r="A653" s="395">
        <v>39203</v>
      </c>
      <c r="B653" s="406" t="s">
        <v>9396</v>
      </c>
      <c r="C653" s="395" t="s">
        <v>2021</v>
      </c>
      <c r="D653" s="407">
        <f t="shared" si="20"/>
        <v>61.82</v>
      </c>
      <c r="F653" s="680">
        <v>61.82</v>
      </c>
      <c r="G653" s="680">
        <v>61.82</v>
      </c>
      <c r="H653" t="b">
        <f t="shared" si="21"/>
        <v>1</v>
      </c>
    </row>
    <row r="654" spans="1:8">
      <c r="A654" s="396">
        <v>39202</v>
      </c>
      <c r="B654" s="401" t="s">
        <v>9397</v>
      </c>
      <c r="C654" s="396" t="s">
        <v>2021</v>
      </c>
      <c r="D654" s="405">
        <f t="shared" si="20"/>
        <v>72.62</v>
      </c>
      <c r="F654" s="679">
        <v>72.62</v>
      </c>
      <c r="G654" s="679">
        <v>72.62</v>
      </c>
      <c r="H654" t="b">
        <f t="shared" si="21"/>
        <v>1</v>
      </c>
    </row>
    <row r="655" spans="1:8">
      <c r="A655" s="395">
        <v>39205</v>
      </c>
      <c r="B655" s="406" t="s">
        <v>9398</v>
      </c>
      <c r="C655" s="395" t="s">
        <v>2021</v>
      </c>
      <c r="D655" s="407">
        <f t="shared" si="20"/>
        <v>121.15</v>
      </c>
      <c r="F655" s="680">
        <v>121.15</v>
      </c>
      <c r="G655" s="680">
        <v>121.15</v>
      </c>
      <c r="H655" t="b">
        <f t="shared" si="21"/>
        <v>1</v>
      </c>
    </row>
    <row r="656" spans="1:8">
      <c r="A656" s="396">
        <v>39204</v>
      </c>
      <c r="B656" s="401" t="s">
        <v>9399</v>
      </c>
      <c r="C656" s="396" t="s">
        <v>2021</v>
      </c>
      <c r="D656" s="405">
        <f t="shared" si="20"/>
        <v>124.08</v>
      </c>
      <c r="F656" s="679">
        <v>124.08</v>
      </c>
      <c r="G656" s="679">
        <v>124.08</v>
      </c>
      <c r="H656" t="b">
        <f t="shared" si="21"/>
        <v>1</v>
      </c>
    </row>
    <row r="657" spans="1:8">
      <c r="A657" s="395">
        <v>39206</v>
      </c>
      <c r="B657" s="406" t="s">
        <v>9400</v>
      </c>
      <c r="C657" s="395" t="s">
        <v>2021</v>
      </c>
      <c r="D657" s="407">
        <f t="shared" si="20"/>
        <v>117.72</v>
      </c>
      <c r="F657" s="680">
        <v>117.72</v>
      </c>
      <c r="G657" s="680">
        <v>117.72</v>
      </c>
      <c r="H657" t="b">
        <f t="shared" si="21"/>
        <v>1</v>
      </c>
    </row>
    <row r="658" spans="1:8">
      <c r="A658" s="396">
        <v>798</v>
      </c>
      <c r="B658" s="401" t="s">
        <v>9401</v>
      </c>
      <c r="C658" s="396" t="s">
        <v>2021</v>
      </c>
      <c r="D658" s="405">
        <f t="shared" si="20"/>
        <v>1.48</v>
      </c>
      <c r="F658" s="679">
        <v>1.48</v>
      </c>
      <c r="G658" s="679">
        <v>1.48</v>
      </c>
      <c r="H658" t="b">
        <f t="shared" si="21"/>
        <v>1</v>
      </c>
    </row>
    <row r="659" spans="1:8">
      <c r="A659" s="395">
        <v>797</v>
      </c>
      <c r="B659" s="406" t="s">
        <v>9402</v>
      </c>
      <c r="C659" s="395" t="s">
        <v>2021</v>
      </c>
      <c r="D659" s="407">
        <f t="shared" si="20"/>
        <v>10.76</v>
      </c>
      <c r="F659" s="680">
        <v>10.76</v>
      </c>
      <c r="G659" s="680">
        <v>10.76</v>
      </c>
      <c r="H659" t="b">
        <f t="shared" si="21"/>
        <v>1</v>
      </c>
    </row>
    <row r="660" spans="1:8">
      <c r="A660" s="396">
        <v>796</v>
      </c>
      <c r="B660" s="401" t="s">
        <v>9403</v>
      </c>
      <c r="C660" s="396" t="s">
        <v>2021</v>
      </c>
      <c r="D660" s="405">
        <f t="shared" si="20"/>
        <v>9.14</v>
      </c>
      <c r="F660" s="679">
        <v>9.14</v>
      </c>
      <c r="G660" s="679">
        <v>9.14</v>
      </c>
      <c r="H660" t="b">
        <f t="shared" si="21"/>
        <v>1</v>
      </c>
    </row>
    <row r="661" spans="1:8">
      <c r="A661" s="395">
        <v>799</v>
      </c>
      <c r="B661" s="406" t="s">
        <v>9404</v>
      </c>
      <c r="C661" s="395" t="s">
        <v>2021</v>
      </c>
      <c r="D661" s="407">
        <f t="shared" si="20"/>
        <v>4.42</v>
      </c>
      <c r="F661" s="680">
        <v>4.42</v>
      </c>
      <c r="G661" s="680">
        <v>4.42</v>
      </c>
      <c r="H661" t="b">
        <f t="shared" si="21"/>
        <v>1</v>
      </c>
    </row>
    <row r="662" spans="1:8">
      <c r="A662" s="396">
        <v>792</v>
      </c>
      <c r="B662" s="401" t="s">
        <v>9405</v>
      </c>
      <c r="C662" s="396" t="s">
        <v>2021</v>
      </c>
      <c r="D662" s="405">
        <f t="shared" si="20"/>
        <v>4.28</v>
      </c>
      <c r="F662" s="679">
        <v>4.28</v>
      </c>
      <c r="G662" s="679">
        <v>4.28</v>
      </c>
      <c r="H662" t="b">
        <f t="shared" si="21"/>
        <v>1</v>
      </c>
    </row>
    <row r="663" spans="1:8">
      <c r="A663" s="395">
        <v>38001</v>
      </c>
      <c r="B663" s="406" t="s">
        <v>9406</v>
      </c>
      <c r="C663" s="395" t="s">
        <v>2021</v>
      </c>
      <c r="D663" s="407">
        <f t="shared" si="20"/>
        <v>1.1200000000000001</v>
      </c>
      <c r="F663" s="680">
        <v>1.1200000000000001</v>
      </c>
      <c r="G663" s="680">
        <v>1.1200000000000001</v>
      </c>
      <c r="H663" t="b">
        <f t="shared" si="21"/>
        <v>1</v>
      </c>
    </row>
    <row r="664" spans="1:8">
      <c r="A664" s="396">
        <v>38002</v>
      </c>
      <c r="B664" s="401" t="s">
        <v>9407</v>
      </c>
      <c r="C664" s="396" t="s">
        <v>2021</v>
      </c>
      <c r="D664" s="405">
        <f t="shared" si="20"/>
        <v>3.89</v>
      </c>
      <c r="F664" s="679">
        <v>3.89</v>
      </c>
      <c r="G664" s="679">
        <v>3.89</v>
      </c>
      <c r="H664" t="b">
        <f t="shared" si="21"/>
        <v>1</v>
      </c>
    </row>
    <row r="665" spans="1:8">
      <c r="A665" s="395">
        <v>38003</v>
      </c>
      <c r="B665" s="406" t="s">
        <v>9408</v>
      </c>
      <c r="C665" s="395" t="s">
        <v>2021</v>
      </c>
      <c r="D665" s="407">
        <f t="shared" si="20"/>
        <v>26.59</v>
      </c>
      <c r="F665" s="680">
        <v>26.59</v>
      </c>
      <c r="G665" s="680">
        <v>26.59</v>
      </c>
      <c r="H665" t="b">
        <f t="shared" si="21"/>
        <v>1</v>
      </c>
    </row>
    <row r="666" spans="1:8">
      <c r="A666" s="396">
        <v>38004</v>
      </c>
      <c r="B666" s="401" t="s">
        <v>9409</v>
      </c>
      <c r="C666" s="396" t="s">
        <v>2021</v>
      </c>
      <c r="D666" s="405">
        <f t="shared" si="20"/>
        <v>30.58</v>
      </c>
      <c r="F666" s="679">
        <v>30.58</v>
      </c>
      <c r="G666" s="679">
        <v>30.58</v>
      </c>
      <c r="H666" t="b">
        <f t="shared" si="21"/>
        <v>1</v>
      </c>
    </row>
    <row r="667" spans="1:8">
      <c r="A667" s="395">
        <v>44263</v>
      </c>
      <c r="B667" s="406" t="s">
        <v>9410</v>
      </c>
      <c r="C667" s="395" t="s">
        <v>2021</v>
      </c>
      <c r="D667" s="407">
        <f t="shared" si="20"/>
        <v>54.9</v>
      </c>
      <c r="F667" s="680">
        <v>54.9</v>
      </c>
      <c r="G667" s="680">
        <v>54.9</v>
      </c>
      <c r="H667" t="b">
        <f t="shared" si="21"/>
        <v>1</v>
      </c>
    </row>
    <row r="668" spans="1:8">
      <c r="A668" s="396">
        <v>36327</v>
      </c>
      <c r="B668" s="401" t="s">
        <v>9411</v>
      </c>
      <c r="C668" s="396" t="s">
        <v>2021</v>
      </c>
      <c r="D668" s="405">
        <f t="shared" si="20"/>
        <v>3.9</v>
      </c>
      <c r="F668" s="679">
        <v>3.9</v>
      </c>
      <c r="G668" s="679">
        <v>3.9</v>
      </c>
      <c r="H668" t="b">
        <f t="shared" si="21"/>
        <v>1</v>
      </c>
    </row>
    <row r="669" spans="1:8">
      <c r="A669" s="395">
        <v>38992</v>
      </c>
      <c r="B669" s="406" t="s">
        <v>9412</v>
      </c>
      <c r="C669" s="395" t="s">
        <v>2021</v>
      </c>
      <c r="D669" s="407">
        <f t="shared" si="20"/>
        <v>4.74</v>
      </c>
      <c r="F669" s="680">
        <v>4.74</v>
      </c>
      <c r="G669" s="680">
        <v>4.74</v>
      </c>
      <c r="H669" t="b">
        <f t="shared" si="21"/>
        <v>1</v>
      </c>
    </row>
    <row r="670" spans="1:8">
      <c r="A670" s="396">
        <v>38993</v>
      </c>
      <c r="B670" s="401" t="s">
        <v>9413</v>
      </c>
      <c r="C670" s="396" t="s">
        <v>2021</v>
      </c>
      <c r="D670" s="405">
        <f t="shared" si="20"/>
        <v>12.31</v>
      </c>
      <c r="F670" s="679">
        <v>12.31</v>
      </c>
      <c r="G670" s="679">
        <v>12.31</v>
      </c>
      <c r="H670" t="b">
        <f t="shared" si="21"/>
        <v>1</v>
      </c>
    </row>
    <row r="671" spans="1:8">
      <c r="A671" s="395">
        <v>44175</v>
      </c>
      <c r="B671" s="406" t="s">
        <v>9414</v>
      </c>
      <c r="C671" s="395" t="s">
        <v>2021</v>
      </c>
      <c r="D671" s="407">
        <f t="shared" si="20"/>
        <v>21.49</v>
      </c>
      <c r="F671" s="680">
        <v>21.49</v>
      </c>
      <c r="G671" s="680">
        <v>21.49</v>
      </c>
      <c r="H671" t="b">
        <f t="shared" si="21"/>
        <v>1</v>
      </c>
    </row>
    <row r="672" spans="1:8">
      <c r="A672" s="396">
        <v>44177</v>
      </c>
      <c r="B672" s="401" t="s">
        <v>9415</v>
      </c>
      <c r="C672" s="396" t="s">
        <v>2021</v>
      </c>
      <c r="D672" s="405">
        <f t="shared" si="20"/>
        <v>16.05</v>
      </c>
      <c r="F672" s="679">
        <v>16.05</v>
      </c>
      <c r="G672" s="679">
        <v>16.05</v>
      </c>
      <c r="H672" t="b">
        <f t="shared" si="21"/>
        <v>1</v>
      </c>
    </row>
    <row r="673" spans="1:8">
      <c r="A673" s="395">
        <v>38418</v>
      </c>
      <c r="B673" s="406" t="s">
        <v>9416</v>
      </c>
      <c r="C673" s="395" t="s">
        <v>2021</v>
      </c>
      <c r="D673" s="407">
        <f t="shared" si="20"/>
        <v>6.52</v>
      </c>
      <c r="F673" s="680">
        <v>6.52</v>
      </c>
      <c r="G673" s="680">
        <v>6.52</v>
      </c>
      <c r="H673" t="b">
        <f t="shared" si="21"/>
        <v>1</v>
      </c>
    </row>
    <row r="674" spans="1:8">
      <c r="A674" s="396">
        <v>39178</v>
      </c>
      <c r="B674" s="401" t="s">
        <v>9417</v>
      </c>
      <c r="C674" s="396" t="s">
        <v>2021</v>
      </c>
      <c r="D674" s="405">
        <f t="shared" si="20"/>
        <v>2.09</v>
      </c>
      <c r="F674" s="679">
        <v>2.09</v>
      </c>
      <c r="G674" s="679">
        <v>2.09</v>
      </c>
      <c r="H674" t="b">
        <f t="shared" si="21"/>
        <v>1</v>
      </c>
    </row>
    <row r="675" spans="1:8">
      <c r="A675" s="395">
        <v>39177</v>
      </c>
      <c r="B675" s="406" t="s">
        <v>9418</v>
      </c>
      <c r="C675" s="395" t="s">
        <v>2021</v>
      </c>
      <c r="D675" s="407">
        <f t="shared" si="20"/>
        <v>1.89</v>
      </c>
      <c r="F675" s="680">
        <v>1.89</v>
      </c>
      <c r="G675" s="680">
        <v>1.89</v>
      </c>
      <c r="H675" t="b">
        <f t="shared" si="21"/>
        <v>1</v>
      </c>
    </row>
    <row r="676" spans="1:8">
      <c r="A676" s="396">
        <v>39174</v>
      </c>
      <c r="B676" s="401" t="s">
        <v>9419</v>
      </c>
      <c r="C676" s="396" t="s">
        <v>2021</v>
      </c>
      <c r="D676" s="405">
        <f t="shared" si="20"/>
        <v>0.94</v>
      </c>
      <c r="F676" s="679">
        <v>0.94</v>
      </c>
      <c r="G676" s="679">
        <v>0.94</v>
      </c>
      <c r="H676" t="b">
        <f t="shared" si="21"/>
        <v>1</v>
      </c>
    </row>
    <row r="677" spans="1:8">
      <c r="A677" s="395">
        <v>39176</v>
      </c>
      <c r="B677" s="406" t="s">
        <v>9420</v>
      </c>
      <c r="C677" s="395" t="s">
        <v>2021</v>
      </c>
      <c r="D677" s="407">
        <f t="shared" si="20"/>
        <v>1.24</v>
      </c>
      <c r="F677" s="680">
        <v>1.24</v>
      </c>
      <c r="G677" s="680">
        <v>1.24</v>
      </c>
      <c r="H677" t="b">
        <f t="shared" si="21"/>
        <v>1</v>
      </c>
    </row>
    <row r="678" spans="1:8">
      <c r="A678" s="396">
        <v>39180</v>
      </c>
      <c r="B678" s="401" t="s">
        <v>9421</v>
      </c>
      <c r="C678" s="396" t="s">
        <v>2021</v>
      </c>
      <c r="D678" s="405">
        <f t="shared" si="20"/>
        <v>5.69</v>
      </c>
      <c r="F678" s="679">
        <v>5.69</v>
      </c>
      <c r="G678" s="679">
        <v>5.69</v>
      </c>
      <c r="H678" t="b">
        <f t="shared" si="21"/>
        <v>1</v>
      </c>
    </row>
    <row r="679" spans="1:8">
      <c r="A679" s="395">
        <v>39179</v>
      </c>
      <c r="B679" s="406" t="s">
        <v>9422</v>
      </c>
      <c r="C679" s="395" t="s">
        <v>2021</v>
      </c>
      <c r="D679" s="407">
        <f t="shared" si="20"/>
        <v>5.03</v>
      </c>
      <c r="F679" s="680">
        <v>5.03</v>
      </c>
      <c r="G679" s="680">
        <v>5.03</v>
      </c>
      <c r="H679" t="b">
        <f t="shared" si="21"/>
        <v>1</v>
      </c>
    </row>
    <row r="680" spans="1:8">
      <c r="A680" s="396">
        <v>39175</v>
      </c>
      <c r="B680" s="401" t="s">
        <v>9423</v>
      </c>
      <c r="C680" s="396" t="s">
        <v>2021</v>
      </c>
      <c r="D680" s="405">
        <f t="shared" si="20"/>
        <v>1.1499999999999999</v>
      </c>
      <c r="F680" s="679">
        <v>1.1499999999999999</v>
      </c>
      <c r="G680" s="679">
        <v>1.1499999999999999</v>
      </c>
      <c r="H680" t="b">
        <f t="shared" si="21"/>
        <v>1</v>
      </c>
    </row>
    <row r="681" spans="1:8">
      <c r="A681" s="395">
        <v>39217</v>
      </c>
      <c r="B681" s="406" t="s">
        <v>9424</v>
      </c>
      <c r="C681" s="395" t="s">
        <v>2021</v>
      </c>
      <c r="D681" s="407">
        <f t="shared" si="20"/>
        <v>0.89</v>
      </c>
      <c r="F681" s="680">
        <v>0.89</v>
      </c>
      <c r="G681" s="680">
        <v>0.89</v>
      </c>
      <c r="H681" t="b">
        <f t="shared" si="21"/>
        <v>1</v>
      </c>
    </row>
    <row r="682" spans="1:8">
      <c r="A682" s="396">
        <v>39181</v>
      </c>
      <c r="B682" s="401" t="s">
        <v>9425</v>
      </c>
      <c r="C682" s="396" t="s">
        <v>2021</v>
      </c>
      <c r="D682" s="405">
        <f t="shared" si="20"/>
        <v>7.62</v>
      </c>
      <c r="F682" s="679">
        <v>7.62</v>
      </c>
      <c r="G682" s="679">
        <v>7.62</v>
      </c>
      <c r="H682" t="b">
        <f t="shared" si="21"/>
        <v>1</v>
      </c>
    </row>
    <row r="683" spans="1:8">
      <c r="A683" s="395">
        <v>39182</v>
      </c>
      <c r="B683" s="406" t="s">
        <v>9426</v>
      </c>
      <c r="C683" s="395" t="s">
        <v>2021</v>
      </c>
      <c r="D683" s="407">
        <f t="shared" si="20"/>
        <v>10.72</v>
      </c>
      <c r="F683" s="680">
        <v>10.72</v>
      </c>
      <c r="G683" s="680">
        <v>10.72</v>
      </c>
      <c r="H683" t="b">
        <f t="shared" si="21"/>
        <v>1</v>
      </c>
    </row>
    <row r="684" spans="1:8" ht="30">
      <c r="A684" s="396">
        <v>12616</v>
      </c>
      <c r="B684" s="401" t="s">
        <v>9427</v>
      </c>
      <c r="C684" s="396" t="s">
        <v>2021</v>
      </c>
      <c r="D684" s="405">
        <f t="shared" si="20"/>
        <v>20.11</v>
      </c>
      <c r="F684" s="679">
        <v>20.11</v>
      </c>
      <c r="G684" s="679">
        <v>20.11</v>
      </c>
      <c r="H684" t="b">
        <f t="shared" si="21"/>
        <v>1</v>
      </c>
    </row>
    <row r="685" spans="1:8" ht="30">
      <c r="A685" s="395">
        <v>1049</v>
      </c>
      <c r="B685" s="406" t="s">
        <v>9428</v>
      </c>
      <c r="C685" s="395" t="s">
        <v>2021</v>
      </c>
      <c r="D685" s="407">
        <f t="shared" si="20"/>
        <v>8.9700000000000006</v>
      </c>
      <c r="F685" s="680">
        <v>8.9700000000000006</v>
      </c>
      <c r="G685" s="680">
        <v>8.9700000000000006</v>
      </c>
      <c r="H685" t="b">
        <f t="shared" si="21"/>
        <v>1</v>
      </c>
    </row>
    <row r="686" spans="1:8" ht="30">
      <c r="A686" s="396">
        <v>1099</v>
      </c>
      <c r="B686" s="401" t="s">
        <v>9429</v>
      </c>
      <c r="C686" s="396" t="s">
        <v>2021</v>
      </c>
      <c r="D686" s="405">
        <f t="shared" si="20"/>
        <v>6.87</v>
      </c>
      <c r="F686" s="679">
        <v>6.87</v>
      </c>
      <c r="G686" s="679">
        <v>6.87</v>
      </c>
      <c r="H686" t="b">
        <f t="shared" si="21"/>
        <v>1</v>
      </c>
    </row>
    <row r="687" spans="1:8" ht="30">
      <c r="A687" s="395">
        <v>39678</v>
      </c>
      <c r="B687" s="406" t="s">
        <v>9430</v>
      </c>
      <c r="C687" s="395" t="s">
        <v>2021</v>
      </c>
      <c r="D687" s="407">
        <f t="shared" si="20"/>
        <v>2.77</v>
      </c>
      <c r="F687" s="680">
        <v>2.77</v>
      </c>
      <c r="G687" s="680">
        <v>2.77</v>
      </c>
      <c r="H687" t="b">
        <f t="shared" si="21"/>
        <v>1</v>
      </c>
    </row>
    <row r="688" spans="1:8" ht="30">
      <c r="A688" s="396">
        <v>1050</v>
      </c>
      <c r="B688" s="401" t="s">
        <v>9431</v>
      </c>
      <c r="C688" s="396" t="s">
        <v>2021</v>
      </c>
      <c r="D688" s="405">
        <f t="shared" si="20"/>
        <v>4.6900000000000004</v>
      </c>
      <c r="F688" s="679">
        <v>4.6900000000000004</v>
      </c>
      <c r="G688" s="679">
        <v>4.6900000000000004</v>
      </c>
      <c r="H688" t="b">
        <f t="shared" si="21"/>
        <v>1</v>
      </c>
    </row>
    <row r="689" spans="1:8" ht="30">
      <c r="A689" s="395">
        <v>1101</v>
      </c>
      <c r="B689" s="406" t="s">
        <v>9432</v>
      </c>
      <c r="C689" s="395" t="s">
        <v>2021</v>
      </c>
      <c r="D689" s="407">
        <f t="shared" si="20"/>
        <v>29.6</v>
      </c>
      <c r="F689" s="680">
        <v>29.6</v>
      </c>
      <c r="G689" s="680">
        <v>29.6</v>
      </c>
      <c r="H689" t="b">
        <f t="shared" si="21"/>
        <v>1</v>
      </c>
    </row>
    <row r="690" spans="1:8" ht="30">
      <c r="A690" s="396">
        <v>1100</v>
      </c>
      <c r="B690" s="401" t="s">
        <v>9433</v>
      </c>
      <c r="C690" s="396" t="s">
        <v>2021</v>
      </c>
      <c r="D690" s="405">
        <f t="shared" si="20"/>
        <v>15.27</v>
      </c>
      <c r="F690" s="679">
        <v>15.27</v>
      </c>
      <c r="G690" s="679">
        <v>15.27</v>
      </c>
      <c r="H690" t="b">
        <f t="shared" si="21"/>
        <v>1</v>
      </c>
    </row>
    <row r="691" spans="1:8" ht="30">
      <c r="A691" s="395">
        <v>39679</v>
      </c>
      <c r="B691" s="406" t="s">
        <v>9434</v>
      </c>
      <c r="C691" s="395" t="s">
        <v>2021</v>
      </c>
      <c r="D691" s="407">
        <f t="shared" si="20"/>
        <v>59</v>
      </c>
      <c r="F691" s="680">
        <v>59</v>
      </c>
      <c r="G691" s="680">
        <v>59</v>
      </c>
      <c r="H691" t="b">
        <f t="shared" si="21"/>
        <v>1</v>
      </c>
    </row>
    <row r="692" spans="1:8" ht="30">
      <c r="A692" s="396">
        <v>1098</v>
      </c>
      <c r="B692" s="401" t="s">
        <v>9435</v>
      </c>
      <c r="C692" s="396" t="s">
        <v>2021</v>
      </c>
      <c r="D692" s="405">
        <f t="shared" si="20"/>
        <v>3.66</v>
      </c>
      <c r="F692" s="679">
        <v>3.66</v>
      </c>
      <c r="G692" s="679">
        <v>3.66</v>
      </c>
      <c r="H692" t="b">
        <f t="shared" si="21"/>
        <v>1</v>
      </c>
    </row>
    <row r="693" spans="1:8" ht="30">
      <c r="A693" s="395">
        <v>1102</v>
      </c>
      <c r="B693" s="406" t="s">
        <v>9436</v>
      </c>
      <c r="C693" s="395" t="s">
        <v>2021</v>
      </c>
      <c r="D693" s="407">
        <f t="shared" si="20"/>
        <v>44.15</v>
      </c>
      <c r="F693" s="680">
        <v>44.15</v>
      </c>
      <c r="G693" s="680">
        <v>44.15</v>
      </c>
      <c r="H693" t="b">
        <f t="shared" si="21"/>
        <v>1</v>
      </c>
    </row>
    <row r="694" spans="1:8" ht="30">
      <c r="A694" s="396">
        <v>1051</v>
      </c>
      <c r="B694" s="401" t="s">
        <v>9437</v>
      </c>
      <c r="C694" s="396" t="s">
        <v>2021</v>
      </c>
      <c r="D694" s="405">
        <f t="shared" si="20"/>
        <v>64.17</v>
      </c>
      <c r="F694" s="679">
        <v>64.17</v>
      </c>
      <c r="G694" s="679">
        <v>64.17</v>
      </c>
      <c r="H694" t="b">
        <f t="shared" si="21"/>
        <v>1</v>
      </c>
    </row>
    <row r="695" spans="1:8">
      <c r="A695" s="395">
        <v>37399</v>
      </c>
      <c r="B695" s="406" t="s">
        <v>9438</v>
      </c>
      <c r="C695" s="395" t="s">
        <v>2021</v>
      </c>
      <c r="D695" s="407">
        <f t="shared" si="20"/>
        <v>25.1</v>
      </c>
      <c r="F695" s="680">
        <v>25.1</v>
      </c>
      <c r="G695" s="680">
        <v>25.1</v>
      </c>
      <c r="H695" t="b">
        <f t="shared" si="21"/>
        <v>1</v>
      </c>
    </row>
    <row r="696" spans="1:8">
      <c r="A696" s="396">
        <v>43834</v>
      </c>
      <c r="B696" s="401" t="s">
        <v>9439</v>
      </c>
      <c r="C696" s="396" t="s">
        <v>2024</v>
      </c>
      <c r="D696" s="405">
        <f t="shared" si="20"/>
        <v>17.010000000000002</v>
      </c>
      <c r="F696" s="679">
        <v>17.010000000000002</v>
      </c>
      <c r="G696" s="679">
        <v>17.010000000000002</v>
      </c>
      <c r="H696" t="b">
        <f t="shared" si="21"/>
        <v>1</v>
      </c>
    </row>
    <row r="697" spans="1:8">
      <c r="A697" s="395">
        <v>43835</v>
      </c>
      <c r="B697" s="406" t="s">
        <v>9440</v>
      </c>
      <c r="C697" s="395" t="s">
        <v>2024</v>
      </c>
      <c r="D697" s="407">
        <f t="shared" si="20"/>
        <v>1.52</v>
      </c>
      <c r="F697" s="680">
        <v>1.52</v>
      </c>
      <c r="G697" s="680">
        <v>1.52</v>
      </c>
      <c r="H697" t="b">
        <f t="shared" si="21"/>
        <v>1</v>
      </c>
    </row>
    <row r="698" spans="1:8">
      <c r="A698" s="396">
        <v>43833</v>
      </c>
      <c r="B698" s="401" t="s">
        <v>9441</v>
      </c>
      <c r="C698" s="396" t="s">
        <v>2024</v>
      </c>
      <c r="D698" s="405">
        <f t="shared" si="20"/>
        <v>1.58</v>
      </c>
      <c r="F698" s="679">
        <v>1.58</v>
      </c>
      <c r="G698" s="679">
        <v>1.58</v>
      </c>
      <c r="H698" t="b">
        <f t="shared" si="21"/>
        <v>1</v>
      </c>
    </row>
    <row r="699" spans="1:8">
      <c r="A699" s="395">
        <v>41955</v>
      </c>
      <c r="B699" s="406" t="s">
        <v>9442</v>
      </c>
      <c r="C699" s="395" t="s">
        <v>2025</v>
      </c>
      <c r="D699" s="407">
        <f t="shared" si="20"/>
        <v>83.6</v>
      </c>
      <c r="F699" s="680">
        <v>83.6</v>
      </c>
      <c r="G699" s="680">
        <v>83.6</v>
      </c>
      <c r="H699" t="b">
        <f t="shared" si="21"/>
        <v>1</v>
      </c>
    </row>
    <row r="700" spans="1:8">
      <c r="A700" s="396">
        <v>41953</v>
      </c>
      <c r="B700" s="401" t="s">
        <v>9443</v>
      </c>
      <c r="C700" s="396" t="s">
        <v>2025</v>
      </c>
      <c r="D700" s="405">
        <f t="shared" si="20"/>
        <v>79.78</v>
      </c>
      <c r="F700" s="679">
        <v>79.78</v>
      </c>
      <c r="G700" s="679">
        <v>79.78</v>
      </c>
      <c r="H700" t="b">
        <f t="shared" si="21"/>
        <v>1</v>
      </c>
    </row>
    <row r="701" spans="1:8">
      <c r="A701" s="395">
        <v>41954</v>
      </c>
      <c r="B701" s="406" t="s">
        <v>9444</v>
      </c>
      <c r="C701" s="395" t="s">
        <v>2025</v>
      </c>
      <c r="D701" s="407">
        <f t="shared" si="20"/>
        <v>79.03</v>
      </c>
      <c r="F701" s="680">
        <v>79.03</v>
      </c>
      <c r="G701" s="680">
        <v>79.03</v>
      </c>
      <c r="H701" t="b">
        <f t="shared" si="21"/>
        <v>1</v>
      </c>
    </row>
    <row r="702" spans="1:8">
      <c r="A702" s="396">
        <v>25004</v>
      </c>
      <c r="B702" s="401" t="s">
        <v>9445</v>
      </c>
      <c r="C702" s="396" t="s">
        <v>2025</v>
      </c>
      <c r="D702" s="405">
        <f t="shared" si="20"/>
        <v>47</v>
      </c>
      <c r="F702" s="679">
        <v>47</v>
      </c>
      <c r="G702" s="679">
        <v>47</v>
      </c>
      <c r="H702" t="b">
        <f t="shared" si="21"/>
        <v>1</v>
      </c>
    </row>
    <row r="703" spans="1:8">
      <c r="A703" s="395">
        <v>25002</v>
      </c>
      <c r="B703" s="406" t="s">
        <v>9446</v>
      </c>
      <c r="C703" s="395" t="s">
        <v>2025</v>
      </c>
      <c r="D703" s="407">
        <f t="shared" si="20"/>
        <v>47</v>
      </c>
      <c r="F703" s="680">
        <v>47</v>
      </c>
      <c r="G703" s="680">
        <v>47</v>
      </c>
      <c r="H703" t="b">
        <f t="shared" si="21"/>
        <v>1</v>
      </c>
    </row>
    <row r="704" spans="1:8">
      <c r="A704" s="396">
        <v>37409</v>
      </c>
      <c r="B704" s="401" t="s">
        <v>9447</v>
      </c>
      <c r="C704" s="396" t="s">
        <v>2025</v>
      </c>
      <c r="D704" s="405">
        <f t="shared" si="20"/>
        <v>47</v>
      </c>
      <c r="F704" s="679">
        <v>47</v>
      </c>
      <c r="G704" s="679">
        <v>47</v>
      </c>
      <c r="H704" t="b">
        <f t="shared" si="21"/>
        <v>1</v>
      </c>
    </row>
    <row r="705" spans="1:8">
      <c r="A705" s="395">
        <v>841</v>
      </c>
      <c r="B705" s="406" t="s">
        <v>9448</v>
      </c>
      <c r="C705" s="395" t="s">
        <v>2025</v>
      </c>
      <c r="D705" s="407">
        <f t="shared" si="20"/>
        <v>47.58</v>
      </c>
      <c r="F705" s="680">
        <v>47.58</v>
      </c>
      <c r="G705" s="680">
        <v>47.58</v>
      </c>
      <c r="H705" t="b">
        <f t="shared" si="21"/>
        <v>1</v>
      </c>
    </row>
    <row r="706" spans="1:8">
      <c r="A706" s="396">
        <v>25005</v>
      </c>
      <c r="B706" s="401" t="s">
        <v>9449</v>
      </c>
      <c r="C706" s="396" t="s">
        <v>2025</v>
      </c>
      <c r="D706" s="405">
        <f t="shared" si="20"/>
        <v>51.58</v>
      </c>
      <c r="F706" s="679">
        <v>51.58</v>
      </c>
      <c r="G706" s="679">
        <v>51.58</v>
      </c>
      <c r="H706" t="b">
        <f t="shared" si="21"/>
        <v>1</v>
      </c>
    </row>
    <row r="707" spans="1:8">
      <c r="A707" s="395">
        <v>25003</v>
      </c>
      <c r="B707" s="406" t="s">
        <v>9450</v>
      </c>
      <c r="C707" s="395" t="s">
        <v>2025</v>
      </c>
      <c r="D707" s="407">
        <f t="shared" ref="D707:D770" si="22">IF($J$2=$F$1,F707,G707)</f>
        <v>52.36</v>
      </c>
      <c r="F707" s="680">
        <v>52.36</v>
      </c>
      <c r="G707" s="680">
        <v>52.36</v>
      </c>
      <c r="H707" t="b">
        <f t="shared" ref="H707:H770" si="23">F707=G707</f>
        <v>1</v>
      </c>
    </row>
    <row r="708" spans="1:8">
      <c r="A708" s="396">
        <v>37410</v>
      </c>
      <c r="B708" s="401" t="s">
        <v>9451</v>
      </c>
      <c r="C708" s="396" t="s">
        <v>2025</v>
      </c>
      <c r="D708" s="405">
        <f t="shared" si="22"/>
        <v>51.58</v>
      </c>
      <c r="F708" s="679">
        <v>51.58</v>
      </c>
      <c r="G708" s="679">
        <v>51.58</v>
      </c>
      <c r="H708" t="b">
        <f t="shared" si="23"/>
        <v>1</v>
      </c>
    </row>
    <row r="709" spans="1:8">
      <c r="A709" s="395">
        <v>842</v>
      </c>
      <c r="B709" s="406" t="s">
        <v>9452</v>
      </c>
      <c r="C709" s="395" t="s">
        <v>2025</v>
      </c>
      <c r="D709" s="407">
        <f t="shared" si="22"/>
        <v>52.31</v>
      </c>
      <c r="F709" s="680">
        <v>52.31</v>
      </c>
      <c r="G709" s="680">
        <v>52.31</v>
      </c>
      <c r="H709" t="b">
        <f t="shared" si="23"/>
        <v>1</v>
      </c>
    </row>
    <row r="710" spans="1:8">
      <c r="A710" s="396">
        <v>44391</v>
      </c>
      <c r="B710" s="401" t="s">
        <v>9453</v>
      </c>
      <c r="C710" s="396" t="s">
        <v>2024</v>
      </c>
      <c r="D710" s="405">
        <f t="shared" si="22"/>
        <v>111.47</v>
      </c>
      <c r="F710" s="679">
        <v>111.47</v>
      </c>
      <c r="G710" s="679">
        <v>111.47</v>
      </c>
      <c r="H710" t="b">
        <f t="shared" si="23"/>
        <v>1</v>
      </c>
    </row>
    <row r="711" spans="1:8">
      <c r="A711" s="395">
        <v>44388</v>
      </c>
      <c r="B711" s="406" t="s">
        <v>9454</v>
      </c>
      <c r="C711" s="395" t="s">
        <v>2024</v>
      </c>
      <c r="D711" s="407">
        <f t="shared" si="22"/>
        <v>2.41</v>
      </c>
      <c r="F711" s="680">
        <v>2.41</v>
      </c>
      <c r="G711" s="680">
        <v>2.41</v>
      </c>
      <c r="H711" t="b">
        <f t="shared" si="23"/>
        <v>1</v>
      </c>
    </row>
    <row r="712" spans="1:8">
      <c r="A712" s="396">
        <v>44392</v>
      </c>
      <c r="B712" s="401" t="s">
        <v>9455</v>
      </c>
      <c r="C712" s="396" t="s">
        <v>2024</v>
      </c>
      <c r="D712" s="405">
        <f t="shared" si="22"/>
        <v>221.95</v>
      </c>
      <c r="F712" s="679">
        <v>221.95</v>
      </c>
      <c r="G712" s="679">
        <v>221.95</v>
      </c>
      <c r="H712" t="b">
        <f t="shared" si="23"/>
        <v>1</v>
      </c>
    </row>
    <row r="713" spans="1:8">
      <c r="A713" s="395">
        <v>44390</v>
      </c>
      <c r="B713" s="406" t="s">
        <v>9456</v>
      </c>
      <c r="C713" s="395" t="s">
        <v>2024</v>
      </c>
      <c r="D713" s="407">
        <f t="shared" si="22"/>
        <v>47.03</v>
      </c>
      <c r="F713" s="680">
        <v>47.03</v>
      </c>
      <c r="G713" s="680">
        <v>47.03</v>
      </c>
      <c r="H713" t="b">
        <f t="shared" si="23"/>
        <v>1</v>
      </c>
    </row>
    <row r="714" spans="1:8">
      <c r="A714" s="396">
        <v>44389</v>
      </c>
      <c r="B714" s="401" t="s">
        <v>9457</v>
      </c>
      <c r="C714" s="396" t="s">
        <v>2024</v>
      </c>
      <c r="D714" s="405">
        <f t="shared" si="22"/>
        <v>5.55</v>
      </c>
      <c r="F714" s="679">
        <v>5.55</v>
      </c>
      <c r="G714" s="679">
        <v>5.55</v>
      </c>
      <c r="H714" t="b">
        <f t="shared" si="23"/>
        <v>1</v>
      </c>
    </row>
    <row r="715" spans="1:8">
      <c r="A715" s="395">
        <v>862</v>
      </c>
      <c r="B715" s="406" t="s">
        <v>9458</v>
      </c>
      <c r="C715" s="395" t="s">
        <v>2024</v>
      </c>
      <c r="D715" s="407">
        <f t="shared" si="22"/>
        <v>10.17</v>
      </c>
      <c r="F715" s="680">
        <v>10.17</v>
      </c>
      <c r="G715" s="680">
        <v>10.17</v>
      </c>
      <c r="H715" t="b">
        <f t="shared" si="23"/>
        <v>1</v>
      </c>
    </row>
    <row r="716" spans="1:8">
      <c r="A716" s="396">
        <v>866</v>
      </c>
      <c r="B716" s="401" t="s">
        <v>9459</v>
      </c>
      <c r="C716" s="396" t="s">
        <v>2024</v>
      </c>
      <c r="D716" s="405">
        <f t="shared" si="22"/>
        <v>129.24</v>
      </c>
      <c r="F716" s="679">
        <v>129.24</v>
      </c>
      <c r="G716" s="679">
        <v>129.24</v>
      </c>
      <c r="H716" t="b">
        <f t="shared" si="23"/>
        <v>1</v>
      </c>
    </row>
    <row r="717" spans="1:8">
      <c r="A717" s="395">
        <v>892</v>
      </c>
      <c r="B717" s="406" t="s">
        <v>9460</v>
      </c>
      <c r="C717" s="395" t="s">
        <v>2024</v>
      </c>
      <c r="D717" s="407">
        <f t="shared" si="22"/>
        <v>156.44999999999999</v>
      </c>
      <c r="F717" s="680">
        <v>156.44999999999999</v>
      </c>
      <c r="G717" s="680">
        <v>156.44999999999999</v>
      </c>
      <c r="H717" t="b">
        <f t="shared" si="23"/>
        <v>1</v>
      </c>
    </row>
    <row r="718" spans="1:8">
      <c r="A718" s="396">
        <v>857</v>
      </c>
      <c r="B718" s="401" t="s">
        <v>9461</v>
      </c>
      <c r="C718" s="396" t="s">
        <v>2024</v>
      </c>
      <c r="D718" s="405">
        <f t="shared" si="22"/>
        <v>17.010000000000002</v>
      </c>
      <c r="F718" s="679">
        <v>17.010000000000002</v>
      </c>
      <c r="G718" s="679">
        <v>17.010000000000002</v>
      </c>
      <c r="H718" t="b">
        <f t="shared" si="23"/>
        <v>1</v>
      </c>
    </row>
    <row r="719" spans="1:8">
      <c r="A719" s="395">
        <v>37404</v>
      </c>
      <c r="B719" s="406" t="s">
        <v>9462</v>
      </c>
      <c r="C719" s="395" t="s">
        <v>2024</v>
      </c>
      <c r="D719" s="407">
        <f t="shared" si="22"/>
        <v>181.01</v>
      </c>
      <c r="F719" s="680">
        <v>181.01</v>
      </c>
      <c r="G719" s="680">
        <v>181.01</v>
      </c>
      <c r="H719" t="b">
        <f t="shared" si="23"/>
        <v>1</v>
      </c>
    </row>
    <row r="720" spans="1:8">
      <c r="A720" s="396">
        <v>868</v>
      </c>
      <c r="B720" s="401" t="s">
        <v>9463</v>
      </c>
      <c r="C720" s="396" t="s">
        <v>2024</v>
      </c>
      <c r="D720" s="405">
        <f t="shared" si="22"/>
        <v>24.25</v>
      </c>
      <c r="F720" s="679">
        <v>24.25</v>
      </c>
      <c r="G720" s="679">
        <v>24.25</v>
      </c>
      <c r="H720" t="b">
        <f t="shared" si="23"/>
        <v>1</v>
      </c>
    </row>
    <row r="721" spans="1:8">
      <c r="A721" s="395">
        <v>863</v>
      </c>
      <c r="B721" s="406" t="s">
        <v>9464</v>
      </c>
      <c r="C721" s="395" t="s">
        <v>2024</v>
      </c>
      <c r="D721" s="407">
        <f t="shared" si="22"/>
        <v>35.71</v>
      </c>
      <c r="F721" s="680">
        <v>35.71</v>
      </c>
      <c r="G721" s="680">
        <v>35.71</v>
      </c>
      <c r="H721" t="b">
        <f t="shared" si="23"/>
        <v>1</v>
      </c>
    </row>
    <row r="722" spans="1:8">
      <c r="A722" s="396">
        <v>867</v>
      </c>
      <c r="B722" s="401" t="s">
        <v>9465</v>
      </c>
      <c r="C722" s="396" t="s">
        <v>2024</v>
      </c>
      <c r="D722" s="405">
        <f t="shared" si="22"/>
        <v>50.87</v>
      </c>
      <c r="F722" s="679">
        <v>50.87</v>
      </c>
      <c r="G722" s="679">
        <v>50.87</v>
      </c>
      <c r="H722" t="b">
        <f t="shared" si="23"/>
        <v>1</v>
      </c>
    </row>
    <row r="723" spans="1:8">
      <c r="A723" s="395">
        <v>864</v>
      </c>
      <c r="B723" s="406" t="s">
        <v>9466</v>
      </c>
      <c r="C723" s="395" t="s">
        <v>2024</v>
      </c>
      <c r="D723" s="407">
        <f t="shared" si="22"/>
        <v>67.2</v>
      </c>
      <c r="F723" s="680">
        <v>67.2</v>
      </c>
      <c r="G723" s="680">
        <v>67.2</v>
      </c>
      <c r="H723" t="b">
        <f t="shared" si="23"/>
        <v>1</v>
      </c>
    </row>
    <row r="724" spans="1:8">
      <c r="A724" s="396">
        <v>865</v>
      </c>
      <c r="B724" s="401" t="s">
        <v>9467</v>
      </c>
      <c r="C724" s="396" t="s">
        <v>2024</v>
      </c>
      <c r="D724" s="405">
        <f t="shared" si="22"/>
        <v>96.66</v>
      </c>
      <c r="F724" s="679">
        <v>96.66</v>
      </c>
      <c r="G724" s="679">
        <v>96.66</v>
      </c>
      <c r="H724" t="b">
        <f t="shared" si="23"/>
        <v>1</v>
      </c>
    </row>
    <row r="725" spans="1:8" ht="30">
      <c r="A725" s="395">
        <v>993</v>
      </c>
      <c r="B725" s="406" t="s">
        <v>9468</v>
      </c>
      <c r="C725" s="395" t="s">
        <v>2024</v>
      </c>
      <c r="D725" s="407">
        <f t="shared" si="22"/>
        <v>1.84</v>
      </c>
      <c r="F725" s="680">
        <v>1.84</v>
      </c>
      <c r="G725" s="680">
        <v>1.84</v>
      </c>
      <c r="H725" t="b">
        <f t="shared" si="23"/>
        <v>1</v>
      </c>
    </row>
    <row r="726" spans="1:8" ht="30">
      <c r="A726" s="396">
        <v>1020</v>
      </c>
      <c r="B726" s="401" t="s">
        <v>9469</v>
      </c>
      <c r="C726" s="396" t="s">
        <v>2024</v>
      </c>
      <c r="D726" s="405">
        <f t="shared" si="22"/>
        <v>9.3800000000000008</v>
      </c>
      <c r="F726" s="679">
        <v>9.3800000000000008</v>
      </c>
      <c r="G726" s="679">
        <v>9.3800000000000008</v>
      </c>
      <c r="H726" t="b">
        <f t="shared" si="23"/>
        <v>1</v>
      </c>
    </row>
    <row r="727" spans="1:8" ht="30">
      <c r="A727" s="395">
        <v>1017</v>
      </c>
      <c r="B727" s="406" t="s">
        <v>9470</v>
      </c>
      <c r="C727" s="395" t="s">
        <v>2024</v>
      </c>
      <c r="D727" s="407">
        <f t="shared" si="22"/>
        <v>114.93</v>
      </c>
      <c r="F727" s="680">
        <v>114.93</v>
      </c>
      <c r="G727" s="680">
        <v>114.93</v>
      </c>
      <c r="H727" t="b">
        <f t="shared" si="23"/>
        <v>1</v>
      </c>
    </row>
    <row r="728" spans="1:8" ht="30">
      <c r="A728" s="396">
        <v>999</v>
      </c>
      <c r="B728" s="401" t="s">
        <v>9471</v>
      </c>
      <c r="C728" s="396" t="s">
        <v>2024</v>
      </c>
      <c r="D728" s="405">
        <f t="shared" si="22"/>
        <v>139.24</v>
      </c>
      <c r="F728" s="679">
        <v>139.24</v>
      </c>
      <c r="G728" s="679">
        <v>139.24</v>
      </c>
      <c r="H728" t="b">
        <f t="shared" si="23"/>
        <v>1</v>
      </c>
    </row>
    <row r="729" spans="1:8" ht="30">
      <c r="A729" s="395">
        <v>995</v>
      </c>
      <c r="B729" s="406" t="s">
        <v>9472</v>
      </c>
      <c r="C729" s="395" t="s">
        <v>2024</v>
      </c>
      <c r="D729" s="407">
        <f t="shared" si="22"/>
        <v>14.93</v>
      </c>
      <c r="F729" s="680">
        <v>14.93</v>
      </c>
      <c r="G729" s="680">
        <v>14.93</v>
      </c>
      <c r="H729" t="b">
        <f t="shared" si="23"/>
        <v>1</v>
      </c>
    </row>
    <row r="730" spans="1:8" ht="30">
      <c r="A730" s="396">
        <v>1000</v>
      </c>
      <c r="B730" s="401" t="s">
        <v>9473</v>
      </c>
      <c r="C730" s="396" t="s">
        <v>2024</v>
      </c>
      <c r="D730" s="405">
        <f t="shared" si="22"/>
        <v>171.03</v>
      </c>
      <c r="F730" s="679">
        <v>171.03</v>
      </c>
      <c r="G730" s="679">
        <v>171.03</v>
      </c>
      <c r="H730" t="b">
        <f t="shared" si="23"/>
        <v>1</v>
      </c>
    </row>
    <row r="731" spans="1:8" ht="30">
      <c r="A731" s="395">
        <v>1022</v>
      </c>
      <c r="B731" s="406" t="s">
        <v>9474</v>
      </c>
      <c r="C731" s="395" t="s">
        <v>2024</v>
      </c>
      <c r="D731" s="407">
        <f t="shared" si="22"/>
        <v>2.56</v>
      </c>
      <c r="F731" s="680">
        <v>2.56</v>
      </c>
      <c r="G731" s="680">
        <v>2.56</v>
      </c>
      <c r="H731" t="b">
        <f t="shared" si="23"/>
        <v>1</v>
      </c>
    </row>
    <row r="732" spans="1:8" ht="30">
      <c r="A732" s="396">
        <v>1015</v>
      </c>
      <c r="B732" s="401" t="s">
        <v>9475</v>
      </c>
      <c r="C732" s="396" t="s">
        <v>2024</v>
      </c>
      <c r="D732" s="405">
        <f t="shared" si="22"/>
        <v>227.27</v>
      </c>
      <c r="F732" s="679">
        <v>227.27</v>
      </c>
      <c r="G732" s="679">
        <v>227.27</v>
      </c>
      <c r="H732" t="b">
        <f t="shared" si="23"/>
        <v>1</v>
      </c>
    </row>
    <row r="733" spans="1:8" ht="30">
      <c r="A733" s="395">
        <v>996</v>
      </c>
      <c r="B733" s="406" t="s">
        <v>9476</v>
      </c>
      <c r="C733" s="395" t="s">
        <v>2024</v>
      </c>
      <c r="D733" s="407">
        <f t="shared" si="22"/>
        <v>23.15</v>
      </c>
      <c r="F733" s="680">
        <v>23.15</v>
      </c>
      <c r="G733" s="680">
        <v>23.15</v>
      </c>
      <c r="H733" t="b">
        <f t="shared" si="23"/>
        <v>1</v>
      </c>
    </row>
    <row r="734" spans="1:8" ht="30">
      <c r="A734" s="396">
        <v>1001</v>
      </c>
      <c r="B734" s="401" t="s">
        <v>9477</v>
      </c>
      <c r="C734" s="396" t="s">
        <v>2024</v>
      </c>
      <c r="D734" s="405">
        <f t="shared" si="22"/>
        <v>294.88</v>
      </c>
      <c r="F734" s="679">
        <v>294.88</v>
      </c>
      <c r="G734" s="679">
        <v>294.88</v>
      </c>
      <c r="H734" t="b">
        <f t="shared" si="23"/>
        <v>1</v>
      </c>
    </row>
    <row r="735" spans="1:8" ht="30">
      <c r="A735" s="395">
        <v>1019</v>
      </c>
      <c r="B735" s="406" t="s">
        <v>9478</v>
      </c>
      <c r="C735" s="395" t="s">
        <v>2024</v>
      </c>
      <c r="D735" s="407">
        <f t="shared" si="22"/>
        <v>32.72</v>
      </c>
      <c r="F735" s="680">
        <v>32.72</v>
      </c>
      <c r="G735" s="680">
        <v>32.72</v>
      </c>
      <c r="H735" t="b">
        <f t="shared" si="23"/>
        <v>1</v>
      </c>
    </row>
    <row r="736" spans="1:8" ht="30">
      <c r="A736" s="396">
        <v>1021</v>
      </c>
      <c r="B736" s="401" t="s">
        <v>9479</v>
      </c>
      <c r="C736" s="396" t="s">
        <v>2024</v>
      </c>
      <c r="D736" s="405">
        <f t="shared" si="22"/>
        <v>3.93</v>
      </c>
      <c r="F736" s="679">
        <v>3.93</v>
      </c>
      <c r="G736" s="679">
        <v>3.93</v>
      </c>
      <c r="H736" t="b">
        <f t="shared" si="23"/>
        <v>1</v>
      </c>
    </row>
    <row r="737" spans="1:8" ht="30">
      <c r="A737" s="395">
        <v>39249</v>
      </c>
      <c r="B737" s="406" t="s">
        <v>9480</v>
      </c>
      <c r="C737" s="395" t="s">
        <v>2024</v>
      </c>
      <c r="D737" s="407">
        <f t="shared" si="22"/>
        <v>396.49</v>
      </c>
      <c r="F737" s="680">
        <v>396.49</v>
      </c>
      <c r="G737" s="680">
        <v>396.49</v>
      </c>
      <c r="H737" t="b">
        <f t="shared" si="23"/>
        <v>1</v>
      </c>
    </row>
    <row r="738" spans="1:8" ht="30">
      <c r="A738" s="396">
        <v>1018</v>
      </c>
      <c r="B738" s="401" t="s">
        <v>9481</v>
      </c>
      <c r="C738" s="396" t="s">
        <v>2024</v>
      </c>
      <c r="D738" s="405">
        <f t="shared" si="22"/>
        <v>48.39</v>
      </c>
      <c r="F738" s="679">
        <v>48.39</v>
      </c>
      <c r="G738" s="679">
        <v>48.39</v>
      </c>
      <c r="H738" t="b">
        <f t="shared" si="23"/>
        <v>1</v>
      </c>
    </row>
    <row r="739" spans="1:8" ht="30">
      <c r="A739" s="395">
        <v>39250</v>
      </c>
      <c r="B739" s="406" t="s">
        <v>9482</v>
      </c>
      <c r="C739" s="395" t="s">
        <v>2024</v>
      </c>
      <c r="D739" s="407">
        <f t="shared" si="22"/>
        <v>474.29</v>
      </c>
      <c r="F739" s="680">
        <v>474.29</v>
      </c>
      <c r="G739" s="680">
        <v>474.29</v>
      </c>
      <c r="H739" t="b">
        <f t="shared" si="23"/>
        <v>1</v>
      </c>
    </row>
    <row r="740" spans="1:8" ht="30">
      <c r="A740" s="396">
        <v>994</v>
      </c>
      <c r="B740" s="401" t="s">
        <v>9483</v>
      </c>
      <c r="C740" s="396" t="s">
        <v>2024</v>
      </c>
      <c r="D740" s="405">
        <f t="shared" si="22"/>
        <v>5.72</v>
      </c>
      <c r="F740" s="679">
        <v>5.72</v>
      </c>
      <c r="G740" s="679">
        <v>5.72</v>
      </c>
      <c r="H740" t="b">
        <f t="shared" si="23"/>
        <v>1</v>
      </c>
    </row>
    <row r="741" spans="1:8" ht="30">
      <c r="A741" s="395">
        <v>977</v>
      </c>
      <c r="B741" s="406" t="s">
        <v>9484</v>
      </c>
      <c r="C741" s="395" t="s">
        <v>2024</v>
      </c>
      <c r="D741" s="407">
        <f t="shared" si="22"/>
        <v>67.69</v>
      </c>
      <c r="F741" s="680">
        <v>67.69</v>
      </c>
      <c r="G741" s="680">
        <v>67.69</v>
      </c>
      <c r="H741" t="b">
        <f t="shared" si="23"/>
        <v>1</v>
      </c>
    </row>
    <row r="742" spans="1:8" ht="30">
      <c r="A742" s="396">
        <v>998</v>
      </c>
      <c r="B742" s="401" t="s">
        <v>9485</v>
      </c>
      <c r="C742" s="396" t="s">
        <v>2024</v>
      </c>
      <c r="D742" s="405">
        <f t="shared" si="22"/>
        <v>87.89</v>
      </c>
      <c r="F742" s="679">
        <v>87.89</v>
      </c>
      <c r="G742" s="679">
        <v>87.89</v>
      </c>
      <c r="H742" t="b">
        <f t="shared" si="23"/>
        <v>1</v>
      </c>
    </row>
    <row r="743" spans="1:8" ht="30">
      <c r="A743" s="395">
        <v>39251</v>
      </c>
      <c r="B743" s="406" t="s">
        <v>9486</v>
      </c>
      <c r="C743" s="395" t="s">
        <v>2024</v>
      </c>
      <c r="D743" s="407">
        <f t="shared" si="22"/>
        <v>0.63</v>
      </c>
      <c r="F743" s="680">
        <v>0.63</v>
      </c>
      <c r="G743" s="680">
        <v>0.63</v>
      </c>
      <c r="H743" t="b">
        <f t="shared" si="23"/>
        <v>1</v>
      </c>
    </row>
    <row r="744" spans="1:8" ht="30">
      <c r="A744" s="396">
        <v>1011</v>
      </c>
      <c r="B744" s="401" t="s">
        <v>9487</v>
      </c>
      <c r="C744" s="396" t="s">
        <v>2024</v>
      </c>
      <c r="D744" s="405">
        <f t="shared" si="22"/>
        <v>0.86</v>
      </c>
      <c r="F744" s="679">
        <v>0.86</v>
      </c>
      <c r="G744" s="679">
        <v>0.86</v>
      </c>
      <c r="H744" t="b">
        <f t="shared" si="23"/>
        <v>1</v>
      </c>
    </row>
    <row r="745" spans="1:8" ht="30">
      <c r="A745" s="395">
        <v>39252</v>
      </c>
      <c r="B745" s="406" t="s">
        <v>9488</v>
      </c>
      <c r="C745" s="395" t="s">
        <v>2024</v>
      </c>
      <c r="D745" s="407">
        <f t="shared" si="22"/>
        <v>1.1299999999999999</v>
      </c>
      <c r="F745" s="680">
        <v>1.1299999999999999</v>
      </c>
      <c r="G745" s="680">
        <v>1.1299999999999999</v>
      </c>
      <c r="H745" t="b">
        <f t="shared" si="23"/>
        <v>1</v>
      </c>
    </row>
    <row r="746" spans="1:8" ht="30">
      <c r="A746" s="396">
        <v>1013</v>
      </c>
      <c r="B746" s="401" t="s">
        <v>9489</v>
      </c>
      <c r="C746" s="396" t="s">
        <v>2024</v>
      </c>
      <c r="D746" s="405">
        <f t="shared" si="22"/>
        <v>1.36</v>
      </c>
      <c r="F746" s="679">
        <v>1.36</v>
      </c>
      <c r="G746" s="679">
        <v>1.36</v>
      </c>
      <c r="H746" t="b">
        <f t="shared" si="23"/>
        <v>1</v>
      </c>
    </row>
    <row r="747" spans="1:8" ht="30">
      <c r="A747" s="395">
        <v>980</v>
      </c>
      <c r="B747" s="406" t="s">
        <v>9490</v>
      </c>
      <c r="C747" s="395" t="s">
        <v>2024</v>
      </c>
      <c r="D747" s="407">
        <f t="shared" si="22"/>
        <v>9.83</v>
      </c>
      <c r="F747" s="680">
        <v>9.83</v>
      </c>
      <c r="G747" s="680">
        <v>9.83</v>
      </c>
      <c r="H747" t="b">
        <f t="shared" si="23"/>
        <v>1</v>
      </c>
    </row>
    <row r="748" spans="1:8" ht="30">
      <c r="A748" s="396">
        <v>39237</v>
      </c>
      <c r="B748" s="401" t="s">
        <v>9491</v>
      </c>
      <c r="C748" s="396" t="s">
        <v>2024</v>
      </c>
      <c r="D748" s="405">
        <f t="shared" si="22"/>
        <v>104.63</v>
      </c>
      <c r="F748" s="679">
        <v>104.63</v>
      </c>
      <c r="G748" s="679">
        <v>104.63</v>
      </c>
      <c r="H748" t="b">
        <f t="shared" si="23"/>
        <v>1</v>
      </c>
    </row>
    <row r="749" spans="1:8" ht="30">
      <c r="A749" s="395">
        <v>39238</v>
      </c>
      <c r="B749" s="406" t="s">
        <v>9492</v>
      </c>
      <c r="C749" s="395" t="s">
        <v>2024</v>
      </c>
      <c r="D749" s="407">
        <f t="shared" si="22"/>
        <v>131.96</v>
      </c>
      <c r="F749" s="680">
        <v>131.96</v>
      </c>
      <c r="G749" s="680">
        <v>131.96</v>
      </c>
      <c r="H749" t="b">
        <f t="shared" si="23"/>
        <v>1</v>
      </c>
    </row>
    <row r="750" spans="1:8" ht="30">
      <c r="A750" s="396">
        <v>979</v>
      </c>
      <c r="B750" s="401" t="s">
        <v>9493</v>
      </c>
      <c r="C750" s="396" t="s">
        <v>2024</v>
      </c>
      <c r="D750" s="405">
        <f t="shared" si="22"/>
        <v>14.05</v>
      </c>
      <c r="F750" s="679">
        <v>14.05</v>
      </c>
      <c r="G750" s="679">
        <v>14.05</v>
      </c>
      <c r="H750" t="b">
        <f t="shared" si="23"/>
        <v>1</v>
      </c>
    </row>
    <row r="751" spans="1:8" ht="30">
      <c r="A751" s="395">
        <v>39239</v>
      </c>
      <c r="B751" s="406" t="s">
        <v>9494</v>
      </c>
      <c r="C751" s="395" t="s">
        <v>2024</v>
      </c>
      <c r="D751" s="407">
        <f t="shared" si="22"/>
        <v>159.41999999999999</v>
      </c>
      <c r="F751" s="680">
        <v>159.41999999999999</v>
      </c>
      <c r="G751" s="680">
        <v>159.41999999999999</v>
      </c>
      <c r="H751" t="b">
        <f t="shared" si="23"/>
        <v>1</v>
      </c>
    </row>
    <row r="752" spans="1:8" ht="30">
      <c r="A752" s="396">
        <v>1014</v>
      </c>
      <c r="B752" s="401" t="s">
        <v>9495</v>
      </c>
      <c r="C752" s="396" t="s">
        <v>2024</v>
      </c>
      <c r="D752" s="405">
        <f t="shared" si="22"/>
        <v>2.16</v>
      </c>
      <c r="F752" s="679">
        <v>2.16</v>
      </c>
      <c r="G752" s="679">
        <v>2.16</v>
      </c>
      <c r="H752" t="b">
        <f t="shared" si="23"/>
        <v>1</v>
      </c>
    </row>
    <row r="753" spans="1:8" ht="30">
      <c r="A753" s="395">
        <v>39240</v>
      </c>
      <c r="B753" s="406" t="s">
        <v>9496</v>
      </c>
      <c r="C753" s="395" t="s">
        <v>2024</v>
      </c>
      <c r="D753" s="407">
        <f t="shared" si="22"/>
        <v>209.68</v>
      </c>
      <c r="F753" s="680">
        <v>209.68</v>
      </c>
      <c r="G753" s="680">
        <v>209.68</v>
      </c>
      <c r="H753" t="b">
        <f t="shared" si="23"/>
        <v>1</v>
      </c>
    </row>
    <row r="754" spans="1:8" ht="30">
      <c r="A754" s="396">
        <v>39232</v>
      </c>
      <c r="B754" s="401" t="s">
        <v>9497</v>
      </c>
      <c r="C754" s="396" t="s">
        <v>2024</v>
      </c>
      <c r="D754" s="405">
        <f t="shared" si="22"/>
        <v>22</v>
      </c>
      <c r="F754" s="679">
        <v>22</v>
      </c>
      <c r="G754" s="679">
        <v>22</v>
      </c>
      <c r="H754" t="b">
        <f t="shared" si="23"/>
        <v>1</v>
      </c>
    </row>
    <row r="755" spans="1:8" ht="30">
      <c r="A755" s="395">
        <v>39233</v>
      </c>
      <c r="B755" s="406" t="s">
        <v>9498</v>
      </c>
      <c r="C755" s="395" t="s">
        <v>2024</v>
      </c>
      <c r="D755" s="407">
        <f t="shared" si="22"/>
        <v>32.07</v>
      </c>
      <c r="F755" s="680">
        <v>32.07</v>
      </c>
      <c r="G755" s="680">
        <v>32.07</v>
      </c>
      <c r="H755" t="b">
        <f t="shared" si="23"/>
        <v>1</v>
      </c>
    </row>
    <row r="756" spans="1:8" ht="30">
      <c r="A756" s="396">
        <v>981</v>
      </c>
      <c r="B756" s="401" t="s">
        <v>9499</v>
      </c>
      <c r="C756" s="396" t="s">
        <v>2024</v>
      </c>
      <c r="D756" s="405">
        <f t="shared" si="22"/>
        <v>3.58</v>
      </c>
      <c r="F756" s="679">
        <v>3.58</v>
      </c>
      <c r="G756" s="679">
        <v>3.58</v>
      </c>
      <c r="H756" t="b">
        <f t="shared" si="23"/>
        <v>1</v>
      </c>
    </row>
    <row r="757" spans="1:8" ht="30">
      <c r="A757" s="395">
        <v>39234</v>
      </c>
      <c r="B757" s="406" t="s">
        <v>9500</v>
      </c>
      <c r="C757" s="395" t="s">
        <v>2024</v>
      </c>
      <c r="D757" s="407">
        <f t="shared" si="22"/>
        <v>44.65</v>
      </c>
      <c r="F757" s="680">
        <v>44.65</v>
      </c>
      <c r="G757" s="680">
        <v>44.65</v>
      </c>
      <c r="H757" t="b">
        <f t="shared" si="23"/>
        <v>1</v>
      </c>
    </row>
    <row r="758" spans="1:8" ht="30">
      <c r="A758" s="396">
        <v>982</v>
      </c>
      <c r="B758" s="401" t="s">
        <v>9501</v>
      </c>
      <c r="C758" s="396" t="s">
        <v>2024</v>
      </c>
      <c r="D758" s="405">
        <f t="shared" si="22"/>
        <v>5.14</v>
      </c>
      <c r="F758" s="679">
        <v>5.14</v>
      </c>
      <c r="G758" s="679">
        <v>5.14</v>
      </c>
      <c r="H758" t="b">
        <f t="shared" si="23"/>
        <v>1</v>
      </c>
    </row>
    <row r="759" spans="1:8" ht="30">
      <c r="A759" s="395">
        <v>39235</v>
      </c>
      <c r="B759" s="406" t="s">
        <v>9502</v>
      </c>
      <c r="C759" s="395" t="s">
        <v>2024</v>
      </c>
      <c r="D759" s="407">
        <f t="shared" si="22"/>
        <v>65.849999999999994</v>
      </c>
      <c r="F759" s="680">
        <v>65.849999999999994</v>
      </c>
      <c r="G759" s="680">
        <v>65.849999999999994</v>
      </c>
      <c r="H759" t="b">
        <f t="shared" si="23"/>
        <v>1</v>
      </c>
    </row>
    <row r="760" spans="1:8" ht="30">
      <c r="A760" s="396">
        <v>39236</v>
      </c>
      <c r="B760" s="401" t="s">
        <v>9503</v>
      </c>
      <c r="C760" s="396" t="s">
        <v>2024</v>
      </c>
      <c r="D760" s="405">
        <f t="shared" si="22"/>
        <v>87.27</v>
      </c>
      <c r="F760" s="679">
        <v>87.27</v>
      </c>
      <c r="G760" s="679">
        <v>87.27</v>
      </c>
      <c r="H760" t="b">
        <f t="shared" si="23"/>
        <v>1</v>
      </c>
    </row>
    <row r="761" spans="1:8">
      <c r="A761" s="395">
        <v>990</v>
      </c>
      <c r="B761" s="406" t="s">
        <v>9504</v>
      </c>
      <c r="C761" s="395" t="s">
        <v>2024</v>
      </c>
      <c r="D761" s="407">
        <f t="shared" si="22"/>
        <v>154.85</v>
      </c>
      <c r="F761" s="680">
        <v>154.85</v>
      </c>
      <c r="G761" s="680">
        <v>154.85</v>
      </c>
      <c r="H761" t="b">
        <f t="shared" si="23"/>
        <v>1</v>
      </c>
    </row>
    <row r="762" spans="1:8">
      <c r="A762" s="396">
        <v>39241</v>
      </c>
      <c r="B762" s="401" t="s">
        <v>9505</v>
      </c>
      <c r="C762" s="396" t="s">
        <v>2024</v>
      </c>
      <c r="D762" s="405">
        <f t="shared" si="22"/>
        <v>15.24</v>
      </c>
      <c r="F762" s="679">
        <v>15.24</v>
      </c>
      <c r="G762" s="679">
        <v>15.24</v>
      </c>
      <c r="H762" t="b">
        <f t="shared" si="23"/>
        <v>1</v>
      </c>
    </row>
    <row r="763" spans="1:8">
      <c r="A763" s="395">
        <v>1005</v>
      </c>
      <c r="B763" s="406" t="s">
        <v>9506</v>
      </c>
      <c r="C763" s="395" t="s">
        <v>2024</v>
      </c>
      <c r="D763" s="407">
        <f t="shared" si="22"/>
        <v>192.79</v>
      </c>
      <c r="F763" s="680">
        <v>192.79</v>
      </c>
      <c r="G763" s="680">
        <v>192.79</v>
      </c>
      <c r="H763" t="b">
        <f t="shared" si="23"/>
        <v>1</v>
      </c>
    </row>
    <row r="764" spans="1:8">
      <c r="A764" s="396">
        <v>991</v>
      </c>
      <c r="B764" s="401" t="s">
        <v>9507</v>
      </c>
      <c r="C764" s="396" t="s">
        <v>2024</v>
      </c>
      <c r="D764" s="405">
        <f t="shared" si="22"/>
        <v>252.52</v>
      </c>
      <c r="F764" s="679">
        <v>252.52</v>
      </c>
      <c r="G764" s="679">
        <v>252.52</v>
      </c>
      <c r="H764" t="b">
        <f t="shared" si="23"/>
        <v>1</v>
      </c>
    </row>
    <row r="765" spans="1:8">
      <c r="A765" s="395">
        <v>986</v>
      </c>
      <c r="B765" s="406" t="s">
        <v>9508</v>
      </c>
      <c r="C765" s="395" t="s">
        <v>2024</v>
      </c>
      <c r="D765" s="407">
        <f t="shared" si="22"/>
        <v>24.08</v>
      </c>
      <c r="F765" s="680">
        <v>24.08</v>
      </c>
      <c r="G765" s="680">
        <v>24.08</v>
      </c>
      <c r="H765" t="b">
        <f t="shared" si="23"/>
        <v>1</v>
      </c>
    </row>
    <row r="766" spans="1:8">
      <c r="A766" s="396">
        <v>987</v>
      </c>
      <c r="B766" s="401" t="s">
        <v>9509</v>
      </c>
      <c r="C766" s="396" t="s">
        <v>2024</v>
      </c>
      <c r="D766" s="405">
        <f t="shared" si="22"/>
        <v>32.97</v>
      </c>
      <c r="F766" s="679">
        <v>32.97</v>
      </c>
      <c r="G766" s="679">
        <v>32.97</v>
      </c>
      <c r="H766" t="b">
        <f t="shared" si="23"/>
        <v>1</v>
      </c>
    </row>
    <row r="767" spans="1:8">
      <c r="A767" s="395">
        <v>1007</v>
      </c>
      <c r="B767" s="406" t="s">
        <v>9510</v>
      </c>
      <c r="C767" s="395" t="s">
        <v>2024</v>
      </c>
      <c r="D767" s="407">
        <f t="shared" si="22"/>
        <v>45.64</v>
      </c>
      <c r="F767" s="680">
        <v>45.64</v>
      </c>
      <c r="G767" s="680">
        <v>45.64</v>
      </c>
      <c r="H767" t="b">
        <f t="shared" si="23"/>
        <v>1</v>
      </c>
    </row>
    <row r="768" spans="1:8">
      <c r="A768" s="396">
        <v>1008</v>
      </c>
      <c r="B768" s="401" t="s">
        <v>9511</v>
      </c>
      <c r="C768" s="396" t="s">
        <v>2024</v>
      </c>
      <c r="D768" s="405">
        <f t="shared" si="22"/>
        <v>5.79</v>
      </c>
      <c r="F768" s="679">
        <v>5.79</v>
      </c>
      <c r="G768" s="679">
        <v>5.79</v>
      </c>
      <c r="H768" t="b">
        <f t="shared" si="23"/>
        <v>1</v>
      </c>
    </row>
    <row r="769" spans="1:8">
      <c r="A769" s="395">
        <v>988</v>
      </c>
      <c r="B769" s="406" t="s">
        <v>9512</v>
      </c>
      <c r="C769" s="395" t="s">
        <v>2024</v>
      </c>
      <c r="D769" s="407">
        <f t="shared" si="22"/>
        <v>62.93</v>
      </c>
      <c r="F769" s="680">
        <v>62.93</v>
      </c>
      <c r="G769" s="680">
        <v>62.93</v>
      </c>
      <c r="H769" t="b">
        <f t="shared" si="23"/>
        <v>1</v>
      </c>
    </row>
    <row r="770" spans="1:8">
      <c r="A770" s="396">
        <v>989</v>
      </c>
      <c r="B770" s="401" t="s">
        <v>9513</v>
      </c>
      <c r="C770" s="396" t="s">
        <v>2024</v>
      </c>
      <c r="D770" s="405">
        <f t="shared" si="22"/>
        <v>86.86</v>
      </c>
      <c r="F770" s="679">
        <v>86.86</v>
      </c>
      <c r="G770" s="679">
        <v>86.86</v>
      </c>
      <c r="H770" t="b">
        <f t="shared" si="23"/>
        <v>1</v>
      </c>
    </row>
    <row r="771" spans="1:8">
      <c r="A771" s="395">
        <v>1006</v>
      </c>
      <c r="B771" s="406" t="s">
        <v>9514</v>
      </c>
      <c r="C771" s="395" t="s">
        <v>2024</v>
      </c>
      <c r="D771" s="407">
        <f t="shared" ref="D771:D834" si="24">IF($J$2=$F$1,F771,G771)</f>
        <v>116.45</v>
      </c>
      <c r="F771" s="680">
        <v>116.45</v>
      </c>
      <c r="G771" s="680">
        <v>116.45</v>
      </c>
      <c r="H771" t="b">
        <f t="shared" ref="H771:H834" si="25">F771=G771</f>
        <v>1</v>
      </c>
    </row>
    <row r="772" spans="1:8">
      <c r="A772" s="396">
        <v>43972</v>
      </c>
      <c r="B772" s="401" t="s">
        <v>9515</v>
      </c>
      <c r="C772" s="396" t="s">
        <v>2024</v>
      </c>
      <c r="D772" s="405">
        <f t="shared" si="24"/>
        <v>3.24</v>
      </c>
      <c r="F772" s="679">
        <v>3.24</v>
      </c>
      <c r="G772" s="679">
        <v>3.24</v>
      </c>
      <c r="H772" t="b">
        <f t="shared" si="25"/>
        <v>1</v>
      </c>
    </row>
    <row r="773" spans="1:8">
      <c r="A773" s="395">
        <v>43971</v>
      </c>
      <c r="B773" s="406" t="s">
        <v>9516</v>
      </c>
      <c r="C773" s="395" t="s">
        <v>2024</v>
      </c>
      <c r="D773" s="407">
        <f t="shared" si="24"/>
        <v>2.48</v>
      </c>
      <c r="F773" s="680">
        <v>2.48</v>
      </c>
      <c r="G773" s="680">
        <v>2.48</v>
      </c>
      <c r="H773" t="b">
        <f t="shared" si="25"/>
        <v>1</v>
      </c>
    </row>
    <row r="774" spans="1:8">
      <c r="A774" s="396">
        <v>39598</v>
      </c>
      <c r="B774" s="401" t="s">
        <v>9517</v>
      </c>
      <c r="C774" s="396" t="s">
        <v>2024</v>
      </c>
      <c r="D774" s="405">
        <f t="shared" si="24"/>
        <v>4.5999999999999996</v>
      </c>
      <c r="F774" s="679">
        <v>4.5999999999999996</v>
      </c>
      <c r="G774" s="679">
        <v>4.5999999999999996</v>
      </c>
      <c r="H774" t="b">
        <f t="shared" si="25"/>
        <v>1</v>
      </c>
    </row>
    <row r="775" spans="1:8">
      <c r="A775" s="395">
        <v>43973</v>
      </c>
      <c r="B775" s="406" t="s">
        <v>9518</v>
      </c>
      <c r="C775" s="395" t="s">
        <v>2024</v>
      </c>
      <c r="D775" s="407">
        <f t="shared" si="24"/>
        <v>3.39</v>
      </c>
      <c r="F775" s="680">
        <v>3.39</v>
      </c>
      <c r="G775" s="680">
        <v>3.39</v>
      </c>
      <c r="H775" t="b">
        <f t="shared" si="25"/>
        <v>1</v>
      </c>
    </row>
    <row r="776" spans="1:8">
      <c r="A776" s="396">
        <v>39599</v>
      </c>
      <c r="B776" s="401" t="s">
        <v>9519</v>
      </c>
      <c r="C776" s="396" t="s">
        <v>2024</v>
      </c>
      <c r="D776" s="405">
        <f t="shared" si="24"/>
        <v>6.61</v>
      </c>
      <c r="F776" s="679">
        <v>6.61</v>
      </c>
      <c r="G776" s="679">
        <v>6.61</v>
      </c>
      <c r="H776" t="b">
        <f t="shared" si="25"/>
        <v>1</v>
      </c>
    </row>
    <row r="777" spans="1:8">
      <c r="A777" s="395">
        <v>43832</v>
      </c>
      <c r="B777" s="406" t="s">
        <v>9520</v>
      </c>
      <c r="C777" s="395" t="s">
        <v>2024</v>
      </c>
      <c r="D777" s="407">
        <f t="shared" si="24"/>
        <v>17.420000000000002</v>
      </c>
      <c r="F777" s="680">
        <v>17.420000000000002</v>
      </c>
      <c r="G777" s="680">
        <v>17.420000000000002</v>
      </c>
      <c r="H777" t="b">
        <f t="shared" si="25"/>
        <v>1</v>
      </c>
    </row>
    <row r="778" spans="1:8">
      <c r="A778" s="396">
        <v>34602</v>
      </c>
      <c r="B778" s="401" t="s">
        <v>9521</v>
      </c>
      <c r="C778" s="396" t="s">
        <v>2024</v>
      </c>
      <c r="D778" s="405">
        <f t="shared" si="24"/>
        <v>3.98</v>
      </c>
      <c r="F778" s="679">
        <v>3.98</v>
      </c>
      <c r="G778" s="679">
        <v>3.98</v>
      </c>
      <c r="H778" t="b">
        <f t="shared" si="25"/>
        <v>1</v>
      </c>
    </row>
    <row r="779" spans="1:8">
      <c r="A779" s="395">
        <v>34607</v>
      </c>
      <c r="B779" s="406" t="s">
        <v>9522</v>
      </c>
      <c r="C779" s="395" t="s">
        <v>2024</v>
      </c>
      <c r="D779" s="407">
        <f t="shared" si="24"/>
        <v>9.76</v>
      </c>
      <c r="F779" s="680">
        <v>9.76</v>
      </c>
      <c r="G779" s="680">
        <v>9.76</v>
      </c>
      <c r="H779" t="b">
        <f t="shared" si="25"/>
        <v>1</v>
      </c>
    </row>
    <row r="780" spans="1:8">
      <c r="A780" s="396">
        <v>34609</v>
      </c>
      <c r="B780" s="401" t="s">
        <v>9523</v>
      </c>
      <c r="C780" s="396" t="s">
        <v>2024</v>
      </c>
      <c r="D780" s="405">
        <f t="shared" si="24"/>
        <v>14.2</v>
      </c>
      <c r="F780" s="679">
        <v>14.2</v>
      </c>
      <c r="G780" s="679">
        <v>14.2</v>
      </c>
      <c r="H780" t="b">
        <f t="shared" si="25"/>
        <v>1</v>
      </c>
    </row>
    <row r="781" spans="1:8">
      <c r="A781" s="395">
        <v>34618</v>
      </c>
      <c r="B781" s="406" t="s">
        <v>9524</v>
      </c>
      <c r="C781" s="395" t="s">
        <v>2024</v>
      </c>
      <c r="D781" s="407">
        <f t="shared" si="24"/>
        <v>5.43</v>
      </c>
      <c r="F781" s="680">
        <v>5.43</v>
      </c>
      <c r="G781" s="680">
        <v>5.43</v>
      </c>
      <c r="H781" t="b">
        <f t="shared" si="25"/>
        <v>1</v>
      </c>
    </row>
    <row r="782" spans="1:8">
      <c r="A782" s="396">
        <v>34621</v>
      </c>
      <c r="B782" s="401" t="s">
        <v>9525</v>
      </c>
      <c r="C782" s="396" t="s">
        <v>2024</v>
      </c>
      <c r="D782" s="405">
        <f t="shared" si="24"/>
        <v>13.46</v>
      </c>
      <c r="F782" s="679">
        <v>13.46</v>
      </c>
      <c r="G782" s="679">
        <v>13.46</v>
      </c>
      <c r="H782" t="b">
        <f t="shared" si="25"/>
        <v>1</v>
      </c>
    </row>
    <row r="783" spans="1:8">
      <c r="A783" s="395">
        <v>34622</v>
      </c>
      <c r="B783" s="406" t="s">
        <v>9526</v>
      </c>
      <c r="C783" s="395" t="s">
        <v>2024</v>
      </c>
      <c r="D783" s="407">
        <f t="shared" si="24"/>
        <v>20</v>
      </c>
      <c r="F783" s="680">
        <v>20</v>
      </c>
      <c r="G783" s="680">
        <v>20</v>
      </c>
      <c r="H783" t="b">
        <f t="shared" si="25"/>
        <v>1</v>
      </c>
    </row>
    <row r="784" spans="1:8">
      <c r="A784" s="396">
        <v>34624</v>
      </c>
      <c r="B784" s="401" t="s">
        <v>9527</v>
      </c>
      <c r="C784" s="396" t="s">
        <v>2024</v>
      </c>
      <c r="D784" s="405">
        <f t="shared" si="24"/>
        <v>7.25</v>
      </c>
      <c r="F784" s="679">
        <v>7.25</v>
      </c>
      <c r="G784" s="679">
        <v>7.25</v>
      </c>
      <c r="H784" t="b">
        <f t="shared" si="25"/>
        <v>1</v>
      </c>
    </row>
    <row r="785" spans="1:8">
      <c r="A785" s="395">
        <v>34627</v>
      </c>
      <c r="B785" s="406" t="s">
        <v>9528</v>
      </c>
      <c r="C785" s="395" t="s">
        <v>2024</v>
      </c>
      <c r="D785" s="407">
        <f t="shared" si="24"/>
        <v>17.489999999999998</v>
      </c>
      <c r="F785" s="680">
        <v>17.489999999999998</v>
      </c>
      <c r="G785" s="680">
        <v>17.489999999999998</v>
      </c>
      <c r="H785" t="b">
        <f t="shared" si="25"/>
        <v>1</v>
      </c>
    </row>
    <row r="786" spans="1:8">
      <c r="A786" s="396">
        <v>34629</v>
      </c>
      <c r="B786" s="401" t="s">
        <v>9529</v>
      </c>
      <c r="C786" s="396" t="s">
        <v>2024</v>
      </c>
      <c r="D786" s="405">
        <f t="shared" si="24"/>
        <v>26.72</v>
      </c>
      <c r="F786" s="679">
        <v>26.72</v>
      </c>
      <c r="G786" s="679">
        <v>26.72</v>
      </c>
      <c r="H786" t="b">
        <f t="shared" si="25"/>
        <v>1</v>
      </c>
    </row>
    <row r="787" spans="1:8" ht="30">
      <c r="A787" s="395">
        <v>39257</v>
      </c>
      <c r="B787" s="406" t="s">
        <v>9530</v>
      </c>
      <c r="C787" s="395" t="s">
        <v>2024</v>
      </c>
      <c r="D787" s="407">
        <f t="shared" si="24"/>
        <v>5.44</v>
      </c>
      <c r="F787" s="680">
        <v>5.44</v>
      </c>
      <c r="G787" s="680">
        <v>5.44</v>
      </c>
      <c r="H787" t="b">
        <f t="shared" si="25"/>
        <v>1</v>
      </c>
    </row>
    <row r="788" spans="1:8" ht="30">
      <c r="A788" s="396">
        <v>39261</v>
      </c>
      <c r="B788" s="401" t="s">
        <v>9531</v>
      </c>
      <c r="C788" s="396" t="s">
        <v>2024</v>
      </c>
      <c r="D788" s="405">
        <f t="shared" si="24"/>
        <v>31.13</v>
      </c>
      <c r="F788" s="679">
        <v>31.13</v>
      </c>
      <c r="G788" s="679">
        <v>31.13</v>
      </c>
      <c r="H788" t="b">
        <f t="shared" si="25"/>
        <v>1</v>
      </c>
    </row>
    <row r="789" spans="1:8" ht="30">
      <c r="A789" s="395">
        <v>39268</v>
      </c>
      <c r="B789" s="406" t="s">
        <v>9532</v>
      </c>
      <c r="C789" s="395" t="s">
        <v>2024</v>
      </c>
      <c r="D789" s="407">
        <f t="shared" si="24"/>
        <v>486.59</v>
      </c>
      <c r="F789" s="680">
        <v>486.59</v>
      </c>
      <c r="G789" s="680">
        <v>486.59</v>
      </c>
      <c r="H789" t="b">
        <f t="shared" si="25"/>
        <v>1</v>
      </c>
    </row>
    <row r="790" spans="1:8" ht="30">
      <c r="A790" s="396">
        <v>39262</v>
      </c>
      <c r="B790" s="401" t="s">
        <v>9533</v>
      </c>
      <c r="C790" s="396" t="s">
        <v>2024</v>
      </c>
      <c r="D790" s="405">
        <f t="shared" si="24"/>
        <v>49.57</v>
      </c>
      <c r="F790" s="679">
        <v>49.57</v>
      </c>
      <c r="G790" s="679">
        <v>49.57</v>
      </c>
      <c r="H790" t="b">
        <f t="shared" si="25"/>
        <v>1</v>
      </c>
    </row>
    <row r="791" spans="1:8" ht="30">
      <c r="A791" s="395">
        <v>39258</v>
      </c>
      <c r="B791" s="406" t="s">
        <v>9534</v>
      </c>
      <c r="C791" s="395" t="s">
        <v>2024</v>
      </c>
      <c r="D791" s="407">
        <f t="shared" si="24"/>
        <v>8.19</v>
      </c>
      <c r="F791" s="680">
        <v>8.19</v>
      </c>
      <c r="G791" s="680">
        <v>8.19</v>
      </c>
      <c r="H791" t="b">
        <f t="shared" si="25"/>
        <v>1</v>
      </c>
    </row>
    <row r="792" spans="1:8" ht="30">
      <c r="A792" s="396">
        <v>39263</v>
      </c>
      <c r="B792" s="401" t="s">
        <v>9535</v>
      </c>
      <c r="C792" s="396" t="s">
        <v>2024</v>
      </c>
      <c r="D792" s="405">
        <f t="shared" si="24"/>
        <v>85.72</v>
      </c>
      <c r="F792" s="679">
        <v>85.72</v>
      </c>
      <c r="G792" s="679">
        <v>85.72</v>
      </c>
      <c r="H792" t="b">
        <f t="shared" si="25"/>
        <v>1</v>
      </c>
    </row>
    <row r="793" spans="1:8" ht="30">
      <c r="A793" s="395">
        <v>39264</v>
      </c>
      <c r="B793" s="406" t="s">
        <v>9536</v>
      </c>
      <c r="C793" s="395" t="s">
        <v>2024</v>
      </c>
      <c r="D793" s="407">
        <f t="shared" si="24"/>
        <v>118.75</v>
      </c>
      <c r="F793" s="680">
        <v>118.75</v>
      </c>
      <c r="G793" s="680">
        <v>118.75</v>
      </c>
      <c r="H793" t="b">
        <f t="shared" si="25"/>
        <v>1</v>
      </c>
    </row>
    <row r="794" spans="1:8" ht="30">
      <c r="A794" s="396">
        <v>39259</v>
      </c>
      <c r="B794" s="401" t="s">
        <v>9537</v>
      </c>
      <c r="C794" s="396" t="s">
        <v>2024</v>
      </c>
      <c r="D794" s="405">
        <f t="shared" si="24"/>
        <v>12.62</v>
      </c>
      <c r="F794" s="679">
        <v>12.62</v>
      </c>
      <c r="G794" s="679">
        <v>12.62</v>
      </c>
      <c r="H794" t="b">
        <f t="shared" si="25"/>
        <v>1</v>
      </c>
    </row>
    <row r="795" spans="1:8" ht="30">
      <c r="A795" s="395">
        <v>39265</v>
      </c>
      <c r="B795" s="406" t="s">
        <v>9538</v>
      </c>
      <c r="C795" s="395" t="s">
        <v>2024</v>
      </c>
      <c r="D795" s="407">
        <f t="shared" si="24"/>
        <v>161.22</v>
      </c>
      <c r="F795" s="680">
        <v>161.22</v>
      </c>
      <c r="G795" s="680">
        <v>161.22</v>
      </c>
      <c r="H795" t="b">
        <f t="shared" si="25"/>
        <v>1</v>
      </c>
    </row>
    <row r="796" spans="1:8" ht="30">
      <c r="A796" s="396">
        <v>39260</v>
      </c>
      <c r="B796" s="401" t="s">
        <v>9539</v>
      </c>
      <c r="C796" s="396" t="s">
        <v>2024</v>
      </c>
      <c r="D796" s="405">
        <f t="shared" si="24"/>
        <v>19.32</v>
      </c>
      <c r="F796" s="679">
        <v>19.32</v>
      </c>
      <c r="G796" s="679">
        <v>19.32</v>
      </c>
      <c r="H796" t="b">
        <f t="shared" si="25"/>
        <v>1</v>
      </c>
    </row>
    <row r="797" spans="1:8" ht="30">
      <c r="A797" s="395">
        <v>39266</v>
      </c>
      <c r="B797" s="406" t="s">
        <v>9540</v>
      </c>
      <c r="C797" s="395" t="s">
        <v>2024</v>
      </c>
      <c r="D797" s="407">
        <f t="shared" si="24"/>
        <v>243.28</v>
      </c>
      <c r="F797" s="680">
        <v>243.28</v>
      </c>
      <c r="G797" s="680">
        <v>243.28</v>
      </c>
      <c r="H797" t="b">
        <f t="shared" si="25"/>
        <v>1</v>
      </c>
    </row>
    <row r="798" spans="1:8" ht="30">
      <c r="A798" s="396">
        <v>39267</v>
      </c>
      <c r="B798" s="401" t="s">
        <v>9541</v>
      </c>
      <c r="C798" s="396" t="s">
        <v>2024</v>
      </c>
      <c r="D798" s="405">
        <f t="shared" si="24"/>
        <v>304.16000000000003</v>
      </c>
      <c r="F798" s="679">
        <v>304.16000000000003</v>
      </c>
      <c r="G798" s="679">
        <v>304.16000000000003</v>
      </c>
      <c r="H798" t="b">
        <f t="shared" si="25"/>
        <v>1</v>
      </c>
    </row>
    <row r="799" spans="1:8">
      <c r="A799" s="395">
        <v>11901</v>
      </c>
      <c r="B799" s="406" t="s">
        <v>9542</v>
      </c>
      <c r="C799" s="395" t="s">
        <v>2024</v>
      </c>
      <c r="D799" s="407">
        <f t="shared" si="24"/>
        <v>0.59</v>
      </c>
      <c r="F799" s="680">
        <v>0.59</v>
      </c>
      <c r="G799" s="680">
        <v>0.59</v>
      </c>
      <c r="H799" t="b">
        <f t="shared" si="25"/>
        <v>1</v>
      </c>
    </row>
    <row r="800" spans="1:8">
      <c r="A800" s="396">
        <v>11902</v>
      </c>
      <c r="B800" s="401" t="s">
        <v>9543</v>
      </c>
      <c r="C800" s="396" t="s">
        <v>2024</v>
      </c>
      <c r="D800" s="405">
        <f t="shared" si="24"/>
        <v>1.1399999999999999</v>
      </c>
      <c r="F800" s="679">
        <v>1.1399999999999999</v>
      </c>
      <c r="G800" s="679">
        <v>1.1399999999999999</v>
      </c>
      <c r="H800" t="b">
        <f t="shared" si="25"/>
        <v>1</v>
      </c>
    </row>
    <row r="801" spans="1:8">
      <c r="A801" s="395">
        <v>11903</v>
      </c>
      <c r="B801" s="406" t="s">
        <v>9544</v>
      </c>
      <c r="C801" s="395" t="s">
        <v>2024</v>
      </c>
      <c r="D801" s="407">
        <f t="shared" si="24"/>
        <v>1.2</v>
      </c>
      <c r="F801" s="680">
        <v>1.2</v>
      </c>
      <c r="G801" s="680">
        <v>1.2</v>
      </c>
      <c r="H801" t="b">
        <f t="shared" si="25"/>
        <v>1</v>
      </c>
    </row>
    <row r="802" spans="1:8">
      <c r="A802" s="396">
        <v>11904</v>
      </c>
      <c r="B802" s="401" t="s">
        <v>9545</v>
      </c>
      <c r="C802" s="396" t="s">
        <v>2024</v>
      </c>
      <c r="D802" s="405">
        <f t="shared" si="24"/>
        <v>1.83</v>
      </c>
      <c r="F802" s="679">
        <v>1.83</v>
      </c>
      <c r="G802" s="679">
        <v>1.83</v>
      </c>
      <c r="H802" t="b">
        <f t="shared" si="25"/>
        <v>1</v>
      </c>
    </row>
    <row r="803" spans="1:8">
      <c r="A803" s="395">
        <v>11905</v>
      </c>
      <c r="B803" s="406" t="s">
        <v>9546</v>
      </c>
      <c r="C803" s="395" t="s">
        <v>2024</v>
      </c>
      <c r="D803" s="407">
        <f t="shared" si="24"/>
        <v>2.23</v>
      </c>
      <c r="F803" s="680">
        <v>2.23</v>
      </c>
      <c r="G803" s="680">
        <v>2.23</v>
      </c>
      <c r="H803" t="b">
        <f t="shared" si="25"/>
        <v>1</v>
      </c>
    </row>
    <row r="804" spans="1:8">
      <c r="A804" s="396">
        <v>11906</v>
      </c>
      <c r="B804" s="401" t="s">
        <v>9547</v>
      </c>
      <c r="C804" s="396" t="s">
        <v>2024</v>
      </c>
      <c r="D804" s="405">
        <f t="shared" si="24"/>
        <v>2.84</v>
      </c>
      <c r="F804" s="679">
        <v>2.84</v>
      </c>
      <c r="G804" s="679">
        <v>2.84</v>
      </c>
      <c r="H804" t="b">
        <f t="shared" si="25"/>
        <v>1</v>
      </c>
    </row>
    <row r="805" spans="1:8">
      <c r="A805" s="395">
        <v>11919</v>
      </c>
      <c r="B805" s="406" t="s">
        <v>9548</v>
      </c>
      <c r="C805" s="395" t="s">
        <v>2024</v>
      </c>
      <c r="D805" s="407">
        <f t="shared" si="24"/>
        <v>5.2</v>
      </c>
      <c r="F805" s="680">
        <v>5.2</v>
      </c>
      <c r="G805" s="680">
        <v>5.2</v>
      </c>
      <c r="H805" t="b">
        <f t="shared" si="25"/>
        <v>1</v>
      </c>
    </row>
    <row r="806" spans="1:8">
      <c r="A806" s="396">
        <v>11920</v>
      </c>
      <c r="B806" s="401" t="s">
        <v>9549</v>
      </c>
      <c r="C806" s="396" t="s">
        <v>2024</v>
      </c>
      <c r="D806" s="405">
        <f t="shared" si="24"/>
        <v>9.8800000000000008</v>
      </c>
      <c r="F806" s="679">
        <v>9.8800000000000008</v>
      </c>
      <c r="G806" s="679">
        <v>9.8800000000000008</v>
      </c>
      <c r="H806" t="b">
        <f t="shared" si="25"/>
        <v>1</v>
      </c>
    </row>
    <row r="807" spans="1:8">
      <c r="A807" s="395">
        <v>11924</v>
      </c>
      <c r="B807" s="406" t="s">
        <v>9550</v>
      </c>
      <c r="C807" s="395" t="s">
        <v>2024</v>
      </c>
      <c r="D807" s="407">
        <f t="shared" si="24"/>
        <v>82.97</v>
      </c>
      <c r="F807" s="680">
        <v>82.97</v>
      </c>
      <c r="G807" s="680">
        <v>82.97</v>
      </c>
      <c r="H807" t="b">
        <f t="shared" si="25"/>
        <v>1</v>
      </c>
    </row>
    <row r="808" spans="1:8">
      <c r="A808" s="396">
        <v>11921</v>
      </c>
      <c r="B808" s="401" t="s">
        <v>9551</v>
      </c>
      <c r="C808" s="396" t="s">
        <v>2024</v>
      </c>
      <c r="D808" s="405">
        <f t="shared" si="24"/>
        <v>14.46</v>
      </c>
      <c r="F808" s="679">
        <v>14.46</v>
      </c>
      <c r="G808" s="679">
        <v>14.46</v>
      </c>
      <c r="H808" t="b">
        <f t="shared" si="25"/>
        <v>1</v>
      </c>
    </row>
    <row r="809" spans="1:8">
      <c r="A809" s="395">
        <v>11922</v>
      </c>
      <c r="B809" s="406" t="s">
        <v>9552</v>
      </c>
      <c r="C809" s="395" t="s">
        <v>2024</v>
      </c>
      <c r="D809" s="407">
        <f t="shared" si="24"/>
        <v>23.38</v>
      </c>
      <c r="F809" s="680">
        <v>23.38</v>
      </c>
      <c r="G809" s="680">
        <v>23.38</v>
      </c>
      <c r="H809" t="b">
        <f t="shared" si="25"/>
        <v>1</v>
      </c>
    </row>
    <row r="810" spans="1:8">
      <c r="A810" s="396">
        <v>11923</v>
      </c>
      <c r="B810" s="401" t="s">
        <v>9553</v>
      </c>
      <c r="C810" s="396" t="s">
        <v>2024</v>
      </c>
      <c r="D810" s="405">
        <f t="shared" si="24"/>
        <v>34.229999999999997</v>
      </c>
      <c r="F810" s="679">
        <v>34.229999999999997</v>
      </c>
      <c r="G810" s="679">
        <v>34.229999999999997</v>
      </c>
      <c r="H810" t="b">
        <f t="shared" si="25"/>
        <v>1</v>
      </c>
    </row>
    <row r="811" spans="1:8">
      <c r="A811" s="395">
        <v>11916</v>
      </c>
      <c r="B811" s="406" t="s">
        <v>9554</v>
      </c>
      <c r="C811" s="395" t="s">
        <v>2024</v>
      </c>
      <c r="D811" s="407">
        <f t="shared" si="24"/>
        <v>7.12</v>
      </c>
      <c r="F811" s="680">
        <v>7.12</v>
      </c>
      <c r="G811" s="680">
        <v>7.12</v>
      </c>
      <c r="H811" t="b">
        <f t="shared" si="25"/>
        <v>1</v>
      </c>
    </row>
    <row r="812" spans="1:8">
      <c r="A812" s="396">
        <v>11914</v>
      </c>
      <c r="B812" s="401" t="s">
        <v>9555</v>
      </c>
      <c r="C812" s="396" t="s">
        <v>2024</v>
      </c>
      <c r="D812" s="405">
        <f t="shared" si="24"/>
        <v>51.28</v>
      </c>
      <c r="F812" s="679">
        <v>51.28</v>
      </c>
      <c r="G812" s="679">
        <v>51.28</v>
      </c>
      <c r="H812" t="b">
        <f t="shared" si="25"/>
        <v>1</v>
      </c>
    </row>
    <row r="813" spans="1:8">
      <c r="A813" s="395">
        <v>11917</v>
      </c>
      <c r="B813" s="406" t="s">
        <v>9556</v>
      </c>
      <c r="C813" s="395" t="s">
        <v>2024</v>
      </c>
      <c r="D813" s="407">
        <f t="shared" si="24"/>
        <v>12.54</v>
      </c>
      <c r="F813" s="680">
        <v>12.54</v>
      </c>
      <c r="G813" s="680">
        <v>12.54</v>
      </c>
      <c r="H813" t="b">
        <f t="shared" si="25"/>
        <v>1</v>
      </c>
    </row>
    <row r="814" spans="1:8">
      <c r="A814" s="396">
        <v>11918</v>
      </c>
      <c r="B814" s="401" t="s">
        <v>9557</v>
      </c>
      <c r="C814" s="396" t="s">
        <v>2024</v>
      </c>
      <c r="D814" s="405">
        <f t="shared" si="24"/>
        <v>14.87</v>
      </c>
      <c r="F814" s="679">
        <v>14.87</v>
      </c>
      <c r="G814" s="679">
        <v>14.87</v>
      </c>
      <c r="H814" t="b">
        <f t="shared" si="25"/>
        <v>1</v>
      </c>
    </row>
    <row r="815" spans="1:8">
      <c r="A815" s="395">
        <v>37734</v>
      </c>
      <c r="B815" s="406" t="s">
        <v>9558</v>
      </c>
      <c r="C815" s="395" t="s">
        <v>2021</v>
      </c>
      <c r="D815" s="407">
        <f t="shared" si="24"/>
        <v>74006.11</v>
      </c>
      <c r="F815" s="680">
        <v>74006.11</v>
      </c>
      <c r="G815" s="680">
        <v>74006.11</v>
      </c>
      <c r="H815" t="b">
        <f t="shared" si="25"/>
        <v>1</v>
      </c>
    </row>
    <row r="816" spans="1:8">
      <c r="A816" s="396">
        <v>42251</v>
      </c>
      <c r="B816" s="401" t="s">
        <v>9559</v>
      </c>
      <c r="C816" s="396" t="s">
        <v>2021</v>
      </c>
      <c r="D816" s="405">
        <f t="shared" si="24"/>
        <v>84038.46</v>
      </c>
      <c r="F816" s="679">
        <v>84038.46</v>
      </c>
      <c r="G816" s="679">
        <v>84038.46</v>
      </c>
      <c r="H816" t="b">
        <f t="shared" si="25"/>
        <v>1</v>
      </c>
    </row>
    <row r="817" spans="1:8">
      <c r="A817" s="395">
        <v>37733</v>
      </c>
      <c r="B817" s="406" t="s">
        <v>9560</v>
      </c>
      <c r="C817" s="395" t="s">
        <v>2021</v>
      </c>
      <c r="D817" s="407">
        <f t="shared" si="24"/>
        <v>55489.51</v>
      </c>
      <c r="F817" s="680">
        <v>55489.51</v>
      </c>
      <c r="G817" s="680">
        <v>55489.51</v>
      </c>
      <c r="H817" t="b">
        <f t="shared" si="25"/>
        <v>1</v>
      </c>
    </row>
    <row r="818" spans="1:8">
      <c r="A818" s="396">
        <v>37735</v>
      </c>
      <c r="B818" s="401" t="s">
        <v>9561</v>
      </c>
      <c r="C818" s="396" t="s">
        <v>2021</v>
      </c>
      <c r="D818" s="405">
        <f t="shared" si="24"/>
        <v>66864.86</v>
      </c>
      <c r="F818" s="679">
        <v>66864.86</v>
      </c>
      <c r="G818" s="679">
        <v>66864.86</v>
      </c>
      <c r="H818" t="b">
        <f t="shared" si="25"/>
        <v>1</v>
      </c>
    </row>
    <row r="819" spans="1:8" ht="30">
      <c r="A819" s="395">
        <v>5090</v>
      </c>
      <c r="B819" s="406" t="s">
        <v>9562</v>
      </c>
      <c r="C819" s="395" t="s">
        <v>2021</v>
      </c>
      <c r="D819" s="407">
        <f t="shared" si="24"/>
        <v>22.73</v>
      </c>
      <c r="F819" s="680">
        <v>22.73</v>
      </c>
      <c r="G819" s="680">
        <v>22.73</v>
      </c>
      <c r="H819" t="b">
        <f t="shared" si="25"/>
        <v>1</v>
      </c>
    </row>
    <row r="820" spans="1:8" ht="30">
      <c r="A820" s="396">
        <v>5085</v>
      </c>
      <c r="B820" s="401" t="s">
        <v>9563</v>
      </c>
      <c r="C820" s="396" t="s">
        <v>2021</v>
      </c>
      <c r="D820" s="405">
        <f t="shared" si="24"/>
        <v>33.840000000000003</v>
      </c>
      <c r="F820" s="679">
        <v>33.840000000000003</v>
      </c>
      <c r="G820" s="679">
        <v>33.840000000000003</v>
      </c>
      <c r="H820" t="b">
        <f t="shared" si="25"/>
        <v>1</v>
      </c>
    </row>
    <row r="821" spans="1:8" ht="30">
      <c r="A821" s="395">
        <v>43603</v>
      </c>
      <c r="B821" s="406" t="s">
        <v>9564</v>
      </c>
      <c r="C821" s="395" t="s">
        <v>2021</v>
      </c>
      <c r="D821" s="407">
        <f t="shared" si="24"/>
        <v>48.34</v>
      </c>
      <c r="F821" s="680">
        <v>48.34</v>
      </c>
      <c r="G821" s="680">
        <v>48.34</v>
      </c>
      <c r="H821" t="b">
        <f t="shared" si="25"/>
        <v>1</v>
      </c>
    </row>
    <row r="822" spans="1:8">
      <c r="A822" s="396">
        <v>38374</v>
      </c>
      <c r="B822" s="401" t="s">
        <v>9565</v>
      </c>
      <c r="C822" s="396" t="s">
        <v>2021</v>
      </c>
      <c r="D822" s="405">
        <f t="shared" si="24"/>
        <v>1147.9000000000001</v>
      </c>
      <c r="F822" s="679">
        <v>1147.9000000000001</v>
      </c>
      <c r="G822" s="679">
        <v>1147.9000000000001</v>
      </c>
      <c r="H822" t="b">
        <f t="shared" si="25"/>
        <v>1</v>
      </c>
    </row>
    <row r="823" spans="1:8">
      <c r="A823" s="395">
        <v>20209</v>
      </c>
      <c r="B823" s="406" t="s">
        <v>9566</v>
      </c>
      <c r="C823" s="395" t="s">
        <v>2024</v>
      </c>
      <c r="D823" s="407">
        <f t="shared" si="24"/>
        <v>24.08</v>
      </c>
      <c r="F823" s="680">
        <v>24.08</v>
      </c>
      <c r="G823" s="680">
        <v>24.08</v>
      </c>
      <c r="H823" t="b">
        <f t="shared" si="25"/>
        <v>1</v>
      </c>
    </row>
    <row r="824" spans="1:8">
      <c r="A824" s="396">
        <v>20212</v>
      </c>
      <c r="B824" s="401" t="s">
        <v>9567</v>
      </c>
      <c r="C824" s="396" t="s">
        <v>2024</v>
      </c>
      <c r="D824" s="405">
        <f t="shared" si="24"/>
        <v>20.16</v>
      </c>
      <c r="F824" s="679">
        <v>20.16</v>
      </c>
      <c r="G824" s="679">
        <v>20.16</v>
      </c>
      <c r="H824" t="b">
        <f t="shared" si="25"/>
        <v>1</v>
      </c>
    </row>
    <row r="825" spans="1:8">
      <c r="A825" s="395">
        <v>4430</v>
      </c>
      <c r="B825" s="406" t="s">
        <v>9568</v>
      </c>
      <c r="C825" s="395" t="s">
        <v>2024</v>
      </c>
      <c r="D825" s="407">
        <f t="shared" si="24"/>
        <v>11.8</v>
      </c>
      <c r="F825" s="680">
        <v>11.8</v>
      </c>
      <c r="G825" s="680">
        <v>11.8</v>
      </c>
      <c r="H825" t="b">
        <f t="shared" si="25"/>
        <v>1</v>
      </c>
    </row>
    <row r="826" spans="1:8">
      <c r="A826" s="396">
        <v>4433</v>
      </c>
      <c r="B826" s="401" t="s">
        <v>9569</v>
      </c>
      <c r="C826" s="396" t="s">
        <v>2024</v>
      </c>
      <c r="D826" s="405">
        <f t="shared" si="24"/>
        <v>23.07</v>
      </c>
      <c r="F826" s="679">
        <v>23.07</v>
      </c>
      <c r="G826" s="679">
        <v>23.07</v>
      </c>
      <c r="H826" t="b">
        <f t="shared" si="25"/>
        <v>1</v>
      </c>
    </row>
    <row r="827" spans="1:8">
      <c r="A827" s="395">
        <v>4400</v>
      </c>
      <c r="B827" s="406" t="s">
        <v>9570</v>
      </c>
      <c r="C827" s="395" t="s">
        <v>2024</v>
      </c>
      <c r="D827" s="407">
        <f t="shared" si="24"/>
        <v>18.78</v>
      </c>
      <c r="F827" s="680">
        <v>18.78</v>
      </c>
      <c r="G827" s="680">
        <v>18.78</v>
      </c>
      <c r="H827" t="b">
        <f t="shared" si="25"/>
        <v>1</v>
      </c>
    </row>
    <row r="828" spans="1:8">
      <c r="A828" s="396">
        <v>2729</v>
      </c>
      <c r="B828" s="401" t="s">
        <v>9571</v>
      </c>
      <c r="C828" s="396" t="s">
        <v>2021</v>
      </c>
      <c r="D828" s="405">
        <f t="shared" si="24"/>
        <v>31.17</v>
      </c>
      <c r="F828" s="679">
        <v>31.17</v>
      </c>
      <c r="G828" s="679">
        <v>31.17</v>
      </c>
      <c r="H828" t="b">
        <f t="shared" si="25"/>
        <v>1</v>
      </c>
    </row>
    <row r="829" spans="1:8">
      <c r="A829" s="395">
        <v>4513</v>
      </c>
      <c r="B829" s="406" t="s">
        <v>9572</v>
      </c>
      <c r="C829" s="395" t="s">
        <v>2024</v>
      </c>
      <c r="D829" s="407">
        <f t="shared" si="24"/>
        <v>9.11</v>
      </c>
      <c r="F829" s="680">
        <v>9.11</v>
      </c>
      <c r="G829" s="680">
        <v>9.11</v>
      </c>
      <c r="H829" t="b">
        <f t="shared" si="25"/>
        <v>1</v>
      </c>
    </row>
    <row r="830" spans="1:8">
      <c r="A830" s="396">
        <v>11871</v>
      </c>
      <c r="B830" s="401" t="s">
        <v>9573</v>
      </c>
      <c r="C830" s="396" t="s">
        <v>2021</v>
      </c>
      <c r="D830" s="405">
        <f t="shared" si="24"/>
        <v>460</v>
      </c>
      <c r="F830" s="679">
        <v>460</v>
      </c>
      <c r="G830" s="679">
        <v>460</v>
      </c>
      <c r="H830" t="b">
        <f t="shared" si="25"/>
        <v>1</v>
      </c>
    </row>
    <row r="831" spans="1:8">
      <c r="A831" s="395">
        <v>34636</v>
      </c>
      <c r="B831" s="406" t="s">
        <v>9574</v>
      </c>
      <c r="C831" s="395" t="s">
        <v>2021</v>
      </c>
      <c r="D831" s="407">
        <f t="shared" si="24"/>
        <v>444.9</v>
      </c>
      <c r="F831" s="680">
        <v>444.9</v>
      </c>
      <c r="G831" s="680">
        <v>444.9</v>
      </c>
      <c r="H831" t="b">
        <f t="shared" si="25"/>
        <v>1</v>
      </c>
    </row>
    <row r="832" spans="1:8">
      <c r="A832" s="396">
        <v>34639</v>
      </c>
      <c r="B832" s="401" t="s">
        <v>9575</v>
      </c>
      <c r="C832" s="396" t="s">
        <v>2021</v>
      </c>
      <c r="D832" s="405">
        <f t="shared" si="24"/>
        <v>903.59</v>
      </c>
      <c r="F832" s="679">
        <v>903.59</v>
      </c>
      <c r="G832" s="679">
        <v>903.59</v>
      </c>
      <c r="H832" t="b">
        <f t="shared" si="25"/>
        <v>1</v>
      </c>
    </row>
    <row r="833" spans="1:8">
      <c r="A833" s="395">
        <v>34640</v>
      </c>
      <c r="B833" s="406" t="s">
        <v>9576</v>
      </c>
      <c r="C833" s="395" t="s">
        <v>2021</v>
      </c>
      <c r="D833" s="407">
        <f t="shared" si="24"/>
        <v>1014.96</v>
      </c>
      <c r="F833" s="680">
        <v>1014.96</v>
      </c>
      <c r="G833" s="680">
        <v>1014.96</v>
      </c>
      <c r="H833" t="b">
        <f t="shared" si="25"/>
        <v>1</v>
      </c>
    </row>
    <row r="834" spans="1:8">
      <c r="A834" s="396">
        <v>34637</v>
      </c>
      <c r="B834" s="401" t="s">
        <v>9577</v>
      </c>
      <c r="C834" s="396" t="s">
        <v>2021</v>
      </c>
      <c r="D834" s="405">
        <f t="shared" si="24"/>
        <v>255.44</v>
      </c>
      <c r="F834" s="679">
        <v>255.44</v>
      </c>
      <c r="G834" s="679">
        <v>255.44</v>
      </c>
      <c r="H834" t="b">
        <f t="shared" si="25"/>
        <v>1</v>
      </c>
    </row>
    <row r="835" spans="1:8">
      <c r="A835" s="395">
        <v>34638</v>
      </c>
      <c r="B835" s="406" t="s">
        <v>9578</v>
      </c>
      <c r="C835" s="395" t="s">
        <v>2021</v>
      </c>
      <c r="D835" s="407">
        <f t="shared" ref="D835:D898" si="26">IF($J$2=$F$1,F835,G835)</f>
        <v>438.04</v>
      </c>
      <c r="F835" s="680">
        <v>438.04</v>
      </c>
      <c r="G835" s="680">
        <v>438.04</v>
      </c>
      <c r="H835" t="b">
        <f t="shared" ref="H835:H898" si="27">F835=G835</f>
        <v>1</v>
      </c>
    </row>
    <row r="836" spans="1:8">
      <c r="A836" s="396">
        <v>11868</v>
      </c>
      <c r="B836" s="401" t="s">
        <v>9579</v>
      </c>
      <c r="C836" s="396" t="s">
        <v>2021</v>
      </c>
      <c r="D836" s="405">
        <f t="shared" si="26"/>
        <v>632.21</v>
      </c>
      <c r="F836" s="679">
        <v>632.21</v>
      </c>
      <c r="G836" s="679">
        <v>632.21</v>
      </c>
      <c r="H836" t="b">
        <f t="shared" si="27"/>
        <v>1</v>
      </c>
    </row>
    <row r="837" spans="1:8">
      <c r="A837" s="395">
        <v>37106</v>
      </c>
      <c r="B837" s="406" t="s">
        <v>9580</v>
      </c>
      <c r="C837" s="395" t="s">
        <v>2021</v>
      </c>
      <c r="D837" s="407">
        <f t="shared" si="26"/>
        <v>6106.4</v>
      </c>
      <c r="F837" s="680">
        <v>6106.4</v>
      </c>
      <c r="G837" s="680">
        <v>6106.4</v>
      </c>
      <c r="H837" t="b">
        <f t="shared" si="27"/>
        <v>1</v>
      </c>
    </row>
    <row r="838" spans="1:8">
      <c r="A838" s="396">
        <v>11869</v>
      </c>
      <c r="B838" s="401" t="s">
        <v>9581</v>
      </c>
      <c r="C838" s="396" t="s">
        <v>2021</v>
      </c>
      <c r="D838" s="405">
        <f t="shared" si="26"/>
        <v>1025.74</v>
      </c>
      <c r="F838" s="679">
        <v>1025.74</v>
      </c>
      <c r="G838" s="679">
        <v>1025.74</v>
      </c>
      <c r="H838" t="b">
        <f t="shared" si="27"/>
        <v>1</v>
      </c>
    </row>
    <row r="839" spans="1:8">
      <c r="A839" s="395">
        <v>37104</v>
      </c>
      <c r="B839" s="406" t="s">
        <v>9582</v>
      </c>
      <c r="C839" s="395" t="s">
        <v>2021</v>
      </c>
      <c r="D839" s="407">
        <f t="shared" si="26"/>
        <v>1322.25</v>
      </c>
      <c r="F839" s="680">
        <v>1322.25</v>
      </c>
      <c r="G839" s="680">
        <v>1322.25</v>
      </c>
      <c r="H839" t="b">
        <f t="shared" si="27"/>
        <v>1</v>
      </c>
    </row>
    <row r="840" spans="1:8">
      <c r="A840" s="396">
        <v>37105</v>
      </c>
      <c r="B840" s="401" t="s">
        <v>9583</v>
      </c>
      <c r="C840" s="396" t="s">
        <v>2021</v>
      </c>
      <c r="D840" s="405">
        <f t="shared" si="26"/>
        <v>2944.85</v>
      </c>
      <c r="F840" s="679">
        <v>2944.85</v>
      </c>
      <c r="G840" s="679">
        <v>2944.85</v>
      </c>
      <c r="H840" t="b">
        <f t="shared" si="27"/>
        <v>1</v>
      </c>
    </row>
    <row r="841" spans="1:8">
      <c r="A841" s="395">
        <v>34641</v>
      </c>
      <c r="B841" s="406" t="s">
        <v>9584</v>
      </c>
      <c r="C841" s="395" t="s">
        <v>2021</v>
      </c>
      <c r="D841" s="407">
        <f t="shared" si="26"/>
        <v>107.25</v>
      </c>
      <c r="F841" s="680">
        <v>107.25</v>
      </c>
      <c r="G841" s="680">
        <v>107.25</v>
      </c>
      <c r="H841" t="b">
        <f t="shared" si="27"/>
        <v>1</v>
      </c>
    </row>
    <row r="842" spans="1:8">
      <c r="A842" s="396">
        <v>43434</v>
      </c>
      <c r="B842" s="401" t="s">
        <v>9585</v>
      </c>
      <c r="C842" s="396" t="s">
        <v>2021</v>
      </c>
      <c r="D842" s="405">
        <f t="shared" si="26"/>
        <v>115.96</v>
      </c>
      <c r="F842" s="679">
        <v>115.96</v>
      </c>
      <c r="G842" s="679">
        <v>115.96</v>
      </c>
      <c r="H842" t="b">
        <f t="shared" si="27"/>
        <v>1</v>
      </c>
    </row>
    <row r="843" spans="1:8">
      <c r="A843" s="395">
        <v>43435</v>
      </c>
      <c r="B843" s="406" t="s">
        <v>9586</v>
      </c>
      <c r="C843" s="395" t="s">
        <v>2021</v>
      </c>
      <c r="D843" s="407">
        <f t="shared" si="26"/>
        <v>212.6</v>
      </c>
      <c r="F843" s="680">
        <v>212.6</v>
      </c>
      <c r="G843" s="680">
        <v>212.6</v>
      </c>
      <c r="H843" t="b">
        <f t="shared" si="27"/>
        <v>1</v>
      </c>
    </row>
    <row r="844" spans="1:8">
      <c r="A844" s="396">
        <v>43436</v>
      </c>
      <c r="B844" s="401" t="s">
        <v>9587</v>
      </c>
      <c r="C844" s="396" t="s">
        <v>2021</v>
      </c>
      <c r="D844" s="405">
        <f t="shared" si="26"/>
        <v>372.05</v>
      </c>
      <c r="F844" s="679">
        <v>372.05</v>
      </c>
      <c r="G844" s="679">
        <v>372.05</v>
      </c>
      <c r="H844" t="b">
        <f t="shared" si="27"/>
        <v>1</v>
      </c>
    </row>
    <row r="845" spans="1:8">
      <c r="A845" s="395">
        <v>43437</v>
      </c>
      <c r="B845" s="406" t="s">
        <v>9588</v>
      </c>
      <c r="C845" s="395" t="s">
        <v>2021</v>
      </c>
      <c r="D845" s="407">
        <f t="shared" si="26"/>
        <v>674.53</v>
      </c>
      <c r="F845" s="680">
        <v>674.53</v>
      </c>
      <c r="G845" s="680">
        <v>674.53</v>
      </c>
      <c r="H845" t="b">
        <f t="shared" si="27"/>
        <v>1</v>
      </c>
    </row>
    <row r="846" spans="1:8">
      <c r="A846" s="396">
        <v>43438</v>
      </c>
      <c r="B846" s="401" t="s">
        <v>9589</v>
      </c>
      <c r="C846" s="396" t="s">
        <v>2021</v>
      </c>
      <c r="D846" s="405">
        <f t="shared" si="26"/>
        <v>1207.98</v>
      </c>
      <c r="F846" s="679">
        <v>1207.98</v>
      </c>
      <c r="G846" s="679">
        <v>1207.98</v>
      </c>
      <c r="H846" t="b">
        <f t="shared" si="27"/>
        <v>1</v>
      </c>
    </row>
    <row r="847" spans="1:8">
      <c r="A847" s="395">
        <v>41627</v>
      </c>
      <c r="B847" s="406" t="s">
        <v>9590</v>
      </c>
      <c r="C847" s="395" t="s">
        <v>2021</v>
      </c>
      <c r="D847" s="407">
        <f t="shared" si="26"/>
        <v>178.78</v>
      </c>
      <c r="F847" s="680">
        <v>178.78</v>
      </c>
      <c r="G847" s="680">
        <v>178.78</v>
      </c>
      <c r="H847" t="b">
        <f t="shared" si="27"/>
        <v>1</v>
      </c>
    </row>
    <row r="848" spans="1:8">
      <c r="A848" s="396">
        <v>41628</v>
      </c>
      <c r="B848" s="401" t="s">
        <v>9591</v>
      </c>
      <c r="C848" s="396" t="s">
        <v>2021</v>
      </c>
      <c r="D848" s="405">
        <f t="shared" si="26"/>
        <v>328.57</v>
      </c>
      <c r="F848" s="679">
        <v>328.57</v>
      </c>
      <c r="G848" s="679">
        <v>328.57</v>
      </c>
      <c r="H848" t="b">
        <f t="shared" si="27"/>
        <v>1</v>
      </c>
    </row>
    <row r="849" spans="1:8">
      <c r="A849" s="395">
        <v>41629</v>
      </c>
      <c r="B849" s="406" t="s">
        <v>9592</v>
      </c>
      <c r="C849" s="395" t="s">
        <v>2021</v>
      </c>
      <c r="D849" s="407">
        <f t="shared" si="26"/>
        <v>417.47</v>
      </c>
      <c r="F849" s="680">
        <v>417.47</v>
      </c>
      <c r="G849" s="680">
        <v>417.47</v>
      </c>
      <c r="H849" t="b">
        <f t="shared" si="27"/>
        <v>1</v>
      </c>
    </row>
    <row r="850" spans="1:8">
      <c r="A850" s="396">
        <v>43429</v>
      </c>
      <c r="B850" s="401" t="s">
        <v>9593</v>
      </c>
      <c r="C850" s="396" t="s">
        <v>2021</v>
      </c>
      <c r="D850" s="405">
        <f t="shared" si="26"/>
        <v>92.5</v>
      </c>
      <c r="F850" s="679">
        <v>92.5</v>
      </c>
      <c r="G850" s="679">
        <v>92.5</v>
      </c>
      <c r="H850" t="b">
        <f t="shared" si="27"/>
        <v>1</v>
      </c>
    </row>
    <row r="851" spans="1:8">
      <c r="A851" s="395">
        <v>43430</v>
      </c>
      <c r="B851" s="406" t="s">
        <v>9594</v>
      </c>
      <c r="C851" s="395" t="s">
        <v>2021</v>
      </c>
      <c r="D851" s="407">
        <f t="shared" si="26"/>
        <v>153.65</v>
      </c>
      <c r="F851" s="680">
        <v>153.65</v>
      </c>
      <c r="G851" s="680">
        <v>153.65</v>
      </c>
      <c r="H851" t="b">
        <f t="shared" si="27"/>
        <v>1</v>
      </c>
    </row>
    <row r="852" spans="1:8">
      <c r="A852" s="396">
        <v>43431</v>
      </c>
      <c r="B852" s="401" t="s">
        <v>9595</v>
      </c>
      <c r="C852" s="396" t="s">
        <v>2021</v>
      </c>
      <c r="D852" s="405">
        <f t="shared" si="26"/>
        <v>297.64</v>
      </c>
      <c r="F852" s="679">
        <v>297.64</v>
      </c>
      <c r="G852" s="679">
        <v>297.64</v>
      </c>
      <c r="H852" t="b">
        <f t="shared" si="27"/>
        <v>1</v>
      </c>
    </row>
    <row r="853" spans="1:8">
      <c r="A853" s="395">
        <v>43432</v>
      </c>
      <c r="B853" s="406" t="s">
        <v>9596</v>
      </c>
      <c r="C853" s="395" t="s">
        <v>2021</v>
      </c>
      <c r="D853" s="407">
        <f t="shared" si="26"/>
        <v>618.48</v>
      </c>
      <c r="F853" s="680">
        <v>618.48</v>
      </c>
      <c r="G853" s="680">
        <v>618.48</v>
      </c>
      <c r="H853" t="b">
        <f t="shared" si="27"/>
        <v>1</v>
      </c>
    </row>
    <row r="854" spans="1:8">
      <c r="A854" s="396">
        <v>43433</v>
      </c>
      <c r="B854" s="401" t="s">
        <v>9597</v>
      </c>
      <c r="C854" s="396" t="s">
        <v>2021</v>
      </c>
      <c r="D854" s="405">
        <f t="shared" si="26"/>
        <v>975.08</v>
      </c>
      <c r="F854" s="679">
        <v>975.08</v>
      </c>
      <c r="G854" s="679">
        <v>975.08</v>
      </c>
      <c r="H854" t="b">
        <f t="shared" si="27"/>
        <v>1</v>
      </c>
    </row>
    <row r="855" spans="1:8" ht="30">
      <c r="A855" s="395">
        <v>43094</v>
      </c>
      <c r="B855" s="406" t="s">
        <v>9598</v>
      </c>
      <c r="C855" s="395" t="s">
        <v>2021</v>
      </c>
      <c r="D855" s="407">
        <f t="shared" si="26"/>
        <v>297.39999999999998</v>
      </c>
      <c r="F855" s="680">
        <v>297.39999999999998</v>
      </c>
      <c r="G855" s="680">
        <v>297.39999999999998</v>
      </c>
      <c r="H855" t="b">
        <f t="shared" si="27"/>
        <v>1</v>
      </c>
    </row>
    <row r="856" spans="1:8" ht="30">
      <c r="A856" s="396">
        <v>43093</v>
      </c>
      <c r="B856" s="401" t="s">
        <v>9599</v>
      </c>
      <c r="C856" s="396" t="s">
        <v>2021</v>
      </c>
      <c r="D856" s="405">
        <f t="shared" si="26"/>
        <v>316.05</v>
      </c>
      <c r="F856" s="679">
        <v>316.05</v>
      </c>
      <c r="G856" s="679">
        <v>316.05</v>
      </c>
      <c r="H856" t="b">
        <f t="shared" si="27"/>
        <v>1</v>
      </c>
    </row>
    <row r="857" spans="1:8">
      <c r="A857" s="395">
        <v>1030</v>
      </c>
      <c r="B857" s="406" t="s">
        <v>9600</v>
      </c>
      <c r="C857" s="395" t="s">
        <v>2021</v>
      </c>
      <c r="D857" s="407">
        <f t="shared" si="26"/>
        <v>47.73</v>
      </c>
      <c r="F857" s="680">
        <v>47.73</v>
      </c>
      <c r="G857" s="680">
        <v>47.73</v>
      </c>
      <c r="H857" t="b">
        <f t="shared" si="27"/>
        <v>1</v>
      </c>
    </row>
    <row r="858" spans="1:8">
      <c r="A858" s="396">
        <v>11694</v>
      </c>
      <c r="B858" s="401" t="s">
        <v>9601</v>
      </c>
      <c r="C858" s="396" t="s">
        <v>2021</v>
      </c>
      <c r="D858" s="405">
        <f t="shared" si="26"/>
        <v>1055.08</v>
      </c>
      <c r="F858" s="679">
        <v>1055.08</v>
      </c>
      <c r="G858" s="679">
        <v>1055.08</v>
      </c>
      <c r="H858" t="b">
        <f t="shared" si="27"/>
        <v>1</v>
      </c>
    </row>
    <row r="859" spans="1:8" ht="30">
      <c r="A859" s="395">
        <v>11881</v>
      </c>
      <c r="B859" s="406" t="s">
        <v>9602</v>
      </c>
      <c r="C859" s="395" t="s">
        <v>2021</v>
      </c>
      <c r="D859" s="407">
        <f t="shared" si="26"/>
        <v>164.28</v>
      </c>
      <c r="F859" s="680">
        <v>164.28</v>
      </c>
      <c r="G859" s="680">
        <v>164.28</v>
      </c>
      <c r="H859" t="b">
        <f t="shared" si="27"/>
        <v>1</v>
      </c>
    </row>
    <row r="860" spans="1:8" ht="30">
      <c r="A860" s="396">
        <v>35277</v>
      </c>
      <c r="B860" s="401" t="s">
        <v>9603</v>
      </c>
      <c r="C860" s="396" t="s">
        <v>2021</v>
      </c>
      <c r="D860" s="405">
        <f t="shared" si="26"/>
        <v>458.41</v>
      </c>
      <c r="F860" s="679">
        <v>458.41</v>
      </c>
      <c r="G860" s="679">
        <v>458.41</v>
      </c>
      <c r="H860" t="b">
        <f t="shared" si="27"/>
        <v>1</v>
      </c>
    </row>
    <row r="861" spans="1:8" ht="45">
      <c r="A861" s="395">
        <v>10521</v>
      </c>
      <c r="B861" s="406" t="s">
        <v>9604</v>
      </c>
      <c r="C861" s="395" t="s">
        <v>2021</v>
      </c>
      <c r="D861" s="407">
        <f t="shared" si="26"/>
        <v>303.52999999999997</v>
      </c>
      <c r="F861" s="680">
        <v>303.52999999999997</v>
      </c>
      <c r="G861" s="680">
        <v>303.52999999999997</v>
      </c>
      <c r="H861" t="b">
        <f t="shared" si="27"/>
        <v>1</v>
      </c>
    </row>
    <row r="862" spans="1:8" ht="45">
      <c r="A862" s="396">
        <v>10885</v>
      </c>
      <c r="B862" s="401" t="s">
        <v>9605</v>
      </c>
      <c r="C862" s="396" t="s">
        <v>2021</v>
      </c>
      <c r="D862" s="405">
        <f t="shared" si="26"/>
        <v>383.93</v>
      </c>
      <c r="F862" s="679">
        <v>383.93</v>
      </c>
      <c r="G862" s="679">
        <v>383.93</v>
      </c>
      <c r="H862" t="b">
        <f t="shared" si="27"/>
        <v>1</v>
      </c>
    </row>
    <row r="863" spans="1:8" ht="45">
      <c r="A863" s="395">
        <v>20962</v>
      </c>
      <c r="B863" s="406" t="s">
        <v>9606</v>
      </c>
      <c r="C863" s="395" t="s">
        <v>2021</v>
      </c>
      <c r="D863" s="407">
        <f t="shared" si="26"/>
        <v>317.99</v>
      </c>
      <c r="F863" s="680">
        <v>317.99</v>
      </c>
      <c r="G863" s="680">
        <v>317.99</v>
      </c>
      <c r="H863" t="b">
        <f t="shared" si="27"/>
        <v>1</v>
      </c>
    </row>
    <row r="864" spans="1:8" ht="45">
      <c r="A864" s="396">
        <v>20963</v>
      </c>
      <c r="B864" s="401" t="s">
        <v>9607</v>
      </c>
      <c r="C864" s="396" t="s">
        <v>2021</v>
      </c>
      <c r="D864" s="405">
        <f t="shared" si="26"/>
        <v>388.45</v>
      </c>
      <c r="F864" s="679">
        <v>388.45</v>
      </c>
      <c r="G864" s="679">
        <v>388.45</v>
      </c>
      <c r="H864" t="b">
        <f t="shared" si="27"/>
        <v>1</v>
      </c>
    </row>
    <row r="865" spans="1:8">
      <c r="A865" s="395">
        <v>34643</v>
      </c>
      <c r="B865" s="406" t="s">
        <v>9608</v>
      </c>
      <c r="C865" s="395" t="s">
        <v>2021</v>
      </c>
      <c r="D865" s="407">
        <f t="shared" si="26"/>
        <v>52.79</v>
      </c>
      <c r="F865" s="680">
        <v>52.79</v>
      </c>
      <c r="G865" s="680">
        <v>52.79</v>
      </c>
      <c r="H865" t="b">
        <f t="shared" si="27"/>
        <v>1</v>
      </c>
    </row>
    <row r="866" spans="1:8">
      <c r="A866" s="396">
        <v>41480</v>
      </c>
      <c r="B866" s="401" t="s">
        <v>9609</v>
      </c>
      <c r="C866" s="396" t="s">
        <v>2021</v>
      </c>
      <c r="D866" s="405">
        <f t="shared" si="26"/>
        <v>61.21</v>
      </c>
      <c r="F866" s="679">
        <v>61.21</v>
      </c>
      <c r="G866" s="679">
        <v>61.21</v>
      </c>
      <c r="H866" t="b">
        <f t="shared" si="27"/>
        <v>1</v>
      </c>
    </row>
    <row r="867" spans="1:8">
      <c r="A867" s="395">
        <v>41474</v>
      </c>
      <c r="B867" s="406" t="s">
        <v>9610</v>
      </c>
      <c r="C867" s="395" t="s">
        <v>2021</v>
      </c>
      <c r="D867" s="407">
        <f t="shared" si="26"/>
        <v>97.78</v>
      </c>
      <c r="F867" s="680">
        <v>97.78</v>
      </c>
      <c r="G867" s="680">
        <v>97.78</v>
      </c>
      <c r="H867" t="b">
        <f t="shared" si="27"/>
        <v>1</v>
      </c>
    </row>
    <row r="868" spans="1:8">
      <c r="A868" s="396">
        <v>41475</v>
      </c>
      <c r="B868" s="401" t="s">
        <v>9611</v>
      </c>
      <c r="C868" s="396" t="s">
        <v>2021</v>
      </c>
      <c r="D868" s="405">
        <f t="shared" si="26"/>
        <v>83.43</v>
      </c>
      <c r="F868" s="679">
        <v>83.43</v>
      </c>
      <c r="G868" s="679">
        <v>83.43</v>
      </c>
      <c r="H868" t="b">
        <f t="shared" si="27"/>
        <v>1</v>
      </c>
    </row>
    <row r="869" spans="1:8">
      <c r="A869" s="395">
        <v>41476</v>
      </c>
      <c r="B869" s="406" t="s">
        <v>9612</v>
      </c>
      <c r="C869" s="395" t="s">
        <v>2021</v>
      </c>
      <c r="D869" s="407">
        <f t="shared" si="26"/>
        <v>182.68</v>
      </c>
      <c r="F869" s="680">
        <v>182.68</v>
      </c>
      <c r="G869" s="680">
        <v>182.68</v>
      </c>
      <c r="H869" t="b">
        <f t="shared" si="27"/>
        <v>1</v>
      </c>
    </row>
    <row r="870" spans="1:8">
      <c r="A870" s="396">
        <v>2555</v>
      </c>
      <c r="B870" s="401" t="s">
        <v>9613</v>
      </c>
      <c r="C870" s="396" t="s">
        <v>2021</v>
      </c>
      <c r="D870" s="405">
        <f t="shared" si="26"/>
        <v>1.59</v>
      </c>
      <c r="F870" s="679">
        <v>1.59</v>
      </c>
      <c r="G870" s="679">
        <v>1.59</v>
      </c>
      <c r="H870" t="b">
        <f t="shared" si="27"/>
        <v>1</v>
      </c>
    </row>
    <row r="871" spans="1:8">
      <c r="A871" s="395">
        <v>2556</v>
      </c>
      <c r="B871" s="406" t="s">
        <v>9614</v>
      </c>
      <c r="C871" s="395" t="s">
        <v>2021</v>
      </c>
      <c r="D871" s="407">
        <f t="shared" si="26"/>
        <v>1.65</v>
      </c>
      <c r="F871" s="680">
        <v>1.65</v>
      </c>
      <c r="G871" s="680">
        <v>1.65</v>
      </c>
      <c r="H871" t="b">
        <f t="shared" si="27"/>
        <v>1</v>
      </c>
    </row>
    <row r="872" spans="1:8">
      <c r="A872" s="396">
        <v>2557</v>
      </c>
      <c r="B872" s="401" t="s">
        <v>9615</v>
      </c>
      <c r="C872" s="396" t="s">
        <v>2021</v>
      </c>
      <c r="D872" s="405">
        <f t="shared" si="26"/>
        <v>3.49</v>
      </c>
      <c r="F872" s="679">
        <v>3.49</v>
      </c>
      <c r="G872" s="679">
        <v>3.49</v>
      </c>
      <c r="H872" t="b">
        <f t="shared" si="27"/>
        <v>1</v>
      </c>
    </row>
    <row r="873" spans="1:8">
      <c r="A873" s="395">
        <v>10569</v>
      </c>
      <c r="B873" s="406" t="s">
        <v>9616</v>
      </c>
      <c r="C873" s="395" t="s">
        <v>2021</v>
      </c>
      <c r="D873" s="407">
        <f t="shared" si="26"/>
        <v>3.49</v>
      </c>
      <c r="F873" s="680">
        <v>3.49</v>
      </c>
      <c r="G873" s="680">
        <v>3.49</v>
      </c>
      <c r="H873" t="b">
        <f t="shared" si="27"/>
        <v>1</v>
      </c>
    </row>
    <row r="874" spans="1:8">
      <c r="A874" s="396">
        <v>39810</v>
      </c>
      <c r="B874" s="401" t="s">
        <v>9617</v>
      </c>
      <c r="C874" s="396" t="s">
        <v>2021</v>
      </c>
      <c r="D874" s="405">
        <f t="shared" si="26"/>
        <v>40.130000000000003</v>
      </c>
      <c r="F874" s="679">
        <v>40.130000000000003</v>
      </c>
      <c r="G874" s="679">
        <v>40.130000000000003</v>
      </c>
      <c r="H874" t="b">
        <f t="shared" si="27"/>
        <v>1</v>
      </c>
    </row>
    <row r="875" spans="1:8">
      <c r="A875" s="395">
        <v>39811</v>
      </c>
      <c r="B875" s="406" t="s">
        <v>9618</v>
      </c>
      <c r="C875" s="395" t="s">
        <v>2021</v>
      </c>
      <c r="D875" s="407">
        <f t="shared" si="26"/>
        <v>49.09</v>
      </c>
      <c r="F875" s="680">
        <v>49.09</v>
      </c>
      <c r="G875" s="680">
        <v>49.09</v>
      </c>
      <c r="H875" t="b">
        <f t="shared" si="27"/>
        <v>1</v>
      </c>
    </row>
    <row r="876" spans="1:8">
      <c r="A876" s="396">
        <v>39812</v>
      </c>
      <c r="B876" s="401" t="s">
        <v>9619</v>
      </c>
      <c r="C876" s="396" t="s">
        <v>2021</v>
      </c>
      <c r="D876" s="405">
        <f t="shared" si="26"/>
        <v>80.72</v>
      </c>
      <c r="F876" s="679">
        <v>80.72</v>
      </c>
      <c r="G876" s="679">
        <v>80.72</v>
      </c>
      <c r="H876" t="b">
        <f t="shared" si="27"/>
        <v>1</v>
      </c>
    </row>
    <row r="877" spans="1:8" ht="30">
      <c r="A877" s="395">
        <v>43096</v>
      </c>
      <c r="B877" s="406" t="s">
        <v>9620</v>
      </c>
      <c r="C877" s="395" t="s">
        <v>2021</v>
      </c>
      <c r="D877" s="407">
        <f t="shared" si="26"/>
        <v>267.57</v>
      </c>
      <c r="F877" s="680">
        <v>267.57</v>
      </c>
      <c r="G877" s="680">
        <v>267.57</v>
      </c>
      <c r="H877" t="b">
        <f t="shared" si="27"/>
        <v>1</v>
      </c>
    </row>
    <row r="878" spans="1:8">
      <c r="A878" s="396">
        <v>43102</v>
      </c>
      <c r="B878" s="401" t="s">
        <v>9621</v>
      </c>
      <c r="C878" s="396" t="s">
        <v>2021</v>
      </c>
      <c r="D878" s="405">
        <f t="shared" si="26"/>
        <v>162.69</v>
      </c>
      <c r="F878" s="679">
        <v>162.69</v>
      </c>
      <c r="G878" s="679">
        <v>162.69</v>
      </c>
      <c r="H878" t="b">
        <f t="shared" si="27"/>
        <v>1</v>
      </c>
    </row>
    <row r="879" spans="1:8">
      <c r="A879" s="395">
        <v>43103</v>
      </c>
      <c r="B879" s="406" t="s">
        <v>9622</v>
      </c>
      <c r="C879" s="395" t="s">
        <v>2021</v>
      </c>
      <c r="D879" s="407">
        <f t="shared" si="26"/>
        <v>239.57</v>
      </c>
      <c r="F879" s="680">
        <v>239.57</v>
      </c>
      <c r="G879" s="680">
        <v>239.57</v>
      </c>
      <c r="H879" t="b">
        <f t="shared" si="27"/>
        <v>1</v>
      </c>
    </row>
    <row r="880" spans="1:8" ht="30">
      <c r="A880" s="396">
        <v>43098</v>
      </c>
      <c r="B880" s="401" t="s">
        <v>9623</v>
      </c>
      <c r="C880" s="396" t="s">
        <v>2021</v>
      </c>
      <c r="D880" s="405">
        <f t="shared" si="26"/>
        <v>90.63</v>
      </c>
      <c r="F880" s="679">
        <v>90.63</v>
      </c>
      <c r="G880" s="679">
        <v>90.63</v>
      </c>
      <c r="H880" t="b">
        <f t="shared" si="27"/>
        <v>1</v>
      </c>
    </row>
    <row r="881" spans="1:8" ht="30">
      <c r="A881" s="395">
        <v>43097</v>
      </c>
      <c r="B881" s="406" t="s">
        <v>9624</v>
      </c>
      <c r="C881" s="395" t="s">
        <v>2021</v>
      </c>
      <c r="D881" s="407">
        <f t="shared" si="26"/>
        <v>53.69</v>
      </c>
      <c r="F881" s="680">
        <v>53.69</v>
      </c>
      <c r="G881" s="680">
        <v>53.69</v>
      </c>
      <c r="H881" t="b">
        <f t="shared" si="27"/>
        <v>1</v>
      </c>
    </row>
    <row r="882" spans="1:8">
      <c r="A882" s="396">
        <v>43104</v>
      </c>
      <c r="B882" s="401" t="s">
        <v>9625</v>
      </c>
      <c r="C882" s="396" t="s">
        <v>2021</v>
      </c>
      <c r="D882" s="405">
        <f t="shared" si="26"/>
        <v>635.16999999999996</v>
      </c>
      <c r="F882" s="679">
        <v>635.16999999999996</v>
      </c>
      <c r="G882" s="679">
        <v>635.16999999999996</v>
      </c>
      <c r="H882" t="b">
        <f t="shared" si="27"/>
        <v>1</v>
      </c>
    </row>
    <row r="883" spans="1:8">
      <c r="A883" s="395">
        <v>39771</v>
      </c>
      <c r="B883" s="406" t="s">
        <v>9626</v>
      </c>
      <c r="C883" s="395" t="s">
        <v>2021</v>
      </c>
      <c r="D883" s="407">
        <f t="shared" si="26"/>
        <v>33.53</v>
      </c>
      <c r="F883" s="680">
        <v>33.53</v>
      </c>
      <c r="G883" s="680">
        <v>33.53</v>
      </c>
      <c r="H883" t="b">
        <f t="shared" si="27"/>
        <v>1</v>
      </c>
    </row>
    <row r="884" spans="1:8">
      <c r="A884" s="396">
        <v>39772</v>
      </c>
      <c r="B884" s="401" t="s">
        <v>9627</v>
      </c>
      <c r="C884" s="396" t="s">
        <v>2021</v>
      </c>
      <c r="D884" s="405">
        <f t="shared" si="26"/>
        <v>65.91</v>
      </c>
      <c r="F884" s="679">
        <v>65.91</v>
      </c>
      <c r="G884" s="679">
        <v>65.91</v>
      </c>
      <c r="H884" t="b">
        <f t="shared" si="27"/>
        <v>1</v>
      </c>
    </row>
    <row r="885" spans="1:8">
      <c r="A885" s="395">
        <v>39773</v>
      </c>
      <c r="B885" s="406" t="s">
        <v>9628</v>
      </c>
      <c r="C885" s="395" t="s">
        <v>2021</v>
      </c>
      <c r="D885" s="407">
        <f t="shared" si="26"/>
        <v>105.93</v>
      </c>
      <c r="F885" s="680">
        <v>105.93</v>
      </c>
      <c r="G885" s="680">
        <v>105.93</v>
      </c>
      <c r="H885" t="b">
        <f t="shared" si="27"/>
        <v>1</v>
      </c>
    </row>
    <row r="886" spans="1:8">
      <c r="A886" s="396">
        <v>39774</v>
      </c>
      <c r="B886" s="401" t="s">
        <v>9629</v>
      </c>
      <c r="C886" s="396" t="s">
        <v>2021</v>
      </c>
      <c r="D886" s="405">
        <f t="shared" si="26"/>
        <v>158.44999999999999</v>
      </c>
      <c r="F886" s="679">
        <v>158.44999999999999</v>
      </c>
      <c r="G886" s="679">
        <v>158.44999999999999</v>
      </c>
      <c r="H886" t="b">
        <f t="shared" si="27"/>
        <v>1</v>
      </c>
    </row>
    <row r="887" spans="1:8">
      <c r="A887" s="395">
        <v>39775</v>
      </c>
      <c r="B887" s="406" t="s">
        <v>9630</v>
      </c>
      <c r="C887" s="395" t="s">
        <v>2021</v>
      </c>
      <c r="D887" s="407">
        <f t="shared" si="26"/>
        <v>211.48</v>
      </c>
      <c r="F887" s="680">
        <v>211.48</v>
      </c>
      <c r="G887" s="680">
        <v>211.48</v>
      </c>
      <c r="H887" t="b">
        <f t="shared" si="27"/>
        <v>1</v>
      </c>
    </row>
    <row r="888" spans="1:8">
      <c r="A888" s="396">
        <v>39776</v>
      </c>
      <c r="B888" s="401" t="s">
        <v>9631</v>
      </c>
      <c r="C888" s="396" t="s">
        <v>2021</v>
      </c>
      <c r="D888" s="405">
        <f t="shared" si="26"/>
        <v>255.57</v>
      </c>
      <c r="F888" s="679">
        <v>255.57</v>
      </c>
      <c r="G888" s="679">
        <v>255.57</v>
      </c>
      <c r="H888" t="b">
        <f t="shared" si="27"/>
        <v>1</v>
      </c>
    </row>
    <row r="889" spans="1:8">
      <c r="A889" s="395">
        <v>39777</v>
      </c>
      <c r="B889" s="406" t="s">
        <v>9632</v>
      </c>
      <c r="C889" s="395" t="s">
        <v>2021</v>
      </c>
      <c r="D889" s="407">
        <f t="shared" si="26"/>
        <v>323.93</v>
      </c>
      <c r="F889" s="680">
        <v>323.93</v>
      </c>
      <c r="G889" s="680">
        <v>323.93</v>
      </c>
      <c r="H889" t="b">
        <f t="shared" si="27"/>
        <v>1</v>
      </c>
    </row>
    <row r="890" spans="1:8">
      <c r="A890" s="396">
        <v>20254</v>
      </c>
      <c r="B890" s="401" t="s">
        <v>9633</v>
      </c>
      <c r="C890" s="396" t="s">
        <v>2021</v>
      </c>
      <c r="D890" s="405">
        <f t="shared" si="26"/>
        <v>23.51</v>
      </c>
      <c r="F890" s="679">
        <v>23.51</v>
      </c>
      <c r="G890" s="679">
        <v>23.51</v>
      </c>
      <c r="H890" t="b">
        <f t="shared" si="27"/>
        <v>1</v>
      </c>
    </row>
    <row r="891" spans="1:8">
      <c r="A891" s="395">
        <v>20253</v>
      </c>
      <c r="B891" s="406" t="s">
        <v>9634</v>
      </c>
      <c r="C891" s="395" t="s">
        <v>2021</v>
      </c>
      <c r="D891" s="407">
        <f t="shared" si="26"/>
        <v>77.209999999999994</v>
      </c>
      <c r="F891" s="680">
        <v>77.209999999999994</v>
      </c>
      <c r="G891" s="680">
        <v>77.209999999999994</v>
      </c>
      <c r="H891" t="b">
        <f t="shared" si="27"/>
        <v>1</v>
      </c>
    </row>
    <row r="892" spans="1:8" ht="30">
      <c r="A892" s="396">
        <v>11247</v>
      </c>
      <c r="B892" s="401" t="s">
        <v>9635</v>
      </c>
      <c r="C892" s="396" t="s">
        <v>2021</v>
      </c>
      <c r="D892" s="405">
        <f t="shared" si="26"/>
        <v>1484.59</v>
      </c>
      <c r="F892" s="679">
        <v>1484.59</v>
      </c>
      <c r="G892" s="679">
        <v>1484.59</v>
      </c>
      <c r="H892" t="b">
        <f t="shared" si="27"/>
        <v>1</v>
      </c>
    </row>
    <row r="893" spans="1:8" ht="30">
      <c r="A893" s="395">
        <v>11250</v>
      </c>
      <c r="B893" s="406" t="s">
        <v>9636</v>
      </c>
      <c r="C893" s="395" t="s">
        <v>2021</v>
      </c>
      <c r="D893" s="407">
        <f t="shared" si="26"/>
        <v>63.91</v>
      </c>
      <c r="F893" s="680">
        <v>63.91</v>
      </c>
      <c r="G893" s="680">
        <v>63.91</v>
      </c>
      <c r="H893" t="b">
        <f t="shared" si="27"/>
        <v>1</v>
      </c>
    </row>
    <row r="894" spans="1:8" ht="30">
      <c r="A894" s="396">
        <v>11249</v>
      </c>
      <c r="B894" s="401" t="s">
        <v>9637</v>
      </c>
      <c r="C894" s="396" t="s">
        <v>2021</v>
      </c>
      <c r="D894" s="405">
        <f t="shared" si="26"/>
        <v>2899.92</v>
      </c>
      <c r="F894" s="679">
        <v>2899.92</v>
      </c>
      <c r="G894" s="679">
        <v>2899.92</v>
      </c>
      <c r="H894" t="b">
        <f t="shared" si="27"/>
        <v>1</v>
      </c>
    </row>
    <row r="895" spans="1:8" ht="30">
      <c r="A895" s="395">
        <v>11251</v>
      </c>
      <c r="B895" s="406" t="s">
        <v>9638</v>
      </c>
      <c r="C895" s="395" t="s">
        <v>2021</v>
      </c>
      <c r="D895" s="407">
        <f t="shared" si="26"/>
        <v>141.57</v>
      </c>
      <c r="F895" s="680">
        <v>141.57</v>
      </c>
      <c r="G895" s="680">
        <v>141.57</v>
      </c>
      <c r="H895" t="b">
        <f t="shared" si="27"/>
        <v>1</v>
      </c>
    </row>
    <row r="896" spans="1:8" ht="30">
      <c r="A896" s="396">
        <v>11253</v>
      </c>
      <c r="B896" s="401" t="s">
        <v>9639</v>
      </c>
      <c r="C896" s="396" t="s">
        <v>2021</v>
      </c>
      <c r="D896" s="405">
        <f t="shared" si="26"/>
        <v>234.6</v>
      </c>
      <c r="F896" s="679">
        <v>234.6</v>
      </c>
      <c r="G896" s="679">
        <v>234.6</v>
      </c>
      <c r="H896" t="b">
        <f t="shared" si="27"/>
        <v>1</v>
      </c>
    </row>
    <row r="897" spans="1:8" ht="30">
      <c r="A897" s="395">
        <v>11255</v>
      </c>
      <c r="B897" s="406" t="s">
        <v>9640</v>
      </c>
      <c r="C897" s="395" t="s">
        <v>2021</v>
      </c>
      <c r="D897" s="407">
        <f t="shared" si="26"/>
        <v>350.72</v>
      </c>
      <c r="F897" s="680">
        <v>350.72</v>
      </c>
      <c r="G897" s="680">
        <v>350.72</v>
      </c>
      <c r="H897" t="b">
        <f t="shared" si="27"/>
        <v>1</v>
      </c>
    </row>
    <row r="898" spans="1:8" ht="30">
      <c r="A898" s="396">
        <v>14055</v>
      </c>
      <c r="B898" s="401" t="s">
        <v>9641</v>
      </c>
      <c r="C898" s="396" t="s">
        <v>2021</v>
      </c>
      <c r="D898" s="405">
        <f t="shared" si="26"/>
        <v>705.53</v>
      </c>
      <c r="F898" s="679">
        <v>705.53</v>
      </c>
      <c r="G898" s="679">
        <v>705.53</v>
      </c>
      <c r="H898" t="b">
        <f t="shared" si="27"/>
        <v>1</v>
      </c>
    </row>
    <row r="899" spans="1:8" ht="30">
      <c r="A899" s="395">
        <v>11256</v>
      </c>
      <c r="B899" s="406" t="s">
        <v>9642</v>
      </c>
      <c r="C899" s="395" t="s">
        <v>2021</v>
      </c>
      <c r="D899" s="407">
        <f t="shared" ref="D899:D962" si="28">IF($J$2=$F$1,F899,G899)</f>
        <v>439.31</v>
      </c>
      <c r="F899" s="680">
        <v>439.31</v>
      </c>
      <c r="G899" s="680">
        <v>439.31</v>
      </c>
      <c r="H899" t="b">
        <f t="shared" ref="H899:H962" si="29">F899=G899</f>
        <v>1</v>
      </c>
    </row>
    <row r="900" spans="1:8">
      <c r="A900" s="396">
        <v>1872</v>
      </c>
      <c r="B900" s="401" t="s">
        <v>9643</v>
      </c>
      <c r="C900" s="396" t="s">
        <v>2021</v>
      </c>
      <c r="D900" s="405">
        <f t="shared" si="28"/>
        <v>2.4700000000000002</v>
      </c>
      <c r="F900" s="679">
        <v>2.4700000000000002</v>
      </c>
      <c r="G900" s="679">
        <v>2.4700000000000002</v>
      </c>
      <c r="H900" t="b">
        <f t="shared" si="29"/>
        <v>1</v>
      </c>
    </row>
    <row r="901" spans="1:8">
      <c r="A901" s="395">
        <v>1873</v>
      </c>
      <c r="B901" s="406" t="s">
        <v>9644</v>
      </c>
      <c r="C901" s="395" t="s">
        <v>2021</v>
      </c>
      <c r="D901" s="407">
        <f t="shared" si="28"/>
        <v>4.92</v>
      </c>
      <c r="F901" s="680">
        <v>4.92</v>
      </c>
      <c r="G901" s="680">
        <v>4.92</v>
      </c>
      <c r="H901" t="b">
        <f t="shared" si="29"/>
        <v>1</v>
      </c>
    </row>
    <row r="902" spans="1:8" ht="30">
      <c r="A902" s="396">
        <v>39693</v>
      </c>
      <c r="B902" s="401" t="s">
        <v>9645</v>
      </c>
      <c r="C902" s="396" t="s">
        <v>2021</v>
      </c>
      <c r="D902" s="405">
        <f t="shared" si="28"/>
        <v>2759.1</v>
      </c>
      <c r="F902" s="679">
        <v>2759.1</v>
      </c>
      <c r="G902" s="679">
        <v>2759.1</v>
      </c>
      <c r="H902" t="b">
        <f t="shared" si="29"/>
        <v>1</v>
      </c>
    </row>
    <row r="903" spans="1:8">
      <c r="A903" s="395">
        <v>39692</v>
      </c>
      <c r="B903" s="406" t="s">
        <v>9646</v>
      </c>
      <c r="C903" s="395" t="s">
        <v>2021</v>
      </c>
      <c r="D903" s="407">
        <f t="shared" si="28"/>
        <v>882.85</v>
      </c>
      <c r="F903" s="680">
        <v>882.85</v>
      </c>
      <c r="G903" s="680">
        <v>882.85</v>
      </c>
      <c r="H903" t="b">
        <f t="shared" si="29"/>
        <v>1</v>
      </c>
    </row>
    <row r="904" spans="1:8" ht="30">
      <c r="A904" s="396">
        <v>1062</v>
      </c>
      <c r="B904" s="401" t="s">
        <v>9647</v>
      </c>
      <c r="C904" s="396" t="s">
        <v>2021</v>
      </c>
      <c r="D904" s="405">
        <f t="shared" si="28"/>
        <v>279.79000000000002</v>
      </c>
      <c r="F904" s="679">
        <v>279.79000000000002</v>
      </c>
      <c r="G904" s="679">
        <v>279.79000000000002</v>
      </c>
      <c r="H904" t="b">
        <f t="shared" si="29"/>
        <v>1</v>
      </c>
    </row>
    <row r="905" spans="1:8" ht="30">
      <c r="A905" s="395">
        <v>39686</v>
      </c>
      <c r="B905" s="406" t="s">
        <v>9648</v>
      </c>
      <c r="C905" s="395" t="s">
        <v>2021</v>
      </c>
      <c r="D905" s="407">
        <f t="shared" si="28"/>
        <v>453.04</v>
      </c>
      <c r="F905" s="680">
        <v>453.04</v>
      </c>
      <c r="G905" s="680">
        <v>453.04</v>
      </c>
      <c r="H905" t="b">
        <f t="shared" si="29"/>
        <v>1</v>
      </c>
    </row>
    <row r="906" spans="1:8" ht="30">
      <c r="A906" s="396">
        <v>43095</v>
      </c>
      <c r="B906" s="401" t="s">
        <v>9649</v>
      </c>
      <c r="C906" s="396" t="s">
        <v>2021</v>
      </c>
      <c r="D906" s="405">
        <f t="shared" si="28"/>
        <v>176.31</v>
      </c>
      <c r="F906" s="679">
        <v>176.31</v>
      </c>
      <c r="G906" s="679">
        <v>176.31</v>
      </c>
      <c r="H906" t="b">
        <f t="shared" si="29"/>
        <v>1</v>
      </c>
    </row>
    <row r="907" spans="1:8">
      <c r="A907" s="395">
        <v>1871</v>
      </c>
      <c r="B907" s="406" t="s">
        <v>9650</v>
      </c>
      <c r="C907" s="395" t="s">
        <v>2021</v>
      </c>
      <c r="D907" s="407">
        <f t="shared" si="28"/>
        <v>4.42</v>
      </c>
      <c r="F907" s="680">
        <v>4.42</v>
      </c>
      <c r="G907" s="680">
        <v>4.42</v>
      </c>
      <c r="H907" t="b">
        <f t="shared" si="29"/>
        <v>1</v>
      </c>
    </row>
    <row r="908" spans="1:8">
      <c r="A908" s="396">
        <v>12001</v>
      </c>
      <c r="B908" s="401" t="s">
        <v>9651</v>
      </c>
      <c r="C908" s="396" t="s">
        <v>2021</v>
      </c>
      <c r="D908" s="405">
        <f t="shared" si="28"/>
        <v>6.39</v>
      </c>
      <c r="F908" s="679">
        <v>6.39</v>
      </c>
      <c r="G908" s="679">
        <v>6.39</v>
      </c>
      <c r="H908" t="b">
        <f t="shared" si="29"/>
        <v>1</v>
      </c>
    </row>
    <row r="909" spans="1:8">
      <c r="A909" s="395">
        <v>11882</v>
      </c>
      <c r="B909" s="406" t="s">
        <v>9652</v>
      </c>
      <c r="C909" s="395" t="s">
        <v>2021</v>
      </c>
      <c r="D909" s="407">
        <f t="shared" si="28"/>
        <v>117.89</v>
      </c>
      <c r="F909" s="680">
        <v>117.89</v>
      </c>
      <c r="G909" s="680">
        <v>117.89</v>
      </c>
      <c r="H909" t="b">
        <f t="shared" si="29"/>
        <v>1</v>
      </c>
    </row>
    <row r="910" spans="1:8" ht="30">
      <c r="A910" s="396">
        <v>1068</v>
      </c>
      <c r="B910" s="401" t="s">
        <v>9653</v>
      </c>
      <c r="C910" s="396" t="s">
        <v>2021</v>
      </c>
      <c r="D910" s="405">
        <f t="shared" si="28"/>
        <v>1845.51</v>
      </c>
      <c r="F910" s="679">
        <v>1845.51</v>
      </c>
      <c r="G910" s="679">
        <v>1845.51</v>
      </c>
      <c r="H910" t="b">
        <f t="shared" si="29"/>
        <v>1</v>
      </c>
    </row>
    <row r="911" spans="1:8" ht="30">
      <c r="A911" s="395">
        <v>39690</v>
      </c>
      <c r="B911" s="406" t="s">
        <v>9654</v>
      </c>
      <c r="C911" s="395" t="s">
        <v>2021</v>
      </c>
      <c r="D911" s="407">
        <f t="shared" si="28"/>
        <v>3096.15</v>
      </c>
      <c r="F911" s="680">
        <v>3096.15</v>
      </c>
      <c r="G911" s="680">
        <v>3096.15</v>
      </c>
      <c r="H911" t="b">
        <f t="shared" si="29"/>
        <v>1</v>
      </c>
    </row>
    <row r="912" spans="1:8" ht="30">
      <c r="A912" s="396">
        <v>39691</v>
      </c>
      <c r="B912" s="401" t="s">
        <v>9655</v>
      </c>
      <c r="C912" s="396" t="s">
        <v>2021</v>
      </c>
      <c r="D912" s="405">
        <f t="shared" si="28"/>
        <v>3894.09</v>
      </c>
      <c r="F912" s="679">
        <v>3894.09</v>
      </c>
      <c r="G912" s="679">
        <v>3894.09</v>
      </c>
      <c r="H912" t="b">
        <f t="shared" si="29"/>
        <v>1</v>
      </c>
    </row>
    <row r="913" spans="1:8" ht="30">
      <c r="A913" s="395">
        <v>39808</v>
      </c>
      <c r="B913" s="406" t="s">
        <v>9656</v>
      </c>
      <c r="C913" s="395" t="s">
        <v>2021</v>
      </c>
      <c r="D913" s="407">
        <f t="shared" si="28"/>
        <v>92.05</v>
      </c>
      <c r="F913" s="680">
        <v>92.05</v>
      </c>
      <c r="G913" s="680">
        <v>92.05</v>
      </c>
      <c r="H913" t="b">
        <f t="shared" si="29"/>
        <v>1</v>
      </c>
    </row>
    <row r="914" spans="1:8" ht="30">
      <c r="A914" s="396">
        <v>39809</v>
      </c>
      <c r="B914" s="401" t="s">
        <v>9657</v>
      </c>
      <c r="C914" s="396" t="s">
        <v>2021</v>
      </c>
      <c r="D914" s="405">
        <f t="shared" si="28"/>
        <v>218.33</v>
      </c>
      <c r="F914" s="679">
        <v>218.33</v>
      </c>
      <c r="G914" s="679">
        <v>218.33</v>
      </c>
      <c r="H914" t="b">
        <f t="shared" si="29"/>
        <v>1</v>
      </c>
    </row>
    <row r="915" spans="1:8" ht="30">
      <c r="A915" s="395">
        <v>43439</v>
      </c>
      <c r="B915" s="406" t="s">
        <v>9658</v>
      </c>
      <c r="C915" s="395" t="s">
        <v>2021</v>
      </c>
      <c r="D915" s="407">
        <f t="shared" si="28"/>
        <v>541.16999999999996</v>
      </c>
      <c r="F915" s="680">
        <v>541.16999999999996</v>
      </c>
      <c r="G915" s="680">
        <v>541.16999999999996</v>
      </c>
      <c r="H915" t="b">
        <f t="shared" si="29"/>
        <v>1</v>
      </c>
    </row>
    <row r="916" spans="1:8">
      <c r="A916" s="396">
        <v>5103</v>
      </c>
      <c r="B916" s="401" t="s">
        <v>9659</v>
      </c>
      <c r="C916" s="396" t="s">
        <v>2021</v>
      </c>
      <c r="D916" s="405">
        <f t="shared" si="28"/>
        <v>29.02</v>
      </c>
      <c r="F916" s="679">
        <v>29.02</v>
      </c>
      <c r="G916" s="679">
        <v>29.02</v>
      </c>
      <c r="H916" t="b">
        <f t="shared" si="29"/>
        <v>1</v>
      </c>
    </row>
    <row r="917" spans="1:8">
      <c r="A917" s="395">
        <v>11880</v>
      </c>
      <c r="B917" s="406" t="s">
        <v>9660</v>
      </c>
      <c r="C917" s="395" t="s">
        <v>2021</v>
      </c>
      <c r="D917" s="407">
        <f t="shared" si="28"/>
        <v>122.06</v>
      </c>
      <c r="F917" s="680">
        <v>122.06</v>
      </c>
      <c r="G917" s="680">
        <v>122.06</v>
      </c>
      <c r="H917" t="b">
        <f t="shared" si="29"/>
        <v>1</v>
      </c>
    </row>
    <row r="918" spans="1:8">
      <c r="A918" s="396">
        <v>11714</v>
      </c>
      <c r="B918" s="401" t="s">
        <v>9661</v>
      </c>
      <c r="C918" s="396" t="s">
        <v>2021</v>
      </c>
      <c r="D918" s="405">
        <f t="shared" si="28"/>
        <v>83.16</v>
      </c>
      <c r="F918" s="679">
        <v>83.16</v>
      </c>
      <c r="G918" s="679">
        <v>83.16</v>
      </c>
      <c r="H918" t="b">
        <f t="shared" si="29"/>
        <v>1</v>
      </c>
    </row>
    <row r="919" spans="1:8">
      <c r="A919" s="395">
        <v>11712</v>
      </c>
      <c r="B919" s="406" t="s">
        <v>9662</v>
      </c>
      <c r="C919" s="395" t="s">
        <v>2021</v>
      </c>
      <c r="D919" s="407">
        <f t="shared" si="28"/>
        <v>54.3</v>
      </c>
      <c r="F919" s="680">
        <v>54.3</v>
      </c>
      <c r="G919" s="680">
        <v>54.3</v>
      </c>
      <c r="H919" t="b">
        <f t="shared" si="29"/>
        <v>1</v>
      </c>
    </row>
    <row r="920" spans="1:8">
      <c r="A920" s="396">
        <v>11717</v>
      </c>
      <c r="B920" s="401" t="s">
        <v>9663</v>
      </c>
      <c r="C920" s="396" t="s">
        <v>2021</v>
      </c>
      <c r="D920" s="405">
        <f t="shared" si="28"/>
        <v>65.459999999999994</v>
      </c>
      <c r="F920" s="679">
        <v>65.459999999999994</v>
      </c>
      <c r="G920" s="679">
        <v>65.459999999999994</v>
      </c>
      <c r="H920" t="b">
        <f t="shared" si="29"/>
        <v>1</v>
      </c>
    </row>
    <row r="921" spans="1:8">
      <c r="A921" s="395">
        <v>1106</v>
      </c>
      <c r="B921" s="406" t="s">
        <v>9664</v>
      </c>
      <c r="C921" s="395" t="s">
        <v>2025</v>
      </c>
      <c r="D921" s="407">
        <f t="shared" si="28"/>
        <v>0.93</v>
      </c>
      <c r="F921" s="680">
        <v>0.93</v>
      </c>
      <c r="G921" s="680">
        <v>0.93</v>
      </c>
      <c r="H921" t="b">
        <f t="shared" si="29"/>
        <v>1</v>
      </c>
    </row>
    <row r="922" spans="1:8">
      <c r="A922" s="396">
        <v>11161</v>
      </c>
      <c r="B922" s="401" t="s">
        <v>9665</v>
      </c>
      <c r="C922" s="396" t="s">
        <v>2025</v>
      </c>
      <c r="D922" s="405">
        <f t="shared" si="28"/>
        <v>1.55</v>
      </c>
      <c r="F922" s="679">
        <v>1.55</v>
      </c>
      <c r="G922" s="679">
        <v>1.55</v>
      </c>
      <c r="H922" t="b">
        <f t="shared" si="29"/>
        <v>1</v>
      </c>
    </row>
    <row r="923" spans="1:8">
      <c r="A923" s="395">
        <v>1107</v>
      </c>
      <c r="B923" s="406" t="s">
        <v>9666</v>
      </c>
      <c r="C923" s="395" t="s">
        <v>2025</v>
      </c>
      <c r="D923" s="407">
        <f t="shared" si="28"/>
        <v>0.79</v>
      </c>
      <c r="F923" s="680">
        <v>0.79</v>
      </c>
      <c r="G923" s="680">
        <v>0.79</v>
      </c>
      <c r="H923" t="b">
        <f t="shared" si="29"/>
        <v>1</v>
      </c>
    </row>
    <row r="924" spans="1:8">
      <c r="A924" s="396">
        <v>44479</v>
      </c>
      <c r="B924" s="401" t="s">
        <v>9667</v>
      </c>
      <c r="C924" s="396" t="s">
        <v>2025</v>
      </c>
      <c r="D924" s="405">
        <f t="shared" si="28"/>
        <v>0.17</v>
      </c>
      <c r="F924" s="679">
        <v>0.17</v>
      </c>
      <c r="G924" s="679">
        <v>0.17</v>
      </c>
      <c r="H924" t="b">
        <f t="shared" si="29"/>
        <v>1</v>
      </c>
    </row>
    <row r="925" spans="1:8">
      <c r="A925" s="395">
        <v>41068</v>
      </c>
      <c r="B925" s="406" t="s">
        <v>9668</v>
      </c>
      <c r="C925" s="395" t="s">
        <v>2027</v>
      </c>
      <c r="D925" s="407">
        <f t="shared" si="28"/>
        <v>2600.58</v>
      </c>
      <c r="F925" s="680">
        <v>2600.58</v>
      </c>
      <c r="G925" s="680">
        <v>2995.72</v>
      </c>
      <c r="H925" t="b">
        <f t="shared" si="29"/>
        <v>0</v>
      </c>
    </row>
    <row r="926" spans="1:8">
      <c r="A926" s="396">
        <v>4759</v>
      </c>
      <c r="B926" s="401" t="s">
        <v>9669</v>
      </c>
      <c r="C926" s="396" t="s">
        <v>2020</v>
      </c>
      <c r="D926" s="405">
        <f t="shared" si="28"/>
        <v>14.74</v>
      </c>
      <c r="F926" s="679">
        <v>14.74</v>
      </c>
      <c r="G926" s="679">
        <v>16.95</v>
      </c>
      <c r="H926" t="b">
        <f t="shared" si="29"/>
        <v>0</v>
      </c>
    </row>
    <row r="927" spans="1:8">
      <c r="A927" s="395">
        <v>12618</v>
      </c>
      <c r="B927" s="406" t="s">
        <v>9670</v>
      </c>
      <c r="C927" s="395" t="s">
        <v>2021</v>
      </c>
      <c r="D927" s="407">
        <f t="shared" si="28"/>
        <v>205.25</v>
      </c>
      <c r="F927" s="680">
        <v>205.25</v>
      </c>
      <c r="G927" s="680">
        <v>205.25</v>
      </c>
      <c r="H927" t="b">
        <f t="shared" si="29"/>
        <v>1</v>
      </c>
    </row>
    <row r="928" spans="1:8">
      <c r="A928" s="396">
        <v>1108</v>
      </c>
      <c r="B928" s="401" t="s">
        <v>9671</v>
      </c>
      <c r="C928" s="396" t="s">
        <v>2024</v>
      </c>
      <c r="D928" s="405">
        <f t="shared" si="28"/>
        <v>30.09</v>
      </c>
      <c r="F928" s="679">
        <v>30.09</v>
      </c>
      <c r="G928" s="679">
        <v>30.09</v>
      </c>
      <c r="H928" t="b">
        <f t="shared" si="29"/>
        <v>1</v>
      </c>
    </row>
    <row r="929" spans="1:8">
      <c r="A929" s="395">
        <v>1117</v>
      </c>
      <c r="B929" s="406" t="s">
        <v>9672</v>
      </c>
      <c r="C929" s="395" t="s">
        <v>2024</v>
      </c>
      <c r="D929" s="407">
        <f t="shared" si="28"/>
        <v>30.33</v>
      </c>
      <c r="F929" s="680">
        <v>30.33</v>
      </c>
      <c r="G929" s="680">
        <v>30.33</v>
      </c>
      <c r="H929" t="b">
        <f t="shared" si="29"/>
        <v>1</v>
      </c>
    </row>
    <row r="930" spans="1:8">
      <c r="A930" s="396">
        <v>1118</v>
      </c>
      <c r="B930" s="401" t="s">
        <v>9673</v>
      </c>
      <c r="C930" s="396" t="s">
        <v>2024</v>
      </c>
      <c r="D930" s="405">
        <f t="shared" si="28"/>
        <v>35.85</v>
      </c>
      <c r="F930" s="679">
        <v>35.85</v>
      </c>
      <c r="G930" s="679">
        <v>35.85</v>
      </c>
      <c r="H930" t="b">
        <f t="shared" si="29"/>
        <v>1</v>
      </c>
    </row>
    <row r="931" spans="1:8">
      <c r="A931" s="395">
        <v>1110</v>
      </c>
      <c r="B931" s="406" t="s">
        <v>9674</v>
      </c>
      <c r="C931" s="395" t="s">
        <v>2024</v>
      </c>
      <c r="D931" s="407">
        <f t="shared" si="28"/>
        <v>35.85</v>
      </c>
      <c r="F931" s="680">
        <v>35.85</v>
      </c>
      <c r="G931" s="680">
        <v>35.85</v>
      </c>
      <c r="H931" t="b">
        <f t="shared" si="29"/>
        <v>1</v>
      </c>
    </row>
    <row r="932" spans="1:8">
      <c r="A932" s="396">
        <v>40784</v>
      </c>
      <c r="B932" s="401" t="s">
        <v>9675</v>
      </c>
      <c r="C932" s="396" t="s">
        <v>2024</v>
      </c>
      <c r="D932" s="405">
        <f t="shared" si="28"/>
        <v>98.88</v>
      </c>
      <c r="F932" s="679">
        <v>98.88</v>
      </c>
      <c r="G932" s="679">
        <v>98.88</v>
      </c>
      <c r="H932" t="b">
        <f t="shared" si="29"/>
        <v>1</v>
      </c>
    </row>
    <row r="933" spans="1:8">
      <c r="A933" s="395">
        <v>40782</v>
      </c>
      <c r="B933" s="406" t="s">
        <v>9676</v>
      </c>
      <c r="C933" s="395" t="s">
        <v>2024</v>
      </c>
      <c r="D933" s="407">
        <f t="shared" si="28"/>
        <v>38.799999999999997</v>
      </c>
      <c r="F933" s="680">
        <v>38.799999999999997</v>
      </c>
      <c r="G933" s="680">
        <v>38.799999999999997</v>
      </c>
      <c r="H933" t="b">
        <f t="shared" si="29"/>
        <v>1</v>
      </c>
    </row>
    <row r="934" spans="1:8">
      <c r="A934" s="396">
        <v>40783</v>
      </c>
      <c r="B934" s="401" t="s">
        <v>9677</v>
      </c>
      <c r="C934" s="396" t="s">
        <v>2024</v>
      </c>
      <c r="D934" s="405">
        <f t="shared" si="28"/>
        <v>50.55</v>
      </c>
      <c r="F934" s="679">
        <v>50.55</v>
      </c>
      <c r="G934" s="679">
        <v>50.55</v>
      </c>
      <c r="H934" t="b">
        <f t="shared" si="29"/>
        <v>1</v>
      </c>
    </row>
    <row r="935" spans="1:8">
      <c r="A935" s="395">
        <v>1109</v>
      </c>
      <c r="B935" s="406" t="s">
        <v>9678</v>
      </c>
      <c r="C935" s="395" t="s">
        <v>2024</v>
      </c>
      <c r="D935" s="407">
        <f t="shared" si="28"/>
        <v>30.09</v>
      </c>
      <c r="F935" s="680">
        <v>30.09</v>
      </c>
      <c r="G935" s="680">
        <v>30.09</v>
      </c>
      <c r="H935" t="b">
        <f t="shared" si="29"/>
        <v>1</v>
      </c>
    </row>
    <row r="936" spans="1:8">
      <c r="A936" s="396">
        <v>1119</v>
      </c>
      <c r="B936" s="401" t="s">
        <v>9679</v>
      </c>
      <c r="C936" s="396" t="s">
        <v>2024</v>
      </c>
      <c r="D936" s="405">
        <f t="shared" si="28"/>
        <v>19.399999999999999</v>
      </c>
      <c r="F936" s="679">
        <v>19.399999999999999</v>
      </c>
      <c r="G936" s="679">
        <v>19.399999999999999</v>
      </c>
      <c r="H936" t="b">
        <f t="shared" si="29"/>
        <v>1</v>
      </c>
    </row>
    <row r="937" spans="1:8">
      <c r="A937" s="395">
        <v>13115</v>
      </c>
      <c r="B937" s="406" t="s">
        <v>9680</v>
      </c>
      <c r="C937" s="395" t="s">
        <v>2024</v>
      </c>
      <c r="D937" s="407">
        <f t="shared" si="28"/>
        <v>24.32</v>
      </c>
      <c r="F937" s="680">
        <v>24.32</v>
      </c>
      <c r="G937" s="680">
        <v>24.32</v>
      </c>
      <c r="H937" t="b">
        <f t="shared" si="29"/>
        <v>1</v>
      </c>
    </row>
    <row r="938" spans="1:8">
      <c r="A938" s="396">
        <v>10541</v>
      </c>
      <c r="B938" s="401" t="s">
        <v>9681</v>
      </c>
      <c r="C938" s="396" t="s">
        <v>2024</v>
      </c>
      <c r="D938" s="405">
        <f t="shared" si="28"/>
        <v>29.72</v>
      </c>
      <c r="F938" s="679">
        <v>29.72</v>
      </c>
      <c r="G938" s="679">
        <v>29.72</v>
      </c>
      <c r="H938" t="b">
        <f t="shared" si="29"/>
        <v>1</v>
      </c>
    </row>
    <row r="939" spans="1:8">
      <c r="A939" s="395">
        <v>10542</v>
      </c>
      <c r="B939" s="406" t="s">
        <v>9682</v>
      </c>
      <c r="C939" s="395" t="s">
        <v>2024</v>
      </c>
      <c r="D939" s="407">
        <f t="shared" si="28"/>
        <v>38.869999999999997</v>
      </c>
      <c r="F939" s="680">
        <v>38.869999999999997</v>
      </c>
      <c r="G939" s="680">
        <v>38.869999999999997</v>
      </c>
      <c r="H939" t="b">
        <f t="shared" si="29"/>
        <v>1</v>
      </c>
    </row>
    <row r="940" spans="1:8">
      <c r="A940" s="396">
        <v>10543</v>
      </c>
      <c r="B940" s="401" t="s">
        <v>9683</v>
      </c>
      <c r="C940" s="396" t="s">
        <v>2024</v>
      </c>
      <c r="D940" s="405">
        <f t="shared" si="28"/>
        <v>63.06</v>
      </c>
      <c r="F940" s="679">
        <v>63.06</v>
      </c>
      <c r="G940" s="679">
        <v>63.06</v>
      </c>
      <c r="H940" t="b">
        <f t="shared" si="29"/>
        <v>1</v>
      </c>
    </row>
    <row r="941" spans="1:8">
      <c r="A941" s="395">
        <v>10544</v>
      </c>
      <c r="B941" s="406" t="s">
        <v>9684</v>
      </c>
      <c r="C941" s="395" t="s">
        <v>2024</v>
      </c>
      <c r="D941" s="407">
        <f t="shared" si="28"/>
        <v>81.56</v>
      </c>
      <c r="F941" s="680">
        <v>81.56</v>
      </c>
      <c r="G941" s="680">
        <v>81.56</v>
      </c>
      <c r="H941" t="b">
        <f t="shared" si="29"/>
        <v>1</v>
      </c>
    </row>
    <row r="942" spans="1:8">
      <c r="A942" s="396">
        <v>10545</v>
      </c>
      <c r="B942" s="401" t="s">
        <v>9685</v>
      </c>
      <c r="C942" s="396" t="s">
        <v>2024</v>
      </c>
      <c r="D942" s="405">
        <f t="shared" si="28"/>
        <v>152.43</v>
      </c>
      <c r="F942" s="679">
        <v>152.43</v>
      </c>
      <c r="G942" s="679">
        <v>152.43</v>
      </c>
      <c r="H942" t="b">
        <f t="shared" si="29"/>
        <v>1</v>
      </c>
    </row>
    <row r="943" spans="1:8">
      <c r="A943" s="395">
        <v>38365</v>
      </c>
      <c r="B943" s="406" t="s">
        <v>9686</v>
      </c>
      <c r="C943" s="395" t="s">
        <v>2023</v>
      </c>
      <c r="D943" s="407">
        <f t="shared" si="28"/>
        <v>2.3199999999999998</v>
      </c>
      <c r="F943" s="680">
        <v>2.3199999999999998</v>
      </c>
      <c r="G943" s="680">
        <v>2.3199999999999998</v>
      </c>
      <c r="H943" t="b">
        <f t="shared" si="29"/>
        <v>1</v>
      </c>
    </row>
    <row r="944" spans="1:8" ht="30">
      <c r="A944" s="396">
        <v>44056</v>
      </c>
      <c r="B944" s="401" t="s">
        <v>9687</v>
      </c>
      <c r="C944" s="396" t="s">
        <v>2021</v>
      </c>
      <c r="D944" s="405">
        <f t="shared" si="28"/>
        <v>445045.02</v>
      </c>
      <c r="F944" s="679">
        <v>445045.02</v>
      </c>
      <c r="G944" s="679">
        <v>445045.02</v>
      </c>
      <c r="H944" t="b">
        <f t="shared" si="29"/>
        <v>1</v>
      </c>
    </row>
    <row r="945" spans="1:8" ht="30">
      <c r="A945" s="395">
        <v>44057</v>
      </c>
      <c r="B945" s="406" t="s">
        <v>9688</v>
      </c>
      <c r="C945" s="395" t="s">
        <v>2021</v>
      </c>
      <c r="D945" s="407">
        <f t="shared" si="28"/>
        <v>475000</v>
      </c>
      <c r="F945" s="680">
        <v>475000</v>
      </c>
      <c r="G945" s="680">
        <v>475000</v>
      </c>
      <c r="H945" t="b">
        <f t="shared" si="29"/>
        <v>1</v>
      </c>
    </row>
    <row r="946" spans="1:8" ht="30">
      <c r="A946" s="396">
        <v>37754</v>
      </c>
      <c r="B946" s="401" t="s">
        <v>9689</v>
      </c>
      <c r="C946" s="396" t="s">
        <v>2021</v>
      </c>
      <c r="D946" s="405">
        <f t="shared" si="28"/>
        <v>491090.1</v>
      </c>
      <c r="F946" s="679">
        <v>491090.1</v>
      </c>
      <c r="G946" s="679">
        <v>491090.1</v>
      </c>
      <c r="H946" t="b">
        <f t="shared" si="29"/>
        <v>1</v>
      </c>
    </row>
    <row r="947" spans="1:8" ht="30">
      <c r="A947" s="395">
        <v>37757</v>
      </c>
      <c r="B947" s="406" t="s">
        <v>9690</v>
      </c>
      <c r="C947" s="395" t="s">
        <v>2021</v>
      </c>
      <c r="D947" s="407">
        <f t="shared" si="28"/>
        <v>547747.77</v>
      </c>
      <c r="F947" s="680">
        <v>547747.77</v>
      </c>
      <c r="G947" s="680">
        <v>547747.77</v>
      </c>
      <c r="H947" t="b">
        <f t="shared" si="29"/>
        <v>1</v>
      </c>
    </row>
    <row r="948" spans="1:8" ht="30">
      <c r="A948" s="396">
        <v>44058</v>
      </c>
      <c r="B948" s="401" t="s">
        <v>9691</v>
      </c>
      <c r="C948" s="396" t="s">
        <v>2021</v>
      </c>
      <c r="D948" s="405">
        <f t="shared" si="28"/>
        <v>517792.79</v>
      </c>
      <c r="F948" s="679">
        <v>517792.79</v>
      </c>
      <c r="G948" s="679">
        <v>517792.79</v>
      </c>
      <c r="H948" t="b">
        <f t="shared" si="29"/>
        <v>1</v>
      </c>
    </row>
    <row r="949" spans="1:8" ht="30">
      <c r="A949" s="395">
        <v>37752</v>
      </c>
      <c r="B949" s="406" t="s">
        <v>9692</v>
      </c>
      <c r="C949" s="395" t="s">
        <v>2021</v>
      </c>
      <c r="D949" s="407">
        <f t="shared" si="28"/>
        <v>539189.17000000004</v>
      </c>
      <c r="F949" s="680">
        <v>539189.17000000004</v>
      </c>
      <c r="G949" s="680">
        <v>539189.17000000004</v>
      </c>
      <c r="H949" t="b">
        <f t="shared" si="29"/>
        <v>1</v>
      </c>
    </row>
    <row r="950" spans="1:8" ht="30">
      <c r="A950" s="396">
        <v>44059</v>
      </c>
      <c r="B950" s="401" t="s">
        <v>9693</v>
      </c>
      <c r="C950" s="396" t="s">
        <v>2021</v>
      </c>
      <c r="D950" s="405">
        <f t="shared" si="28"/>
        <v>426216.21</v>
      </c>
      <c r="F950" s="679">
        <v>426216.21</v>
      </c>
      <c r="G950" s="679">
        <v>426216.21</v>
      </c>
      <c r="H950" t="b">
        <f t="shared" si="29"/>
        <v>1</v>
      </c>
    </row>
    <row r="951" spans="1:8" ht="30">
      <c r="A951" s="395">
        <v>37750</v>
      </c>
      <c r="B951" s="406" t="s">
        <v>9694</v>
      </c>
      <c r="C951" s="395" t="s">
        <v>2021</v>
      </c>
      <c r="D951" s="407">
        <f t="shared" si="28"/>
        <v>427072.07</v>
      </c>
      <c r="F951" s="680">
        <v>427072.07</v>
      </c>
      <c r="G951" s="680">
        <v>427072.07</v>
      </c>
      <c r="H951" t="b">
        <f t="shared" si="29"/>
        <v>1</v>
      </c>
    </row>
    <row r="952" spans="1:8" ht="30">
      <c r="A952" s="396">
        <v>37758</v>
      </c>
      <c r="B952" s="401" t="s">
        <v>9695</v>
      </c>
      <c r="C952" s="396" t="s">
        <v>2021</v>
      </c>
      <c r="D952" s="405">
        <f t="shared" si="28"/>
        <v>679549.53</v>
      </c>
      <c r="F952" s="679">
        <v>679549.53</v>
      </c>
      <c r="G952" s="679">
        <v>679549.53</v>
      </c>
      <c r="H952" t="b">
        <f t="shared" si="29"/>
        <v>1</v>
      </c>
    </row>
    <row r="953" spans="1:8" ht="30">
      <c r="A953" s="395">
        <v>44060</v>
      </c>
      <c r="B953" s="406" t="s">
        <v>9696</v>
      </c>
      <c r="C953" s="395" t="s">
        <v>2021</v>
      </c>
      <c r="D953" s="407">
        <f t="shared" si="28"/>
        <v>657297.30000000005</v>
      </c>
      <c r="F953" s="680">
        <v>657297.30000000005</v>
      </c>
      <c r="G953" s="680">
        <v>657297.30000000005</v>
      </c>
      <c r="H953" t="b">
        <f t="shared" si="29"/>
        <v>1</v>
      </c>
    </row>
    <row r="954" spans="1:8" ht="30">
      <c r="A954" s="396">
        <v>37749</v>
      </c>
      <c r="B954" s="401" t="s">
        <v>9697</v>
      </c>
      <c r="C954" s="396" t="s">
        <v>2021</v>
      </c>
      <c r="D954" s="405">
        <f t="shared" si="28"/>
        <v>701801.81</v>
      </c>
      <c r="F954" s="679">
        <v>701801.81</v>
      </c>
      <c r="G954" s="679">
        <v>701801.81</v>
      </c>
      <c r="H954" t="b">
        <f t="shared" si="29"/>
        <v>1</v>
      </c>
    </row>
    <row r="955" spans="1:8" ht="30">
      <c r="A955" s="395">
        <v>44061</v>
      </c>
      <c r="B955" s="406" t="s">
        <v>9698</v>
      </c>
      <c r="C955" s="395" t="s">
        <v>2021</v>
      </c>
      <c r="D955" s="407">
        <f t="shared" si="28"/>
        <v>644459.48</v>
      </c>
      <c r="F955" s="680">
        <v>644459.48</v>
      </c>
      <c r="G955" s="680">
        <v>644459.48</v>
      </c>
      <c r="H955" t="b">
        <f t="shared" si="29"/>
        <v>1</v>
      </c>
    </row>
    <row r="956" spans="1:8">
      <c r="A956" s="396">
        <v>1159</v>
      </c>
      <c r="B956" s="401" t="s">
        <v>9699</v>
      </c>
      <c r="C956" s="396" t="s">
        <v>2021</v>
      </c>
      <c r="D956" s="405">
        <f t="shared" si="28"/>
        <v>261247.67</v>
      </c>
      <c r="F956" s="679">
        <v>261247.67</v>
      </c>
      <c r="G956" s="679">
        <v>261247.67</v>
      </c>
      <c r="H956" t="b">
        <f t="shared" si="29"/>
        <v>1</v>
      </c>
    </row>
    <row r="957" spans="1:8">
      <c r="A957" s="395">
        <v>12114</v>
      </c>
      <c r="B957" s="406" t="s">
        <v>9700</v>
      </c>
      <c r="C957" s="395" t="s">
        <v>2021</v>
      </c>
      <c r="D957" s="407">
        <f t="shared" si="28"/>
        <v>125.19</v>
      </c>
      <c r="F957" s="680">
        <v>125.19</v>
      </c>
      <c r="G957" s="680">
        <v>125.19</v>
      </c>
      <c r="H957" t="b">
        <f t="shared" si="29"/>
        <v>1</v>
      </c>
    </row>
    <row r="958" spans="1:8">
      <c r="A958" s="396">
        <v>38106</v>
      </c>
      <c r="B958" s="401" t="s">
        <v>9701</v>
      </c>
      <c r="C958" s="396" t="s">
        <v>2021</v>
      </c>
      <c r="D958" s="405">
        <f t="shared" si="28"/>
        <v>17.010000000000002</v>
      </c>
      <c r="F958" s="679">
        <v>17.010000000000002</v>
      </c>
      <c r="G958" s="679">
        <v>17.010000000000002</v>
      </c>
      <c r="H958" t="b">
        <f t="shared" si="29"/>
        <v>1</v>
      </c>
    </row>
    <row r="959" spans="1:8">
      <c r="A959" s="395">
        <v>38085</v>
      </c>
      <c r="B959" s="406" t="s">
        <v>9702</v>
      </c>
      <c r="C959" s="395" t="s">
        <v>2021</v>
      </c>
      <c r="D959" s="407">
        <f t="shared" si="28"/>
        <v>20.09</v>
      </c>
      <c r="F959" s="680">
        <v>20.09</v>
      </c>
      <c r="G959" s="680">
        <v>20.09</v>
      </c>
      <c r="H959" t="b">
        <f t="shared" si="29"/>
        <v>1</v>
      </c>
    </row>
    <row r="960" spans="1:8">
      <c r="A960" s="396">
        <v>38599</v>
      </c>
      <c r="B960" s="401" t="s">
        <v>9703</v>
      </c>
      <c r="C960" s="396" t="s">
        <v>2021</v>
      </c>
      <c r="D960" s="405">
        <f t="shared" si="28"/>
        <v>6.27</v>
      </c>
      <c r="F960" s="679">
        <v>6.27</v>
      </c>
      <c r="G960" s="679">
        <v>6.27</v>
      </c>
      <c r="H960" t="b">
        <f t="shared" si="29"/>
        <v>1</v>
      </c>
    </row>
    <row r="961" spans="1:8">
      <c r="A961" s="395">
        <v>38596</v>
      </c>
      <c r="B961" s="406" t="s">
        <v>9704</v>
      </c>
      <c r="C961" s="395" t="s">
        <v>2021</v>
      </c>
      <c r="D961" s="407">
        <f t="shared" si="28"/>
        <v>5.21</v>
      </c>
      <c r="F961" s="680">
        <v>5.21</v>
      </c>
      <c r="G961" s="680">
        <v>5.21</v>
      </c>
      <c r="H961" t="b">
        <f t="shared" si="29"/>
        <v>1</v>
      </c>
    </row>
    <row r="962" spans="1:8">
      <c r="A962" s="396">
        <v>38600</v>
      </c>
      <c r="B962" s="401" t="s">
        <v>9705</v>
      </c>
      <c r="C962" s="396" t="s">
        <v>2021</v>
      </c>
      <c r="D962" s="405">
        <f t="shared" si="28"/>
        <v>6.65</v>
      </c>
      <c r="F962" s="679">
        <v>6.65</v>
      </c>
      <c r="G962" s="679">
        <v>6.65</v>
      </c>
      <c r="H962" t="b">
        <f t="shared" si="29"/>
        <v>1</v>
      </c>
    </row>
    <row r="963" spans="1:8">
      <c r="A963" s="395">
        <v>38597</v>
      </c>
      <c r="B963" s="406" t="s">
        <v>9706</v>
      </c>
      <c r="C963" s="395" t="s">
        <v>2021</v>
      </c>
      <c r="D963" s="407">
        <f t="shared" ref="D963:D1026" si="30">IF($J$2=$F$1,F963,G963)</f>
        <v>5.24</v>
      </c>
      <c r="F963" s="680">
        <v>5.24</v>
      </c>
      <c r="G963" s="680">
        <v>5.24</v>
      </c>
      <c r="H963" t="b">
        <f t="shared" ref="H963:H1026" si="31">F963=G963</f>
        <v>1</v>
      </c>
    </row>
    <row r="964" spans="1:8">
      <c r="A964" s="396">
        <v>659</v>
      </c>
      <c r="B964" s="401" t="s">
        <v>9707</v>
      </c>
      <c r="C964" s="396" t="s">
        <v>2021</v>
      </c>
      <c r="D964" s="405">
        <f t="shared" si="30"/>
        <v>3.01</v>
      </c>
      <c r="F964" s="679">
        <v>3.01</v>
      </c>
      <c r="G964" s="679">
        <v>3.01</v>
      </c>
      <c r="H964" t="b">
        <f t="shared" si="31"/>
        <v>1</v>
      </c>
    </row>
    <row r="965" spans="1:8">
      <c r="A965" s="395">
        <v>660</v>
      </c>
      <c r="B965" s="406" t="s">
        <v>9708</v>
      </c>
      <c r="C965" s="395" t="s">
        <v>2021</v>
      </c>
      <c r="D965" s="407">
        <f t="shared" si="30"/>
        <v>3.61</v>
      </c>
      <c r="F965" s="680">
        <v>3.61</v>
      </c>
      <c r="G965" s="680">
        <v>3.61</v>
      </c>
      <c r="H965" t="b">
        <f t="shared" si="31"/>
        <v>1</v>
      </c>
    </row>
    <row r="966" spans="1:8">
      <c r="A966" s="396">
        <v>658</v>
      </c>
      <c r="B966" s="401" t="s">
        <v>9709</v>
      </c>
      <c r="C966" s="396" t="s">
        <v>2021</v>
      </c>
      <c r="D966" s="405">
        <f t="shared" si="30"/>
        <v>2.04</v>
      </c>
      <c r="F966" s="679">
        <v>2.04</v>
      </c>
      <c r="G966" s="679">
        <v>2.04</v>
      </c>
      <c r="H966" t="b">
        <f t="shared" si="31"/>
        <v>1</v>
      </c>
    </row>
    <row r="967" spans="1:8">
      <c r="A967" s="395">
        <v>38548</v>
      </c>
      <c r="B967" s="406" t="s">
        <v>9710</v>
      </c>
      <c r="C967" s="395" t="s">
        <v>2021</v>
      </c>
      <c r="D967" s="407">
        <f t="shared" si="30"/>
        <v>2.63</v>
      </c>
      <c r="F967" s="680">
        <v>2.63</v>
      </c>
      <c r="G967" s="680">
        <v>2.63</v>
      </c>
      <c r="H967" t="b">
        <f t="shared" si="31"/>
        <v>1</v>
      </c>
    </row>
    <row r="968" spans="1:8">
      <c r="A968" s="396">
        <v>34649</v>
      </c>
      <c r="B968" s="401" t="s">
        <v>9711</v>
      </c>
      <c r="C968" s="396" t="s">
        <v>2021</v>
      </c>
      <c r="D968" s="405">
        <f t="shared" si="30"/>
        <v>3.56</v>
      </c>
      <c r="F968" s="679">
        <v>3.56</v>
      </c>
      <c r="G968" s="679">
        <v>3.56</v>
      </c>
      <c r="H968" t="b">
        <f t="shared" si="31"/>
        <v>1</v>
      </c>
    </row>
    <row r="969" spans="1:8">
      <c r="A969" s="395">
        <v>34655</v>
      </c>
      <c r="B969" s="406" t="s">
        <v>9712</v>
      </c>
      <c r="C969" s="395" t="s">
        <v>2021</v>
      </c>
      <c r="D969" s="407">
        <f t="shared" si="30"/>
        <v>4.7300000000000004</v>
      </c>
      <c r="F969" s="680">
        <v>4.7300000000000004</v>
      </c>
      <c r="G969" s="680">
        <v>4.7300000000000004</v>
      </c>
      <c r="H969" t="b">
        <f t="shared" si="31"/>
        <v>1</v>
      </c>
    </row>
    <row r="970" spans="1:8">
      <c r="A970" s="396">
        <v>40607</v>
      </c>
      <c r="B970" s="401" t="s">
        <v>9713</v>
      </c>
      <c r="C970" s="396" t="s">
        <v>2021</v>
      </c>
      <c r="D970" s="405">
        <f t="shared" si="30"/>
        <v>4</v>
      </c>
      <c r="F970" s="679">
        <v>4</v>
      </c>
      <c r="G970" s="679">
        <v>4</v>
      </c>
      <c r="H970" t="b">
        <f t="shared" si="31"/>
        <v>1</v>
      </c>
    </row>
    <row r="971" spans="1:8">
      <c r="A971" s="395">
        <v>567</v>
      </c>
      <c r="B971" s="406" t="s">
        <v>9714</v>
      </c>
      <c r="C971" s="395" t="s">
        <v>2024</v>
      </c>
      <c r="D971" s="407">
        <f t="shared" si="30"/>
        <v>13.41</v>
      </c>
      <c r="F971" s="680">
        <v>13.41</v>
      </c>
      <c r="G971" s="680">
        <v>13.41</v>
      </c>
      <c r="H971" t="b">
        <f t="shared" si="31"/>
        <v>1</v>
      </c>
    </row>
    <row r="972" spans="1:8">
      <c r="A972" s="396">
        <v>574</v>
      </c>
      <c r="B972" s="401" t="s">
        <v>9715</v>
      </c>
      <c r="C972" s="396" t="s">
        <v>2024</v>
      </c>
      <c r="D972" s="405">
        <f t="shared" si="30"/>
        <v>35.24</v>
      </c>
      <c r="F972" s="679">
        <v>35.24</v>
      </c>
      <c r="G972" s="679">
        <v>35.24</v>
      </c>
      <c r="H972" t="b">
        <f t="shared" si="31"/>
        <v>1</v>
      </c>
    </row>
    <row r="973" spans="1:8">
      <c r="A973" s="395">
        <v>568</v>
      </c>
      <c r="B973" s="406" t="s">
        <v>9716</v>
      </c>
      <c r="C973" s="395" t="s">
        <v>2024</v>
      </c>
      <c r="D973" s="407">
        <f t="shared" si="30"/>
        <v>74.260000000000005</v>
      </c>
      <c r="F973" s="680">
        <v>74.260000000000005</v>
      </c>
      <c r="G973" s="680">
        <v>74.260000000000005</v>
      </c>
      <c r="H973" t="b">
        <f t="shared" si="31"/>
        <v>1</v>
      </c>
    </row>
    <row r="974" spans="1:8">
      <c r="A974" s="396">
        <v>585</v>
      </c>
      <c r="B974" s="401" t="s">
        <v>9717</v>
      </c>
      <c r="C974" s="396" t="s">
        <v>2025</v>
      </c>
      <c r="D974" s="405">
        <f t="shared" si="30"/>
        <v>33.83</v>
      </c>
      <c r="F974" s="679">
        <v>33.83</v>
      </c>
      <c r="G974" s="679">
        <v>33.83</v>
      </c>
      <c r="H974" t="b">
        <f t="shared" si="31"/>
        <v>1</v>
      </c>
    </row>
    <row r="975" spans="1:8">
      <c r="A975" s="395">
        <v>4777</v>
      </c>
      <c r="B975" s="406" t="s">
        <v>9718</v>
      </c>
      <c r="C975" s="395" t="s">
        <v>2025</v>
      </c>
      <c r="D975" s="407">
        <f t="shared" si="30"/>
        <v>10.69</v>
      </c>
      <c r="F975" s="680">
        <v>10.69</v>
      </c>
      <c r="G975" s="680">
        <v>10.69</v>
      </c>
      <c r="H975" t="b">
        <f t="shared" si="31"/>
        <v>1</v>
      </c>
    </row>
    <row r="976" spans="1:8">
      <c r="A976" s="396">
        <v>587</v>
      </c>
      <c r="B976" s="401" t="s">
        <v>9719</v>
      </c>
      <c r="C976" s="396" t="s">
        <v>2025</v>
      </c>
      <c r="D976" s="405">
        <f t="shared" si="30"/>
        <v>36.25</v>
      </c>
      <c r="F976" s="679">
        <v>36.25</v>
      </c>
      <c r="G976" s="679">
        <v>36.25</v>
      </c>
      <c r="H976" t="b">
        <f t="shared" si="31"/>
        <v>1</v>
      </c>
    </row>
    <row r="977" spans="1:8">
      <c r="A977" s="395">
        <v>590</v>
      </c>
      <c r="B977" s="406" t="s">
        <v>9720</v>
      </c>
      <c r="C977" s="395" t="s">
        <v>2025</v>
      </c>
      <c r="D977" s="407">
        <f t="shared" si="30"/>
        <v>35.04</v>
      </c>
      <c r="F977" s="680">
        <v>35.04</v>
      </c>
      <c r="G977" s="680">
        <v>35.04</v>
      </c>
      <c r="H977" t="b">
        <f t="shared" si="31"/>
        <v>1</v>
      </c>
    </row>
    <row r="978" spans="1:8">
      <c r="A978" s="396">
        <v>592</v>
      </c>
      <c r="B978" s="401" t="s">
        <v>9721</v>
      </c>
      <c r="C978" s="396" t="s">
        <v>2025</v>
      </c>
      <c r="D978" s="405">
        <f t="shared" si="30"/>
        <v>36.25</v>
      </c>
      <c r="F978" s="679">
        <v>36.25</v>
      </c>
      <c r="G978" s="679">
        <v>36.25</v>
      </c>
      <c r="H978" t="b">
        <f t="shared" si="31"/>
        <v>1</v>
      </c>
    </row>
    <row r="979" spans="1:8">
      <c r="A979" s="395">
        <v>586</v>
      </c>
      <c r="B979" s="406" t="s">
        <v>9722</v>
      </c>
      <c r="C979" s="395" t="s">
        <v>2024</v>
      </c>
      <c r="D979" s="407">
        <f t="shared" si="30"/>
        <v>21.31</v>
      </c>
      <c r="F979" s="680">
        <v>21.31</v>
      </c>
      <c r="G979" s="680">
        <v>21.31</v>
      </c>
      <c r="H979" t="b">
        <f t="shared" si="31"/>
        <v>1</v>
      </c>
    </row>
    <row r="980" spans="1:8">
      <c r="A980" s="396">
        <v>591</v>
      </c>
      <c r="B980" s="401" t="s">
        <v>9723</v>
      </c>
      <c r="C980" s="396" t="s">
        <v>2025</v>
      </c>
      <c r="D980" s="405">
        <f t="shared" si="30"/>
        <v>33.83</v>
      </c>
      <c r="F980" s="679">
        <v>33.83</v>
      </c>
      <c r="G980" s="679">
        <v>33.83</v>
      </c>
      <c r="H980" t="b">
        <f t="shared" si="31"/>
        <v>1</v>
      </c>
    </row>
    <row r="981" spans="1:8">
      <c r="A981" s="395">
        <v>588</v>
      </c>
      <c r="B981" s="406" t="s">
        <v>9724</v>
      </c>
      <c r="C981" s="395" t="s">
        <v>2024</v>
      </c>
      <c r="D981" s="407">
        <f t="shared" si="30"/>
        <v>33.71</v>
      </c>
      <c r="F981" s="680">
        <v>33.71</v>
      </c>
      <c r="G981" s="680">
        <v>33.71</v>
      </c>
      <c r="H981" t="b">
        <f t="shared" si="31"/>
        <v>1</v>
      </c>
    </row>
    <row r="982" spans="1:8">
      <c r="A982" s="396">
        <v>589</v>
      </c>
      <c r="B982" s="401" t="s">
        <v>9725</v>
      </c>
      <c r="C982" s="396" t="s">
        <v>2024</v>
      </c>
      <c r="D982" s="405">
        <f t="shared" si="30"/>
        <v>56.98</v>
      </c>
      <c r="F982" s="679">
        <v>56.98</v>
      </c>
      <c r="G982" s="679">
        <v>56.98</v>
      </c>
      <c r="H982" t="b">
        <f t="shared" si="31"/>
        <v>1</v>
      </c>
    </row>
    <row r="983" spans="1:8">
      <c r="A983" s="395">
        <v>584</v>
      </c>
      <c r="B983" s="406" t="s">
        <v>9726</v>
      </c>
      <c r="C983" s="395" t="s">
        <v>2024</v>
      </c>
      <c r="D983" s="407">
        <f t="shared" si="30"/>
        <v>36</v>
      </c>
      <c r="F983" s="680">
        <v>36</v>
      </c>
      <c r="G983" s="680">
        <v>36</v>
      </c>
      <c r="H983" t="b">
        <f t="shared" si="31"/>
        <v>1</v>
      </c>
    </row>
    <row r="984" spans="1:8">
      <c r="A984" s="396">
        <v>1165</v>
      </c>
      <c r="B984" s="401" t="s">
        <v>9727</v>
      </c>
      <c r="C984" s="396" t="s">
        <v>2021</v>
      </c>
      <c r="D984" s="405">
        <f t="shared" si="30"/>
        <v>13.94</v>
      </c>
      <c r="F984" s="679">
        <v>13.94</v>
      </c>
      <c r="G984" s="679">
        <v>13.94</v>
      </c>
      <c r="H984" t="b">
        <f t="shared" si="31"/>
        <v>1</v>
      </c>
    </row>
    <row r="985" spans="1:8">
      <c r="A985" s="395">
        <v>1164</v>
      </c>
      <c r="B985" s="406" t="s">
        <v>9728</v>
      </c>
      <c r="C985" s="395" t="s">
        <v>2021</v>
      </c>
      <c r="D985" s="407">
        <f t="shared" si="30"/>
        <v>11.29</v>
      </c>
      <c r="F985" s="680">
        <v>11.29</v>
      </c>
      <c r="G985" s="680">
        <v>11.29</v>
      </c>
      <c r="H985" t="b">
        <f t="shared" si="31"/>
        <v>1</v>
      </c>
    </row>
    <row r="986" spans="1:8">
      <c r="A986" s="396">
        <v>1162</v>
      </c>
      <c r="B986" s="401" t="s">
        <v>9729</v>
      </c>
      <c r="C986" s="396" t="s">
        <v>2021</v>
      </c>
      <c r="D986" s="405">
        <f t="shared" si="30"/>
        <v>3.92</v>
      </c>
      <c r="F986" s="679">
        <v>3.92</v>
      </c>
      <c r="G986" s="679">
        <v>3.92</v>
      </c>
      <c r="H986" t="b">
        <f t="shared" si="31"/>
        <v>1</v>
      </c>
    </row>
    <row r="987" spans="1:8">
      <c r="A987" s="395">
        <v>12395</v>
      </c>
      <c r="B987" s="406" t="s">
        <v>9730</v>
      </c>
      <c r="C987" s="395" t="s">
        <v>2021</v>
      </c>
      <c r="D987" s="407">
        <f t="shared" si="30"/>
        <v>3.81</v>
      </c>
      <c r="F987" s="680">
        <v>3.81</v>
      </c>
      <c r="G987" s="680">
        <v>3.81</v>
      </c>
      <c r="H987" t="b">
        <f t="shared" si="31"/>
        <v>1</v>
      </c>
    </row>
    <row r="988" spans="1:8">
      <c r="A988" s="396">
        <v>1170</v>
      </c>
      <c r="B988" s="401" t="s">
        <v>9731</v>
      </c>
      <c r="C988" s="396" t="s">
        <v>2021</v>
      </c>
      <c r="D988" s="405">
        <f t="shared" si="30"/>
        <v>7.4</v>
      </c>
      <c r="F988" s="679">
        <v>7.4</v>
      </c>
      <c r="G988" s="679">
        <v>7.4</v>
      </c>
      <c r="H988" t="b">
        <f t="shared" si="31"/>
        <v>1</v>
      </c>
    </row>
    <row r="989" spans="1:8">
      <c r="A989" s="395">
        <v>1169</v>
      </c>
      <c r="B989" s="406" t="s">
        <v>9732</v>
      </c>
      <c r="C989" s="395" t="s">
        <v>2021</v>
      </c>
      <c r="D989" s="407">
        <f t="shared" si="30"/>
        <v>36.32</v>
      </c>
      <c r="F989" s="680">
        <v>36.32</v>
      </c>
      <c r="G989" s="680">
        <v>36.32</v>
      </c>
      <c r="H989" t="b">
        <f t="shared" si="31"/>
        <v>1</v>
      </c>
    </row>
    <row r="990" spans="1:8">
      <c r="A990" s="396">
        <v>1166</v>
      </c>
      <c r="B990" s="401" t="s">
        <v>9733</v>
      </c>
      <c r="C990" s="396" t="s">
        <v>2021</v>
      </c>
      <c r="D990" s="405">
        <f t="shared" si="30"/>
        <v>20.13</v>
      </c>
      <c r="F990" s="679">
        <v>20.13</v>
      </c>
      <c r="G990" s="679">
        <v>20.13</v>
      </c>
      <c r="H990" t="b">
        <f t="shared" si="31"/>
        <v>1</v>
      </c>
    </row>
    <row r="991" spans="1:8">
      <c r="A991" s="395">
        <v>1163</v>
      </c>
      <c r="B991" s="406" t="s">
        <v>9734</v>
      </c>
      <c r="C991" s="395" t="s">
        <v>2021</v>
      </c>
      <c r="D991" s="407">
        <f t="shared" si="30"/>
        <v>5.07</v>
      </c>
      <c r="F991" s="680">
        <v>5.07</v>
      </c>
      <c r="G991" s="680">
        <v>5.07</v>
      </c>
      <c r="H991" t="b">
        <f t="shared" si="31"/>
        <v>1</v>
      </c>
    </row>
    <row r="992" spans="1:8">
      <c r="A992" s="396">
        <v>12396</v>
      </c>
      <c r="B992" s="401" t="s">
        <v>9735</v>
      </c>
      <c r="C992" s="396" t="s">
        <v>2021</v>
      </c>
      <c r="D992" s="405">
        <f t="shared" si="30"/>
        <v>3.81</v>
      </c>
      <c r="F992" s="679">
        <v>3.81</v>
      </c>
      <c r="G992" s="679">
        <v>3.81</v>
      </c>
      <c r="H992" t="b">
        <f t="shared" si="31"/>
        <v>1</v>
      </c>
    </row>
    <row r="993" spans="1:8">
      <c r="A993" s="395">
        <v>1168</v>
      </c>
      <c r="B993" s="406" t="s">
        <v>9736</v>
      </c>
      <c r="C993" s="395" t="s">
        <v>2021</v>
      </c>
      <c r="D993" s="407">
        <f t="shared" si="30"/>
        <v>51.77</v>
      </c>
      <c r="F993" s="680">
        <v>51.77</v>
      </c>
      <c r="G993" s="680">
        <v>51.77</v>
      </c>
      <c r="H993" t="b">
        <f t="shared" si="31"/>
        <v>1</v>
      </c>
    </row>
    <row r="994" spans="1:8">
      <c r="A994" s="396">
        <v>1167</v>
      </c>
      <c r="B994" s="401" t="s">
        <v>9737</v>
      </c>
      <c r="C994" s="396" t="s">
        <v>2021</v>
      </c>
      <c r="D994" s="405">
        <f t="shared" si="30"/>
        <v>86.6</v>
      </c>
      <c r="F994" s="679">
        <v>86.6</v>
      </c>
      <c r="G994" s="679">
        <v>86.6</v>
      </c>
      <c r="H994" t="b">
        <f t="shared" si="31"/>
        <v>1</v>
      </c>
    </row>
    <row r="995" spans="1:8">
      <c r="A995" s="395">
        <v>36331</v>
      </c>
      <c r="B995" s="406" t="s">
        <v>9738</v>
      </c>
      <c r="C995" s="395" t="s">
        <v>2021</v>
      </c>
      <c r="D995" s="407">
        <f t="shared" si="30"/>
        <v>2.2999999999999998</v>
      </c>
      <c r="F995" s="680">
        <v>2.2999999999999998</v>
      </c>
      <c r="G995" s="680">
        <v>2.2999999999999998</v>
      </c>
      <c r="H995" t="b">
        <f t="shared" si="31"/>
        <v>1</v>
      </c>
    </row>
    <row r="996" spans="1:8">
      <c r="A996" s="396">
        <v>36346</v>
      </c>
      <c r="B996" s="401" t="s">
        <v>9739</v>
      </c>
      <c r="C996" s="396" t="s">
        <v>2021</v>
      </c>
      <c r="D996" s="405">
        <f t="shared" si="30"/>
        <v>3.45</v>
      </c>
      <c r="F996" s="679">
        <v>3.45</v>
      </c>
      <c r="G996" s="679">
        <v>3.45</v>
      </c>
      <c r="H996" t="b">
        <f t="shared" si="31"/>
        <v>1</v>
      </c>
    </row>
    <row r="997" spans="1:8">
      <c r="A997" s="395">
        <v>1197</v>
      </c>
      <c r="B997" s="406" t="s">
        <v>9740</v>
      </c>
      <c r="C997" s="395" t="s">
        <v>2021</v>
      </c>
      <c r="D997" s="407">
        <f t="shared" si="30"/>
        <v>2.21</v>
      </c>
      <c r="F997" s="680">
        <v>2.21</v>
      </c>
      <c r="G997" s="680">
        <v>2.21</v>
      </c>
      <c r="H997" t="b">
        <f t="shared" si="31"/>
        <v>1</v>
      </c>
    </row>
    <row r="998" spans="1:8">
      <c r="A998" s="396">
        <v>1202</v>
      </c>
      <c r="B998" s="401" t="s">
        <v>9741</v>
      </c>
      <c r="C998" s="396" t="s">
        <v>2021</v>
      </c>
      <c r="D998" s="405">
        <f t="shared" si="30"/>
        <v>6.26</v>
      </c>
      <c r="F998" s="679">
        <v>6.26</v>
      </c>
      <c r="G998" s="679">
        <v>6.26</v>
      </c>
      <c r="H998" t="b">
        <f t="shared" si="31"/>
        <v>1</v>
      </c>
    </row>
    <row r="999" spans="1:8">
      <c r="A999" s="395">
        <v>1198</v>
      </c>
      <c r="B999" s="406" t="s">
        <v>9742</v>
      </c>
      <c r="C999" s="395" t="s">
        <v>2021</v>
      </c>
      <c r="D999" s="407">
        <f t="shared" si="30"/>
        <v>2.89</v>
      </c>
      <c r="F999" s="680">
        <v>2.89</v>
      </c>
      <c r="G999" s="680">
        <v>2.89</v>
      </c>
      <c r="H999" t="b">
        <f t="shared" si="31"/>
        <v>1</v>
      </c>
    </row>
    <row r="1000" spans="1:8">
      <c r="A1000" s="396">
        <v>20088</v>
      </c>
      <c r="B1000" s="401" t="s">
        <v>9743</v>
      </c>
      <c r="C1000" s="396" t="s">
        <v>2021</v>
      </c>
      <c r="D1000" s="405">
        <f t="shared" si="30"/>
        <v>15.79</v>
      </c>
      <c r="F1000" s="679">
        <v>15.79</v>
      </c>
      <c r="G1000" s="679">
        <v>15.79</v>
      </c>
      <c r="H1000" t="b">
        <f t="shared" si="31"/>
        <v>1</v>
      </c>
    </row>
    <row r="1001" spans="1:8">
      <c r="A1001" s="395">
        <v>20089</v>
      </c>
      <c r="B1001" s="406" t="s">
        <v>9744</v>
      </c>
      <c r="C1001" s="395" t="s">
        <v>2021</v>
      </c>
      <c r="D1001" s="407">
        <f t="shared" si="30"/>
        <v>77.42</v>
      </c>
      <c r="F1001" s="680">
        <v>77.42</v>
      </c>
      <c r="G1001" s="680">
        <v>77.42</v>
      </c>
      <c r="H1001" t="b">
        <f t="shared" si="31"/>
        <v>1</v>
      </c>
    </row>
    <row r="1002" spans="1:8">
      <c r="A1002" s="396">
        <v>20087</v>
      </c>
      <c r="B1002" s="401" t="s">
        <v>9745</v>
      </c>
      <c r="C1002" s="396" t="s">
        <v>2021</v>
      </c>
      <c r="D1002" s="405">
        <f t="shared" si="30"/>
        <v>13.07</v>
      </c>
      <c r="F1002" s="679">
        <v>13.07</v>
      </c>
      <c r="G1002" s="679">
        <v>13.07</v>
      </c>
      <c r="H1002" t="b">
        <f t="shared" si="31"/>
        <v>1</v>
      </c>
    </row>
    <row r="1003" spans="1:8">
      <c r="A1003" s="395">
        <v>1200</v>
      </c>
      <c r="B1003" s="406" t="s">
        <v>9746</v>
      </c>
      <c r="C1003" s="395" t="s">
        <v>2021</v>
      </c>
      <c r="D1003" s="407">
        <f t="shared" si="30"/>
        <v>11.87</v>
      </c>
      <c r="F1003" s="680">
        <v>11.87</v>
      </c>
      <c r="G1003" s="680">
        <v>11.87</v>
      </c>
      <c r="H1003" t="b">
        <f t="shared" si="31"/>
        <v>1</v>
      </c>
    </row>
    <row r="1004" spans="1:8">
      <c r="A1004" s="396">
        <v>12909</v>
      </c>
      <c r="B1004" s="401" t="s">
        <v>9747</v>
      </c>
      <c r="C1004" s="396" t="s">
        <v>2021</v>
      </c>
      <c r="D1004" s="405">
        <f t="shared" si="30"/>
        <v>5.51</v>
      </c>
      <c r="F1004" s="679">
        <v>5.51</v>
      </c>
      <c r="G1004" s="679">
        <v>5.51</v>
      </c>
      <c r="H1004" t="b">
        <f t="shared" si="31"/>
        <v>1</v>
      </c>
    </row>
    <row r="1005" spans="1:8">
      <c r="A1005" s="395">
        <v>12910</v>
      </c>
      <c r="B1005" s="406" t="s">
        <v>9748</v>
      </c>
      <c r="C1005" s="395" t="s">
        <v>2021</v>
      </c>
      <c r="D1005" s="407">
        <f t="shared" si="30"/>
        <v>9.89</v>
      </c>
      <c r="F1005" s="680">
        <v>9.89</v>
      </c>
      <c r="G1005" s="680">
        <v>9.89</v>
      </c>
      <c r="H1005" t="b">
        <f t="shared" si="31"/>
        <v>1</v>
      </c>
    </row>
    <row r="1006" spans="1:8">
      <c r="A1006" s="396">
        <v>1191</v>
      </c>
      <c r="B1006" s="401" t="s">
        <v>9749</v>
      </c>
      <c r="C1006" s="396" t="s">
        <v>2021</v>
      </c>
      <c r="D1006" s="405">
        <f t="shared" si="30"/>
        <v>1.57</v>
      </c>
      <c r="F1006" s="679">
        <v>1.57</v>
      </c>
      <c r="G1006" s="679">
        <v>1.57</v>
      </c>
      <c r="H1006" t="b">
        <f t="shared" si="31"/>
        <v>1</v>
      </c>
    </row>
    <row r="1007" spans="1:8">
      <c r="A1007" s="395">
        <v>1185</v>
      </c>
      <c r="B1007" s="406" t="s">
        <v>9750</v>
      </c>
      <c r="C1007" s="395" t="s">
        <v>2021</v>
      </c>
      <c r="D1007" s="407">
        <f t="shared" si="30"/>
        <v>1.57</v>
      </c>
      <c r="F1007" s="680">
        <v>1.57</v>
      </c>
      <c r="G1007" s="680">
        <v>1.57</v>
      </c>
      <c r="H1007" t="b">
        <f t="shared" si="31"/>
        <v>1</v>
      </c>
    </row>
    <row r="1008" spans="1:8">
      <c r="A1008" s="396">
        <v>1189</v>
      </c>
      <c r="B1008" s="401" t="s">
        <v>9751</v>
      </c>
      <c r="C1008" s="396" t="s">
        <v>2021</v>
      </c>
      <c r="D1008" s="405">
        <f t="shared" si="30"/>
        <v>2.57</v>
      </c>
      <c r="F1008" s="679">
        <v>2.57</v>
      </c>
      <c r="G1008" s="679">
        <v>2.57</v>
      </c>
      <c r="H1008" t="b">
        <f t="shared" si="31"/>
        <v>1</v>
      </c>
    </row>
    <row r="1009" spans="1:8">
      <c r="A1009" s="395">
        <v>1193</v>
      </c>
      <c r="B1009" s="406" t="s">
        <v>9752</v>
      </c>
      <c r="C1009" s="395" t="s">
        <v>2021</v>
      </c>
      <c r="D1009" s="407">
        <f t="shared" si="30"/>
        <v>4.95</v>
      </c>
      <c r="F1009" s="680">
        <v>4.95</v>
      </c>
      <c r="G1009" s="680">
        <v>4.95</v>
      </c>
      <c r="H1009" t="b">
        <f t="shared" si="31"/>
        <v>1</v>
      </c>
    </row>
    <row r="1010" spans="1:8">
      <c r="A1010" s="396">
        <v>1194</v>
      </c>
      <c r="B1010" s="401" t="s">
        <v>9753</v>
      </c>
      <c r="C1010" s="396" t="s">
        <v>2021</v>
      </c>
      <c r="D1010" s="405">
        <f t="shared" si="30"/>
        <v>8.94</v>
      </c>
      <c r="F1010" s="679">
        <v>8.94</v>
      </c>
      <c r="G1010" s="679">
        <v>8.94</v>
      </c>
      <c r="H1010" t="b">
        <f t="shared" si="31"/>
        <v>1</v>
      </c>
    </row>
    <row r="1011" spans="1:8">
      <c r="A1011" s="395">
        <v>1195</v>
      </c>
      <c r="B1011" s="406" t="s">
        <v>9754</v>
      </c>
      <c r="C1011" s="395" t="s">
        <v>2021</v>
      </c>
      <c r="D1011" s="407">
        <f t="shared" si="30"/>
        <v>15.04</v>
      </c>
      <c r="F1011" s="680">
        <v>15.04</v>
      </c>
      <c r="G1011" s="680">
        <v>15.04</v>
      </c>
      <c r="H1011" t="b">
        <f t="shared" si="31"/>
        <v>1</v>
      </c>
    </row>
    <row r="1012" spans="1:8">
      <c r="A1012" s="396">
        <v>1204</v>
      </c>
      <c r="B1012" s="401" t="s">
        <v>9755</v>
      </c>
      <c r="C1012" s="396" t="s">
        <v>2021</v>
      </c>
      <c r="D1012" s="405">
        <f t="shared" si="30"/>
        <v>26.31</v>
      </c>
      <c r="F1012" s="679">
        <v>26.31</v>
      </c>
      <c r="G1012" s="679">
        <v>26.31</v>
      </c>
      <c r="H1012" t="b">
        <f t="shared" si="31"/>
        <v>1</v>
      </c>
    </row>
    <row r="1013" spans="1:8">
      <c r="A1013" s="395">
        <v>1207</v>
      </c>
      <c r="B1013" s="406" t="s">
        <v>9756</v>
      </c>
      <c r="C1013" s="395" t="s">
        <v>2021</v>
      </c>
      <c r="D1013" s="407">
        <f t="shared" si="30"/>
        <v>34.42</v>
      </c>
      <c r="F1013" s="680">
        <v>34.42</v>
      </c>
      <c r="G1013" s="680">
        <v>34.42</v>
      </c>
      <c r="H1013" t="b">
        <f t="shared" si="31"/>
        <v>1</v>
      </c>
    </row>
    <row r="1014" spans="1:8">
      <c r="A1014" s="396">
        <v>1206</v>
      </c>
      <c r="B1014" s="401" t="s">
        <v>9757</v>
      </c>
      <c r="C1014" s="396" t="s">
        <v>2021</v>
      </c>
      <c r="D1014" s="405">
        <f t="shared" si="30"/>
        <v>8.6300000000000008</v>
      </c>
      <c r="F1014" s="679">
        <v>8.6300000000000008</v>
      </c>
      <c r="G1014" s="679">
        <v>8.6300000000000008</v>
      </c>
      <c r="H1014" t="b">
        <f t="shared" si="31"/>
        <v>1</v>
      </c>
    </row>
    <row r="1015" spans="1:8">
      <c r="A1015" s="395">
        <v>1183</v>
      </c>
      <c r="B1015" s="406" t="s">
        <v>9758</v>
      </c>
      <c r="C1015" s="395" t="s">
        <v>2021</v>
      </c>
      <c r="D1015" s="407">
        <f t="shared" si="30"/>
        <v>22.47</v>
      </c>
      <c r="F1015" s="680">
        <v>22.47</v>
      </c>
      <c r="G1015" s="680">
        <v>22.47</v>
      </c>
      <c r="H1015" t="b">
        <f t="shared" si="31"/>
        <v>1</v>
      </c>
    </row>
    <row r="1016" spans="1:8">
      <c r="A1016" s="396">
        <v>42685</v>
      </c>
      <c r="B1016" s="401" t="s">
        <v>9759</v>
      </c>
      <c r="C1016" s="396" t="s">
        <v>2021</v>
      </c>
      <c r="D1016" s="405">
        <f t="shared" si="30"/>
        <v>80.23</v>
      </c>
      <c r="F1016" s="679">
        <v>80.23</v>
      </c>
      <c r="G1016" s="679">
        <v>80.23</v>
      </c>
      <c r="H1016" t="b">
        <f t="shared" si="31"/>
        <v>1</v>
      </c>
    </row>
    <row r="1017" spans="1:8">
      <c r="A1017" s="395">
        <v>42686</v>
      </c>
      <c r="B1017" s="406" t="s">
        <v>9760</v>
      </c>
      <c r="C1017" s="395" t="s">
        <v>2021</v>
      </c>
      <c r="D1017" s="407">
        <f t="shared" si="30"/>
        <v>88.36</v>
      </c>
      <c r="F1017" s="680">
        <v>88.36</v>
      </c>
      <c r="G1017" s="680">
        <v>88.36</v>
      </c>
      <c r="H1017" t="b">
        <f t="shared" si="31"/>
        <v>1</v>
      </c>
    </row>
    <row r="1018" spans="1:8">
      <c r="A1018" s="396">
        <v>12894</v>
      </c>
      <c r="B1018" s="401" t="s">
        <v>9761</v>
      </c>
      <c r="C1018" s="396" t="s">
        <v>2021</v>
      </c>
      <c r="D1018" s="405">
        <f t="shared" si="30"/>
        <v>20.67</v>
      </c>
      <c r="F1018" s="679">
        <v>20.67</v>
      </c>
      <c r="G1018" s="679">
        <v>20.67</v>
      </c>
      <c r="H1018" t="b">
        <f t="shared" si="31"/>
        <v>1</v>
      </c>
    </row>
    <row r="1019" spans="1:8">
      <c r="A1019" s="395">
        <v>12895</v>
      </c>
      <c r="B1019" s="406" t="s">
        <v>9762</v>
      </c>
      <c r="C1019" s="395" t="s">
        <v>2021</v>
      </c>
      <c r="D1019" s="407">
        <f t="shared" si="30"/>
        <v>15.9</v>
      </c>
      <c r="F1019" s="680">
        <v>15.9</v>
      </c>
      <c r="G1019" s="680">
        <v>15.9</v>
      </c>
      <c r="H1019" t="b">
        <f t="shared" si="31"/>
        <v>1</v>
      </c>
    </row>
    <row r="1020" spans="1:8" ht="30">
      <c r="A1020" s="396">
        <v>1631</v>
      </c>
      <c r="B1020" s="401" t="s">
        <v>9763</v>
      </c>
      <c r="C1020" s="396" t="s">
        <v>2021</v>
      </c>
      <c r="D1020" s="405">
        <f t="shared" si="30"/>
        <v>101.83</v>
      </c>
      <c r="F1020" s="679">
        <v>101.83</v>
      </c>
      <c r="G1020" s="679">
        <v>101.83</v>
      </c>
      <c r="H1020" t="b">
        <f t="shared" si="31"/>
        <v>1</v>
      </c>
    </row>
    <row r="1021" spans="1:8" ht="30">
      <c r="A1021" s="395">
        <v>1633</v>
      </c>
      <c r="B1021" s="406" t="s">
        <v>9764</v>
      </c>
      <c r="C1021" s="395" t="s">
        <v>2021</v>
      </c>
      <c r="D1021" s="407">
        <f t="shared" si="30"/>
        <v>173.02</v>
      </c>
      <c r="F1021" s="680">
        <v>173.02</v>
      </c>
      <c r="G1021" s="680">
        <v>173.02</v>
      </c>
      <c r="H1021" t="b">
        <f t="shared" si="31"/>
        <v>1</v>
      </c>
    </row>
    <row r="1022" spans="1:8">
      <c r="A1022" s="396">
        <v>10818</v>
      </c>
      <c r="B1022" s="401" t="s">
        <v>9765</v>
      </c>
      <c r="C1022" s="396" t="s">
        <v>2025</v>
      </c>
      <c r="D1022" s="405">
        <f t="shared" si="30"/>
        <v>49.28</v>
      </c>
      <c r="F1022" s="679">
        <v>49.28</v>
      </c>
      <c r="G1022" s="679">
        <v>49.28</v>
      </c>
      <c r="H1022" t="b">
        <f t="shared" si="31"/>
        <v>1</v>
      </c>
    </row>
    <row r="1023" spans="1:8">
      <c r="A1023" s="395">
        <v>41410</v>
      </c>
      <c r="B1023" s="406" t="s">
        <v>9766</v>
      </c>
      <c r="C1023" s="395" t="s">
        <v>2021</v>
      </c>
      <c r="D1023" s="407">
        <f t="shared" si="30"/>
        <v>84.13</v>
      </c>
      <c r="F1023" s="680">
        <v>84.13</v>
      </c>
      <c r="G1023" s="680">
        <v>84.13</v>
      </c>
      <c r="H1023" t="b">
        <f t="shared" si="31"/>
        <v>1</v>
      </c>
    </row>
    <row r="1024" spans="1:8">
      <c r="A1024" s="396">
        <v>41411</v>
      </c>
      <c r="B1024" s="401" t="s">
        <v>9767</v>
      </c>
      <c r="C1024" s="396" t="s">
        <v>2021</v>
      </c>
      <c r="D1024" s="405">
        <f t="shared" si="30"/>
        <v>76.27</v>
      </c>
      <c r="F1024" s="679">
        <v>76.27</v>
      </c>
      <c r="G1024" s="679">
        <v>76.27</v>
      </c>
      <c r="H1024" t="b">
        <f t="shared" si="31"/>
        <v>1</v>
      </c>
    </row>
    <row r="1025" spans="1:8">
      <c r="A1025" s="395">
        <v>41412</v>
      </c>
      <c r="B1025" s="406" t="s">
        <v>9768</v>
      </c>
      <c r="C1025" s="395" t="s">
        <v>2021</v>
      </c>
      <c r="D1025" s="407">
        <f t="shared" si="30"/>
        <v>147.52000000000001</v>
      </c>
      <c r="F1025" s="680">
        <v>147.52000000000001</v>
      </c>
      <c r="G1025" s="680">
        <v>147.52000000000001</v>
      </c>
      <c r="H1025" t="b">
        <f t="shared" si="31"/>
        <v>1</v>
      </c>
    </row>
    <row r="1026" spans="1:8">
      <c r="A1026" s="396">
        <v>41413</v>
      </c>
      <c r="B1026" s="401" t="s">
        <v>9769</v>
      </c>
      <c r="C1026" s="396" t="s">
        <v>2021</v>
      </c>
      <c r="D1026" s="405">
        <f t="shared" si="30"/>
        <v>132.74</v>
      </c>
      <c r="F1026" s="679">
        <v>132.74</v>
      </c>
      <c r="G1026" s="679">
        <v>132.74</v>
      </c>
      <c r="H1026" t="b">
        <f t="shared" si="31"/>
        <v>1</v>
      </c>
    </row>
    <row r="1027" spans="1:8" ht="30">
      <c r="A1027" s="395">
        <v>39359</v>
      </c>
      <c r="B1027" s="406" t="s">
        <v>9770</v>
      </c>
      <c r="C1027" s="395" t="s">
        <v>2021</v>
      </c>
      <c r="D1027" s="407">
        <f t="shared" ref="D1027:D1090" si="32">IF($J$2=$F$1,F1027,G1027)</f>
        <v>25.68</v>
      </c>
      <c r="F1027" s="680">
        <v>25.68</v>
      </c>
      <c r="G1027" s="680">
        <v>25.68</v>
      </c>
      <c r="H1027" t="b">
        <f t="shared" ref="H1027:H1090" si="33">F1027=G1027</f>
        <v>1</v>
      </c>
    </row>
    <row r="1028" spans="1:8" ht="30">
      <c r="A1028" s="396">
        <v>39360</v>
      </c>
      <c r="B1028" s="401" t="s">
        <v>9771</v>
      </c>
      <c r="C1028" s="396" t="s">
        <v>2021</v>
      </c>
      <c r="D1028" s="405">
        <f t="shared" si="32"/>
        <v>23.34</v>
      </c>
      <c r="F1028" s="679">
        <v>23.34</v>
      </c>
      <c r="G1028" s="679">
        <v>23.34</v>
      </c>
      <c r="H1028" t="b">
        <f t="shared" si="33"/>
        <v>1</v>
      </c>
    </row>
    <row r="1029" spans="1:8">
      <c r="A1029" s="395">
        <v>10710</v>
      </c>
      <c r="B1029" s="406" t="s">
        <v>9772</v>
      </c>
      <c r="C1029" s="395" t="s">
        <v>2023</v>
      </c>
      <c r="D1029" s="407">
        <f t="shared" si="32"/>
        <v>137.9</v>
      </c>
      <c r="F1029" s="680">
        <v>137.9</v>
      </c>
      <c r="G1029" s="680">
        <v>137.9</v>
      </c>
      <c r="H1029" t="b">
        <f t="shared" si="33"/>
        <v>1</v>
      </c>
    </row>
    <row r="1030" spans="1:8">
      <c r="A1030" s="396">
        <v>10709</v>
      </c>
      <c r="B1030" s="401" t="s">
        <v>9773</v>
      </c>
      <c r="C1030" s="396" t="s">
        <v>2023</v>
      </c>
      <c r="D1030" s="405">
        <f t="shared" si="32"/>
        <v>169.41</v>
      </c>
      <c r="F1030" s="679">
        <v>169.41</v>
      </c>
      <c r="G1030" s="679">
        <v>169.41</v>
      </c>
      <c r="H1030" t="b">
        <f t="shared" si="33"/>
        <v>1</v>
      </c>
    </row>
    <row r="1031" spans="1:8">
      <c r="A1031" s="395">
        <v>39636</v>
      </c>
      <c r="B1031" s="406" t="s">
        <v>9774</v>
      </c>
      <c r="C1031" s="395" t="s">
        <v>2023</v>
      </c>
      <c r="D1031" s="407">
        <f t="shared" si="32"/>
        <v>173</v>
      </c>
      <c r="F1031" s="680">
        <v>173</v>
      </c>
      <c r="G1031" s="680">
        <v>173</v>
      </c>
      <c r="H1031" t="b">
        <f t="shared" si="33"/>
        <v>1</v>
      </c>
    </row>
    <row r="1032" spans="1:8">
      <c r="A1032" s="396">
        <v>10708</v>
      </c>
      <c r="B1032" s="401" t="s">
        <v>9775</v>
      </c>
      <c r="C1032" s="396" t="s">
        <v>2023</v>
      </c>
      <c r="D1032" s="405">
        <f t="shared" si="32"/>
        <v>53.38</v>
      </c>
      <c r="F1032" s="679">
        <v>53.38</v>
      </c>
      <c r="G1032" s="679">
        <v>53.38</v>
      </c>
      <c r="H1032" t="b">
        <f t="shared" si="33"/>
        <v>1</v>
      </c>
    </row>
    <row r="1033" spans="1:8">
      <c r="A1033" s="395">
        <v>39635</v>
      </c>
      <c r="B1033" s="406" t="s">
        <v>9776</v>
      </c>
      <c r="C1033" s="395" t="s">
        <v>2023</v>
      </c>
      <c r="D1033" s="407">
        <f t="shared" si="32"/>
        <v>90.88</v>
      </c>
      <c r="F1033" s="680">
        <v>90.88</v>
      </c>
      <c r="G1033" s="680">
        <v>90.88</v>
      </c>
      <c r="H1033" t="b">
        <f t="shared" si="33"/>
        <v>1</v>
      </c>
    </row>
    <row r="1034" spans="1:8">
      <c r="A1034" s="396">
        <v>6117</v>
      </c>
      <c r="B1034" s="401" t="s">
        <v>9777</v>
      </c>
      <c r="C1034" s="396" t="s">
        <v>2020</v>
      </c>
      <c r="D1034" s="405">
        <f t="shared" si="32"/>
        <v>13.11</v>
      </c>
      <c r="F1034" s="679">
        <v>13.11</v>
      </c>
      <c r="G1034" s="679">
        <v>15.09</v>
      </c>
      <c r="H1034" t="b">
        <f t="shared" si="33"/>
        <v>0</v>
      </c>
    </row>
    <row r="1035" spans="1:8">
      <c r="A1035" s="395">
        <v>40913</v>
      </c>
      <c r="B1035" s="406" t="s">
        <v>9778</v>
      </c>
      <c r="C1035" s="395" t="s">
        <v>2027</v>
      </c>
      <c r="D1035" s="407">
        <f t="shared" si="32"/>
        <v>2313.4299999999998</v>
      </c>
      <c r="F1035" s="680">
        <v>2313.4299999999998</v>
      </c>
      <c r="G1035" s="680">
        <v>2664.93</v>
      </c>
      <c r="H1035" t="b">
        <f t="shared" si="33"/>
        <v>0</v>
      </c>
    </row>
    <row r="1036" spans="1:8">
      <c r="A1036" s="396">
        <v>1214</v>
      </c>
      <c r="B1036" s="401" t="s">
        <v>9779</v>
      </c>
      <c r="C1036" s="396" t="s">
        <v>2020</v>
      </c>
      <c r="D1036" s="405">
        <f t="shared" si="32"/>
        <v>15.33</v>
      </c>
      <c r="F1036" s="679">
        <v>15.33</v>
      </c>
      <c r="G1036" s="679">
        <v>17.64</v>
      </c>
      <c r="H1036" t="b">
        <f t="shared" si="33"/>
        <v>0</v>
      </c>
    </row>
    <row r="1037" spans="1:8">
      <c r="A1037" s="395">
        <v>40915</v>
      </c>
      <c r="B1037" s="406" t="s">
        <v>9780</v>
      </c>
      <c r="C1037" s="395" t="s">
        <v>2027</v>
      </c>
      <c r="D1037" s="407">
        <f t="shared" si="32"/>
        <v>2703.69</v>
      </c>
      <c r="F1037" s="680">
        <v>2703.69</v>
      </c>
      <c r="G1037" s="680">
        <v>3114.49</v>
      </c>
      <c r="H1037" t="b">
        <f t="shared" si="33"/>
        <v>0</v>
      </c>
    </row>
    <row r="1038" spans="1:8">
      <c r="A1038" s="396">
        <v>1213</v>
      </c>
      <c r="B1038" s="401" t="s">
        <v>9781</v>
      </c>
      <c r="C1038" s="396" t="s">
        <v>2020</v>
      </c>
      <c r="D1038" s="405">
        <f t="shared" si="32"/>
        <v>16.29</v>
      </c>
      <c r="F1038" s="679">
        <v>16.29</v>
      </c>
      <c r="G1038" s="679">
        <v>18.739999999999998</v>
      </c>
      <c r="H1038" t="b">
        <f t="shared" si="33"/>
        <v>0</v>
      </c>
    </row>
    <row r="1039" spans="1:8">
      <c r="A1039" s="395">
        <v>40914</v>
      </c>
      <c r="B1039" s="406" t="s">
        <v>9782</v>
      </c>
      <c r="C1039" s="395" t="s">
        <v>2027</v>
      </c>
      <c r="D1039" s="407">
        <f t="shared" si="32"/>
        <v>2871.23</v>
      </c>
      <c r="F1039" s="680">
        <v>2871.23</v>
      </c>
      <c r="G1039" s="680">
        <v>3307.49</v>
      </c>
      <c r="H1039" t="b">
        <f t="shared" si="33"/>
        <v>0</v>
      </c>
    </row>
    <row r="1040" spans="1:8">
      <c r="A1040" s="396">
        <v>5091</v>
      </c>
      <c r="B1040" s="401" t="s">
        <v>9783</v>
      </c>
      <c r="C1040" s="396" t="s">
        <v>2021</v>
      </c>
      <c r="D1040" s="405">
        <f t="shared" si="32"/>
        <v>22.19</v>
      </c>
      <c r="F1040" s="679">
        <v>22.19</v>
      </c>
      <c r="G1040" s="679">
        <v>22.19</v>
      </c>
      <c r="H1040" t="b">
        <f t="shared" si="33"/>
        <v>1</v>
      </c>
    </row>
    <row r="1041" spans="1:8" ht="30">
      <c r="A1041" s="395">
        <v>14615</v>
      </c>
      <c r="B1041" s="406" t="s">
        <v>9784</v>
      </c>
      <c r="C1041" s="395" t="s">
        <v>2021</v>
      </c>
      <c r="D1041" s="407">
        <f t="shared" si="32"/>
        <v>4215.25</v>
      </c>
      <c r="F1041" s="680">
        <v>4215.25</v>
      </c>
      <c r="G1041" s="680">
        <v>4215.25</v>
      </c>
      <c r="H1041" t="b">
        <f t="shared" si="33"/>
        <v>1</v>
      </c>
    </row>
    <row r="1042" spans="1:8">
      <c r="A1042" s="396">
        <v>2711</v>
      </c>
      <c r="B1042" s="401" t="s">
        <v>9785</v>
      </c>
      <c r="C1042" s="396" t="s">
        <v>2021</v>
      </c>
      <c r="D1042" s="405">
        <f t="shared" si="32"/>
        <v>245.5</v>
      </c>
      <c r="F1042" s="679">
        <v>245.5</v>
      </c>
      <c r="G1042" s="679">
        <v>245.5</v>
      </c>
      <c r="H1042" t="b">
        <f t="shared" si="33"/>
        <v>1</v>
      </c>
    </row>
    <row r="1043" spans="1:8" ht="30">
      <c r="A1043" s="395">
        <v>37727</v>
      </c>
      <c r="B1043" s="406" t="s">
        <v>9786</v>
      </c>
      <c r="C1043" s="395" t="s">
        <v>2021</v>
      </c>
      <c r="D1043" s="407">
        <f t="shared" si="32"/>
        <v>17250</v>
      </c>
      <c r="F1043" s="680">
        <v>17250</v>
      </c>
      <c r="G1043" s="680">
        <v>17250</v>
      </c>
      <c r="H1043" t="b">
        <f t="shared" si="33"/>
        <v>1</v>
      </c>
    </row>
    <row r="1044" spans="1:8" ht="30">
      <c r="A1044" s="396">
        <v>37728</v>
      </c>
      <c r="B1044" s="401" t="s">
        <v>9787</v>
      </c>
      <c r="C1044" s="396" t="s">
        <v>2021</v>
      </c>
      <c r="D1044" s="405">
        <f t="shared" si="32"/>
        <v>23402.09</v>
      </c>
      <c r="F1044" s="679">
        <v>23402.09</v>
      </c>
      <c r="G1044" s="679">
        <v>23402.09</v>
      </c>
      <c r="H1044" t="b">
        <f t="shared" si="33"/>
        <v>1</v>
      </c>
    </row>
    <row r="1045" spans="1:8" ht="30">
      <c r="A1045" s="395">
        <v>37729</v>
      </c>
      <c r="B1045" s="406" t="s">
        <v>9788</v>
      </c>
      <c r="C1045" s="395" t="s">
        <v>2021</v>
      </c>
      <c r="D1045" s="407">
        <f t="shared" si="32"/>
        <v>25332.16</v>
      </c>
      <c r="F1045" s="680">
        <v>25332.16</v>
      </c>
      <c r="G1045" s="680">
        <v>25332.16</v>
      </c>
      <c r="H1045" t="b">
        <f t="shared" si="33"/>
        <v>1</v>
      </c>
    </row>
    <row r="1046" spans="1:8" ht="30">
      <c r="A1046" s="396">
        <v>37730</v>
      </c>
      <c r="B1046" s="401" t="s">
        <v>9789</v>
      </c>
      <c r="C1046" s="396" t="s">
        <v>2021</v>
      </c>
      <c r="D1046" s="405">
        <f t="shared" si="32"/>
        <v>27262.23</v>
      </c>
      <c r="F1046" s="679">
        <v>27262.23</v>
      </c>
      <c r="G1046" s="679">
        <v>27262.23</v>
      </c>
      <c r="H1046" t="b">
        <f t="shared" si="33"/>
        <v>1</v>
      </c>
    </row>
    <row r="1047" spans="1:8" ht="30">
      <c r="A1047" s="395">
        <v>37731</v>
      </c>
      <c r="B1047" s="406" t="s">
        <v>9790</v>
      </c>
      <c r="C1047" s="395" t="s">
        <v>2021</v>
      </c>
      <c r="D1047" s="407">
        <f t="shared" si="32"/>
        <v>29192.3</v>
      </c>
      <c r="F1047" s="680">
        <v>29192.3</v>
      </c>
      <c r="G1047" s="680">
        <v>29192.3</v>
      </c>
      <c r="H1047" t="b">
        <f t="shared" si="33"/>
        <v>1</v>
      </c>
    </row>
    <row r="1048" spans="1:8" ht="30">
      <c r="A1048" s="396">
        <v>37732</v>
      </c>
      <c r="B1048" s="401" t="s">
        <v>9791</v>
      </c>
      <c r="C1048" s="396" t="s">
        <v>2021</v>
      </c>
      <c r="D1048" s="405">
        <f t="shared" si="32"/>
        <v>33293.699999999997</v>
      </c>
      <c r="F1048" s="679">
        <v>33293.699999999997</v>
      </c>
      <c r="G1048" s="679">
        <v>33293.699999999997</v>
      </c>
      <c r="H1048" t="b">
        <f t="shared" si="33"/>
        <v>1</v>
      </c>
    </row>
    <row r="1049" spans="1:8" ht="30">
      <c r="A1049" s="395">
        <v>42256</v>
      </c>
      <c r="B1049" s="406" t="s">
        <v>9792</v>
      </c>
      <c r="C1049" s="395" t="s">
        <v>2025</v>
      </c>
      <c r="D1049" s="407">
        <f t="shared" si="32"/>
        <v>8.4</v>
      </c>
      <c r="F1049" s="680">
        <v>8.4</v>
      </c>
      <c r="G1049" s="680">
        <v>8.4</v>
      </c>
      <c r="H1049" t="b">
        <f t="shared" si="33"/>
        <v>1</v>
      </c>
    </row>
    <row r="1050" spans="1:8" ht="30">
      <c r="A1050" s="396">
        <v>42250</v>
      </c>
      <c r="B1050" s="401" t="s">
        <v>9793</v>
      </c>
      <c r="C1050" s="396" t="s">
        <v>2031</v>
      </c>
      <c r="D1050" s="405">
        <f t="shared" si="32"/>
        <v>3782.4</v>
      </c>
      <c r="F1050" s="679">
        <v>3782.4</v>
      </c>
      <c r="G1050" s="679">
        <v>3782.4</v>
      </c>
      <c r="H1050" t="b">
        <f t="shared" si="33"/>
        <v>1</v>
      </c>
    </row>
    <row r="1051" spans="1:8">
      <c r="A1051" s="395">
        <v>4743</v>
      </c>
      <c r="B1051" s="406" t="s">
        <v>9794</v>
      </c>
      <c r="C1051" s="395" t="s">
        <v>2022</v>
      </c>
      <c r="D1051" s="407">
        <f t="shared" si="32"/>
        <v>64.77</v>
      </c>
      <c r="F1051" s="680">
        <v>64.77</v>
      </c>
      <c r="G1051" s="680">
        <v>64.77</v>
      </c>
      <c r="H1051" t="b">
        <f t="shared" si="33"/>
        <v>1</v>
      </c>
    </row>
    <row r="1052" spans="1:8">
      <c r="A1052" s="396">
        <v>4744</v>
      </c>
      <c r="B1052" s="401" t="s">
        <v>9795</v>
      </c>
      <c r="C1052" s="396" t="s">
        <v>2022</v>
      </c>
      <c r="D1052" s="405">
        <f t="shared" si="32"/>
        <v>103.64</v>
      </c>
      <c r="F1052" s="679">
        <v>103.64</v>
      </c>
      <c r="G1052" s="679">
        <v>103.64</v>
      </c>
      <c r="H1052" t="b">
        <f t="shared" si="33"/>
        <v>1</v>
      </c>
    </row>
    <row r="1053" spans="1:8">
      <c r="A1053" s="395">
        <v>4745</v>
      </c>
      <c r="B1053" s="406" t="s">
        <v>9796</v>
      </c>
      <c r="C1053" s="395" t="s">
        <v>2022</v>
      </c>
      <c r="D1053" s="407">
        <f t="shared" si="32"/>
        <v>124.31</v>
      </c>
      <c r="F1053" s="680">
        <v>124.31</v>
      </c>
      <c r="G1053" s="680">
        <v>124.31</v>
      </c>
      <c r="H1053" t="b">
        <f t="shared" si="33"/>
        <v>1</v>
      </c>
    </row>
    <row r="1054" spans="1:8" ht="30">
      <c r="A1054" s="396">
        <v>36496</v>
      </c>
      <c r="B1054" s="401" t="s">
        <v>9797</v>
      </c>
      <c r="C1054" s="396" t="s">
        <v>2021</v>
      </c>
      <c r="D1054" s="405">
        <f t="shared" si="32"/>
        <v>10702.45</v>
      </c>
      <c r="F1054" s="679">
        <v>10702.45</v>
      </c>
      <c r="G1054" s="679">
        <v>10702.45</v>
      </c>
      <c r="H1054" t="b">
        <f t="shared" si="33"/>
        <v>1</v>
      </c>
    </row>
    <row r="1055" spans="1:8" ht="30">
      <c r="A1055" s="395">
        <v>10630</v>
      </c>
      <c r="B1055" s="406" t="s">
        <v>9798</v>
      </c>
      <c r="C1055" s="395" t="s">
        <v>2021</v>
      </c>
      <c r="D1055" s="407">
        <f t="shared" si="32"/>
        <v>618156.12</v>
      </c>
      <c r="F1055" s="680">
        <v>618156.12</v>
      </c>
      <c r="G1055" s="680">
        <v>618156.12</v>
      </c>
      <c r="H1055" t="b">
        <f t="shared" si="33"/>
        <v>1</v>
      </c>
    </row>
    <row r="1056" spans="1:8" ht="30">
      <c r="A1056" s="396">
        <v>37762</v>
      </c>
      <c r="B1056" s="401" t="s">
        <v>9799</v>
      </c>
      <c r="C1056" s="396" t="s">
        <v>2021</v>
      </c>
      <c r="D1056" s="405">
        <f t="shared" si="32"/>
        <v>530154.84</v>
      </c>
      <c r="F1056" s="679">
        <v>530154.84</v>
      </c>
      <c r="G1056" s="679">
        <v>530154.84</v>
      </c>
      <c r="H1056" t="b">
        <f t="shared" si="33"/>
        <v>1</v>
      </c>
    </row>
    <row r="1057" spans="1:8" ht="30">
      <c r="A1057" s="395">
        <v>37763</v>
      </c>
      <c r="B1057" s="406" t="s">
        <v>9800</v>
      </c>
      <c r="C1057" s="395" t="s">
        <v>2021</v>
      </c>
      <c r="D1057" s="407">
        <f t="shared" si="32"/>
        <v>536593.88</v>
      </c>
      <c r="F1057" s="680">
        <v>536593.88</v>
      </c>
      <c r="G1057" s="680">
        <v>536593.88</v>
      </c>
      <c r="H1057" t="b">
        <f t="shared" si="33"/>
        <v>1</v>
      </c>
    </row>
    <row r="1058" spans="1:8" ht="30">
      <c r="A1058" s="396">
        <v>41992</v>
      </c>
      <c r="B1058" s="401" t="s">
        <v>9801</v>
      </c>
      <c r="C1058" s="396" t="s">
        <v>2021</v>
      </c>
      <c r="D1058" s="405">
        <f t="shared" si="32"/>
        <v>610000</v>
      </c>
      <c r="F1058" s="679">
        <v>610000</v>
      </c>
      <c r="G1058" s="679">
        <v>610000</v>
      </c>
      <c r="H1058" t="b">
        <f t="shared" si="33"/>
        <v>1</v>
      </c>
    </row>
    <row r="1059" spans="1:8" ht="30">
      <c r="A1059" s="395">
        <v>13215</v>
      </c>
      <c r="B1059" s="406" t="s">
        <v>9802</v>
      </c>
      <c r="C1059" s="395" t="s">
        <v>2021</v>
      </c>
      <c r="D1059" s="407">
        <f t="shared" si="32"/>
        <v>748011.89</v>
      </c>
      <c r="F1059" s="680">
        <v>748011.89</v>
      </c>
      <c r="G1059" s="680">
        <v>748011.89</v>
      </c>
      <c r="H1059" t="b">
        <f t="shared" si="33"/>
        <v>1</v>
      </c>
    </row>
    <row r="1060" spans="1:8">
      <c r="A1060" s="396">
        <v>4235</v>
      </c>
      <c r="B1060" s="401" t="s">
        <v>9803</v>
      </c>
      <c r="C1060" s="396" t="s">
        <v>2020</v>
      </c>
      <c r="D1060" s="405">
        <f t="shared" si="32"/>
        <v>10.01</v>
      </c>
      <c r="F1060" s="679">
        <v>10.01</v>
      </c>
      <c r="G1060" s="679">
        <v>11.52</v>
      </c>
      <c r="H1060" t="b">
        <f t="shared" si="33"/>
        <v>0</v>
      </c>
    </row>
    <row r="1061" spans="1:8">
      <c r="A1061" s="395">
        <v>40976</v>
      </c>
      <c r="B1061" s="406" t="s">
        <v>9804</v>
      </c>
      <c r="C1061" s="395" t="s">
        <v>2027</v>
      </c>
      <c r="D1061" s="407">
        <f t="shared" si="32"/>
        <v>1767.06</v>
      </c>
      <c r="F1061" s="680">
        <v>1767.06</v>
      </c>
      <c r="G1061" s="680">
        <v>2035.55</v>
      </c>
      <c r="H1061" t="b">
        <f t="shared" si="33"/>
        <v>0</v>
      </c>
    </row>
    <row r="1062" spans="1:8" ht="30">
      <c r="A1062" s="396">
        <v>43091</v>
      </c>
      <c r="B1062" s="401" t="s">
        <v>9805</v>
      </c>
      <c r="C1062" s="396" t="s">
        <v>2021</v>
      </c>
      <c r="D1062" s="405">
        <f t="shared" si="32"/>
        <v>7364.33</v>
      </c>
      <c r="F1062" s="679">
        <v>7364.33</v>
      </c>
      <c r="G1062" s="679">
        <v>7364.33</v>
      </c>
      <c r="H1062" t="b">
        <f t="shared" si="33"/>
        <v>1</v>
      </c>
    </row>
    <row r="1063" spans="1:8" ht="30">
      <c r="A1063" s="395">
        <v>43092</v>
      </c>
      <c r="B1063" s="406" t="s">
        <v>9806</v>
      </c>
      <c r="C1063" s="395" t="s">
        <v>2021</v>
      </c>
      <c r="D1063" s="407">
        <f t="shared" si="32"/>
        <v>9819.11</v>
      </c>
      <c r="F1063" s="680">
        <v>9819.11</v>
      </c>
      <c r="G1063" s="680">
        <v>9819.11</v>
      </c>
      <c r="H1063" t="b">
        <f t="shared" si="33"/>
        <v>1</v>
      </c>
    </row>
    <row r="1064" spans="1:8" ht="30">
      <c r="A1064" s="396">
        <v>43089</v>
      </c>
      <c r="B1064" s="401" t="s">
        <v>9807</v>
      </c>
      <c r="C1064" s="396" t="s">
        <v>2021</v>
      </c>
      <c r="D1064" s="405">
        <f t="shared" si="32"/>
        <v>1711.26</v>
      </c>
      <c r="F1064" s="679">
        <v>1711.26</v>
      </c>
      <c r="G1064" s="679">
        <v>1711.26</v>
      </c>
      <c r="H1064" t="b">
        <f t="shared" si="33"/>
        <v>1</v>
      </c>
    </row>
    <row r="1065" spans="1:8" ht="30">
      <c r="A1065" s="395">
        <v>43090</v>
      </c>
      <c r="B1065" s="406" t="s">
        <v>9808</v>
      </c>
      <c r="C1065" s="395" t="s">
        <v>2021</v>
      </c>
      <c r="D1065" s="407">
        <f t="shared" si="32"/>
        <v>3776.58</v>
      </c>
      <c r="F1065" s="680">
        <v>3776.58</v>
      </c>
      <c r="G1065" s="680">
        <v>3776.58</v>
      </c>
      <c r="H1065" t="b">
        <f t="shared" si="33"/>
        <v>1</v>
      </c>
    </row>
    <row r="1066" spans="1:8">
      <c r="A1066" s="396">
        <v>41967</v>
      </c>
      <c r="B1066" s="401" t="s">
        <v>9809</v>
      </c>
      <c r="C1066" s="396" t="s">
        <v>2026</v>
      </c>
      <c r="D1066" s="405">
        <f t="shared" si="32"/>
        <v>18.78</v>
      </c>
      <c r="F1066" s="679">
        <v>18.78</v>
      </c>
      <c r="G1066" s="679">
        <v>18.78</v>
      </c>
      <c r="H1066" t="b">
        <f t="shared" si="33"/>
        <v>1</v>
      </c>
    </row>
    <row r="1067" spans="1:8">
      <c r="A1067" s="395">
        <v>12760</v>
      </c>
      <c r="B1067" s="406" t="s">
        <v>9810</v>
      </c>
      <c r="C1067" s="395" t="s">
        <v>2023</v>
      </c>
      <c r="D1067" s="407">
        <f t="shared" si="32"/>
        <v>1764.79</v>
      </c>
      <c r="F1067" s="680">
        <v>1764.79</v>
      </c>
      <c r="G1067" s="680">
        <v>1764.79</v>
      </c>
      <c r="H1067" t="b">
        <f t="shared" si="33"/>
        <v>1</v>
      </c>
    </row>
    <row r="1068" spans="1:8">
      <c r="A1068" s="396">
        <v>12759</v>
      </c>
      <c r="B1068" s="401" t="s">
        <v>9811</v>
      </c>
      <c r="C1068" s="396" t="s">
        <v>2023</v>
      </c>
      <c r="D1068" s="405">
        <f t="shared" si="32"/>
        <v>1176.51</v>
      </c>
      <c r="F1068" s="679">
        <v>1176.51</v>
      </c>
      <c r="G1068" s="679">
        <v>1176.51</v>
      </c>
      <c r="H1068" t="b">
        <f t="shared" si="33"/>
        <v>1</v>
      </c>
    </row>
    <row r="1069" spans="1:8" ht="30">
      <c r="A1069" s="395">
        <v>43105</v>
      </c>
      <c r="B1069" s="406" t="s">
        <v>9812</v>
      </c>
      <c r="C1069" s="395" t="s">
        <v>2025</v>
      </c>
      <c r="D1069" s="407">
        <f t="shared" si="32"/>
        <v>39.14</v>
      </c>
      <c r="F1069" s="680">
        <v>39.14</v>
      </c>
      <c r="G1069" s="680">
        <v>39.14</v>
      </c>
      <c r="H1069" t="b">
        <f t="shared" si="33"/>
        <v>1</v>
      </c>
    </row>
    <row r="1070" spans="1:8">
      <c r="A1070" s="396">
        <v>40424</v>
      </c>
      <c r="B1070" s="401" t="s">
        <v>9813</v>
      </c>
      <c r="C1070" s="396" t="s">
        <v>2025</v>
      </c>
      <c r="D1070" s="405">
        <f t="shared" si="32"/>
        <v>9.94</v>
      </c>
      <c r="F1070" s="679">
        <v>9.94</v>
      </c>
      <c r="G1070" s="679">
        <v>9.94</v>
      </c>
      <c r="H1070" t="b">
        <f t="shared" si="33"/>
        <v>1</v>
      </c>
    </row>
    <row r="1071" spans="1:8">
      <c r="A1071" s="395">
        <v>1325</v>
      </c>
      <c r="B1071" s="406" t="s">
        <v>9814</v>
      </c>
      <c r="C1071" s="395" t="s">
        <v>2025</v>
      </c>
      <c r="D1071" s="407">
        <f t="shared" si="32"/>
        <v>10.89</v>
      </c>
      <c r="F1071" s="680">
        <v>10.89</v>
      </c>
      <c r="G1071" s="680">
        <v>10.89</v>
      </c>
      <c r="H1071" t="b">
        <f t="shared" si="33"/>
        <v>1</v>
      </c>
    </row>
    <row r="1072" spans="1:8">
      <c r="A1072" s="396">
        <v>1327</v>
      </c>
      <c r="B1072" s="401" t="s">
        <v>9815</v>
      </c>
      <c r="C1072" s="396" t="s">
        <v>2025</v>
      </c>
      <c r="D1072" s="405">
        <f t="shared" si="32"/>
        <v>11.6</v>
      </c>
      <c r="F1072" s="679">
        <v>11.6</v>
      </c>
      <c r="G1072" s="679">
        <v>11.6</v>
      </c>
      <c r="H1072" t="b">
        <f t="shared" si="33"/>
        <v>1</v>
      </c>
    </row>
    <row r="1073" spans="1:8">
      <c r="A1073" s="395">
        <v>1328</v>
      </c>
      <c r="B1073" s="406" t="s">
        <v>9816</v>
      </c>
      <c r="C1073" s="395" t="s">
        <v>2025</v>
      </c>
      <c r="D1073" s="407">
        <f t="shared" si="32"/>
        <v>10.92</v>
      </c>
      <c r="F1073" s="680">
        <v>10.92</v>
      </c>
      <c r="G1073" s="680">
        <v>10.92</v>
      </c>
      <c r="H1073" t="b">
        <f t="shared" si="33"/>
        <v>1</v>
      </c>
    </row>
    <row r="1074" spans="1:8">
      <c r="A1074" s="396">
        <v>1321</v>
      </c>
      <c r="B1074" s="401" t="s">
        <v>9817</v>
      </c>
      <c r="C1074" s="396" t="s">
        <v>2025</v>
      </c>
      <c r="D1074" s="405">
        <f t="shared" si="32"/>
        <v>10.11</v>
      </c>
      <c r="F1074" s="679">
        <v>10.11</v>
      </c>
      <c r="G1074" s="679">
        <v>10.11</v>
      </c>
      <c r="H1074" t="b">
        <f t="shared" si="33"/>
        <v>1</v>
      </c>
    </row>
    <row r="1075" spans="1:8">
      <c r="A1075" s="395">
        <v>1318</v>
      </c>
      <c r="B1075" s="406" t="s">
        <v>9818</v>
      </c>
      <c r="C1075" s="395" t="s">
        <v>2025</v>
      </c>
      <c r="D1075" s="407">
        <f t="shared" si="32"/>
        <v>10.119999999999999</v>
      </c>
      <c r="F1075" s="680">
        <v>10.119999999999999</v>
      </c>
      <c r="G1075" s="680">
        <v>10.119999999999999</v>
      </c>
      <c r="H1075" t="b">
        <f t="shared" si="33"/>
        <v>1</v>
      </c>
    </row>
    <row r="1076" spans="1:8">
      <c r="A1076" s="396">
        <v>1322</v>
      </c>
      <c r="B1076" s="401" t="s">
        <v>9819</v>
      </c>
      <c r="C1076" s="396" t="s">
        <v>2025</v>
      </c>
      <c r="D1076" s="405">
        <f t="shared" si="32"/>
        <v>10.69</v>
      </c>
      <c r="F1076" s="679">
        <v>10.69</v>
      </c>
      <c r="G1076" s="679">
        <v>10.69</v>
      </c>
      <c r="H1076" t="b">
        <f t="shared" si="33"/>
        <v>1</v>
      </c>
    </row>
    <row r="1077" spans="1:8">
      <c r="A1077" s="395">
        <v>1323</v>
      </c>
      <c r="B1077" s="406" t="s">
        <v>9820</v>
      </c>
      <c r="C1077" s="395" t="s">
        <v>2025</v>
      </c>
      <c r="D1077" s="407">
        <f t="shared" si="32"/>
        <v>10.69</v>
      </c>
      <c r="F1077" s="680">
        <v>10.69</v>
      </c>
      <c r="G1077" s="680">
        <v>10.69</v>
      </c>
      <c r="H1077" t="b">
        <f t="shared" si="33"/>
        <v>1</v>
      </c>
    </row>
    <row r="1078" spans="1:8">
      <c r="A1078" s="396">
        <v>1319</v>
      </c>
      <c r="B1078" s="401" t="s">
        <v>9821</v>
      </c>
      <c r="C1078" s="396" t="s">
        <v>2025</v>
      </c>
      <c r="D1078" s="405">
        <f t="shared" si="32"/>
        <v>9</v>
      </c>
      <c r="F1078" s="679">
        <v>9</v>
      </c>
      <c r="G1078" s="679">
        <v>9</v>
      </c>
      <c r="H1078" t="b">
        <f t="shared" si="33"/>
        <v>1</v>
      </c>
    </row>
    <row r="1079" spans="1:8">
      <c r="A1079" s="395">
        <v>11026</v>
      </c>
      <c r="B1079" s="406" t="s">
        <v>9822</v>
      </c>
      <c r="C1079" s="395" t="s">
        <v>2025</v>
      </c>
      <c r="D1079" s="407">
        <f t="shared" si="32"/>
        <v>12.39</v>
      </c>
      <c r="F1079" s="680">
        <v>12.39</v>
      </c>
      <c r="G1079" s="680">
        <v>12.39</v>
      </c>
      <c r="H1079" t="b">
        <f t="shared" si="33"/>
        <v>1</v>
      </c>
    </row>
    <row r="1080" spans="1:8">
      <c r="A1080" s="396">
        <v>11027</v>
      </c>
      <c r="B1080" s="401" t="s">
        <v>9823</v>
      </c>
      <c r="C1080" s="396" t="s">
        <v>2025</v>
      </c>
      <c r="D1080" s="405">
        <f t="shared" si="32"/>
        <v>12.89</v>
      </c>
      <c r="F1080" s="679">
        <v>12.89</v>
      </c>
      <c r="G1080" s="679">
        <v>12.89</v>
      </c>
      <c r="H1080" t="b">
        <f t="shared" si="33"/>
        <v>1</v>
      </c>
    </row>
    <row r="1081" spans="1:8">
      <c r="A1081" s="395">
        <v>11046</v>
      </c>
      <c r="B1081" s="406" t="s">
        <v>9824</v>
      </c>
      <c r="C1081" s="395" t="s">
        <v>2025</v>
      </c>
      <c r="D1081" s="407">
        <f t="shared" si="32"/>
        <v>12.35</v>
      </c>
      <c r="F1081" s="680">
        <v>12.35</v>
      </c>
      <c r="G1081" s="680">
        <v>12.35</v>
      </c>
      <c r="H1081" t="b">
        <f t="shared" si="33"/>
        <v>1</v>
      </c>
    </row>
    <row r="1082" spans="1:8">
      <c r="A1082" s="396">
        <v>11047</v>
      </c>
      <c r="B1082" s="401" t="s">
        <v>9825</v>
      </c>
      <c r="C1082" s="396" t="s">
        <v>2025</v>
      </c>
      <c r="D1082" s="405">
        <f t="shared" si="32"/>
        <v>13.46</v>
      </c>
      <c r="F1082" s="679">
        <v>13.46</v>
      </c>
      <c r="G1082" s="679">
        <v>13.46</v>
      </c>
      <c r="H1082" t="b">
        <f t="shared" si="33"/>
        <v>1</v>
      </c>
    </row>
    <row r="1083" spans="1:8">
      <c r="A1083" s="395">
        <v>43668</v>
      </c>
      <c r="B1083" s="406" t="s">
        <v>9826</v>
      </c>
      <c r="C1083" s="395" t="s">
        <v>2025</v>
      </c>
      <c r="D1083" s="407">
        <f t="shared" si="32"/>
        <v>11.88</v>
      </c>
      <c r="F1083" s="680">
        <v>11.88</v>
      </c>
      <c r="G1083" s="680">
        <v>11.88</v>
      </c>
      <c r="H1083" t="b">
        <f t="shared" si="33"/>
        <v>1</v>
      </c>
    </row>
    <row r="1084" spans="1:8">
      <c r="A1084" s="396">
        <v>11049</v>
      </c>
      <c r="B1084" s="401" t="s">
        <v>9827</v>
      </c>
      <c r="C1084" s="396" t="s">
        <v>2025</v>
      </c>
      <c r="D1084" s="405">
        <f t="shared" si="32"/>
        <v>12.87</v>
      </c>
      <c r="F1084" s="679">
        <v>12.87</v>
      </c>
      <c r="G1084" s="679">
        <v>12.87</v>
      </c>
      <c r="H1084" t="b">
        <f t="shared" si="33"/>
        <v>1</v>
      </c>
    </row>
    <row r="1085" spans="1:8">
      <c r="A1085" s="395">
        <v>43106</v>
      </c>
      <c r="B1085" s="406" t="s">
        <v>9828</v>
      </c>
      <c r="C1085" s="395" t="s">
        <v>2025</v>
      </c>
      <c r="D1085" s="407">
        <f t="shared" si="32"/>
        <v>12.95</v>
      </c>
      <c r="F1085" s="680">
        <v>12.95</v>
      </c>
      <c r="G1085" s="680">
        <v>12.95</v>
      </c>
      <c r="H1085" t="b">
        <f t="shared" si="33"/>
        <v>1</v>
      </c>
    </row>
    <row r="1086" spans="1:8">
      <c r="A1086" s="396">
        <v>11051</v>
      </c>
      <c r="B1086" s="401" t="s">
        <v>9829</v>
      </c>
      <c r="C1086" s="396" t="s">
        <v>2025</v>
      </c>
      <c r="D1086" s="405">
        <f t="shared" si="32"/>
        <v>13.51</v>
      </c>
      <c r="F1086" s="679">
        <v>13.51</v>
      </c>
      <c r="G1086" s="679">
        <v>13.51</v>
      </c>
      <c r="H1086" t="b">
        <f t="shared" si="33"/>
        <v>1</v>
      </c>
    </row>
    <row r="1087" spans="1:8">
      <c r="A1087" s="395">
        <v>11061</v>
      </c>
      <c r="B1087" s="406" t="s">
        <v>9830</v>
      </c>
      <c r="C1087" s="395" t="s">
        <v>2025</v>
      </c>
      <c r="D1087" s="407">
        <f t="shared" si="32"/>
        <v>16.21</v>
      </c>
      <c r="F1087" s="680">
        <v>16.21</v>
      </c>
      <c r="G1087" s="680">
        <v>16.21</v>
      </c>
      <c r="H1087" t="b">
        <f t="shared" si="33"/>
        <v>1</v>
      </c>
    </row>
    <row r="1088" spans="1:8">
      <c r="A1088" s="396">
        <v>43667</v>
      </c>
      <c r="B1088" s="401" t="s">
        <v>9831</v>
      </c>
      <c r="C1088" s="396" t="s">
        <v>2025</v>
      </c>
      <c r="D1088" s="405">
        <f t="shared" si="32"/>
        <v>11.78</v>
      </c>
      <c r="F1088" s="679">
        <v>11.78</v>
      </c>
      <c r="G1088" s="679">
        <v>11.78</v>
      </c>
      <c r="H1088" t="b">
        <f t="shared" si="33"/>
        <v>1</v>
      </c>
    </row>
    <row r="1089" spans="1:8">
      <c r="A1089" s="395">
        <v>1333</v>
      </c>
      <c r="B1089" s="406" t="s">
        <v>9832</v>
      </c>
      <c r="C1089" s="395" t="s">
        <v>2025</v>
      </c>
      <c r="D1089" s="407">
        <f t="shared" si="32"/>
        <v>9.81</v>
      </c>
      <c r="F1089" s="680">
        <v>9.81</v>
      </c>
      <c r="G1089" s="680">
        <v>9.81</v>
      </c>
      <c r="H1089" t="b">
        <f t="shared" si="33"/>
        <v>1</v>
      </c>
    </row>
    <row r="1090" spans="1:8">
      <c r="A1090" s="396">
        <v>1330</v>
      </c>
      <c r="B1090" s="401" t="s">
        <v>9833</v>
      </c>
      <c r="C1090" s="396" t="s">
        <v>2025</v>
      </c>
      <c r="D1090" s="405">
        <f t="shared" si="32"/>
        <v>9.7200000000000006</v>
      </c>
      <c r="F1090" s="679">
        <v>9.7200000000000006</v>
      </c>
      <c r="G1090" s="679">
        <v>9.7200000000000006</v>
      </c>
      <c r="H1090" t="b">
        <f t="shared" si="33"/>
        <v>1</v>
      </c>
    </row>
    <row r="1091" spans="1:8">
      <c r="A1091" s="395">
        <v>10957</v>
      </c>
      <c r="B1091" s="406" t="s">
        <v>9834</v>
      </c>
      <c r="C1091" s="395" t="s">
        <v>2025</v>
      </c>
      <c r="D1091" s="407">
        <f t="shared" ref="D1091:D1154" si="34">IF($J$2=$F$1,F1091,G1091)</f>
        <v>11.21</v>
      </c>
      <c r="F1091" s="680">
        <v>11.21</v>
      </c>
      <c r="G1091" s="680">
        <v>11.21</v>
      </c>
      <c r="H1091" t="b">
        <f t="shared" ref="H1091:H1154" si="35">F1091=G1091</f>
        <v>1</v>
      </c>
    </row>
    <row r="1092" spans="1:8">
      <c r="A1092" s="396">
        <v>1332</v>
      </c>
      <c r="B1092" s="401" t="s">
        <v>9835</v>
      </c>
      <c r="C1092" s="396" t="s">
        <v>2025</v>
      </c>
      <c r="D1092" s="405">
        <f t="shared" si="34"/>
        <v>9.9700000000000006</v>
      </c>
      <c r="F1092" s="679">
        <v>9.9700000000000006</v>
      </c>
      <c r="G1092" s="679">
        <v>9.9700000000000006</v>
      </c>
      <c r="H1092" t="b">
        <f t="shared" si="35"/>
        <v>1</v>
      </c>
    </row>
    <row r="1093" spans="1:8">
      <c r="A1093" s="395">
        <v>1334</v>
      </c>
      <c r="B1093" s="406" t="s">
        <v>9836</v>
      </c>
      <c r="C1093" s="395" t="s">
        <v>2025</v>
      </c>
      <c r="D1093" s="407">
        <f t="shared" si="34"/>
        <v>11.05</v>
      </c>
      <c r="F1093" s="680">
        <v>11.05</v>
      </c>
      <c r="G1093" s="680">
        <v>11.05</v>
      </c>
      <c r="H1093" t="b">
        <f t="shared" si="35"/>
        <v>1</v>
      </c>
    </row>
    <row r="1094" spans="1:8">
      <c r="A1094" s="396">
        <v>1335</v>
      </c>
      <c r="B1094" s="401" t="s">
        <v>9837</v>
      </c>
      <c r="C1094" s="396" t="s">
        <v>2025</v>
      </c>
      <c r="D1094" s="405">
        <f t="shared" si="34"/>
        <v>11.42</v>
      </c>
      <c r="F1094" s="679">
        <v>11.42</v>
      </c>
      <c r="G1094" s="679">
        <v>11.42</v>
      </c>
      <c r="H1094" t="b">
        <f t="shared" si="35"/>
        <v>1</v>
      </c>
    </row>
    <row r="1095" spans="1:8">
      <c r="A1095" s="395">
        <v>40425</v>
      </c>
      <c r="B1095" s="406" t="s">
        <v>9838</v>
      </c>
      <c r="C1095" s="395" t="s">
        <v>2025</v>
      </c>
      <c r="D1095" s="407">
        <f t="shared" si="34"/>
        <v>9.7799999999999994</v>
      </c>
      <c r="F1095" s="680">
        <v>9.7799999999999994</v>
      </c>
      <c r="G1095" s="680">
        <v>9.7799999999999994</v>
      </c>
      <c r="H1095" t="b">
        <f t="shared" si="35"/>
        <v>1</v>
      </c>
    </row>
    <row r="1096" spans="1:8">
      <c r="A1096" s="396">
        <v>1337</v>
      </c>
      <c r="B1096" s="401" t="s">
        <v>9839</v>
      </c>
      <c r="C1096" s="396" t="s">
        <v>2025</v>
      </c>
      <c r="D1096" s="405">
        <f t="shared" si="34"/>
        <v>11.21</v>
      </c>
      <c r="F1096" s="679">
        <v>11.21</v>
      </c>
      <c r="G1096" s="679">
        <v>11.21</v>
      </c>
      <c r="H1096" t="b">
        <f t="shared" si="35"/>
        <v>1</v>
      </c>
    </row>
    <row r="1097" spans="1:8">
      <c r="A1097" s="395">
        <v>1338</v>
      </c>
      <c r="B1097" s="406" t="s">
        <v>9840</v>
      </c>
      <c r="C1097" s="395" t="s">
        <v>2023</v>
      </c>
      <c r="D1097" s="407">
        <f t="shared" si="34"/>
        <v>54.28</v>
      </c>
      <c r="F1097" s="680">
        <v>54.28</v>
      </c>
      <c r="G1097" s="680">
        <v>54.28</v>
      </c>
      <c r="H1097" t="b">
        <f t="shared" si="35"/>
        <v>1</v>
      </c>
    </row>
    <row r="1098" spans="1:8">
      <c r="A1098" s="396">
        <v>1340</v>
      </c>
      <c r="B1098" s="401" t="s">
        <v>9841</v>
      </c>
      <c r="C1098" s="396" t="s">
        <v>2023</v>
      </c>
      <c r="D1098" s="405">
        <f t="shared" si="34"/>
        <v>62.75</v>
      </c>
      <c r="F1098" s="679">
        <v>62.75</v>
      </c>
      <c r="G1098" s="679">
        <v>62.75</v>
      </c>
      <c r="H1098" t="b">
        <f t="shared" si="35"/>
        <v>1</v>
      </c>
    </row>
    <row r="1099" spans="1:8">
      <c r="A1099" s="395">
        <v>1341</v>
      </c>
      <c r="B1099" s="406" t="s">
        <v>9842</v>
      </c>
      <c r="C1099" s="395" t="s">
        <v>2023</v>
      </c>
      <c r="D1099" s="407">
        <f t="shared" si="34"/>
        <v>60.44</v>
      </c>
      <c r="F1099" s="680">
        <v>60.44</v>
      </c>
      <c r="G1099" s="680">
        <v>60.44</v>
      </c>
      <c r="H1099" t="b">
        <f t="shared" si="35"/>
        <v>1</v>
      </c>
    </row>
    <row r="1100" spans="1:8">
      <c r="A1100" s="396">
        <v>34659</v>
      </c>
      <c r="B1100" s="401" t="s">
        <v>9843</v>
      </c>
      <c r="C1100" s="396" t="s">
        <v>2023</v>
      </c>
      <c r="D1100" s="405">
        <f t="shared" si="34"/>
        <v>44.07</v>
      </c>
      <c r="F1100" s="679">
        <v>44.07</v>
      </c>
      <c r="G1100" s="679">
        <v>44.07</v>
      </c>
      <c r="H1100" t="b">
        <f t="shared" si="35"/>
        <v>1</v>
      </c>
    </row>
    <row r="1101" spans="1:8">
      <c r="A1101" s="395">
        <v>34514</v>
      </c>
      <c r="B1101" s="406" t="s">
        <v>9844</v>
      </c>
      <c r="C1101" s="395" t="s">
        <v>2023</v>
      </c>
      <c r="D1101" s="407">
        <f t="shared" si="34"/>
        <v>48.81</v>
      </c>
      <c r="F1101" s="680">
        <v>48.81</v>
      </c>
      <c r="G1101" s="680">
        <v>48.81</v>
      </c>
      <c r="H1101" t="b">
        <f t="shared" si="35"/>
        <v>1</v>
      </c>
    </row>
    <row r="1102" spans="1:8">
      <c r="A1102" s="396">
        <v>34660</v>
      </c>
      <c r="B1102" s="401" t="s">
        <v>9845</v>
      </c>
      <c r="C1102" s="396" t="s">
        <v>2023</v>
      </c>
      <c r="D1102" s="405">
        <f t="shared" si="34"/>
        <v>61.94</v>
      </c>
      <c r="F1102" s="679">
        <v>61.94</v>
      </c>
      <c r="G1102" s="679">
        <v>61.94</v>
      </c>
      <c r="H1102" t="b">
        <f t="shared" si="35"/>
        <v>1</v>
      </c>
    </row>
    <row r="1103" spans="1:8">
      <c r="A1103" s="395">
        <v>34661</v>
      </c>
      <c r="B1103" s="406" t="s">
        <v>9846</v>
      </c>
      <c r="C1103" s="395" t="s">
        <v>2023</v>
      </c>
      <c r="D1103" s="407">
        <f t="shared" si="34"/>
        <v>88.97</v>
      </c>
      <c r="F1103" s="680">
        <v>88.97</v>
      </c>
      <c r="G1103" s="680">
        <v>88.97</v>
      </c>
      <c r="H1103" t="b">
        <f t="shared" si="35"/>
        <v>1</v>
      </c>
    </row>
    <row r="1104" spans="1:8">
      <c r="A1104" s="396">
        <v>34667</v>
      </c>
      <c r="B1104" s="401" t="s">
        <v>9847</v>
      </c>
      <c r="C1104" s="396" t="s">
        <v>2023</v>
      </c>
      <c r="D1104" s="405">
        <f t="shared" si="34"/>
        <v>32.22</v>
      </c>
      <c r="F1104" s="679">
        <v>32.22</v>
      </c>
      <c r="G1104" s="679">
        <v>32.22</v>
      </c>
      <c r="H1104" t="b">
        <f t="shared" si="35"/>
        <v>1</v>
      </c>
    </row>
    <row r="1105" spans="1:8">
      <c r="A1105" s="395">
        <v>34668</v>
      </c>
      <c r="B1105" s="406" t="s">
        <v>9848</v>
      </c>
      <c r="C1105" s="395" t="s">
        <v>2023</v>
      </c>
      <c r="D1105" s="407">
        <f t="shared" si="34"/>
        <v>42.1</v>
      </c>
      <c r="F1105" s="680">
        <v>42.1</v>
      </c>
      <c r="G1105" s="680">
        <v>42.1</v>
      </c>
      <c r="H1105" t="b">
        <f t="shared" si="35"/>
        <v>1</v>
      </c>
    </row>
    <row r="1106" spans="1:8">
      <c r="A1106" s="396">
        <v>34741</v>
      </c>
      <c r="B1106" s="401" t="s">
        <v>9849</v>
      </c>
      <c r="C1106" s="396" t="s">
        <v>2023</v>
      </c>
      <c r="D1106" s="405">
        <f t="shared" si="34"/>
        <v>46.32</v>
      </c>
      <c r="F1106" s="679">
        <v>46.32</v>
      </c>
      <c r="G1106" s="679">
        <v>46.32</v>
      </c>
      <c r="H1106" t="b">
        <f t="shared" si="35"/>
        <v>1</v>
      </c>
    </row>
    <row r="1107" spans="1:8">
      <c r="A1107" s="395">
        <v>34664</v>
      </c>
      <c r="B1107" s="406" t="s">
        <v>9850</v>
      </c>
      <c r="C1107" s="395" t="s">
        <v>2023</v>
      </c>
      <c r="D1107" s="407">
        <f t="shared" si="34"/>
        <v>50.55</v>
      </c>
      <c r="F1107" s="680">
        <v>50.55</v>
      </c>
      <c r="G1107" s="680">
        <v>50.55</v>
      </c>
      <c r="H1107" t="b">
        <f t="shared" si="35"/>
        <v>1</v>
      </c>
    </row>
    <row r="1108" spans="1:8">
      <c r="A1108" s="396">
        <v>34665</v>
      </c>
      <c r="B1108" s="401" t="s">
        <v>9851</v>
      </c>
      <c r="C1108" s="396" t="s">
        <v>2023</v>
      </c>
      <c r="D1108" s="405">
        <f t="shared" si="34"/>
        <v>62.75</v>
      </c>
      <c r="F1108" s="679">
        <v>62.75</v>
      </c>
      <c r="G1108" s="679">
        <v>62.75</v>
      </c>
      <c r="H1108" t="b">
        <f t="shared" si="35"/>
        <v>1</v>
      </c>
    </row>
    <row r="1109" spans="1:8">
      <c r="A1109" s="395">
        <v>34666</v>
      </c>
      <c r="B1109" s="406" t="s">
        <v>9852</v>
      </c>
      <c r="C1109" s="395" t="s">
        <v>2023</v>
      </c>
      <c r="D1109" s="407">
        <f t="shared" si="34"/>
        <v>94.79</v>
      </c>
      <c r="F1109" s="680">
        <v>94.79</v>
      </c>
      <c r="G1109" s="680">
        <v>94.79</v>
      </c>
      <c r="H1109" t="b">
        <f t="shared" si="35"/>
        <v>1</v>
      </c>
    </row>
    <row r="1110" spans="1:8">
      <c r="A1110" s="396">
        <v>34669</v>
      </c>
      <c r="B1110" s="401" t="s">
        <v>9853</v>
      </c>
      <c r="C1110" s="396" t="s">
        <v>2023</v>
      </c>
      <c r="D1110" s="405">
        <f t="shared" si="34"/>
        <v>34.75</v>
      </c>
      <c r="F1110" s="679">
        <v>34.75</v>
      </c>
      <c r="G1110" s="679">
        <v>34.75</v>
      </c>
      <c r="H1110" t="b">
        <f t="shared" si="35"/>
        <v>1</v>
      </c>
    </row>
    <row r="1111" spans="1:8">
      <c r="A1111" s="395">
        <v>34670</v>
      </c>
      <c r="B1111" s="406" t="s">
        <v>9854</v>
      </c>
      <c r="C1111" s="395" t="s">
        <v>2023</v>
      </c>
      <c r="D1111" s="407">
        <f t="shared" si="34"/>
        <v>42.51</v>
      </c>
      <c r="F1111" s="680">
        <v>42.51</v>
      </c>
      <c r="G1111" s="680">
        <v>42.51</v>
      </c>
      <c r="H1111" t="b">
        <f t="shared" si="35"/>
        <v>1</v>
      </c>
    </row>
    <row r="1112" spans="1:8">
      <c r="A1112" s="396">
        <v>34671</v>
      </c>
      <c r="B1112" s="401" t="s">
        <v>9855</v>
      </c>
      <c r="C1112" s="396" t="s">
        <v>2023</v>
      </c>
      <c r="D1112" s="405">
        <f t="shared" si="34"/>
        <v>35.479999999999997</v>
      </c>
      <c r="F1112" s="679">
        <v>35.479999999999997</v>
      </c>
      <c r="G1112" s="679">
        <v>35.479999999999997</v>
      </c>
      <c r="H1112" t="b">
        <f t="shared" si="35"/>
        <v>1</v>
      </c>
    </row>
    <row r="1113" spans="1:8">
      <c r="A1113" s="395">
        <v>34672</v>
      </c>
      <c r="B1113" s="406" t="s">
        <v>9856</v>
      </c>
      <c r="C1113" s="395" t="s">
        <v>2023</v>
      </c>
      <c r="D1113" s="407">
        <f t="shared" si="34"/>
        <v>37.409999999999997</v>
      </c>
      <c r="F1113" s="680">
        <v>37.409999999999997</v>
      </c>
      <c r="G1113" s="680">
        <v>37.409999999999997</v>
      </c>
      <c r="H1113" t="b">
        <f t="shared" si="35"/>
        <v>1</v>
      </c>
    </row>
    <row r="1114" spans="1:8">
      <c r="A1114" s="396">
        <v>34673</v>
      </c>
      <c r="B1114" s="401" t="s">
        <v>9857</v>
      </c>
      <c r="C1114" s="396" t="s">
        <v>2023</v>
      </c>
      <c r="D1114" s="405">
        <f t="shared" si="34"/>
        <v>45.65</v>
      </c>
      <c r="F1114" s="679">
        <v>45.65</v>
      </c>
      <c r="G1114" s="679">
        <v>45.65</v>
      </c>
      <c r="H1114" t="b">
        <f t="shared" si="35"/>
        <v>1</v>
      </c>
    </row>
    <row r="1115" spans="1:8">
      <c r="A1115" s="395">
        <v>34674</v>
      </c>
      <c r="B1115" s="406" t="s">
        <v>9858</v>
      </c>
      <c r="C1115" s="395" t="s">
        <v>2023</v>
      </c>
      <c r="D1115" s="407">
        <f t="shared" si="34"/>
        <v>60.7</v>
      </c>
      <c r="F1115" s="680">
        <v>60.7</v>
      </c>
      <c r="G1115" s="680">
        <v>60.7</v>
      </c>
      <c r="H1115" t="b">
        <f t="shared" si="35"/>
        <v>1</v>
      </c>
    </row>
    <row r="1116" spans="1:8">
      <c r="A1116" s="396">
        <v>34675</v>
      </c>
      <c r="B1116" s="401" t="s">
        <v>9859</v>
      </c>
      <c r="C1116" s="396" t="s">
        <v>2023</v>
      </c>
      <c r="D1116" s="405">
        <f t="shared" si="34"/>
        <v>74</v>
      </c>
      <c r="F1116" s="679">
        <v>74</v>
      </c>
      <c r="G1116" s="679">
        <v>74</v>
      </c>
      <c r="H1116" t="b">
        <f t="shared" si="35"/>
        <v>1</v>
      </c>
    </row>
    <row r="1117" spans="1:8">
      <c r="A1117" s="395">
        <v>34676</v>
      </c>
      <c r="B1117" s="406" t="s">
        <v>9860</v>
      </c>
      <c r="C1117" s="395" t="s">
        <v>2023</v>
      </c>
      <c r="D1117" s="407">
        <f t="shared" si="34"/>
        <v>21.3</v>
      </c>
      <c r="F1117" s="680">
        <v>21.3</v>
      </c>
      <c r="G1117" s="680">
        <v>21.3</v>
      </c>
      <c r="H1117" t="b">
        <f t="shared" si="35"/>
        <v>1</v>
      </c>
    </row>
    <row r="1118" spans="1:8">
      <c r="A1118" s="396">
        <v>34677</v>
      </c>
      <c r="B1118" s="401" t="s">
        <v>9861</v>
      </c>
      <c r="C1118" s="396" t="s">
        <v>2023</v>
      </c>
      <c r="D1118" s="405">
        <f t="shared" si="34"/>
        <v>28.64</v>
      </c>
      <c r="F1118" s="679">
        <v>28.64</v>
      </c>
      <c r="G1118" s="679">
        <v>28.64</v>
      </c>
      <c r="H1118" t="b">
        <f t="shared" si="35"/>
        <v>1</v>
      </c>
    </row>
    <row r="1119" spans="1:8" ht="30">
      <c r="A1119" s="395">
        <v>43126</v>
      </c>
      <c r="B1119" s="406" t="s">
        <v>9862</v>
      </c>
      <c r="C1119" s="395" t="s">
        <v>2023</v>
      </c>
      <c r="D1119" s="407">
        <f t="shared" si="34"/>
        <v>101.39</v>
      </c>
      <c r="F1119" s="680">
        <v>101.39</v>
      </c>
      <c r="G1119" s="680">
        <v>101.39</v>
      </c>
      <c r="H1119" t="b">
        <f t="shared" si="35"/>
        <v>1</v>
      </c>
    </row>
    <row r="1120" spans="1:8" ht="30">
      <c r="A1120" s="396">
        <v>43124</v>
      </c>
      <c r="B1120" s="401" t="s">
        <v>9863</v>
      </c>
      <c r="C1120" s="396" t="s">
        <v>2023</v>
      </c>
      <c r="D1120" s="405">
        <f t="shared" si="34"/>
        <v>118.38</v>
      </c>
      <c r="F1120" s="679">
        <v>118.38</v>
      </c>
      <c r="G1120" s="679">
        <v>118.38</v>
      </c>
      <c r="H1120" t="b">
        <f t="shared" si="35"/>
        <v>1</v>
      </c>
    </row>
    <row r="1121" spans="1:8" ht="30">
      <c r="A1121" s="395">
        <v>43125</v>
      </c>
      <c r="B1121" s="406" t="s">
        <v>9864</v>
      </c>
      <c r="C1121" s="395" t="s">
        <v>2023</v>
      </c>
      <c r="D1121" s="407">
        <f t="shared" si="34"/>
        <v>153.53</v>
      </c>
      <c r="F1121" s="680">
        <v>153.53</v>
      </c>
      <c r="G1121" s="680">
        <v>153.53</v>
      </c>
      <c r="H1121" t="b">
        <f t="shared" si="35"/>
        <v>1</v>
      </c>
    </row>
    <row r="1122" spans="1:8" ht="30">
      <c r="A1122" s="396">
        <v>40623</v>
      </c>
      <c r="B1122" s="401" t="s">
        <v>9865</v>
      </c>
      <c r="C1122" s="396" t="s">
        <v>2028</v>
      </c>
      <c r="D1122" s="405">
        <f t="shared" si="34"/>
        <v>109.16</v>
      </c>
      <c r="F1122" s="679">
        <v>109.16</v>
      </c>
      <c r="G1122" s="679">
        <v>109.16</v>
      </c>
      <c r="H1122" t="b">
        <f t="shared" si="35"/>
        <v>1</v>
      </c>
    </row>
    <row r="1123" spans="1:8">
      <c r="A1123" s="395">
        <v>43701</v>
      </c>
      <c r="B1123" s="406" t="s">
        <v>9866</v>
      </c>
      <c r="C1123" s="395" t="s">
        <v>2025</v>
      </c>
      <c r="D1123" s="407">
        <f t="shared" si="34"/>
        <v>38</v>
      </c>
      <c r="F1123" s="680">
        <v>38</v>
      </c>
      <c r="G1123" s="680">
        <v>38</v>
      </c>
      <c r="H1123" t="b">
        <f t="shared" si="35"/>
        <v>1</v>
      </c>
    </row>
    <row r="1124" spans="1:8" ht="30">
      <c r="A1124" s="396">
        <v>1345</v>
      </c>
      <c r="B1124" s="401" t="s">
        <v>9867</v>
      </c>
      <c r="C1124" s="396" t="s">
        <v>2023</v>
      </c>
      <c r="D1124" s="405">
        <f t="shared" si="34"/>
        <v>122.17</v>
      </c>
      <c r="F1124" s="679">
        <v>122.17</v>
      </c>
      <c r="G1124" s="679">
        <v>122.17</v>
      </c>
      <c r="H1124" t="b">
        <f t="shared" si="35"/>
        <v>1</v>
      </c>
    </row>
    <row r="1125" spans="1:8" ht="30">
      <c r="A1125" s="395">
        <v>1346</v>
      </c>
      <c r="B1125" s="406" t="s">
        <v>9868</v>
      </c>
      <c r="C1125" s="395" t="s">
        <v>2023</v>
      </c>
      <c r="D1125" s="407">
        <f t="shared" si="34"/>
        <v>71.06</v>
      </c>
      <c r="F1125" s="680">
        <v>71.06</v>
      </c>
      <c r="G1125" s="680">
        <v>71.06</v>
      </c>
      <c r="H1125" t="b">
        <f t="shared" si="35"/>
        <v>1</v>
      </c>
    </row>
    <row r="1126" spans="1:8" ht="30">
      <c r="A1126" s="396">
        <v>1347</v>
      </c>
      <c r="B1126" s="401" t="s">
        <v>9869</v>
      </c>
      <c r="C1126" s="396" t="s">
        <v>2023</v>
      </c>
      <c r="D1126" s="405">
        <f t="shared" si="34"/>
        <v>88.05</v>
      </c>
      <c r="F1126" s="679">
        <v>88.05</v>
      </c>
      <c r="G1126" s="679">
        <v>88.05</v>
      </c>
      <c r="H1126" t="b">
        <f t="shared" si="35"/>
        <v>1</v>
      </c>
    </row>
    <row r="1127" spans="1:8" ht="30">
      <c r="A1127" s="395">
        <v>43678</v>
      </c>
      <c r="B1127" s="406" t="s">
        <v>9870</v>
      </c>
      <c r="C1127" s="395" t="s">
        <v>2023</v>
      </c>
      <c r="D1127" s="407">
        <f t="shared" si="34"/>
        <v>102.13</v>
      </c>
      <c r="F1127" s="680">
        <v>102.13</v>
      </c>
      <c r="G1127" s="680">
        <v>102.13</v>
      </c>
      <c r="H1127" t="b">
        <f t="shared" si="35"/>
        <v>1</v>
      </c>
    </row>
    <row r="1128" spans="1:8" ht="30">
      <c r="A1128" s="396">
        <v>43680</v>
      </c>
      <c r="B1128" s="401" t="s">
        <v>9871</v>
      </c>
      <c r="C1128" s="396" t="s">
        <v>2023</v>
      </c>
      <c r="D1128" s="405">
        <f t="shared" si="34"/>
        <v>147.13</v>
      </c>
      <c r="F1128" s="679">
        <v>147.13</v>
      </c>
      <c r="G1128" s="679">
        <v>147.13</v>
      </c>
      <c r="H1128" t="b">
        <f t="shared" si="35"/>
        <v>1</v>
      </c>
    </row>
    <row r="1129" spans="1:8" ht="30">
      <c r="A1129" s="395">
        <v>43679</v>
      </c>
      <c r="B1129" s="406" t="s">
        <v>9872</v>
      </c>
      <c r="C1129" s="395" t="s">
        <v>2023</v>
      </c>
      <c r="D1129" s="407">
        <f t="shared" si="34"/>
        <v>51.63</v>
      </c>
      <c r="F1129" s="680">
        <v>51.63</v>
      </c>
      <c r="G1129" s="680">
        <v>51.63</v>
      </c>
      <c r="H1129" t="b">
        <f t="shared" si="35"/>
        <v>1</v>
      </c>
    </row>
    <row r="1130" spans="1:8" ht="30">
      <c r="A1130" s="396">
        <v>1355</v>
      </c>
      <c r="B1130" s="401" t="s">
        <v>9873</v>
      </c>
      <c r="C1130" s="396" t="s">
        <v>2023</v>
      </c>
      <c r="D1130" s="405">
        <f t="shared" si="34"/>
        <v>58.76</v>
      </c>
      <c r="F1130" s="679">
        <v>58.76</v>
      </c>
      <c r="G1130" s="679">
        <v>58.76</v>
      </c>
      <c r="H1130" t="b">
        <f t="shared" si="35"/>
        <v>1</v>
      </c>
    </row>
    <row r="1131" spans="1:8" ht="30">
      <c r="A1131" s="395">
        <v>1358</v>
      </c>
      <c r="B1131" s="406" t="s">
        <v>9874</v>
      </c>
      <c r="C1131" s="395" t="s">
        <v>2023</v>
      </c>
      <c r="D1131" s="407">
        <f t="shared" si="34"/>
        <v>72.14</v>
      </c>
      <c r="F1131" s="680">
        <v>72.14</v>
      </c>
      <c r="G1131" s="680">
        <v>72.14</v>
      </c>
      <c r="H1131" t="b">
        <f t="shared" si="35"/>
        <v>1</v>
      </c>
    </row>
    <row r="1132" spans="1:8" ht="30">
      <c r="A1132" s="396">
        <v>43681</v>
      </c>
      <c r="B1132" s="401" t="s">
        <v>9875</v>
      </c>
      <c r="C1132" s="396" t="s">
        <v>2023</v>
      </c>
      <c r="D1132" s="405">
        <f t="shared" si="34"/>
        <v>45.45</v>
      </c>
      <c r="F1132" s="679">
        <v>45.45</v>
      </c>
      <c r="G1132" s="679">
        <v>45.45</v>
      </c>
      <c r="H1132" t="b">
        <f t="shared" si="35"/>
        <v>1</v>
      </c>
    </row>
    <row r="1133" spans="1:8" ht="30">
      <c r="A1133" s="395">
        <v>43677</v>
      </c>
      <c r="B1133" s="406" t="s">
        <v>9876</v>
      </c>
      <c r="C1133" s="395" t="s">
        <v>2023</v>
      </c>
      <c r="D1133" s="407">
        <f t="shared" si="34"/>
        <v>89.5</v>
      </c>
      <c r="F1133" s="680">
        <v>89.5</v>
      </c>
      <c r="G1133" s="680">
        <v>89.5</v>
      </c>
      <c r="H1133" t="b">
        <f t="shared" si="35"/>
        <v>1</v>
      </c>
    </row>
    <row r="1134" spans="1:8" ht="30">
      <c r="A1134" s="396">
        <v>43682</v>
      </c>
      <c r="B1134" s="401" t="s">
        <v>9877</v>
      </c>
      <c r="C1134" s="396" t="s">
        <v>2023</v>
      </c>
      <c r="D1134" s="405">
        <f t="shared" si="34"/>
        <v>27.44</v>
      </c>
      <c r="F1134" s="679">
        <v>27.44</v>
      </c>
      <c r="G1134" s="679">
        <v>27.44</v>
      </c>
      <c r="H1134" t="b">
        <f t="shared" si="35"/>
        <v>1</v>
      </c>
    </row>
    <row r="1135" spans="1:8" ht="30">
      <c r="A1135" s="395">
        <v>20971</v>
      </c>
      <c r="B1135" s="406" t="s">
        <v>9878</v>
      </c>
      <c r="C1135" s="395" t="s">
        <v>2021</v>
      </c>
      <c r="D1135" s="407">
        <f t="shared" si="34"/>
        <v>17.14</v>
      </c>
      <c r="F1135" s="680">
        <v>17.14</v>
      </c>
      <c r="G1135" s="680">
        <v>17.14</v>
      </c>
      <c r="H1135" t="b">
        <f t="shared" si="35"/>
        <v>1</v>
      </c>
    </row>
    <row r="1136" spans="1:8">
      <c r="A1136" s="396">
        <v>13279</v>
      </c>
      <c r="B1136" s="401" t="s">
        <v>9879</v>
      </c>
      <c r="C1136" s="396" t="s">
        <v>2025</v>
      </c>
      <c r="D1136" s="405">
        <f t="shared" si="34"/>
        <v>22</v>
      </c>
      <c r="F1136" s="679">
        <v>22</v>
      </c>
      <c r="G1136" s="679">
        <v>22</v>
      </c>
      <c r="H1136" t="b">
        <f t="shared" si="35"/>
        <v>1</v>
      </c>
    </row>
    <row r="1137" spans="1:8">
      <c r="A1137" s="395">
        <v>11977</v>
      </c>
      <c r="B1137" s="406" t="s">
        <v>9880</v>
      </c>
      <c r="C1137" s="395" t="s">
        <v>2021</v>
      </c>
      <c r="D1137" s="407">
        <f t="shared" si="34"/>
        <v>11.39</v>
      </c>
      <c r="F1137" s="680">
        <v>11.39</v>
      </c>
      <c r="G1137" s="680">
        <v>11.39</v>
      </c>
      <c r="H1137" t="b">
        <f t="shared" si="35"/>
        <v>1</v>
      </c>
    </row>
    <row r="1138" spans="1:8">
      <c r="A1138" s="396">
        <v>11975</v>
      </c>
      <c r="B1138" s="401" t="s">
        <v>9881</v>
      </c>
      <c r="C1138" s="396" t="s">
        <v>2021</v>
      </c>
      <c r="D1138" s="405">
        <f t="shared" si="34"/>
        <v>24.98</v>
      </c>
      <c r="F1138" s="679">
        <v>24.98</v>
      </c>
      <c r="G1138" s="679">
        <v>24.98</v>
      </c>
      <c r="H1138" t="b">
        <f t="shared" si="35"/>
        <v>1</v>
      </c>
    </row>
    <row r="1139" spans="1:8">
      <c r="A1139" s="395">
        <v>39746</v>
      </c>
      <c r="B1139" s="406" t="s">
        <v>9882</v>
      </c>
      <c r="C1139" s="395" t="s">
        <v>2021</v>
      </c>
      <c r="D1139" s="407">
        <f t="shared" si="34"/>
        <v>277.95</v>
      </c>
      <c r="F1139" s="680">
        <v>277.95</v>
      </c>
      <c r="G1139" s="680">
        <v>277.95</v>
      </c>
      <c r="H1139" t="b">
        <f t="shared" si="35"/>
        <v>1</v>
      </c>
    </row>
    <row r="1140" spans="1:8">
      <c r="A1140" s="396">
        <v>11976</v>
      </c>
      <c r="B1140" s="401" t="s">
        <v>9883</v>
      </c>
      <c r="C1140" s="396" t="s">
        <v>2021</v>
      </c>
      <c r="D1140" s="405">
        <f t="shared" si="34"/>
        <v>1.27</v>
      </c>
      <c r="F1140" s="679">
        <v>1.27</v>
      </c>
      <c r="G1140" s="679">
        <v>1.27</v>
      </c>
      <c r="H1140" t="b">
        <f t="shared" si="35"/>
        <v>1</v>
      </c>
    </row>
    <row r="1141" spans="1:8">
      <c r="A1141" s="395">
        <v>1368</v>
      </c>
      <c r="B1141" s="406" t="s">
        <v>9884</v>
      </c>
      <c r="C1141" s="395" t="s">
        <v>2021</v>
      </c>
      <c r="D1141" s="407">
        <f t="shared" si="34"/>
        <v>83.2</v>
      </c>
      <c r="F1141" s="680">
        <v>83.2</v>
      </c>
      <c r="G1141" s="680">
        <v>83.2</v>
      </c>
      <c r="H1141" t="b">
        <f t="shared" si="35"/>
        <v>1</v>
      </c>
    </row>
    <row r="1142" spans="1:8">
      <c r="A1142" s="396">
        <v>1367</v>
      </c>
      <c r="B1142" s="401" t="s">
        <v>9885</v>
      </c>
      <c r="C1142" s="396" t="s">
        <v>2021</v>
      </c>
      <c r="D1142" s="405">
        <f t="shared" si="34"/>
        <v>269.13</v>
      </c>
      <c r="F1142" s="679">
        <v>269.13</v>
      </c>
      <c r="G1142" s="679">
        <v>269.13</v>
      </c>
      <c r="H1142" t="b">
        <f t="shared" si="35"/>
        <v>1</v>
      </c>
    </row>
    <row r="1143" spans="1:8">
      <c r="A1143" s="395">
        <v>1380</v>
      </c>
      <c r="B1143" s="406" t="s">
        <v>13884</v>
      </c>
      <c r="C1143" s="395" t="s">
        <v>2025</v>
      </c>
      <c r="D1143" s="407">
        <f t="shared" si="34"/>
        <v>2.89</v>
      </c>
      <c r="F1143" s="680">
        <v>2.89</v>
      </c>
      <c r="G1143" s="680">
        <v>2.89</v>
      </c>
      <c r="H1143" t="b">
        <f t="shared" si="35"/>
        <v>1</v>
      </c>
    </row>
    <row r="1144" spans="1:8">
      <c r="A1144" s="396">
        <v>1375</v>
      </c>
      <c r="B1144" s="401" t="s">
        <v>9886</v>
      </c>
      <c r="C1144" s="396" t="s">
        <v>2025</v>
      </c>
      <c r="D1144" s="405">
        <f t="shared" si="34"/>
        <v>19.760000000000002</v>
      </c>
      <c r="F1144" s="679">
        <v>19.760000000000002</v>
      </c>
      <c r="G1144" s="679">
        <v>19.760000000000002</v>
      </c>
      <c r="H1144" t="b">
        <f t="shared" si="35"/>
        <v>1</v>
      </c>
    </row>
    <row r="1145" spans="1:8">
      <c r="A1145" s="395">
        <v>1379</v>
      </c>
      <c r="B1145" s="406" t="s">
        <v>9887</v>
      </c>
      <c r="C1145" s="395" t="s">
        <v>2025</v>
      </c>
      <c r="D1145" s="407">
        <f t="shared" si="34"/>
        <v>0.92</v>
      </c>
      <c r="F1145" s="680">
        <v>0.92</v>
      </c>
      <c r="G1145" s="680">
        <v>0.92</v>
      </c>
      <c r="H1145" t="b">
        <f t="shared" si="35"/>
        <v>1</v>
      </c>
    </row>
    <row r="1146" spans="1:8">
      <c r="A1146" s="396">
        <v>13284</v>
      </c>
      <c r="B1146" s="401" t="s">
        <v>9888</v>
      </c>
      <c r="C1146" s="396" t="s">
        <v>2025</v>
      </c>
      <c r="D1146" s="405">
        <f t="shared" si="34"/>
        <v>0.93</v>
      </c>
      <c r="F1146" s="679">
        <v>0.93</v>
      </c>
      <c r="G1146" s="679">
        <v>0.93</v>
      </c>
      <c r="H1146" t="b">
        <f t="shared" si="35"/>
        <v>1</v>
      </c>
    </row>
    <row r="1147" spans="1:8">
      <c r="A1147" s="395">
        <v>44528</v>
      </c>
      <c r="B1147" s="406" t="s">
        <v>9889</v>
      </c>
      <c r="C1147" s="395" t="s">
        <v>2025</v>
      </c>
      <c r="D1147" s="407">
        <f t="shared" si="34"/>
        <v>3.47</v>
      </c>
      <c r="F1147" s="680">
        <v>3.47</v>
      </c>
      <c r="G1147" s="680">
        <v>3.47</v>
      </c>
      <c r="H1147" t="b">
        <f t="shared" si="35"/>
        <v>1</v>
      </c>
    </row>
    <row r="1148" spans="1:8">
      <c r="A1148" s="396">
        <v>34753</v>
      </c>
      <c r="B1148" s="401" t="s">
        <v>9890</v>
      </c>
      <c r="C1148" s="396" t="s">
        <v>2025</v>
      </c>
      <c r="D1148" s="405">
        <f t="shared" si="34"/>
        <v>1.01</v>
      </c>
      <c r="F1148" s="679">
        <v>1.01</v>
      </c>
      <c r="G1148" s="679">
        <v>1.01</v>
      </c>
      <c r="H1148" t="b">
        <f t="shared" si="35"/>
        <v>1</v>
      </c>
    </row>
    <row r="1149" spans="1:8">
      <c r="A1149" s="395">
        <v>420</v>
      </c>
      <c r="B1149" s="406" t="s">
        <v>9891</v>
      </c>
      <c r="C1149" s="395" t="s">
        <v>2021</v>
      </c>
      <c r="D1149" s="407">
        <f t="shared" si="34"/>
        <v>44.89</v>
      </c>
      <c r="F1149" s="680">
        <v>44.89</v>
      </c>
      <c r="G1149" s="680">
        <v>44.89</v>
      </c>
      <c r="H1149" t="b">
        <f t="shared" si="35"/>
        <v>1</v>
      </c>
    </row>
    <row r="1150" spans="1:8" ht="30">
      <c r="A1150" s="396">
        <v>12327</v>
      </c>
      <c r="B1150" s="401" t="s">
        <v>9892</v>
      </c>
      <c r="C1150" s="396" t="s">
        <v>2021</v>
      </c>
      <c r="D1150" s="405">
        <f t="shared" si="34"/>
        <v>53.47</v>
      </c>
      <c r="F1150" s="679">
        <v>53.47</v>
      </c>
      <c r="G1150" s="679">
        <v>53.47</v>
      </c>
      <c r="H1150" t="b">
        <f t="shared" si="35"/>
        <v>1</v>
      </c>
    </row>
    <row r="1151" spans="1:8">
      <c r="A1151" s="395">
        <v>36148</v>
      </c>
      <c r="B1151" s="406" t="s">
        <v>9893</v>
      </c>
      <c r="C1151" s="395" t="s">
        <v>2021</v>
      </c>
      <c r="D1151" s="407">
        <f t="shared" si="34"/>
        <v>76.319999999999993</v>
      </c>
      <c r="F1151" s="680">
        <v>76.319999999999993</v>
      </c>
      <c r="G1151" s="680">
        <v>76.319999999999993</v>
      </c>
      <c r="H1151" t="b">
        <f t="shared" si="35"/>
        <v>1</v>
      </c>
    </row>
    <row r="1152" spans="1:8">
      <c r="A1152" s="396">
        <v>12329</v>
      </c>
      <c r="B1152" s="401" t="s">
        <v>9894</v>
      </c>
      <c r="C1152" s="396" t="s">
        <v>2025</v>
      </c>
      <c r="D1152" s="405">
        <f t="shared" si="34"/>
        <v>122.98</v>
      </c>
      <c r="F1152" s="679">
        <v>122.98</v>
      </c>
      <c r="G1152" s="679">
        <v>122.98</v>
      </c>
      <c r="H1152" t="b">
        <f t="shared" si="35"/>
        <v>1</v>
      </c>
    </row>
    <row r="1153" spans="1:8">
      <c r="A1153" s="395">
        <v>1339</v>
      </c>
      <c r="B1153" s="406" t="s">
        <v>9895</v>
      </c>
      <c r="C1153" s="395" t="s">
        <v>2025</v>
      </c>
      <c r="D1153" s="407">
        <f t="shared" si="34"/>
        <v>54.42</v>
      </c>
      <c r="F1153" s="680">
        <v>54.42</v>
      </c>
      <c r="G1153" s="680">
        <v>54.42</v>
      </c>
      <c r="H1153" t="b">
        <f t="shared" si="35"/>
        <v>1</v>
      </c>
    </row>
    <row r="1154" spans="1:8">
      <c r="A1154" s="396">
        <v>44396</v>
      </c>
      <c r="B1154" s="401" t="s">
        <v>9896</v>
      </c>
      <c r="C1154" s="396" t="s">
        <v>2025</v>
      </c>
      <c r="D1154" s="405">
        <f t="shared" si="34"/>
        <v>23.6</v>
      </c>
      <c r="F1154" s="679">
        <v>23.6</v>
      </c>
      <c r="G1154" s="679">
        <v>23.6</v>
      </c>
      <c r="H1154" t="b">
        <f t="shared" si="35"/>
        <v>1</v>
      </c>
    </row>
    <row r="1155" spans="1:8">
      <c r="A1155" s="395">
        <v>44327</v>
      </c>
      <c r="B1155" s="406" t="s">
        <v>9897</v>
      </c>
      <c r="C1155" s="395" t="s">
        <v>2026</v>
      </c>
      <c r="D1155" s="407">
        <f t="shared" ref="D1155:D1218" si="36">IF($J$2=$F$1,F1155,G1155)</f>
        <v>80.25</v>
      </c>
      <c r="F1155" s="680">
        <v>80.25</v>
      </c>
      <c r="G1155" s="680">
        <v>80.25</v>
      </c>
      <c r="H1155" t="b">
        <f t="shared" ref="H1155:H1218" si="37">F1155=G1155</f>
        <v>1</v>
      </c>
    </row>
    <row r="1156" spans="1:8">
      <c r="A1156" s="396">
        <v>37418</v>
      </c>
      <c r="B1156" s="401" t="s">
        <v>9898</v>
      </c>
      <c r="C1156" s="396" t="s">
        <v>2021</v>
      </c>
      <c r="D1156" s="405">
        <f t="shared" si="36"/>
        <v>18.5</v>
      </c>
      <c r="F1156" s="679">
        <v>18.5</v>
      </c>
      <c r="G1156" s="679">
        <v>18.5</v>
      </c>
      <c r="H1156" t="b">
        <f t="shared" si="37"/>
        <v>1</v>
      </c>
    </row>
    <row r="1157" spans="1:8">
      <c r="A1157" s="395">
        <v>37419</v>
      </c>
      <c r="B1157" s="406" t="s">
        <v>9899</v>
      </c>
      <c r="C1157" s="395" t="s">
        <v>2021</v>
      </c>
      <c r="D1157" s="407">
        <f t="shared" si="36"/>
        <v>19</v>
      </c>
      <c r="F1157" s="680">
        <v>19</v>
      </c>
      <c r="G1157" s="680">
        <v>19</v>
      </c>
      <c r="H1157" t="b">
        <f t="shared" si="37"/>
        <v>1</v>
      </c>
    </row>
    <row r="1158" spans="1:8">
      <c r="A1158" s="396">
        <v>1427</v>
      </c>
      <c r="B1158" s="401" t="s">
        <v>9900</v>
      </c>
      <c r="C1158" s="396" t="s">
        <v>2021</v>
      </c>
      <c r="D1158" s="405">
        <f t="shared" si="36"/>
        <v>20.239999999999998</v>
      </c>
      <c r="F1158" s="679">
        <v>20.239999999999998</v>
      </c>
      <c r="G1158" s="679">
        <v>20.239999999999998</v>
      </c>
      <c r="H1158" t="b">
        <f t="shared" si="37"/>
        <v>1</v>
      </c>
    </row>
    <row r="1159" spans="1:8">
      <c r="A1159" s="395">
        <v>1402</v>
      </c>
      <c r="B1159" s="406" t="s">
        <v>9901</v>
      </c>
      <c r="C1159" s="395" t="s">
        <v>2021</v>
      </c>
      <c r="D1159" s="407">
        <f t="shared" si="36"/>
        <v>7</v>
      </c>
      <c r="F1159" s="680">
        <v>7</v>
      </c>
      <c r="G1159" s="680">
        <v>7</v>
      </c>
      <c r="H1159" t="b">
        <f t="shared" si="37"/>
        <v>1</v>
      </c>
    </row>
    <row r="1160" spans="1:8">
      <c r="A1160" s="396">
        <v>1420</v>
      </c>
      <c r="B1160" s="401" t="s">
        <v>9902</v>
      </c>
      <c r="C1160" s="396" t="s">
        <v>2021</v>
      </c>
      <c r="D1160" s="405">
        <f t="shared" si="36"/>
        <v>9.01</v>
      </c>
      <c r="F1160" s="679">
        <v>9.01</v>
      </c>
      <c r="G1160" s="679">
        <v>9.01</v>
      </c>
      <c r="H1160" t="b">
        <f t="shared" si="37"/>
        <v>1</v>
      </c>
    </row>
    <row r="1161" spans="1:8">
      <c r="A1161" s="395">
        <v>1419</v>
      </c>
      <c r="B1161" s="406" t="s">
        <v>9903</v>
      </c>
      <c r="C1161" s="395" t="s">
        <v>2021</v>
      </c>
      <c r="D1161" s="407">
        <f t="shared" si="36"/>
        <v>10.88</v>
      </c>
      <c r="F1161" s="680">
        <v>10.88</v>
      </c>
      <c r="G1161" s="680">
        <v>10.88</v>
      </c>
      <c r="H1161" t="b">
        <f t="shared" si="37"/>
        <v>1</v>
      </c>
    </row>
    <row r="1162" spans="1:8">
      <c r="A1162" s="396">
        <v>1414</v>
      </c>
      <c r="B1162" s="401" t="s">
        <v>9904</v>
      </c>
      <c r="C1162" s="396" t="s">
        <v>2021</v>
      </c>
      <c r="D1162" s="405">
        <f t="shared" si="36"/>
        <v>10.64</v>
      </c>
      <c r="F1162" s="679">
        <v>10.64</v>
      </c>
      <c r="G1162" s="679">
        <v>10.64</v>
      </c>
      <c r="H1162" t="b">
        <f t="shared" si="37"/>
        <v>1</v>
      </c>
    </row>
    <row r="1163" spans="1:8">
      <c r="A1163" s="395">
        <v>1413</v>
      </c>
      <c r="B1163" s="406" t="s">
        <v>9905</v>
      </c>
      <c r="C1163" s="395" t="s">
        <v>2021</v>
      </c>
      <c r="D1163" s="407">
        <f t="shared" si="36"/>
        <v>15.72</v>
      </c>
      <c r="F1163" s="680">
        <v>15.72</v>
      </c>
      <c r="G1163" s="680">
        <v>15.72</v>
      </c>
      <c r="H1163" t="b">
        <f t="shared" si="37"/>
        <v>1</v>
      </c>
    </row>
    <row r="1164" spans="1:8">
      <c r="A1164" s="396">
        <v>1412</v>
      </c>
      <c r="B1164" s="401" t="s">
        <v>9906</v>
      </c>
      <c r="C1164" s="396" t="s">
        <v>2021</v>
      </c>
      <c r="D1164" s="405">
        <f t="shared" si="36"/>
        <v>13.32</v>
      </c>
      <c r="F1164" s="679">
        <v>13.32</v>
      </c>
      <c r="G1164" s="679">
        <v>13.32</v>
      </c>
      <c r="H1164" t="b">
        <f t="shared" si="37"/>
        <v>1</v>
      </c>
    </row>
    <row r="1165" spans="1:8" ht="30">
      <c r="A1165" s="395">
        <v>1406</v>
      </c>
      <c r="B1165" s="406" t="s">
        <v>9907</v>
      </c>
      <c r="C1165" s="395" t="s">
        <v>2021</v>
      </c>
      <c r="D1165" s="407">
        <f t="shared" si="36"/>
        <v>16.07</v>
      </c>
      <c r="F1165" s="680">
        <v>16.07</v>
      </c>
      <c r="G1165" s="680">
        <v>16.07</v>
      </c>
      <c r="H1165" t="b">
        <f t="shared" si="37"/>
        <v>1</v>
      </c>
    </row>
    <row r="1166" spans="1:8" ht="45">
      <c r="A1166" s="396">
        <v>11281</v>
      </c>
      <c r="B1166" s="401" t="s">
        <v>9908</v>
      </c>
      <c r="C1166" s="396" t="s">
        <v>2021</v>
      </c>
      <c r="D1166" s="405">
        <f t="shared" si="36"/>
        <v>11399.9</v>
      </c>
      <c r="F1166" s="679">
        <v>11399.9</v>
      </c>
      <c r="G1166" s="679">
        <v>11399.9</v>
      </c>
      <c r="H1166" t="b">
        <f t="shared" si="37"/>
        <v>1</v>
      </c>
    </row>
    <row r="1167" spans="1:8" ht="45">
      <c r="A1167" s="395">
        <v>1442</v>
      </c>
      <c r="B1167" s="406" t="s">
        <v>9909</v>
      </c>
      <c r="C1167" s="395" t="s">
        <v>2021</v>
      </c>
      <c r="D1167" s="407">
        <f t="shared" si="36"/>
        <v>9570.1299999999992</v>
      </c>
      <c r="F1167" s="680">
        <v>9570.1299999999992</v>
      </c>
      <c r="G1167" s="680">
        <v>9570.1299999999992</v>
      </c>
      <c r="H1167" t="b">
        <f t="shared" si="37"/>
        <v>1</v>
      </c>
    </row>
    <row r="1168" spans="1:8" ht="45">
      <c r="A1168" s="396">
        <v>13457</v>
      </c>
      <c r="B1168" s="401" t="s">
        <v>9910</v>
      </c>
      <c r="C1168" s="396" t="s">
        <v>2021</v>
      </c>
      <c r="D1168" s="405">
        <f t="shared" si="36"/>
        <v>8260.7900000000009</v>
      </c>
      <c r="F1168" s="679">
        <v>8260.7900000000009</v>
      </c>
      <c r="G1168" s="679">
        <v>8260.7900000000009</v>
      </c>
      <c r="H1168" t="b">
        <f t="shared" si="37"/>
        <v>1</v>
      </c>
    </row>
    <row r="1169" spans="1:8" ht="45">
      <c r="A1169" s="395">
        <v>40699</v>
      </c>
      <c r="B1169" s="406" t="s">
        <v>9911</v>
      </c>
      <c r="C1169" s="395" t="s">
        <v>2021</v>
      </c>
      <c r="D1169" s="407">
        <f t="shared" si="36"/>
        <v>6385.91</v>
      </c>
      <c r="F1169" s="680">
        <v>6385.91</v>
      </c>
      <c r="G1169" s="680">
        <v>6385.91</v>
      </c>
      <c r="H1169" t="b">
        <f t="shared" si="37"/>
        <v>1</v>
      </c>
    </row>
    <row r="1170" spans="1:8" ht="45">
      <c r="A1170" s="396">
        <v>40701</v>
      </c>
      <c r="B1170" s="401" t="s">
        <v>9912</v>
      </c>
      <c r="C1170" s="396" t="s">
        <v>2021</v>
      </c>
      <c r="D1170" s="405">
        <f t="shared" si="36"/>
        <v>112911.62</v>
      </c>
      <c r="F1170" s="679">
        <v>112911.62</v>
      </c>
      <c r="G1170" s="679">
        <v>112911.62</v>
      </c>
      <c r="H1170" t="b">
        <f t="shared" si="37"/>
        <v>1</v>
      </c>
    </row>
    <row r="1171" spans="1:8" ht="45">
      <c r="A1171" s="395">
        <v>40700</v>
      </c>
      <c r="B1171" s="406" t="s">
        <v>9913</v>
      </c>
      <c r="C1171" s="395" t="s">
        <v>2021</v>
      </c>
      <c r="D1171" s="407">
        <f t="shared" si="36"/>
        <v>14865.56</v>
      </c>
      <c r="F1171" s="680">
        <v>14865.56</v>
      </c>
      <c r="G1171" s="680">
        <v>14865.56</v>
      </c>
      <c r="H1171" t="b">
        <f t="shared" si="37"/>
        <v>1</v>
      </c>
    </row>
    <row r="1172" spans="1:8">
      <c r="A1172" s="396">
        <v>13458</v>
      </c>
      <c r="B1172" s="401" t="s">
        <v>9914</v>
      </c>
      <c r="C1172" s="396" t="s">
        <v>2021</v>
      </c>
      <c r="D1172" s="405">
        <f t="shared" si="36"/>
        <v>14125.96</v>
      </c>
      <c r="F1172" s="679">
        <v>14125.96</v>
      </c>
      <c r="G1172" s="679">
        <v>14125.96</v>
      </c>
      <c r="H1172" t="b">
        <f t="shared" si="37"/>
        <v>1</v>
      </c>
    </row>
    <row r="1173" spans="1:8">
      <c r="A1173" s="395">
        <v>11134</v>
      </c>
      <c r="B1173" s="406" t="s">
        <v>9915</v>
      </c>
      <c r="C1173" s="395" t="s">
        <v>2023</v>
      </c>
      <c r="D1173" s="407">
        <f t="shared" si="36"/>
        <v>101.23</v>
      </c>
      <c r="F1173" s="680">
        <v>101.23</v>
      </c>
      <c r="G1173" s="680">
        <v>101.23</v>
      </c>
      <c r="H1173" t="b">
        <f t="shared" si="37"/>
        <v>1</v>
      </c>
    </row>
    <row r="1174" spans="1:8">
      <c r="A1174" s="396">
        <v>11135</v>
      </c>
      <c r="B1174" s="401" t="s">
        <v>9916</v>
      </c>
      <c r="C1174" s="396" t="s">
        <v>2023</v>
      </c>
      <c r="D1174" s="405">
        <f t="shared" si="36"/>
        <v>109.3</v>
      </c>
      <c r="F1174" s="679">
        <v>109.3</v>
      </c>
      <c r="G1174" s="679">
        <v>109.3</v>
      </c>
      <c r="H1174" t="b">
        <f t="shared" si="37"/>
        <v>1</v>
      </c>
    </row>
    <row r="1175" spans="1:8">
      <c r="A1175" s="395">
        <v>11136</v>
      </c>
      <c r="B1175" s="406" t="s">
        <v>9917</v>
      </c>
      <c r="C1175" s="395" t="s">
        <v>2023</v>
      </c>
      <c r="D1175" s="407">
        <f t="shared" si="36"/>
        <v>125.15</v>
      </c>
      <c r="F1175" s="680">
        <v>125.15</v>
      </c>
      <c r="G1175" s="680">
        <v>125.15</v>
      </c>
      <c r="H1175" t="b">
        <f t="shared" si="37"/>
        <v>1</v>
      </c>
    </row>
    <row r="1176" spans="1:8">
      <c r="A1176" s="396">
        <v>34743</v>
      </c>
      <c r="B1176" s="401" t="s">
        <v>9918</v>
      </c>
      <c r="C1176" s="396" t="s">
        <v>2023</v>
      </c>
      <c r="D1176" s="405">
        <f t="shared" si="36"/>
        <v>151</v>
      </c>
      <c r="F1176" s="679">
        <v>151</v>
      </c>
      <c r="G1176" s="679">
        <v>151</v>
      </c>
      <c r="H1176" t="b">
        <f t="shared" si="37"/>
        <v>1</v>
      </c>
    </row>
    <row r="1177" spans="1:8">
      <c r="A1177" s="395">
        <v>11137</v>
      </c>
      <c r="B1177" s="406" t="s">
        <v>9919</v>
      </c>
      <c r="C1177" s="395" t="s">
        <v>2023</v>
      </c>
      <c r="D1177" s="407">
        <f t="shared" si="36"/>
        <v>171.5</v>
      </c>
      <c r="F1177" s="680">
        <v>171.5</v>
      </c>
      <c r="G1177" s="680">
        <v>171.5</v>
      </c>
      <c r="H1177" t="b">
        <f t="shared" si="37"/>
        <v>1</v>
      </c>
    </row>
    <row r="1178" spans="1:8">
      <c r="A1178" s="396">
        <v>34745</v>
      </c>
      <c r="B1178" s="401" t="s">
        <v>9920</v>
      </c>
      <c r="C1178" s="396" t="s">
        <v>2023</v>
      </c>
      <c r="D1178" s="405">
        <f t="shared" si="36"/>
        <v>203.95</v>
      </c>
      <c r="F1178" s="679">
        <v>203.95</v>
      </c>
      <c r="G1178" s="679">
        <v>203.95</v>
      </c>
      <c r="H1178" t="b">
        <f t="shared" si="37"/>
        <v>1</v>
      </c>
    </row>
    <row r="1179" spans="1:8">
      <c r="A1179" s="395">
        <v>34746</v>
      </c>
      <c r="B1179" s="406" t="s">
        <v>9921</v>
      </c>
      <c r="C1179" s="395" t="s">
        <v>2023</v>
      </c>
      <c r="D1179" s="407">
        <f t="shared" si="36"/>
        <v>55.62</v>
      </c>
      <c r="F1179" s="680">
        <v>55.62</v>
      </c>
      <c r="G1179" s="680">
        <v>55.62</v>
      </c>
      <c r="H1179" t="b">
        <f t="shared" si="37"/>
        <v>1</v>
      </c>
    </row>
    <row r="1180" spans="1:8">
      <c r="A1180" s="396">
        <v>1360</v>
      </c>
      <c r="B1180" s="401" t="s">
        <v>9922</v>
      </c>
      <c r="C1180" s="396" t="s">
        <v>2023</v>
      </c>
      <c r="D1180" s="405">
        <f t="shared" si="36"/>
        <v>64.89</v>
      </c>
      <c r="F1180" s="679">
        <v>64.89</v>
      </c>
      <c r="G1180" s="679">
        <v>64.89</v>
      </c>
      <c r="H1180" t="b">
        <f t="shared" si="37"/>
        <v>1</v>
      </c>
    </row>
    <row r="1181" spans="1:8">
      <c r="A1181" s="395">
        <v>36524</v>
      </c>
      <c r="B1181" s="406" t="s">
        <v>9923</v>
      </c>
      <c r="C1181" s="395" t="s">
        <v>2021</v>
      </c>
      <c r="D1181" s="407">
        <f t="shared" si="36"/>
        <v>181752.59</v>
      </c>
      <c r="F1181" s="680">
        <v>181752.59</v>
      </c>
      <c r="G1181" s="680">
        <v>181752.59</v>
      </c>
      <c r="H1181" t="b">
        <f t="shared" si="37"/>
        <v>1</v>
      </c>
    </row>
    <row r="1182" spans="1:8">
      <c r="A1182" s="396">
        <v>36526</v>
      </c>
      <c r="B1182" s="401" t="s">
        <v>9924</v>
      </c>
      <c r="C1182" s="396" t="s">
        <v>2021</v>
      </c>
      <c r="D1182" s="405">
        <f t="shared" si="36"/>
        <v>146463.64000000001</v>
      </c>
      <c r="F1182" s="679">
        <v>146463.64000000001</v>
      </c>
      <c r="G1182" s="679">
        <v>146463.64000000001</v>
      </c>
      <c r="H1182" t="b">
        <f t="shared" si="37"/>
        <v>1</v>
      </c>
    </row>
    <row r="1183" spans="1:8">
      <c r="A1183" s="395">
        <v>36523</v>
      </c>
      <c r="B1183" s="406" t="s">
        <v>9925</v>
      </c>
      <c r="C1183" s="395" t="s">
        <v>2021</v>
      </c>
      <c r="D1183" s="407">
        <f t="shared" si="36"/>
        <v>313558.89</v>
      </c>
      <c r="F1183" s="680">
        <v>313558.89</v>
      </c>
      <c r="G1183" s="680">
        <v>313558.89</v>
      </c>
      <c r="H1183" t="b">
        <f t="shared" si="37"/>
        <v>1</v>
      </c>
    </row>
    <row r="1184" spans="1:8">
      <c r="A1184" s="396">
        <v>36527</v>
      </c>
      <c r="B1184" s="401" t="s">
        <v>9926</v>
      </c>
      <c r="C1184" s="396" t="s">
        <v>2021</v>
      </c>
      <c r="D1184" s="405">
        <f t="shared" si="36"/>
        <v>340589.54</v>
      </c>
      <c r="F1184" s="679">
        <v>340589.54</v>
      </c>
      <c r="G1184" s="679">
        <v>340589.54</v>
      </c>
      <c r="H1184" t="b">
        <f t="shared" si="37"/>
        <v>1</v>
      </c>
    </row>
    <row r="1185" spans="1:8">
      <c r="A1185" s="395">
        <v>13803</v>
      </c>
      <c r="B1185" s="406" t="s">
        <v>9927</v>
      </c>
      <c r="C1185" s="395" t="s">
        <v>2021</v>
      </c>
      <c r="D1185" s="407">
        <f t="shared" si="36"/>
        <v>123154.21</v>
      </c>
      <c r="F1185" s="680">
        <v>123154.21</v>
      </c>
      <c r="G1185" s="680">
        <v>123154.21</v>
      </c>
      <c r="H1185" t="b">
        <f t="shared" si="37"/>
        <v>1</v>
      </c>
    </row>
    <row r="1186" spans="1:8">
      <c r="A1186" s="396">
        <v>38642</v>
      </c>
      <c r="B1186" s="401" t="s">
        <v>9928</v>
      </c>
      <c r="C1186" s="396" t="s">
        <v>2021</v>
      </c>
      <c r="D1186" s="405">
        <f t="shared" si="36"/>
        <v>79297.98</v>
      </c>
      <c r="F1186" s="679">
        <v>79297.98</v>
      </c>
      <c r="G1186" s="679">
        <v>79297.98</v>
      </c>
      <c r="H1186" t="b">
        <f t="shared" si="37"/>
        <v>1</v>
      </c>
    </row>
    <row r="1187" spans="1:8">
      <c r="A1187" s="395">
        <v>36522</v>
      </c>
      <c r="B1187" s="406" t="s">
        <v>9929</v>
      </c>
      <c r="C1187" s="395" t="s">
        <v>2021</v>
      </c>
      <c r="D1187" s="407">
        <f t="shared" si="36"/>
        <v>92222.61</v>
      </c>
      <c r="F1187" s="680">
        <v>92222.61</v>
      </c>
      <c r="G1187" s="680">
        <v>92222.61</v>
      </c>
      <c r="H1187" t="b">
        <f t="shared" si="37"/>
        <v>1</v>
      </c>
    </row>
    <row r="1188" spans="1:8">
      <c r="A1188" s="396">
        <v>36525</v>
      </c>
      <c r="B1188" s="401" t="s">
        <v>9930</v>
      </c>
      <c r="C1188" s="396" t="s">
        <v>2021</v>
      </c>
      <c r="D1188" s="405">
        <f t="shared" si="36"/>
        <v>123507.61</v>
      </c>
      <c r="F1188" s="679">
        <v>123507.61</v>
      </c>
      <c r="G1188" s="679">
        <v>123507.61</v>
      </c>
      <c r="H1188" t="b">
        <f t="shared" si="37"/>
        <v>1</v>
      </c>
    </row>
    <row r="1189" spans="1:8">
      <c r="A1189" s="395">
        <v>34348</v>
      </c>
      <c r="B1189" s="406" t="s">
        <v>9931</v>
      </c>
      <c r="C1189" s="395" t="s">
        <v>2024</v>
      </c>
      <c r="D1189" s="407">
        <f t="shared" si="36"/>
        <v>26.16</v>
      </c>
      <c r="F1189" s="680">
        <v>26.16</v>
      </c>
      <c r="G1189" s="680">
        <v>26.16</v>
      </c>
      <c r="H1189" t="b">
        <f t="shared" si="37"/>
        <v>1</v>
      </c>
    </row>
    <row r="1190" spans="1:8">
      <c r="A1190" s="396">
        <v>34347</v>
      </c>
      <c r="B1190" s="401" t="s">
        <v>9932</v>
      </c>
      <c r="C1190" s="396" t="s">
        <v>2024</v>
      </c>
      <c r="D1190" s="405">
        <f t="shared" si="36"/>
        <v>18.7</v>
      </c>
      <c r="F1190" s="679">
        <v>18.7</v>
      </c>
      <c r="G1190" s="679">
        <v>18.7</v>
      </c>
      <c r="H1190" t="b">
        <f t="shared" si="37"/>
        <v>1</v>
      </c>
    </row>
    <row r="1191" spans="1:8" ht="30">
      <c r="A1191" s="395">
        <v>11146</v>
      </c>
      <c r="B1191" s="406" t="s">
        <v>9933</v>
      </c>
      <c r="C1191" s="395" t="s">
        <v>2022</v>
      </c>
      <c r="D1191" s="407">
        <f t="shared" si="36"/>
        <v>775.3</v>
      </c>
      <c r="F1191" s="680">
        <v>775.3</v>
      </c>
      <c r="G1191" s="680">
        <v>775.3</v>
      </c>
      <c r="H1191" t="b">
        <f t="shared" si="37"/>
        <v>1</v>
      </c>
    </row>
    <row r="1192" spans="1:8" ht="30">
      <c r="A1192" s="396">
        <v>11147</v>
      </c>
      <c r="B1192" s="401" t="s">
        <v>9934</v>
      </c>
      <c r="C1192" s="396" t="s">
        <v>2022</v>
      </c>
      <c r="D1192" s="405">
        <f t="shared" si="36"/>
        <v>805.64</v>
      </c>
      <c r="F1192" s="679">
        <v>805.64</v>
      </c>
      <c r="G1192" s="679">
        <v>805.64</v>
      </c>
      <c r="H1192" t="b">
        <f t="shared" si="37"/>
        <v>1</v>
      </c>
    </row>
    <row r="1193" spans="1:8" ht="30">
      <c r="A1193" s="395">
        <v>34872</v>
      </c>
      <c r="B1193" s="406" t="s">
        <v>9935</v>
      </c>
      <c r="C1193" s="395" t="s">
        <v>2022</v>
      </c>
      <c r="D1193" s="407">
        <f t="shared" si="36"/>
        <v>814.68</v>
      </c>
      <c r="F1193" s="680">
        <v>814.68</v>
      </c>
      <c r="G1193" s="680">
        <v>814.68</v>
      </c>
      <c r="H1193" t="b">
        <f t="shared" si="37"/>
        <v>1</v>
      </c>
    </row>
    <row r="1194" spans="1:8" ht="30">
      <c r="A1194" s="396">
        <v>34491</v>
      </c>
      <c r="B1194" s="401" t="s">
        <v>9936</v>
      </c>
      <c r="C1194" s="396" t="s">
        <v>2022</v>
      </c>
      <c r="D1194" s="405">
        <f t="shared" si="36"/>
        <v>838.29</v>
      </c>
      <c r="F1194" s="679">
        <v>838.29</v>
      </c>
      <c r="G1194" s="679">
        <v>838.29</v>
      </c>
      <c r="H1194" t="b">
        <f t="shared" si="37"/>
        <v>1</v>
      </c>
    </row>
    <row r="1195" spans="1:8" ht="30">
      <c r="A1195" s="395">
        <v>34770</v>
      </c>
      <c r="B1195" s="406" t="s">
        <v>9937</v>
      </c>
      <c r="C1195" s="395" t="s">
        <v>2031</v>
      </c>
      <c r="D1195" s="407">
        <f t="shared" si="36"/>
        <v>513.98</v>
      </c>
      <c r="F1195" s="680">
        <v>513.98</v>
      </c>
      <c r="G1195" s="680">
        <v>513.98</v>
      </c>
      <c r="H1195" t="b">
        <f t="shared" si="37"/>
        <v>1</v>
      </c>
    </row>
    <row r="1196" spans="1:8" ht="30">
      <c r="A1196" s="396">
        <v>1518</v>
      </c>
      <c r="B1196" s="401" t="s">
        <v>9938</v>
      </c>
      <c r="C1196" s="396" t="s">
        <v>2031</v>
      </c>
      <c r="D1196" s="405">
        <f t="shared" si="36"/>
        <v>524</v>
      </c>
      <c r="F1196" s="679">
        <v>524</v>
      </c>
      <c r="G1196" s="679">
        <v>524</v>
      </c>
      <c r="H1196" t="b">
        <f t="shared" si="37"/>
        <v>1</v>
      </c>
    </row>
    <row r="1197" spans="1:8" ht="30">
      <c r="A1197" s="395">
        <v>41965</v>
      </c>
      <c r="B1197" s="406" t="s">
        <v>9939</v>
      </c>
      <c r="C1197" s="395" t="s">
        <v>2031</v>
      </c>
      <c r="D1197" s="407">
        <f t="shared" si="36"/>
        <v>459.46</v>
      </c>
      <c r="F1197" s="680">
        <v>459.46</v>
      </c>
      <c r="G1197" s="680">
        <v>459.46</v>
      </c>
      <c r="H1197" t="b">
        <f t="shared" si="37"/>
        <v>1</v>
      </c>
    </row>
    <row r="1198" spans="1:8" ht="30">
      <c r="A1198" s="396">
        <v>34492</v>
      </c>
      <c r="B1198" s="401" t="s">
        <v>9940</v>
      </c>
      <c r="C1198" s="396" t="s">
        <v>2022</v>
      </c>
      <c r="D1198" s="405">
        <f t="shared" si="36"/>
        <v>689</v>
      </c>
      <c r="F1198" s="679">
        <v>689</v>
      </c>
      <c r="G1198" s="679">
        <v>689</v>
      </c>
      <c r="H1198" t="b">
        <f t="shared" si="37"/>
        <v>1</v>
      </c>
    </row>
    <row r="1199" spans="1:8" ht="30">
      <c r="A1199" s="395">
        <v>1524</v>
      </c>
      <c r="B1199" s="406" t="s">
        <v>9941</v>
      </c>
      <c r="C1199" s="395" t="s">
        <v>2022</v>
      </c>
      <c r="D1199" s="407">
        <f t="shared" si="36"/>
        <v>743.84</v>
      </c>
      <c r="F1199" s="680">
        <v>743.84</v>
      </c>
      <c r="G1199" s="680">
        <v>743.84</v>
      </c>
      <c r="H1199" t="b">
        <f t="shared" si="37"/>
        <v>1</v>
      </c>
    </row>
    <row r="1200" spans="1:8" ht="30">
      <c r="A1200" s="396">
        <v>38404</v>
      </c>
      <c r="B1200" s="401" t="s">
        <v>9942</v>
      </c>
      <c r="C1200" s="396" t="s">
        <v>2022</v>
      </c>
      <c r="D1200" s="405">
        <f t="shared" si="36"/>
        <v>713.67</v>
      </c>
      <c r="F1200" s="679">
        <v>713.67</v>
      </c>
      <c r="G1200" s="679">
        <v>713.67</v>
      </c>
      <c r="H1200" t="b">
        <f t="shared" si="37"/>
        <v>1</v>
      </c>
    </row>
    <row r="1201" spans="1:8" ht="30">
      <c r="A1201" s="395">
        <v>39849</v>
      </c>
      <c r="B1201" s="406" t="s">
        <v>9943</v>
      </c>
      <c r="C1201" s="395" t="s">
        <v>2022</v>
      </c>
      <c r="D1201" s="407">
        <f t="shared" si="36"/>
        <v>817.87</v>
      </c>
      <c r="F1201" s="680">
        <v>817.87</v>
      </c>
      <c r="G1201" s="680">
        <v>817.87</v>
      </c>
      <c r="H1201" t="b">
        <f t="shared" si="37"/>
        <v>1</v>
      </c>
    </row>
    <row r="1202" spans="1:8" ht="30">
      <c r="A1202" s="396">
        <v>38464</v>
      </c>
      <c r="B1202" s="401" t="s">
        <v>9944</v>
      </c>
      <c r="C1202" s="396" t="s">
        <v>2022</v>
      </c>
      <c r="D1202" s="405">
        <f t="shared" si="36"/>
        <v>829.74</v>
      </c>
      <c r="F1202" s="679">
        <v>829.74</v>
      </c>
      <c r="G1202" s="679">
        <v>829.74</v>
      </c>
      <c r="H1202" t="b">
        <f t="shared" si="37"/>
        <v>1</v>
      </c>
    </row>
    <row r="1203" spans="1:8" ht="30">
      <c r="A1203" s="395">
        <v>34493</v>
      </c>
      <c r="B1203" s="406" t="s">
        <v>9945</v>
      </c>
      <c r="C1203" s="395" t="s">
        <v>2022</v>
      </c>
      <c r="D1203" s="407">
        <f t="shared" si="36"/>
        <v>708.42</v>
      </c>
      <c r="F1203" s="680">
        <v>708.42</v>
      </c>
      <c r="G1203" s="680">
        <v>708.42</v>
      </c>
      <c r="H1203" t="b">
        <f t="shared" si="37"/>
        <v>1</v>
      </c>
    </row>
    <row r="1204" spans="1:8" ht="30">
      <c r="A1204" s="396">
        <v>1527</v>
      </c>
      <c r="B1204" s="401" t="s">
        <v>9946</v>
      </c>
      <c r="C1204" s="396" t="s">
        <v>2022</v>
      </c>
      <c r="D1204" s="405">
        <f t="shared" si="36"/>
        <v>767.46</v>
      </c>
      <c r="F1204" s="679">
        <v>767.46</v>
      </c>
      <c r="G1204" s="679">
        <v>767.46</v>
      </c>
      <c r="H1204" t="b">
        <f t="shared" si="37"/>
        <v>1</v>
      </c>
    </row>
    <row r="1205" spans="1:8" ht="30">
      <c r="A1205" s="395">
        <v>38405</v>
      </c>
      <c r="B1205" s="406" t="s">
        <v>9947</v>
      </c>
      <c r="C1205" s="395" t="s">
        <v>2022</v>
      </c>
      <c r="D1205" s="407">
        <f t="shared" si="36"/>
        <v>735.68</v>
      </c>
      <c r="F1205" s="680">
        <v>735.68</v>
      </c>
      <c r="G1205" s="680">
        <v>735.68</v>
      </c>
      <c r="H1205" t="b">
        <f t="shared" si="37"/>
        <v>1</v>
      </c>
    </row>
    <row r="1206" spans="1:8" ht="30">
      <c r="A1206" s="396">
        <v>38408</v>
      </c>
      <c r="B1206" s="401" t="s">
        <v>9948</v>
      </c>
      <c r="C1206" s="396" t="s">
        <v>2022</v>
      </c>
      <c r="D1206" s="405">
        <f t="shared" si="36"/>
        <v>814.33</v>
      </c>
      <c r="F1206" s="679">
        <v>814.33</v>
      </c>
      <c r="G1206" s="679">
        <v>814.33</v>
      </c>
      <c r="H1206" t="b">
        <f t="shared" si="37"/>
        <v>1</v>
      </c>
    </row>
    <row r="1207" spans="1:8" ht="30">
      <c r="A1207" s="395">
        <v>34494</v>
      </c>
      <c r="B1207" s="406" t="s">
        <v>9949</v>
      </c>
      <c r="C1207" s="395" t="s">
        <v>2022</v>
      </c>
      <c r="D1207" s="407">
        <f t="shared" si="36"/>
        <v>732.03</v>
      </c>
      <c r="F1207" s="680">
        <v>732.03</v>
      </c>
      <c r="G1207" s="680">
        <v>732.03</v>
      </c>
      <c r="H1207" t="b">
        <f t="shared" si="37"/>
        <v>1</v>
      </c>
    </row>
    <row r="1208" spans="1:8" ht="30">
      <c r="A1208" s="396">
        <v>1525</v>
      </c>
      <c r="B1208" s="401" t="s">
        <v>9950</v>
      </c>
      <c r="C1208" s="396" t="s">
        <v>2022</v>
      </c>
      <c r="D1208" s="405">
        <f t="shared" si="36"/>
        <v>791.07</v>
      </c>
      <c r="F1208" s="679">
        <v>791.07</v>
      </c>
      <c r="G1208" s="679">
        <v>791.07</v>
      </c>
      <c r="H1208" t="b">
        <f t="shared" si="37"/>
        <v>1</v>
      </c>
    </row>
    <row r="1209" spans="1:8" ht="30">
      <c r="A1209" s="395">
        <v>38406</v>
      </c>
      <c r="B1209" s="406" t="s">
        <v>9951</v>
      </c>
      <c r="C1209" s="395" t="s">
        <v>2022</v>
      </c>
      <c r="D1209" s="407">
        <f t="shared" si="36"/>
        <v>776.83</v>
      </c>
      <c r="F1209" s="680">
        <v>776.83</v>
      </c>
      <c r="G1209" s="680">
        <v>776.83</v>
      </c>
      <c r="H1209" t="b">
        <f t="shared" si="37"/>
        <v>1</v>
      </c>
    </row>
    <row r="1210" spans="1:8" ht="30">
      <c r="A1210" s="396">
        <v>38409</v>
      </c>
      <c r="B1210" s="401" t="s">
        <v>9952</v>
      </c>
      <c r="C1210" s="396" t="s">
        <v>2022</v>
      </c>
      <c r="D1210" s="405">
        <f t="shared" si="36"/>
        <v>819.87</v>
      </c>
      <c r="F1210" s="679">
        <v>819.87</v>
      </c>
      <c r="G1210" s="679">
        <v>819.87</v>
      </c>
      <c r="H1210" t="b">
        <f t="shared" si="37"/>
        <v>1</v>
      </c>
    </row>
    <row r="1211" spans="1:8" ht="30">
      <c r="A1211" s="395">
        <v>43360</v>
      </c>
      <c r="B1211" s="406" t="s">
        <v>9953</v>
      </c>
      <c r="C1211" s="395" t="s">
        <v>2022</v>
      </c>
      <c r="D1211" s="407">
        <f t="shared" si="36"/>
        <v>854.89</v>
      </c>
      <c r="F1211" s="680">
        <v>854.89</v>
      </c>
      <c r="G1211" s="680">
        <v>854.89</v>
      </c>
      <c r="H1211" t="b">
        <f t="shared" si="37"/>
        <v>1</v>
      </c>
    </row>
    <row r="1212" spans="1:8" ht="30">
      <c r="A1212" s="396">
        <v>34495</v>
      </c>
      <c r="B1212" s="401" t="s">
        <v>9954</v>
      </c>
      <c r="C1212" s="396" t="s">
        <v>2022</v>
      </c>
      <c r="D1212" s="405">
        <f t="shared" si="36"/>
        <v>755.64</v>
      </c>
      <c r="F1212" s="679">
        <v>755.64</v>
      </c>
      <c r="G1212" s="679">
        <v>755.64</v>
      </c>
      <c r="H1212" t="b">
        <f t="shared" si="37"/>
        <v>1</v>
      </c>
    </row>
    <row r="1213" spans="1:8" ht="30">
      <c r="A1213" s="395">
        <v>11145</v>
      </c>
      <c r="B1213" s="406" t="s">
        <v>9955</v>
      </c>
      <c r="C1213" s="395" t="s">
        <v>2022</v>
      </c>
      <c r="D1213" s="407">
        <f t="shared" si="36"/>
        <v>814.68</v>
      </c>
      <c r="F1213" s="680">
        <v>814.68</v>
      </c>
      <c r="G1213" s="680">
        <v>814.68</v>
      </c>
      <c r="H1213" t="b">
        <f t="shared" si="37"/>
        <v>1</v>
      </c>
    </row>
    <row r="1214" spans="1:8" ht="30">
      <c r="A1214" s="396">
        <v>34496</v>
      </c>
      <c r="B1214" s="401" t="s">
        <v>9956</v>
      </c>
      <c r="C1214" s="396" t="s">
        <v>2022</v>
      </c>
      <c r="D1214" s="405">
        <f t="shared" si="36"/>
        <v>788.27</v>
      </c>
      <c r="F1214" s="679">
        <v>788.27</v>
      </c>
      <c r="G1214" s="679">
        <v>788.27</v>
      </c>
      <c r="H1214" t="b">
        <f t="shared" si="37"/>
        <v>1</v>
      </c>
    </row>
    <row r="1215" spans="1:8" ht="30">
      <c r="A1215" s="395">
        <v>34479</v>
      </c>
      <c r="B1215" s="406" t="s">
        <v>9957</v>
      </c>
      <c r="C1215" s="395" t="s">
        <v>2022</v>
      </c>
      <c r="D1215" s="407">
        <f t="shared" si="36"/>
        <v>838.29</v>
      </c>
      <c r="F1215" s="680">
        <v>838.29</v>
      </c>
      <c r="G1215" s="680">
        <v>838.29</v>
      </c>
      <c r="H1215" t="b">
        <f t="shared" si="37"/>
        <v>1</v>
      </c>
    </row>
    <row r="1216" spans="1:8" ht="30">
      <c r="A1216" s="396">
        <v>34481</v>
      </c>
      <c r="B1216" s="401" t="s">
        <v>9958</v>
      </c>
      <c r="C1216" s="396" t="s">
        <v>2022</v>
      </c>
      <c r="D1216" s="405">
        <f t="shared" si="36"/>
        <v>875.92</v>
      </c>
      <c r="F1216" s="679">
        <v>875.92</v>
      </c>
      <c r="G1216" s="679">
        <v>875.92</v>
      </c>
      <c r="H1216" t="b">
        <f t="shared" si="37"/>
        <v>1</v>
      </c>
    </row>
    <row r="1217" spans="1:8" ht="30">
      <c r="A1217" s="395">
        <v>34483</v>
      </c>
      <c r="B1217" s="406" t="s">
        <v>9959</v>
      </c>
      <c r="C1217" s="395" t="s">
        <v>2022</v>
      </c>
      <c r="D1217" s="407">
        <f t="shared" si="36"/>
        <v>935.85</v>
      </c>
      <c r="F1217" s="680">
        <v>935.85</v>
      </c>
      <c r="G1217" s="680">
        <v>935.85</v>
      </c>
      <c r="H1217" t="b">
        <f t="shared" si="37"/>
        <v>1</v>
      </c>
    </row>
    <row r="1218" spans="1:8" ht="30">
      <c r="A1218" s="396">
        <v>34485</v>
      </c>
      <c r="B1218" s="401" t="s">
        <v>9960</v>
      </c>
      <c r="C1218" s="396" t="s">
        <v>2022</v>
      </c>
      <c r="D1218" s="405">
        <f t="shared" si="36"/>
        <v>1000.79</v>
      </c>
      <c r="F1218" s="679">
        <v>1000.79</v>
      </c>
      <c r="G1218" s="679">
        <v>1000.79</v>
      </c>
      <c r="H1218" t="b">
        <f t="shared" si="37"/>
        <v>1</v>
      </c>
    </row>
    <row r="1219" spans="1:8" ht="30">
      <c r="A1219" s="395">
        <v>14041</v>
      </c>
      <c r="B1219" s="406" t="s">
        <v>9961</v>
      </c>
      <c r="C1219" s="395" t="s">
        <v>2022</v>
      </c>
      <c r="D1219" s="407">
        <f t="shared" ref="D1219:D1282" si="38">IF($J$2=$F$1,F1219,G1219)</f>
        <v>650.55999999999995</v>
      </c>
      <c r="F1219" s="680">
        <v>650.55999999999995</v>
      </c>
      <c r="G1219" s="680">
        <v>650.55999999999995</v>
      </c>
      <c r="H1219" t="b">
        <f t="shared" ref="H1219:H1282" si="39">F1219=G1219</f>
        <v>1</v>
      </c>
    </row>
    <row r="1220" spans="1:8" ht="30">
      <c r="A1220" s="396">
        <v>1523</v>
      </c>
      <c r="B1220" s="401" t="s">
        <v>9962</v>
      </c>
      <c r="C1220" s="396" t="s">
        <v>2022</v>
      </c>
      <c r="D1220" s="405">
        <f t="shared" si="38"/>
        <v>661.19</v>
      </c>
      <c r="F1220" s="679">
        <v>661.19</v>
      </c>
      <c r="G1220" s="679">
        <v>661.19</v>
      </c>
      <c r="H1220" t="b">
        <f t="shared" si="39"/>
        <v>1</v>
      </c>
    </row>
    <row r="1221" spans="1:8">
      <c r="A1221" s="395">
        <v>14052</v>
      </c>
      <c r="B1221" s="406" t="s">
        <v>9963</v>
      </c>
      <c r="C1221" s="395" t="s">
        <v>2021</v>
      </c>
      <c r="D1221" s="407">
        <f t="shared" si="38"/>
        <v>12.4</v>
      </c>
      <c r="F1221" s="680">
        <v>12.4</v>
      </c>
      <c r="G1221" s="680">
        <v>12.4</v>
      </c>
      <c r="H1221" t="b">
        <f t="shared" si="39"/>
        <v>1</v>
      </c>
    </row>
    <row r="1222" spans="1:8">
      <c r="A1222" s="396">
        <v>14054</v>
      </c>
      <c r="B1222" s="401" t="s">
        <v>9964</v>
      </c>
      <c r="C1222" s="396" t="s">
        <v>2021</v>
      </c>
      <c r="D1222" s="405">
        <f t="shared" si="38"/>
        <v>16.12</v>
      </c>
      <c r="F1222" s="679">
        <v>16.12</v>
      </c>
      <c r="G1222" s="679">
        <v>16.12</v>
      </c>
      <c r="H1222" t="b">
        <f t="shared" si="39"/>
        <v>1</v>
      </c>
    </row>
    <row r="1223" spans="1:8">
      <c r="A1223" s="395">
        <v>14053</v>
      </c>
      <c r="B1223" s="406" t="s">
        <v>9965</v>
      </c>
      <c r="C1223" s="395" t="s">
        <v>2021</v>
      </c>
      <c r="D1223" s="407">
        <f t="shared" si="38"/>
        <v>12.59</v>
      </c>
      <c r="F1223" s="680">
        <v>12.59</v>
      </c>
      <c r="G1223" s="680">
        <v>12.59</v>
      </c>
      <c r="H1223" t="b">
        <f t="shared" si="39"/>
        <v>1</v>
      </c>
    </row>
    <row r="1224" spans="1:8">
      <c r="A1224" s="396">
        <v>2558</v>
      </c>
      <c r="B1224" s="401" t="s">
        <v>9966</v>
      </c>
      <c r="C1224" s="396" t="s">
        <v>2021</v>
      </c>
      <c r="D1224" s="405">
        <f t="shared" si="38"/>
        <v>9.48</v>
      </c>
      <c r="F1224" s="679">
        <v>9.48</v>
      </c>
      <c r="G1224" s="679">
        <v>9.48</v>
      </c>
      <c r="H1224" t="b">
        <f t="shared" si="39"/>
        <v>1</v>
      </c>
    </row>
    <row r="1225" spans="1:8">
      <c r="A1225" s="395">
        <v>2560</v>
      </c>
      <c r="B1225" s="406" t="s">
        <v>9967</v>
      </c>
      <c r="C1225" s="395" t="s">
        <v>2021</v>
      </c>
      <c r="D1225" s="407">
        <f t="shared" si="38"/>
        <v>16.68</v>
      </c>
      <c r="F1225" s="680">
        <v>16.68</v>
      </c>
      <c r="G1225" s="680">
        <v>16.68</v>
      </c>
      <c r="H1225" t="b">
        <f t="shared" si="39"/>
        <v>1</v>
      </c>
    </row>
    <row r="1226" spans="1:8">
      <c r="A1226" s="396">
        <v>2559</v>
      </c>
      <c r="B1226" s="401" t="s">
        <v>9968</v>
      </c>
      <c r="C1226" s="396" t="s">
        <v>2021</v>
      </c>
      <c r="D1226" s="405">
        <f t="shared" si="38"/>
        <v>13.34</v>
      </c>
      <c r="F1226" s="679">
        <v>13.34</v>
      </c>
      <c r="G1226" s="679">
        <v>13.34</v>
      </c>
      <c r="H1226" t="b">
        <f t="shared" si="39"/>
        <v>1</v>
      </c>
    </row>
    <row r="1227" spans="1:8">
      <c r="A1227" s="395">
        <v>2592</v>
      </c>
      <c r="B1227" s="406" t="s">
        <v>9969</v>
      </c>
      <c r="C1227" s="395" t="s">
        <v>2021</v>
      </c>
      <c r="D1227" s="407">
        <f t="shared" si="38"/>
        <v>221.14</v>
      </c>
      <c r="F1227" s="680">
        <v>221.14</v>
      </c>
      <c r="G1227" s="680">
        <v>221.14</v>
      </c>
      <c r="H1227" t="b">
        <f t="shared" si="39"/>
        <v>1</v>
      </c>
    </row>
    <row r="1228" spans="1:8">
      <c r="A1228" s="396">
        <v>2566</v>
      </c>
      <c r="B1228" s="401" t="s">
        <v>9970</v>
      </c>
      <c r="C1228" s="396" t="s">
        <v>2021</v>
      </c>
      <c r="D1228" s="405">
        <f t="shared" si="38"/>
        <v>22.25</v>
      </c>
      <c r="F1228" s="679">
        <v>22.25</v>
      </c>
      <c r="G1228" s="679">
        <v>22.25</v>
      </c>
      <c r="H1228" t="b">
        <f t="shared" si="39"/>
        <v>1</v>
      </c>
    </row>
    <row r="1229" spans="1:8">
      <c r="A1229" s="395">
        <v>2589</v>
      </c>
      <c r="B1229" s="406" t="s">
        <v>9971</v>
      </c>
      <c r="C1229" s="395" t="s">
        <v>2021</v>
      </c>
      <c r="D1229" s="407">
        <f t="shared" si="38"/>
        <v>29.58</v>
      </c>
      <c r="F1229" s="680">
        <v>29.58</v>
      </c>
      <c r="G1229" s="680">
        <v>29.58</v>
      </c>
      <c r="H1229" t="b">
        <f t="shared" si="39"/>
        <v>1</v>
      </c>
    </row>
    <row r="1230" spans="1:8">
      <c r="A1230" s="396">
        <v>2591</v>
      </c>
      <c r="B1230" s="401" t="s">
        <v>9972</v>
      </c>
      <c r="C1230" s="396" t="s">
        <v>2021</v>
      </c>
      <c r="D1230" s="405">
        <f t="shared" si="38"/>
        <v>10.79</v>
      </c>
      <c r="F1230" s="679">
        <v>10.79</v>
      </c>
      <c r="G1230" s="679">
        <v>10.79</v>
      </c>
      <c r="H1230" t="b">
        <f t="shared" si="39"/>
        <v>1</v>
      </c>
    </row>
    <row r="1231" spans="1:8">
      <c r="A1231" s="395">
        <v>2590</v>
      </c>
      <c r="B1231" s="406" t="s">
        <v>9973</v>
      </c>
      <c r="C1231" s="395" t="s">
        <v>2021</v>
      </c>
      <c r="D1231" s="407">
        <f t="shared" si="38"/>
        <v>18.149999999999999</v>
      </c>
      <c r="F1231" s="680">
        <v>18.149999999999999</v>
      </c>
      <c r="G1231" s="680">
        <v>18.149999999999999</v>
      </c>
      <c r="H1231" t="b">
        <f t="shared" si="39"/>
        <v>1</v>
      </c>
    </row>
    <row r="1232" spans="1:8">
      <c r="A1232" s="396">
        <v>2567</v>
      </c>
      <c r="B1232" s="401" t="s">
        <v>9974</v>
      </c>
      <c r="C1232" s="396" t="s">
        <v>2021</v>
      </c>
      <c r="D1232" s="405">
        <f t="shared" si="38"/>
        <v>43.39</v>
      </c>
      <c r="F1232" s="679">
        <v>43.39</v>
      </c>
      <c r="G1232" s="679">
        <v>43.39</v>
      </c>
      <c r="H1232" t="b">
        <f t="shared" si="39"/>
        <v>1</v>
      </c>
    </row>
    <row r="1233" spans="1:8">
      <c r="A1233" s="395">
        <v>2565</v>
      </c>
      <c r="B1233" s="406" t="s">
        <v>9975</v>
      </c>
      <c r="C1233" s="395" t="s">
        <v>2021</v>
      </c>
      <c r="D1233" s="407">
        <f t="shared" si="38"/>
        <v>10.81</v>
      </c>
      <c r="F1233" s="680">
        <v>10.81</v>
      </c>
      <c r="G1233" s="680">
        <v>10.81</v>
      </c>
      <c r="H1233" t="b">
        <f t="shared" si="39"/>
        <v>1</v>
      </c>
    </row>
    <row r="1234" spans="1:8">
      <c r="A1234" s="396">
        <v>2568</v>
      </c>
      <c r="B1234" s="401" t="s">
        <v>9976</v>
      </c>
      <c r="C1234" s="396" t="s">
        <v>2021</v>
      </c>
      <c r="D1234" s="405">
        <f t="shared" si="38"/>
        <v>120.49</v>
      </c>
      <c r="F1234" s="679">
        <v>120.49</v>
      </c>
      <c r="G1234" s="679">
        <v>120.49</v>
      </c>
      <c r="H1234" t="b">
        <f t="shared" si="39"/>
        <v>1</v>
      </c>
    </row>
    <row r="1235" spans="1:8">
      <c r="A1235" s="395">
        <v>2594</v>
      </c>
      <c r="B1235" s="406" t="s">
        <v>9977</v>
      </c>
      <c r="C1235" s="395" t="s">
        <v>2021</v>
      </c>
      <c r="D1235" s="407">
        <f t="shared" si="38"/>
        <v>200.72</v>
      </c>
      <c r="F1235" s="680">
        <v>200.72</v>
      </c>
      <c r="G1235" s="680">
        <v>200.72</v>
      </c>
      <c r="H1235" t="b">
        <f t="shared" si="39"/>
        <v>1</v>
      </c>
    </row>
    <row r="1236" spans="1:8">
      <c r="A1236" s="396">
        <v>2587</v>
      </c>
      <c r="B1236" s="401" t="s">
        <v>9978</v>
      </c>
      <c r="C1236" s="396" t="s">
        <v>2021</v>
      </c>
      <c r="D1236" s="405">
        <f t="shared" si="38"/>
        <v>34.21</v>
      </c>
      <c r="F1236" s="679">
        <v>34.21</v>
      </c>
      <c r="G1236" s="679">
        <v>34.21</v>
      </c>
      <c r="H1236" t="b">
        <f t="shared" si="39"/>
        <v>1</v>
      </c>
    </row>
    <row r="1237" spans="1:8">
      <c r="A1237" s="395">
        <v>2588</v>
      </c>
      <c r="B1237" s="406" t="s">
        <v>9979</v>
      </c>
      <c r="C1237" s="395" t="s">
        <v>2021</v>
      </c>
      <c r="D1237" s="407">
        <f t="shared" si="38"/>
        <v>27.17</v>
      </c>
      <c r="F1237" s="680">
        <v>27.17</v>
      </c>
      <c r="G1237" s="680">
        <v>27.17</v>
      </c>
      <c r="H1237" t="b">
        <f t="shared" si="39"/>
        <v>1</v>
      </c>
    </row>
    <row r="1238" spans="1:8">
      <c r="A1238" s="396">
        <v>2569</v>
      </c>
      <c r="B1238" s="401" t="s">
        <v>9980</v>
      </c>
      <c r="C1238" s="396" t="s">
        <v>2021</v>
      </c>
      <c r="D1238" s="405">
        <f t="shared" si="38"/>
        <v>10.47</v>
      </c>
      <c r="F1238" s="679">
        <v>10.47</v>
      </c>
      <c r="G1238" s="679">
        <v>10.47</v>
      </c>
      <c r="H1238" t="b">
        <f t="shared" si="39"/>
        <v>1</v>
      </c>
    </row>
    <row r="1239" spans="1:8">
      <c r="A1239" s="395">
        <v>2570</v>
      </c>
      <c r="B1239" s="406" t="s">
        <v>9981</v>
      </c>
      <c r="C1239" s="395" t="s">
        <v>2021</v>
      </c>
      <c r="D1239" s="407">
        <f t="shared" si="38"/>
        <v>17.55</v>
      </c>
      <c r="F1239" s="680">
        <v>17.55</v>
      </c>
      <c r="G1239" s="680">
        <v>17.55</v>
      </c>
      <c r="H1239" t="b">
        <f t="shared" si="39"/>
        <v>1</v>
      </c>
    </row>
    <row r="1240" spans="1:8">
      <c r="A1240" s="396">
        <v>2571</v>
      </c>
      <c r="B1240" s="401" t="s">
        <v>9982</v>
      </c>
      <c r="C1240" s="396" t="s">
        <v>2021</v>
      </c>
      <c r="D1240" s="405">
        <f t="shared" si="38"/>
        <v>52.1</v>
      </c>
      <c r="F1240" s="679">
        <v>52.1</v>
      </c>
      <c r="G1240" s="679">
        <v>52.1</v>
      </c>
      <c r="H1240" t="b">
        <f t="shared" si="39"/>
        <v>1</v>
      </c>
    </row>
    <row r="1241" spans="1:8">
      <c r="A1241" s="395">
        <v>2593</v>
      </c>
      <c r="B1241" s="406" t="s">
        <v>9983</v>
      </c>
      <c r="C1241" s="395" t="s">
        <v>2021</v>
      </c>
      <c r="D1241" s="407">
        <f t="shared" si="38"/>
        <v>11.16</v>
      </c>
      <c r="F1241" s="680">
        <v>11.16</v>
      </c>
      <c r="G1241" s="680">
        <v>11.16</v>
      </c>
      <c r="H1241" t="b">
        <f t="shared" si="39"/>
        <v>1</v>
      </c>
    </row>
    <row r="1242" spans="1:8">
      <c r="A1242" s="396">
        <v>2572</v>
      </c>
      <c r="B1242" s="401" t="s">
        <v>9984</v>
      </c>
      <c r="C1242" s="396" t="s">
        <v>2021</v>
      </c>
      <c r="D1242" s="405">
        <f t="shared" si="38"/>
        <v>154.08000000000001</v>
      </c>
      <c r="F1242" s="679">
        <v>154.08000000000001</v>
      </c>
      <c r="G1242" s="679">
        <v>154.08000000000001</v>
      </c>
      <c r="H1242" t="b">
        <f t="shared" si="39"/>
        <v>1</v>
      </c>
    </row>
    <row r="1243" spans="1:8">
      <c r="A1243" s="395">
        <v>2595</v>
      </c>
      <c r="B1243" s="406" t="s">
        <v>9985</v>
      </c>
      <c r="C1243" s="395" t="s">
        <v>2021</v>
      </c>
      <c r="D1243" s="407">
        <f t="shared" si="38"/>
        <v>240.4</v>
      </c>
      <c r="F1243" s="680">
        <v>240.4</v>
      </c>
      <c r="G1243" s="680">
        <v>240.4</v>
      </c>
      <c r="H1243" t="b">
        <f t="shared" si="39"/>
        <v>1</v>
      </c>
    </row>
    <row r="1244" spans="1:8">
      <c r="A1244" s="396">
        <v>2576</v>
      </c>
      <c r="B1244" s="401" t="s">
        <v>9986</v>
      </c>
      <c r="C1244" s="396" t="s">
        <v>2021</v>
      </c>
      <c r="D1244" s="405">
        <f t="shared" si="38"/>
        <v>40.98</v>
      </c>
      <c r="F1244" s="679">
        <v>40.98</v>
      </c>
      <c r="G1244" s="679">
        <v>40.98</v>
      </c>
      <c r="H1244" t="b">
        <f t="shared" si="39"/>
        <v>1</v>
      </c>
    </row>
    <row r="1245" spans="1:8">
      <c r="A1245" s="395">
        <v>2575</v>
      </c>
      <c r="B1245" s="406" t="s">
        <v>9987</v>
      </c>
      <c r="C1245" s="395" t="s">
        <v>2021</v>
      </c>
      <c r="D1245" s="407">
        <f t="shared" si="38"/>
        <v>30.81</v>
      </c>
      <c r="F1245" s="680">
        <v>30.81</v>
      </c>
      <c r="G1245" s="680">
        <v>30.81</v>
      </c>
      <c r="H1245" t="b">
        <f t="shared" si="39"/>
        <v>1</v>
      </c>
    </row>
    <row r="1246" spans="1:8">
      <c r="A1246" s="396">
        <v>2573</v>
      </c>
      <c r="B1246" s="401" t="s">
        <v>9988</v>
      </c>
      <c r="C1246" s="396" t="s">
        <v>2021</v>
      </c>
      <c r="D1246" s="405">
        <f t="shared" si="38"/>
        <v>12.79</v>
      </c>
      <c r="F1246" s="679">
        <v>12.79</v>
      </c>
      <c r="G1246" s="679">
        <v>12.79</v>
      </c>
      <c r="H1246" t="b">
        <f t="shared" si="39"/>
        <v>1</v>
      </c>
    </row>
    <row r="1247" spans="1:8">
      <c r="A1247" s="395">
        <v>2586</v>
      </c>
      <c r="B1247" s="406" t="s">
        <v>9989</v>
      </c>
      <c r="C1247" s="395" t="s">
        <v>2021</v>
      </c>
      <c r="D1247" s="407">
        <f t="shared" si="38"/>
        <v>20.74</v>
      </c>
      <c r="F1247" s="680">
        <v>20.74</v>
      </c>
      <c r="G1247" s="680">
        <v>20.74</v>
      </c>
      <c r="H1247" t="b">
        <f t="shared" si="39"/>
        <v>1</v>
      </c>
    </row>
    <row r="1248" spans="1:8">
      <c r="A1248" s="396">
        <v>2577</v>
      </c>
      <c r="B1248" s="401" t="s">
        <v>9990</v>
      </c>
      <c r="C1248" s="396" t="s">
        <v>2021</v>
      </c>
      <c r="D1248" s="405">
        <f t="shared" si="38"/>
        <v>55.53</v>
      </c>
      <c r="F1248" s="679">
        <v>55.53</v>
      </c>
      <c r="G1248" s="679">
        <v>55.53</v>
      </c>
      <c r="H1248" t="b">
        <f t="shared" si="39"/>
        <v>1</v>
      </c>
    </row>
    <row r="1249" spans="1:8">
      <c r="A1249" s="395">
        <v>2574</v>
      </c>
      <c r="B1249" s="406" t="s">
        <v>9991</v>
      </c>
      <c r="C1249" s="395" t="s">
        <v>2021</v>
      </c>
      <c r="D1249" s="407">
        <f t="shared" si="38"/>
        <v>12.88</v>
      </c>
      <c r="F1249" s="680">
        <v>12.88</v>
      </c>
      <c r="G1249" s="680">
        <v>12.88</v>
      </c>
      <c r="H1249" t="b">
        <f t="shared" si="39"/>
        <v>1</v>
      </c>
    </row>
    <row r="1250" spans="1:8">
      <c r="A1250" s="396">
        <v>2578</v>
      </c>
      <c r="B1250" s="401" t="s">
        <v>9992</v>
      </c>
      <c r="C1250" s="396" t="s">
        <v>2021</v>
      </c>
      <c r="D1250" s="405">
        <f t="shared" si="38"/>
        <v>173.37</v>
      </c>
      <c r="F1250" s="679">
        <v>173.37</v>
      </c>
      <c r="G1250" s="679">
        <v>173.37</v>
      </c>
      <c r="H1250" t="b">
        <f t="shared" si="39"/>
        <v>1</v>
      </c>
    </row>
    <row r="1251" spans="1:8">
      <c r="A1251" s="395">
        <v>2585</v>
      </c>
      <c r="B1251" s="406" t="s">
        <v>9993</v>
      </c>
      <c r="C1251" s="395" t="s">
        <v>2021</v>
      </c>
      <c r="D1251" s="407">
        <f t="shared" si="38"/>
        <v>237.9</v>
      </c>
      <c r="F1251" s="680">
        <v>237.9</v>
      </c>
      <c r="G1251" s="680">
        <v>237.9</v>
      </c>
      <c r="H1251" t="b">
        <f t="shared" si="39"/>
        <v>1</v>
      </c>
    </row>
    <row r="1252" spans="1:8">
      <c r="A1252" s="396">
        <v>12008</v>
      </c>
      <c r="B1252" s="401" t="s">
        <v>9994</v>
      </c>
      <c r="C1252" s="396" t="s">
        <v>2021</v>
      </c>
      <c r="D1252" s="405">
        <f t="shared" si="38"/>
        <v>127.64</v>
      </c>
      <c r="F1252" s="679">
        <v>127.64</v>
      </c>
      <c r="G1252" s="679">
        <v>127.64</v>
      </c>
      <c r="H1252" t="b">
        <f t="shared" si="39"/>
        <v>1</v>
      </c>
    </row>
    <row r="1253" spans="1:8">
      <c r="A1253" s="395">
        <v>2582</v>
      </c>
      <c r="B1253" s="406" t="s">
        <v>9995</v>
      </c>
      <c r="C1253" s="395" t="s">
        <v>2021</v>
      </c>
      <c r="D1253" s="407">
        <f t="shared" si="38"/>
        <v>38.01</v>
      </c>
      <c r="F1253" s="680">
        <v>38.01</v>
      </c>
      <c r="G1253" s="680">
        <v>38.01</v>
      </c>
      <c r="H1253" t="b">
        <f t="shared" si="39"/>
        <v>1</v>
      </c>
    </row>
    <row r="1254" spans="1:8">
      <c r="A1254" s="396">
        <v>2597</v>
      </c>
      <c r="B1254" s="401" t="s">
        <v>9996</v>
      </c>
      <c r="C1254" s="396" t="s">
        <v>2021</v>
      </c>
      <c r="D1254" s="405">
        <f t="shared" si="38"/>
        <v>32.58</v>
      </c>
      <c r="F1254" s="679">
        <v>32.58</v>
      </c>
      <c r="G1254" s="679">
        <v>32.58</v>
      </c>
      <c r="H1254" t="b">
        <f t="shared" si="39"/>
        <v>1</v>
      </c>
    </row>
    <row r="1255" spans="1:8">
      <c r="A1255" s="395">
        <v>2579</v>
      </c>
      <c r="B1255" s="406" t="s">
        <v>9997</v>
      </c>
      <c r="C1255" s="395" t="s">
        <v>2021</v>
      </c>
      <c r="D1255" s="407">
        <f t="shared" si="38"/>
        <v>15.51</v>
      </c>
      <c r="F1255" s="680">
        <v>15.51</v>
      </c>
      <c r="G1255" s="680">
        <v>15.51</v>
      </c>
      <c r="H1255" t="b">
        <f t="shared" si="39"/>
        <v>1</v>
      </c>
    </row>
    <row r="1256" spans="1:8">
      <c r="A1256" s="396">
        <v>2581</v>
      </c>
      <c r="B1256" s="401" t="s">
        <v>9998</v>
      </c>
      <c r="C1256" s="396" t="s">
        <v>2021</v>
      </c>
      <c r="D1256" s="405">
        <f t="shared" si="38"/>
        <v>19.850000000000001</v>
      </c>
      <c r="F1256" s="679">
        <v>19.850000000000001</v>
      </c>
      <c r="G1256" s="679">
        <v>19.850000000000001</v>
      </c>
      <c r="H1256" t="b">
        <f t="shared" si="39"/>
        <v>1</v>
      </c>
    </row>
    <row r="1257" spans="1:8">
      <c r="A1257" s="395">
        <v>2596</v>
      </c>
      <c r="B1257" s="406" t="s">
        <v>9999</v>
      </c>
      <c r="C1257" s="395" t="s">
        <v>2021</v>
      </c>
      <c r="D1257" s="407">
        <f t="shared" si="38"/>
        <v>58.69</v>
      </c>
      <c r="F1257" s="680">
        <v>58.69</v>
      </c>
      <c r="G1257" s="680">
        <v>58.69</v>
      </c>
      <c r="H1257" t="b">
        <f t="shared" si="39"/>
        <v>1</v>
      </c>
    </row>
    <row r="1258" spans="1:8">
      <c r="A1258" s="396">
        <v>2580</v>
      </c>
      <c r="B1258" s="401" t="s">
        <v>10000</v>
      </c>
      <c r="C1258" s="396" t="s">
        <v>2021</v>
      </c>
      <c r="D1258" s="405">
        <f t="shared" si="38"/>
        <v>17</v>
      </c>
      <c r="F1258" s="679">
        <v>17</v>
      </c>
      <c r="G1258" s="679">
        <v>17</v>
      </c>
      <c r="H1258" t="b">
        <f t="shared" si="39"/>
        <v>1</v>
      </c>
    </row>
    <row r="1259" spans="1:8">
      <c r="A1259" s="395">
        <v>2583</v>
      </c>
      <c r="B1259" s="406" t="s">
        <v>10001</v>
      </c>
      <c r="C1259" s="395" t="s">
        <v>2021</v>
      </c>
      <c r="D1259" s="407">
        <f t="shared" si="38"/>
        <v>142.76</v>
      </c>
      <c r="F1259" s="680">
        <v>142.76</v>
      </c>
      <c r="G1259" s="680">
        <v>142.76</v>
      </c>
      <c r="H1259" t="b">
        <f t="shared" si="39"/>
        <v>1</v>
      </c>
    </row>
    <row r="1260" spans="1:8">
      <c r="A1260" s="396">
        <v>2584</v>
      </c>
      <c r="B1260" s="401" t="s">
        <v>10002</v>
      </c>
      <c r="C1260" s="396" t="s">
        <v>2021</v>
      </c>
      <c r="D1260" s="405">
        <f t="shared" si="38"/>
        <v>237.66</v>
      </c>
      <c r="F1260" s="679">
        <v>237.66</v>
      </c>
      <c r="G1260" s="679">
        <v>237.66</v>
      </c>
      <c r="H1260" t="b">
        <f t="shared" si="39"/>
        <v>1</v>
      </c>
    </row>
    <row r="1261" spans="1:8">
      <c r="A1261" s="395">
        <v>12010</v>
      </c>
      <c r="B1261" s="406" t="s">
        <v>10003</v>
      </c>
      <c r="C1261" s="395" t="s">
        <v>2021</v>
      </c>
      <c r="D1261" s="407">
        <f t="shared" si="38"/>
        <v>10.4</v>
      </c>
      <c r="F1261" s="680">
        <v>10.4</v>
      </c>
      <c r="G1261" s="680">
        <v>10.4</v>
      </c>
      <c r="H1261" t="b">
        <f t="shared" si="39"/>
        <v>1</v>
      </c>
    </row>
    <row r="1262" spans="1:8">
      <c r="A1262" s="396">
        <v>39329</v>
      </c>
      <c r="B1262" s="401" t="s">
        <v>10004</v>
      </c>
      <c r="C1262" s="396" t="s">
        <v>2021</v>
      </c>
      <c r="D1262" s="405">
        <f t="shared" si="38"/>
        <v>10.87</v>
      </c>
      <c r="F1262" s="679">
        <v>10.87</v>
      </c>
      <c r="G1262" s="679">
        <v>10.87</v>
      </c>
      <c r="H1262" t="b">
        <f t="shared" si="39"/>
        <v>1</v>
      </c>
    </row>
    <row r="1263" spans="1:8">
      <c r="A1263" s="395">
        <v>39330</v>
      </c>
      <c r="B1263" s="406" t="s">
        <v>10005</v>
      </c>
      <c r="C1263" s="395" t="s">
        <v>2021</v>
      </c>
      <c r="D1263" s="407">
        <f t="shared" si="38"/>
        <v>11.44</v>
      </c>
      <c r="F1263" s="680">
        <v>11.44</v>
      </c>
      <c r="G1263" s="680">
        <v>11.44</v>
      </c>
      <c r="H1263" t="b">
        <f t="shared" si="39"/>
        <v>1</v>
      </c>
    </row>
    <row r="1264" spans="1:8">
      <c r="A1264" s="396">
        <v>39332</v>
      </c>
      <c r="B1264" s="401" t="s">
        <v>10006</v>
      </c>
      <c r="C1264" s="396" t="s">
        <v>2021</v>
      </c>
      <c r="D1264" s="405">
        <f t="shared" si="38"/>
        <v>12.78</v>
      </c>
      <c r="F1264" s="679">
        <v>12.78</v>
      </c>
      <c r="G1264" s="679">
        <v>12.78</v>
      </c>
      <c r="H1264" t="b">
        <f t="shared" si="39"/>
        <v>1</v>
      </c>
    </row>
    <row r="1265" spans="1:8">
      <c r="A1265" s="395">
        <v>39331</v>
      </c>
      <c r="B1265" s="406" t="s">
        <v>10007</v>
      </c>
      <c r="C1265" s="395" t="s">
        <v>2021</v>
      </c>
      <c r="D1265" s="407">
        <f t="shared" si="38"/>
        <v>10.17</v>
      </c>
      <c r="F1265" s="680">
        <v>10.17</v>
      </c>
      <c r="G1265" s="680">
        <v>10.17</v>
      </c>
      <c r="H1265" t="b">
        <f t="shared" si="39"/>
        <v>1</v>
      </c>
    </row>
    <row r="1266" spans="1:8">
      <c r="A1266" s="396">
        <v>39333</v>
      </c>
      <c r="B1266" s="401" t="s">
        <v>10008</v>
      </c>
      <c r="C1266" s="396" t="s">
        <v>2021</v>
      </c>
      <c r="D1266" s="405">
        <f t="shared" si="38"/>
        <v>9.92</v>
      </c>
      <c r="F1266" s="679">
        <v>9.92</v>
      </c>
      <c r="G1266" s="679">
        <v>9.92</v>
      </c>
      <c r="H1266" t="b">
        <f t="shared" si="39"/>
        <v>1</v>
      </c>
    </row>
    <row r="1267" spans="1:8">
      <c r="A1267" s="395">
        <v>39335</v>
      </c>
      <c r="B1267" s="406" t="s">
        <v>10009</v>
      </c>
      <c r="C1267" s="395" t="s">
        <v>2021</v>
      </c>
      <c r="D1267" s="407">
        <f t="shared" si="38"/>
        <v>11.48</v>
      </c>
      <c r="F1267" s="680">
        <v>11.48</v>
      </c>
      <c r="G1267" s="680">
        <v>11.48</v>
      </c>
      <c r="H1267" t="b">
        <f t="shared" si="39"/>
        <v>1</v>
      </c>
    </row>
    <row r="1268" spans="1:8">
      <c r="A1268" s="396">
        <v>39334</v>
      </c>
      <c r="B1268" s="401" t="s">
        <v>10010</v>
      </c>
      <c r="C1268" s="396" t="s">
        <v>2021</v>
      </c>
      <c r="D1268" s="405">
        <f t="shared" si="38"/>
        <v>9.1199999999999992</v>
      </c>
      <c r="F1268" s="679">
        <v>9.1199999999999992</v>
      </c>
      <c r="G1268" s="679">
        <v>9.1199999999999992</v>
      </c>
      <c r="H1268" t="b">
        <f t="shared" si="39"/>
        <v>1</v>
      </c>
    </row>
    <row r="1269" spans="1:8">
      <c r="A1269" s="395">
        <v>12016</v>
      </c>
      <c r="B1269" s="406" t="s">
        <v>10011</v>
      </c>
      <c r="C1269" s="395" t="s">
        <v>2021</v>
      </c>
      <c r="D1269" s="407">
        <f t="shared" si="38"/>
        <v>11.45</v>
      </c>
      <c r="F1269" s="680">
        <v>11.45</v>
      </c>
      <c r="G1269" s="680">
        <v>11.45</v>
      </c>
      <c r="H1269" t="b">
        <f t="shared" si="39"/>
        <v>1</v>
      </c>
    </row>
    <row r="1270" spans="1:8">
      <c r="A1270" s="396">
        <v>12015</v>
      </c>
      <c r="B1270" s="401" t="s">
        <v>10012</v>
      </c>
      <c r="C1270" s="396" t="s">
        <v>2021</v>
      </c>
      <c r="D1270" s="405">
        <f t="shared" si="38"/>
        <v>13.33</v>
      </c>
      <c r="F1270" s="679">
        <v>13.33</v>
      </c>
      <c r="G1270" s="679">
        <v>13.33</v>
      </c>
      <c r="H1270" t="b">
        <f t="shared" si="39"/>
        <v>1</v>
      </c>
    </row>
    <row r="1271" spans="1:8">
      <c r="A1271" s="395">
        <v>12020</v>
      </c>
      <c r="B1271" s="406" t="s">
        <v>10013</v>
      </c>
      <c r="C1271" s="395" t="s">
        <v>2021</v>
      </c>
      <c r="D1271" s="407">
        <f t="shared" si="38"/>
        <v>11.45</v>
      </c>
      <c r="F1271" s="680">
        <v>11.45</v>
      </c>
      <c r="G1271" s="680">
        <v>11.45</v>
      </c>
      <c r="H1271" t="b">
        <f t="shared" si="39"/>
        <v>1</v>
      </c>
    </row>
    <row r="1272" spans="1:8">
      <c r="A1272" s="396">
        <v>12019</v>
      </c>
      <c r="B1272" s="401" t="s">
        <v>10014</v>
      </c>
      <c r="C1272" s="396" t="s">
        <v>2021</v>
      </c>
      <c r="D1272" s="405">
        <f t="shared" si="38"/>
        <v>13.33</v>
      </c>
      <c r="F1272" s="679">
        <v>13.33</v>
      </c>
      <c r="G1272" s="679">
        <v>13.33</v>
      </c>
      <c r="H1272" t="b">
        <f t="shared" si="39"/>
        <v>1</v>
      </c>
    </row>
    <row r="1273" spans="1:8">
      <c r="A1273" s="395">
        <v>39336</v>
      </c>
      <c r="B1273" s="406" t="s">
        <v>10015</v>
      </c>
      <c r="C1273" s="395" t="s">
        <v>2021</v>
      </c>
      <c r="D1273" s="407">
        <f t="shared" si="38"/>
        <v>11.44</v>
      </c>
      <c r="F1273" s="680">
        <v>11.44</v>
      </c>
      <c r="G1273" s="680">
        <v>11.44</v>
      </c>
      <c r="H1273" t="b">
        <f t="shared" si="39"/>
        <v>1</v>
      </c>
    </row>
    <row r="1274" spans="1:8">
      <c r="A1274" s="396">
        <v>39338</v>
      </c>
      <c r="B1274" s="401" t="s">
        <v>10016</v>
      </c>
      <c r="C1274" s="396" t="s">
        <v>2021</v>
      </c>
      <c r="D1274" s="405">
        <f t="shared" si="38"/>
        <v>12.78</v>
      </c>
      <c r="F1274" s="679">
        <v>12.78</v>
      </c>
      <c r="G1274" s="679">
        <v>12.78</v>
      </c>
      <c r="H1274" t="b">
        <f t="shared" si="39"/>
        <v>1</v>
      </c>
    </row>
    <row r="1275" spans="1:8">
      <c r="A1275" s="395">
        <v>39337</v>
      </c>
      <c r="B1275" s="406" t="s">
        <v>10017</v>
      </c>
      <c r="C1275" s="395" t="s">
        <v>2021</v>
      </c>
      <c r="D1275" s="407">
        <f t="shared" si="38"/>
        <v>10.17</v>
      </c>
      <c r="F1275" s="680">
        <v>10.17</v>
      </c>
      <c r="G1275" s="680">
        <v>10.17</v>
      </c>
      <c r="H1275" t="b">
        <f t="shared" si="39"/>
        <v>1</v>
      </c>
    </row>
    <row r="1276" spans="1:8">
      <c r="A1276" s="396">
        <v>39341</v>
      </c>
      <c r="B1276" s="401" t="s">
        <v>10018</v>
      </c>
      <c r="C1276" s="396" t="s">
        <v>2021</v>
      </c>
      <c r="D1276" s="405">
        <f t="shared" si="38"/>
        <v>16.66</v>
      </c>
      <c r="F1276" s="679">
        <v>16.66</v>
      </c>
      <c r="G1276" s="679">
        <v>16.66</v>
      </c>
      <c r="H1276" t="b">
        <f t="shared" si="39"/>
        <v>1</v>
      </c>
    </row>
    <row r="1277" spans="1:8">
      <c r="A1277" s="395">
        <v>39340</v>
      </c>
      <c r="B1277" s="406" t="s">
        <v>10019</v>
      </c>
      <c r="C1277" s="395" t="s">
        <v>2021</v>
      </c>
      <c r="D1277" s="407">
        <f t="shared" si="38"/>
        <v>12.23</v>
      </c>
      <c r="F1277" s="680">
        <v>12.23</v>
      </c>
      <c r="G1277" s="680">
        <v>12.23</v>
      </c>
      <c r="H1277" t="b">
        <f t="shared" si="39"/>
        <v>1</v>
      </c>
    </row>
    <row r="1278" spans="1:8">
      <c r="A1278" s="396">
        <v>12025</v>
      </c>
      <c r="B1278" s="401" t="s">
        <v>10020</v>
      </c>
      <c r="C1278" s="396" t="s">
        <v>2021</v>
      </c>
      <c r="D1278" s="405">
        <f t="shared" si="38"/>
        <v>12.64</v>
      </c>
      <c r="F1278" s="679">
        <v>12.64</v>
      </c>
      <c r="G1278" s="679">
        <v>12.64</v>
      </c>
      <c r="H1278" t="b">
        <f t="shared" si="39"/>
        <v>1</v>
      </c>
    </row>
    <row r="1279" spans="1:8">
      <c r="A1279" s="395">
        <v>39342</v>
      </c>
      <c r="B1279" s="406" t="s">
        <v>10021</v>
      </c>
      <c r="C1279" s="395" t="s">
        <v>2021</v>
      </c>
      <c r="D1279" s="407">
        <f t="shared" si="38"/>
        <v>16.66</v>
      </c>
      <c r="F1279" s="680">
        <v>16.66</v>
      </c>
      <c r="G1279" s="680">
        <v>16.66</v>
      </c>
      <c r="H1279" t="b">
        <f t="shared" si="39"/>
        <v>1</v>
      </c>
    </row>
    <row r="1280" spans="1:8">
      <c r="A1280" s="396">
        <v>39343</v>
      </c>
      <c r="B1280" s="401" t="s">
        <v>10022</v>
      </c>
      <c r="C1280" s="396" t="s">
        <v>2021</v>
      </c>
      <c r="D1280" s="405">
        <f t="shared" si="38"/>
        <v>14.07</v>
      </c>
      <c r="F1280" s="679">
        <v>14.07</v>
      </c>
      <c r="G1280" s="679">
        <v>14.07</v>
      </c>
      <c r="H1280" t="b">
        <f t="shared" si="39"/>
        <v>1</v>
      </c>
    </row>
    <row r="1281" spans="1:8">
      <c r="A1281" s="395">
        <v>39345</v>
      </c>
      <c r="B1281" s="406" t="s">
        <v>10023</v>
      </c>
      <c r="C1281" s="395" t="s">
        <v>2021</v>
      </c>
      <c r="D1281" s="407">
        <f t="shared" si="38"/>
        <v>19.04</v>
      </c>
      <c r="F1281" s="680">
        <v>19.04</v>
      </c>
      <c r="G1281" s="680">
        <v>19.04</v>
      </c>
      <c r="H1281" t="b">
        <f t="shared" si="39"/>
        <v>1</v>
      </c>
    </row>
    <row r="1282" spans="1:8">
      <c r="A1282" s="396">
        <v>39344</v>
      </c>
      <c r="B1282" s="401" t="s">
        <v>10024</v>
      </c>
      <c r="C1282" s="396" t="s">
        <v>2021</v>
      </c>
      <c r="D1282" s="405">
        <f t="shared" si="38"/>
        <v>13.6</v>
      </c>
      <c r="F1282" s="679">
        <v>13.6</v>
      </c>
      <c r="G1282" s="679">
        <v>13.6</v>
      </c>
      <c r="H1282" t="b">
        <f t="shared" si="39"/>
        <v>1</v>
      </c>
    </row>
    <row r="1283" spans="1:8">
      <c r="A1283" s="395">
        <v>12623</v>
      </c>
      <c r="B1283" s="406" t="s">
        <v>10025</v>
      </c>
      <c r="C1283" s="395" t="s">
        <v>2024</v>
      </c>
      <c r="D1283" s="407">
        <f t="shared" ref="D1283:D1346" si="40">IF($J$2=$F$1,F1283,G1283)</f>
        <v>54.11</v>
      </c>
      <c r="F1283" s="680">
        <v>54.11</v>
      </c>
      <c r="G1283" s="680">
        <v>54.11</v>
      </c>
      <c r="H1283" t="b">
        <f t="shared" ref="H1283:H1346" si="41">F1283=G1283</f>
        <v>1</v>
      </c>
    </row>
    <row r="1284" spans="1:8">
      <c r="A1284" s="396">
        <v>34498</v>
      </c>
      <c r="B1284" s="401" t="s">
        <v>10026</v>
      </c>
      <c r="C1284" s="396" t="s">
        <v>2021</v>
      </c>
      <c r="D1284" s="405">
        <f t="shared" si="40"/>
        <v>117.24</v>
      </c>
      <c r="F1284" s="679">
        <v>117.24</v>
      </c>
      <c r="G1284" s="679">
        <v>117.24</v>
      </c>
      <c r="H1284" t="b">
        <f t="shared" si="41"/>
        <v>1</v>
      </c>
    </row>
    <row r="1285" spans="1:8">
      <c r="A1285" s="395">
        <v>13244</v>
      </c>
      <c r="B1285" s="406" t="s">
        <v>10027</v>
      </c>
      <c r="C1285" s="395" t="s">
        <v>2021</v>
      </c>
      <c r="D1285" s="407">
        <f t="shared" si="40"/>
        <v>49.35</v>
      </c>
      <c r="F1285" s="680">
        <v>49.35</v>
      </c>
      <c r="G1285" s="680">
        <v>49.35</v>
      </c>
      <c r="H1285" t="b">
        <f t="shared" si="41"/>
        <v>1</v>
      </c>
    </row>
    <row r="1286" spans="1:8">
      <c r="A1286" s="396">
        <v>38998</v>
      </c>
      <c r="B1286" s="401" t="s">
        <v>10028</v>
      </c>
      <c r="C1286" s="396" t="s">
        <v>2021</v>
      </c>
      <c r="D1286" s="405">
        <f t="shared" si="40"/>
        <v>10.36</v>
      </c>
      <c r="F1286" s="679">
        <v>10.36</v>
      </c>
      <c r="G1286" s="679">
        <v>10.36</v>
      </c>
      <c r="H1286" t="b">
        <f t="shared" si="41"/>
        <v>1</v>
      </c>
    </row>
    <row r="1287" spans="1:8">
      <c r="A1287" s="395">
        <v>38999</v>
      </c>
      <c r="B1287" s="406" t="s">
        <v>10029</v>
      </c>
      <c r="C1287" s="395" t="s">
        <v>2021</v>
      </c>
      <c r="D1287" s="407">
        <f t="shared" si="40"/>
        <v>26.19</v>
      </c>
      <c r="F1287" s="680">
        <v>26.19</v>
      </c>
      <c r="G1287" s="680">
        <v>26.19</v>
      </c>
      <c r="H1287" t="b">
        <f t="shared" si="41"/>
        <v>1</v>
      </c>
    </row>
    <row r="1288" spans="1:8">
      <c r="A1288" s="396">
        <v>38996</v>
      </c>
      <c r="B1288" s="401" t="s">
        <v>10030</v>
      </c>
      <c r="C1288" s="396" t="s">
        <v>2021</v>
      </c>
      <c r="D1288" s="405">
        <f t="shared" si="40"/>
        <v>18.510000000000002</v>
      </c>
      <c r="F1288" s="679">
        <v>18.510000000000002</v>
      </c>
      <c r="G1288" s="679">
        <v>18.510000000000002</v>
      </c>
      <c r="H1288" t="b">
        <f t="shared" si="41"/>
        <v>1</v>
      </c>
    </row>
    <row r="1289" spans="1:8">
      <c r="A1289" s="395">
        <v>44173</v>
      </c>
      <c r="B1289" s="406" t="s">
        <v>10031</v>
      </c>
      <c r="C1289" s="395" t="s">
        <v>2021</v>
      </c>
      <c r="D1289" s="407">
        <f t="shared" si="40"/>
        <v>18</v>
      </c>
      <c r="F1289" s="680">
        <v>18</v>
      </c>
      <c r="G1289" s="680">
        <v>18</v>
      </c>
      <c r="H1289" t="b">
        <f t="shared" si="41"/>
        <v>1</v>
      </c>
    </row>
    <row r="1290" spans="1:8">
      <c r="A1290" s="396">
        <v>44174</v>
      </c>
      <c r="B1290" s="401" t="s">
        <v>10032</v>
      </c>
      <c r="C1290" s="396" t="s">
        <v>2021</v>
      </c>
      <c r="D1290" s="405">
        <f t="shared" si="40"/>
        <v>29.47</v>
      </c>
      <c r="F1290" s="679">
        <v>29.47</v>
      </c>
      <c r="G1290" s="679">
        <v>29.47</v>
      </c>
      <c r="H1290" t="b">
        <f t="shared" si="41"/>
        <v>1</v>
      </c>
    </row>
    <row r="1291" spans="1:8">
      <c r="A1291" s="395">
        <v>38997</v>
      </c>
      <c r="B1291" s="406" t="s">
        <v>10033</v>
      </c>
      <c r="C1291" s="395" t="s">
        <v>2021</v>
      </c>
      <c r="D1291" s="407">
        <f t="shared" si="40"/>
        <v>26.48</v>
      </c>
      <c r="F1291" s="680">
        <v>26.48</v>
      </c>
      <c r="G1291" s="680">
        <v>26.48</v>
      </c>
      <c r="H1291" t="b">
        <f t="shared" si="41"/>
        <v>1</v>
      </c>
    </row>
    <row r="1292" spans="1:8">
      <c r="A1292" s="396">
        <v>39600</v>
      </c>
      <c r="B1292" s="401" t="s">
        <v>10034</v>
      </c>
      <c r="C1292" s="396" t="s">
        <v>2021</v>
      </c>
      <c r="D1292" s="405">
        <f t="shared" si="40"/>
        <v>13</v>
      </c>
      <c r="F1292" s="679">
        <v>13</v>
      </c>
      <c r="G1292" s="679">
        <v>13</v>
      </c>
      <c r="H1292" t="b">
        <f t="shared" si="41"/>
        <v>1</v>
      </c>
    </row>
    <row r="1293" spans="1:8">
      <c r="A1293" s="395">
        <v>39601</v>
      </c>
      <c r="B1293" s="406" t="s">
        <v>10035</v>
      </c>
      <c r="C1293" s="395" t="s">
        <v>2021</v>
      </c>
      <c r="D1293" s="407">
        <f t="shared" si="40"/>
        <v>27.58</v>
      </c>
      <c r="F1293" s="680">
        <v>27.58</v>
      </c>
      <c r="G1293" s="680">
        <v>27.58</v>
      </c>
      <c r="H1293" t="b">
        <f t="shared" si="41"/>
        <v>1</v>
      </c>
    </row>
    <row r="1294" spans="1:8">
      <c r="A1294" s="396">
        <v>39862</v>
      </c>
      <c r="B1294" s="401" t="s">
        <v>10036</v>
      </c>
      <c r="C1294" s="396" t="s">
        <v>2021</v>
      </c>
      <c r="D1294" s="405">
        <f t="shared" si="40"/>
        <v>13.36</v>
      </c>
      <c r="F1294" s="679">
        <v>13.36</v>
      </c>
      <c r="G1294" s="679">
        <v>13.36</v>
      </c>
      <c r="H1294" t="b">
        <f t="shared" si="41"/>
        <v>1</v>
      </c>
    </row>
    <row r="1295" spans="1:8">
      <c r="A1295" s="395">
        <v>39863</v>
      </c>
      <c r="B1295" s="406" t="s">
        <v>10037</v>
      </c>
      <c r="C1295" s="395" t="s">
        <v>2021</v>
      </c>
      <c r="D1295" s="407">
        <f t="shared" si="40"/>
        <v>13.54</v>
      </c>
      <c r="F1295" s="680">
        <v>13.54</v>
      </c>
      <c r="G1295" s="680">
        <v>13.54</v>
      </c>
      <c r="H1295" t="b">
        <f t="shared" si="41"/>
        <v>1</v>
      </c>
    </row>
    <row r="1296" spans="1:8">
      <c r="A1296" s="396">
        <v>39864</v>
      </c>
      <c r="B1296" s="401" t="s">
        <v>10038</v>
      </c>
      <c r="C1296" s="396" t="s">
        <v>2021</v>
      </c>
      <c r="D1296" s="405">
        <f t="shared" si="40"/>
        <v>16.809999999999999</v>
      </c>
      <c r="F1296" s="679">
        <v>16.809999999999999</v>
      </c>
      <c r="G1296" s="679">
        <v>16.809999999999999</v>
      </c>
      <c r="H1296" t="b">
        <f t="shared" si="41"/>
        <v>1</v>
      </c>
    </row>
    <row r="1297" spans="1:8">
      <c r="A1297" s="395">
        <v>39865</v>
      </c>
      <c r="B1297" s="406" t="s">
        <v>10039</v>
      </c>
      <c r="C1297" s="395" t="s">
        <v>2021</v>
      </c>
      <c r="D1297" s="407">
        <f t="shared" si="40"/>
        <v>23.69</v>
      </c>
      <c r="F1297" s="680">
        <v>23.69</v>
      </c>
      <c r="G1297" s="680">
        <v>23.69</v>
      </c>
      <c r="H1297" t="b">
        <f t="shared" si="41"/>
        <v>1</v>
      </c>
    </row>
    <row r="1298" spans="1:8" ht="30">
      <c r="A1298" s="396">
        <v>2517</v>
      </c>
      <c r="B1298" s="401" t="s">
        <v>10040</v>
      </c>
      <c r="C1298" s="396" t="s">
        <v>2021</v>
      </c>
      <c r="D1298" s="405">
        <f t="shared" si="40"/>
        <v>23.68</v>
      </c>
      <c r="F1298" s="679">
        <v>23.68</v>
      </c>
      <c r="G1298" s="679">
        <v>23.68</v>
      </c>
      <c r="H1298" t="b">
        <f t="shared" si="41"/>
        <v>1</v>
      </c>
    </row>
    <row r="1299" spans="1:8" ht="30">
      <c r="A1299" s="395">
        <v>2522</v>
      </c>
      <c r="B1299" s="406" t="s">
        <v>10041</v>
      </c>
      <c r="C1299" s="395" t="s">
        <v>2021</v>
      </c>
      <c r="D1299" s="407">
        <f t="shared" si="40"/>
        <v>15.3</v>
      </c>
      <c r="F1299" s="680">
        <v>15.3</v>
      </c>
      <c r="G1299" s="680">
        <v>15.3</v>
      </c>
      <c r="H1299" t="b">
        <f t="shared" si="41"/>
        <v>1</v>
      </c>
    </row>
    <row r="1300" spans="1:8" ht="30">
      <c r="A1300" s="396">
        <v>2548</v>
      </c>
      <c r="B1300" s="401" t="s">
        <v>10042</v>
      </c>
      <c r="C1300" s="396" t="s">
        <v>2021</v>
      </c>
      <c r="D1300" s="405">
        <f t="shared" si="40"/>
        <v>9.41</v>
      </c>
      <c r="F1300" s="679">
        <v>9.41</v>
      </c>
      <c r="G1300" s="679">
        <v>9.41</v>
      </c>
      <c r="H1300" t="b">
        <f t="shared" si="41"/>
        <v>1</v>
      </c>
    </row>
    <row r="1301" spans="1:8">
      <c r="A1301" s="395">
        <v>2516</v>
      </c>
      <c r="B1301" s="406" t="s">
        <v>10043</v>
      </c>
      <c r="C1301" s="395" t="s">
        <v>2021</v>
      </c>
      <c r="D1301" s="407">
        <f t="shared" si="40"/>
        <v>12.29</v>
      </c>
      <c r="F1301" s="680">
        <v>12.29</v>
      </c>
      <c r="G1301" s="680">
        <v>12.29</v>
      </c>
      <c r="H1301" t="b">
        <f t="shared" si="41"/>
        <v>1</v>
      </c>
    </row>
    <row r="1302" spans="1:8" ht="30">
      <c r="A1302" s="396">
        <v>2518</v>
      </c>
      <c r="B1302" s="401" t="s">
        <v>10044</v>
      </c>
      <c r="C1302" s="396" t="s">
        <v>2021</v>
      </c>
      <c r="D1302" s="405">
        <f t="shared" si="40"/>
        <v>112.71</v>
      </c>
      <c r="F1302" s="679">
        <v>112.71</v>
      </c>
      <c r="G1302" s="679">
        <v>112.71</v>
      </c>
      <c r="H1302" t="b">
        <f t="shared" si="41"/>
        <v>1</v>
      </c>
    </row>
    <row r="1303" spans="1:8">
      <c r="A1303" s="395">
        <v>2521</v>
      </c>
      <c r="B1303" s="406" t="s">
        <v>10045</v>
      </c>
      <c r="C1303" s="395" t="s">
        <v>2021</v>
      </c>
      <c r="D1303" s="407">
        <f t="shared" si="40"/>
        <v>47.98</v>
      </c>
      <c r="F1303" s="680">
        <v>47.98</v>
      </c>
      <c r="G1303" s="680">
        <v>47.98</v>
      </c>
      <c r="H1303" t="b">
        <f t="shared" si="41"/>
        <v>1</v>
      </c>
    </row>
    <row r="1304" spans="1:8" ht="30">
      <c r="A1304" s="396">
        <v>2515</v>
      </c>
      <c r="B1304" s="401" t="s">
        <v>10046</v>
      </c>
      <c r="C1304" s="396" t="s">
        <v>2021</v>
      </c>
      <c r="D1304" s="405">
        <f t="shared" si="40"/>
        <v>10.220000000000001</v>
      </c>
      <c r="F1304" s="679">
        <v>10.220000000000001</v>
      </c>
      <c r="G1304" s="679">
        <v>10.220000000000001</v>
      </c>
      <c r="H1304" t="b">
        <f t="shared" si="41"/>
        <v>1</v>
      </c>
    </row>
    <row r="1305" spans="1:8">
      <c r="A1305" s="395">
        <v>2519</v>
      </c>
      <c r="B1305" s="406" t="s">
        <v>10047</v>
      </c>
      <c r="C1305" s="395" t="s">
        <v>2021</v>
      </c>
      <c r="D1305" s="407">
        <f t="shared" si="40"/>
        <v>135.91</v>
      </c>
      <c r="F1305" s="680">
        <v>135.91</v>
      </c>
      <c r="G1305" s="680">
        <v>135.91</v>
      </c>
      <c r="H1305" t="b">
        <f t="shared" si="41"/>
        <v>1</v>
      </c>
    </row>
    <row r="1306" spans="1:8">
      <c r="A1306" s="396">
        <v>2520</v>
      </c>
      <c r="B1306" s="401" t="s">
        <v>10048</v>
      </c>
      <c r="C1306" s="396" t="s">
        <v>2021</v>
      </c>
      <c r="D1306" s="405">
        <f t="shared" si="40"/>
        <v>250.14</v>
      </c>
      <c r="F1306" s="679">
        <v>250.14</v>
      </c>
      <c r="G1306" s="679">
        <v>250.14</v>
      </c>
      <c r="H1306" t="b">
        <f t="shared" si="41"/>
        <v>1</v>
      </c>
    </row>
    <row r="1307" spans="1:8">
      <c r="A1307" s="395">
        <v>1602</v>
      </c>
      <c r="B1307" s="406" t="s">
        <v>10049</v>
      </c>
      <c r="C1307" s="395" t="s">
        <v>2021</v>
      </c>
      <c r="D1307" s="407">
        <f t="shared" si="40"/>
        <v>47.66</v>
      </c>
      <c r="F1307" s="680">
        <v>47.66</v>
      </c>
      <c r="G1307" s="680">
        <v>47.66</v>
      </c>
      <c r="H1307" t="b">
        <f t="shared" si="41"/>
        <v>1</v>
      </c>
    </row>
    <row r="1308" spans="1:8">
      <c r="A1308" s="396">
        <v>1601</v>
      </c>
      <c r="B1308" s="401" t="s">
        <v>10050</v>
      </c>
      <c r="C1308" s="396" t="s">
        <v>2021</v>
      </c>
      <c r="D1308" s="405">
        <f t="shared" si="40"/>
        <v>42.48</v>
      </c>
      <c r="F1308" s="679">
        <v>42.48</v>
      </c>
      <c r="G1308" s="679">
        <v>42.48</v>
      </c>
      <c r="H1308" t="b">
        <f t="shared" si="41"/>
        <v>1</v>
      </c>
    </row>
    <row r="1309" spans="1:8">
      <c r="A1309" s="395">
        <v>1598</v>
      </c>
      <c r="B1309" s="406" t="s">
        <v>10051</v>
      </c>
      <c r="C1309" s="395" t="s">
        <v>2021</v>
      </c>
      <c r="D1309" s="407">
        <f t="shared" si="40"/>
        <v>12.57</v>
      </c>
      <c r="F1309" s="680">
        <v>12.57</v>
      </c>
      <c r="G1309" s="680">
        <v>12.57</v>
      </c>
      <c r="H1309" t="b">
        <f t="shared" si="41"/>
        <v>1</v>
      </c>
    </row>
    <row r="1310" spans="1:8">
      <c r="A1310" s="396">
        <v>1600</v>
      </c>
      <c r="B1310" s="401" t="s">
        <v>10052</v>
      </c>
      <c r="C1310" s="396" t="s">
        <v>2021</v>
      </c>
      <c r="D1310" s="405">
        <f t="shared" si="40"/>
        <v>18.55</v>
      </c>
      <c r="F1310" s="679">
        <v>18.55</v>
      </c>
      <c r="G1310" s="679">
        <v>18.55</v>
      </c>
      <c r="H1310" t="b">
        <f t="shared" si="41"/>
        <v>1</v>
      </c>
    </row>
    <row r="1311" spans="1:8">
      <c r="A1311" s="395">
        <v>1603</v>
      </c>
      <c r="B1311" s="406" t="s">
        <v>10053</v>
      </c>
      <c r="C1311" s="395" t="s">
        <v>2021</v>
      </c>
      <c r="D1311" s="407">
        <f t="shared" si="40"/>
        <v>71.959999999999994</v>
      </c>
      <c r="F1311" s="680">
        <v>71.959999999999994</v>
      </c>
      <c r="G1311" s="680">
        <v>71.959999999999994</v>
      </c>
      <c r="H1311" t="b">
        <f t="shared" si="41"/>
        <v>1</v>
      </c>
    </row>
    <row r="1312" spans="1:8">
      <c r="A1312" s="396">
        <v>1599</v>
      </c>
      <c r="B1312" s="401" t="s">
        <v>10054</v>
      </c>
      <c r="C1312" s="396" t="s">
        <v>2021</v>
      </c>
      <c r="D1312" s="405">
        <f t="shared" si="40"/>
        <v>14.58</v>
      </c>
      <c r="F1312" s="679">
        <v>14.58</v>
      </c>
      <c r="G1312" s="679">
        <v>14.58</v>
      </c>
      <c r="H1312" t="b">
        <f t="shared" si="41"/>
        <v>1</v>
      </c>
    </row>
    <row r="1313" spans="1:8">
      <c r="A1313" s="395">
        <v>1597</v>
      </c>
      <c r="B1313" s="406" t="s">
        <v>10055</v>
      </c>
      <c r="C1313" s="395" t="s">
        <v>2021</v>
      </c>
      <c r="D1313" s="407">
        <f t="shared" si="40"/>
        <v>11.82</v>
      </c>
      <c r="F1313" s="680">
        <v>11.82</v>
      </c>
      <c r="G1313" s="680">
        <v>11.82</v>
      </c>
      <c r="H1313" t="b">
        <f t="shared" si="41"/>
        <v>1</v>
      </c>
    </row>
    <row r="1314" spans="1:8">
      <c r="A1314" s="396">
        <v>39602</v>
      </c>
      <c r="B1314" s="401" t="s">
        <v>10056</v>
      </c>
      <c r="C1314" s="396" t="s">
        <v>2021</v>
      </c>
      <c r="D1314" s="405">
        <f t="shared" si="40"/>
        <v>1.38</v>
      </c>
      <c r="F1314" s="679">
        <v>1.38</v>
      </c>
      <c r="G1314" s="679">
        <v>1.38</v>
      </c>
      <c r="H1314" t="b">
        <f t="shared" si="41"/>
        <v>1</v>
      </c>
    </row>
    <row r="1315" spans="1:8">
      <c r="A1315" s="395">
        <v>39603</v>
      </c>
      <c r="B1315" s="406" t="s">
        <v>10057</v>
      </c>
      <c r="C1315" s="395" t="s">
        <v>2021</v>
      </c>
      <c r="D1315" s="407">
        <f t="shared" si="40"/>
        <v>2.94</v>
      </c>
      <c r="F1315" s="680">
        <v>2.94</v>
      </c>
      <c r="G1315" s="680">
        <v>2.94</v>
      </c>
      <c r="H1315" t="b">
        <f t="shared" si="41"/>
        <v>1</v>
      </c>
    </row>
    <row r="1316" spans="1:8">
      <c r="A1316" s="396">
        <v>11821</v>
      </c>
      <c r="B1316" s="401" t="s">
        <v>10058</v>
      </c>
      <c r="C1316" s="396" t="s">
        <v>2021</v>
      </c>
      <c r="D1316" s="405">
        <f t="shared" si="40"/>
        <v>9.6999999999999993</v>
      </c>
      <c r="F1316" s="679">
        <v>9.6999999999999993</v>
      </c>
      <c r="G1316" s="679">
        <v>9.6999999999999993</v>
      </c>
      <c r="H1316" t="b">
        <f t="shared" si="41"/>
        <v>1</v>
      </c>
    </row>
    <row r="1317" spans="1:8">
      <c r="A1317" s="395">
        <v>1562</v>
      </c>
      <c r="B1317" s="406" t="s">
        <v>10059</v>
      </c>
      <c r="C1317" s="395" t="s">
        <v>2021</v>
      </c>
      <c r="D1317" s="407">
        <f t="shared" si="40"/>
        <v>15.9</v>
      </c>
      <c r="F1317" s="680">
        <v>15.9</v>
      </c>
      <c r="G1317" s="680">
        <v>15.9</v>
      </c>
      <c r="H1317" t="b">
        <f t="shared" si="41"/>
        <v>1</v>
      </c>
    </row>
    <row r="1318" spans="1:8">
      <c r="A1318" s="396">
        <v>1563</v>
      </c>
      <c r="B1318" s="401" t="s">
        <v>10060</v>
      </c>
      <c r="C1318" s="396" t="s">
        <v>2021</v>
      </c>
      <c r="D1318" s="405">
        <f t="shared" si="40"/>
        <v>21.33</v>
      </c>
      <c r="F1318" s="679">
        <v>21.33</v>
      </c>
      <c r="G1318" s="679">
        <v>21.33</v>
      </c>
      <c r="H1318" t="b">
        <f t="shared" si="41"/>
        <v>1</v>
      </c>
    </row>
    <row r="1319" spans="1:8">
      <c r="A1319" s="395">
        <v>11856</v>
      </c>
      <c r="B1319" s="406" t="s">
        <v>10061</v>
      </c>
      <c r="C1319" s="395" t="s">
        <v>2021</v>
      </c>
      <c r="D1319" s="407">
        <f t="shared" si="40"/>
        <v>6.36</v>
      </c>
      <c r="F1319" s="680">
        <v>6.36</v>
      </c>
      <c r="G1319" s="680">
        <v>6.36</v>
      </c>
      <c r="H1319" t="b">
        <f t="shared" si="41"/>
        <v>1</v>
      </c>
    </row>
    <row r="1320" spans="1:8">
      <c r="A1320" s="396">
        <v>11857</v>
      </c>
      <c r="B1320" s="401" t="s">
        <v>10062</v>
      </c>
      <c r="C1320" s="396" t="s">
        <v>2021</v>
      </c>
      <c r="D1320" s="405">
        <f t="shared" si="40"/>
        <v>33.47</v>
      </c>
      <c r="F1320" s="679">
        <v>33.47</v>
      </c>
      <c r="G1320" s="679">
        <v>33.47</v>
      </c>
      <c r="H1320" t="b">
        <f t="shared" si="41"/>
        <v>1</v>
      </c>
    </row>
    <row r="1321" spans="1:8">
      <c r="A1321" s="395">
        <v>11858</v>
      </c>
      <c r="B1321" s="406" t="s">
        <v>10063</v>
      </c>
      <c r="C1321" s="395" t="s">
        <v>2021</v>
      </c>
      <c r="D1321" s="407">
        <f t="shared" si="40"/>
        <v>41.54</v>
      </c>
      <c r="F1321" s="680">
        <v>41.54</v>
      </c>
      <c r="G1321" s="680">
        <v>41.54</v>
      </c>
      <c r="H1321" t="b">
        <f t="shared" si="41"/>
        <v>1</v>
      </c>
    </row>
    <row r="1322" spans="1:8">
      <c r="A1322" s="396">
        <v>1539</v>
      </c>
      <c r="B1322" s="401" t="s">
        <v>10064</v>
      </c>
      <c r="C1322" s="396" t="s">
        <v>2021</v>
      </c>
      <c r="D1322" s="405">
        <f t="shared" si="40"/>
        <v>7.47</v>
      </c>
      <c r="F1322" s="679">
        <v>7.47</v>
      </c>
      <c r="G1322" s="679">
        <v>7.47</v>
      </c>
      <c r="H1322" t="b">
        <f t="shared" si="41"/>
        <v>1</v>
      </c>
    </row>
    <row r="1323" spans="1:8">
      <c r="A1323" s="395">
        <v>11859</v>
      </c>
      <c r="B1323" s="406" t="s">
        <v>10065</v>
      </c>
      <c r="C1323" s="395" t="s">
        <v>2021</v>
      </c>
      <c r="D1323" s="407">
        <f t="shared" si="40"/>
        <v>56.52</v>
      </c>
      <c r="F1323" s="680">
        <v>56.52</v>
      </c>
      <c r="G1323" s="680">
        <v>56.52</v>
      </c>
      <c r="H1323" t="b">
        <f t="shared" si="41"/>
        <v>1</v>
      </c>
    </row>
    <row r="1324" spans="1:8">
      <c r="A1324" s="396">
        <v>1550</v>
      </c>
      <c r="B1324" s="401" t="s">
        <v>10066</v>
      </c>
      <c r="C1324" s="396" t="s">
        <v>2021</v>
      </c>
      <c r="D1324" s="405">
        <f t="shared" si="40"/>
        <v>7.88</v>
      </c>
      <c r="F1324" s="679">
        <v>7.88</v>
      </c>
      <c r="G1324" s="679">
        <v>7.88</v>
      </c>
      <c r="H1324" t="b">
        <f t="shared" si="41"/>
        <v>1</v>
      </c>
    </row>
    <row r="1325" spans="1:8">
      <c r="A1325" s="395">
        <v>11854</v>
      </c>
      <c r="B1325" s="406" t="s">
        <v>10067</v>
      </c>
      <c r="C1325" s="395" t="s">
        <v>2021</v>
      </c>
      <c r="D1325" s="407">
        <f t="shared" si="40"/>
        <v>9.85</v>
      </c>
      <c r="F1325" s="680">
        <v>9.85</v>
      </c>
      <c r="G1325" s="680">
        <v>9.85</v>
      </c>
      <c r="H1325" t="b">
        <f t="shared" si="41"/>
        <v>1</v>
      </c>
    </row>
    <row r="1326" spans="1:8">
      <c r="A1326" s="396">
        <v>11862</v>
      </c>
      <c r="B1326" s="401" t="s">
        <v>10068</v>
      </c>
      <c r="C1326" s="396" t="s">
        <v>2021</v>
      </c>
      <c r="D1326" s="405">
        <f t="shared" si="40"/>
        <v>13.82</v>
      </c>
      <c r="F1326" s="679">
        <v>13.82</v>
      </c>
      <c r="G1326" s="679">
        <v>13.82</v>
      </c>
      <c r="H1326" t="b">
        <f t="shared" si="41"/>
        <v>1</v>
      </c>
    </row>
    <row r="1327" spans="1:8">
      <c r="A1327" s="395">
        <v>11863</v>
      </c>
      <c r="B1327" s="406" t="s">
        <v>10069</v>
      </c>
      <c r="C1327" s="395" t="s">
        <v>2021</v>
      </c>
      <c r="D1327" s="407">
        <f t="shared" si="40"/>
        <v>5.58</v>
      </c>
      <c r="F1327" s="680">
        <v>5.58</v>
      </c>
      <c r="G1327" s="680">
        <v>5.58</v>
      </c>
      <c r="H1327" t="b">
        <f t="shared" si="41"/>
        <v>1</v>
      </c>
    </row>
    <row r="1328" spans="1:8">
      <c r="A1328" s="396">
        <v>11855</v>
      </c>
      <c r="B1328" s="401" t="s">
        <v>10070</v>
      </c>
      <c r="C1328" s="396" t="s">
        <v>2021</v>
      </c>
      <c r="D1328" s="405">
        <f t="shared" si="40"/>
        <v>20.63</v>
      </c>
      <c r="F1328" s="679">
        <v>20.63</v>
      </c>
      <c r="G1328" s="679">
        <v>20.63</v>
      </c>
      <c r="H1328" t="b">
        <f t="shared" si="41"/>
        <v>1</v>
      </c>
    </row>
    <row r="1329" spans="1:8">
      <c r="A1329" s="395">
        <v>11864</v>
      </c>
      <c r="B1329" s="406" t="s">
        <v>10071</v>
      </c>
      <c r="C1329" s="395" t="s">
        <v>2021</v>
      </c>
      <c r="D1329" s="407">
        <f t="shared" si="40"/>
        <v>31.19</v>
      </c>
      <c r="F1329" s="680">
        <v>31.19</v>
      </c>
      <c r="G1329" s="680">
        <v>31.19</v>
      </c>
      <c r="H1329" t="b">
        <f t="shared" si="41"/>
        <v>1</v>
      </c>
    </row>
    <row r="1330" spans="1:8" ht="30">
      <c r="A1330" s="396">
        <v>2527</v>
      </c>
      <c r="B1330" s="401" t="s">
        <v>10072</v>
      </c>
      <c r="C1330" s="396" t="s">
        <v>2021</v>
      </c>
      <c r="D1330" s="405">
        <f t="shared" si="40"/>
        <v>8.4700000000000006</v>
      </c>
      <c r="F1330" s="679">
        <v>8.4700000000000006</v>
      </c>
      <c r="G1330" s="679">
        <v>8.4700000000000006</v>
      </c>
      <c r="H1330" t="b">
        <f t="shared" si="41"/>
        <v>1</v>
      </c>
    </row>
    <row r="1331" spans="1:8" ht="30">
      <c r="A1331" s="395">
        <v>2526</v>
      </c>
      <c r="B1331" s="406" t="s">
        <v>10073</v>
      </c>
      <c r="C1331" s="395" t="s">
        <v>2021</v>
      </c>
      <c r="D1331" s="407">
        <f t="shared" si="40"/>
        <v>5.43</v>
      </c>
      <c r="F1331" s="680">
        <v>5.43</v>
      </c>
      <c r="G1331" s="680">
        <v>5.43</v>
      </c>
      <c r="H1331" t="b">
        <f t="shared" si="41"/>
        <v>1</v>
      </c>
    </row>
    <row r="1332" spans="1:8" ht="30">
      <c r="A1332" s="396">
        <v>2487</v>
      </c>
      <c r="B1332" s="401" t="s">
        <v>10074</v>
      </c>
      <c r="C1332" s="396" t="s">
        <v>2021</v>
      </c>
      <c r="D1332" s="405">
        <f t="shared" si="40"/>
        <v>1.85</v>
      </c>
      <c r="F1332" s="679">
        <v>1.85</v>
      </c>
      <c r="G1332" s="679">
        <v>1.85</v>
      </c>
      <c r="H1332" t="b">
        <f t="shared" si="41"/>
        <v>1</v>
      </c>
    </row>
    <row r="1333" spans="1:8" ht="30">
      <c r="A1333" s="395">
        <v>2483</v>
      </c>
      <c r="B1333" s="406" t="s">
        <v>10075</v>
      </c>
      <c r="C1333" s="395" t="s">
        <v>2021</v>
      </c>
      <c r="D1333" s="407">
        <f t="shared" si="40"/>
        <v>3.86</v>
      </c>
      <c r="F1333" s="680">
        <v>3.86</v>
      </c>
      <c r="G1333" s="680">
        <v>3.86</v>
      </c>
      <c r="H1333" t="b">
        <f t="shared" si="41"/>
        <v>1</v>
      </c>
    </row>
    <row r="1334" spans="1:8" ht="30">
      <c r="A1334" s="396">
        <v>2528</v>
      </c>
      <c r="B1334" s="401" t="s">
        <v>10076</v>
      </c>
      <c r="C1334" s="396" t="s">
        <v>2021</v>
      </c>
      <c r="D1334" s="405">
        <f t="shared" si="40"/>
        <v>21.33</v>
      </c>
      <c r="F1334" s="679">
        <v>21.33</v>
      </c>
      <c r="G1334" s="679">
        <v>21.33</v>
      </c>
      <c r="H1334" t="b">
        <f t="shared" si="41"/>
        <v>1</v>
      </c>
    </row>
    <row r="1335" spans="1:8" ht="30">
      <c r="A1335" s="395">
        <v>2489</v>
      </c>
      <c r="B1335" s="406" t="s">
        <v>10077</v>
      </c>
      <c r="C1335" s="395" t="s">
        <v>2021</v>
      </c>
      <c r="D1335" s="407">
        <f t="shared" si="40"/>
        <v>9.39</v>
      </c>
      <c r="F1335" s="680">
        <v>9.39</v>
      </c>
      <c r="G1335" s="680">
        <v>9.39</v>
      </c>
      <c r="H1335" t="b">
        <f t="shared" si="41"/>
        <v>1</v>
      </c>
    </row>
    <row r="1336" spans="1:8" ht="30">
      <c r="A1336" s="396">
        <v>2488</v>
      </c>
      <c r="B1336" s="401" t="s">
        <v>10078</v>
      </c>
      <c r="C1336" s="396" t="s">
        <v>2021</v>
      </c>
      <c r="D1336" s="405">
        <f t="shared" si="40"/>
        <v>2.17</v>
      </c>
      <c r="F1336" s="679">
        <v>2.17</v>
      </c>
      <c r="G1336" s="679">
        <v>2.17</v>
      </c>
      <c r="H1336" t="b">
        <f t="shared" si="41"/>
        <v>1</v>
      </c>
    </row>
    <row r="1337" spans="1:8" ht="30">
      <c r="A1337" s="395">
        <v>2484</v>
      </c>
      <c r="B1337" s="406" t="s">
        <v>10079</v>
      </c>
      <c r="C1337" s="395" t="s">
        <v>2021</v>
      </c>
      <c r="D1337" s="407">
        <f t="shared" si="40"/>
        <v>30.97</v>
      </c>
      <c r="F1337" s="680">
        <v>30.97</v>
      </c>
      <c r="G1337" s="680">
        <v>30.97</v>
      </c>
      <c r="H1337" t="b">
        <f t="shared" si="41"/>
        <v>1</v>
      </c>
    </row>
    <row r="1338" spans="1:8" ht="30">
      <c r="A1338" s="396">
        <v>2485</v>
      </c>
      <c r="B1338" s="401" t="s">
        <v>10080</v>
      </c>
      <c r="C1338" s="396" t="s">
        <v>2021</v>
      </c>
      <c r="D1338" s="405">
        <f t="shared" si="40"/>
        <v>48.55</v>
      </c>
      <c r="F1338" s="679">
        <v>48.55</v>
      </c>
      <c r="G1338" s="679">
        <v>48.55</v>
      </c>
      <c r="H1338" t="b">
        <f t="shared" si="41"/>
        <v>1</v>
      </c>
    </row>
    <row r="1339" spans="1:8" ht="30">
      <c r="A1339" s="395">
        <v>39279</v>
      </c>
      <c r="B1339" s="406" t="s">
        <v>10081</v>
      </c>
      <c r="C1339" s="395" t="s">
        <v>2021</v>
      </c>
      <c r="D1339" s="407">
        <f t="shared" si="40"/>
        <v>8.2200000000000006</v>
      </c>
      <c r="F1339" s="680">
        <v>8.2200000000000006</v>
      </c>
      <c r="G1339" s="680">
        <v>8.2200000000000006</v>
      </c>
      <c r="H1339" t="b">
        <f t="shared" si="41"/>
        <v>1</v>
      </c>
    </row>
    <row r="1340" spans="1:8" ht="30">
      <c r="A1340" s="396">
        <v>39280</v>
      </c>
      <c r="B1340" s="401" t="s">
        <v>10082</v>
      </c>
      <c r="C1340" s="396" t="s">
        <v>2021</v>
      </c>
      <c r="D1340" s="405">
        <f t="shared" si="40"/>
        <v>9.2100000000000009</v>
      </c>
      <c r="F1340" s="679">
        <v>9.2100000000000009</v>
      </c>
      <c r="G1340" s="679">
        <v>9.2100000000000009</v>
      </c>
      <c r="H1340" t="b">
        <f t="shared" si="41"/>
        <v>1</v>
      </c>
    </row>
    <row r="1341" spans="1:8" ht="30">
      <c r="A1341" s="395">
        <v>39281</v>
      </c>
      <c r="B1341" s="406" t="s">
        <v>10083</v>
      </c>
      <c r="C1341" s="395" t="s">
        <v>2021</v>
      </c>
      <c r="D1341" s="407">
        <f t="shared" si="40"/>
        <v>12.18</v>
      </c>
      <c r="F1341" s="680">
        <v>12.18</v>
      </c>
      <c r="G1341" s="680">
        <v>12.18</v>
      </c>
      <c r="H1341" t="b">
        <f t="shared" si="41"/>
        <v>1</v>
      </c>
    </row>
    <row r="1342" spans="1:8" ht="30">
      <c r="A1342" s="396">
        <v>39282</v>
      </c>
      <c r="B1342" s="401" t="s">
        <v>10084</v>
      </c>
      <c r="C1342" s="396" t="s">
        <v>2021</v>
      </c>
      <c r="D1342" s="405">
        <f t="shared" si="40"/>
        <v>17</v>
      </c>
      <c r="F1342" s="679">
        <v>17</v>
      </c>
      <c r="G1342" s="679">
        <v>17</v>
      </c>
      <c r="H1342" t="b">
        <f t="shared" si="41"/>
        <v>1</v>
      </c>
    </row>
    <row r="1343" spans="1:8" ht="30">
      <c r="A1343" s="395">
        <v>38844</v>
      </c>
      <c r="B1343" s="406" t="s">
        <v>10085</v>
      </c>
      <c r="C1343" s="395" t="s">
        <v>2021</v>
      </c>
      <c r="D1343" s="407">
        <f t="shared" si="40"/>
        <v>8.34</v>
      </c>
      <c r="F1343" s="680">
        <v>8.34</v>
      </c>
      <c r="G1343" s="680">
        <v>8.34</v>
      </c>
      <c r="H1343" t="b">
        <f t="shared" si="41"/>
        <v>1</v>
      </c>
    </row>
    <row r="1344" spans="1:8" ht="30">
      <c r="A1344" s="396">
        <v>38846</v>
      </c>
      <c r="B1344" s="401" t="s">
        <v>10086</v>
      </c>
      <c r="C1344" s="396" t="s">
        <v>2021</v>
      </c>
      <c r="D1344" s="405">
        <f t="shared" si="40"/>
        <v>8.48</v>
      </c>
      <c r="F1344" s="679">
        <v>8.48</v>
      </c>
      <c r="G1344" s="679">
        <v>8.48</v>
      </c>
      <c r="H1344" t="b">
        <f t="shared" si="41"/>
        <v>1</v>
      </c>
    </row>
    <row r="1345" spans="1:8" ht="30">
      <c r="A1345" s="395">
        <v>38847</v>
      </c>
      <c r="B1345" s="406" t="s">
        <v>10087</v>
      </c>
      <c r="C1345" s="395" t="s">
        <v>2021</v>
      </c>
      <c r="D1345" s="407">
        <f t="shared" si="40"/>
        <v>9.94</v>
      </c>
      <c r="F1345" s="680">
        <v>9.94</v>
      </c>
      <c r="G1345" s="680">
        <v>9.94</v>
      </c>
      <c r="H1345" t="b">
        <f t="shared" si="41"/>
        <v>1</v>
      </c>
    </row>
    <row r="1346" spans="1:8" ht="30">
      <c r="A1346" s="396">
        <v>38850</v>
      </c>
      <c r="B1346" s="401" t="s">
        <v>10088</v>
      </c>
      <c r="C1346" s="396" t="s">
        <v>2021</v>
      </c>
      <c r="D1346" s="405">
        <f t="shared" si="40"/>
        <v>17.95</v>
      </c>
      <c r="F1346" s="679">
        <v>17.95</v>
      </c>
      <c r="G1346" s="679">
        <v>17.95</v>
      </c>
      <c r="H1346" t="b">
        <f t="shared" si="41"/>
        <v>1</v>
      </c>
    </row>
    <row r="1347" spans="1:8" ht="30">
      <c r="A1347" s="395">
        <v>38848</v>
      </c>
      <c r="B1347" s="406" t="s">
        <v>10089</v>
      </c>
      <c r="C1347" s="395" t="s">
        <v>2021</v>
      </c>
      <c r="D1347" s="407">
        <f t="shared" ref="D1347:D1410" si="42">IF($J$2=$F$1,F1347,G1347)</f>
        <v>11.77</v>
      </c>
      <c r="F1347" s="680">
        <v>11.77</v>
      </c>
      <c r="G1347" s="680">
        <v>11.77</v>
      </c>
      <c r="H1347" t="b">
        <f t="shared" ref="H1347:H1410" si="43">F1347=G1347</f>
        <v>1</v>
      </c>
    </row>
    <row r="1348" spans="1:8" ht="30">
      <c r="A1348" s="396">
        <v>38851</v>
      </c>
      <c r="B1348" s="401" t="s">
        <v>10090</v>
      </c>
      <c r="C1348" s="396" t="s">
        <v>2021</v>
      </c>
      <c r="D1348" s="405">
        <f t="shared" si="42"/>
        <v>20.3</v>
      </c>
      <c r="F1348" s="679">
        <v>20.3</v>
      </c>
      <c r="G1348" s="679">
        <v>20.3</v>
      </c>
      <c r="H1348" t="b">
        <f t="shared" si="43"/>
        <v>1</v>
      </c>
    </row>
    <row r="1349" spans="1:8" ht="30">
      <c r="A1349" s="395">
        <v>38854</v>
      </c>
      <c r="B1349" s="406" t="s">
        <v>10091</v>
      </c>
      <c r="C1349" s="395" t="s">
        <v>2021</v>
      </c>
      <c r="D1349" s="407">
        <f t="shared" si="42"/>
        <v>8.81</v>
      </c>
      <c r="F1349" s="680">
        <v>8.81</v>
      </c>
      <c r="G1349" s="680">
        <v>8.81</v>
      </c>
      <c r="H1349" t="b">
        <f t="shared" si="43"/>
        <v>1</v>
      </c>
    </row>
    <row r="1350" spans="1:8">
      <c r="A1350" s="396">
        <v>44247</v>
      </c>
      <c r="B1350" s="401" t="s">
        <v>10092</v>
      </c>
      <c r="C1350" s="396" t="s">
        <v>2021</v>
      </c>
      <c r="D1350" s="405">
        <f t="shared" si="42"/>
        <v>1499.8</v>
      </c>
      <c r="F1350" s="679">
        <v>1499.8</v>
      </c>
      <c r="G1350" s="679">
        <v>1499.8</v>
      </c>
      <c r="H1350" t="b">
        <f t="shared" si="43"/>
        <v>1</v>
      </c>
    </row>
    <row r="1351" spans="1:8">
      <c r="A1351" s="395">
        <v>38005</v>
      </c>
      <c r="B1351" s="406" t="s">
        <v>10093</v>
      </c>
      <c r="C1351" s="395" t="s">
        <v>2021</v>
      </c>
      <c r="D1351" s="407">
        <f t="shared" si="42"/>
        <v>17.829999999999998</v>
      </c>
      <c r="F1351" s="680">
        <v>17.829999999999998</v>
      </c>
      <c r="G1351" s="680">
        <v>17.829999999999998</v>
      </c>
      <c r="H1351" t="b">
        <f t="shared" si="43"/>
        <v>1</v>
      </c>
    </row>
    <row r="1352" spans="1:8">
      <c r="A1352" s="396">
        <v>38006</v>
      </c>
      <c r="B1352" s="401" t="s">
        <v>10094</v>
      </c>
      <c r="C1352" s="396" t="s">
        <v>2021</v>
      </c>
      <c r="D1352" s="405">
        <f t="shared" si="42"/>
        <v>23.7</v>
      </c>
      <c r="F1352" s="679">
        <v>23.7</v>
      </c>
      <c r="G1352" s="679">
        <v>23.7</v>
      </c>
      <c r="H1352" t="b">
        <f t="shared" si="43"/>
        <v>1</v>
      </c>
    </row>
    <row r="1353" spans="1:8">
      <c r="A1353" s="395">
        <v>38428</v>
      </c>
      <c r="B1353" s="406" t="s">
        <v>10095</v>
      </c>
      <c r="C1353" s="395" t="s">
        <v>2021</v>
      </c>
      <c r="D1353" s="407">
        <f t="shared" si="42"/>
        <v>21.22</v>
      </c>
      <c r="F1353" s="680">
        <v>21.22</v>
      </c>
      <c r="G1353" s="680">
        <v>21.22</v>
      </c>
      <c r="H1353" t="b">
        <f t="shared" si="43"/>
        <v>1</v>
      </c>
    </row>
    <row r="1354" spans="1:8">
      <c r="A1354" s="396">
        <v>38007</v>
      </c>
      <c r="B1354" s="401" t="s">
        <v>10096</v>
      </c>
      <c r="C1354" s="396" t="s">
        <v>2021</v>
      </c>
      <c r="D1354" s="405">
        <f t="shared" si="42"/>
        <v>27.34</v>
      </c>
      <c r="F1354" s="679">
        <v>27.34</v>
      </c>
      <c r="G1354" s="679">
        <v>27.34</v>
      </c>
      <c r="H1354" t="b">
        <f t="shared" si="43"/>
        <v>1</v>
      </c>
    </row>
    <row r="1355" spans="1:8">
      <c r="A1355" s="395">
        <v>38008</v>
      </c>
      <c r="B1355" s="406" t="s">
        <v>10097</v>
      </c>
      <c r="C1355" s="395" t="s">
        <v>2021</v>
      </c>
      <c r="D1355" s="407">
        <f t="shared" si="42"/>
        <v>43.75</v>
      </c>
      <c r="F1355" s="680">
        <v>43.75</v>
      </c>
      <c r="G1355" s="680">
        <v>43.75</v>
      </c>
      <c r="H1355" t="b">
        <f t="shared" si="43"/>
        <v>1</v>
      </c>
    </row>
    <row r="1356" spans="1:8">
      <c r="A1356" s="396">
        <v>38009</v>
      </c>
      <c r="B1356" s="401" t="s">
        <v>10098</v>
      </c>
      <c r="C1356" s="396" t="s">
        <v>2021</v>
      </c>
      <c r="D1356" s="405">
        <f t="shared" si="42"/>
        <v>53.56</v>
      </c>
      <c r="F1356" s="679">
        <v>53.56</v>
      </c>
      <c r="G1356" s="679">
        <v>53.56</v>
      </c>
      <c r="H1356" t="b">
        <f t="shared" si="43"/>
        <v>1</v>
      </c>
    </row>
    <row r="1357" spans="1:8">
      <c r="A1357" s="395">
        <v>44248</v>
      </c>
      <c r="B1357" s="406" t="s">
        <v>10099</v>
      </c>
      <c r="C1357" s="395" t="s">
        <v>2021</v>
      </c>
      <c r="D1357" s="407">
        <f t="shared" si="42"/>
        <v>87.3</v>
      </c>
      <c r="F1357" s="680">
        <v>87.3</v>
      </c>
      <c r="G1357" s="680">
        <v>87.3</v>
      </c>
      <c r="H1357" t="b">
        <f t="shared" si="43"/>
        <v>1</v>
      </c>
    </row>
    <row r="1358" spans="1:8">
      <c r="A1358" s="396">
        <v>44249</v>
      </c>
      <c r="B1358" s="401" t="s">
        <v>10100</v>
      </c>
      <c r="C1358" s="396" t="s">
        <v>2021</v>
      </c>
      <c r="D1358" s="405">
        <f t="shared" si="42"/>
        <v>336.84</v>
      </c>
      <c r="F1358" s="679">
        <v>336.84</v>
      </c>
      <c r="G1358" s="679">
        <v>336.84</v>
      </c>
      <c r="H1358" t="b">
        <f t="shared" si="43"/>
        <v>1</v>
      </c>
    </row>
    <row r="1359" spans="1:8">
      <c r="A1359" s="395">
        <v>44250</v>
      </c>
      <c r="B1359" s="406" t="s">
        <v>10101</v>
      </c>
      <c r="C1359" s="395" t="s">
        <v>2021</v>
      </c>
      <c r="D1359" s="407">
        <f t="shared" si="42"/>
        <v>489.16</v>
      </c>
      <c r="F1359" s="680">
        <v>489.16</v>
      </c>
      <c r="G1359" s="680">
        <v>489.16</v>
      </c>
      <c r="H1359" t="b">
        <f t="shared" si="43"/>
        <v>1</v>
      </c>
    </row>
    <row r="1360" spans="1:8" ht="45">
      <c r="A1360" s="396">
        <v>3104</v>
      </c>
      <c r="B1360" s="401" t="s">
        <v>10102</v>
      </c>
      <c r="C1360" s="396" t="s">
        <v>2032</v>
      </c>
      <c r="D1360" s="405">
        <f t="shared" si="42"/>
        <v>182.43</v>
      </c>
      <c r="F1360" s="679">
        <v>182.43</v>
      </c>
      <c r="G1360" s="679">
        <v>182.43</v>
      </c>
      <c r="H1360" t="b">
        <f t="shared" si="43"/>
        <v>1</v>
      </c>
    </row>
    <row r="1361" spans="1:8">
      <c r="A1361" s="395">
        <v>1607</v>
      </c>
      <c r="B1361" s="406" t="s">
        <v>10103</v>
      </c>
      <c r="C1361" s="395" t="s">
        <v>2032</v>
      </c>
      <c r="D1361" s="407">
        <f t="shared" si="42"/>
        <v>0.24</v>
      </c>
      <c r="F1361" s="680">
        <v>0.24</v>
      </c>
      <c r="G1361" s="680">
        <v>0.24</v>
      </c>
      <c r="H1361" t="b">
        <f t="shared" si="43"/>
        <v>1</v>
      </c>
    </row>
    <row r="1362" spans="1:8" ht="30">
      <c r="A1362" s="396">
        <v>38169</v>
      </c>
      <c r="B1362" s="401" t="s">
        <v>10104</v>
      </c>
      <c r="C1362" s="396" t="s">
        <v>2032</v>
      </c>
      <c r="D1362" s="405">
        <f t="shared" si="42"/>
        <v>89.83</v>
      </c>
      <c r="F1362" s="679">
        <v>89.83</v>
      </c>
      <c r="G1362" s="679">
        <v>89.83</v>
      </c>
      <c r="H1362" t="b">
        <f t="shared" si="43"/>
        <v>1</v>
      </c>
    </row>
    <row r="1363" spans="1:8">
      <c r="A1363" s="395">
        <v>6142</v>
      </c>
      <c r="B1363" s="406" t="s">
        <v>10105</v>
      </c>
      <c r="C1363" s="395" t="s">
        <v>2021</v>
      </c>
      <c r="D1363" s="407">
        <f t="shared" si="42"/>
        <v>9.0299999999999994</v>
      </c>
      <c r="F1363" s="680">
        <v>9.0299999999999994</v>
      </c>
      <c r="G1363" s="680">
        <v>9.0299999999999994</v>
      </c>
      <c r="H1363" t="b">
        <f t="shared" si="43"/>
        <v>1</v>
      </c>
    </row>
    <row r="1364" spans="1:8" ht="30">
      <c r="A1364" s="396">
        <v>11686</v>
      </c>
      <c r="B1364" s="401" t="s">
        <v>10106</v>
      </c>
      <c r="C1364" s="396" t="s">
        <v>2021</v>
      </c>
      <c r="D1364" s="405">
        <f t="shared" si="42"/>
        <v>12.53</v>
      </c>
      <c r="F1364" s="679">
        <v>12.53</v>
      </c>
      <c r="G1364" s="679">
        <v>12.53</v>
      </c>
      <c r="H1364" t="b">
        <f t="shared" si="43"/>
        <v>1</v>
      </c>
    </row>
    <row r="1365" spans="1:8">
      <c r="A1365" s="395">
        <v>37598</v>
      </c>
      <c r="B1365" s="406" t="s">
        <v>10107</v>
      </c>
      <c r="C1365" s="395" t="s">
        <v>2021</v>
      </c>
      <c r="D1365" s="407">
        <f t="shared" si="42"/>
        <v>43.03</v>
      </c>
      <c r="F1365" s="680">
        <v>43.03</v>
      </c>
      <c r="G1365" s="680">
        <v>43.03</v>
      </c>
      <c r="H1365" t="b">
        <f t="shared" si="43"/>
        <v>1</v>
      </c>
    </row>
    <row r="1366" spans="1:8" ht="30">
      <c r="A1366" s="396">
        <v>25398</v>
      </c>
      <c r="B1366" s="401" t="s">
        <v>13885</v>
      </c>
      <c r="C1366" s="396" t="s">
        <v>2021</v>
      </c>
      <c r="D1366" s="405">
        <f t="shared" si="42"/>
        <v>4529.58</v>
      </c>
      <c r="F1366" s="679">
        <v>4529.58</v>
      </c>
      <c r="G1366" s="679">
        <v>4529.58</v>
      </c>
      <c r="H1366" t="b">
        <f t="shared" si="43"/>
        <v>1</v>
      </c>
    </row>
    <row r="1367" spans="1:8" ht="30">
      <c r="A1367" s="395">
        <v>25399</v>
      </c>
      <c r="B1367" s="406" t="s">
        <v>10108</v>
      </c>
      <c r="C1367" s="395" t="s">
        <v>2021</v>
      </c>
      <c r="D1367" s="407">
        <f t="shared" si="42"/>
        <v>2749.85</v>
      </c>
      <c r="F1367" s="680">
        <v>2749.85</v>
      </c>
      <c r="G1367" s="680">
        <v>2749.85</v>
      </c>
      <c r="H1367" t="b">
        <f t="shared" si="43"/>
        <v>1</v>
      </c>
    </row>
    <row r="1368" spans="1:8" ht="30">
      <c r="A1368" s="396">
        <v>43440</v>
      </c>
      <c r="B1368" s="401" t="s">
        <v>10109</v>
      </c>
      <c r="C1368" s="396" t="s">
        <v>2021</v>
      </c>
      <c r="D1368" s="405">
        <f t="shared" si="42"/>
        <v>466.76</v>
      </c>
      <c r="F1368" s="679">
        <v>466.76</v>
      </c>
      <c r="G1368" s="679">
        <v>466.76</v>
      </c>
      <c r="H1368" t="b">
        <f t="shared" si="43"/>
        <v>1</v>
      </c>
    </row>
    <row r="1369" spans="1:8" ht="30">
      <c r="A1369" s="395">
        <v>10667</v>
      </c>
      <c r="B1369" s="406" t="s">
        <v>10110</v>
      </c>
      <c r="C1369" s="395" t="s">
        <v>2021</v>
      </c>
      <c r="D1369" s="407">
        <f t="shared" si="42"/>
        <v>22500</v>
      </c>
      <c r="F1369" s="680">
        <v>22500</v>
      </c>
      <c r="G1369" s="680">
        <v>22500</v>
      </c>
      <c r="H1369" t="b">
        <f t="shared" si="43"/>
        <v>1</v>
      </c>
    </row>
    <row r="1370" spans="1:8">
      <c r="A1370" s="396">
        <v>1613</v>
      </c>
      <c r="B1370" s="401" t="s">
        <v>10111</v>
      </c>
      <c r="C1370" s="396" t="s">
        <v>2021</v>
      </c>
      <c r="D1370" s="405">
        <f t="shared" si="42"/>
        <v>1022.07</v>
      </c>
      <c r="F1370" s="679">
        <v>1022.07</v>
      </c>
      <c r="G1370" s="679">
        <v>1022.07</v>
      </c>
      <c r="H1370" t="b">
        <f t="shared" si="43"/>
        <v>1</v>
      </c>
    </row>
    <row r="1371" spans="1:8">
      <c r="A1371" s="395">
        <v>1626</v>
      </c>
      <c r="B1371" s="406" t="s">
        <v>10112</v>
      </c>
      <c r="C1371" s="395" t="s">
        <v>2021</v>
      </c>
      <c r="D1371" s="407">
        <f t="shared" si="42"/>
        <v>1528.63</v>
      </c>
      <c r="F1371" s="680">
        <v>1528.63</v>
      </c>
      <c r="G1371" s="680">
        <v>1528.63</v>
      </c>
      <c r="H1371" t="b">
        <f t="shared" si="43"/>
        <v>1</v>
      </c>
    </row>
    <row r="1372" spans="1:8">
      <c r="A1372" s="396">
        <v>1625</v>
      </c>
      <c r="B1372" s="401" t="s">
        <v>10113</v>
      </c>
      <c r="C1372" s="396" t="s">
        <v>2021</v>
      </c>
      <c r="D1372" s="405">
        <f t="shared" si="42"/>
        <v>106.77</v>
      </c>
      <c r="F1372" s="679">
        <v>106.77</v>
      </c>
      <c r="G1372" s="679">
        <v>106.77</v>
      </c>
      <c r="H1372" t="b">
        <f t="shared" si="43"/>
        <v>1</v>
      </c>
    </row>
    <row r="1373" spans="1:8">
      <c r="A1373" s="395">
        <v>1622</v>
      </c>
      <c r="B1373" s="406" t="s">
        <v>10114</v>
      </c>
      <c r="C1373" s="395" t="s">
        <v>2021</v>
      </c>
      <c r="D1373" s="407">
        <f t="shared" si="42"/>
        <v>3449.49</v>
      </c>
      <c r="F1373" s="680">
        <v>3449.49</v>
      </c>
      <c r="G1373" s="680">
        <v>3449.49</v>
      </c>
      <c r="H1373" t="b">
        <f t="shared" si="43"/>
        <v>1</v>
      </c>
    </row>
    <row r="1374" spans="1:8">
      <c r="A1374" s="396">
        <v>1620</v>
      </c>
      <c r="B1374" s="401" t="s">
        <v>10115</v>
      </c>
      <c r="C1374" s="396" t="s">
        <v>2021</v>
      </c>
      <c r="D1374" s="405">
        <f t="shared" si="42"/>
        <v>224.91</v>
      </c>
      <c r="F1374" s="679">
        <v>224.91</v>
      </c>
      <c r="G1374" s="679">
        <v>224.91</v>
      </c>
      <c r="H1374" t="b">
        <f t="shared" si="43"/>
        <v>1</v>
      </c>
    </row>
    <row r="1375" spans="1:8">
      <c r="A1375" s="395">
        <v>1629</v>
      </c>
      <c r="B1375" s="406" t="s">
        <v>10116</v>
      </c>
      <c r="C1375" s="395" t="s">
        <v>2021</v>
      </c>
      <c r="D1375" s="407">
        <f t="shared" si="42"/>
        <v>8395.23</v>
      </c>
      <c r="F1375" s="680">
        <v>8395.23</v>
      </c>
      <c r="G1375" s="680">
        <v>8395.23</v>
      </c>
      <c r="H1375" t="b">
        <f t="shared" si="43"/>
        <v>1</v>
      </c>
    </row>
    <row r="1376" spans="1:8">
      <c r="A1376" s="396">
        <v>1627</v>
      </c>
      <c r="B1376" s="401" t="s">
        <v>10117</v>
      </c>
      <c r="C1376" s="396" t="s">
        <v>2021</v>
      </c>
      <c r="D1376" s="405">
        <f t="shared" si="42"/>
        <v>429.91</v>
      </c>
      <c r="F1376" s="679">
        <v>429.91</v>
      </c>
      <c r="G1376" s="679">
        <v>429.91</v>
      </c>
      <c r="H1376" t="b">
        <f t="shared" si="43"/>
        <v>1</v>
      </c>
    </row>
    <row r="1377" spans="1:8">
      <c r="A1377" s="395">
        <v>1623</v>
      </c>
      <c r="B1377" s="406" t="s">
        <v>10118</v>
      </c>
      <c r="C1377" s="395" t="s">
        <v>2021</v>
      </c>
      <c r="D1377" s="407">
        <f t="shared" si="42"/>
        <v>87.07</v>
      </c>
      <c r="F1377" s="680">
        <v>87.07</v>
      </c>
      <c r="G1377" s="680">
        <v>87.07</v>
      </c>
      <c r="H1377" t="b">
        <f t="shared" si="43"/>
        <v>1</v>
      </c>
    </row>
    <row r="1378" spans="1:8">
      <c r="A1378" s="396">
        <v>1619</v>
      </c>
      <c r="B1378" s="401" t="s">
        <v>10119</v>
      </c>
      <c r="C1378" s="396" t="s">
        <v>2021</v>
      </c>
      <c r="D1378" s="405">
        <f t="shared" si="42"/>
        <v>119.77</v>
      </c>
      <c r="F1378" s="679">
        <v>119.77</v>
      </c>
      <c r="G1378" s="679">
        <v>119.77</v>
      </c>
      <c r="H1378" t="b">
        <f t="shared" si="43"/>
        <v>1</v>
      </c>
    </row>
    <row r="1379" spans="1:8">
      <c r="A1379" s="395">
        <v>1630</v>
      </c>
      <c r="B1379" s="406" t="s">
        <v>10120</v>
      </c>
      <c r="C1379" s="395" t="s">
        <v>2021</v>
      </c>
      <c r="D1379" s="407">
        <f t="shared" si="42"/>
        <v>2637.2</v>
      </c>
      <c r="F1379" s="680">
        <v>2637.2</v>
      </c>
      <c r="G1379" s="680">
        <v>2637.2</v>
      </c>
      <c r="H1379" t="b">
        <f t="shared" si="43"/>
        <v>1</v>
      </c>
    </row>
    <row r="1380" spans="1:8">
      <c r="A1380" s="396">
        <v>1616</v>
      </c>
      <c r="B1380" s="401" t="s">
        <v>10121</v>
      </c>
      <c r="C1380" s="396" t="s">
        <v>2021</v>
      </c>
      <c r="D1380" s="405">
        <f t="shared" si="42"/>
        <v>4056.07</v>
      </c>
      <c r="F1380" s="679">
        <v>4056.07</v>
      </c>
      <c r="G1380" s="679">
        <v>4056.07</v>
      </c>
      <c r="H1380" t="b">
        <f t="shared" si="43"/>
        <v>1</v>
      </c>
    </row>
    <row r="1381" spans="1:8">
      <c r="A1381" s="395">
        <v>1614</v>
      </c>
      <c r="B1381" s="406" t="s">
        <v>10122</v>
      </c>
      <c r="C1381" s="395" t="s">
        <v>2021</v>
      </c>
      <c r="D1381" s="407">
        <f t="shared" si="42"/>
        <v>185.37</v>
      </c>
      <c r="F1381" s="680">
        <v>185.37</v>
      </c>
      <c r="G1381" s="680">
        <v>185.37</v>
      </c>
      <c r="H1381" t="b">
        <f t="shared" si="43"/>
        <v>1</v>
      </c>
    </row>
    <row r="1382" spans="1:8">
      <c r="A1382" s="396">
        <v>1617</v>
      </c>
      <c r="B1382" s="401" t="s">
        <v>10123</v>
      </c>
      <c r="C1382" s="396" t="s">
        <v>2021</v>
      </c>
      <c r="D1382" s="405">
        <f t="shared" si="42"/>
        <v>4842.07</v>
      </c>
      <c r="F1382" s="679">
        <v>4842.07</v>
      </c>
      <c r="G1382" s="679">
        <v>4842.07</v>
      </c>
      <c r="H1382" t="b">
        <f t="shared" si="43"/>
        <v>1</v>
      </c>
    </row>
    <row r="1383" spans="1:8">
      <c r="A1383" s="395">
        <v>1621</v>
      </c>
      <c r="B1383" s="406" t="s">
        <v>10124</v>
      </c>
      <c r="C1383" s="395" t="s">
        <v>2021</v>
      </c>
      <c r="D1383" s="407">
        <f t="shared" si="42"/>
        <v>331.54</v>
      </c>
      <c r="F1383" s="680">
        <v>331.54</v>
      </c>
      <c r="G1383" s="680">
        <v>331.54</v>
      </c>
      <c r="H1383" t="b">
        <f t="shared" si="43"/>
        <v>1</v>
      </c>
    </row>
    <row r="1384" spans="1:8">
      <c r="A1384" s="396">
        <v>1624</v>
      </c>
      <c r="B1384" s="401" t="s">
        <v>10125</v>
      </c>
      <c r="C1384" s="396" t="s">
        <v>2021</v>
      </c>
      <c r="D1384" s="405">
        <f t="shared" si="42"/>
        <v>11902.04</v>
      </c>
      <c r="F1384" s="679">
        <v>11902.04</v>
      </c>
      <c r="G1384" s="679">
        <v>11902.04</v>
      </c>
      <c r="H1384" t="b">
        <f t="shared" si="43"/>
        <v>1</v>
      </c>
    </row>
    <row r="1385" spans="1:8">
      <c r="A1385" s="395">
        <v>1615</v>
      </c>
      <c r="B1385" s="406" t="s">
        <v>10126</v>
      </c>
      <c r="C1385" s="395" t="s">
        <v>2021</v>
      </c>
      <c r="D1385" s="407">
        <f t="shared" si="42"/>
        <v>622.58000000000004</v>
      </c>
      <c r="F1385" s="680">
        <v>622.58000000000004</v>
      </c>
      <c r="G1385" s="680">
        <v>622.58000000000004</v>
      </c>
      <c r="H1385" t="b">
        <f t="shared" si="43"/>
        <v>1</v>
      </c>
    </row>
    <row r="1386" spans="1:8">
      <c r="A1386" s="396">
        <v>1612</v>
      </c>
      <c r="B1386" s="401" t="s">
        <v>10127</v>
      </c>
      <c r="C1386" s="396" t="s">
        <v>2021</v>
      </c>
      <c r="D1386" s="405">
        <f t="shared" si="42"/>
        <v>82</v>
      </c>
      <c r="F1386" s="679">
        <v>82</v>
      </c>
      <c r="G1386" s="679">
        <v>82</v>
      </c>
      <c r="H1386" t="b">
        <f t="shared" si="43"/>
        <v>1</v>
      </c>
    </row>
    <row r="1387" spans="1:8">
      <c r="A1387" s="395">
        <v>1618</v>
      </c>
      <c r="B1387" s="406" t="s">
        <v>10128</v>
      </c>
      <c r="C1387" s="395" t="s">
        <v>2021</v>
      </c>
      <c r="D1387" s="407">
        <f t="shared" si="42"/>
        <v>855.52</v>
      </c>
      <c r="F1387" s="680">
        <v>855.52</v>
      </c>
      <c r="G1387" s="680">
        <v>855.52</v>
      </c>
      <c r="H1387" t="b">
        <f t="shared" si="43"/>
        <v>1</v>
      </c>
    </row>
    <row r="1388" spans="1:8">
      <c r="A1388" s="396">
        <v>14211</v>
      </c>
      <c r="B1388" s="401" t="s">
        <v>10129</v>
      </c>
      <c r="C1388" s="396" t="s">
        <v>2021</v>
      </c>
      <c r="D1388" s="405">
        <f t="shared" si="42"/>
        <v>47.6</v>
      </c>
      <c r="F1388" s="679">
        <v>47.6</v>
      </c>
      <c r="G1388" s="679">
        <v>47.6</v>
      </c>
      <c r="H1388" t="b">
        <f t="shared" si="43"/>
        <v>1</v>
      </c>
    </row>
    <row r="1389" spans="1:8" ht="30">
      <c r="A1389" s="395">
        <v>43657</v>
      </c>
      <c r="B1389" s="406" t="s">
        <v>10130</v>
      </c>
      <c r="C1389" s="395" t="s">
        <v>2024</v>
      </c>
      <c r="D1389" s="407">
        <f t="shared" si="42"/>
        <v>7.59</v>
      </c>
      <c r="F1389" s="680">
        <v>7.59</v>
      </c>
      <c r="G1389" s="680">
        <v>7.59</v>
      </c>
      <c r="H1389" t="b">
        <f t="shared" si="43"/>
        <v>1</v>
      </c>
    </row>
    <row r="1390" spans="1:8">
      <c r="A1390" s="396">
        <v>34500</v>
      </c>
      <c r="B1390" s="401" t="s">
        <v>10131</v>
      </c>
      <c r="C1390" s="396" t="s">
        <v>2020</v>
      </c>
      <c r="D1390" s="405">
        <f t="shared" si="42"/>
        <v>133.04</v>
      </c>
      <c r="F1390" s="679">
        <v>133.04</v>
      </c>
      <c r="G1390" s="679">
        <v>153.06</v>
      </c>
      <c r="H1390" t="b">
        <f t="shared" si="43"/>
        <v>0</v>
      </c>
    </row>
    <row r="1391" spans="1:8">
      <c r="A1391" s="395">
        <v>40934</v>
      </c>
      <c r="B1391" s="406" t="s">
        <v>10132</v>
      </c>
      <c r="C1391" s="395" t="s">
        <v>2027</v>
      </c>
      <c r="D1391" s="407">
        <f t="shared" si="42"/>
        <v>23449.94</v>
      </c>
      <c r="F1391" s="680">
        <v>23449.94</v>
      </c>
      <c r="G1391" s="680">
        <v>27012.95</v>
      </c>
      <c r="H1391" t="b">
        <f t="shared" si="43"/>
        <v>0</v>
      </c>
    </row>
    <row r="1392" spans="1:8">
      <c r="A1392" s="396">
        <v>38200</v>
      </c>
      <c r="B1392" s="401" t="s">
        <v>10133</v>
      </c>
      <c r="C1392" s="396" t="s">
        <v>2033</v>
      </c>
      <c r="D1392" s="405">
        <f t="shared" si="42"/>
        <v>678.65</v>
      </c>
      <c r="F1392" s="679">
        <v>678.65</v>
      </c>
      <c r="G1392" s="679">
        <v>678.65</v>
      </c>
      <c r="H1392" t="b">
        <f t="shared" si="43"/>
        <v>1</v>
      </c>
    </row>
    <row r="1393" spans="1:8">
      <c r="A1393" s="395">
        <v>39269</v>
      </c>
      <c r="B1393" s="406" t="s">
        <v>10134</v>
      </c>
      <c r="C1393" s="395" t="s">
        <v>2024</v>
      </c>
      <c r="D1393" s="407">
        <f t="shared" si="42"/>
        <v>1.29</v>
      </c>
      <c r="F1393" s="680">
        <v>1.29</v>
      </c>
      <c r="G1393" s="680">
        <v>1.29</v>
      </c>
      <c r="H1393" t="b">
        <f t="shared" si="43"/>
        <v>1</v>
      </c>
    </row>
    <row r="1394" spans="1:8">
      <c r="A1394" s="396">
        <v>11889</v>
      </c>
      <c r="B1394" s="401" t="s">
        <v>10135</v>
      </c>
      <c r="C1394" s="396" t="s">
        <v>2024</v>
      </c>
      <c r="D1394" s="405">
        <f t="shared" si="42"/>
        <v>1.78</v>
      </c>
      <c r="F1394" s="679">
        <v>1.78</v>
      </c>
      <c r="G1394" s="679">
        <v>1.78</v>
      </c>
      <c r="H1394" t="b">
        <f t="shared" si="43"/>
        <v>1</v>
      </c>
    </row>
    <row r="1395" spans="1:8">
      <c r="A1395" s="395">
        <v>39270</v>
      </c>
      <c r="B1395" s="406" t="s">
        <v>10136</v>
      </c>
      <c r="C1395" s="395" t="s">
        <v>2024</v>
      </c>
      <c r="D1395" s="407">
        <f t="shared" si="42"/>
        <v>2.31</v>
      </c>
      <c r="F1395" s="680">
        <v>2.31</v>
      </c>
      <c r="G1395" s="680">
        <v>2.31</v>
      </c>
      <c r="H1395" t="b">
        <f t="shared" si="43"/>
        <v>1</v>
      </c>
    </row>
    <row r="1396" spans="1:8">
      <c r="A1396" s="396">
        <v>11890</v>
      </c>
      <c r="B1396" s="401" t="s">
        <v>10137</v>
      </c>
      <c r="C1396" s="396" t="s">
        <v>2024</v>
      </c>
      <c r="D1396" s="405">
        <f t="shared" si="42"/>
        <v>3.15</v>
      </c>
      <c r="F1396" s="679">
        <v>3.15</v>
      </c>
      <c r="G1396" s="679">
        <v>3.15</v>
      </c>
      <c r="H1396" t="b">
        <f t="shared" si="43"/>
        <v>1</v>
      </c>
    </row>
    <row r="1397" spans="1:8">
      <c r="A1397" s="395">
        <v>11891</v>
      </c>
      <c r="B1397" s="406" t="s">
        <v>10138</v>
      </c>
      <c r="C1397" s="395" t="s">
        <v>2024</v>
      </c>
      <c r="D1397" s="407">
        <f t="shared" si="42"/>
        <v>5.0999999999999996</v>
      </c>
      <c r="F1397" s="680">
        <v>5.0999999999999996</v>
      </c>
      <c r="G1397" s="680">
        <v>5.0999999999999996</v>
      </c>
      <c r="H1397" t="b">
        <f t="shared" si="43"/>
        <v>1</v>
      </c>
    </row>
    <row r="1398" spans="1:8">
      <c r="A1398" s="396">
        <v>11892</v>
      </c>
      <c r="B1398" s="401" t="s">
        <v>10139</v>
      </c>
      <c r="C1398" s="396" t="s">
        <v>2024</v>
      </c>
      <c r="D1398" s="405">
        <f t="shared" si="42"/>
        <v>8.34</v>
      </c>
      <c r="F1398" s="679">
        <v>8.34</v>
      </c>
      <c r="G1398" s="679">
        <v>8.34</v>
      </c>
      <c r="H1398" t="b">
        <f t="shared" si="43"/>
        <v>1</v>
      </c>
    </row>
    <row r="1399" spans="1:8">
      <c r="A1399" s="395">
        <v>37601</v>
      </c>
      <c r="B1399" s="406" t="s">
        <v>10140</v>
      </c>
      <c r="C1399" s="395" t="s">
        <v>2024</v>
      </c>
      <c r="D1399" s="407">
        <f t="shared" si="42"/>
        <v>9.56</v>
      </c>
      <c r="F1399" s="680">
        <v>9.56</v>
      </c>
      <c r="G1399" s="680">
        <v>9.56</v>
      </c>
      <c r="H1399" t="b">
        <f t="shared" si="43"/>
        <v>1</v>
      </c>
    </row>
    <row r="1400" spans="1:8">
      <c r="A1400" s="396">
        <v>1634</v>
      </c>
      <c r="B1400" s="401" t="s">
        <v>10141</v>
      </c>
      <c r="C1400" s="396" t="s">
        <v>2024</v>
      </c>
      <c r="D1400" s="405">
        <f t="shared" si="42"/>
        <v>9.8800000000000008</v>
      </c>
      <c r="F1400" s="679">
        <v>9.8800000000000008</v>
      </c>
      <c r="G1400" s="679">
        <v>9.8800000000000008</v>
      </c>
      <c r="H1400" t="b">
        <f t="shared" si="43"/>
        <v>1</v>
      </c>
    </row>
    <row r="1401" spans="1:8">
      <c r="A1401" s="395">
        <v>5086</v>
      </c>
      <c r="B1401" s="406" t="s">
        <v>10142</v>
      </c>
      <c r="C1401" s="395" t="s">
        <v>2025</v>
      </c>
      <c r="D1401" s="407">
        <f t="shared" si="42"/>
        <v>37.19</v>
      </c>
      <c r="F1401" s="680">
        <v>37.19</v>
      </c>
      <c r="G1401" s="680">
        <v>37.19</v>
      </c>
      <c r="H1401" t="b">
        <f t="shared" si="43"/>
        <v>1</v>
      </c>
    </row>
    <row r="1402" spans="1:8" ht="30">
      <c r="A1402" s="396">
        <v>11280</v>
      </c>
      <c r="B1402" s="401" t="s">
        <v>10143</v>
      </c>
      <c r="C1402" s="396" t="s">
        <v>2021</v>
      </c>
      <c r="D1402" s="405">
        <f t="shared" si="42"/>
        <v>14603.05</v>
      </c>
      <c r="F1402" s="679">
        <v>14603.05</v>
      </c>
      <c r="G1402" s="679">
        <v>14603.05</v>
      </c>
      <c r="H1402" t="b">
        <f t="shared" si="43"/>
        <v>1</v>
      </c>
    </row>
    <row r="1403" spans="1:8" ht="30">
      <c r="A1403" s="395">
        <v>40519</v>
      </c>
      <c r="B1403" s="406" t="s">
        <v>10144</v>
      </c>
      <c r="C1403" s="395" t="s">
        <v>2021</v>
      </c>
      <c r="D1403" s="407">
        <f t="shared" si="42"/>
        <v>120382.52</v>
      </c>
      <c r="F1403" s="680">
        <v>120382.52</v>
      </c>
      <c r="G1403" s="680">
        <v>120382.52</v>
      </c>
      <c r="H1403" t="b">
        <f t="shared" si="43"/>
        <v>1</v>
      </c>
    </row>
    <row r="1404" spans="1:8">
      <c r="A1404" s="396">
        <v>39869</v>
      </c>
      <c r="B1404" s="401" t="s">
        <v>10145</v>
      </c>
      <c r="C1404" s="396" t="s">
        <v>2021</v>
      </c>
      <c r="D1404" s="405">
        <f t="shared" si="42"/>
        <v>13.26</v>
      </c>
      <c r="F1404" s="679">
        <v>13.26</v>
      </c>
      <c r="G1404" s="679">
        <v>13.26</v>
      </c>
      <c r="H1404" t="b">
        <f t="shared" si="43"/>
        <v>1</v>
      </c>
    </row>
    <row r="1405" spans="1:8">
      <c r="A1405" s="395">
        <v>39870</v>
      </c>
      <c r="B1405" s="406" t="s">
        <v>10146</v>
      </c>
      <c r="C1405" s="395" t="s">
        <v>2021</v>
      </c>
      <c r="D1405" s="407">
        <f t="shared" si="42"/>
        <v>20.29</v>
      </c>
      <c r="F1405" s="680">
        <v>20.29</v>
      </c>
      <c r="G1405" s="680">
        <v>20.29</v>
      </c>
      <c r="H1405" t="b">
        <f t="shared" si="43"/>
        <v>1</v>
      </c>
    </row>
    <row r="1406" spans="1:8">
      <c r="A1406" s="396">
        <v>39871</v>
      </c>
      <c r="B1406" s="401" t="s">
        <v>10147</v>
      </c>
      <c r="C1406" s="396" t="s">
        <v>2021</v>
      </c>
      <c r="D1406" s="405">
        <f t="shared" si="42"/>
        <v>22.74</v>
      </c>
      <c r="F1406" s="679">
        <v>22.74</v>
      </c>
      <c r="G1406" s="679">
        <v>22.74</v>
      </c>
      <c r="H1406" t="b">
        <f t="shared" si="43"/>
        <v>1</v>
      </c>
    </row>
    <row r="1407" spans="1:8">
      <c r="A1407" s="395">
        <v>12722</v>
      </c>
      <c r="B1407" s="406" t="s">
        <v>10148</v>
      </c>
      <c r="C1407" s="395" t="s">
        <v>2021</v>
      </c>
      <c r="D1407" s="407">
        <f t="shared" si="42"/>
        <v>761.05</v>
      </c>
      <c r="F1407" s="680">
        <v>761.05</v>
      </c>
      <c r="G1407" s="680">
        <v>761.05</v>
      </c>
      <c r="H1407" t="b">
        <f t="shared" si="43"/>
        <v>1</v>
      </c>
    </row>
    <row r="1408" spans="1:8">
      <c r="A1408" s="396">
        <v>12714</v>
      </c>
      <c r="B1408" s="401" t="s">
        <v>10149</v>
      </c>
      <c r="C1408" s="396" t="s">
        <v>2021</v>
      </c>
      <c r="D1408" s="405">
        <f t="shared" si="42"/>
        <v>4.97</v>
      </c>
      <c r="F1408" s="679">
        <v>4.97</v>
      </c>
      <c r="G1408" s="679">
        <v>4.97</v>
      </c>
      <c r="H1408" t="b">
        <f t="shared" si="43"/>
        <v>1</v>
      </c>
    </row>
    <row r="1409" spans="1:8">
      <c r="A1409" s="395">
        <v>12715</v>
      </c>
      <c r="B1409" s="406" t="s">
        <v>10150</v>
      </c>
      <c r="C1409" s="395" t="s">
        <v>2021</v>
      </c>
      <c r="D1409" s="407">
        <f t="shared" si="42"/>
        <v>11.21</v>
      </c>
      <c r="F1409" s="680">
        <v>11.21</v>
      </c>
      <c r="G1409" s="680">
        <v>11.21</v>
      </c>
      <c r="H1409" t="b">
        <f t="shared" si="43"/>
        <v>1</v>
      </c>
    </row>
    <row r="1410" spans="1:8">
      <c r="A1410" s="396">
        <v>12716</v>
      </c>
      <c r="B1410" s="401" t="s">
        <v>10151</v>
      </c>
      <c r="C1410" s="396" t="s">
        <v>2021</v>
      </c>
      <c r="D1410" s="405">
        <f t="shared" si="42"/>
        <v>19.260000000000002</v>
      </c>
      <c r="F1410" s="679">
        <v>19.260000000000002</v>
      </c>
      <c r="G1410" s="679">
        <v>19.260000000000002</v>
      </c>
      <c r="H1410" t="b">
        <f t="shared" si="43"/>
        <v>1</v>
      </c>
    </row>
    <row r="1411" spans="1:8">
      <c r="A1411" s="395">
        <v>12717</v>
      </c>
      <c r="B1411" s="406" t="s">
        <v>10152</v>
      </c>
      <c r="C1411" s="395" t="s">
        <v>2021</v>
      </c>
      <c r="D1411" s="407">
        <f t="shared" ref="D1411:D1474" si="44">IF($J$2=$F$1,F1411,G1411)</f>
        <v>37.86</v>
      </c>
      <c r="F1411" s="680">
        <v>37.86</v>
      </c>
      <c r="G1411" s="680">
        <v>37.86</v>
      </c>
      <c r="H1411" t="b">
        <f t="shared" ref="H1411:H1474" si="45">F1411=G1411</f>
        <v>1</v>
      </c>
    </row>
    <row r="1412" spans="1:8">
      <c r="A1412" s="396">
        <v>12718</v>
      </c>
      <c r="B1412" s="401" t="s">
        <v>10153</v>
      </c>
      <c r="C1412" s="396" t="s">
        <v>2021</v>
      </c>
      <c r="D1412" s="405">
        <f t="shared" si="44"/>
        <v>58.1</v>
      </c>
      <c r="F1412" s="679">
        <v>58.1</v>
      </c>
      <c r="G1412" s="679">
        <v>58.1</v>
      </c>
      <c r="H1412" t="b">
        <f t="shared" si="45"/>
        <v>1</v>
      </c>
    </row>
    <row r="1413" spans="1:8">
      <c r="A1413" s="395">
        <v>12719</v>
      </c>
      <c r="B1413" s="406" t="s">
        <v>10154</v>
      </c>
      <c r="C1413" s="395" t="s">
        <v>2021</v>
      </c>
      <c r="D1413" s="407">
        <f t="shared" si="44"/>
        <v>92.24</v>
      </c>
      <c r="F1413" s="680">
        <v>92.24</v>
      </c>
      <c r="G1413" s="680">
        <v>92.24</v>
      </c>
      <c r="H1413" t="b">
        <f t="shared" si="45"/>
        <v>1</v>
      </c>
    </row>
    <row r="1414" spans="1:8">
      <c r="A1414" s="396">
        <v>12720</v>
      </c>
      <c r="B1414" s="401" t="s">
        <v>10155</v>
      </c>
      <c r="C1414" s="396" t="s">
        <v>2021</v>
      </c>
      <c r="D1414" s="405">
        <f t="shared" si="44"/>
        <v>321.18</v>
      </c>
      <c r="F1414" s="679">
        <v>321.18</v>
      </c>
      <c r="G1414" s="679">
        <v>321.18</v>
      </c>
      <c r="H1414" t="b">
        <f t="shared" si="45"/>
        <v>1</v>
      </c>
    </row>
    <row r="1415" spans="1:8">
      <c r="A1415" s="395">
        <v>12721</v>
      </c>
      <c r="B1415" s="406" t="s">
        <v>10156</v>
      </c>
      <c r="C1415" s="395" t="s">
        <v>2021</v>
      </c>
      <c r="D1415" s="407">
        <f t="shared" si="44"/>
        <v>307.99</v>
      </c>
      <c r="F1415" s="680">
        <v>307.99</v>
      </c>
      <c r="G1415" s="680">
        <v>307.99</v>
      </c>
      <c r="H1415" t="b">
        <f t="shared" si="45"/>
        <v>1</v>
      </c>
    </row>
    <row r="1416" spans="1:8">
      <c r="A1416" s="396">
        <v>3468</v>
      </c>
      <c r="B1416" s="401" t="s">
        <v>10157</v>
      </c>
      <c r="C1416" s="396" t="s">
        <v>2021</v>
      </c>
      <c r="D1416" s="405">
        <f t="shared" si="44"/>
        <v>30.84</v>
      </c>
      <c r="F1416" s="679">
        <v>30.84</v>
      </c>
      <c r="G1416" s="679">
        <v>30.84</v>
      </c>
      <c r="H1416" t="b">
        <f t="shared" si="45"/>
        <v>1</v>
      </c>
    </row>
    <row r="1417" spans="1:8">
      <c r="A1417" s="395">
        <v>3465</v>
      </c>
      <c r="B1417" s="406" t="s">
        <v>10158</v>
      </c>
      <c r="C1417" s="395" t="s">
        <v>2021</v>
      </c>
      <c r="D1417" s="407">
        <f t="shared" si="44"/>
        <v>30.83</v>
      </c>
      <c r="F1417" s="680">
        <v>30.83</v>
      </c>
      <c r="G1417" s="680">
        <v>30.83</v>
      </c>
      <c r="H1417" t="b">
        <f t="shared" si="45"/>
        <v>1</v>
      </c>
    </row>
    <row r="1418" spans="1:8">
      <c r="A1418" s="396">
        <v>12403</v>
      </c>
      <c r="B1418" s="401" t="s">
        <v>10159</v>
      </c>
      <c r="C1418" s="396" t="s">
        <v>2021</v>
      </c>
      <c r="D1418" s="405">
        <f t="shared" si="44"/>
        <v>21.97</v>
      </c>
      <c r="F1418" s="679">
        <v>21.97</v>
      </c>
      <c r="G1418" s="679">
        <v>21.97</v>
      </c>
      <c r="H1418" t="b">
        <f t="shared" si="45"/>
        <v>1</v>
      </c>
    </row>
    <row r="1419" spans="1:8">
      <c r="A1419" s="395">
        <v>3463</v>
      </c>
      <c r="B1419" s="406" t="s">
        <v>10160</v>
      </c>
      <c r="C1419" s="395" t="s">
        <v>2021</v>
      </c>
      <c r="D1419" s="407">
        <f t="shared" si="44"/>
        <v>12.84</v>
      </c>
      <c r="F1419" s="680">
        <v>12.84</v>
      </c>
      <c r="G1419" s="680">
        <v>12.84</v>
      </c>
      <c r="H1419" t="b">
        <f t="shared" si="45"/>
        <v>1</v>
      </c>
    </row>
    <row r="1420" spans="1:8">
      <c r="A1420" s="396">
        <v>3464</v>
      </c>
      <c r="B1420" s="401" t="s">
        <v>10161</v>
      </c>
      <c r="C1420" s="396" t="s">
        <v>2021</v>
      </c>
      <c r="D1420" s="405">
        <f t="shared" si="44"/>
        <v>12.84</v>
      </c>
      <c r="F1420" s="679">
        <v>12.84</v>
      </c>
      <c r="G1420" s="679">
        <v>12.84</v>
      </c>
      <c r="H1420" t="b">
        <f t="shared" si="45"/>
        <v>1</v>
      </c>
    </row>
    <row r="1421" spans="1:8">
      <c r="A1421" s="395">
        <v>3466</v>
      </c>
      <c r="B1421" s="406" t="s">
        <v>10162</v>
      </c>
      <c r="C1421" s="395" t="s">
        <v>2021</v>
      </c>
      <c r="D1421" s="407">
        <f t="shared" si="44"/>
        <v>78.3</v>
      </c>
      <c r="F1421" s="680">
        <v>78.3</v>
      </c>
      <c r="G1421" s="680">
        <v>78.3</v>
      </c>
      <c r="H1421" t="b">
        <f t="shared" si="45"/>
        <v>1</v>
      </c>
    </row>
    <row r="1422" spans="1:8">
      <c r="A1422" s="396">
        <v>3467</v>
      </c>
      <c r="B1422" s="401" t="s">
        <v>10163</v>
      </c>
      <c r="C1422" s="396" t="s">
        <v>2021</v>
      </c>
      <c r="D1422" s="405">
        <f t="shared" si="44"/>
        <v>44.22</v>
      </c>
      <c r="F1422" s="679">
        <v>44.22</v>
      </c>
      <c r="G1422" s="679">
        <v>44.22</v>
      </c>
      <c r="H1422" t="b">
        <f t="shared" si="45"/>
        <v>1</v>
      </c>
    </row>
    <row r="1423" spans="1:8">
      <c r="A1423" s="395">
        <v>3462</v>
      </c>
      <c r="B1423" s="406" t="s">
        <v>10164</v>
      </c>
      <c r="C1423" s="395" t="s">
        <v>2021</v>
      </c>
      <c r="D1423" s="407">
        <f t="shared" si="44"/>
        <v>8.4700000000000006</v>
      </c>
      <c r="F1423" s="680">
        <v>8.4700000000000006</v>
      </c>
      <c r="G1423" s="680">
        <v>8.4700000000000006</v>
      </c>
      <c r="H1423" t="b">
        <f t="shared" si="45"/>
        <v>1</v>
      </c>
    </row>
    <row r="1424" spans="1:8">
      <c r="A1424" s="396">
        <v>3446</v>
      </c>
      <c r="B1424" s="401" t="s">
        <v>10165</v>
      </c>
      <c r="C1424" s="396" t="s">
        <v>2021</v>
      </c>
      <c r="D1424" s="405">
        <f t="shared" si="44"/>
        <v>26.07</v>
      </c>
      <c r="F1424" s="679">
        <v>26.07</v>
      </c>
      <c r="G1424" s="679">
        <v>26.07</v>
      </c>
      <c r="H1424" t="b">
        <f t="shared" si="45"/>
        <v>1</v>
      </c>
    </row>
    <row r="1425" spans="1:8">
      <c r="A1425" s="395">
        <v>3445</v>
      </c>
      <c r="B1425" s="406" t="s">
        <v>10166</v>
      </c>
      <c r="C1425" s="395" t="s">
        <v>2021</v>
      </c>
      <c r="D1425" s="407">
        <f t="shared" si="44"/>
        <v>21.28</v>
      </c>
      <c r="F1425" s="680">
        <v>21.28</v>
      </c>
      <c r="G1425" s="680">
        <v>21.28</v>
      </c>
      <c r="H1425" t="b">
        <f t="shared" si="45"/>
        <v>1</v>
      </c>
    </row>
    <row r="1426" spans="1:8">
      <c r="A1426" s="396">
        <v>3441</v>
      </c>
      <c r="B1426" s="401" t="s">
        <v>10167</v>
      </c>
      <c r="C1426" s="396" t="s">
        <v>2021</v>
      </c>
      <c r="D1426" s="405">
        <f t="shared" si="44"/>
        <v>6.01</v>
      </c>
      <c r="F1426" s="679">
        <v>6.01</v>
      </c>
      <c r="G1426" s="679">
        <v>6.01</v>
      </c>
      <c r="H1426" t="b">
        <f t="shared" si="45"/>
        <v>1</v>
      </c>
    </row>
    <row r="1427" spans="1:8">
      <c r="A1427" s="395">
        <v>3444</v>
      </c>
      <c r="B1427" s="406" t="s">
        <v>10168</v>
      </c>
      <c r="C1427" s="395" t="s">
        <v>2021</v>
      </c>
      <c r="D1427" s="407">
        <f t="shared" si="44"/>
        <v>13.1</v>
      </c>
      <c r="F1427" s="680">
        <v>13.1</v>
      </c>
      <c r="G1427" s="680">
        <v>13.1</v>
      </c>
      <c r="H1427" t="b">
        <f t="shared" si="45"/>
        <v>1</v>
      </c>
    </row>
    <row r="1428" spans="1:8">
      <c r="A1428" s="396">
        <v>12402</v>
      </c>
      <c r="B1428" s="401" t="s">
        <v>10169</v>
      </c>
      <c r="C1428" s="396" t="s">
        <v>2021</v>
      </c>
      <c r="D1428" s="405">
        <f t="shared" si="44"/>
        <v>73.28</v>
      </c>
      <c r="F1428" s="679">
        <v>73.28</v>
      </c>
      <c r="G1428" s="679">
        <v>73.28</v>
      </c>
      <c r="H1428" t="b">
        <f t="shared" si="45"/>
        <v>1</v>
      </c>
    </row>
    <row r="1429" spans="1:8">
      <c r="A1429" s="395">
        <v>3447</v>
      </c>
      <c r="B1429" s="406" t="s">
        <v>10170</v>
      </c>
      <c r="C1429" s="395" t="s">
        <v>2021</v>
      </c>
      <c r="D1429" s="407">
        <f t="shared" si="44"/>
        <v>37.909999999999997</v>
      </c>
      <c r="F1429" s="680">
        <v>37.909999999999997</v>
      </c>
      <c r="G1429" s="680">
        <v>37.909999999999997</v>
      </c>
      <c r="H1429" t="b">
        <f t="shared" si="45"/>
        <v>1</v>
      </c>
    </row>
    <row r="1430" spans="1:8">
      <c r="A1430" s="396">
        <v>3442</v>
      </c>
      <c r="B1430" s="401" t="s">
        <v>10171</v>
      </c>
      <c r="C1430" s="396" t="s">
        <v>2021</v>
      </c>
      <c r="D1430" s="405">
        <f t="shared" si="44"/>
        <v>8.98</v>
      </c>
      <c r="F1430" s="679">
        <v>8.98</v>
      </c>
      <c r="G1430" s="679">
        <v>8.98</v>
      </c>
      <c r="H1430" t="b">
        <f t="shared" si="45"/>
        <v>1</v>
      </c>
    </row>
    <row r="1431" spans="1:8">
      <c r="A1431" s="395">
        <v>3448</v>
      </c>
      <c r="B1431" s="406" t="s">
        <v>10172</v>
      </c>
      <c r="C1431" s="395" t="s">
        <v>2021</v>
      </c>
      <c r="D1431" s="407">
        <f t="shared" si="44"/>
        <v>107.14</v>
      </c>
      <c r="F1431" s="680">
        <v>107.14</v>
      </c>
      <c r="G1431" s="680">
        <v>107.14</v>
      </c>
      <c r="H1431" t="b">
        <f t="shared" si="45"/>
        <v>1</v>
      </c>
    </row>
    <row r="1432" spans="1:8">
      <c r="A1432" s="396">
        <v>3449</v>
      </c>
      <c r="B1432" s="401" t="s">
        <v>10173</v>
      </c>
      <c r="C1432" s="396" t="s">
        <v>2021</v>
      </c>
      <c r="D1432" s="405">
        <f t="shared" si="44"/>
        <v>187.74</v>
      </c>
      <c r="F1432" s="679">
        <v>187.74</v>
      </c>
      <c r="G1432" s="679">
        <v>187.74</v>
      </c>
      <c r="H1432" t="b">
        <f t="shared" si="45"/>
        <v>1</v>
      </c>
    </row>
    <row r="1433" spans="1:8">
      <c r="A1433" s="395">
        <v>37438</v>
      </c>
      <c r="B1433" s="406" t="s">
        <v>10174</v>
      </c>
      <c r="C1433" s="395" t="s">
        <v>2021</v>
      </c>
      <c r="D1433" s="407">
        <f t="shared" si="44"/>
        <v>252.77</v>
      </c>
      <c r="F1433" s="680">
        <v>252.77</v>
      </c>
      <c r="G1433" s="680">
        <v>252.77</v>
      </c>
      <c r="H1433" t="b">
        <f t="shared" si="45"/>
        <v>1</v>
      </c>
    </row>
    <row r="1434" spans="1:8">
      <c r="A1434" s="396">
        <v>37439</v>
      </c>
      <c r="B1434" s="401" t="s">
        <v>10175</v>
      </c>
      <c r="C1434" s="396" t="s">
        <v>2021</v>
      </c>
      <c r="D1434" s="405">
        <f t="shared" si="44"/>
        <v>1652.64</v>
      </c>
      <c r="F1434" s="679">
        <v>1652.64</v>
      </c>
      <c r="G1434" s="679">
        <v>1652.64</v>
      </c>
      <c r="H1434" t="b">
        <f t="shared" si="45"/>
        <v>1</v>
      </c>
    </row>
    <row r="1435" spans="1:8">
      <c r="A1435" s="395">
        <v>37435</v>
      </c>
      <c r="B1435" s="406" t="s">
        <v>10176</v>
      </c>
      <c r="C1435" s="395" t="s">
        <v>2021</v>
      </c>
      <c r="D1435" s="407">
        <f t="shared" si="44"/>
        <v>29.7</v>
      </c>
      <c r="F1435" s="680">
        <v>29.7</v>
      </c>
      <c r="G1435" s="680">
        <v>29.7</v>
      </c>
      <c r="H1435" t="b">
        <f t="shared" si="45"/>
        <v>1</v>
      </c>
    </row>
    <row r="1436" spans="1:8">
      <c r="A1436" s="396">
        <v>37436</v>
      </c>
      <c r="B1436" s="401" t="s">
        <v>10177</v>
      </c>
      <c r="C1436" s="396" t="s">
        <v>2021</v>
      </c>
      <c r="D1436" s="405">
        <f t="shared" si="44"/>
        <v>35.06</v>
      </c>
      <c r="F1436" s="679">
        <v>35.06</v>
      </c>
      <c r="G1436" s="679">
        <v>35.06</v>
      </c>
      <c r="H1436" t="b">
        <f t="shared" si="45"/>
        <v>1</v>
      </c>
    </row>
    <row r="1437" spans="1:8">
      <c r="A1437" s="395">
        <v>37437</v>
      </c>
      <c r="B1437" s="406" t="s">
        <v>10178</v>
      </c>
      <c r="C1437" s="395" t="s">
        <v>2021</v>
      </c>
      <c r="D1437" s="407">
        <f t="shared" si="44"/>
        <v>50.7</v>
      </c>
      <c r="F1437" s="680">
        <v>50.7</v>
      </c>
      <c r="G1437" s="680">
        <v>50.7</v>
      </c>
      <c r="H1437" t="b">
        <f t="shared" si="45"/>
        <v>1</v>
      </c>
    </row>
    <row r="1438" spans="1:8">
      <c r="A1438" s="396">
        <v>3473</v>
      </c>
      <c r="B1438" s="401" t="s">
        <v>10179</v>
      </c>
      <c r="C1438" s="396" t="s">
        <v>2021</v>
      </c>
      <c r="D1438" s="405">
        <f t="shared" si="44"/>
        <v>29.48</v>
      </c>
      <c r="F1438" s="679">
        <v>29.48</v>
      </c>
      <c r="G1438" s="679">
        <v>29.48</v>
      </c>
      <c r="H1438" t="b">
        <f t="shared" si="45"/>
        <v>1</v>
      </c>
    </row>
    <row r="1439" spans="1:8">
      <c r="A1439" s="395">
        <v>3474</v>
      </c>
      <c r="B1439" s="406" t="s">
        <v>10180</v>
      </c>
      <c r="C1439" s="395" t="s">
        <v>2021</v>
      </c>
      <c r="D1439" s="407">
        <f t="shared" si="44"/>
        <v>24.3</v>
      </c>
      <c r="F1439" s="680">
        <v>24.3</v>
      </c>
      <c r="G1439" s="680">
        <v>24.3</v>
      </c>
      <c r="H1439" t="b">
        <f t="shared" si="45"/>
        <v>1</v>
      </c>
    </row>
    <row r="1440" spans="1:8">
      <c r="A1440" s="396">
        <v>3450</v>
      </c>
      <c r="B1440" s="401" t="s">
        <v>10181</v>
      </c>
      <c r="C1440" s="396" t="s">
        <v>2021</v>
      </c>
      <c r="D1440" s="405">
        <f t="shared" si="44"/>
        <v>7.04</v>
      </c>
      <c r="F1440" s="679">
        <v>7.04</v>
      </c>
      <c r="G1440" s="679">
        <v>7.04</v>
      </c>
      <c r="H1440" t="b">
        <f t="shared" si="45"/>
        <v>1</v>
      </c>
    </row>
    <row r="1441" spans="1:8">
      <c r="A1441" s="395">
        <v>3443</v>
      </c>
      <c r="B1441" s="406" t="s">
        <v>10182</v>
      </c>
      <c r="C1441" s="395" t="s">
        <v>2021</v>
      </c>
      <c r="D1441" s="407">
        <f t="shared" si="44"/>
        <v>15.11</v>
      </c>
      <c r="F1441" s="680">
        <v>15.11</v>
      </c>
      <c r="G1441" s="680">
        <v>15.11</v>
      </c>
      <c r="H1441" t="b">
        <f t="shared" si="45"/>
        <v>1</v>
      </c>
    </row>
    <row r="1442" spans="1:8">
      <c r="A1442" s="396">
        <v>3453</v>
      </c>
      <c r="B1442" s="401" t="s">
        <v>10183</v>
      </c>
      <c r="C1442" s="396" t="s">
        <v>2021</v>
      </c>
      <c r="D1442" s="405">
        <f t="shared" si="44"/>
        <v>86.04</v>
      </c>
      <c r="F1442" s="679">
        <v>86.04</v>
      </c>
      <c r="G1442" s="679">
        <v>86.04</v>
      </c>
      <c r="H1442" t="b">
        <f t="shared" si="45"/>
        <v>1</v>
      </c>
    </row>
    <row r="1443" spans="1:8">
      <c r="A1443" s="395">
        <v>3452</v>
      </c>
      <c r="B1443" s="406" t="s">
        <v>10184</v>
      </c>
      <c r="C1443" s="395" t="s">
        <v>2021</v>
      </c>
      <c r="D1443" s="407">
        <f t="shared" si="44"/>
        <v>42.47</v>
      </c>
      <c r="F1443" s="680">
        <v>42.47</v>
      </c>
      <c r="G1443" s="680">
        <v>42.47</v>
      </c>
      <c r="H1443" t="b">
        <f t="shared" si="45"/>
        <v>1</v>
      </c>
    </row>
    <row r="1444" spans="1:8">
      <c r="A1444" s="396">
        <v>3451</v>
      </c>
      <c r="B1444" s="401" t="s">
        <v>10185</v>
      </c>
      <c r="C1444" s="396" t="s">
        <v>2021</v>
      </c>
      <c r="D1444" s="405">
        <f t="shared" si="44"/>
        <v>8.42</v>
      </c>
      <c r="F1444" s="679">
        <v>8.42</v>
      </c>
      <c r="G1444" s="679">
        <v>8.42</v>
      </c>
      <c r="H1444" t="b">
        <f t="shared" si="45"/>
        <v>1</v>
      </c>
    </row>
    <row r="1445" spans="1:8">
      <c r="A1445" s="395">
        <v>3454</v>
      </c>
      <c r="B1445" s="406" t="s">
        <v>10186</v>
      </c>
      <c r="C1445" s="395" t="s">
        <v>2021</v>
      </c>
      <c r="D1445" s="407">
        <f t="shared" si="44"/>
        <v>130.86000000000001</v>
      </c>
      <c r="F1445" s="680">
        <v>130.86000000000001</v>
      </c>
      <c r="G1445" s="680">
        <v>130.86000000000001</v>
      </c>
      <c r="H1445" t="b">
        <f t="shared" si="45"/>
        <v>1</v>
      </c>
    </row>
    <row r="1446" spans="1:8">
      <c r="A1446" s="396">
        <v>3458</v>
      </c>
      <c r="B1446" s="401" t="s">
        <v>10187</v>
      </c>
      <c r="C1446" s="396" t="s">
        <v>2021</v>
      </c>
      <c r="D1446" s="405">
        <f t="shared" si="44"/>
        <v>23.62</v>
      </c>
      <c r="F1446" s="679">
        <v>23.62</v>
      </c>
      <c r="G1446" s="679">
        <v>23.62</v>
      </c>
      <c r="H1446" t="b">
        <f t="shared" si="45"/>
        <v>1</v>
      </c>
    </row>
    <row r="1447" spans="1:8">
      <c r="A1447" s="395">
        <v>3457</v>
      </c>
      <c r="B1447" s="406" t="s">
        <v>10188</v>
      </c>
      <c r="C1447" s="395" t="s">
        <v>2021</v>
      </c>
      <c r="D1447" s="407">
        <f t="shared" si="44"/>
        <v>17.739999999999998</v>
      </c>
      <c r="F1447" s="680">
        <v>17.739999999999998</v>
      </c>
      <c r="G1447" s="680">
        <v>17.739999999999998</v>
      </c>
      <c r="H1447" t="b">
        <f t="shared" si="45"/>
        <v>1</v>
      </c>
    </row>
    <row r="1448" spans="1:8">
      <c r="A1448" s="396">
        <v>3455</v>
      </c>
      <c r="B1448" s="401" t="s">
        <v>10189</v>
      </c>
      <c r="C1448" s="396" t="s">
        <v>2021</v>
      </c>
      <c r="D1448" s="405">
        <f t="shared" si="44"/>
        <v>5.03</v>
      </c>
      <c r="F1448" s="679">
        <v>5.03</v>
      </c>
      <c r="G1448" s="679">
        <v>5.03</v>
      </c>
      <c r="H1448" t="b">
        <f t="shared" si="45"/>
        <v>1</v>
      </c>
    </row>
    <row r="1449" spans="1:8">
      <c r="A1449" s="395">
        <v>3472</v>
      </c>
      <c r="B1449" s="406" t="s">
        <v>10190</v>
      </c>
      <c r="C1449" s="395" t="s">
        <v>2021</v>
      </c>
      <c r="D1449" s="407">
        <f t="shared" si="44"/>
        <v>11.32</v>
      </c>
      <c r="F1449" s="680">
        <v>11.32</v>
      </c>
      <c r="G1449" s="680">
        <v>11.32</v>
      </c>
      <c r="H1449" t="b">
        <f t="shared" si="45"/>
        <v>1</v>
      </c>
    </row>
    <row r="1450" spans="1:8">
      <c r="A1450" s="396">
        <v>3470</v>
      </c>
      <c r="B1450" s="401" t="s">
        <v>10191</v>
      </c>
      <c r="C1450" s="396" t="s">
        <v>2021</v>
      </c>
      <c r="D1450" s="405">
        <f t="shared" si="44"/>
        <v>65.98</v>
      </c>
      <c r="F1450" s="679">
        <v>65.98</v>
      </c>
      <c r="G1450" s="679">
        <v>65.98</v>
      </c>
      <c r="H1450" t="b">
        <f t="shared" si="45"/>
        <v>1</v>
      </c>
    </row>
    <row r="1451" spans="1:8">
      <c r="A1451" s="395">
        <v>3471</v>
      </c>
      <c r="B1451" s="406" t="s">
        <v>10192</v>
      </c>
      <c r="C1451" s="395" t="s">
        <v>2021</v>
      </c>
      <c r="D1451" s="407">
        <f t="shared" si="44"/>
        <v>36.25</v>
      </c>
      <c r="F1451" s="680">
        <v>36.25</v>
      </c>
      <c r="G1451" s="680">
        <v>36.25</v>
      </c>
      <c r="H1451" t="b">
        <f t="shared" si="45"/>
        <v>1</v>
      </c>
    </row>
    <row r="1452" spans="1:8">
      <c r="A1452" s="396">
        <v>3456</v>
      </c>
      <c r="B1452" s="401" t="s">
        <v>10193</v>
      </c>
      <c r="C1452" s="396" t="s">
        <v>2021</v>
      </c>
      <c r="D1452" s="405">
        <f t="shared" si="44"/>
        <v>7.54</v>
      </c>
      <c r="F1452" s="679">
        <v>7.54</v>
      </c>
      <c r="G1452" s="679">
        <v>7.54</v>
      </c>
      <c r="H1452" t="b">
        <f t="shared" si="45"/>
        <v>1</v>
      </c>
    </row>
    <row r="1453" spans="1:8">
      <c r="A1453" s="395">
        <v>3459</v>
      </c>
      <c r="B1453" s="406" t="s">
        <v>10194</v>
      </c>
      <c r="C1453" s="395" t="s">
        <v>2021</v>
      </c>
      <c r="D1453" s="407">
        <f t="shared" si="44"/>
        <v>93.06</v>
      </c>
      <c r="F1453" s="680">
        <v>93.06</v>
      </c>
      <c r="G1453" s="680">
        <v>93.06</v>
      </c>
      <c r="H1453" t="b">
        <f t="shared" si="45"/>
        <v>1</v>
      </c>
    </row>
    <row r="1454" spans="1:8">
      <c r="A1454" s="396">
        <v>3469</v>
      </c>
      <c r="B1454" s="401" t="s">
        <v>10195</v>
      </c>
      <c r="C1454" s="396" t="s">
        <v>2021</v>
      </c>
      <c r="D1454" s="405">
        <f t="shared" si="44"/>
        <v>176.98</v>
      </c>
      <c r="F1454" s="679">
        <v>176.98</v>
      </c>
      <c r="G1454" s="679">
        <v>176.98</v>
      </c>
      <c r="H1454" t="b">
        <f t="shared" si="45"/>
        <v>1</v>
      </c>
    </row>
    <row r="1455" spans="1:8">
      <c r="A1455" s="395">
        <v>3460</v>
      </c>
      <c r="B1455" s="406" t="s">
        <v>10196</v>
      </c>
      <c r="C1455" s="395" t="s">
        <v>2021</v>
      </c>
      <c r="D1455" s="407">
        <f t="shared" si="44"/>
        <v>258.23</v>
      </c>
      <c r="F1455" s="680">
        <v>258.23</v>
      </c>
      <c r="G1455" s="680">
        <v>258.23</v>
      </c>
      <c r="H1455" t="b">
        <f t="shared" si="45"/>
        <v>1</v>
      </c>
    </row>
    <row r="1456" spans="1:8">
      <c r="A1456" s="396">
        <v>3461</v>
      </c>
      <c r="B1456" s="401" t="s">
        <v>10197</v>
      </c>
      <c r="C1456" s="396" t="s">
        <v>2021</v>
      </c>
      <c r="D1456" s="405">
        <f t="shared" si="44"/>
        <v>660.03</v>
      </c>
      <c r="F1456" s="679">
        <v>660.03</v>
      </c>
      <c r="G1456" s="679">
        <v>660.03</v>
      </c>
      <c r="H1456" t="b">
        <f t="shared" si="45"/>
        <v>1</v>
      </c>
    </row>
    <row r="1457" spans="1:8">
      <c r="A1457" s="395">
        <v>37433</v>
      </c>
      <c r="B1457" s="406" t="s">
        <v>10198</v>
      </c>
      <c r="C1457" s="395" t="s">
        <v>2021</v>
      </c>
      <c r="D1457" s="407">
        <f t="shared" si="44"/>
        <v>252.77</v>
      </c>
      <c r="F1457" s="680">
        <v>252.77</v>
      </c>
      <c r="G1457" s="680">
        <v>252.77</v>
      </c>
      <c r="H1457" t="b">
        <f t="shared" si="45"/>
        <v>1</v>
      </c>
    </row>
    <row r="1458" spans="1:8">
      <c r="A1458" s="396">
        <v>37430</v>
      </c>
      <c r="B1458" s="401" t="s">
        <v>10199</v>
      </c>
      <c r="C1458" s="396" t="s">
        <v>2021</v>
      </c>
      <c r="D1458" s="405">
        <f t="shared" si="44"/>
        <v>31.68</v>
      </c>
      <c r="F1458" s="679">
        <v>31.68</v>
      </c>
      <c r="G1458" s="679">
        <v>31.68</v>
      </c>
      <c r="H1458" t="b">
        <f t="shared" si="45"/>
        <v>1</v>
      </c>
    </row>
    <row r="1459" spans="1:8">
      <c r="A1459" s="395">
        <v>37434</v>
      </c>
      <c r="B1459" s="406" t="s">
        <v>10200</v>
      </c>
      <c r="C1459" s="395" t="s">
        <v>2021</v>
      </c>
      <c r="D1459" s="407">
        <f t="shared" si="44"/>
        <v>2356.89</v>
      </c>
      <c r="F1459" s="680">
        <v>2356.89</v>
      </c>
      <c r="G1459" s="680">
        <v>2356.89</v>
      </c>
      <c r="H1459" t="b">
        <f t="shared" si="45"/>
        <v>1</v>
      </c>
    </row>
    <row r="1460" spans="1:8">
      <c r="A1460" s="396">
        <v>37431</v>
      </c>
      <c r="B1460" s="401" t="s">
        <v>10201</v>
      </c>
      <c r="C1460" s="396" t="s">
        <v>2021</v>
      </c>
      <c r="D1460" s="405">
        <f t="shared" si="44"/>
        <v>42.97</v>
      </c>
      <c r="F1460" s="679">
        <v>42.97</v>
      </c>
      <c r="G1460" s="679">
        <v>42.97</v>
      </c>
      <c r="H1460" t="b">
        <f t="shared" si="45"/>
        <v>1</v>
      </c>
    </row>
    <row r="1461" spans="1:8">
      <c r="A1461" s="395">
        <v>37432</v>
      </c>
      <c r="B1461" s="406" t="s">
        <v>10202</v>
      </c>
      <c r="C1461" s="395" t="s">
        <v>2021</v>
      </c>
      <c r="D1461" s="407">
        <f t="shared" si="44"/>
        <v>79.260000000000005</v>
      </c>
      <c r="F1461" s="680">
        <v>79.260000000000005</v>
      </c>
      <c r="G1461" s="680">
        <v>79.260000000000005</v>
      </c>
      <c r="H1461" t="b">
        <f t="shared" si="45"/>
        <v>1</v>
      </c>
    </row>
    <row r="1462" spans="1:8" ht="30">
      <c r="A1462" s="396">
        <v>37413</v>
      </c>
      <c r="B1462" s="401" t="s">
        <v>10203</v>
      </c>
      <c r="C1462" s="396" t="s">
        <v>2021</v>
      </c>
      <c r="D1462" s="405">
        <f t="shared" si="44"/>
        <v>4.24</v>
      </c>
      <c r="F1462" s="679">
        <v>4.24</v>
      </c>
      <c r="G1462" s="679">
        <v>4.24</v>
      </c>
      <c r="H1462" t="b">
        <f t="shared" si="45"/>
        <v>1</v>
      </c>
    </row>
    <row r="1463" spans="1:8" ht="30">
      <c r="A1463" s="395">
        <v>37414</v>
      </c>
      <c r="B1463" s="406" t="s">
        <v>10204</v>
      </c>
      <c r="C1463" s="395" t="s">
        <v>2021</v>
      </c>
      <c r="D1463" s="407">
        <f t="shared" si="44"/>
        <v>4.8099999999999996</v>
      </c>
      <c r="F1463" s="680">
        <v>4.8099999999999996</v>
      </c>
      <c r="G1463" s="680">
        <v>4.8099999999999996</v>
      </c>
      <c r="H1463" t="b">
        <f t="shared" si="45"/>
        <v>1</v>
      </c>
    </row>
    <row r="1464" spans="1:8" ht="30">
      <c r="A1464" s="396">
        <v>37415</v>
      </c>
      <c r="B1464" s="401" t="s">
        <v>10205</v>
      </c>
      <c r="C1464" s="396" t="s">
        <v>2021</v>
      </c>
      <c r="D1464" s="405">
        <f t="shared" si="44"/>
        <v>8.75</v>
      </c>
      <c r="F1464" s="679">
        <v>8.75</v>
      </c>
      <c r="G1464" s="679">
        <v>8.75</v>
      </c>
      <c r="H1464" t="b">
        <f t="shared" si="45"/>
        <v>1</v>
      </c>
    </row>
    <row r="1465" spans="1:8">
      <c r="A1465" s="395">
        <v>37416</v>
      </c>
      <c r="B1465" s="406" t="s">
        <v>10206</v>
      </c>
      <c r="C1465" s="395" t="s">
        <v>2021</v>
      </c>
      <c r="D1465" s="407">
        <f t="shared" si="44"/>
        <v>3.96</v>
      </c>
      <c r="F1465" s="680">
        <v>3.96</v>
      </c>
      <c r="G1465" s="680">
        <v>3.96</v>
      </c>
      <c r="H1465" t="b">
        <f t="shared" si="45"/>
        <v>1</v>
      </c>
    </row>
    <row r="1466" spans="1:8">
      <c r="A1466" s="396">
        <v>37417</v>
      </c>
      <c r="B1466" s="401" t="s">
        <v>10207</v>
      </c>
      <c r="C1466" s="396" t="s">
        <v>2021</v>
      </c>
      <c r="D1466" s="405">
        <f t="shared" si="44"/>
        <v>5.7</v>
      </c>
      <c r="F1466" s="679">
        <v>5.7</v>
      </c>
      <c r="G1466" s="679">
        <v>5.7</v>
      </c>
      <c r="H1466" t="b">
        <f t="shared" si="45"/>
        <v>1</v>
      </c>
    </row>
    <row r="1467" spans="1:8" ht="30">
      <c r="A1467" s="395">
        <v>43590</v>
      </c>
      <c r="B1467" s="406" t="s">
        <v>10208</v>
      </c>
      <c r="C1467" s="395" t="s">
        <v>2021</v>
      </c>
      <c r="D1467" s="407">
        <f t="shared" si="44"/>
        <v>172.89</v>
      </c>
      <c r="F1467" s="680">
        <v>172.89</v>
      </c>
      <c r="G1467" s="680">
        <v>172.89</v>
      </c>
      <c r="H1467" t="b">
        <f t="shared" si="45"/>
        <v>1</v>
      </c>
    </row>
    <row r="1468" spans="1:8" ht="30">
      <c r="A1468" s="396">
        <v>43589</v>
      </c>
      <c r="B1468" s="401" t="s">
        <v>10209</v>
      </c>
      <c r="C1468" s="396" t="s">
        <v>2021</v>
      </c>
      <c r="D1468" s="405">
        <f t="shared" si="44"/>
        <v>31.28</v>
      </c>
      <c r="F1468" s="679">
        <v>31.28</v>
      </c>
      <c r="G1468" s="679">
        <v>31.28</v>
      </c>
      <c r="H1468" t="b">
        <f t="shared" si="45"/>
        <v>1</v>
      </c>
    </row>
    <row r="1469" spans="1:8">
      <c r="A1469" s="395">
        <v>34519</v>
      </c>
      <c r="B1469" s="406" t="s">
        <v>10210</v>
      </c>
      <c r="C1469" s="395" t="s">
        <v>2021</v>
      </c>
      <c r="D1469" s="407">
        <f t="shared" si="44"/>
        <v>80.41</v>
      </c>
      <c r="F1469" s="680">
        <v>80.41</v>
      </c>
      <c r="G1469" s="680">
        <v>80.41</v>
      </c>
      <c r="H1469" t="b">
        <f t="shared" si="45"/>
        <v>1</v>
      </c>
    </row>
    <row r="1470" spans="1:8">
      <c r="A1470" s="396">
        <v>1649</v>
      </c>
      <c r="B1470" s="401" t="s">
        <v>10211</v>
      </c>
      <c r="C1470" s="396" t="s">
        <v>2021</v>
      </c>
      <c r="D1470" s="405">
        <f t="shared" si="44"/>
        <v>55.72</v>
      </c>
      <c r="F1470" s="679">
        <v>55.72</v>
      </c>
      <c r="G1470" s="679">
        <v>55.72</v>
      </c>
      <c r="H1470" t="b">
        <f t="shared" si="45"/>
        <v>1</v>
      </c>
    </row>
    <row r="1471" spans="1:8">
      <c r="A1471" s="395">
        <v>1653</v>
      </c>
      <c r="B1471" s="406" t="s">
        <v>10212</v>
      </c>
      <c r="C1471" s="395" t="s">
        <v>2021</v>
      </c>
      <c r="D1471" s="407">
        <f t="shared" si="44"/>
        <v>43.64</v>
      </c>
      <c r="F1471" s="680">
        <v>43.64</v>
      </c>
      <c r="G1471" s="680">
        <v>43.64</v>
      </c>
      <c r="H1471" t="b">
        <f t="shared" si="45"/>
        <v>1</v>
      </c>
    </row>
    <row r="1472" spans="1:8">
      <c r="A1472" s="396">
        <v>1647</v>
      </c>
      <c r="B1472" s="401" t="s">
        <v>10213</v>
      </c>
      <c r="C1472" s="396" t="s">
        <v>2021</v>
      </c>
      <c r="D1472" s="405">
        <f t="shared" si="44"/>
        <v>15.63</v>
      </c>
      <c r="F1472" s="679">
        <v>15.63</v>
      </c>
      <c r="G1472" s="679">
        <v>15.63</v>
      </c>
      <c r="H1472" t="b">
        <f t="shared" si="45"/>
        <v>1</v>
      </c>
    </row>
    <row r="1473" spans="1:8">
      <c r="A1473" s="395">
        <v>1648</v>
      </c>
      <c r="B1473" s="406" t="s">
        <v>10214</v>
      </c>
      <c r="C1473" s="395" t="s">
        <v>2021</v>
      </c>
      <c r="D1473" s="407">
        <f t="shared" si="44"/>
        <v>30.01</v>
      </c>
      <c r="F1473" s="680">
        <v>30.01</v>
      </c>
      <c r="G1473" s="680">
        <v>30.01</v>
      </c>
      <c r="H1473" t="b">
        <f t="shared" si="45"/>
        <v>1</v>
      </c>
    </row>
    <row r="1474" spans="1:8">
      <c r="A1474" s="396">
        <v>1651</v>
      </c>
      <c r="B1474" s="401" t="s">
        <v>10215</v>
      </c>
      <c r="C1474" s="396" t="s">
        <v>2021</v>
      </c>
      <c r="D1474" s="405">
        <f t="shared" si="44"/>
        <v>139.22</v>
      </c>
      <c r="F1474" s="679">
        <v>139.22</v>
      </c>
      <c r="G1474" s="679">
        <v>139.22</v>
      </c>
      <c r="H1474" t="b">
        <f t="shared" si="45"/>
        <v>1</v>
      </c>
    </row>
    <row r="1475" spans="1:8">
      <c r="A1475" s="395">
        <v>1650</v>
      </c>
      <c r="B1475" s="406" t="s">
        <v>10216</v>
      </c>
      <c r="C1475" s="395" t="s">
        <v>2021</v>
      </c>
      <c r="D1475" s="407">
        <f t="shared" ref="D1475:D1538" si="46">IF($J$2=$F$1,F1475,G1475)</f>
        <v>76.95</v>
      </c>
      <c r="F1475" s="680">
        <v>76.95</v>
      </c>
      <c r="G1475" s="680">
        <v>76.95</v>
      </c>
      <c r="H1475" t="b">
        <f t="shared" ref="H1475:H1538" si="47">F1475=G1475</f>
        <v>1</v>
      </c>
    </row>
    <row r="1476" spans="1:8">
      <c r="A1476" s="396">
        <v>1654</v>
      </c>
      <c r="B1476" s="401" t="s">
        <v>10217</v>
      </c>
      <c r="C1476" s="396" t="s">
        <v>2021</v>
      </c>
      <c r="D1476" s="405">
        <f t="shared" si="46"/>
        <v>21.45</v>
      </c>
      <c r="F1476" s="679">
        <v>21.45</v>
      </c>
      <c r="G1476" s="679">
        <v>21.45</v>
      </c>
      <c r="H1476" t="b">
        <f t="shared" si="47"/>
        <v>1</v>
      </c>
    </row>
    <row r="1477" spans="1:8">
      <c r="A1477" s="395">
        <v>1652</v>
      </c>
      <c r="B1477" s="406" t="s">
        <v>10218</v>
      </c>
      <c r="C1477" s="395" t="s">
        <v>2021</v>
      </c>
      <c r="D1477" s="407">
        <f t="shared" si="46"/>
        <v>199.81</v>
      </c>
      <c r="F1477" s="680">
        <v>199.81</v>
      </c>
      <c r="G1477" s="680">
        <v>199.81</v>
      </c>
      <c r="H1477" t="b">
        <f t="shared" si="47"/>
        <v>1</v>
      </c>
    </row>
    <row r="1478" spans="1:8">
      <c r="A1478" s="396">
        <v>10510</v>
      </c>
      <c r="B1478" s="401" t="s">
        <v>10219</v>
      </c>
      <c r="C1478" s="396" t="s">
        <v>2021</v>
      </c>
      <c r="D1478" s="405">
        <f t="shared" si="46"/>
        <v>161.41999999999999</v>
      </c>
      <c r="F1478" s="679">
        <v>161.41999999999999</v>
      </c>
      <c r="G1478" s="679">
        <v>161.41999999999999</v>
      </c>
      <c r="H1478" t="b">
        <f t="shared" si="47"/>
        <v>1</v>
      </c>
    </row>
    <row r="1479" spans="1:8">
      <c r="A1479" s="395">
        <v>1747</v>
      </c>
      <c r="B1479" s="406" t="s">
        <v>10220</v>
      </c>
      <c r="C1479" s="395" t="s">
        <v>2021</v>
      </c>
      <c r="D1479" s="407">
        <f t="shared" si="46"/>
        <v>242.09</v>
      </c>
      <c r="F1479" s="680">
        <v>242.09</v>
      </c>
      <c r="G1479" s="680">
        <v>242.09</v>
      </c>
      <c r="H1479" t="b">
        <f t="shared" si="47"/>
        <v>1</v>
      </c>
    </row>
    <row r="1480" spans="1:8">
      <c r="A1480" s="396">
        <v>1744</v>
      </c>
      <c r="B1480" s="401" t="s">
        <v>10221</v>
      </c>
      <c r="C1480" s="396" t="s">
        <v>2021</v>
      </c>
      <c r="D1480" s="405">
        <f t="shared" si="46"/>
        <v>167.68</v>
      </c>
      <c r="F1480" s="679">
        <v>167.68</v>
      </c>
      <c r="G1480" s="679">
        <v>167.68</v>
      </c>
      <c r="H1480" t="b">
        <f t="shared" si="47"/>
        <v>1</v>
      </c>
    </row>
    <row r="1481" spans="1:8">
      <c r="A1481" s="395">
        <v>1743</v>
      </c>
      <c r="B1481" s="406" t="s">
        <v>10222</v>
      </c>
      <c r="C1481" s="395" t="s">
        <v>2021</v>
      </c>
      <c r="D1481" s="407">
        <f t="shared" si="46"/>
        <v>220.2</v>
      </c>
      <c r="F1481" s="680">
        <v>220.2</v>
      </c>
      <c r="G1481" s="680">
        <v>220.2</v>
      </c>
      <c r="H1481" t="b">
        <f t="shared" si="47"/>
        <v>1</v>
      </c>
    </row>
    <row r="1482" spans="1:8" ht="30">
      <c r="A1482" s="396">
        <v>39640</v>
      </c>
      <c r="B1482" s="401" t="s">
        <v>10223</v>
      </c>
      <c r="C1482" s="396" t="s">
        <v>2021</v>
      </c>
      <c r="D1482" s="405">
        <f t="shared" si="46"/>
        <v>15.4</v>
      </c>
      <c r="F1482" s="679">
        <v>15.4</v>
      </c>
      <c r="G1482" s="679">
        <v>15.4</v>
      </c>
      <c r="H1482" t="b">
        <f t="shared" si="47"/>
        <v>1</v>
      </c>
    </row>
    <row r="1483" spans="1:8">
      <c r="A1483" s="395">
        <v>7216</v>
      </c>
      <c r="B1483" s="406" t="s">
        <v>10224</v>
      </c>
      <c r="C1483" s="395" t="s">
        <v>2021</v>
      </c>
      <c r="D1483" s="407">
        <f t="shared" si="46"/>
        <v>82.75</v>
      </c>
      <c r="F1483" s="680">
        <v>82.75</v>
      </c>
      <c r="G1483" s="680">
        <v>82.75</v>
      </c>
      <c r="H1483" t="b">
        <f t="shared" si="47"/>
        <v>1</v>
      </c>
    </row>
    <row r="1484" spans="1:8">
      <c r="A1484" s="396">
        <v>20235</v>
      </c>
      <c r="B1484" s="401" t="s">
        <v>10225</v>
      </c>
      <c r="C1484" s="396" t="s">
        <v>2021</v>
      </c>
      <c r="D1484" s="405">
        <f t="shared" si="46"/>
        <v>66.53</v>
      </c>
      <c r="F1484" s="679">
        <v>66.53</v>
      </c>
      <c r="G1484" s="679">
        <v>66.53</v>
      </c>
      <c r="H1484" t="b">
        <f t="shared" si="47"/>
        <v>1</v>
      </c>
    </row>
    <row r="1485" spans="1:8">
      <c r="A1485" s="395">
        <v>7181</v>
      </c>
      <c r="B1485" s="406" t="s">
        <v>10226</v>
      </c>
      <c r="C1485" s="395" t="s">
        <v>2021</v>
      </c>
      <c r="D1485" s="407">
        <f t="shared" si="46"/>
        <v>5.43</v>
      </c>
      <c r="F1485" s="680">
        <v>5.43</v>
      </c>
      <c r="G1485" s="680">
        <v>5.43</v>
      </c>
      <c r="H1485" t="b">
        <f t="shared" si="47"/>
        <v>1</v>
      </c>
    </row>
    <row r="1486" spans="1:8">
      <c r="A1486" s="396">
        <v>40742</v>
      </c>
      <c r="B1486" s="401" t="s">
        <v>10227</v>
      </c>
      <c r="C1486" s="396" t="s">
        <v>2021</v>
      </c>
      <c r="D1486" s="405">
        <f t="shared" si="46"/>
        <v>12.19</v>
      </c>
      <c r="F1486" s="679">
        <v>12.19</v>
      </c>
      <c r="G1486" s="679">
        <v>12.19</v>
      </c>
      <c r="H1486" t="b">
        <f t="shared" si="47"/>
        <v>1</v>
      </c>
    </row>
    <row r="1487" spans="1:8">
      <c r="A1487" s="395">
        <v>7214</v>
      </c>
      <c r="B1487" s="406" t="s">
        <v>10228</v>
      </c>
      <c r="C1487" s="395" t="s">
        <v>2021</v>
      </c>
      <c r="D1487" s="407">
        <f t="shared" si="46"/>
        <v>80.81</v>
      </c>
      <c r="F1487" s="680">
        <v>80.81</v>
      </c>
      <c r="G1487" s="680">
        <v>80.81</v>
      </c>
      <c r="H1487" t="b">
        <f t="shared" si="47"/>
        <v>1</v>
      </c>
    </row>
    <row r="1488" spans="1:8" ht="30">
      <c r="A1488" s="396">
        <v>7219</v>
      </c>
      <c r="B1488" s="401" t="s">
        <v>10229</v>
      </c>
      <c r="C1488" s="396" t="s">
        <v>2021</v>
      </c>
      <c r="D1488" s="405">
        <f t="shared" si="46"/>
        <v>71.680000000000007</v>
      </c>
      <c r="F1488" s="679">
        <v>71.680000000000007</v>
      </c>
      <c r="G1488" s="679">
        <v>71.680000000000007</v>
      </c>
      <c r="H1488" t="b">
        <f t="shared" si="47"/>
        <v>1</v>
      </c>
    </row>
    <row r="1489" spans="1:8">
      <c r="A1489" s="395">
        <v>37971</v>
      </c>
      <c r="B1489" s="406" t="s">
        <v>10230</v>
      </c>
      <c r="C1489" s="395" t="s">
        <v>2021</v>
      </c>
      <c r="D1489" s="407">
        <f t="shared" si="46"/>
        <v>4.84</v>
      </c>
      <c r="F1489" s="680">
        <v>4.84</v>
      </c>
      <c r="G1489" s="680">
        <v>4.84</v>
      </c>
      <c r="H1489" t="b">
        <f t="shared" si="47"/>
        <v>1</v>
      </c>
    </row>
    <row r="1490" spans="1:8">
      <c r="A1490" s="396">
        <v>37972</v>
      </c>
      <c r="B1490" s="401" t="s">
        <v>10231</v>
      </c>
      <c r="C1490" s="396" t="s">
        <v>2021</v>
      </c>
      <c r="D1490" s="405">
        <f t="shared" si="46"/>
        <v>6.87</v>
      </c>
      <c r="F1490" s="679">
        <v>6.87</v>
      </c>
      <c r="G1490" s="679">
        <v>6.87</v>
      </c>
      <c r="H1490" t="b">
        <f t="shared" si="47"/>
        <v>1</v>
      </c>
    </row>
    <row r="1491" spans="1:8">
      <c r="A1491" s="395">
        <v>37973</v>
      </c>
      <c r="B1491" s="406" t="s">
        <v>10232</v>
      </c>
      <c r="C1491" s="395" t="s">
        <v>2021</v>
      </c>
      <c r="D1491" s="407">
        <f t="shared" si="46"/>
        <v>12.92</v>
      </c>
      <c r="F1491" s="680">
        <v>12.92</v>
      </c>
      <c r="G1491" s="680">
        <v>12.92</v>
      </c>
      <c r="H1491" t="b">
        <f t="shared" si="47"/>
        <v>1</v>
      </c>
    </row>
    <row r="1492" spans="1:8">
      <c r="A1492" s="396">
        <v>1926</v>
      </c>
      <c r="B1492" s="401" t="s">
        <v>10233</v>
      </c>
      <c r="C1492" s="396" t="s">
        <v>2021</v>
      </c>
      <c r="D1492" s="405">
        <f t="shared" si="46"/>
        <v>2.75</v>
      </c>
      <c r="F1492" s="679">
        <v>2.75</v>
      </c>
      <c r="G1492" s="679">
        <v>2.75</v>
      </c>
      <c r="H1492" t="b">
        <f t="shared" si="47"/>
        <v>1</v>
      </c>
    </row>
    <row r="1493" spans="1:8">
      <c r="A1493" s="395">
        <v>1927</v>
      </c>
      <c r="B1493" s="406" t="s">
        <v>10234</v>
      </c>
      <c r="C1493" s="395" t="s">
        <v>2021</v>
      </c>
      <c r="D1493" s="407">
        <f t="shared" si="46"/>
        <v>3.09</v>
      </c>
      <c r="F1493" s="680">
        <v>3.09</v>
      </c>
      <c r="G1493" s="680">
        <v>3.09</v>
      </c>
      <c r="H1493" t="b">
        <f t="shared" si="47"/>
        <v>1</v>
      </c>
    </row>
    <row r="1494" spans="1:8">
      <c r="A1494" s="396">
        <v>1923</v>
      </c>
      <c r="B1494" s="401" t="s">
        <v>10235</v>
      </c>
      <c r="C1494" s="396" t="s">
        <v>2021</v>
      </c>
      <c r="D1494" s="405">
        <f t="shared" si="46"/>
        <v>5.63</v>
      </c>
      <c r="F1494" s="679">
        <v>5.63</v>
      </c>
      <c r="G1494" s="679">
        <v>5.63</v>
      </c>
      <c r="H1494" t="b">
        <f t="shared" si="47"/>
        <v>1</v>
      </c>
    </row>
    <row r="1495" spans="1:8">
      <c r="A1495" s="395">
        <v>1929</v>
      </c>
      <c r="B1495" s="406" t="s">
        <v>10236</v>
      </c>
      <c r="C1495" s="395" t="s">
        <v>2021</v>
      </c>
      <c r="D1495" s="407">
        <f t="shared" si="46"/>
        <v>6.83</v>
      </c>
      <c r="F1495" s="680">
        <v>6.83</v>
      </c>
      <c r="G1495" s="680">
        <v>6.83</v>
      </c>
      <c r="H1495" t="b">
        <f t="shared" si="47"/>
        <v>1</v>
      </c>
    </row>
    <row r="1496" spans="1:8">
      <c r="A1496" s="396">
        <v>1930</v>
      </c>
      <c r="B1496" s="401" t="s">
        <v>10237</v>
      </c>
      <c r="C1496" s="396" t="s">
        <v>2021</v>
      </c>
      <c r="D1496" s="405">
        <f t="shared" si="46"/>
        <v>11.68</v>
      </c>
      <c r="F1496" s="679">
        <v>11.68</v>
      </c>
      <c r="G1496" s="679">
        <v>11.68</v>
      </c>
      <c r="H1496" t="b">
        <f t="shared" si="47"/>
        <v>1</v>
      </c>
    </row>
    <row r="1497" spans="1:8">
      <c r="A1497" s="395">
        <v>1924</v>
      </c>
      <c r="B1497" s="406" t="s">
        <v>10238</v>
      </c>
      <c r="C1497" s="395" t="s">
        <v>2021</v>
      </c>
      <c r="D1497" s="407">
        <f t="shared" si="46"/>
        <v>18.850000000000001</v>
      </c>
      <c r="F1497" s="680">
        <v>18.850000000000001</v>
      </c>
      <c r="G1497" s="680">
        <v>18.850000000000001</v>
      </c>
      <c r="H1497" t="b">
        <f t="shared" si="47"/>
        <v>1</v>
      </c>
    </row>
    <row r="1498" spans="1:8">
      <c r="A1498" s="396">
        <v>1922</v>
      </c>
      <c r="B1498" s="401" t="s">
        <v>10239</v>
      </c>
      <c r="C1498" s="396" t="s">
        <v>2021</v>
      </c>
      <c r="D1498" s="405">
        <f t="shared" si="46"/>
        <v>38.979999999999997</v>
      </c>
      <c r="F1498" s="679">
        <v>38.979999999999997</v>
      </c>
      <c r="G1498" s="679">
        <v>38.979999999999997</v>
      </c>
      <c r="H1498" t="b">
        <f t="shared" si="47"/>
        <v>1</v>
      </c>
    </row>
    <row r="1499" spans="1:8">
      <c r="A1499" s="395">
        <v>1953</v>
      </c>
      <c r="B1499" s="406" t="s">
        <v>10240</v>
      </c>
      <c r="C1499" s="395" t="s">
        <v>2021</v>
      </c>
      <c r="D1499" s="407">
        <f t="shared" si="46"/>
        <v>47.59</v>
      </c>
      <c r="F1499" s="680">
        <v>47.59</v>
      </c>
      <c r="G1499" s="680">
        <v>47.59</v>
      </c>
      <c r="H1499" t="b">
        <f t="shared" si="47"/>
        <v>1</v>
      </c>
    </row>
    <row r="1500" spans="1:8">
      <c r="A1500" s="396">
        <v>1962</v>
      </c>
      <c r="B1500" s="401" t="s">
        <v>10241</v>
      </c>
      <c r="C1500" s="396" t="s">
        <v>2021</v>
      </c>
      <c r="D1500" s="405">
        <f t="shared" si="46"/>
        <v>231.2</v>
      </c>
      <c r="F1500" s="679">
        <v>231.2</v>
      </c>
      <c r="G1500" s="679">
        <v>231.2</v>
      </c>
      <c r="H1500" t="b">
        <f t="shared" si="47"/>
        <v>1</v>
      </c>
    </row>
    <row r="1501" spans="1:8">
      <c r="A1501" s="395">
        <v>1955</v>
      </c>
      <c r="B1501" s="406" t="s">
        <v>10242</v>
      </c>
      <c r="C1501" s="395" t="s">
        <v>2021</v>
      </c>
      <c r="D1501" s="407">
        <f t="shared" si="46"/>
        <v>2.66</v>
      </c>
      <c r="F1501" s="680">
        <v>2.66</v>
      </c>
      <c r="G1501" s="680">
        <v>2.66</v>
      </c>
      <c r="H1501" t="b">
        <f t="shared" si="47"/>
        <v>1</v>
      </c>
    </row>
    <row r="1502" spans="1:8">
      <c r="A1502" s="396">
        <v>1956</v>
      </c>
      <c r="B1502" s="401" t="s">
        <v>10243</v>
      </c>
      <c r="C1502" s="396" t="s">
        <v>2021</v>
      </c>
      <c r="D1502" s="405">
        <f t="shared" si="46"/>
        <v>3.76</v>
      </c>
      <c r="F1502" s="679">
        <v>3.76</v>
      </c>
      <c r="G1502" s="679">
        <v>3.76</v>
      </c>
      <c r="H1502" t="b">
        <f t="shared" si="47"/>
        <v>1</v>
      </c>
    </row>
    <row r="1503" spans="1:8">
      <c r="A1503" s="395">
        <v>1957</v>
      </c>
      <c r="B1503" s="406" t="s">
        <v>10244</v>
      </c>
      <c r="C1503" s="395" t="s">
        <v>2021</v>
      </c>
      <c r="D1503" s="407">
        <f t="shared" si="46"/>
        <v>8.1300000000000008</v>
      </c>
      <c r="F1503" s="680">
        <v>8.1300000000000008</v>
      </c>
      <c r="G1503" s="680">
        <v>8.1300000000000008</v>
      </c>
      <c r="H1503" t="b">
        <f t="shared" si="47"/>
        <v>1</v>
      </c>
    </row>
    <row r="1504" spans="1:8">
      <c r="A1504" s="396">
        <v>1958</v>
      </c>
      <c r="B1504" s="401" t="s">
        <v>10245</v>
      </c>
      <c r="C1504" s="396" t="s">
        <v>2021</v>
      </c>
      <c r="D1504" s="405">
        <f t="shared" si="46"/>
        <v>15.14</v>
      </c>
      <c r="F1504" s="679">
        <v>15.14</v>
      </c>
      <c r="G1504" s="679">
        <v>15.14</v>
      </c>
      <c r="H1504" t="b">
        <f t="shared" si="47"/>
        <v>1</v>
      </c>
    </row>
    <row r="1505" spans="1:8">
      <c r="A1505" s="395">
        <v>1959</v>
      </c>
      <c r="B1505" s="406" t="s">
        <v>10246</v>
      </c>
      <c r="C1505" s="395" t="s">
        <v>2021</v>
      </c>
      <c r="D1505" s="407">
        <f t="shared" si="46"/>
        <v>16.43</v>
      </c>
      <c r="F1505" s="680">
        <v>16.43</v>
      </c>
      <c r="G1505" s="680">
        <v>16.43</v>
      </c>
      <c r="H1505" t="b">
        <f t="shared" si="47"/>
        <v>1</v>
      </c>
    </row>
    <row r="1506" spans="1:8">
      <c r="A1506" s="396">
        <v>1925</v>
      </c>
      <c r="B1506" s="401" t="s">
        <v>10247</v>
      </c>
      <c r="C1506" s="396" t="s">
        <v>2021</v>
      </c>
      <c r="D1506" s="405">
        <f t="shared" si="46"/>
        <v>42.93</v>
      </c>
      <c r="F1506" s="679">
        <v>42.93</v>
      </c>
      <c r="G1506" s="679">
        <v>42.93</v>
      </c>
      <c r="H1506" t="b">
        <f t="shared" si="47"/>
        <v>1</v>
      </c>
    </row>
    <row r="1507" spans="1:8">
      <c r="A1507" s="395">
        <v>1960</v>
      </c>
      <c r="B1507" s="406" t="s">
        <v>10248</v>
      </c>
      <c r="C1507" s="395" t="s">
        <v>2021</v>
      </c>
      <c r="D1507" s="407">
        <f t="shared" si="46"/>
        <v>65.930000000000007</v>
      </c>
      <c r="F1507" s="680">
        <v>65.930000000000007</v>
      </c>
      <c r="G1507" s="680">
        <v>65.930000000000007</v>
      </c>
      <c r="H1507" t="b">
        <f t="shared" si="47"/>
        <v>1</v>
      </c>
    </row>
    <row r="1508" spans="1:8">
      <c r="A1508" s="396">
        <v>1961</v>
      </c>
      <c r="B1508" s="401" t="s">
        <v>10249</v>
      </c>
      <c r="C1508" s="396" t="s">
        <v>2021</v>
      </c>
      <c r="D1508" s="405">
        <f t="shared" si="46"/>
        <v>84.46</v>
      </c>
      <c r="F1508" s="679">
        <v>84.46</v>
      </c>
      <c r="G1508" s="679">
        <v>84.46</v>
      </c>
      <c r="H1508" t="b">
        <f t="shared" si="47"/>
        <v>1</v>
      </c>
    </row>
    <row r="1509" spans="1:8">
      <c r="A1509" s="395">
        <v>38423</v>
      </c>
      <c r="B1509" s="406" t="s">
        <v>10250</v>
      </c>
      <c r="C1509" s="395" t="s">
        <v>2021</v>
      </c>
      <c r="D1509" s="407">
        <f t="shared" si="46"/>
        <v>43.59</v>
      </c>
      <c r="F1509" s="680">
        <v>43.59</v>
      </c>
      <c r="G1509" s="680">
        <v>43.59</v>
      </c>
      <c r="H1509" t="b">
        <f t="shared" si="47"/>
        <v>1</v>
      </c>
    </row>
    <row r="1510" spans="1:8">
      <c r="A1510" s="396">
        <v>39866</v>
      </c>
      <c r="B1510" s="401" t="s">
        <v>10251</v>
      </c>
      <c r="C1510" s="396" t="s">
        <v>2021</v>
      </c>
      <c r="D1510" s="405">
        <f t="shared" si="46"/>
        <v>17.57</v>
      </c>
      <c r="F1510" s="679">
        <v>17.57</v>
      </c>
      <c r="G1510" s="679">
        <v>17.57</v>
      </c>
      <c r="H1510" t="b">
        <f t="shared" si="47"/>
        <v>1</v>
      </c>
    </row>
    <row r="1511" spans="1:8">
      <c r="A1511" s="395">
        <v>39867</v>
      </c>
      <c r="B1511" s="406" t="s">
        <v>10252</v>
      </c>
      <c r="C1511" s="395" t="s">
        <v>2021</v>
      </c>
      <c r="D1511" s="407">
        <f t="shared" si="46"/>
        <v>39.06</v>
      </c>
      <c r="F1511" s="680">
        <v>39.06</v>
      </c>
      <c r="G1511" s="680">
        <v>39.06</v>
      </c>
      <c r="H1511" t="b">
        <f t="shared" si="47"/>
        <v>1</v>
      </c>
    </row>
    <row r="1512" spans="1:8">
      <c r="A1512" s="396">
        <v>39868</v>
      </c>
      <c r="B1512" s="401" t="s">
        <v>10253</v>
      </c>
      <c r="C1512" s="396" t="s">
        <v>2021</v>
      </c>
      <c r="D1512" s="405">
        <f t="shared" si="46"/>
        <v>70.36</v>
      </c>
      <c r="F1512" s="679">
        <v>70.36</v>
      </c>
      <c r="G1512" s="679">
        <v>70.36</v>
      </c>
      <c r="H1512" t="b">
        <f t="shared" si="47"/>
        <v>1</v>
      </c>
    </row>
    <row r="1513" spans="1:8">
      <c r="A1513" s="395">
        <v>37999</v>
      </c>
      <c r="B1513" s="406" t="s">
        <v>10254</v>
      </c>
      <c r="C1513" s="395" t="s">
        <v>2021</v>
      </c>
      <c r="D1513" s="407">
        <f t="shared" si="46"/>
        <v>8.17</v>
      </c>
      <c r="F1513" s="680">
        <v>8.17</v>
      </c>
      <c r="G1513" s="680">
        <v>8.17</v>
      </c>
      <c r="H1513" t="b">
        <f t="shared" si="47"/>
        <v>1</v>
      </c>
    </row>
    <row r="1514" spans="1:8">
      <c r="A1514" s="396">
        <v>38000</v>
      </c>
      <c r="B1514" s="401" t="s">
        <v>10255</v>
      </c>
      <c r="C1514" s="396" t="s">
        <v>2021</v>
      </c>
      <c r="D1514" s="405">
        <f t="shared" si="46"/>
        <v>9.5399999999999991</v>
      </c>
      <c r="F1514" s="679">
        <v>9.5399999999999991</v>
      </c>
      <c r="G1514" s="679">
        <v>9.5399999999999991</v>
      </c>
      <c r="H1514" t="b">
        <f t="shared" si="47"/>
        <v>1</v>
      </c>
    </row>
    <row r="1515" spans="1:8">
      <c r="A1515" s="395">
        <v>38129</v>
      </c>
      <c r="B1515" s="406" t="s">
        <v>10256</v>
      </c>
      <c r="C1515" s="395" t="s">
        <v>2021</v>
      </c>
      <c r="D1515" s="407">
        <f t="shared" si="46"/>
        <v>6.2</v>
      </c>
      <c r="F1515" s="680">
        <v>6.2</v>
      </c>
      <c r="G1515" s="680">
        <v>6.2</v>
      </c>
      <c r="H1515" t="b">
        <f t="shared" si="47"/>
        <v>1</v>
      </c>
    </row>
    <row r="1516" spans="1:8">
      <c r="A1516" s="396">
        <v>38025</v>
      </c>
      <c r="B1516" s="401" t="s">
        <v>10257</v>
      </c>
      <c r="C1516" s="396" t="s">
        <v>2021</v>
      </c>
      <c r="D1516" s="405">
        <f t="shared" si="46"/>
        <v>8.42</v>
      </c>
      <c r="F1516" s="679">
        <v>8.42</v>
      </c>
      <c r="G1516" s="679">
        <v>8.42</v>
      </c>
      <c r="H1516" t="b">
        <f t="shared" si="47"/>
        <v>1</v>
      </c>
    </row>
    <row r="1517" spans="1:8">
      <c r="A1517" s="395">
        <v>38026</v>
      </c>
      <c r="B1517" s="406" t="s">
        <v>10258</v>
      </c>
      <c r="C1517" s="395" t="s">
        <v>2021</v>
      </c>
      <c r="D1517" s="407">
        <f t="shared" si="46"/>
        <v>20.78</v>
      </c>
      <c r="F1517" s="680">
        <v>20.78</v>
      </c>
      <c r="G1517" s="680">
        <v>20.78</v>
      </c>
      <c r="H1517" t="b">
        <f t="shared" si="47"/>
        <v>1</v>
      </c>
    </row>
    <row r="1518" spans="1:8">
      <c r="A1518" s="396">
        <v>1858</v>
      </c>
      <c r="B1518" s="401" t="s">
        <v>10259</v>
      </c>
      <c r="C1518" s="396" t="s">
        <v>2021</v>
      </c>
      <c r="D1518" s="405">
        <f t="shared" si="46"/>
        <v>67.55</v>
      </c>
      <c r="F1518" s="679">
        <v>67.55</v>
      </c>
      <c r="G1518" s="679">
        <v>67.55</v>
      </c>
      <c r="H1518" t="b">
        <f t="shared" si="47"/>
        <v>1</v>
      </c>
    </row>
    <row r="1519" spans="1:8">
      <c r="A1519" s="395">
        <v>1844</v>
      </c>
      <c r="B1519" s="406" t="s">
        <v>10260</v>
      </c>
      <c r="C1519" s="395" t="s">
        <v>2021</v>
      </c>
      <c r="D1519" s="407">
        <f t="shared" si="46"/>
        <v>154.69</v>
      </c>
      <c r="F1519" s="680">
        <v>154.69</v>
      </c>
      <c r="G1519" s="680">
        <v>154.69</v>
      </c>
      <c r="H1519" t="b">
        <f t="shared" si="47"/>
        <v>1</v>
      </c>
    </row>
    <row r="1520" spans="1:8">
      <c r="A1520" s="396">
        <v>1863</v>
      </c>
      <c r="B1520" s="401" t="s">
        <v>10261</v>
      </c>
      <c r="C1520" s="396" t="s">
        <v>2021</v>
      </c>
      <c r="D1520" s="405">
        <f t="shared" si="46"/>
        <v>71.88</v>
      </c>
      <c r="F1520" s="679">
        <v>71.88</v>
      </c>
      <c r="G1520" s="679">
        <v>71.88</v>
      </c>
      <c r="H1520" t="b">
        <f t="shared" si="47"/>
        <v>1</v>
      </c>
    </row>
    <row r="1521" spans="1:8">
      <c r="A1521" s="395">
        <v>1865</v>
      </c>
      <c r="B1521" s="406" t="s">
        <v>10262</v>
      </c>
      <c r="C1521" s="395" t="s">
        <v>2021</v>
      </c>
      <c r="D1521" s="407">
        <f t="shared" si="46"/>
        <v>187.28</v>
      </c>
      <c r="F1521" s="680">
        <v>187.28</v>
      </c>
      <c r="G1521" s="680">
        <v>187.28</v>
      </c>
      <c r="H1521" t="b">
        <f t="shared" si="47"/>
        <v>1</v>
      </c>
    </row>
    <row r="1522" spans="1:8">
      <c r="A1522" s="396">
        <v>36355</v>
      </c>
      <c r="B1522" s="401" t="s">
        <v>10263</v>
      </c>
      <c r="C1522" s="396" t="s">
        <v>2021</v>
      </c>
      <c r="D1522" s="405">
        <f t="shared" si="46"/>
        <v>9.83</v>
      </c>
      <c r="F1522" s="679">
        <v>9.83</v>
      </c>
      <c r="G1522" s="679">
        <v>9.83</v>
      </c>
      <c r="H1522" t="b">
        <f t="shared" si="47"/>
        <v>1</v>
      </c>
    </row>
    <row r="1523" spans="1:8">
      <c r="A1523" s="395">
        <v>36356</v>
      </c>
      <c r="B1523" s="406" t="s">
        <v>10264</v>
      </c>
      <c r="C1523" s="395" t="s">
        <v>2021</v>
      </c>
      <c r="D1523" s="407">
        <f t="shared" si="46"/>
        <v>15.81</v>
      </c>
      <c r="F1523" s="680">
        <v>15.81</v>
      </c>
      <c r="G1523" s="680">
        <v>15.81</v>
      </c>
      <c r="H1523" t="b">
        <f t="shared" si="47"/>
        <v>1</v>
      </c>
    </row>
    <row r="1524" spans="1:8">
      <c r="A1524" s="396">
        <v>1966</v>
      </c>
      <c r="B1524" s="401" t="s">
        <v>10265</v>
      </c>
      <c r="C1524" s="396" t="s">
        <v>2021</v>
      </c>
      <c r="D1524" s="405">
        <f t="shared" si="46"/>
        <v>28.66</v>
      </c>
      <c r="F1524" s="679">
        <v>28.66</v>
      </c>
      <c r="G1524" s="679">
        <v>28.66</v>
      </c>
      <c r="H1524" t="b">
        <f t="shared" si="47"/>
        <v>1</v>
      </c>
    </row>
    <row r="1525" spans="1:8">
      <c r="A1525" s="395">
        <v>1933</v>
      </c>
      <c r="B1525" s="406" t="s">
        <v>10266</v>
      </c>
      <c r="C1525" s="395" t="s">
        <v>2021</v>
      </c>
      <c r="D1525" s="407">
        <f t="shared" si="46"/>
        <v>6.18</v>
      </c>
      <c r="F1525" s="680">
        <v>6.18</v>
      </c>
      <c r="G1525" s="680">
        <v>6.18</v>
      </c>
      <c r="H1525" t="b">
        <f t="shared" si="47"/>
        <v>1</v>
      </c>
    </row>
    <row r="1526" spans="1:8">
      <c r="A1526" s="396">
        <v>1932</v>
      </c>
      <c r="B1526" s="401" t="s">
        <v>10267</v>
      </c>
      <c r="C1526" s="396" t="s">
        <v>2021</v>
      </c>
      <c r="D1526" s="405">
        <f t="shared" si="46"/>
        <v>14.14</v>
      </c>
      <c r="F1526" s="679">
        <v>14.14</v>
      </c>
      <c r="G1526" s="679">
        <v>14.14</v>
      </c>
      <c r="H1526" t="b">
        <f t="shared" si="47"/>
        <v>1</v>
      </c>
    </row>
    <row r="1527" spans="1:8">
      <c r="A1527" s="395">
        <v>1951</v>
      </c>
      <c r="B1527" s="406" t="s">
        <v>10268</v>
      </c>
      <c r="C1527" s="395" t="s">
        <v>2021</v>
      </c>
      <c r="D1527" s="407">
        <f t="shared" si="46"/>
        <v>29.49</v>
      </c>
      <c r="F1527" s="680">
        <v>29.49</v>
      </c>
      <c r="G1527" s="680">
        <v>29.49</v>
      </c>
      <c r="H1527" t="b">
        <f t="shared" si="47"/>
        <v>1</v>
      </c>
    </row>
    <row r="1528" spans="1:8">
      <c r="A1528" s="396">
        <v>1970</v>
      </c>
      <c r="B1528" s="401" t="s">
        <v>10269</v>
      </c>
      <c r="C1528" s="396" t="s">
        <v>2021</v>
      </c>
      <c r="D1528" s="405">
        <f t="shared" si="46"/>
        <v>71.650000000000006</v>
      </c>
      <c r="F1528" s="679">
        <v>71.650000000000006</v>
      </c>
      <c r="G1528" s="679">
        <v>71.650000000000006</v>
      </c>
      <c r="H1528" t="b">
        <f t="shared" si="47"/>
        <v>1</v>
      </c>
    </row>
    <row r="1529" spans="1:8">
      <c r="A1529" s="395">
        <v>1967</v>
      </c>
      <c r="B1529" s="406" t="s">
        <v>10270</v>
      </c>
      <c r="C1529" s="395" t="s">
        <v>2021</v>
      </c>
      <c r="D1529" s="407">
        <f t="shared" si="46"/>
        <v>8.51</v>
      </c>
      <c r="F1529" s="680">
        <v>8.51</v>
      </c>
      <c r="G1529" s="680">
        <v>8.51</v>
      </c>
      <c r="H1529" t="b">
        <f t="shared" si="47"/>
        <v>1</v>
      </c>
    </row>
    <row r="1530" spans="1:8">
      <c r="A1530" s="396">
        <v>1968</v>
      </c>
      <c r="B1530" s="401" t="s">
        <v>10271</v>
      </c>
      <c r="C1530" s="396" t="s">
        <v>2021</v>
      </c>
      <c r="D1530" s="405">
        <f t="shared" si="46"/>
        <v>16.82</v>
      </c>
      <c r="F1530" s="679">
        <v>16.82</v>
      </c>
      <c r="G1530" s="679">
        <v>16.82</v>
      </c>
      <c r="H1530" t="b">
        <f t="shared" si="47"/>
        <v>1</v>
      </c>
    </row>
    <row r="1531" spans="1:8">
      <c r="A1531" s="395">
        <v>1969</v>
      </c>
      <c r="B1531" s="406" t="s">
        <v>10272</v>
      </c>
      <c r="C1531" s="395" t="s">
        <v>2021</v>
      </c>
      <c r="D1531" s="407">
        <f t="shared" si="46"/>
        <v>54.74</v>
      </c>
      <c r="F1531" s="680">
        <v>54.74</v>
      </c>
      <c r="G1531" s="680">
        <v>54.74</v>
      </c>
      <c r="H1531" t="b">
        <f t="shared" si="47"/>
        <v>1</v>
      </c>
    </row>
    <row r="1532" spans="1:8">
      <c r="A1532" s="396">
        <v>1827</v>
      </c>
      <c r="B1532" s="401" t="s">
        <v>10273</v>
      </c>
      <c r="C1532" s="396" t="s">
        <v>2021</v>
      </c>
      <c r="D1532" s="405">
        <f t="shared" si="46"/>
        <v>143.63</v>
      </c>
      <c r="F1532" s="679">
        <v>143.63</v>
      </c>
      <c r="G1532" s="679">
        <v>143.63</v>
      </c>
      <c r="H1532" t="b">
        <f t="shared" si="47"/>
        <v>1</v>
      </c>
    </row>
    <row r="1533" spans="1:8">
      <c r="A1533" s="395">
        <v>1831</v>
      </c>
      <c r="B1533" s="406" t="s">
        <v>10274</v>
      </c>
      <c r="C1533" s="395" t="s">
        <v>2021</v>
      </c>
      <c r="D1533" s="407">
        <f t="shared" si="46"/>
        <v>31.35</v>
      </c>
      <c r="F1533" s="680">
        <v>31.35</v>
      </c>
      <c r="G1533" s="680">
        <v>31.35</v>
      </c>
      <c r="H1533" t="b">
        <f t="shared" si="47"/>
        <v>1</v>
      </c>
    </row>
    <row r="1534" spans="1:8">
      <c r="A1534" s="396">
        <v>1825</v>
      </c>
      <c r="B1534" s="401" t="s">
        <v>10275</v>
      </c>
      <c r="C1534" s="396" t="s">
        <v>2021</v>
      </c>
      <c r="D1534" s="405">
        <f t="shared" si="46"/>
        <v>77.38</v>
      </c>
      <c r="F1534" s="679">
        <v>77.38</v>
      </c>
      <c r="G1534" s="679">
        <v>77.38</v>
      </c>
      <c r="H1534" t="b">
        <f t="shared" si="47"/>
        <v>1</v>
      </c>
    </row>
    <row r="1535" spans="1:8">
      <c r="A1535" s="395">
        <v>1828</v>
      </c>
      <c r="B1535" s="406" t="s">
        <v>10276</v>
      </c>
      <c r="C1535" s="395" t="s">
        <v>2021</v>
      </c>
      <c r="D1535" s="407">
        <f t="shared" si="46"/>
        <v>175.28</v>
      </c>
      <c r="F1535" s="680">
        <v>175.28</v>
      </c>
      <c r="G1535" s="680">
        <v>175.28</v>
      </c>
      <c r="H1535" t="b">
        <f t="shared" si="47"/>
        <v>1</v>
      </c>
    </row>
    <row r="1536" spans="1:8">
      <c r="A1536" s="396">
        <v>1845</v>
      </c>
      <c r="B1536" s="401" t="s">
        <v>10277</v>
      </c>
      <c r="C1536" s="396" t="s">
        <v>2021</v>
      </c>
      <c r="D1536" s="405">
        <f t="shared" si="46"/>
        <v>39.29</v>
      </c>
      <c r="F1536" s="679">
        <v>39.29</v>
      </c>
      <c r="G1536" s="679">
        <v>39.29</v>
      </c>
      <c r="H1536" t="b">
        <f t="shared" si="47"/>
        <v>1</v>
      </c>
    </row>
    <row r="1537" spans="1:8">
      <c r="A1537" s="395">
        <v>1824</v>
      </c>
      <c r="B1537" s="406" t="s">
        <v>10278</v>
      </c>
      <c r="C1537" s="395" t="s">
        <v>2021</v>
      </c>
      <c r="D1537" s="407">
        <f t="shared" si="46"/>
        <v>92.77</v>
      </c>
      <c r="F1537" s="680">
        <v>92.77</v>
      </c>
      <c r="G1537" s="680">
        <v>92.77</v>
      </c>
      <c r="H1537" t="b">
        <f t="shared" si="47"/>
        <v>1</v>
      </c>
    </row>
    <row r="1538" spans="1:8">
      <c r="A1538" s="396">
        <v>1940</v>
      </c>
      <c r="B1538" s="401" t="s">
        <v>10279</v>
      </c>
      <c r="C1538" s="396" t="s">
        <v>2021</v>
      </c>
      <c r="D1538" s="405">
        <f t="shared" si="46"/>
        <v>41.95</v>
      </c>
      <c r="F1538" s="679">
        <v>41.95</v>
      </c>
      <c r="G1538" s="679">
        <v>41.95</v>
      </c>
      <c r="H1538" t="b">
        <f t="shared" si="47"/>
        <v>1</v>
      </c>
    </row>
    <row r="1539" spans="1:8">
      <c r="A1539" s="395">
        <v>1937</v>
      </c>
      <c r="B1539" s="406" t="s">
        <v>10280</v>
      </c>
      <c r="C1539" s="395" t="s">
        <v>2021</v>
      </c>
      <c r="D1539" s="407">
        <f t="shared" ref="D1539:D1602" si="48">IF($J$2=$F$1,F1539,G1539)</f>
        <v>7.08</v>
      </c>
      <c r="F1539" s="680">
        <v>7.08</v>
      </c>
      <c r="G1539" s="680">
        <v>7.08</v>
      </c>
      <c r="H1539" t="b">
        <f t="shared" ref="H1539:H1602" si="49">F1539=G1539</f>
        <v>1</v>
      </c>
    </row>
    <row r="1540" spans="1:8">
      <c r="A1540" s="396">
        <v>1939</v>
      </c>
      <c r="B1540" s="401" t="s">
        <v>10281</v>
      </c>
      <c r="C1540" s="396" t="s">
        <v>2021</v>
      </c>
      <c r="D1540" s="405">
        <f t="shared" si="48"/>
        <v>11.51</v>
      </c>
      <c r="F1540" s="679">
        <v>11.51</v>
      </c>
      <c r="G1540" s="679">
        <v>11.51</v>
      </c>
      <c r="H1540" t="b">
        <f t="shared" si="49"/>
        <v>1</v>
      </c>
    </row>
    <row r="1541" spans="1:8">
      <c r="A1541" s="395">
        <v>1938</v>
      </c>
      <c r="B1541" s="406" t="s">
        <v>10282</v>
      </c>
      <c r="C1541" s="395" t="s">
        <v>2021</v>
      </c>
      <c r="D1541" s="407">
        <f t="shared" si="48"/>
        <v>8.0500000000000007</v>
      </c>
      <c r="F1541" s="680">
        <v>8.0500000000000007</v>
      </c>
      <c r="G1541" s="680">
        <v>8.0500000000000007</v>
      </c>
      <c r="H1541" t="b">
        <f t="shared" si="49"/>
        <v>1</v>
      </c>
    </row>
    <row r="1542" spans="1:8">
      <c r="A1542" s="396">
        <v>42693</v>
      </c>
      <c r="B1542" s="401" t="s">
        <v>10283</v>
      </c>
      <c r="C1542" s="396" t="s">
        <v>2021</v>
      </c>
      <c r="D1542" s="405">
        <f t="shared" si="48"/>
        <v>526.12</v>
      </c>
      <c r="F1542" s="679">
        <v>526.12</v>
      </c>
      <c r="G1542" s="679">
        <v>526.12</v>
      </c>
      <c r="H1542" t="b">
        <f t="shared" si="49"/>
        <v>1</v>
      </c>
    </row>
    <row r="1543" spans="1:8">
      <c r="A1543" s="395">
        <v>42695</v>
      </c>
      <c r="B1543" s="406" t="s">
        <v>10284</v>
      </c>
      <c r="C1543" s="395" t="s">
        <v>2021</v>
      </c>
      <c r="D1543" s="407">
        <f t="shared" si="48"/>
        <v>367.57</v>
      </c>
      <c r="F1543" s="680">
        <v>367.57</v>
      </c>
      <c r="G1543" s="680">
        <v>367.57</v>
      </c>
      <c r="H1543" t="b">
        <f t="shared" si="49"/>
        <v>1</v>
      </c>
    </row>
    <row r="1544" spans="1:8">
      <c r="A1544" s="396">
        <v>42694</v>
      </c>
      <c r="B1544" s="401" t="s">
        <v>10285</v>
      </c>
      <c r="C1544" s="396" t="s">
        <v>2021</v>
      </c>
      <c r="D1544" s="405">
        <f t="shared" si="48"/>
        <v>704.05</v>
      </c>
      <c r="F1544" s="679">
        <v>704.05</v>
      </c>
      <c r="G1544" s="679">
        <v>704.05</v>
      </c>
      <c r="H1544" t="b">
        <f t="shared" si="49"/>
        <v>1</v>
      </c>
    </row>
    <row r="1545" spans="1:8">
      <c r="A1545" s="395">
        <v>20097</v>
      </c>
      <c r="B1545" s="406" t="s">
        <v>10286</v>
      </c>
      <c r="C1545" s="395" t="s">
        <v>2021</v>
      </c>
      <c r="D1545" s="407">
        <f t="shared" si="48"/>
        <v>30.53</v>
      </c>
      <c r="F1545" s="680">
        <v>30.53</v>
      </c>
      <c r="G1545" s="680">
        <v>30.53</v>
      </c>
      <c r="H1545" t="b">
        <f t="shared" si="49"/>
        <v>1</v>
      </c>
    </row>
    <row r="1546" spans="1:8">
      <c r="A1546" s="396">
        <v>20098</v>
      </c>
      <c r="B1546" s="401" t="s">
        <v>10287</v>
      </c>
      <c r="C1546" s="396" t="s">
        <v>2021</v>
      </c>
      <c r="D1546" s="405">
        <f t="shared" si="48"/>
        <v>124.76</v>
      </c>
      <c r="F1546" s="679">
        <v>124.76</v>
      </c>
      <c r="G1546" s="679">
        <v>124.76</v>
      </c>
      <c r="H1546" t="b">
        <f t="shared" si="49"/>
        <v>1</v>
      </c>
    </row>
    <row r="1547" spans="1:8">
      <c r="A1547" s="395">
        <v>20096</v>
      </c>
      <c r="B1547" s="406" t="s">
        <v>10288</v>
      </c>
      <c r="C1547" s="395" t="s">
        <v>2021</v>
      </c>
      <c r="D1547" s="407">
        <f t="shared" si="48"/>
        <v>31.6</v>
      </c>
      <c r="F1547" s="680">
        <v>31.6</v>
      </c>
      <c r="G1547" s="680">
        <v>31.6</v>
      </c>
      <c r="H1547" t="b">
        <f t="shared" si="49"/>
        <v>1</v>
      </c>
    </row>
    <row r="1548" spans="1:8">
      <c r="A1548" s="396">
        <v>1880</v>
      </c>
      <c r="B1548" s="401" t="s">
        <v>10289</v>
      </c>
      <c r="C1548" s="396" t="s">
        <v>2021</v>
      </c>
      <c r="D1548" s="405">
        <f t="shared" si="48"/>
        <v>3.4</v>
      </c>
      <c r="F1548" s="679">
        <v>3.4</v>
      </c>
      <c r="G1548" s="679">
        <v>3.4</v>
      </c>
      <c r="H1548" t="b">
        <f t="shared" si="49"/>
        <v>1</v>
      </c>
    </row>
    <row r="1549" spans="1:8">
      <c r="A1549" s="395">
        <v>39274</v>
      </c>
      <c r="B1549" s="406" t="s">
        <v>10290</v>
      </c>
      <c r="C1549" s="395" t="s">
        <v>2021</v>
      </c>
      <c r="D1549" s="407">
        <f t="shared" si="48"/>
        <v>2.64</v>
      </c>
      <c r="F1549" s="680">
        <v>2.64</v>
      </c>
      <c r="G1549" s="680">
        <v>2.64</v>
      </c>
      <c r="H1549" t="b">
        <f t="shared" si="49"/>
        <v>1</v>
      </c>
    </row>
    <row r="1550" spans="1:8">
      <c r="A1550" s="396">
        <v>2628</v>
      </c>
      <c r="B1550" s="401" t="s">
        <v>10291</v>
      </c>
      <c r="C1550" s="396" t="s">
        <v>2021</v>
      </c>
      <c r="D1550" s="405">
        <f t="shared" si="48"/>
        <v>248.45</v>
      </c>
      <c r="F1550" s="679">
        <v>248.45</v>
      </c>
      <c r="G1550" s="679">
        <v>248.45</v>
      </c>
      <c r="H1550" t="b">
        <f t="shared" si="49"/>
        <v>1</v>
      </c>
    </row>
    <row r="1551" spans="1:8">
      <c r="A1551" s="395">
        <v>2622</v>
      </c>
      <c r="B1551" s="406" t="s">
        <v>10292</v>
      </c>
      <c r="C1551" s="395" t="s">
        <v>2021</v>
      </c>
      <c r="D1551" s="407">
        <f t="shared" si="48"/>
        <v>5.9</v>
      </c>
      <c r="F1551" s="680">
        <v>5.9</v>
      </c>
      <c r="G1551" s="680">
        <v>5.9</v>
      </c>
      <c r="H1551" t="b">
        <f t="shared" si="49"/>
        <v>1</v>
      </c>
    </row>
    <row r="1552" spans="1:8">
      <c r="A1552" s="396">
        <v>2623</v>
      </c>
      <c r="B1552" s="401" t="s">
        <v>10293</v>
      </c>
      <c r="C1552" s="396" t="s">
        <v>2021</v>
      </c>
      <c r="D1552" s="405">
        <f t="shared" si="48"/>
        <v>7.1</v>
      </c>
      <c r="F1552" s="679">
        <v>7.1</v>
      </c>
      <c r="G1552" s="679">
        <v>7.1</v>
      </c>
      <c r="H1552" t="b">
        <f t="shared" si="49"/>
        <v>1</v>
      </c>
    </row>
    <row r="1553" spans="1:8">
      <c r="A1553" s="395">
        <v>2624</v>
      </c>
      <c r="B1553" s="406" t="s">
        <v>10294</v>
      </c>
      <c r="C1553" s="395" t="s">
        <v>2021</v>
      </c>
      <c r="D1553" s="407">
        <f t="shared" si="48"/>
        <v>11.29</v>
      </c>
      <c r="F1553" s="680">
        <v>11.29</v>
      </c>
      <c r="G1553" s="680">
        <v>11.29</v>
      </c>
      <c r="H1553" t="b">
        <f t="shared" si="49"/>
        <v>1</v>
      </c>
    </row>
    <row r="1554" spans="1:8">
      <c r="A1554" s="396">
        <v>2625</v>
      </c>
      <c r="B1554" s="401" t="s">
        <v>10295</v>
      </c>
      <c r="C1554" s="396" t="s">
        <v>2021</v>
      </c>
      <c r="D1554" s="405">
        <f t="shared" si="48"/>
        <v>23.84</v>
      </c>
      <c r="F1554" s="679">
        <v>23.84</v>
      </c>
      <c r="G1554" s="679">
        <v>23.84</v>
      </c>
      <c r="H1554" t="b">
        <f t="shared" si="49"/>
        <v>1</v>
      </c>
    </row>
    <row r="1555" spans="1:8">
      <c r="A1555" s="395">
        <v>2626</v>
      </c>
      <c r="B1555" s="406" t="s">
        <v>10296</v>
      </c>
      <c r="C1555" s="395" t="s">
        <v>2021</v>
      </c>
      <c r="D1555" s="407">
        <f t="shared" si="48"/>
        <v>34.93</v>
      </c>
      <c r="F1555" s="680">
        <v>34.93</v>
      </c>
      <c r="G1555" s="680">
        <v>34.93</v>
      </c>
      <c r="H1555" t="b">
        <f t="shared" si="49"/>
        <v>1</v>
      </c>
    </row>
    <row r="1556" spans="1:8">
      <c r="A1556" s="396">
        <v>2630</v>
      </c>
      <c r="B1556" s="401" t="s">
        <v>10297</v>
      </c>
      <c r="C1556" s="396" t="s">
        <v>2021</v>
      </c>
      <c r="D1556" s="405">
        <f t="shared" si="48"/>
        <v>53.13</v>
      </c>
      <c r="F1556" s="679">
        <v>53.13</v>
      </c>
      <c r="G1556" s="679">
        <v>53.13</v>
      </c>
      <c r="H1556" t="b">
        <f t="shared" si="49"/>
        <v>1</v>
      </c>
    </row>
    <row r="1557" spans="1:8">
      <c r="A1557" s="395">
        <v>2627</v>
      </c>
      <c r="B1557" s="406" t="s">
        <v>10298</v>
      </c>
      <c r="C1557" s="395" t="s">
        <v>2021</v>
      </c>
      <c r="D1557" s="407">
        <f t="shared" si="48"/>
        <v>93.58</v>
      </c>
      <c r="F1557" s="680">
        <v>93.58</v>
      </c>
      <c r="G1557" s="680">
        <v>93.58</v>
      </c>
      <c r="H1557" t="b">
        <f t="shared" si="49"/>
        <v>1</v>
      </c>
    </row>
    <row r="1558" spans="1:8">
      <c r="A1558" s="396">
        <v>2629</v>
      </c>
      <c r="B1558" s="401" t="s">
        <v>10299</v>
      </c>
      <c r="C1558" s="396" t="s">
        <v>2021</v>
      </c>
      <c r="D1558" s="405">
        <f t="shared" si="48"/>
        <v>126.57</v>
      </c>
      <c r="F1558" s="679">
        <v>126.57</v>
      </c>
      <c r="G1558" s="679">
        <v>126.57</v>
      </c>
      <c r="H1558" t="b">
        <f t="shared" si="49"/>
        <v>1</v>
      </c>
    </row>
    <row r="1559" spans="1:8">
      <c r="A1559" s="395">
        <v>12033</v>
      </c>
      <c r="B1559" s="406" t="s">
        <v>10300</v>
      </c>
      <c r="C1559" s="395" t="s">
        <v>2021</v>
      </c>
      <c r="D1559" s="407">
        <f t="shared" si="48"/>
        <v>10.86</v>
      </c>
      <c r="F1559" s="680">
        <v>10.86</v>
      </c>
      <c r="G1559" s="680">
        <v>10.86</v>
      </c>
      <c r="H1559" t="b">
        <f t="shared" si="49"/>
        <v>1</v>
      </c>
    </row>
    <row r="1560" spans="1:8">
      <c r="A1560" s="396">
        <v>40408</v>
      </c>
      <c r="B1560" s="401" t="s">
        <v>10301</v>
      </c>
      <c r="C1560" s="396" t="s">
        <v>2021</v>
      </c>
      <c r="D1560" s="405">
        <f t="shared" si="48"/>
        <v>7.13</v>
      </c>
      <c r="F1560" s="679">
        <v>7.13</v>
      </c>
      <c r="G1560" s="679">
        <v>7.13</v>
      </c>
      <c r="H1560" t="b">
        <f t="shared" si="49"/>
        <v>1</v>
      </c>
    </row>
    <row r="1561" spans="1:8">
      <c r="A1561" s="395">
        <v>40409</v>
      </c>
      <c r="B1561" s="406" t="s">
        <v>10302</v>
      </c>
      <c r="C1561" s="395" t="s">
        <v>2021</v>
      </c>
      <c r="D1561" s="407">
        <f t="shared" si="48"/>
        <v>2.52</v>
      </c>
      <c r="F1561" s="680">
        <v>2.52</v>
      </c>
      <c r="G1561" s="680">
        <v>2.52</v>
      </c>
      <c r="H1561" t="b">
        <f t="shared" si="49"/>
        <v>1</v>
      </c>
    </row>
    <row r="1562" spans="1:8">
      <c r="A1562" s="396">
        <v>39276</v>
      </c>
      <c r="B1562" s="401" t="s">
        <v>10303</v>
      </c>
      <c r="C1562" s="396" t="s">
        <v>2021</v>
      </c>
      <c r="D1562" s="405">
        <f t="shared" si="48"/>
        <v>6.43</v>
      </c>
      <c r="F1562" s="679">
        <v>6.43</v>
      </c>
      <c r="G1562" s="679">
        <v>6.43</v>
      </c>
      <c r="H1562" t="b">
        <f t="shared" si="49"/>
        <v>1</v>
      </c>
    </row>
    <row r="1563" spans="1:8">
      <c r="A1563" s="395">
        <v>39277</v>
      </c>
      <c r="B1563" s="406" t="s">
        <v>10304</v>
      </c>
      <c r="C1563" s="395" t="s">
        <v>2021</v>
      </c>
      <c r="D1563" s="407">
        <f t="shared" si="48"/>
        <v>17.350000000000001</v>
      </c>
      <c r="F1563" s="680">
        <v>17.350000000000001</v>
      </c>
      <c r="G1563" s="680">
        <v>17.350000000000001</v>
      </c>
      <c r="H1563" t="b">
        <f t="shared" si="49"/>
        <v>1</v>
      </c>
    </row>
    <row r="1564" spans="1:8">
      <c r="A1564" s="396">
        <v>12034</v>
      </c>
      <c r="B1564" s="401" t="s">
        <v>10305</v>
      </c>
      <c r="C1564" s="396" t="s">
        <v>2021</v>
      </c>
      <c r="D1564" s="405">
        <f t="shared" si="48"/>
        <v>4.92</v>
      </c>
      <c r="F1564" s="679">
        <v>4.92</v>
      </c>
      <c r="G1564" s="679">
        <v>4.92</v>
      </c>
      <c r="H1564" t="b">
        <f t="shared" si="49"/>
        <v>1</v>
      </c>
    </row>
    <row r="1565" spans="1:8">
      <c r="A1565" s="395">
        <v>39879</v>
      </c>
      <c r="B1565" s="406" t="s">
        <v>10306</v>
      </c>
      <c r="C1565" s="395" t="s">
        <v>2021</v>
      </c>
      <c r="D1565" s="407">
        <f t="shared" si="48"/>
        <v>4.9400000000000004</v>
      </c>
      <c r="F1565" s="680">
        <v>4.9400000000000004</v>
      </c>
      <c r="G1565" s="680">
        <v>4.9400000000000004</v>
      </c>
      <c r="H1565" t="b">
        <f t="shared" si="49"/>
        <v>1</v>
      </c>
    </row>
    <row r="1566" spans="1:8">
      <c r="A1566" s="396">
        <v>39880</v>
      </c>
      <c r="B1566" s="401" t="s">
        <v>10307</v>
      </c>
      <c r="C1566" s="396" t="s">
        <v>2021</v>
      </c>
      <c r="D1566" s="405">
        <f t="shared" si="48"/>
        <v>10.93</v>
      </c>
      <c r="F1566" s="679">
        <v>10.93</v>
      </c>
      <c r="G1566" s="679">
        <v>10.93</v>
      </c>
      <c r="H1566" t="b">
        <f t="shared" si="49"/>
        <v>1</v>
      </c>
    </row>
    <row r="1567" spans="1:8">
      <c r="A1567" s="395">
        <v>39881</v>
      </c>
      <c r="B1567" s="406" t="s">
        <v>10308</v>
      </c>
      <c r="C1567" s="395" t="s">
        <v>2021</v>
      </c>
      <c r="D1567" s="407">
        <f t="shared" si="48"/>
        <v>17.55</v>
      </c>
      <c r="F1567" s="680">
        <v>17.55</v>
      </c>
      <c r="G1567" s="680">
        <v>17.55</v>
      </c>
      <c r="H1567" t="b">
        <f t="shared" si="49"/>
        <v>1</v>
      </c>
    </row>
    <row r="1568" spans="1:8">
      <c r="A1568" s="396">
        <v>39882</v>
      </c>
      <c r="B1568" s="401" t="s">
        <v>10309</v>
      </c>
      <c r="C1568" s="396" t="s">
        <v>2021</v>
      </c>
      <c r="D1568" s="405">
        <f t="shared" si="48"/>
        <v>46.23</v>
      </c>
      <c r="F1568" s="679">
        <v>46.23</v>
      </c>
      <c r="G1568" s="679">
        <v>46.23</v>
      </c>
      <c r="H1568" t="b">
        <f t="shared" si="49"/>
        <v>1</v>
      </c>
    </row>
    <row r="1569" spans="1:8">
      <c r="A1569" s="395">
        <v>39883</v>
      </c>
      <c r="B1569" s="406" t="s">
        <v>10310</v>
      </c>
      <c r="C1569" s="395" t="s">
        <v>2021</v>
      </c>
      <c r="D1569" s="407">
        <f t="shared" si="48"/>
        <v>73.83</v>
      </c>
      <c r="F1569" s="680">
        <v>73.83</v>
      </c>
      <c r="G1569" s="680">
        <v>73.83</v>
      </c>
      <c r="H1569" t="b">
        <f t="shared" si="49"/>
        <v>1</v>
      </c>
    </row>
    <row r="1570" spans="1:8">
      <c r="A1570" s="396">
        <v>39884</v>
      </c>
      <c r="B1570" s="401" t="s">
        <v>10311</v>
      </c>
      <c r="C1570" s="396" t="s">
        <v>2021</v>
      </c>
      <c r="D1570" s="405">
        <f t="shared" si="48"/>
        <v>109.66</v>
      </c>
      <c r="F1570" s="679">
        <v>109.66</v>
      </c>
      <c r="G1570" s="679">
        <v>109.66</v>
      </c>
      <c r="H1570" t="b">
        <f t="shared" si="49"/>
        <v>1</v>
      </c>
    </row>
    <row r="1571" spans="1:8">
      <c r="A1571" s="395">
        <v>39885</v>
      </c>
      <c r="B1571" s="406" t="s">
        <v>10312</v>
      </c>
      <c r="C1571" s="395" t="s">
        <v>2021</v>
      </c>
      <c r="D1571" s="407">
        <f t="shared" si="48"/>
        <v>260.62</v>
      </c>
      <c r="F1571" s="680">
        <v>260.62</v>
      </c>
      <c r="G1571" s="680">
        <v>260.62</v>
      </c>
      <c r="H1571" t="b">
        <f t="shared" si="49"/>
        <v>1</v>
      </c>
    </row>
    <row r="1572" spans="1:8">
      <c r="A1572" s="396">
        <v>1777</v>
      </c>
      <c r="B1572" s="401" t="s">
        <v>10313</v>
      </c>
      <c r="C1572" s="396" t="s">
        <v>2021</v>
      </c>
      <c r="D1572" s="405">
        <f t="shared" si="48"/>
        <v>60.08</v>
      </c>
      <c r="F1572" s="679">
        <v>60.08</v>
      </c>
      <c r="G1572" s="679">
        <v>60.08</v>
      </c>
      <c r="H1572" t="b">
        <f t="shared" si="49"/>
        <v>1</v>
      </c>
    </row>
    <row r="1573" spans="1:8">
      <c r="A1573" s="395">
        <v>1819</v>
      </c>
      <c r="B1573" s="406" t="s">
        <v>10314</v>
      </c>
      <c r="C1573" s="395" t="s">
        <v>2021</v>
      </c>
      <c r="D1573" s="407">
        <f t="shared" si="48"/>
        <v>43.71</v>
      </c>
      <c r="F1573" s="680">
        <v>43.71</v>
      </c>
      <c r="G1573" s="680">
        <v>43.71</v>
      </c>
      <c r="H1573" t="b">
        <f t="shared" si="49"/>
        <v>1</v>
      </c>
    </row>
    <row r="1574" spans="1:8">
      <c r="A1574" s="396">
        <v>1775</v>
      </c>
      <c r="B1574" s="401" t="s">
        <v>10315</v>
      </c>
      <c r="C1574" s="396" t="s">
        <v>2021</v>
      </c>
      <c r="D1574" s="405">
        <f t="shared" si="48"/>
        <v>13.07</v>
      </c>
      <c r="F1574" s="679">
        <v>13.07</v>
      </c>
      <c r="G1574" s="679">
        <v>13.07</v>
      </c>
      <c r="H1574" t="b">
        <f t="shared" si="49"/>
        <v>1</v>
      </c>
    </row>
    <row r="1575" spans="1:8">
      <c r="A1575" s="395">
        <v>1776</v>
      </c>
      <c r="B1575" s="406" t="s">
        <v>10316</v>
      </c>
      <c r="C1575" s="395" t="s">
        <v>2021</v>
      </c>
      <c r="D1575" s="407">
        <f t="shared" si="48"/>
        <v>35.56</v>
      </c>
      <c r="F1575" s="680">
        <v>35.56</v>
      </c>
      <c r="G1575" s="680">
        <v>35.56</v>
      </c>
      <c r="H1575" t="b">
        <f t="shared" si="49"/>
        <v>1</v>
      </c>
    </row>
    <row r="1576" spans="1:8">
      <c r="A1576" s="396">
        <v>1778</v>
      </c>
      <c r="B1576" s="401" t="s">
        <v>10317</v>
      </c>
      <c r="C1576" s="396" t="s">
        <v>2021</v>
      </c>
      <c r="D1576" s="405">
        <f t="shared" si="48"/>
        <v>145.41999999999999</v>
      </c>
      <c r="F1576" s="679">
        <v>145.41999999999999</v>
      </c>
      <c r="G1576" s="679">
        <v>145.41999999999999</v>
      </c>
      <c r="H1576" t="b">
        <f t="shared" si="49"/>
        <v>1</v>
      </c>
    </row>
    <row r="1577" spans="1:8">
      <c r="A1577" s="395">
        <v>1818</v>
      </c>
      <c r="B1577" s="406" t="s">
        <v>10318</v>
      </c>
      <c r="C1577" s="395" t="s">
        <v>2021</v>
      </c>
      <c r="D1577" s="407">
        <f t="shared" si="48"/>
        <v>96.53</v>
      </c>
      <c r="F1577" s="680">
        <v>96.53</v>
      </c>
      <c r="G1577" s="680">
        <v>96.53</v>
      </c>
      <c r="H1577" t="b">
        <f t="shared" si="49"/>
        <v>1</v>
      </c>
    </row>
    <row r="1578" spans="1:8">
      <c r="A1578" s="396">
        <v>1820</v>
      </c>
      <c r="B1578" s="401" t="s">
        <v>10319</v>
      </c>
      <c r="C1578" s="396" t="s">
        <v>2021</v>
      </c>
      <c r="D1578" s="405">
        <f t="shared" si="48"/>
        <v>18.87</v>
      </c>
      <c r="F1578" s="679">
        <v>18.87</v>
      </c>
      <c r="G1578" s="679">
        <v>18.87</v>
      </c>
      <c r="H1578" t="b">
        <f t="shared" si="49"/>
        <v>1</v>
      </c>
    </row>
    <row r="1579" spans="1:8">
      <c r="A1579" s="395">
        <v>1779</v>
      </c>
      <c r="B1579" s="406" t="s">
        <v>10320</v>
      </c>
      <c r="C1579" s="395" t="s">
        <v>2021</v>
      </c>
      <c r="D1579" s="407">
        <f t="shared" si="48"/>
        <v>211.5</v>
      </c>
      <c r="F1579" s="680">
        <v>211.5</v>
      </c>
      <c r="G1579" s="680">
        <v>211.5</v>
      </c>
      <c r="H1579" t="b">
        <f t="shared" si="49"/>
        <v>1</v>
      </c>
    </row>
    <row r="1580" spans="1:8">
      <c r="A1580" s="396">
        <v>1780</v>
      </c>
      <c r="B1580" s="401" t="s">
        <v>10321</v>
      </c>
      <c r="C1580" s="396" t="s">
        <v>2021</v>
      </c>
      <c r="D1580" s="405">
        <f t="shared" si="48"/>
        <v>436.01</v>
      </c>
      <c r="F1580" s="679">
        <v>436.01</v>
      </c>
      <c r="G1580" s="679">
        <v>436.01</v>
      </c>
      <c r="H1580" t="b">
        <f t="shared" si="49"/>
        <v>1</v>
      </c>
    </row>
    <row r="1581" spans="1:8">
      <c r="A1581" s="395">
        <v>1783</v>
      </c>
      <c r="B1581" s="406" t="s">
        <v>10322</v>
      </c>
      <c r="C1581" s="395" t="s">
        <v>2021</v>
      </c>
      <c r="D1581" s="407">
        <f t="shared" si="48"/>
        <v>46.1</v>
      </c>
      <c r="F1581" s="680">
        <v>46.1</v>
      </c>
      <c r="G1581" s="680">
        <v>46.1</v>
      </c>
      <c r="H1581" t="b">
        <f t="shared" si="49"/>
        <v>1</v>
      </c>
    </row>
    <row r="1582" spans="1:8">
      <c r="A1582" s="396">
        <v>1782</v>
      </c>
      <c r="B1582" s="401" t="s">
        <v>10323</v>
      </c>
      <c r="C1582" s="396" t="s">
        <v>2021</v>
      </c>
      <c r="D1582" s="405">
        <f t="shared" si="48"/>
        <v>36.450000000000003</v>
      </c>
      <c r="F1582" s="679">
        <v>36.450000000000003</v>
      </c>
      <c r="G1582" s="679">
        <v>36.450000000000003</v>
      </c>
      <c r="H1582" t="b">
        <f t="shared" si="49"/>
        <v>1</v>
      </c>
    </row>
    <row r="1583" spans="1:8">
      <c r="A1583" s="395">
        <v>1817</v>
      </c>
      <c r="B1583" s="406" t="s">
        <v>10324</v>
      </c>
      <c r="C1583" s="395" t="s">
        <v>2021</v>
      </c>
      <c r="D1583" s="407">
        <f t="shared" si="48"/>
        <v>10.86</v>
      </c>
      <c r="F1583" s="680">
        <v>10.86</v>
      </c>
      <c r="G1583" s="680">
        <v>10.86</v>
      </c>
      <c r="H1583" t="b">
        <f t="shared" si="49"/>
        <v>1</v>
      </c>
    </row>
    <row r="1584" spans="1:8">
      <c r="A1584" s="396">
        <v>1781</v>
      </c>
      <c r="B1584" s="401" t="s">
        <v>10325</v>
      </c>
      <c r="C1584" s="396" t="s">
        <v>2021</v>
      </c>
      <c r="D1584" s="405">
        <f t="shared" si="48"/>
        <v>23.75</v>
      </c>
      <c r="F1584" s="679">
        <v>23.75</v>
      </c>
      <c r="G1584" s="679">
        <v>23.75</v>
      </c>
      <c r="H1584" t="b">
        <f t="shared" si="49"/>
        <v>1</v>
      </c>
    </row>
    <row r="1585" spans="1:8">
      <c r="A1585" s="395">
        <v>1784</v>
      </c>
      <c r="B1585" s="406" t="s">
        <v>10326</v>
      </c>
      <c r="C1585" s="395" t="s">
        <v>2021</v>
      </c>
      <c r="D1585" s="407">
        <f t="shared" si="48"/>
        <v>130.16999999999999</v>
      </c>
      <c r="F1585" s="680">
        <v>130.16999999999999</v>
      </c>
      <c r="G1585" s="680">
        <v>130.16999999999999</v>
      </c>
      <c r="H1585" t="b">
        <f t="shared" si="49"/>
        <v>1</v>
      </c>
    </row>
    <row r="1586" spans="1:8">
      <c r="A1586" s="396">
        <v>1810</v>
      </c>
      <c r="B1586" s="401" t="s">
        <v>10327</v>
      </c>
      <c r="C1586" s="396" t="s">
        <v>2021</v>
      </c>
      <c r="D1586" s="405">
        <f t="shared" si="48"/>
        <v>72.2</v>
      </c>
      <c r="F1586" s="679">
        <v>72.2</v>
      </c>
      <c r="G1586" s="679">
        <v>72.2</v>
      </c>
      <c r="H1586" t="b">
        <f t="shared" si="49"/>
        <v>1</v>
      </c>
    </row>
    <row r="1587" spans="1:8">
      <c r="A1587" s="395">
        <v>1811</v>
      </c>
      <c r="B1587" s="406" t="s">
        <v>10328</v>
      </c>
      <c r="C1587" s="395" t="s">
        <v>2021</v>
      </c>
      <c r="D1587" s="407">
        <f t="shared" si="48"/>
        <v>15.62</v>
      </c>
      <c r="F1587" s="680">
        <v>15.62</v>
      </c>
      <c r="G1587" s="680">
        <v>15.62</v>
      </c>
      <c r="H1587" t="b">
        <f t="shared" si="49"/>
        <v>1</v>
      </c>
    </row>
    <row r="1588" spans="1:8">
      <c r="A1588" s="396">
        <v>1812</v>
      </c>
      <c r="B1588" s="401" t="s">
        <v>10329</v>
      </c>
      <c r="C1588" s="396" t="s">
        <v>2021</v>
      </c>
      <c r="D1588" s="405">
        <f t="shared" si="48"/>
        <v>182.27</v>
      </c>
      <c r="F1588" s="679">
        <v>182.27</v>
      </c>
      <c r="G1588" s="679">
        <v>182.27</v>
      </c>
      <c r="H1588" t="b">
        <f t="shared" si="49"/>
        <v>1</v>
      </c>
    </row>
    <row r="1589" spans="1:8">
      <c r="A1589" s="395">
        <v>40386</v>
      </c>
      <c r="B1589" s="406" t="s">
        <v>10330</v>
      </c>
      <c r="C1589" s="395" t="s">
        <v>2021</v>
      </c>
      <c r="D1589" s="407">
        <f t="shared" si="48"/>
        <v>98.8</v>
      </c>
      <c r="F1589" s="680">
        <v>98.8</v>
      </c>
      <c r="G1589" s="680">
        <v>98.8</v>
      </c>
      <c r="H1589" t="b">
        <f t="shared" si="49"/>
        <v>1</v>
      </c>
    </row>
    <row r="1590" spans="1:8">
      <c r="A1590" s="396">
        <v>40384</v>
      </c>
      <c r="B1590" s="401" t="s">
        <v>10331</v>
      </c>
      <c r="C1590" s="396" t="s">
        <v>2021</v>
      </c>
      <c r="D1590" s="405">
        <f t="shared" si="48"/>
        <v>67.64</v>
      </c>
      <c r="F1590" s="679">
        <v>67.64</v>
      </c>
      <c r="G1590" s="679">
        <v>67.64</v>
      </c>
      <c r="H1590" t="b">
        <f t="shared" si="49"/>
        <v>1</v>
      </c>
    </row>
    <row r="1591" spans="1:8">
      <c r="A1591" s="395">
        <v>40379</v>
      </c>
      <c r="B1591" s="406" t="s">
        <v>10332</v>
      </c>
      <c r="C1591" s="395" t="s">
        <v>2021</v>
      </c>
      <c r="D1591" s="407">
        <f t="shared" si="48"/>
        <v>23.38</v>
      </c>
      <c r="F1591" s="680">
        <v>23.38</v>
      </c>
      <c r="G1591" s="680">
        <v>23.38</v>
      </c>
      <c r="H1591" t="b">
        <f t="shared" si="49"/>
        <v>1</v>
      </c>
    </row>
    <row r="1592" spans="1:8">
      <c r="A1592" s="396">
        <v>40423</v>
      </c>
      <c r="B1592" s="401" t="s">
        <v>10333</v>
      </c>
      <c r="C1592" s="396" t="s">
        <v>2021</v>
      </c>
      <c r="D1592" s="405">
        <f t="shared" si="48"/>
        <v>44.25</v>
      </c>
      <c r="F1592" s="679">
        <v>44.25</v>
      </c>
      <c r="G1592" s="679">
        <v>44.25</v>
      </c>
      <c r="H1592" t="b">
        <f t="shared" si="49"/>
        <v>1</v>
      </c>
    </row>
    <row r="1593" spans="1:8">
      <c r="A1593" s="395">
        <v>40389</v>
      </c>
      <c r="B1593" s="406" t="s">
        <v>10334</v>
      </c>
      <c r="C1593" s="395" t="s">
        <v>2021</v>
      </c>
      <c r="D1593" s="407">
        <f t="shared" si="48"/>
        <v>280.64</v>
      </c>
      <c r="F1593" s="680">
        <v>280.64</v>
      </c>
      <c r="G1593" s="680">
        <v>280.64</v>
      </c>
      <c r="H1593" t="b">
        <f t="shared" si="49"/>
        <v>1</v>
      </c>
    </row>
    <row r="1594" spans="1:8">
      <c r="A1594" s="396">
        <v>40388</v>
      </c>
      <c r="B1594" s="401" t="s">
        <v>10335</v>
      </c>
      <c r="C1594" s="396" t="s">
        <v>2021</v>
      </c>
      <c r="D1594" s="405">
        <f t="shared" si="48"/>
        <v>140.47</v>
      </c>
      <c r="F1594" s="679">
        <v>140.47</v>
      </c>
      <c r="G1594" s="679">
        <v>140.47</v>
      </c>
      <c r="H1594" t="b">
        <f t="shared" si="49"/>
        <v>1</v>
      </c>
    </row>
    <row r="1595" spans="1:8">
      <c r="A1595" s="395">
        <v>40381</v>
      </c>
      <c r="B1595" s="406" t="s">
        <v>10336</v>
      </c>
      <c r="C1595" s="395" t="s">
        <v>2021</v>
      </c>
      <c r="D1595" s="407">
        <f t="shared" si="48"/>
        <v>31.18</v>
      </c>
      <c r="F1595" s="680">
        <v>31.18</v>
      </c>
      <c r="G1595" s="680">
        <v>31.18</v>
      </c>
      <c r="H1595" t="b">
        <f t="shared" si="49"/>
        <v>1</v>
      </c>
    </row>
    <row r="1596" spans="1:8">
      <c r="A1596" s="396">
        <v>40391</v>
      </c>
      <c r="B1596" s="401" t="s">
        <v>10337</v>
      </c>
      <c r="C1596" s="396" t="s">
        <v>2021</v>
      </c>
      <c r="D1596" s="405">
        <f t="shared" si="48"/>
        <v>728.4</v>
      </c>
      <c r="F1596" s="679">
        <v>728.4</v>
      </c>
      <c r="G1596" s="679">
        <v>728.4</v>
      </c>
      <c r="H1596" t="b">
        <f t="shared" si="49"/>
        <v>1</v>
      </c>
    </row>
    <row r="1597" spans="1:8">
      <c r="A1597" s="395">
        <v>40414</v>
      </c>
      <c r="B1597" s="406" t="s">
        <v>10338</v>
      </c>
      <c r="C1597" s="395" t="s">
        <v>2021</v>
      </c>
      <c r="D1597" s="407">
        <f t="shared" si="48"/>
        <v>23.39</v>
      </c>
      <c r="F1597" s="680">
        <v>23.39</v>
      </c>
      <c r="G1597" s="680">
        <v>23.39</v>
      </c>
      <c r="H1597" t="b">
        <f t="shared" si="49"/>
        <v>1</v>
      </c>
    </row>
    <row r="1598" spans="1:8">
      <c r="A1598" s="396">
        <v>40416</v>
      </c>
      <c r="B1598" s="401" t="s">
        <v>10339</v>
      </c>
      <c r="C1598" s="396" t="s">
        <v>2021</v>
      </c>
      <c r="D1598" s="405">
        <f t="shared" si="48"/>
        <v>32.33</v>
      </c>
      <c r="F1598" s="679">
        <v>32.33</v>
      </c>
      <c r="G1598" s="679">
        <v>32.33</v>
      </c>
      <c r="H1598" t="b">
        <f t="shared" si="49"/>
        <v>1</v>
      </c>
    </row>
    <row r="1599" spans="1:8">
      <c r="A1599" s="395">
        <v>40418</v>
      </c>
      <c r="B1599" s="406" t="s">
        <v>10340</v>
      </c>
      <c r="C1599" s="395" t="s">
        <v>2021</v>
      </c>
      <c r="D1599" s="407">
        <f t="shared" si="48"/>
        <v>38.57</v>
      </c>
      <c r="F1599" s="680">
        <v>38.57</v>
      </c>
      <c r="G1599" s="680">
        <v>38.57</v>
      </c>
      <c r="H1599" t="b">
        <f t="shared" si="49"/>
        <v>1</v>
      </c>
    </row>
    <row r="1600" spans="1:8">
      <c r="A1600" s="396">
        <v>2609</v>
      </c>
      <c r="B1600" s="401" t="s">
        <v>10341</v>
      </c>
      <c r="C1600" s="396" t="s">
        <v>2021</v>
      </c>
      <c r="D1600" s="405">
        <f t="shared" si="48"/>
        <v>5.54</v>
      </c>
      <c r="F1600" s="679">
        <v>5.54</v>
      </c>
      <c r="G1600" s="679">
        <v>5.54</v>
      </c>
      <c r="H1600" t="b">
        <f t="shared" si="49"/>
        <v>1</v>
      </c>
    </row>
    <row r="1601" spans="1:8">
      <c r="A1601" s="395">
        <v>2634</v>
      </c>
      <c r="B1601" s="406" t="s">
        <v>10342</v>
      </c>
      <c r="C1601" s="395" t="s">
        <v>2021</v>
      </c>
      <c r="D1601" s="407">
        <f t="shared" si="48"/>
        <v>7.28</v>
      </c>
      <c r="F1601" s="680">
        <v>7.28</v>
      </c>
      <c r="G1601" s="680">
        <v>7.28</v>
      </c>
      <c r="H1601" t="b">
        <f t="shared" si="49"/>
        <v>1</v>
      </c>
    </row>
    <row r="1602" spans="1:8">
      <c r="A1602" s="396">
        <v>2611</v>
      </c>
      <c r="B1602" s="401" t="s">
        <v>10343</v>
      </c>
      <c r="C1602" s="396" t="s">
        <v>2021</v>
      </c>
      <c r="D1602" s="405">
        <f t="shared" si="48"/>
        <v>20.52</v>
      </c>
      <c r="F1602" s="679">
        <v>20.52</v>
      </c>
      <c r="G1602" s="679">
        <v>20.52</v>
      </c>
      <c r="H1602" t="b">
        <f t="shared" si="49"/>
        <v>1</v>
      </c>
    </row>
    <row r="1603" spans="1:8">
      <c r="A1603" s="395">
        <v>34359</v>
      </c>
      <c r="B1603" s="406" t="s">
        <v>10344</v>
      </c>
      <c r="C1603" s="395" t="s">
        <v>2021</v>
      </c>
      <c r="D1603" s="407">
        <f t="shared" ref="D1603:D1666" si="50">IF($J$2=$F$1,F1603,G1603)</f>
        <v>10.75</v>
      </c>
      <c r="F1603" s="680">
        <v>10.75</v>
      </c>
      <c r="G1603" s="680">
        <v>10.75</v>
      </c>
      <c r="H1603" t="b">
        <f t="shared" ref="H1603:H1666" si="51">F1603=G1603</f>
        <v>1</v>
      </c>
    </row>
    <row r="1604" spans="1:8">
      <c r="A1604" s="396">
        <v>1789</v>
      </c>
      <c r="B1604" s="401" t="s">
        <v>10345</v>
      </c>
      <c r="C1604" s="396" t="s">
        <v>2021</v>
      </c>
      <c r="D1604" s="405">
        <f t="shared" si="50"/>
        <v>57.66</v>
      </c>
      <c r="F1604" s="679">
        <v>57.66</v>
      </c>
      <c r="G1604" s="679">
        <v>57.66</v>
      </c>
      <c r="H1604" t="b">
        <f t="shared" si="51"/>
        <v>1</v>
      </c>
    </row>
    <row r="1605" spans="1:8">
      <c r="A1605" s="395">
        <v>1788</v>
      </c>
      <c r="B1605" s="406" t="s">
        <v>10346</v>
      </c>
      <c r="C1605" s="395" t="s">
        <v>2021</v>
      </c>
      <c r="D1605" s="407">
        <f t="shared" si="50"/>
        <v>46.22</v>
      </c>
      <c r="F1605" s="680">
        <v>46.22</v>
      </c>
      <c r="G1605" s="680">
        <v>46.22</v>
      </c>
      <c r="H1605" t="b">
        <f t="shared" si="51"/>
        <v>1</v>
      </c>
    </row>
    <row r="1606" spans="1:8">
      <c r="A1606" s="396">
        <v>1786</v>
      </c>
      <c r="B1606" s="401" t="s">
        <v>10347</v>
      </c>
      <c r="C1606" s="396" t="s">
        <v>2021</v>
      </c>
      <c r="D1606" s="405">
        <f t="shared" si="50"/>
        <v>11.47</v>
      </c>
      <c r="F1606" s="679">
        <v>11.47</v>
      </c>
      <c r="G1606" s="679">
        <v>11.47</v>
      </c>
      <c r="H1606" t="b">
        <f t="shared" si="51"/>
        <v>1</v>
      </c>
    </row>
    <row r="1607" spans="1:8">
      <c r="A1607" s="395">
        <v>1787</v>
      </c>
      <c r="B1607" s="406" t="s">
        <v>10348</v>
      </c>
      <c r="C1607" s="395" t="s">
        <v>2021</v>
      </c>
      <c r="D1607" s="407">
        <f t="shared" si="50"/>
        <v>27.48</v>
      </c>
      <c r="F1607" s="680">
        <v>27.48</v>
      </c>
      <c r="G1607" s="680">
        <v>27.48</v>
      </c>
      <c r="H1607" t="b">
        <f t="shared" si="51"/>
        <v>1</v>
      </c>
    </row>
    <row r="1608" spans="1:8">
      <c r="A1608" s="396">
        <v>1791</v>
      </c>
      <c r="B1608" s="401" t="s">
        <v>10349</v>
      </c>
      <c r="C1608" s="396" t="s">
        <v>2021</v>
      </c>
      <c r="D1608" s="405">
        <f t="shared" si="50"/>
        <v>166.65</v>
      </c>
      <c r="F1608" s="679">
        <v>166.65</v>
      </c>
      <c r="G1608" s="679">
        <v>166.65</v>
      </c>
      <c r="H1608" t="b">
        <f t="shared" si="51"/>
        <v>1</v>
      </c>
    </row>
    <row r="1609" spans="1:8">
      <c r="A1609" s="395">
        <v>1790</v>
      </c>
      <c r="B1609" s="406" t="s">
        <v>10350</v>
      </c>
      <c r="C1609" s="395" t="s">
        <v>2021</v>
      </c>
      <c r="D1609" s="407">
        <f t="shared" si="50"/>
        <v>96.03</v>
      </c>
      <c r="F1609" s="680">
        <v>96.03</v>
      </c>
      <c r="G1609" s="680">
        <v>96.03</v>
      </c>
      <c r="H1609" t="b">
        <f t="shared" si="51"/>
        <v>1</v>
      </c>
    </row>
    <row r="1610" spans="1:8">
      <c r="A1610" s="396">
        <v>1813</v>
      </c>
      <c r="B1610" s="401" t="s">
        <v>10351</v>
      </c>
      <c r="C1610" s="396" t="s">
        <v>2021</v>
      </c>
      <c r="D1610" s="405">
        <f t="shared" si="50"/>
        <v>18.21</v>
      </c>
      <c r="F1610" s="679">
        <v>18.21</v>
      </c>
      <c r="G1610" s="679">
        <v>18.21</v>
      </c>
      <c r="H1610" t="b">
        <f t="shared" si="51"/>
        <v>1</v>
      </c>
    </row>
    <row r="1611" spans="1:8">
      <c r="A1611" s="395">
        <v>1792</v>
      </c>
      <c r="B1611" s="406" t="s">
        <v>10352</v>
      </c>
      <c r="C1611" s="395" t="s">
        <v>2021</v>
      </c>
      <c r="D1611" s="407">
        <f t="shared" si="50"/>
        <v>224.95</v>
      </c>
      <c r="F1611" s="680">
        <v>224.95</v>
      </c>
      <c r="G1611" s="680">
        <v>224.95</v>
      </c>
      <c r="H1611" t="b">
        <f t="shared" si="51"/>
        <v>1</v>
      </c>
    </row>
    <row r="1612" spans="1:8">
      <c r="A1612" s="396">
        <v>1793</v>
      </c>
      <c r="B1612" s="401" t="s">
        <v>10353</v>
      </c>
      <c r="C1612" s="396" t="s">
        <v>2021</v>
      </c>
      <c r="D1612" s="405">
        <f t="shared" si="50"/>
        <v>454.54</v>
      </c>
      <c r="F1612" s="679">
        <v>454.54</v>
      </c>
      <c r="G1612" s="679">
        <v>454.54</v>
      </c>
      <c r="H1612" t="b">
        <f t="shared" si="51"/>
        <v>1</v>
      </c>
    </row>
    <row r="1613" spans="1:8">
      <c r="A1613" s="395">
        <v>1809</v>
      </c>
      <c r="B1613" s="406" t="s">
        <v>10354</v>
      </c>
      <c r="C1613" s="395" t="s">
        <v>2021</v>
      </c>
      <c r="D1613" s="407">
        <f t="shared" si="50"/>
        <v>54.06</v>
      </c>
      <c r="F1613" s="680">
        <v>54.06</v>
      </c>
      <c r="G1613" s="680">
        <v>54.06</v>
      </c>
      <c r="H1613" t="b">
        <f t="shared" si="51"/>
        <v>1</v>
      </c>
    </row>
    <row r="1614" spans="1:8">
      <c r="A1614" s="396">
        <v>1814</v>
      </c>
      <c r="B1614" s="401" t="s">
        <v>10355</v>
      </c>
      <c r="C1614" s="396" t="s">
        <v>2021</v>
      </c>
      <c r="D1614" s="405">
        <f t="shared" si="50"/>
        <v>44.41</v>
      </c>
      <c r="F1614" s="679">
        <v>44.41</v>
      </c>
      <c r="G1614" s="679">
        <v>44.41</v>
      </c>
      <c r="H1614" t="b">
        <f t="shared" si="51"/>
        <v>1</v>
      </c>
    </row>
    <row r="1615" spans="1:8">
      <c r="A1615" s="395">
        <v>1803</v>
      </c>
      <c r="B1615" s="406" t="s">
        <v>10356</v>
      </c>
      <c r="C1615" s="395" t="s">
        <v>2021</v>
      </c>
      <c r="D1615" s="407">
        <f t="shared" si="50"/>
        <v>11.22</v>
      </c>
      <c r="F1615" s="680">
        <v>11.22</v>
      </c>
      <c r="G1615" s="680">
        <v>11.22</v>
      </c>
      <c r="H1615" t="b">
        <f t="shared" si="51"/>
        <v>1</v>
      </c>
    </row>
    <row r="1616" spans="1:8">
      <c r="A1616" s="396">
        <v>1805</v>
      </c>
      <c r="B1616" s="401" t="s">
        <v>10357</v>
      </c>
      <c r="C1616" s="396" t="s">
        <v>2021</v>
      </c>
      <c r="D1616" s="405">
        <f t="shared" si="50"/>
        <v>25.77</v>
      </c>
      <c r="F1616" s="679">
        <v>25.77</v>
      </c>
      <c r="G1616" s="679">
        <v>25.77</v>
      </c>
      <c r="H1616" t="b">
        <f t="shared" si="51"/>
        <v>1</v>
      </c>
    </row>
    <row r="1617" spans="1:8">
      <c r="A1617" s="395">
        <v>1821</v>
      </c>
      <c r="B1617" s="406" t="s">
        <v>10358</v>
      </c>
      <c r="C1617" s="395" t="s">
        <v>2021</v>
      </c>
      <c r="D1617" s="407">
        <f t="shared" si="50"/>
        <v>152.25</v>
      </c>
      <c r="F1617" s="680">
        <v>152.25</v>
      </c>
      <c r="G1617" s="680">
        <v>152.25</v>
      </c>
      <c r="H1617" t="b">
        <f t="shared" si="51"/>
        <v>1</v>
      </c>
    </row>
    <row r="1618" spans="1:8">
      <c r="A1618" s="396">
        <v>1806</v>
      </c>
      <c r="B1618" s="401" t="s">
        <v>10359</v>
      </c>
      <c r="C1618" s="396" t="s">
        <v>2021</v>
      </c>
      <c r="D1618" s="405">
        <f t="shared" si="50"/>
        <v>90.62</v>
      </c>
      <c r="F1618" s="679">
        <v>90.62</v>
      </c>
      <c r="G1618" s="679">
        <v>90.62</v>
      </c>
      <c r="H1618" t="b">
        <f t="shared" si="51"/>
        <v>1</v>
      </c>
    </row>
    <row r="1619" spans="1:8">
      <c r="A1619" s="395">
        <v>1804</v>
      </c>
      <c r="B1619" s="406" t="s">
        <v>10360</v>
      </c>
      <c r="C1619" s="395" t="s">
        <v>2021</v>
      </c>
      <c r="D1619" s="407">
        <f t="shared" si="50"/>
        <v>15.97</v>
      </c>
      <c r="F1619" s="680">
        <v>15.97</v>
      </c>
      <c r="G1619" s="680">
        <v>15.97</v>
      </c>
      <c r="H1619" t="b">
        <f t="shared" si="51"/>
        <v>1</v>
      </c>
    </row>
    <row r="1620" spans="1:8">
      <c r="A1620" s="396">
        <v>1807</v>
      </c>
      <c r="B1620" s="401" t="s">
        <v>10361</v>
      </c>
      <c r="C1620" s="396" t="s">
        <v>2021</v>
      </c>
      <c r="D1620" s="405">
        <f t="shared" si="50"/>
        <v>217.75</v>
      </c>
      <c r="F1620" s="679">
        <v>217.75</v>
      </c>
      <c r="G1620" s="679">
        <v>217.75</v>
      </c>
      <c r="H1620" t="b">
        <f t="shared" si="51"/>
        <v>1</v>
      </c>
    </row>
    <row r="1621" spans="1:8">
      <c r="A1621" s="395">
        <v>1808</v>
      </c>
      <c r="B1621" s="406" t="s">
        <v>10362</v>
      </c>
      <c r="C1621" s="395" t="s">
        <v>2021</v>
      </c>
      <c r="D1621" s="407">
        <f t="shared" si="50"/>
        <v>436.55</v>
      </c>
      <c r="F1621" s="680">
        <v>436.55</v>
      </c>
      <c r="G1621" s="680">
        <v>436.55</v>
      </c>
      <c r="H1621" t="b">
        <f t="shared" si="51"/>
        <v>1</v>
      </c>
    </row>
    <row r="1622" spans="1:8">
      <c r="A1622" s="396">
        <v>1797</v>
      </c>
      <c r="B1622" s="401" t="s">
        <v>10363</v>
      </c>
      <c r="C1622" s="396" t="s">
        <v>2021</v>
      </c>
      <c r="D1622" s="405">
        <f t="shared" si="50"/>
        <v>65.47</v>
      </c>
      <c r="F1622" s="679">
        <v>65.47</v>
      </c>
      <c r="G1622" s="679">
        <v>65.47</v>
      </c>
      <c r="H1622" t="b">
        <f t="shared" si="51"/>
        <v>1</v>
      </c>
    </row>
    <row r="1623" spans="1:8">
      <c r="A1623" s="395">
        <v>1796</v>
      </c>
      <c r="B1623" s="406" t="s">
        <v>10364</v>
      </c>
      <c r="C1623" s="395" t="s">
        <v>2021</v>
      </c>
      <c r="D1623" s="407">
        <f t="shared" si="50"/>
        <v>50.22</v>
      </c>
      <c r="F1623" s="680">
        <v>50.22</v>
      </c>
      <c r="G1623" s="680">
        <v>50.22</v>
      </c>
      <c r="H1623" t="b">
        <f t="shared" si="51"/>
        <v>1</v>
      </c>
    </row>
    <row r="1624" spans="1:8">
      <c r="A1624" s="396">
        <v>1794</v>
      </c>
      <c r="B1624" s="401" t="s">
        <v>10365</v>
      </c>
      <c r="C1624" s="396" t="s">
        <v>2021</v>
      </c>
      <c r="D1624" s="405">
        <f t="shared" si="50"/>
        <v>11.99</v>
      </c>
      <c r="F1624" s="679">
        <v>11.99</v>
      </c>
      <c r="G1624" s="679">
        <v>11.99</v>
      </c>
      <c r="H1624" t="b">
        <f t="shared" si="51"/>
        <v>1</v>
      </c>
    </row>
    <row r="1625" spans="1:8">
      <c r="A1625" s="395">
        <v>1816</v>
      </c>
      <c r="B1625" s="406" t="s">
        <v>10366</v>
      </c>
      <c r="C1625" s="395" t="s">
        <v>2021</v>
      </c>
      <c r="D1625" s="407">
        <f t="shared" si="50"/>
        <v>27.03</v>
      </c>
      <c r="F1625" s="680">
        <v>27.03</v>
      </c>
      <c r="G1625" s="680">
        <v>27.03</v>
      </c>
      <c r="H1625" t="b">
        <f t="shared" si="51"/>
        <v>1</v>
      </c>
    </row>
    <row r="1626" spans="1:8">
      <c r="A1626" s="396">
        <v>1815</v>
      </c>
      <c r="B1626" s="401" t="s">
        <v>10367</v>
      </c>
      <c r="C1626" s="396" t="s">
        <v>2021</v>
      </c>
      <c r="D1626" s="405">
        <f t="shared" si="50"/>
        <v>207.6</v>
      </c>
      <c r="F1626" s="679">
        <v>207.6</v>
      </c>
      <c r="G1626" s="679">
        <v>207.6</v>
      </c>
      <c r="H1626" t="b">
        <f t="shared" si="51"/>
        <v>1</v>
      </c>
    </row>
    <row r="1627" spans="1:8">
      <c r="A1627" s="395">
        <v>1798</v>
      </c>
      <c r="B1627" s="406" t="s">
        <v>10368</v>
      </c>
      <c r="C1627" s="395" t="s">
        <v>2021</v>
      </c>
      <c r="D1627" s="407">
        <f t="shared" si="50"/>
        <v>92.89</v>
      </c>
      <c r="F1627" s="680">
        <v>92.89</v>
      </c>
      <c r="G1627" s="680">
        <v>92.89</v>
      </c>
      <c r="H1627" t="b">
        <f t="shared" si="51"/>
        <v>1</v>
      </c>
    </row>
    <row r="1628" spans="1:8">
      <c r="A1628" s="396">
        <v>1795</v>
      </c>
      <c r="B1628" s="401" t="s">
        <v>10369</v>
      </c>
      <c r="C1628" s="396" t="s">
        <v>2021</v>
      </c>
      <c r="D1628" s="405">
        <f t="shared" si="50"/>
        <v>16.61</v>
      </c>
      <c r="F1628" s="679">
        <v>16.61</v>
      </c>
      <c r="G1628" s="679">
        <v>16.61</v>
      </c>
      <c r="H1628" t="b">
        <f t="shared" si="51"/>
        <v>1</v>
      </c>
    </row>
    <row r="1629" spans="1:8">
      <c r="A1629" s="395">
        <v>1799</v>
      </c>
      <c r="B1629" s="406" t="s">
        <v>10370</v>
      </c>
      <c r="C1629" s="395" t="s">
        <v>2021</v>
      </c>
      <c r="D1629" s="407">
        <f t="shared" si="50"/>
        <v>270.38</v>
      </c>
      <c r="F1629" s="680">
        <v>270.38</v>
      </c>
      <c r="G1629" s="680">
        <v>270.38</v>
      </c>
      <c r="H1629" t="b">
        <f t="shared" si="51"/>
        <v>1</v>
      </c>
    </row>
    <row r="1630" spans="1:8">
      <c r="A1630" s="396">
        <v>1800</v>
      </c>
      <c r="B1630" s="401" t="s">
        <v>10371</v>
      </c>
      <c r="C1630" s="396" t="s">
        <v>2021</v>
      </c>
      <c r="D1630" s="405">
        <f t="shared" si="50"/>
        <v>516.19000000000005</v>
      </c>
      <c r="F1630" s="679">
        <v>516.19000000000005</v>
      </c>
      <c r="G1630" s="679">
        <v>516.19000000000005</v>
      </c>
      <c r="H1630" t="b">
        <f t="shared" si="51"/>
        <v>1</v>
      </c>
    </row>
    <row r="1631" spans="1:8">
      <c r="A1631" s="395">
        <v>1802</v>
      </c>
      <c r="B1631" s="406" t="s">
        <v>10372</v>
      </c>
      <c r="C1631" s="395" t="s">
        <v>2021</v>
      </c>
      <c r="D1631" s="407">
        <f t="shared" si="50"/>
        <v>1291.21</v>
      </c>
      <c r="F1631" s="680">
        <v>1291.21</v>
      </c>
      <c r="G1631" s="680">
        <v>1291.21</v>
      </c>
      <c r="H1631" t="b">
        <f t="shared" si="51"/>
        <v>1</v>
      </c>
    </row>
    <row r="1632" spans="1:8">
      <c r="A1632" s="396">
        <v>40385</v>
      </c>
      <c r="B1632" s="401" t="s">
        <v>10373</v>
      </c>
      <c r="C1632" s="396" t="s">
        <v>2021</v>
      </c>
      <c r="D1632" s="405">
        <f t="shared" si="50"/>
        <v>98.8</v>
      </c>
      <c r="F1632" s="679">
        <v>98.8</v>
      </c>
      <c r="G1632" s="679">
        <v>98.8</v>
      </c>
      <c r="H1632" t="b">
        <f t="shared" si="51"/>
        <v>1</v>
      </c>
    </row>
    <row r="1633" spans="1:8">
      <c r="A1633" s="395">
        <v>40383</v>
      </c>
      <c r="B1633" s="406" t="s">
        <v>10374</v>
      </c>
      <c r="C1633" s="395" t="s">
        <v>2021</v>
      </c>
      <c r="D1633" s="407">
        <f t="shared" si="50"/>
        <v>67.64</v>
      </c>
      <c r="F1633" s="680">
        <v>67.64</v>
      </c>
      <c r="G1633" s="680">
        <v>67.64</v>
      </c>
      <c r="H1633" t="b">
        <f t="shared" si="51"/>
        <v>1</v>
      </c>
    </row>
    <row r="1634" spans="1:8">
      <c r="A1634" s="396">
        <v>40378</v>
      </c>
      <c r="B1634" s="401" t="s">
        <v>10375</v>
      </c>
      <c r="C1634" s="396" t="s">
        <v>2021</v>
      </c>
      <c r="D1634" s="405">
        <f t="shared" si="50"/>
        <v>23.38</v>
      </c>
      <c r="F1634" s="679">
        <v>23.38</v>
      </c>
      <c r="G1634" s="679">
        <v>23.38</v>
      </c>
      <c r="H1634" t="b">
        <f t="shared" si="51"/>
        <v>1</v>
      </c>
    </row>
    <row r="1635" spans="1:8">
      <c r="A1635" s="395">
        <v>40382</v>
      </c>
      <c r="B1635" s="406" t="s">
        <v>10376</v>
      </c>
      <c r="C1635" s="395" t="s">
        <v>2021</v>
      </c>
      <c r="D1635" s="407">
        <f t="shared" si="50"/>
        <v>44.25</v>
      </c>
      <c r="F1635" s="680">
        <v>44.25</v>
      </c>
      <c r="G1635" s="680">
        <v>44.25</v>
      </c>
      <c r="H1635" t="b">
        <f t="shared" si="51"/>
        <v>1</v>
      </c>
    </row>
    <row r="1636" spans="1:8">
      <c r="A1636" s="396">
        <v>40422</v>
      </c>
      <c r="B1636" s="401" t="s">
        <v>10377</v>
      </c>
      <c r="C1636" s="396" t="s">
        <v>2021</v>
      </c>
      <c r="D1636" s="405">
        <f t="shared" si="50"/>
        <v>301.47000000000003</v>
      </c>
      <c r="F1636" s="679">
        <v>301.47000000000003</v>
      </c>
      <c r="G1636" s="679">
        <v>301.47000000000003</v>
      </c>
      <c r="H1636" t="b">
        <f t="shared" si="51"/>
        <v>1</v>
      </c>
    </row>
    <row r="1637" spans="1:8">
      <c r="A1637" s="395">
        <v>40387</v>
      </c>
      <c r="B1637" s="406" t="s">
        <v>10378</v>
      </c>
      <c r="C1637" s="395" t="s">
        <v>2021</v>
      </c>
      <c r="D1637" s="407">
        <f t="shared" si="50"/>
        <v>153.5</v>
      </c>
      <c r="F1637" s="680">
        <v>153.5</v>
      </c>
      <c r="G1637" s="680">
        <v>153.5</v>
      </c>
      <c r="H1637" t="b">
        <f t="shared" si="51"/>
        <v>1</v>
      </c>
    </row>
    <row r="1638" spans="1:8">
      <c r="A1638" s="396">
        <v>40380</v>
      </c>
      <c r="B1638" s="401" t="s">
        <v>10379</v>
      </c>
      <c r="C1638" s="396" t="s">
        <v>2021</v>
      </c>
      <c r="D1638" s="405">
        <f t="shared" si="50"/>
        <v>31.18</v>
      </c>
      <c r="F1638" s="679">
        <v>31.18</v>
      </c>
      <c r="G1638" s="679">
        <v>31.18</v>
      </c>
      <c r="H1638" t="b">
        <f t="shared" si="51"/>
        <v>1</v>
      </c>
    </row>
    <row r="1639" spans="1:8">
      <c r="A1639" s="395">
        <v>40390</v>
      </c>
      <c r="B1639" s="406" t="s">
        <v>10380</v>
      </c>
      <c r="C1639" s="395" t="s">
        <v>2021</v>
      </c>
      <c r="D1639" s="407">
        <f t="shared" si="50"/>
        <v>634.94000000000005</v>
      </c>
      <c r="F1639" s="680">
        <v>634.94000000000005</v>
      </c>
      <c r="G1639" s="680">
        <v>634.94000000000005</v>
      </c>
      <c r="H1639" t="b">
        <f t="shared" si="51"/>
        <v>1</v>
      </c>
    </row>
    <row r="1640" spans="1:8">
      <c r="A1640" s="396">
        <v>40413</v>
      </c>
      <c r="B1640" s="401" t="s">
        <v>10381</v>
      </c>
      <c r="C1640" s="396" t="s">
        <v>2021</v>
      </c>
      <c r="D1640" s="405">
        <f t="shared" si="50"/>
        <v>25.41</v>
      </c>
      <c r="F1640" s="679">
        <v>25.41</v>
      </c>
      <c r="G1640" s="679">
        <v>25.41</v>
      </c>
      <c r="H1640" t="b">
        <f t="shared" si="51"/>
        <v>1</v>
      </c>
    </row>
    <row r="1641" spans="1:8">
      <c r="A1641" s="395">
        <v>40415</v>
      </c>
      <c r="B1641" s="406" t="s">
        <v>10382</v>
      </c>
      <c r="C1641" s="395" t="s">
        <v>2021</v>
      </c>
      <c r="D1641" s="407">
        <f t="shared" si="50"/>
        <v>36.21</v>
      </c>
      <c r="F1641" s="680">
        <v>36.21</v>
      </c>
      <c r="G1641" s="680">
        <v>36.21</v>
      </c>
      <c r="H1641" t="b">
        <f t="shared" si="51"/>
        <v>1</v>
      </c>
    </row>
    <row r="1642" spans="1:8">
      <c r="A1642" s="396">
        <v>40417</v>
      </c>
      <c r="B1642" s="401" t="s">
        <v>10383</v>
      </c>
      <c r="C1642" s="396" t="s">
        <v>2021</v>
      </c>
      <c r="D1642" s="405">
        <f t="shared" si="50"/>
        <v>42.72</v>
      </c>
      <c r="F1642" s="679">
        <v>42.72</v>
      </c>
      <c r="G1642" s="679">
        <v>42.72</v>
      </c>
      <c r="H1642" t="b">
        <f t="shared" si="51"/>
        <v>1</v>
      </c>
    </row>
    <row r="1643" spans="1:8">
      <c r="A1643" s="395">
        <v>39271</v>
      </c>
      <c r="B1643" s="406" t="s">
        <v>10384</v>
      </c>
      <c r="C1643" s="395" t="s">
        <v>2021</v>
      </c>
      <c r="D1643" s="407">
        <f t="shared" si="50"/>
        <v>2.19</v>
      </c>
      <c r="F1643" s="680">
        <v>2.19</v>
      </c>
      <c r="G1643" s="680">
        <v>2.19</v>
      </c>
      <c r="H1643" t="b">
        <f t="shared" si="51"/>
        <v>1</v>
      </c>
    </row>
    <row r="1644" spans="1:8">
      <c r="A1644" s="396">
        <v>39273</v>
      </c>
      <c r="B1644" s="401" t="s">
        <v>10385</v>
      </c>
      <c r="C1644" s="396" t="s">
        <v>2021</v>
      </c>
      <c r="D1644" s="405">
        <f t="shared" si="50"/>
        <v>3.71</v>
      </c>
      <c r="F1644" s="679">
        <v>3.71</v>
      </c>
      <c r="G1644" s="679">
        <v>3.71</v>
      </c>
      <c r="H1644" t="b">
        <f t="shared" si="51"/>
        <v>1</v>
      </c>
    </row>
    <row r="1645" spans="1:8">
      <c r="A1645" s="395">
        <v>39272</v>
      </c>
      <c r="B1645" s="406" t="s">
        <v>10386</v>
      </c>
      <c r="C1645" s="395" t="s">
        <v>2021</v>
      </c>
      <c r="D1645" s="407">
        <f t="shared" si="50"/>
        <v>2.69</v>
      </c>
      <c r="F1645" s="680">
        <v>2.69</v>
      </c>
      <c r="G1645" s="680">
        <v>2.69</v>
      </c>
      <c r="H1645" t="b">
        <f t="shared" si="51"/>
        <v>1</v>
      </c>
    </row>
    <row r="1646" spans="1:8">
      <c r="A1646" s="396">
        <v>1875</v>
      </c>
      <c r="B1646" s="401" t="s">
        <v>10387</v>
      </c>
      <c r="C1646" s="396" t="s">
        <v>2021</v>
      </c>
      <c r="D1646" s="405">
        <f t="shared" si="50"/>
        <v>5.93</v>
      </c>
      <c r="F1646" s="679">
        <v>5.93</v>
      </c>
      <c r="G1646" s="679">
        <v>5.93</v>
      </c>
      <c r="H1646" t="b">
        <f t="shared" si="51"/>
        <v>1</v>
      </c>
    </row>
    <row r="1647" spans="1:8">
      <c r="A1647" s="395">
        <v>1874</v>
      </c>
      <c r="B1647" s="406" t="s">
        <v>10388</v>
      </c>
      <c r="C1647" s="395" t="s">
        <v>2021</v>
      </c>
      <c r="D1647" s="407">
        <f t="shared" si="50"/>
        <v>4.9000000000000004</v>
      </c>
      <c r="F1647" s="680">
        <v>4.9000000000000004</v>
      </c>
      <c r="G1647" s="680">
        <v>4.9000000000000004</v>
      </c>
      <c r="H1647" t="b">
        <f t="shared" si="51"/>
        <v>1</v>
      </c>
    </row>
    <row r="1648" spans="1:8">
      <c r="A1648" s="396">
        <v>1870</v>
      </c>
      <c r="B1648" s="401" t="s">
        <v>10389</v>
      </c>
      <c r="C1648" s="396" t="s">
        <v>2021</v>
      </c>
      <c r="D1648" s="405">
        <f t="shared" si="50"/>
        <v>2.83</v>
      </c>
      <c r="F1648" s="679">
        <v>2.83</v>
      </c>
      <c r="G1648" s="679">
        <v>2.83</v>
      </c>
      <c r="H1648" t="b">
        <f t="shared" si="51"/>
        <v>1</v>
      </c>
    </row>
    <row r="1649" spans="1:8">
      <c r="A1649" s="395">
        <v>1884</v>
      </c>
      <c r="B1649" s="406" t="s">
        <v>10390</v>
      </c>
      <c r="C1649" s="395" t="s">
        <v>2021</v>
      </c>
      <c r="D1649" s="407">
        <f t="shared" si="50"/>
        <v>4.34</v>
      </c>
      <c r="F1649" s="680">
        <v>4.34</v>
      </c>
      <c r="G1649" s="680">
        <v>4.34</v>
      </c>
      <c r="H1649" t="b">
        <f t="shared" si="51"/>
        <v>1</v>
      </c>
    </row>
    <row r="1650" spans="1:8">
      <c r="A1650" s="396">
        <v>1887</v>
      </c>
      <c r="B1650" s="401" t="s">
        <v>10391</v>
      </c>
      <c r="C1650" s="396" t="s">
        <v>2021</v>
      </c>
      <c r="D1650" s="405">
        <f t="shared" si="50"/>
        <v>24.6</v>
      </c>
      <c r="F1650" s="679">
        <v>24.6</v>
      </c>
      <c r="G1650" s="679">
        <v>24.6</v>
      </c>
      <c r="H1650" t="b">
        <f t="shared" si="51"/>
        <v>1</v>
      </c>
    </row>
    <row r="1651" spans="1:8">
      <c r="A1651" s="395">
        <v>1876</v>
      </c>
      <c r="B1651" s="406" t="s">
        <v>10392</v>
      </c>
      <c r="C1651" s="395" t="s">
        <v>2021</v>
      </c>
      <c r="D1651" s="407">
        <f t="shared" si="50"/>
        <v>9.64</v>
      </c>
      <c r="F1651" s="680">
        <v>9.64</v>
      </c>
      <c r="G1651" s="680">
        <v>9.64</v>
      </c>
      <c r="H1651" t="b">
        <f t="shared" si="51"/>
        <v>1</v>
      </c>
    </row>
    <row r="1652" spans="1:8">
      <c r="A1652" s="396">
        <v>1879</v>
      </c>
      <c r="B1652" s="401" t="s">
        <v>10393</v>
      </c>
      <c r="C1652" s="396" t="s">
        <v>2021</v>
      </c>
      <c r="D1652" s="405">
        <f t="shared" si="50"/>
        <v>2.87</v>
      </c>
      <c r="F1652" s="679">
        <v>2.87</v>
      </c>
      <c r="G1652" s="679">
        <v>2.87</v>
      </c>
      <c r="H1652" t="b">
        <f t="shared" si="51"/>
        <v>1</v>
      </c>
    </row>
    <row r="1653" spans="1:8">
      <c r="A1653" s="395">
        <v>1877</v>
      </c>
      <c r="B1653" s="406" t="s">
        <v>10394</v>
      </c>
      <c r="C1653" s="395" t="s">
        <v>2021</v>
      </c>
      <c r="D1653" s="407">
        <f t="shared" si="50"/>
        <v>24.64</v>
      </c>
      <c r="F1653" s="680">
        <v>24.64</v>
      </c>
      <c r="G1653" s="680">
        <v>24.64</v>
      </c>
      <c r="H1653" t="b">
        <f t="shared" si="51"/>
        <v>1</v>
      </c>
    </row>
    <row r="1654" spans="1:8">
      <c r="A1654" s="396">
        <v>1878</v>
      </c>
      <c r="B1654" s="401" t="s">
        <v>10395</v>
      </c>
      <c r="C1654" s="396" t="s">
        <v>2021</v>
      </c>
      <c r="D1654" s="405">
        <f t="shared" si="50"/>
        <v>49.5</v>
      </c>
      <c r="F1654" s="679">
        <v>49.5</v>
      </c>
      <c r="G1654" s="679">
        <v>49.5</v>
      </c>
      <c r="H1654" t="b">
        <f t="shared" si="51"/>
        <v>1</v>
      </c>
    </row>
    <row r="1655" spans="1:8">
      <c r="A1655" s="395">
        <v>2621</v>
      </c>
      <c r="B1655" s="406" t="s">
        <v>10396</v>
      </c>
      <c r="C1655" s="395" t="s">
        <v>2021</v>
      </c>
      <c r="D1655" s="407">
        <f t="shared" si="50"/>
        <v>175.54</v>
      </c>
      <c r="F1655" s="680">
        <v>175.54</v>
      </c>
      <c r="G1655" s="680">
        <v>175.54</v>
      </c>
      <c r="H1655" t="b">
        <f t="shared" si="51"/>
        <v>1</v>
      </c>
    </row>
    <row r="1656" spans="1:8">
      <c r="A1656" s="396">
        <v>2616</v>
      </c>
      <c r="B1656" s="401" t="s">
        <v>10397</v>
      </c>
      <c r="C1656" s="396" t="s">
        <v>2021</v>
      </c>
      <c r="D1656" s="405">
        <f t="shared" si="50"/>
        <v>4.97</v>
      </c>
      <c r="F1656" s="679">
        <v>4.97</v>
      </c>
      <c r="G1656" s="679">
        <v>4.97</v>
      </c>
      <c r="H1656" t="b">
        <f t="shared" si="51"/>
        <v>1</v>
      </c>
    </row>
    <row r="1657" spans="1:8">
      <c r="A1657" s="395">
        <v>2633</v>
      </c>
      <c r="B1657" s="406" t="s">
        <v>10398</v>
      </c>
      <c r="C1657" s="395" t="s">
        <v>2021</v>
      </c>
      <c r="D1657" s="407">
        <f t="shared" si="50"/>
        <v>5.62</v>
      </c>
      <c r="F1657" s="680">
        <v>5.62</v>
      </c>
      <c r="G1657" s="680">
        <v>5.62</v>
      </c>
      <c r="H1657" t="b">
        <f t="shared" si="51"/>
        <v>1</v>
      </c>
    </row>
    <row r="1658" spans="1:8">
      <c r="A1658" s="396">
        <v>2617</v>
      </c>
      <c r="B1658" s="401" t="s">
        <v>10399</v>
      </c>
      <c r="C1658" s="396" t="s">
        <v>2021</v>
      </c>
      <c r="D1658" s="405">
        <f t="shared" si="50"/>
        <v>7.64</v>
      </c>
      <c r="F1658" s="679">
        <v>7.64</v>
      </c>
      <c r="G1658" s="679">
        <v>7.64</v>
      </c>
      <c r="H1658" t="b">
        <f t="shared" si="51"/>
        <v>1</v>
      </c>
    </row>
    <row r="1659" spans="1:8">
      <c r="A1659" s="395">
        <v>2618</v>
      </c>
      <c r="B1659" s="406" t="s">
        <v>10400</v>
      </c>
      <c r="C1659" s="395" t="s">
        <v>2021</v>
      </c>
      <c r="D1659" s="407">
        <f t="shared" si="50"/>
        <v>17.39</v>
      </c>
      <c r="F1659" s="680">
        <v>17.39</v>
      </c>
      <c r="G1659" s="680">
        <v>17.39</v>
      </c>
      <c r="H1659" t="b">
        <f t="shared" si="51"/>
        <v>1</v>
      </c>
    </row>
    <row r="1660" spans="1:8">
      <c r="A1660" s="396">
        <v>2632</v>
      </c>
      <c r="B1660" s="401" t="s">
        <v>10401</v>
      </c>
      <c r="C1660" s="396" t="s">
        <v>2021</v>
      </c>
      <c r="D1660" s="405">
        <f t="shared" si="50"/>
        <v>21.21</v>
      </c>
      <c r="F1660" s="679">
        <v>21.21</v>
      </c>
      <c r="G1660" s="679">
        <v>21.21</v>
      </c>
      <c r="H1660" t="b">
        <f t="shared" si="51"/>
        <v>1</v>
      </c>
    </row>
    <row r="1661" spans="1:8">
      <c r="A1661" s="395">
        <v>2631</v>
      </c>
      <c r="B1661" s="406" t="s">
        <v>10402</v>
      </c>
      <c r="C1661" s="395" t="s">
        <v>2021</v>
      </c>
      <c r="D1661" s="407">
        <f t="shared" si="50"/>
        <v>31.13</v>
      </c>
      <c r="F1661" s="680">
        <v>31.13</v>
      </c>
      <c r="G1661" s="680">
        <v>31.13</v>
      </c>
      <c r="H1661" t="b">
        <f t="shared" si="51"/>
        <v>1</v>
      </c>
    </row>
    <row r="1662" spans="1:8">
      <c r="A1662" s="396">
        <v>2619</v>
      </c>
      <c r="B1662" s="401" t="s">
        <v>10403</v>
      </c>
      <c r="C1662" s="396" t="s">
        <v>2021</v>
      </c>
      <c r="D1662" s="405">
        <f t="shared" si="50"/>
        <v>78.83</v>
      </c>
      <c r="F1662" s="679">
        <v>78.83</v>
      </c>
      <c r="G1662" s="679">
        <v>78.83</v>
      </c>
      <c r="H1662" t="b">
        <f t="shared" si="51"/>
        <v>1</v>
      </c>
    </row>
    <row r="1663" spans="1:8">
      <c r="A1663" s="395">
        <v>2620</v>
      </c>
      <c r="B1663" s="406" t="s">
        <v>10404</v>
      </c>
      <c r="C1663" s="395" t="s">
        <v>2021</v>
      </c>
      <c r="D1663" s="407">
        <f t="shared" si="50"/>
        <v>103.5</v>
      </c>
      <c r="F1663" s="680">
        <v>103.5</v>
      </c>
      <c r="G1663" s="680">
        <v>103.5</v>
      </c>
      <c r="H1663" t="b">
        <f t="shared" si="51"/>
        <v>1</v>
      </c>
    </row>
    <row r="1664" spans="1:8">
      <c r="A1664" s="396">
        <v>44472</v>
      </c>
      <c r="B1664" s="401" t="s">
        <v>10405</v>
      </c>
      <c r="C1664" s="396" t="s">
        <v>2021</v>
      </c>
      <c r="D1664" s="405">
        <f t="shared" si="50"/>
        <v>62.9</v>
      </c>
      <c r="F1664" s="679">
        <v>62.9</v>
      </c>
      <c r="G1664" s="679">
        <v>62.9</v>
      </c>
      <c r="H1664" t="b">
        <f t="shared" si="51"/>
        <v>1</v>
      </c>
    </row>
    <row r="1665" spans="1:8">
      <c r="A1665" s="395">
        <v>38369</v>
      </c>
      <c r="B1665" s="406" t="s">
        <v>10406</v>
      </c>
      <c r="C1665" s="395" t="s">
        <v>2021</v>
      </c>
      <c r="D1665" s="407">
        <f t="shared" si="50"/>
        <v>24.57</v>
      </c>
      <c r="F1665" s="680">
        <v>24.57</v>
      </c>
      <c r="G1665" s="680">
        <v>24.57</v>
      </c>
      <c r="H1665" t="b">
        <f t="shared" si="51"/>
        <v>1</v>
      </c>
    </row>
    <row r="1666" spans="1:8">
      <c r="A1666" s="396">
        <v>38370</v>
      </c>
      <c r="B1666" s="401" t="s">
        <v>10407</v>
      </c>
      <c r="C1666" s="396" t="s">
        <v>2021</v>
      </c>
      <c r="D1666" s="405">
        <f t="shared" si="50"/>
        <v>24.57</v>
      </c>
      <c r="F1666" s="679">
        <v>24.57</v>
      </c>
      <c r="G1666" s="679">
        <v>24.57</v>
      </c>
      <c r="H1666" t="b">
        <f t="shared" si="51"/>
        <v>1</v>
      </c>
    </row>
    <row r="1667" spans="1:8">
      <c r="A1667" s="395">
        <v>38372</v>
      </c>
      <c r="B1667" s="406" t="s">
        <v>10408</v>
      </c>
      <c r="C1667" s="395" t="s">
        <v>2021</v>
      </c>
      <c r="D1667" s="407">
        <f t="shared" ref="D1667:D1730" si="52">IF($J$2=$F$1,F1667,G1667)</f>
        <v>24.93</v>
      </c>
      <c r="F1667" s="680">
        <v>24.93</v>
      </c>
      <c r="G1667" s="680">
        <v>24.93</v>
      </c>
      <c r="H1667" t="b">
        <f t="shared" ref="H1667:H1730" si="53">F1667=G1667</f>
        <v>1</v>
      </c>
    </row>
    <row r="1668" spans="1:8">
      <c r="A1668" s="396">
        <v>2357</v>
      </c>
      <c r="B1668" s="401" t="s">
        <v>10409</v>
      </c>
      <c r="C1668" s="396" t="s">
        <v>2020</v>
      </c>
      <c r="D1668" s="405">
        <f t="shared" si="52"/>
        <v>7.16</v>
      </c>
      <c r="F1668" s="679">
        <v>7.16</v>
      </c>
      <c r="G1668" s="679">
        <v>8.24</v>
      </c>
      <c r="H1668" t="b">
        <f t="shared" si="53"/>
        <v>0</v>
      </c>
    </row>
    <row r="1669" spans="1:8">
      <c r="A1669" s="395">
        <v>40806</v>
      </c>
      <c r="B1669" s="406" t="s">
        <v>10410</v>
      </c>
      <c r="C1669" s="395" t="s">
        <v>2027</v>
      </c>
      <c r="D1669" s="407">
        <f t="shared" si="52"/>
        <v>1265.1400000000001</v>
      </c>
      <c r="F1669" s="680">
        <v>1265.1400000000001</v>
      </c>
      <c r="G1669" s="680">
        <v>1457.37</v>
      </c>
      <c r="H1669" t="b">
        <f t="shared" si="53"/>
        <v>0</v>
      </c>
    </row>
    <row r="1670" spans="1:8">
      <c r="A1670" s="396">
        <v>2355</v>
      </c>
      <c r="B1670" s="401" t="s">
        <v>10411</v>
      </c>
      <c r="C1670" s="396" t="s">
        <v>2020</v>
      </c>
      <c r="D1670" s="405">
        <f t="shared" si="52"/>
        <v>15.44</v>
      </c>
      <c r="F1670" s="679">
        <v>15.44</v>
      </c>
      <c r="G1670" s="679">
        <v>17.760000000000002</v>
      </c>
      <c r="H1670" t="b">
        <f t="shared" si="53"/>
        <v>0</v>
      </c>
    </row>
    <row r="1671" spans="1:8">
      <c r="A1671" s="395">
        <v>40805</v>
      </c>
      <c r="B1671" s="406" t="s">
        <v>10412</v>
      </c>
      <c r="C1671" s="395" t="s">
        <v>2027</v>
      </c>
      <c r="D1671" s="407">
        <f t="shared" si="52"/>
        <v>2722.88</v>
      </c>
      <c r="F1671" s="680">
        <v>2722.88</v>
      </c>
      <c r="G1671" s="680">
        <v>3136.6</v>
      </c>
      <c r="H1671" t="b">
        <f t="shared" si="53"/>
        <v>0</v>
      </c>
    </row>
    <row r="1672" spans="1:8">
      <c r="A1672" s="396">
        <v>2358</v>
      </c>
      <c r="B1672" s="401" t="s">
        <v>10413</v>
      </c>
      <c r="C1672" s="396" t="s">
        <v>2020</v>
      </c>
      <c r="D1672" s="405">
        <f t="shared" si="52"/>
        <v>16.68</v>
      </c>
      <c r="F1672" s="679">
        <v>16.68</v>
      </c>
      <c r="G1672" s="679">
        <v>19.2</v>
      </c>
      <c r="H1672" t="b">
        <f t="shared" si="53"/>
        <v>0</v>
      </c>
    </row>
    <row r="1673" spans="1:8">
      <c r="A1673" s="395">
        <v>40807</v>
      </c>
      <c r="B1673" s="406" t="s">
        <v>10414</v>
      </c>
      <c r="C1673" s="395" t="s">
        <v>2027</v>
      </c>
      <c r="D1673" s="407">
        <f t="shared" si="52"/>
        <v>2942.47</v>
      </c>
      <c r="F1673" s="680">
        <v>2942.47</v>
      </c>
      <c r="G1673" s="680">
        <v>3389.55</v>
      </c>
      <c r="H1673" t="b">
        <f t="shared" si="53"/>
        <v>0</v>
      </c>
    </row>
    <row r="1674" spans="1:8">
      <c r="A1674" s="396">
        <v>2359</v>
      </c>
      <c r="B1674" s="401" t="s">
        <v>10415</v>
      </c>
      <c r="C1674" s="396" t="s">
        <v>2020</v>
      </c>
      <c r="D1674" s="405">
        <f t="shared" si="52"/>
        <v>10.51</v>
      </c>
      <c r="F1674" s="679">
        <v>10.51</v>
      </c>
      <c r="G1674" s="679">
        <v>12.1</v>
      </c>
      <c r="H1674" t="b">
        <f t="shared" si="53"/>
        <v>0</v>
      </c>
    </row>
    <row r="1675" spans="1:8">
      <c r="A1675" s="395">
        <v>40808</v>
      </c>
      <c r="B1675" s="406" t="s">
        <v>10416</v>
      </c>
      <c r="C1675" s="395" t="s">
        <v>2027</v>
      </c>
      <c r="D1675" s="407">
        <f t="shared" si="52"/>
        <v>1856.15</v>
      </c>
      <c r="F1675" s="680">
        <v>1856.15</v>
      </c>
      <c r="G1675" s="680">
        <v>2138.1799999999998</v>
      </c>
      <c r="H1675" t="b">
        <f t="shared" si="53"/>
        <v>0</v>
      </c>
    </row>
    <row r="1676" spans="1:8">
      <c r="A1676" s="396">
        <v>44330</v>
      </c>
      <c r="B1676" s="401" t="s">
        <v>10417</v>
      </c>
      <c r="C1676" s="396" t="s">
        <v>2026</v>
      </c>
      <c r="D1676" s="405">
        <f t="shared" si="52"/>
        <v>8.49</v>
      </c>
      <c r="F1676" s="679">
        <v>8.49</v>
      </c>
      <c r="G1676" s="679">
        <v>8.49</v>
      </c>
      <c r="H1676" t="b">
        <f t="shared" si="53"/>
        <v>1</v>
      </c>
    </row>
    <row r="1677" spans="1:8">
      <c r="A1677" s="395">
        <v>43144</v>
      </c>
      <c r="B1677" s="406" t="s">
        <v>10418</v>
      </c>
      <c r="C1677" s="395" t="s">
        <v>2025</v>
      </c>
      <c r="D1677" s="407">
        <f t="shared" si="52"/>
        <v>43.84</v>
      </c>
      <c r="F1677" s="680">
        <v>43.84</v>
      </c>
      <c r="G1677" s="680">
        <v>43.84</v>
      </c>
      <c r="H1677" t="b">
        <f t="shared" si="53"/>
        <v>1</v>
      </c>
    </row>
    <row r="1678" spans="1:8">
      <c r="A1678" s="396">
        <v>39397</v>
      </c>
      <c r="B1678" s="401" t="s">
        <v>10419</v>
      </c>
      <c r="C1678" s="396" t="s">
        <v>2026</v>
      </c>
      <c r="D1678" s="405">
        <f t="shared" si="52"/>
        <v>19.98</v>
      </c>
      <c r="F1678" s="679">
        <v>19.98</v>
      </c>
      <c r="G1678" s="679">
        <v>19.98</v>
      </c>
      <c r="H1678" t="b">
        <f t="shared" si="53"/>
        <v>1</v>
      </c>
    </row>
    <row r="1679" spans="1:8">
      <c r="A1679" s="395">
        <v>2692</v>
      </c>
      <c r="B1679" s="406" t="s">
        <v>10420</v>
      </c>
      <c r="C1679" s="395" t="s">
        <v>2026</v>
      </c>
      <c r="D1679" s="407">
        <f t="shared" si="52"/>
        <v>8.06</v>
      </c>
      <c r="F1679" s="680">
        <v>8.06</v>
      </c>
      <c r="G1679" s="680">
        <v>8.06</v>
      </c>
      <c r="H1679" t="b">
        <f t="shared" si="53"/>
        <v>1</v>
      </c>
    </row>
    <row r="1680" spans="1:8">
      <c r="A1680" s="396">
        <v>44329</v>
      </c>
      <c r="B1680" s="401" t="s">
        <v>10421</v>
      </c>
      <c r="C1680" s="396" t="s">
        <v>2026</v>
      </c>
      <c r="D1680" s="405">
        <f t="shared" si="52"/>
        <v>11.13</v>
      </c>
      <c r="F1680" s="679">
        <v>11.13</v>
      </c>
      <c r="G1680" s="679">
        <v>11.13</v>
      </c>
      <c r="H1680" t="b">
        <f t="shared" si="53"/>
        <v>1</v>
      </c>
    </row>
    <row r="1681" spans="1:8">
      <c r="A1681" s="395">
        <v>5318</v>
      </c>
      <c r="B1681" s="406" t="s">
        <v>10422</v>
      </c>
      <c r="C1681" s="395" t="s">
        <v>2026</v>
      </c>
      <c r="D1681" s="407">
        <f t="shared" si="52"/>
        <v>18</v>
      </c>
      <c r="F1681" s="680">
        <v>18</v>
      </c>
      <c r="G1681" s="680">
        <v>18</v>
      </c>
      <c r="H1681" t="b">
        <f t="shared" si="53"/>
        <v>1</v>
      </c>
    </row>
    <row r="1682" spans="1:8">
      <c r="A1682" s="396">
        <v>5330</v>
      </c>
      <c r="B1682" s="401" t="s">
        <v>10423</v>
      </c>
      <c r="C1682" s="396" t="s">
        <v>2026</v>
      </c>
      <c r="D1682" s="405">
        <f t="shared" si="52"/>
        <v>41.03</v>
      </c>
      <c r="F1682" s="679">
        <v>41.03</v>
      </c>
      <c r="G1682" s="679">
        <v>41.03</v>
      </c>
      <c r="H1682" t="b">
        <f t="shared" si="53"/>
        <v>1</v>
      </c>
    </row>
    <row r="1683" spans="1:8">
      <c r="A1683" s="395">
        <v>44532</v>
      </c>
      <c r="B1683" s="406" t="s">
        <v>10424</v>
      </c>
      <c r="C1683" s="395" t="s">
        <v>2021</v>
      </c>
      <c r="D1683" s="407">
        <f t="shared" si="52"/>
        <v>51.77</v>
      </c>
      <c r="F1683" s="680">
        <v>51.77</v>
      </c>
      <c r="G1683" s="680">
        <v>51.77</v>
      </c>
      <c r="H1683" t="b">
        <f t="shared" si="53"/>
        <v>1</v>
      </c>
    </row>
    <row r="1684" spans="1:8">
      <c r="A1684" s="396">
        <v>44531</v>
      </c>
      <c r="B1684" s="401" t="s">
        <v>10425</v>
      </c>
      <c r="C1684" s="396" t="s">
        <v>2021</v>
      </c>
      <c r="D1684" s="405">
        <f t="shared" si="52"/>
        <v>164.53</v>
      </c>
      <c r="F1684" s="679">
        <v>164.53</v>
      </c>
      <c r="G1684" s="679">
        <v>164.53</v>
      </c>
      <c r="H1684" t="b">
        <f t="shared" si="53"/>
        <v>1</v>
      </c>
    </row>
    <row r="1685" spans="1:8">
      <c r="A1685" s="395">
        <v>38140</v>
      </c>
      <c r="B1685" s="406" t="s">
        <v>10426</v>
      </c>
      <c r="C1685" s="395" t="s">
        <v>2021</v>
      </c>
      <c r="D1685" s="407">
        <f t="shared" si="52"/>
        <v>39.9</v>
      </c>
      <c r="F1685" s="680">
        <v>39.9</v>
      </c>
      <c r="G1685" s="680">
        <v>39.9</v>
      </c>
      <c r="H1685" t="b">
        <f t="shared" si="53"/>
        <v>1</v>
      </c>
    </row>
    <row r="1686" spans="1:8">
      <c r="A1686" s="396">
        <v>13887</v>
      </c>
      <c r="B1686" s="401" t="s">
        <v>10427</v>
      </c>
      <c r="C1686" s="396" t="s">
        <v>2021</v>
      </c>
      <c r="D1686" s="405">
        <f t="shared" si="52"/>
        <v>944.66</v>
      </c>
      <c r="F1686" s="679">
        <v>944.66</v>
      </c>
      <c r="G1686" s="679">
        <v>944.66</v>
      </c>
      <c r="H1686" t="b">
        <f t="shared" si="53"/>
        <v>1</v>
      </c>
    </row>
    <row r="1687" spans="1:8">
      <c r="A1687" s="395">
        <v>44495</v>
      </c>
      <c r="B1687" s="406" t="s">
        <v>10428</v>
      </c>
      <c r="C1687" s="395" t="s">
        <v>2021</v>
      </c>
      <c r="D1687" s="407">
        <f t="shared" si="52"/>
        <v>42.05</v>
      </c>
      <c r="F1687" s="680">
        <v>42.05</v>
      </c>
      <c r="G1687" s="680">
        <v>42.05</v>
      </c>
      <c r="H1687" t="b">
        <f t="shared" si="53"/>
        <v>1</v>
      </c>
    </row>
    <row r="1688" spans="1:8">
      <c r="A1688" s="396">
        <v>44533</v>
      </c>
      <c r="B1688" s="401" t="s">
        <v>10429</v>
      </c>
      <c r="C1688" s="396" t="s">
        <v>2021</v>
      </c>
      <c r="D1688" s="405">
        <f t="shared" si="52"/>
        <v>39.71</v>
      </c>
      <c r="F1688" s="679">
        <v>39.71</v>
      </c>
      <c r="G1688" s="679">
        <v>39.71</v>
      </c>
      <c r="H1688" t="b">
        <f t="shared" si="53"/>
        <v>1</v>
      </c>
    </row>
    <row r="1689" spans="1:8">
      <c r="A1689" s="395">
        <v>44534</v>
      </c>
      <c r="B1689" s="406" t="s">
        <v>10430</v>
      </c>
      <c r="C1689" s="395" t="s">
        <v>2021</v>
      </c>
      <c r="D1689" s="407">
        <f t="shared" si="52"/>
        <v>10.35</v>
      </c>
      <c r="F1689" s="680">
        <v>10.35</v>
      </c>
      <c r="G1689" s="680">
        <v>10.35</v>
      </c>
      <c r="H1689" t="b">
        <f t="shared" si="53"/>
        <v>1</v>
      </c>
    </row>
    <row r="1690" spans="1:8">
      <c r="A1690" s="396">
        <v>34544</v>
      </c>
      <c r="B1690" s="401" t="s">
        <v>10431</v>
      </c>
      <c r="C1690" s="396" t="s">
        <v>2021</v>
      </c>
      <c r="D1690" s="405">
        <f t="shared" si="52"/>
        <v>1693.31</v>
      </c>
      <c r="F1690" s="679">
        <v>1693.31</v>
      </c>
      <c r="G1690" s="679">
        <v>1693.31</v>
      </c>
      <c r="H1690" t="b">
        <f t="shared" si="53"/>
        <v>1</v>
      </c>
    </row>
    <row r="1691" spans="1:8">
      <c r="A1691" s="395">
        <v>34729</v>
      </c>
      <c r="B1691" s="406" t="s">
        <v>10432</v>
      </c>
      <c r="C1691" s="395" t="s">
        <v>2021</v>
      </c>
      <c r="D1691" s="407">
        <f t="shared" si="52"/>
        <v>1332.05</v>
      </c>
      <c r="F1691" s="680">
        <v>1332.05</v>
      </c>
      <c r="G1691" s="680">
        <v>1332.05</v>
      </c>
      <c r="H1691" t="b">
        <f t="shared" si="53"/>
        <v>1</v>
      </c>
    </row>
    <row r="1692" spans="1:8">
      <c r="A1692" s="396">
        <v>34734</v>
      </c>
      <c r="B1692" s="401" t="s">
        <v>10433</v>
      </c>
      <c r="C1692" s="396" t="s">
        <v>2021</v>
      </c>
      <c r="D1692" s="405">
        <f t="shared" si="52"/>
        <v>2062.44</v>
      </c>
      <c r="F1692" s="679">
        <v>2062.44</v>
      </c>
      <c r="G1692" s="679">
        <v>2062.44</v>
      </c>
      <c r="H1692" t="b">
        <f t="shared" si="53"/>
        <v>1</v>
      </c>
    </row>
    <row r="1693" spans="1:8">
      <c r="A1693" s="395">
        <v>34738</v>
      </c>
      <c r="B1693" s="406" t="s">
        <v>10434</v>
      </c>
      <c r="C1693" s="395" t="s">
        <v>2021</v>
      </c>
      <c r="D1693" s="407">
        <f t="shared" si="52"/>
        <v>4818.51</v>
      </c>
      <c r="F1693" s="680">
        <v>4818.51</v>
      </c>
      <c r="G1693" s="680">
        <v>4818.51</v>
      </c>
      <c r="H1693" t="b">
        <f t="shared" si="53"/>
        <v>1</v>
      </c>
    </row>
    <row r="1694" spans="1:8">
      <c r="A1694" s="396">
        <v>2391</v>
      </c>
      <c r="B1694" s="401" t="s">
        <v>10435</v>
      </c>
      <c r="C1694" s="396" t="s">
        <v>2021</v>
      </c>
      <c r="D1694" s="405">
        <f t="shared" si="52"/>
        <v>391.9</v>
      </c>
      <c r="F1694" s="679">
        <v>391.9</v>
      </c>
      <c r="G1694" s="679">
        <v>391.9</v>
      </c>
      <c r="H1694" t="b">
        <f t="shared" si="53"/>
        <v>1</v>
      </c>
    </row>
    <row r="1695" spans="1:8">
      <c r="A1695" s="395">
        <v>2374</v>
      </c>
      <c r="B1695" s="406" t="s">
        <v>10436</v>
      </c>
      <c r="C1695" s="395" t="s">
        <v>2021</v>
      </c>
      <c r="D1695" s="407">
        <f t="shared" si="52"/>
        <v>444.6</v>
      </c>
      <c r="F1695" s="680">
        <v>444.6</v>
      </c>
      <c r="G1695" s="680">
        <v>444.6</v>
      </c>
      <c r="H1695" t="b">
        <f t="shared" si="53"/>
        <v>1</v>
      </c>
    </row>
    <row r="1696" spans="1:8">
      <c r="A1696" s="396">
        <v>2377</v>
      </c>
      <c r="B1696" s="401" t="s">
        <v>10437</v>
      </c>
      <c r="C1696" s="396" t="s">
        <v>2021</v>
      </c>
      <c r="D1696" s="405">
        <f t="shared" si="52"/>
        <v>623.95000000000005</v>
      </c>
      <c r="F1696" s="679">
        <v>623.95000000000005</v>
      </c>
      <c r="G1696" s="679">
        <v>623.95000000000005</v>
      </c>
      <c r="H1696" t="b">
        <f t="shared" si="53"/>
        <v>1</v>
      </c>
    </row>
    <row r="1697" spans="1:8">
      <c r="A1697" s="395">
        <v>2393</v>
      </c>
      <c r="B1697" s="406" t="s">
        <v>10438</v>
      </c>
      <c r="C1697" s="395" t="s">
        <v>2021</v>
      </c>
      <c r="D1697" s="407">
        <f t="shared" si="52"/>
        <v>1044.8900000000001</v>
      </c>
      <c r="F1697" s="680">
        <v>1044.8900000000001</v>
      </c>
      <c r="G1697" s="680">
        <v>1044.8900000000001</v>
      </c>
      <c r="H1697" t="b">
        <f t="shared" si="53"/>
        <v>1</v>
      </c>
    </row>
    <row r="1698" spans="1:8">
      <c r="A1698" s="396">
        <v>34705</v>
      </c>
      <c r="B1698" s="401" t="s">
        <v>10439</v>
      </c>
      <c r="C1698" s="396" t="s">
        <v>2021</v>
      </c>
      <c r="D1698" s="405">
        <f t="shared" si="52"/>
        <v>913.91</v>
      </c>
      <c r="F1698" s="679">
        <v>913.91</v>
      </c>
      <c r="G1698" s="679">
        <v>913.91</v>
      </c>
      <c r="H1698" t="b">
        <f t="shared" si="53"/>
        <v>1</v>
      </c>
    </row>
    <row r="1699" spans="1:8">
      <c r="A1699" s="395">
        <v>34707</v>
      </c>
      <c r="B1699" s="406" t="s">
        <v>10440</v>
      </c>
      <c r="C1699" s="395" t="s">
        <v>2021</v>
      </c>
      <c r="D1699" s="407">
        <f t="shared" si="52"/>
        <v>1693.49</v>
      </c>
      <c r="F1699" s="680">
        <v>1693.49</v>
      </c>
      <c r="G1699" s="680">
        <v>1693.49</v>
      </c>
      <c r="H1699" t="b">
        <f t="shared" si="53"/>
        <v>1</v>
      </c>
    </row>
    <row r="1700" spans="1:8">
      <c r="A1700" s="396">
        <v>2378</v>
      </c>
      <c r="B1700" s="401" t="s">
        <v>10441</v>
      </c>
      <c r="C1700" s="396" t="s">
        <v>2021</v>
      </c>
      <c r="D1700" s="405">
        <f t="shared" si="52"/>
        <v>1435.3</v>
      </c>
      <c r="F1700" s="679">
        <v>1435.3</v>
      </c>
      <c r="G1700" s="679">
        <v>1435.3</v>
      </c>
      <c r="H1700" t="b">
        <f t="shared" si="53"/>
        <v>1</v>
      </c>
    </row>
    <row r="1701" spans="1:8">
      <c r="A1701" s="395">
        <v>2379</v>
      </c>
      <c r="B1701" s="406" t="s">
        <v>10442</v>
      </c>
      <c r="C1701" s="395" t="s">
        <v>2021</v>
      </c>
      <c r="D1701" s="407">
        <f t="shared" si="52"/>
        <v>1435.3</v>
      </c>
      <c r="F1701" s="680">
        <v>1435.3</v>
      </c>
      <c r="G1701" s="680">
        <v>1435.3</v>
      </c>
      <c r="H1701" t="b">
        <f t="shared" si="53"/>
        <v>1</v>
      </c>
    </row>
    <row r="1702" spans="1:8">
      <c r="A1702" s="396">
        <v>2376</v>
      </c>
      <c r="B1702" s="401" t="s">
        <v>10443</v>
      </c>
      <c r="C1702" s="396" t="s">
        <v>2021</v>
      </c>
      <c r="D1702" s="405">
        <f t="shared" si="52"/>
        <v>2363.9299999999998</v>
      </c>
      <c r="F1702" s="679">
        <v>2363.9299999999998</v>
      </c>
      <c r="G1702" s="679">
        <v>2363.9299999999998</v>
      </c>
      <c r="H1702" t="b">
        <f t="shared" si="53"/>
        <v>1</v>
      </c>
    </row>
    <row r="1703" spans="1:8">
      <c r="A1703" s="395">
        <v>2394</v>
      </c>
      <c r="B1703" s="406" t="s">
        <v>10444</v>
      </c>
      <c r="C1703" s="395" t="s">
        <v>2021</v>
      </c>
      <c r="D1703" s="407">
        <f t="shared" si="52"/>
        <v>5053.6499999999996</v>
      </c>
      <c r="F1703" s="680">
        <v>5053.6499999999996</v>
      </c>
      <c r="G1703" s="680">
        <v>5053.6499999999996</v>
      </c>
      <c r="H1703" t="b">
        <f t="shared" si="53"/>
        <v>1</v>
      </c>
    </row>
    <row r="1704" spans="1:8">
      <c r="A1704" s="396">
        <v>34686</v>
      </c>
      <c r="B1704" s="401" t="s">
        <v>10445</v>
      </c>
      <c r="C1704" s="396" t="s">
        <v>2021</v>
      </c>
      <c r="D1704" s="405">
        <f t="shared" si="52"/>
        <v>15.17</v>
      </c>
      <c r="F1704" s="679">
        <v>15.17</v>
      </c>
      <c r="G1704" s="679">
        <v>15.17</v>
      </c>
      <c r="H1704" t="b">
        <f t="shared" si="53"/>
        <v>1</v>
      </c>
    </row>
    <row r="1705" spans="1:8">
      <c r="A1705" s="395">
        <v>34616</v>
      </c>
      <c r="B1705" s="406" t="s">
        <v>10446</v>
      </c>
      <c r="C1705" s="395" t="s">
        <v>2021</v>
      </c>
      <c r="D1705" s="407">
        <f t="shared" si="52"/>
        <v>58.64</v>
      </c>
      <c r="F1705" s="680">
        <v>58.64</v>
      </c>
      <c r="G1705" s="680">
        <v>58.64</v>
      </c>
      <c r="H1705" t="b">
        <f t="shared" si="53"/>
        <v>1</v>
      </c>
    </row>
    <row r="1706" spans="1:8">
      <c r="A1706" s="396">
        <v>34623</v>
      </c>
      <c r="B1706" s="401" t="s">
        <v>10447</v>
      </c>
      <c r="C1706" s="396" t="s">
        <v>2021</v>
      </c>
      <c r="D1706" s="405">
        <f t="shared" si="52"/>
        <v>57.74</v>
      </c>
      <c r="F1706" s="679">
        <v>57.74</v>
      </c>
      <c r="G1706" s="679">
        <v>57.74</v>
      </c>
      <c r="H1706" t="b">
        <f t="shared" si="53"/>
        <v>1</v>
      </c>
    </row>
    <row r="1707" spans="1:8">
      <c r="A1707" s="395">
        <v>34628</v>
      </c>
      <c r="B1707" s="406" t="s">
        <v>10448</v>
      </c>
      <c r="C1707" s="395" t="s">
        <v>2021</v>
      </c>
      <c r="D1707" s="407">
        <f t="shared" si="52"/>
        <v>82.71</v>
      </c>
      <c r="F1707" s="680">
        <v>82.71</v>
      </c>
      <c r="G1707" s="680">
        <v>82.71</v>
      </c>
      <c r="H1707" t="b">
        <f t="shared" si="53"/>
        <v>1</v>
      </c>
    </row>
    <row r="1708" spans="1:8">
      <c r="A1708" s="396">
        <v>34653</v>
      </c>
      <c r="B1708" s="401" t="s">
        <v>10449</v>
      </c>
      <c r="C1708" s="396" t="s">
        <v>2021</v>
      </c>
      <c r="D1708" s="405">
        <f t="shared" si="52"/>
        <v>10.23</v>
      </c>
      <c r="F1708" s="679">
        <v>10.23</v>
      </c>
      <c r="G1708" s="679">
        <v>10.23</v>
      </c>
      <c r="H1708" t="b">
        <f t="shared" si="53"/>
        <v>1</v>
      </c>
    </row>
    <row r="1709" spans="1:8">
      <c r="A1709" s="395">
        <v>34688</v>
      </c>
      <c r="B1709" s="406" t="s">
        <v>10450</v>
      </c>
      <c r="C1709" s="395" t="s">
        <v>2021</v>
      </c>
      <c r="D1709" s="407">
        <f t="shared" si="52"/>
        <v>18.54</v>
      </c>
      <c r="F1709" s="680">
        <v>18.54</v>
      </c>
      <c r="G1709" s="680">
        <v>18.54</v>
      </c>
      <c r="H1709" t="b">
        <f t="shared" si="53"/>
        <v>1</v>
      </c>
    </row>
    <row r="1710" spans="1:8">
      <c r="A1710" s="396">
        <v>34709</v>
      </c>
      <c r="B1710" s="401" t="s">
        <v>10451</v>
      </c>
      <c r="C1710" s="396" t="s">
        <v>2021</v>
      </c>
      <c r="D1710" s="405">
        <f t="shared" si="52"/>
        <v>71.849999999999994</v>
      </c>
      <c r="F1710" s="679">
        <v>71.849999999999994</v>
      </c>
      <c r="G1710" s="679">
        <v>71.849999999999994</v>
      </c>
      <c r="H1710" t="b">
        <f t="shared" si="53"/>
        <v>1</v>
      </c>
    </row>
    <row r="1711" spans="1:8">
      <c r="A1711" s="395">
        <v>34714</v>
      </c>
      <c r="B1711" s="406" t="s">
        <v>10452</v>
      </c>
      <c r="C1711" s="395" t="s">
        <v>2021</v>
      </c>
      <c r="D1711" s="407">
        <f t="shared" si="52"/>
        <v>85.81</v>
      </c>
      <c r="F1711" s="680">
        <v>85.81</v>
      </c>
      <c r="G1711" s="680">
        <v>85.81</v>
      </c>
      <c r="H1711" t="b">
        <f t="shared" si="53"/>
        <v>1</v>
      </c>
    </row>
    <row r="1712" spans="1:8">
      <c r="A1712" s="396">
        <v>2388</v>
      </c>
      <c r="B1712" s="401" t="s">
        <v>10453</v>
      </c>
      <c r="C1712" s="396" t="s">
        <v>2021</v>
      </c>
      <c r="D1712" s="405">
        <f t="shared" si="52"/>
        <v>71.31</v>
      </c>
      <c r="F1712" s="679">
        <v>71.31</v>
      </c>
      <c r="G1712" s="679">
        <v>71.31</v>
      </c>
      <c r="H1712" t="b">
        <f t="shared" si="53"/>
        <v>1</v>
      </c>
    </row>
    <row r="1713" spans="1:8">
      <c r="A1713" s="395">
        <v>34606</v>
      </c>
      <c r="B1713" s="406" t="s">
        <v>10454</v>
      </c>
      <c r="C1713" s="395" t="s">
        <v>2021</v>
      </c>
      <c r="D1713" s="407">
        <f t="shared" si="52"/>
        <v>109.38</v>
      </c>
      <c r="F1713" s="680">
        <v>109.38</v>
      </c>
      <c r="G1713" s="680">
        <v>109.38</v>
      </c>
      <c r="H1713" t="b">
        <f t="shared" si="53"/>
        <v>1</v>
      </c>
    </row>
    <row r="1714" spans="1:8">
      <c r="A1714" s="396">
        <v>34689</v>
      </c>
      <c r="B1714" s="401" t="s">
        <v>10455</v>
      </c>
      <c r="C1714" s="396" t="s">
        <v>2021</v>
      </c>
      <c r="D1714" s="405">
        <f t="shared" si="52"/>
        <v>34.82</v>
      </c>
      <c r="F1714" s="679">
        <v>34.82</v>
      </c>
      <c r="G1714" s="679">
        <v>34.82</v>
      </c>
      <c r="H1714" t="b">
        <f t="shared" si="53"/>
        <v>1</v>
      </c>
    </row>
    <row r="1715" spans="1:8">
      <c r="A1715" s="395">
        <v>2370</v>
      </c>
      <c r="B1715" s="406" t="s">
        <v>10456</v>
      </c>
      <c r="C1715" s="395" t="s">
        <v>2021</v>
      </c>
      <c r="D1715" s="407">
        <f t="shared" si="52"/>
        <v>13.25</v>
      </c>
      <c r="F1715" s="680">
        <v>13.25</v>
      </c>
      <c r="G1715" s="680">
        <v>13.25</v>
      </c>
      <c r="H1715" t="b">
        <f t="shared" si="53"/>
        <v>1</v>
      </c>
    </row>
    <row r="1716" spans="1:8">
      <c r="A1716" s="396">
        <v>2386</v>
      </c>
      <c r="B1716" s="401" t="s">
        <v>10457</v>
      </c>
      <c r="C1716" s="396" t="s">
        <v>2021</v>
      </c>
      <c r="D1716" s="405">
        <f t="shared" si="52"/>
        <v>22.23</v>
      </c>
      <c r="F1716" s="679">
        <v>22.23</v>
      </c>
      <c r="G1716" s="679">
        <v>22.23</v>
      </c>
      <c r="H1716" t="b">
        <f t="shared" si="53"/>
        <v>1</v>
      </c>
    </row>
    <row r="1717" spans="1:8">
      <c r="A1717" s="395">
        <v>2392</v>
      </c>
      <c r="B1717" s="406" t="s">
        <v>10458</v>
      </c>
      <c r="C1717" s="395" t="s">
        <v>2021</v>
      </c>
      <c r="D1717" s="407">
        <f t="shared" si="52"/>
        <v>88.94</v>
      </c>
      <c r="F1717" s="680">
        <v>88.94</v>
      </c>
      <c r="G1717" s="680">
        <v>88.94</v>
      </c>
      <c r="H1717" t="b">
        <f t="shared" si="53"/>
        <v>1</v>
      </c>
    </row>
    <row r="1718" spans="1:8">
      <c r="A1718" s="396">
        <v>2373</v>
      </c>
      <c r="B1718" s="401" t="s">
        <v>10459</v>
      </c>
      <c r="C1718" s="396" t="s">
        <v>2021</v>
      </c>
      <c r="D1718" s="405">
        <f t="shared" si="52"/>
        <v>125.31</v>
      </c>
      <c r="F1718" s="679">
        <v>125.31</v>
      </c>
      <c r="G1718" s="679">
        <v>125.31</v>
      </c>
      <c r="H1718" t="b">
        <f t="shared" si="53"/>
        <v>1</v>
      </c>
    </row>
    <row r="1719" spans="1:8">
      <c r="A1719" s="395">
        <v>39465</v>
      </c>
      <c r="B1719" s="406" t="s">
        <v>10460</v>
      </c>
      <c r="C1719" s="395" t="s">
        <v>2021</v>
      </c>
      <c r="D1719" s="407">
        <f t="shared" si="52"/>
        <v>76.55</v>
      </c>
      <c r="F1719" s="680">
        <v>76.55</v>
      </c>
      <c r="G1719" s="680">
        <v>76.55</v>
      </c>
      <c r="H1719" t="b">
        <f t="shared" si="53"/>
        <v>1</v>
      </c>
    </row>
    <row r="1720" spans="1:8">
      <c r="A1720" s="396">
        <v>39466</v>
      </c>
      <c r="B1720" s="401" t="s">
        <v>10461</v>
      </c>
      <c r="C1720" s="396" t="s">
        <v>2021</v>
      </c>
      <c r="D1720" s="405">
        <f t="shared" si="52"/>
        <v>86.12</v>
      </c>
      <c r="F1720" s="679">
        <v>86.12</v>
      </c>
      <c r="G1720" s="679">
        <v>86.12</v>
      </c>
      <c r="H1720" t="b">
        <f t="shared" si="53"/>
        <v>1</v>
      </c>
    </row>
    <row r="1721" spans="1:8">
      <c r="A1721" s="395">
        <v>39467</v>
      </c>
      <c r="B1721" s="406" t="s">
        <v>10462</v>
      </c>
      <c r="C1721" s="395" t="s">
        <v>2021</v>
      </c>
      <c r="D1721" s="407">
        <f t="shared" si="52"/>
        <v>110.16</v>
      </c>
      <c r="F1721" s="680">
        <v>110.16</v>
      </c>
      <c r="G1721" s="680">
        <v>110.16</v>
      </c>
      <c r="H1721" t="b">
        <f t="shared" si="53"/>
        <v>1</v>
      </c>
    </row>
    <row r="1722" spans="1:8">
      <c r="A1722" s="396">
        <v>39468</v>
      </c>
      <c r="B1722" s="401" t="s">
        <v>10463</v>
      </c>
      <c r="C1722" s="396" t="s">
        <v>2021</v>
      </c>
      <c r="D1722" s="405">
        <f t="shared" si="52"/>
        <v>195.81</v>
      </c>
      <c r="F1722" s="679">
        <v>195.81</v>
      </c>
      <c r="G1722" s="679">
        <v>195.81</v>
      </c>
      <c r="H1722" t="b">
        <f t="shared" si="53"/>
        <v>1</v>
      </c>
    </row>
    <row r="1723" spans="1:8">
      <c r="A1723" s="395">
        <v>39469</v>
      </c>
      <c r="B1723" s="406" t="s">
        <v>10464</v>
      </c>
      <c r="C1723" s="395" t="s">
        <v>2021</v>
      </c>
      <c r="D1723" s="407">
        <f t="shared" si="52"/>
        <v>79.760000000000005</v>
      </c>
      <c r="F1723" s="680">
        <v>79.760000000000005</v>
      </c>
      <c r="G1723" s="680">
        <v>79.760000000000005</v>
      </c>
      <c r="H1723" t="b">
        <f t="shared" si="53"/>
        <v>1</v>
      </c>
    </row>
    <row r="1724" spans="1:8">
      <c r="A1724" s="396">
        <v>39470</v>
      </c>
      <c r="B1724" s="401" t="s">
        <v>10465</v>
      </c>
      <c r="C1724" s="396" t="s">
        <v>2021</v>
      </c>
      <c r="D1724" s="405">
        <f t="shared" si="52"/>
        <v>98</v>
      </c>
      <c r="F1724" s="679">
        <v>98</v>
      </c>
      <c r="G1724" s="679">
        <v>98</v>
      </c>
      <c r="H1724" t="b">
        <f t="shared" si="53"/>
        <v>1</v>
      </c>
    </row>
    <row r="1725" spans="1:8">
      <c r="A1725" s="395">
        <v>39471</v>
      </c>
      <c r="B1725" s="406" t="s">
        <v>10466</v>
      </c>
      <c r="C1725" s="395" t="s">
        <v>2021</v>
      </c>
      <c r="D1725" s="407">
        <f t="shared" si="52"/>
        <v>117.77</v>
      </c>
      <c r="F1725" s="680">
        <v>117.77</v>
      </c>
      <c r="G1725" s="680">
        <v>117.77</v>
      </c>
      <c r="H1725" t="b">
        <f t="shared" si="53"/>
        <v>1</v>
      </c>
    </row>
    <row r="1726" spans="1:8">
      <c r="A1726" s="396">
        <v>39472</v>
      </c>
      <c r="B1726" s="401" t="s">
        <v>10467</v>
      </c>
      <c r="C1726" s="396" t="s">
        <v>2021</v>
      </c>
      <c r="D1726" s="405">
        <f t="shared" si="52"/>
        <v>204.63</v>
      </c>
      <c r="F1726" s="679">
        <v>204.63</v>
      </c>
      <c r="G1726" s="679">
        <v>204.63</v>
      </c>
      <c r="H1726" t="b">
        <f t="shared" si="53"/>
        <v>1</v>
      </c>
    </row>
    <row r="1727" spans="1:8">
      <c r="A1727" s="395">
        <v>39473</v>
      </c>
      <c r="B1727" s="406" t="s">
        <v>10468</v>
      </c>
      <c r="C1727" s="395" t="s">
        <v>2021</v>
      </c>
      <c r="D1727" s="407">
        <f t="shared" si="52"/>
        <v>132.19</v>
      </c>
      <c r="F1727" s="680">
        <v>132.19</v>
      </c>
      <c r="G1727" s="680">
        <v>132.19</v>
      </c>
      <c r="H1727" t="b">
        <f t="shared" si="53"/>
        <v>1</v>
      </c>
    </row>
    <row r="1728" spans="1:8">
      <c r="A1728" s="396">
        <v>39474</v>
      </c>
      <c r="B1728" s="401" t="s">
        <v>10469</v>
      </c>
      <c r="C1728" s="396" t="s">
        <v>2021</v>
      </c>
      <c r="D1728" s="405">
        <f t="shared" si="52"/>
        <v>140.91999999999999</v>
      </c>
      <c r="F1728" s="679">
        <v>140.91999999999999</v>
      </c>
      <c r="G1728" s="679">
        <v>140.91999999999999</v>
      </c>
      <c r="H1728" t="b">
        <f t="shared" si="53"/>
        <v>1</v>
      </c>
    </row>
    <row r="1729" spans="1:8">
      <c r="A1729" s="395">
        <v>39475</v>
      </c>
      <c r="B1729" s="406" t="s">
        <v>10470</v>
      </c>
      <c r="C1729" s="395" t="s">
        <v>2021</v>
      </c>
      <c r="D1729" s="407">
        <f t="shared" si="52"/>
        <v>159.88999999999999</v>
      </c>
      <c r="F1729" s="680">
        <v>159.88999999999999</v>
      </c>
      <c r="G1729" s="680">
        <v>159.88999999999999</v>
      </c>
      <c r="H1729" t="b">
        <f t="shared" si="53"/>
        <v>1</v>
      </c>
    </row>
    <row r="1730" spans="1:8">
      <c r="A1730" s="396">
        <v>39476</v>
      </c>
      <c r="B1730" s="401" t="s">
        <v>10471</v>
      </c>
      <c r="C1730" s="396" t="s">
        <v>2021</v>
      </c>
      <c r="D1730" s="405">
        <f t="shared" si="52"/>
        <v>300.99</v>
      </c>
      <c r="F1730" s="679">
        <v>300.99</v>
      </c>
      <c r="G1730" s="679">
        <v>300.99</v>
      </c>
      <c r="H1730" t="b">
        <f t="shared" si="53"/>
        <v>1</v>
      </c>
    </row>
    <row r="1731" spans="1:8">
      <c r="A1731" s="395">
        <v>39477</v>
      </c>
      <c r="B1731" s="406" t="s">
        <v>10472</v>
      </c>
      <c r="C1731" s="395" t="s">
        <v>2021</v>
      </c>
      <c r="D1731" s="407">
        <f t="shared" ref="D1731:D1794" si="54">IF($J$2=$F$1,F1731,G1731)</f>
        <v>147.47</v>
      </c>
      <c r="F1731" s="680">
        <v>147.47</v>
      </c>
      <c r="G1731" s="680">
        <v>147.47</v>
      </c>
      <c r="H1731" t="b">
        <f t="shared" ref="H1731:H1794" si="55">F1731=G1731</f>
        <v>1</v>
      </c>
    </row>
    <row r="1732" spans="1:8">
      <c r="A1732" s="396">
        <v>39478</v>
      </c>
      <c r="B1732" s="401" t="s">
        <v>10473</v>
      </c>
      <c r="C1732" s="396" t="s">
        <v>2021</v>
      </c>
      <c r="D1732" s="405">
        <f t="shared" si="54"/>
        <v>152.04</v>
      </c>
      <c r="F1732" s="679">
        <v>152.04</v>
      </c>
      <c r="G1732" s="679">
        <v>152.04</v>
      </c>
      <c r="H1732" t="b">
        <f t="shared" si="55"/>
        <v>1</v>
      </c>
    </row>
    <row r="1733" spans="1:8">
      <c r="A1733" s="395">
        <v>39479</v>
      </c>
      <c r="B1733" s="406" t="s">
        <v>10474</v>
      </c>
      <c r="C1733" s="395" t="s">
        <v>2021</v>
      </c>
      <c r="D1733" s="407">
        <f t="shared" si="54"/>
        <v>179.14</v>
      </c>
      <c r="F1733" s="680">
        <v>179.14</v>
      </c>
      <c r="G1733" s="680">
        <v>179.14</v>
      </c>
      <c r="H1733" t="b">
        <f t="shared" si="55"/>
        <v>1</v>
      </c>
    </row>
    <row r="1734" spans="1:8">
      <c r="A1734" s="396">
        <v>39480</v>
      </c>
      <c r="B1734" s="401" t="s">
        <v>10475</v>
      </c>
      <c r="C1734" s="396" t="s">
        <v>2021</v>
      </c>
      <c r="D1734" s="405">
        <f t="shared" si="54"/>
        <v>369.64</v>
      </c>
      <c r="F1734" s="679">
        <v>369.64</v>
      </c>
      <c r="G1734" s="679">
        <v>369.64</v>
      </c>
      <c r="H1734" t="b">
        <f t="shared" si="55"/>
        <v>1</v>
      </c>
    </row>
    <row r="1735" spans="1:8">
      <c r="A1735" s="395">
        <v>39459</v>
      </c>
      <c r="B1735" s="406" t="s">
        <v>10476</v>
      </c>
      <c r="C1735" s="395" t="s">
        <v>2021</v>
      </c>
      <c r="D1735" s="407">
        <f t="shared" si="54"/>
        <v>313.73</v>
      </c>
      <c r="F1735" s="680">
        <v>313.73</v>
      </c>
      <c r="G1735" s="680">
        <v>313.73</v>
      </c>
      <c r="H1735" t="b">
        <f t="shared" si="55"/>
        <v>1</v>
      </c>
    </row>
    <row r="1736" spans="1:8">
      <c r="A1736" s="396">
        <v>39445</v>
      </c>
      <c r="B1736" s="401" t="s">
        <v>10477</v>
      </c>
      <c r="C1736" s="396" t="s">
        <v>2021</v>
      </c>
      <c r="D1736" s="405">
        <f t="shared" si="54"/>
        <v>157.52000000000001</v>
      </c>
      <c r="F1736" s="679">
        <v>157.52000000000001</v>
      </c>
      <c r="G1736" s="679">
        <v>157.52000000000001</v>
      </c>
      <c r="H1736" t="b">
        <f t="shared" si="55"/>
        <v>1</v>
      </c>
    </row>
    <row r="1737" spans="1:8">
      <c r="A1737" s="395">
        <v>39446</v>
      </c>
      <c r="B1737" s="406" t="s">
        <v>10478</v>
      </c>
      <c r="C1737" s="395" t="s">
        <v>2021</v>
      </c>
      <c r="D1737" s="407">
        <f t="shared" si="54"/>
        <v>160.33000000000001</v>
      </c>
      <c r="F1737" s="680">
        <v>160.33000000000001</v>
      </c>
      <c r="G1737" s="680">
        <v>160.33000000000001</v>
      </c>
      <c r="H1737" t="b">
        <f t="shared" si="55"/>
        <v>1</v>
      </c>
    </row>
    <row r="1738" spans="1:8">
      <c r="A1738" s="396">
        <v>39447</v>
      </c>
      <c r="B1738" s="401" t="s">
        <v>10479</v>
      </c>
      <c r="C1738" s="396" t="s">
        <v>2021</v>
      </c>
      <c r="D1738" s="405">
        <f t="shared" si="54"/>
        <v>171.45</v>
      </c>
      <c r="F1738" s="679">
        <v>171.45</v>
      </c>
      <c r="G1738" s="679">
        <v>171.45</v>
      </c>
      <c r="H1738" t="b">
        <f t="shared" si="55"/>
        <v>1</v>
      </c>
    </row>
    <row r="1739" spans="1:8">
      <c r="A1739" s="395">
        <v>39448</v>
      </c>
      <c r="B1739" s="406" t="s">
        <v>10480</v>
      </c>
      <c r="C1739" s="395" t="s">
        <v>2021</v>
      </c>
      <c r="D1739" s="407">
        <f t="shared" si="54"/>
        <v>292.36</v>
      </c>
      <c r="F1739" s="680">
        <v>292.36</v>
      </c>
      <c r="G1739" s="680">
        <v>292.36</v>
      </c>
      <c r="H1739" t="b">
        <f t="shared" si="55"/>
        <v>1</v>
      </c>
    </row>
    <row r="1740" spans="1:8">
      <c r="A1740" s="396">
        <v>39450</v>
      </c>
      <c r="B1740" s="401" t="s">
        <v>10481</v>
      </c>
      <c r="C1740" s="396" t="s">
        <v>2021</v>
      </c>
      <c r="D1740" s="405">
        <f t="shared" si="54"/>
        <v>178.37</v>
      </c>
      <c r="F1740" s="679">
        <v>178.37</v>
      </c>
      <c r="G1740" s="679">
        <v>178.37</v>
      </c>
      <c r="H1740" t="b">
        <f t="shared" si="55"/>
        <v>1</v>
      </c>
    </row>
    <row r="1741" spans="1:8">
      <c r="A1741" s="395">
        <v>39451</v>
      </c>
      <c r="B1741" s="406" t="s">
        <v>10482</v>
      </c>
      <c r="C1741" s="395" t="s">
        <v>2021</v>
      </c>
      <c r="D1741" s="407">
        <f t="shared" si="54"/>
        <v>194.55</v>
      </c>
      <c r="F1741" s="680">
        <v>194.55</v>
      </c>
      <c r="G1741" s="680">
        <v>194.55</v>
      </c>
      <c r="H1741" t="b">
        <f t="shared" si="55"/>
        <v>1</v>
      </c>
    </row>
    <row r="1742" spans="1:8">
      <c r="A1742" s="396">
        <v>39452</v>
      </c>
      <c r="B1742" s="401" t="s">
        <v>10483</v>
      </c>
      <c r="C1742" s="396" t="s">
        <v>2021</v>
      </c>
      <c r="D1742" s="405">
        <f t="shared" si="54"/>
        <v>195.71</v>
      </c>
      <c r="F1742" s="679">
        <v>195.71</v>
      </c>
      <c r="G1742" s="679">
        <v>195.71</v>
      </c>
      <c r="H1742" t="b">
        <f t="shared" si="55"/>
        <v>1</v>
      </c>
    </row>
    <row r="1743" spans="1:8">
      <c r="A1743" s="395">
        <v>39523</v>
      </c>
      <c r="B1743" s="406" t="s">
        <v>10484</v>
      </c>
      <c r="C1743" s="395" t="s">
        <v>2021</v>
      </c>
      <c r="D1743" s="407">
        <f t="shared" si="54"/>
        <v>327.52</v>
      </c>
      <c r="F1743" s="680">
        <v>327.52</v>
      </c>
      <c r="G1743" s="680">
        <v>327.52</v>
      </c>
      <c r="H1743" t="b">
        <f t="shared" si="55"/>
        <v>1</v>
      </c>
    </row>
    <row r="1744" spans="1:8">
      <c r="A1744" s="396">
        <v>39449</v>
      </c>
      <c r="B1744" s="401" t="s">
        <v>10485</v>
      </c>
      <c r="C1744" s="396" t="s">
        <v>2021</v>
      </c>
      <c r="D1744" s="405">
        <f t="shared" si="54"/>
        <v>362.71</v>
      </c>
      <c r="F1744" s="679">
        <v>362.71</v>
      </c>
      <c r="G1744" s="679">
        <v>362.71</v>
      </c>
      <c r="H1744" t="b">
        <f t="shared" si="55"/>
        <v>1</v>
      </c>
    </row>
    <row r="1745" spans="1:8">
      <c r="A1745" s="395">
        <v>39455</v>
      </c>
      <c r="B1745" s="406" t="s">
        <v>10486</v>
      </c>
      <c r="C1745" s="395" t="s">
        <v>2021</v>
      </c>
      <c r="D1745" s="407">
        <f t="shared" si="54"/>
        <v>179.47</v>
      </c>
      <c r="F1745" s="680">
        <v>179.47</v>
      </c>
      <c r="G1745" s="680">
        <v>179.47</v>
      </c>
      <c r="H1745" t="b">
        <f t="shared" si="55"/>
        <v>1</v>
      </c>
    </row>
    <row r="1746" spans="1:8">
      <c r="A1746" s="396">
        <v>39456</v>
      </c>
      <c r="B1746" s="401" t="s">
        <v>10487</v>
      </c>
      <c r="C1746" s="396" t="s">
        <v>2021</v>
      </c>
      <c r="D1746" s="405">
        <f t="shared" si="54"/>
        <v>179.61</v>
      </c>
      <c r="F1746" s="679">
        <v>179.61</v>
      </c>
      <c r="G1746" s="679">
        <v>179.61</v>
      </c>
      <c r="H1746" t="b">
        <f t="shared" si="55"/>
        <v>1</v>
      </c>
    </row>
    <row r="1747" spans="1:8">
      <c r="A1747" s="395">
        <v>39457</v>
      </c>
      <c r="B1747" s="406" t="s">
        <v>10488</v>
      </c>
      <c r="C1747" s="395" t="s">
        <v>2021</v>
      </c>
      <c r="D1747" s="407">
        <f t="shared" si="54"/>
        <v>195.8</v>
      </c>
      <c r="F1747" s="680">
        <v>195.8</v>
      </c>
      <c r="G1747" s="680">
        <v>195.8</v>
      </c>
      <c r="H1747" t="b">
        <f t="shared" si="55"/>
        <v>1</v>
      </c>
    </row>
    <row r="1748" spans="1:8">
      <c r="A1748" s="396">
        <v>39458</v>
      </c>
      <c r="B1748" s="401" t="s">
        <v>10489</v>
      </c>
      <c r="C1748" s="396" t="s">
        <v>2021</v>
      </c>
      <c r="D1748" s="405">
        <f t="shared" si="54"/>
        <v>365.38</v>
      </c>
      <c r="F1748" s="679">
        <v>365.38</v>
      </c>
      <c r="G1748" s="679">
        <v>365.38</v>
      </c>
      <c r="H1748" t="b">
        <f t="shared" si="55"/>
        <v>1</v>
      </c>
    </row>
    <row r="1749" spans="1:8">
      <c r="A1749" s="395">
        <v>39464</v>
      </c>
      <c r="B1749" s="406" t="s">
        <v>10490</v>
      </c>
      <c r="C1749" s="395" t="s">
        <v>2021</v>
      </c>
      <c r="D1749" s="407">
        <f t="shared" si="54"/>
        <v>587.55999999999995</v>
      </c>
      <c r="F1749" s="680">
        <v>587.55999999999995</v>
      </c>
      <c r="G1749" s="680">
        <v>587.55999999999995</v>
      </c>
      <c r="H1749" t="b">
        <f t="shared" si="55"/>
        <v>1</v>
      </c>
    </row>
    <row r="1750" spans="1:8">
      <c r="A1750" s="396">
        <v>39460</v>
      </c>
      <c r="B1750" s="401" t="s">
        <v>10491</v>
      </c>
      <c r="C1750" s="396" t="s">
        <v>2021</v>
      </c>
      <c r="D1750" s="405">
        <f t="shared" si="54"/>
        <v>222.85</v>
      </c>
      <c r="F1750" s="679">
        <v>222.85</v>
      </c>
      <c r="G1750" s="679">
        <v>222.85</v>
      </c>
      <c r="H1750" t="b">
        <f t="shared" si="55"/>
        <v>1</v>
      </c>
    </row>
    <row r="1751" spans="1:8">
      <c r="A1751" s="395">
        <v>39461</v>
      </c>
      <c r="B1751" s="406" t="s">
        <v>10492</v>
      </c>
      <c r="C1751" s="395" t="s">
        <v>2021</v>
      </c>
      <c r="D1751" s="407">
        <f t="shared" si="54"/>
        <v>261.12</v>
      </c>
      <c r="F1751" s="680">
        <v>261.12</v>
      </c>
      <c r="G1751" s="680">
        <v>261.12</v>
      </c>
      <c r="H1751" t="b">
        <f t="shared" si="55"/>
        <v>1</v>
      </c>
    </row>
    <row r="1752" spans="1:8">
      <c r="A1752" s="396">
        <v>39462</v>
      </c>
      <c r="B1752" s="401" t="s">
        <v>10493</v>
      </c>
      <c r="C1752" s="396" t="s">
        <v>2021</v>
      </c>
      <c r="D1752" s="405">
        <f t="shared" si="54"/>
        <v>251.66</v>
      </c>
      <c r="F1752" s="679">
        <v>251.66</v>
      </c>
      <c r="G1752" s="679">
        <v>251.66</v>
      </c>
      <c r="H1752" t="b">
        <f t="shared" si="55"/>
        <v>1</v>
      </c>
    </row>
    <row r="1753" spans="1:8">
      <c r="A1753" s="395">
        <v>39463</v>
      </c>
      <c r="B1753" s="406" t="s">
        <v>10494</v>
      </c>
      <c r="C1753" s="395" t="s">
        <v>2021</v>
      </c>
      <c r="D1753" s="407">
        <f t="shared" si="54"/>
        <v>583</v>
      </c>
      <c r="F1753" s="680">
        <v>583</v>
      </c>
      <c r="G1753" s="680">
        <v>583</v>
      </c>
      <c r="H1753" t="b">
        <f t="shared" si="55"/>
        <v>1</v>
      </c>
    </row>
    <row r="1754" spans="1:8">
      <c r="A1754" s="396">
        <v>26039</v>
      </c>
      <c r="B1754" s="401" t="s">
        <v>10495</v>
      </c>
      <c r="C1754" s="396" t="s">
        <v>2021</v>
      </c>
      <c r="D1754" s="405">
        <f t="shared" si="54"/>
        <v>358024.62</v>
      </c>
      <c r="F1754" s="679">
        <v>358024.62</v>
      </c>
      <c r="G1754" s="679">
        <v>358024.62</v>
      </c>
      <c r="H1754" t="b">
        <f t="shared" si="55"/>
        <v>1</v>
      </c>
    </row>
    <row r="1755" spans="1:8">
      <c r="A1755" s="395">
        <v>2401</v>
      </c>
      <c r="B1755" s="406" t="s">
        <v>10496</v>
      </c>
      <c r="C1755" s="395" t="s">
        <v>2021</v>
      </c>
      <c r="D1755" s="407">
        <f t="shared" si="54"/>
        <v>82349.63</v>
      </c>
      <c r="F1755" s="680">
        <v>82349.63</v>
      </c>
      <c r="G1755" s="680">
        <v>82349.63</v>
      </c>
      <c r="H1755" t="b">
        <f t="shared" si="55"/>
        <v>1</v>
      </c>
    </row>
    <row r="1756" spans="1:8" ht="30">
      <c r="A1756" s="396">
        <v>38870</v>
      </c>
      <c r="B1756" s="401" t="s">
        <v>10497</v>
      </c>
      <c r="C1756" s="396" t="s">
        <v>2021</v>
      </c>
      <c r="D1756" s="405">
        <f t="shared" si="54"/>
        <v>29.05</v>
      </c>
      <c r="F1756" s="679">
        <v>29.05</v>
      </c>
      <c r="G1756" s="679">
        <v>29.05</v>
      </c>
      <c r="H1756" t="b">
        <f t="shared" si="55"/>
        <v>1</v>
      </c>
    </row>
    <row r="1757" spans="1:8" ht="30">
      <c r="A1757" s="395">
        <v>38869</v>
      </c>
      <c r="B1757" s="406" t="s">
        <v>10498</v>
      </c>
      <c r="C1757" s="395" t="s">
        <v>2021</v>
      </c>
      <c r="D1757" s="407">
        <f t="shared" si="54"/>
        <v>19.61</v>
      </c>
      <c r="F1757" s="680">
        <v>19.61</v>
      </c>
      <c r="G1757" s="680">
        <v>19.61</v>
      </c>
      <c r="H1757" t="b">
        <f t="shared" si="55"/>
        <v>1</v>
      </c>
    </row>
    <row r="1758" spans="1:8" ht="30">
      <c r="A1758" s="396">
        <v>38872</v>
      </c>
      <c r="B1758" s="401" t="s">
        <v>10499</v>
      </c>
      <c r="C1758" s="396" t="s">
        <v>2021</v>
      </c>
      <c r="D1758" s="405">
        <f t="shared" si="54"/>
        <v>37.020000000000003</v>
      </c>
      <c r="F1758" s="679">
        <v>37.020000000000003</v>
      </c>
      <c r="G1758" s="679">
        <v>37.020000000000003</v>
      </c>
      <c r="H1758" t="b">
        <f t="shared" si="55"/>
        <v>1</v>
      </c>
    </row>
    <row r="1759" spans="1:8" ht="30">
      <c r="A1759" s="395">
        <v>38871</v>
      </c>
      <c r="B1759" s="406" t="s">
        <v>10500</v>
      </c>
      <c r="C1759" s="395" t="s">
        <v>2021</v>
      </c>
      <c r="D1759" s="407">
        <f t="shared" si="54"/>
        <v>25.59</v>
      </c>
      <c r="F1759" s="680">
        <v>25.59</v>
      </c>
      <c r="G1759" s="680">
        <v>25.59</v>
      </c>
      <c r="H1759" t="b">
        <f t="shared" si="55"/>
        <v>1</v>
      </c>
    </row>
    <row r="1760" spans="1:8" ht="30">
      <c r="A1760" s="396">
        <v>39283</v>
      </c>
      <c r="B1760" s="401" t="s">
        <v>10501</v>
      </c>
      <c r="C1760" s="396" t="s">
        <v>2021</v>
      </c>
      <c r="D1760" s="405">
        <f t="shared" si="54"/>
        <v>119.89</v>
      </c>
      <c r="F1760" s="679">
        <v>119.89</v>
      </c>
      <c r="G1760" s="679">
        <v>119.89</v>
      </c>
      <c r="H1760" t="b">
        <f t="shared" si="55"/>
        <v>1</v>
      </c>
    </row>
    <row r="1761" spans="1:8" ht="30">
      <c r="A1761" s="395">
        <v>39285</v>
      </c>
      <c r="B1761" s="406" t="s">
        <v>10502</v>
      </c>
      <c r="C1761" s="395" t="s">
        <v>2021</v>
      </c>
      <c r="D1761" s="407">
        <f t="shared" si="54"/>
        <v>137.03</v>
      </c>
      <c r="F1761" s="680">
        <v>137.03</v>
      </c>
      <c r="G1761" s="680">
        <v>137.03</v>
      </c>
      <c r="H1761" t="b">
        <f t="shared" si="55"/>
        <v>1</v>
      </c>
    </row>
    <row r="1762" spans="1:8" ht="30">
      <c r="A1762" s="396">
        <v>39286</v>
      </c>
      <c r="B1762" s="401" t="s">
        <v>10503</v>
      </c>
      <c r="C1762" s="396" t="s">
        <v>2021</v>
      </c>
      <c r="D1762" s="405">
        <f t="shared" si="54"/>
        <v>131.33000000000001</v>
      </c>
      <c r="F1762" s="679">
        <v>131.33000000000001</v>
      </c>
      <c r="G1762" s="679">
        <v>131.33000000000001</v>
      </c>
      <c r="H1762" t="b">
        <f t="shared" si="55"/>
        <v>1</v>
      </c>
    </row>
    <row r="1763" spans="1:8" ht="30">
      <c r="A1763" s="395">
        <v>39288</v>
      </c>
      <c r="B1763" s="406" t="s">
        <v>10504</v>
      </c>
      <c r="C1763" s="395" t="s">
        <v>2021</v>
      </c>
      <c r="D1763" s="407">
        <f t="shared" si="54"/>
        <v>159.85</v>
      </c>
      <c r="F1763" s="680">
        <v>159.85</v>
      </c>
      <c r="G1763" s="680">
        <v>159.85</v>
      </c>
      <c r="H1763" t="b">
        <f t="shared" si="55"/>
        <v>1</v>
      </c>
    </row>
    <row r="1764" spans="1:8" ht="30">
      <c r="A1764" s="396">
        <v>44476</v>
      </c>
      <c r="B1764" s="401" t="s">
        <v>10505</v>
      </c>
      <c r="C1764" s="396" t="s">
        <v>2023</v>
      </c>
      <c r="D1764" s="405">
        <f t="shared" si="54"/>
        <v>920.12</v>
      </c>
      <c r="F1764" s="679">
        <v>920.12</v>
      </c>
      <c r="G1764" s="679">
        <v>920.12</v>
      </c>
      <c r="H1764" t="b">
        <f t="shared" si="55"/>
        <v>1</v>
      </c>
    </row>
    <row r="1765" spans="1:8">
      <c r="A1765" s="395">
        <v>10629</v>
      </c>
      <c r="B1765" s="406" t="s">
        <v>10506</v>
      </c>
      <c r="C1765" s="395" t="s">
        <v>2023</v>
      </c>
      <c r="D1765" s="407">
        <f t="shared" si="54"/>
        <v>609.72</v>
      </c>
      <c r="F1765" s="680">
        <v>609.72</v>
      </c>
      <c r="G1765" s="680">
        <v>609.72</v>
      </c>
      <c r="H1765" t="b">
        <f t="shared" si="55"/>
        <v>1</v>
      </c>
    </row>
    <row r="1766" spans="1:8">
      <c r="A1766" s="396">
        <v>10698</v>
      </c>
      <c r="B1766" s="401" t="s">
        <v>10507</v>
      </c>
      <c r="C1766" s="396" t="s">
        <v>2023</v>
      </c>
      <c r="D1766" s="405">
        <f t="shared" si="54"/>
        <v>229.56</v>
      </c>
      <c r="F1766" s="679">
        <v>229.56</v>
      </c>
      <c r="G1766" s="679">
        <v>229.56</v>
      </c>
      <c r="H1766" t="b">
        <f t="shared" si="55"/>
        <v>1</v>
      </c>
    </row>
    <row r="1767" spans="1:8" ht="30">
      <c r="A1767" s="395">
        <v>40521</v>
      </c>
      <c r="B1767" s="406" t="s">
        <v>10508</v>
      </c>
      <c r="C1767" s="395" t="s">
        <v>2021</v>
      </c>
      <c r="D1767" s="407">
        <f t="shared" si="54"/>
        <v>127586.11</v>
      </c>
      <c r="F1767" s="680">
        <v>127586.11</v>
      </c>
      <c r="G1767" s="680">
        <v>127586.11</v>
      </c>
      <c r="H1767" t="b">
        <f t="shared" si="55"/>
        <v>1</v>
      </c>
    </row>
    <row r="1768" spans="1:8">
      <c r="A1768" s="396">
        <v>2432</v>
      </c>
      <c r="B1768" s="401" t="s">
        <v>10509</v>
      </c>
      <c r="C1768" s="396" t="s">
        <v>2021</v>
      </c>
      <c r="D1768" s="405">
        <f t="shared" si="54"/>
        <v>25.07</v>
      </c>
      <c r="F1768" s="679">
        <v>25.07</v>
      </c>
      <c r="G1768" s="679">
        <v>25.07</v>
      </c>
      <c r="H1768" t="b">
        <f t="shared" si="55"/>
        <v>1</v>
      </c>
    </row>
    <row r="1769" spans="1:8">
      <c r="A1769" s="395">
        <v>2433</v>
      </c>
      <c r="B1769" s="406" t="s">
        <v>10510</v>
      </c>
      <c r="C1769" s="395" t="s">
        <v>2021</v>
      </c>
      <c r="D1769" s="407">
        <f t="shared" si="54"/>
        <v>8.49</v>
      </c>
      <c r="F1769" s="680">
        <v>8.49</v>
      </c>
      <c r="G1769" s="680">
        <v>8.49</v>
      </c>
      <c r="H1769" t="b">
        <f t="shared" si="55"/>
        <v>1</v>
      </c>
    </row>
    <row r="1770" spans="1:8">
      <c r="A1770" s="396">
        <v>2418</v>
      </c>
      <c r="B1770" s="401" t="s">
        <v>10511</v>
      </c>
      <c r="C1770" s="396" t="s">
        <v>2021</v>
      </c>
      <c r="D1770" s="405">
        <f t="shared" si="54"/>
        <v>11.63</v>
      </c>
      <c r="F1770" s="679">
        <v>11.63</v>
      </c>
      <c r="G1770" s="679">
        <v>11.63</v>
      </c>
      <c r="H1770" t="b">
        <f t="shared" si="55"/>
        <v>1</v>
      </c>
    </row>
    <row r="1771" spans="1:8">
      <c r="A1771" s="395">
        <v>2420</v>
      </c>
      <c r="B1771" s="406" t="s">
        <v>10512</v>
      </c>
      <c r="C1771" s="395" t="s">
        <v>2021</v>
      </c>
      <c r="D1771" s="407">
        <f t="shared" si="54"/>
        <v>14.58</v>
      </c>
      <c r="F1771" s="680">
        <v>14.58</v>
      </c>
      <c r="G1771" s="680">
        <v>14.58</v>
      </c>
      <c r="H1771" t="b">
        <f t="shared" si="55"/>
        <v>1</v>
      </c>
    </row>
    <row r="1772" spans="1:8">
      <c r="A1772" s="396">
        <v>11447</v>
      </c>
      <c r="B1772" s="401" t="s">
        <v>10513</v>
      </c>
      <c r="C1772" s="396" t="s">
        <v>2021</v>
      </c>
      <c r="D1772" s="405">
        <f t="shared" si="54"/>
        <v>28.82</v>
      </c>
      <c r="F1772" s="679">
        <v>28.82</v>
      </c>
      <c r="G1772" s="679">
        <v>28.82</v>
      </c>
      <c r="H1772" t="b">
        <f t="shared" si="55"/>
        <v>1</v>
      </c>
    </row>
    <row r="1773" spans="1:8">
      <c r="A1773" s="395">
        <v>11451</v>
      </c>
      <c r="B1773" s="406" t="s">
        <v>10514</v>
      </c>
      <c r="C1773" s="395" t="s">
        <v>2021</v>
      </c>
      <c r="D1773" s="407">
        <f t="shared" si="54"/>
        <v>77.28</v>
      </c>
      <c r="F1773" s="680">
        <v>77.28</v>
      </c>
      <c r="G1773" s="680">
        <v>77.28</v>
      </c>
      <c r="H1773" t="b">
        <f t="shared" si="55"/>
        <v>1</v>
      </c>
    </row>
    <row r="1774" spans="1:8">
      <c r="A1774" s="396">
        <v>11116</v>
      </c>
      <c r="B1774" s="401" t="s">
        <v>10515</v>
      </c>
      <c r="C1774" s="396" t="s">
        <v>2021</v>
      </c>
      <c r="D1774" s="405">
        <f t="shared" si="54"/>
        <v>919.17</v>
      </c>
      <c r="F1774" s="679">
        <v>919.17</v>
      </c>
      <c r="G1774" s="679">
        <v>919.17</v>
      </c>
      <c r="H1774" t="b">
        <f t="shared" si="55"/>
        <v>1</v>
      </c>
    </row>
    <row r="1775" spans="1:8">
      <c r="A1775" s="395">
        <v>38411</v>
      </c>
      <c r="B1775" s="406" t="s">
        <v>10516</v>
      </c>
      <c r="C1775" s="395" t="s">
        <v>2021</v>
      </c>
      <c r="D1775" s="407">
        <f t="shared" si="54"/>
        <v>1892.6</v>
      </c>
      <c r="F1775" s="680">
        <v>1892.6</v>
      </c>
      <c r="G1775" s="680">
        <v>1892.6</v>
      </c>
      <c r="H1775" t="b">
        <f t="shared" si="55"/>
        <v>1</v>
      </c>
    </row>
    <row r="1776" spans="1:8">
      <c r="A1776" s="396">
        <v>38189</v>
      </c>
      <c r="B1776" s="401" t="s">
        <v>10517</v>
      </c>
      <c r="C1776" s="396" t="s">
        <v>2021</v>
      </c>
      <c r="D1776" s="405">
        <f t="shared" si="54"/>
        <v>177.37</v>
      </c>
      <c r="F1776" s="679">
        <v>177.37</v>
      </c>
      <c r="G1776" s="679">
        <v>177.37</v>
      </c>
      <c r="H1776" t="b">
        <f t="shared" si="55"/>
        <v>1</v>
      </c>
    </row>
    <row r="1777" spans="1:8">
      <c r="A1777" s="395">
        <v>38190</v>
      </c>
      <c r="B1777" s="406" t="s">
        <v>10518</v>
      </c>
      <c r="C1777" s="395" t="s">
        <v>2021</v>
      </c>
      <c r="D1777" s="407">
        <f t="shared" si="54"/>
        <v>373.67</v>
      </c>
      <c r="F1777" s="680">
        <v>373.67</v>
      </c>
      <c r="G1777" s="680">
        <v>373.67</v>
      </c>
      <c r="H1777" t="b">
        <f t="shared" si="55"/>
        <v>1</v>
      </c>
    </row>
    <row r="1778" spans="1:8">
      <c r="A1778" s="396">
        <v>7608</v>
      </c>
      <c r="B1778" s="401" t="s">
        <v>10519</v>
      </c>
      <c r="C1778" s="396" t="s">
        <v>2021</v>
      </c>
      <c r="D1778" s="405">
        <f t="shared" si="54"/>
        <v>14.85</v>
      </c>
      <c r="F1778" s="679">
        <v>14.85</v>
      </c>
      <c r="G1778" s="679">
        <v>14.85</v>
      </c>
      <c r="H1778" t="b">
        <f t="shared" si="55"/>
        <v>1</v>
      </c>
    </row>
    <row r="1779" spans="1:8">
      <c r="A1779" s="395">
        <v>1370</v>
      </c>
      <c r="B1779" s="406" t="s">
        <v>10520</v>
      </c>
      <c r="C1779" s="395" t="s">
        <v>2021</v>
      </c>
      <c r="D1779" s="407">
        <f t="shared" si="54"/>
        <v>113.3</v>
      </c>
      <c r="F1779" s="680">
        <v>113.3</v>
      </c>
      <c r="G1779" s="680">
        <v>113.3</v>
      </c>
      <c r="H1779" t="b">
        <f t="shared" si="55"/>
        <v>1</v>
      </c>
    </row>
    <row r="1780" spans="1:8">
      <c r="A1780" s="396">
        <v>36516</v>
      </c>
      <c r="B1780" s="401" t="s">
        <v>10521</v>
      </c>
      <c r="C1780" s="396" t="s">
        <v>2021</v>
      </c>
      <c r="D1780" s="405">
        <f t="shared" si="54"/>
        <v>142570.07</v>
      </c>
      <c r="F1780" s="679">
        <v>142570.07</v>
      </c>
      <c r="G1780" s="679">
        <v>142570.07</v>
      </c>
      <c r="H1780" t="b">
        <f t="shared" si="55"/>
        <v>1</v>
      </c>
    </row>
    <row r="1781" spans="1:8">
      <c r="A1781" s="395">
        <v>34777</v>
      </c>
      <c r="B1781" s="406" t="s">
        <v>10522</v>
      </c>
      <c r="C1781" s="395" t="s">
        <v>2021</v>
      </c>
      <c r="D1781" s="407">
        <f t="shared" si="54"/>
        <v>4.0199999999999996</v>
      </c>
      <c r="F1781" s="680">
        <v>4.0199999999999996</v>
      </c>
      <c r="G1781" s="680">
        <v>4.0199999999999996</v>
      </c>
      <c r="H1781" t="b">
        <f t="shared" si="55"/>
        <v>1</v>
      </c>
    </row>
    <row r="1782" spans="1:8">
      <c r="A1782" s="396">
        <v>7272</v>
      </c>
      <c r="B1782" s="401" t="s">
        <v>10523</v>
      </c>
      <c r="C1782" s="396" t="s">
        <v>2021</v>
      </c>
      <c r="D1782" s="405">
        <f t="shared" si="54"/>
        <v>3.4</v>
      </c>
      <c r="F1782" s="679">
        <v>3.4</v>
      </c>
      <c r="G1782" s="679">
        <v>3.4</v>
      </c>
      <c r="H1782" t="b">
        <f t="shared" si="55"/>
        <v>1</v>
      </c>
    </row>
    <row r="1783" spans="1:8">
      <c r="A1783" s="395">
        <v>10605</v>
      </c>
      <c r="B1783" s="406" t="s">
        <v>10524</v>
      </c>
      <c r="C1783" s="395" t="s">
        <v>2021</v>
      </c>
      <c r="D1783" s="407">
        <f t="shared" si="54"/>
        <v>5.71</v>
      </c>
      <c r="F1783" s="680">
        <v>5.71</v>
      </c>
      <c r="G1783" s="680">
        <v>5.71</v>
      </c>
      <c r="H1783" t="b">
        <f t="shared" si="55"/>
        <v>1</v>
      </c>
    </row>
    <row r="1784" spans="1:8">
      <c r="A1784" s="396">
        <v>10604</v>
      </c>
      <c r="B1784" s="401" t="s">
        <v>10525</v>
      </c>
      <c r="C1784" s="396" t="s">
        <v>2021</v>
      </c>
      <c r="D1784" s="405">
        <f t="shared" si="54"/>
        <v>13.3</v>
      </c>
      <c r="F1784" s="679">
        <v>13.3</v>
      </c>
      <c r="G1784" s="679">
        <v>13.3</v>
      </c>
      <c r="H1784" t="b">
        <f t="shared" si="55"/>
        <v>1</v>
      </c>
    </row>
    <row r="1785" spans="1:8">
      <c r="A1785" s="395">
        <v>672</v>
      </c>
      <c r="B1785" s="406" t="s">
        <v>10526</v>
      </c>
      <c r="C1785" s="395" t="s">
        <v>2021</v>
      </c>
      <c r="D1785" s="407">
        <f t="shared" si="54"/>
        <v>18.29</v>
      </c>
      <c r="F1785" s="680">
        <v>18.29</v>
      </c>
      <c r="G1785" s="680">
        <v>18.29</v>
      </c>
      <c r="H1785" t="b">
        <f t="shared" si="55"/>
        <v>1</v>
      </c>
    </row>
    <row r="1786" spans="1:8">
      <c r="A1786" s="396">
        <v>668</v>
      </c>
      <c r="B1786" s="401" t="s">
        <v>10527</v>
      </c>
      <c r="C1786" s="396" t="s">
        <v>2021</v>
      </c>
      <c r="D1786" s="405">
        <f t="shared" si="54"/>
        <v>22.08</v>
      </c>
      <c r="F1786" s="679">
        <v>22.08</v>
      </c>
      <c r="G1786" s="679">
        <v>22.08</v>
      </c>
      <c r="H1786" t="b">
        <f t="shared" si="55"/>
        <v>1</v>
      </c>
    </row>
    <row r="1787" spans="1:8">
      <c r="A1787" s="395">
        <v>10578</v>
      </c>
      <c r="B1787" s="406" t="s">
        <v>10528</v>
      </c>
      <c r="C1787" s="395" t="s">
        <v>2021</v>
      </c>
      <c r="D1787" s="407">
        <f t="shared" si="54"/>
        <v>25.72</v>
      </c>
      <c r="F1787" s="680">
        <v>25.72</v>
      </c>
      <c r="G1787" s="680">
        <v>25.72</v>
      </c>
      <c r="H1787" t="b">
        <f t="shared" si="55"/>
        <v>1</v>
      </c>
    </row>
    <row r="1788" spans="1:8">
      <c r="A1788" s="396">
        <v>666</v>
      </c>
      <c r="B1788" s="401" t="s">
        <v>10529</v>
      </c>
      <c r="C1788" s="396" t="s">
        <v>2021</v>
      </c>
      <c r="D1788" s="405">
        <f t="shared" si="54"/>
        <v>28.6</v>
      </c>
      <c r="F1788" s="679">
        <v>28.6</v>
      </c>
      <c r="G1788" s="679">
        <v>28.6</v>
      </c>
      <c r="H1788" t="b">
        <f t="shared" si="55"/>
        <v>1</v>
      </c>
    </row>
    <row r="1789" spans="1:8">
      <c r="A1789" s="395">
        <v>665</v>
      </c>
      <c r="B1789" s="406" t="s">
        <v>10530</v>
      </c>
      <c r="C1789" s="395" t="s">
        <v>2021</v>
      </c>
      <c r="D1789" s="407">
        <f t="shared" si="54"/>
        <v>38.25</v>
      </c>
      <c r="F1789" s="680">
        <v>38.25</v>
      </c>
      <c r="G1789" s="680">
        <v>38.25</v>
      </c>
      <c r="H1789" t="b">
        <f t="shared" si="55"/>
        <v>1</v>
      </c>
    </row>
    <row r="1790" spans="1:8">
      <c r="A1790" s="396">
        <v>10577</v>
      </c>
      <c r="B1790" s="401" t="s">
        <v>10531</v>
      </c>
      <c r="C1790" s="396" t="s">
        <v>2021</v>
      </c>
      <c r="D1790" s="405">
        <f t="shared" si="54"/>
        <v>33.93</v>
      </c>
      <c r="F1790" s="679">
        <v>33.93</v>
      </c>
      <c r="G1790" s="679">
        <v>33.93</v>
      </c>
      <c r="H1790" t="b">
        <f t="shared" si="55"/>
        <v>1</v>
      </c>
    </row>
    <row r="1791" spans="1:8">
      <c r="A1791" s="395">
        <v>10583</v>
      </c>
      <c r="B1791" s="406" t="s">
        <v>10532</v>
      </c>
      <c r="C1791" s="395" t="s">
        <v>2021</v>
      </c>
      <c r="D1791" s="407">
        <f t="shared" si="54"/>
        <v>17.63</v>
      </c>
      <c r="F1791" s="680">
        <v>17.63</v>
      </c>
      <c r="G1791" s="680">
        <v>17.63</v>
      </c>
      <c r="H1791" t="b">
        <f t="shared" si="55"/>
        <v>1</v>
      </c>
    </row>
    <row r="1792" spans="1:8">
      <c r="A1792" s="396">
        <v>10579</v>
      </c>
      <c r="B1792" s="401" t="s">
        <v>10533</v>
      </c>
      <c r="C1792" s="396" t="s">
        <v>2021</v>
      </c>
      <c r="D1792" s="405">
        <f t="shared" si="54"/>
        <v>30.72</v>
      </c>
      <c r="F1792" s="679">
        <v>30.72</v>
      </c>
      <c r="G1792" s="679">
        <v>30.72</v>
      </c>
      <c r="H1792" t="b">
        <f t="shared" si="55"/>
        <v>1</v>
      </c>
    </row>
    <row r="1793" spans="1:8">
      <c r="A1793" s="395">
        <v>10582</v>
      </c>
      <c r="B1793" s="406" t="s">
        <v>10534</v>
      </c>
      <c r="C1793" s="395" t="s">
        <v>2021</v>
      </c>
      <c r="D1793" s="407">
        <f t="shared" si="54"/>
        <v>15.52</v>
      </c>
      <c r="F1793" s="680">
        <v>15.52</v>
      </c>
      <c r="G1793" s="680">
        <v>15.52</v>
      </c>
      <c r="H1793" t="b">
        <f t="shared" si="55"/>
        <v>1</v>
      </c>
    </row>
    <row r="1794" spans="1:8">
      <c r="A1794" s="396">
        <v>2436</v>
      </c>
      <c r="B1794" s="401" t="s">
        <v>10535</v>
      </c>
      <c r="C1794" s="396" t="s">
        <v>2020</v>
      </c>
      <c r="D1794" s="405">
        <f t="shared" si="54"/>
        <v>16.850000000000001</v>
      </c>
      <c r="F1794" s="679">
        <v>16.850000000000001</v>
      </c>
      <c r="G1794" s="679">
        <v>19.38</v>
      </c>
      <c r="H1794" t="b">
        <f t="shared" si="55"/>
        <v>0</v>
      </c>
    </row>
    <row r="1795" spans="1:8">
      <c r="A1795" s="395">
        <v>40918</v>
      </c>
      <c r="B1795" s="406" t="s">
        <v>10536</v>
      </c>
      <c r="C1795" s="395" t="s">
        <v>2027</v>
      </c>
      <c r="D1795" s="407">
        <f t="shared" ref="D1795:D1858" si="56">IF($J$2=$F$1,F1795,G1795)</f>
        <v>2969.8</v>
      </c>
      <c r="F1795" s="680">
        <v>2969.8</v>
      </c>
      <c r="G1795" s="680">
        <v>3421.03</v>
      </c>
      <c r="H1795" t="b">
        <f t="shared" ref="H1795:H1858" si="57">F1795=G1795</f>
        <v>0</v>
      </c>
    </row>
    <row r="1796" spans="1:8">
      <c r="A1796" s="396">
        <v>2439</v>
      </c>
      <c r="B1796" s="401" t="s">
        <v>10537</v>
      </c>
      <c r="C1796" s="396" t="s">
        <v>2020</v>
      </c>
      <c r="D1796" s="405">
        <f t="shared" si="56"/>
        <v>16.850000000000001</v>
      </c>
      <c r="F1796" s="679">
        <v>16.850000000000001</v>
      </c>
      <c r="G1796" s="679">
        <v>19.38</v>
      </c>
      <c r="H1796" t="b">
        <f t="shared" si="57"/>
        <v>0</v>
      </c>
    </row>
    <row r="1797" spans="1:8">
      <c r="A1797" s="395">
        <v>40923</v>
      </c>
      <c r="B1797" s="406" t="s">
        <v>10538</v>
      </c>
      <c r="C1797" s="395" t="s">
        <v>2027</v>
      </c>
      <c r="D1797" s="407">
        <f t="shared" si="56"/>
        <v>2969.8</v>
      </c>
      <c r="F1797" s="680">
        <v>2969.8</v>
      </c>
      <c r="G1797" s="680">
        <v>3421.03</v>
      </c>
      <c r="H1797" t="b">
        <f t="shared" si="57"/>
        <v>0</v>
      </c>
    </row>
    <row r="1798" spans="1:8">
      <c r="A1798" s="396">
        <v>10998</v>
      </c>
      <c r="B1798" s="401" t="s">
        <v>10539</v>
      </c>
      <c r="C1798" s="396" t="s">
        <v>2025</v>
      </c>
      <c r="D1798" s="405">
        <f t="shared" si="56"/>
        <v>30.18</v>
      </c>
      <c r="F1798" s="679">
        <v>30.18</v>
      </c>
      <c r="G1798" s="679">
        <v>30.18</v>
      </c>
      <c r="H1798" t="b">
        <f t="shared" si="57"/>
        <v>1</v>
      </c>
    </row>
    <row r="1799" spans="1:8">
      <c r="A1799" s="395">
        <v>11002</v>
      </c>
      <c r="B1799" s="406" t="s">
        <v>10540</v>
      </c>
      <c r="C1799" s="395" t="s">
        <v>2025</v>
      </c>
      <c r="D1799" s="407">
        <f t="shared" si="56"/>
        <v>27.64</v>
      </c>
      <c r="F1799" s="680">
        <v>27.64</v>
      </c>
      <c r="G1799" s="680">
        <v>27.64</v>
      </c>
      <c r="H1799" t="b">
        <f t="shared" si="57"/>
        <v>1</v>
      </c>
    </row>
    <row r="1800" spans="1:8">
      <c r="A1800" s="396">
        <v>10999</v>
      </c>
      <c r="B1800" s="401" t="s">
        <v>10541</v>
      </c>
      <c r="C1800" s="396" t="s">
        <v>2025</v>
      </c>
      <c r="D1800" s="405">
        <f t="shared" si="56"/>
        <v>26.56</v>
      </c>
      <c r="F1800" s="679">
        <v>26.56</v>
      </c>
      <c r="G1800" s="679">
        <v>26.56</v>
      </c>
      <c r="H1800" t="b">
        <f t="shared" si="57"/>
        <v>1</v>
      </c>
    </row>
    <row r="1801" spans="1:8">
      <c r="A1801" s="395">
        <v>10997</v>
      </c>
      <c r="B1801" s="406" t="s">
        <v>10542</v>
      </c>
      <c r="C1801" s="395" t="s">
        <v>2025</v>
      </c>
      <c r="D1801" s="407">
        <f t="shared" si="56"/>
        <v>28.79</v>
      </c>
      <c r="F1801" s="680">
        <v>28.79</v>
      </c>
      <c r="G1801" s="680">
        <v>28.79</v>
      </c>
      <c r="H1801" t="b">
        <f t="shared" si="57"/>
        <v>1</v>
      </c>
    </row>
    <row r="1802" spans="1:8">
      <c r="A1802" s="396">
        <v>2685</v>
      </c>
      <c r="B1802" s="401" t="s">
        <v>10543</v>
      </c>
      <c r="C1802" s="396" t="s">
        <v>2024</v>
      </c>
      <c r="D1802" s="405">
        <f t="shared" si="56"/>
        <v>8.4</v>
      </c>
      <c r="F1802" s="679">
        <v>8.4</v>
      </c>
      <c r="G1802" s="679">
        <v>8.4</v>
      </c>
      <c r="H1802" t="b">
        <f t="shared" si="57"/>
        <v>1</v>
      </c>
    </row>
    <row r="1803" spans="1:8">
      <c r="A1803" s="395">
        <v>2680</v>
      </c>
      <c r="B1803" s="406" t="s">
        <v>10544</v>
      </c>
      <c r="C1803" s="395" t="s">
        <v>2024</v>
      </c>
      <c r="D1803" s="407">
        <f t="shared" si="56"/>
        <v>12.3</v>
      </c>
      <c r="F1803" s="680">
        <v>12.3</v>
      </c>
      <c r="G1803" s="680">
        <v>12.3</v>
      </c>
      <c r="H1803" t="b">
        <f t="shared" si="57"/>
        <v>1</v>
      </c>
    </row>
    <row r="1804" spans="1:8">
      <c r="A1804" s="396">
        <v>2684</v>
      </c>
      <c r="B1804" s="401" t="s">
        <v>10545</v>
      </c>
      <c r="C1804" s="396" t="s">
        <v>2024</v>
      </c>
      <c r="D1804" s="405">
        <f t="shared" si="56"/>
        <v>11.19</v>
      </c>
      <c r="F1804" s="679">
        <v>11.19</v>
      </c>
      <c r="G1804" s="679">
        <v>11.19</v>
      </c>
      <c r="H1804" t="b">
        <f t="shared" si="57"/>
        <v>1</v>
      </c>
    </row>
    <row r="1805" spans="1:8">
      <c r="A1805" s="395">
        <v>2673</v>
      </c>
      <c r="B1805" s="406" t="s">
        <v>10546</v>
      </c>
      <c r="C1805" s="395" t="s">
        <v>2024</v>
      </c>
      <c r="D1805" s="407">
        <f t="shared" si="56"/>
        <v>4.32</v>
      </c>
      <c r="F1805" s="680">
        <v>4.32</v>
      </c>
      <c r="G1805" s="680">
        <v>4.32</v>
      </c>
      <c r="H1805" t="b">
        <f t="shared" si="57"/>
        <v>1</v>
      </c>
    </row>
    <row r="1806" spans="1:8">
      <c r="A1806" s="396">
        <v>2681</v>
      </c>
      <c r="B1806" s="401" t="s">
        <v>10547</v>
      </c>
      <c r="C1806" s="396" t="s">
        <v>2024</v>
      </c>
      <c r="D1806" s="405">
        <f t="shared" si="56"/>
        <v>20.100000000000001</v>
      </c>
      <c r="F1806" s="679">
        <v>20.100000000000001</v>
      </c>
      <c r="G1806" s="679">
        <v>20.100000000000001</v>
      </c>
      <c r="H1806" t="b">
        <f t="shared" si="57"/>
        <v>1</v>
      </c>
    </row>
    <row r="1807" spans="1:8">
      <c r="A1807" s="395">
        <v>2682</v>
      </c>
      <c r="B1807" s="406" t="s">
        <v>10548</v>
      </c>
      <c r="C1807" s="395" t="s">
        <v>2024</v>
      </c>
      <c r="D1807" s="407">
        <f t="shared" si="56"/>
        <v>29.33</v>
      </c>
      <c r="F1807" s="680">
        <v>29.33</v>
      </c>
      <c r="G1807" s="680">
        <v>29.33</v>
      </c>
      <c r="H1807" t="b">
        <f t="shared" si="57"/>
        <v>1</v>
      </c>
    </row>
    <row r="1808" spans="1:8">
      <c r="A1808" s="396">
        <v>2686</v>
      </c>
      <c r="B1808" s="401" t="s">
        <v>10549</v>
      </c>
      <c r="C1808" s="396" t="s">
        <v>2024</v>
      </c>
      <c r="D1808" s="405">
        <f t="shared" si="56"/>
        <v>36.78</v>
      </c>
      <c r="F1808" s="679">
        <v>36.78</v>
      </c>
      <c r="G1808" s="679">
        <v>36.78</v>
      </c>
      <c r="H1808" t="b">
        <f t="shared" si="57"/>
        <v>1</v>
      </c>
    </row>
    <row r="1809" spans="1:8">
      <c r="A1809" s="395">
        <v>2674</v>
      </c>
      <c r="B1809" s="406" t="s">
        <v>10550</v>
      </c>
      <c r="C1809" s="395" t="s">
        <v>2024</v>
      </c>
      <c r="D1809" s="407">
        <f t="shared" si="56"/>
        <v>5.38</v>
      </c>
      <c r="F1809" s="680">
        <v>5.38</v>
      </c>
      <c r="G1809" s="680">
        <v>5.38</v>
      </c>
      <c r="H1809" t="b">
        <f t="shared" si="57"/>
        <v>1</v>
      </c>
    </row>
    <row r="1810" spans="1:8">
      <c r="A1810" s="396">
        <v>2683</v>
      </c>
      <c r="B1810" s="401" t="s">
        <v>10551</v>
      </c>
      <c r="C1810" s="396" t="s">
        <v>2024</v>
      </c>
      <c r="D1810" s="405">
        <f t="shared" si="56"/>
        <v>57.95</v>
      </c>
      <c r="F1810" s="679">
        <v>57.95</v>
      </c>
      <c r="G1810" s="679">
        <v>57.95</v>
      </c>
      <c r="H1810" t="b">
        <f t="shared" si="57"/>
        <v>1</v>
      </c>
    </row>
    <row r="1811" spans="1:8">
      <c r="A1811" s="395">
        <v>2676</v>
      </c>
      <c r="B1811" s="406" t="s">
        <v>10552</v>
      </c>
      <c r="C1811" s="395" t="s">
        <v>2024</v>
      </c>
      <c r="D1811" s="407">
        <f t="shared" si="56"/>
        <v>2.5099999999999998</v>
      </c>
      <c r="F1811" s="680">
        <v>2.5099999999999998</v>
      </c>
      <c r="G1811" s="680">
        <v>2.5099999999999998</v>
      </c>
      <c r="H1811" t="b">
        <f t="shared" si="57"/>
        <v>1</v>
      </c>
    </row>
    <row r="1812" spans="1:8">
      <c r="A1812" s="396">
        <v>2678</v>
      </c>
      <c r="B1812" s="401" t="s">
        <v>10553</v>
      </c>
      <c r="C1812" s="396" t="s">
        <v>2024</v>
      </c>
      <c r="D1812" s="405">
        <f t="shared" si="56"/>
        <v>3.14</v>
      </c>
      <c r="F1812" s="679">
        <v>3.14</v>
      </c>
      <c r="G1812" s="679">
        <v>3.14</v>
      </c>
      <c r="H1812" t="b">
        <f t="shared" si="57"/>
        <v>1</v>
      </c>
    </row>
    <row r="1813" spans="1:8">
      <c r="A1813" s="395">
        <v>2679</v>
      </c>
      <c r="B1813" s="406" t="s">
        <v>10554</v>
      </c>
      <c r="C1813" s="395" t="s">
        <v>2024</v>
      </c>
      <c r="D1813" s="407">
        <f t="shared" si="56"/>
        <v>4.8499999999999996</v>
      </c>
      <c r="F1813" s="680">
        <v>4.8499999999999996</v>
      </c>
      <c r="G1813" s="680">
        <v>4.8499999999999996</v>
      </c>
      <c r="H1813" t="b">
        <f t="shared" si="57"/>
        <v>1</v>
      </c>
    </row>
    <row r="1814" spans="1:8">
      <c r="A1814" s="396">
        <v>12070</v>
      </c>
      <c r="B1814" s="401" t="s">
        <v>10555</v>
      </c>
      <c r="C1814" s="396" t="s">
        <v>2024</v>
      </c>
      <c r="D1814" s="405">
        <f t="shared" si="56"/>
        <v>6.75</v>
      </c>
      <c r="F1814" s="679">
        <v>6.75</v>
      </c>
      <c r="G1814" s="679">
        <v>6.75</v>
      </c>
      <c r="H1814" t="b">
        <f t="shared" si="57"/>
        <v>1</v>
      </c>
    </row>
    <row r="1815" spans="1:8">
      <c r="A1815" s="395">
        <v>2675</v>
      </c>
      <c r="B1815" s="406" t="s">
        <v>10556</v>
      </c>
      <c r="C1815" s="395" t="s">
        <v>2024</v>
      </c>
      <c r="D1815" s="407">
        <f t="shared" si="56"/>
        <v>8.77</v>
      </c>
      <c r="F1815" s="680">
        <v>8.77</v>
      </c>
      <c r="G1815" s="680">
        <v>8.77</v>
      </c>
      <c r="H1815" t="b">
        <f t="shared" si="57"/>
        <v>1</v>
      </c>
    </row>
    <row r="1816" spans="1:8">
      <c r="A1816" s="396">
        <v>12067</v>
      </c>
      <c r="B1816" s="401" t="s">
        <v>10557</v>
      </c>
      <c r="C1816" s="396" t="s">
        <v>2024</v>
      </c>
      <c r="D1816" s="405">
        <f t="shared" si="56"/>
        <v>11.9</v>
      </c>
      <c r="F1816" s="679">
        <v>11.9</v>
      </c>
      <c r="G1816" s="679">
        <v>11.9</v>
      </c>
      <c r="H1816" t="b">
        <f t="shared" si="57"/>
        <v>1</v>
      </c>
    </row>
    <row r="1817" spans="1:8">
      <c r="A1817" s="395">
        <v>21136</v>
      </c>
      <c r="B1817" s="406" t="s">
        <v>10558</v>
      </c>
      <c r="C1817" s="395" t="s">
        <v>2024</v>
      </c>
      <c r="D1817" s="407">
        <f t="shared" si="56"/>
        <v>14.86</v>
      </c>
      <c r="F1817" s="680">
        <v>14.86</v>
      </c>
      <c r="G1817" s="680">
        <v>14.86</v>
      </c>
      <c r="H1817" t="b">
        <f t="shared" si="57"/>
        <v>1</v>
      </c>
    </row>
    <row r="1818" spans="1:8">
      <c r="A1818" s="396">
        <v>21128</v>
      </c>
      <c r="B1818" s="401" t="s">
        <v>10559</v>
      </c>
      <c r="C1818" s="396" t="s">
        <v>2024</v>
      </c>
      <c r="D1818" s="405">
        <f t="shared" si="56"/>
        <v>11.5</v>
      </c>
      <c r="F1818" s="679">
        <v>11.5</v>
      </c>
      <c r="G1818" s="679">
        <v>11.5</v>
      </c>
      <c r="H1818" t="b">
        <f t="shared" si="57"/>
        <v>1</v>
      </c>
    </row>
    <row r="1819" spans="1:8">
      <c r="A1819" s="395">
        <v>21130</v>
      </c>
      <c r="B1819" s="406" t="s">
        <v>10560</v>
      </c>
      <c r="C1819" s="395" t="s">
        <v>2024</v>
      </c>
      <c r="D1819" s="407">
        <f t="shared" si="56"/>
        <v>29.04</v>
      </c>
      <c r="F1819" s="680">
        <v>29.04</v>
      </c>
      <c r="G1819" s="680">
        <v>29.04</v>
      </c>
      <c r="H1819" t="b">
        <f t="shared" si="57"/>
        <v>1</v>
      </c>
    </row>
    <row r="1820" spans="1:8">
      <c r="A1820" s="396">
        <v>21135</v>
      </c>
      <c r="B1820" s="401" t="s">
        <v>10561</v>
      </c>
      <c r="C1820" s="396" t="s">
        <v>2024</v>
      </c>
      <c r="D1820" s="405">
        <f t="shared" si="56"/>
        <v>28.59</v>
      </c>
      <c r="F1820" s="679">
        <v>28.59</v>
      </c>
      <c r="G1820" s="679">
        <v>28.59</v>
      </c>
      <c r="H1820" t="b">
        <f t="shared" si="57"/>
        <v>1</v>
      </c>
    </row>
    <row r="1821" spans="1:8">
      <c r="A1821" s="395">
        <v>40401</v>
      </c>
      <c r="B1821" s="406" t="s">
        <v>10562</v>
      </c>
      <c r="C1821" s="395" t="s">
        <v>2024</v>
      </c>
      <c r="D1821" s="407">
        <f t="shared" si="56"/>
        <v>3.01</v>
      </c>
      <c r="F1821" s="680">
        <v>3.01</v>
      </c>
      <c r="G1821" s="680">
        <v>3.01</v>
      </c>
      <c r="H1821" t="b">
        <f t="shared" si="57"/>
        <v>1</v>
      </c>
    </row>
    <row r="1822" spans="1:8">
      <c r="A1822" s="396">
        <v>40402</v>
      </c>
      <c r="B1822" s="401" t="s">
        <v>10563</v>
      </c>
      <c r="C1822" s="396" t="s">
        <v>2024</v>
      </c>
      <c r="D1822" s="405">
        <f t="shared" si="56"/>
        <v>3.86</v>
      </c>
      <c r="F1822" s="679">
        <v>3.86</v>
      </c>
      <c r="G1822" s="679">
        <v>3.86</v>
      </c>
      <c r="H1822" t="b">
        <f t="shared" si="57"/>
        <v>1</v>
      </c>
    </row>
    <row r="1823" spans="1:8">
      <c r="A1823" s="395">
        <v>40400</v>
      </c>
      <c r="B1823" s="406" t="s">
        <v>10564</v>
      </c>
      <c r="C1823" s="395" t="s">
        <v>2024</v>
      </c>
      <c r="D1823" s="407">
        <f t="shared" si="56"/>
        <v>2.04</v>
      </c>
      <c r="F1823" s="680">
        <v>2.04</v>
      </c>
      <c r="G1823" s="680">
        <v>2.04</v>
      </c>
      <c r="H1823" t="b">
        <f t="shared" si="57"/>
        <v>1</v>
      </c>
    </row>
    <row r="1824" spans="1:8" ht="30">
      <c r="A1824" s="396">
        <v>2504</v>
      </c>
      <c r="B1824" s="401" t="s">
        <v>10565</v>
      </c>
      <c r="C1824" s="396" t="s">
        <v>2024</v>
      </c>
      <c r="D1824" s="405">
        <f t="shared" si="56"/>
        <v>12.76</v>
      </c>
      <c r="F1824" s="679">
        <v>12.76</v>
      </c>
      <c r="G1824" s="679">
        <v>12.76</v>
      </c>
      <c r="H1824" t="b">
        <f t="shared" si="57"/>
        <v>1</v>
      </c>
    </row>
    <row r="1825" spans="1:8" ht="30">
      <c r="A1825" s="395">
        <v>2501</v>
      </c>
      <c r="B1825" s="406" t="s">
        <v>10566</v>
      </c>
      <c r="C1825" s="395" t="s">
        <v>2024</v>
      </c>
      <c r="D1825" s="407">
        <f t="shared" si="56"/>
        <v>16.73</v>
      </c>
      <c r="F1825" s="680">
        <v>16.73</v>
      </c>
      <c r="G1825" s="680">
        <v>16.73</v>
      </c>
      <c r="H1825" t="b">
        <f t="shared" si="57"/>
        <v>1</v>
      </c>
    </row>
    <row r="1826" spans="1:8" ht="30">
      <c r="A1826" s="396">
        <v>2502</v>
      </c>
      <c r="B1826" s="401" t="s">
        <v>10567</v>
      </c>
      <c r="C1826" s="396" t="s">
        <v>2024</v>
      </c>
      <c r="D1826" s="405">
        <f t="shared" si="56"/>
        <v>25.25</v>
      </c>
      <c r="F1826" s="679">
        <v>25.25</v>
      </c>
      <c r="G1826" s="679">
        <v>25.25</v>
      </c>
      <c r="H1826" t="b">
        <f t="shared" si="57"/>
        <v>1</v>
      </c>
    </row>
    <row r="1827" spans="1:8" ht="30">
      <c r="A1827" s="395">
        <v>2503</v>
      </c>
      <c r="B1827" s="406" t="s">
        <v>10568</v>
      </c>
      <c r="C1827" s="395" t="s">
        <v>2024</v>
      </c>
      <c r="D1827" s="407">
        <f t="shared" si="56"/>
        <v>32.49</v>
      </c>
      <c r="F1827" s="680">
        <v>32.49</v>
      </c>
      <c r="G1827" s="680">
        <v>32.49</v>
      </c>
      <c r="H1827" t="b">
        <f t="shared" si="57"/>
        <v>1</v>
      </c>
    </row>
    <row r="1828" spans="1:8" ht="30">
      <c r="A1828" s="396">
        <v>2500</v>
      </c>
      <c r="B1828" s="401" t="s">
        <v>10569</v>
      </c>
      <c r="C1828" s="396" t="s">
        <v>2024</v>
      </c>
      <c r="D1828" s="405">
        <f t="shared" si="56"/>
        <v>43.28</v>
      </c>
      <c r="F1828" s="679">
        <v>43.28</v>
      </c>
      <c r="G1828" s="679">
        <v>43.28</v>
      </c>
      <c r="H1828" t="b">
        <f t="shared" si="57"/>
        <v>1</v>
      </c>
    </row>
    <row r="1829" spans="1:8" ht="30">
      <c r="A1829" s="395">
        <v>2505</v>
      </c>
      <c r="B1829" s="406" t="s">
        <v>10570</v>
      </c>
      <c r="C1829" s="395" t="s">
        <v>2024</v>
      </c>
      <c r="D1829" s="407">
        <f t="shared" si="56"/>
        <v>67.459999999999994</v>
      </c>
      <c r="F1829" s="680">
        <v>67.459999999999994</v>
      </c>
      <c r="G1829" s="680">
        <v>67.459999999999994</v>
      </c>
      <c r="H1829" t="b">
        <f t="shared" si="57"/>
        <v>1</v>
      </c>
    </row>
    <row r="1830" spans="1:8">
      <c r="A1830" s="396">
        <v>12056</v>
      </c>
      <c r="B1830" s="401" t="s">
        <v>10571</v>
      </c>
      <c r="C1830" s="396" t="s">
        <v>2024</v>
      </c>
      <c r="D1830" s="405">
        <f t="shared" si="56"/>
        <v>27.26</v>
      </c>
      <c r="F1830" s="679">
        <v>27.26</v>
      </c>
      <c r="G1830" s="679">
        <v>27.26</v>
      </c>
      <c r="H1830" t="b">
        <f t="shared" si="57"/>
        <v>1</v>
      </c>
    </row>
    <row r="1831" spans="1:8">
      <c r="A1831" s="395">
        <v>12057</v>
      </c>
      <c r="B1831" s="406" t="s">
        <v>10572</v>
      </c>
      <c r="C1831" s="395" t="s">
        <v>2024</v>
      </c>
      <c r="D1831" s="407">
        <f t="shared" si="56"/>
        <v>23.15</v>
      </c>
      <c r="F1831" s="680">
        <v>23.15</v>
      </c>
      <c r="G1831" s="680">
        <v>23.15</v>
      </c>
      <c r="H1831" t="b">
        <f t="shared" si="57"/>
        <v>1</v>
      </c>
    </row>
    <row r="1832" spans="1:8">
      <c r="A1832" s="396">
        <v>12059</v>
      </c>
      <c r="B1832" s="401" t="s">
        <v>10573</v>
      </c>
      <c r="C1832" s="396" t="s">
        <v>2024</v>
      </c>
      <c r="D1832" s="405">
        <f t="shared" si="56"/>
        <v>8.1199999999999992</v>
      </c>
      <c r="F1832" s="679">
        <v>8.1199999999999992</v>
      </c>
      <c r="G1832" s="679">
        <v>8.1199999999999992</v>
      </c>
      <c r="H1832" t="b">
        <f t="shared" si="57"/>
        <v>1</v>
      </c>
    </row>
    <row r="1833" spans="1:8">
      <c r="A1833" s="395">
        <v>12058</v>
      </c>
      <c r="B1833" s="406" t="s">
        <v>10574</v>
      </c>
      <c r="C1833" s="395" t="s">
        <v>2024</v>
      </c>
      <c r="D1833" s="407">
        <f t="shared" si="56"/>
        <v>14.43</v>
      </c>
      <c r="F1833" s="680">
        <v>14.43</v>
      </c>
      <c r="G1833" s="680">
        <v>14.43</v>
      </c>
      <c r="H1833" t="b">
        <f t="shared" si="57"/>
        <v>1</v>
      </c>
    </row>
    <row r="1834" spans="1:8">
      <c r="A1834" s="396">
        <v>12060</v>
      </c>
      <c r="B1834" s="401" t="s">
        <v>10575</v>
      </c>
      <c r="C1834" s="396" t="s">
        <v>2024</v>
      </c>
      <c r="D1834" s="405">
        <f t="shared" si="56"/>
        <v>60.15</v>
      </c>
      <c r="F1834" s="679">
        <v>60.15</v>
      </c>
      <c r="G1834" s="679">
        <v>60.15</v>
      </c>
      <c r="H1834" t="b">
        <f t="shared" si="57"/>
        <v>1</v>
      </c>
    </row>
    <row r="1835" spans="1:8">
      <c r="A1835" s="395">
        <v>12061</v>
      </c>
      <c r="B1835" s="406" t="s">
        <v>10576</v>
      </c>
      <c r="C1835" s="395" t="s">
        <v>2024</v>
      </c>
      <c r="D1835" s="407">
        <f t="shared" si="56"/>
        <v>36.729999999999997</v>
      </c>
      <c r="F1835" s="680">
        <v>36.729999999999997</v>
      </c>
      <c r="G1835" s="680">
        <v>36.729999999999997</v>
      </c>
      <c r="H1835" t="b">
        <f t="shared" si="57"/>
        <v>1</v>
      </c>
    </row>
    <row r="1836" spans="1:8">
      <c r="A1836" s="396">
        <v>12062</v>
      </c>
      <c r="B1836" s="401" t="s">
        <v>10577</v>
      </c>
      <c r="C1836" s="396" t="s">
        <v>2024</v>
      </c>
      <c r="D1836" s="405">
        <f t="shared" si="56"/>
        <v>67.73</v>
      </c>
      <c r="F1836" s="679">
        <v>67.73</v>
      </c>
      <c r="G1836" s="679">
        <v>67.73</v>
      </c>
      <c r="H1836" t="b">
        <f t="shared" si="57"/>
        <v>1</v>
      </c>
    </row>
    <row r="1837" spans="1:8">
      <c r="A1837" s="395">
        <v>21137</v>
      </c>
      <c r="B1837" s="406" t="s">
        <v>10578</v>
      </c>
      <c r="C1837" s="395" t="s">
        <v>2024</v>
      </c>
      <c r="D1837" s="407">
        <f t="shared" si="56"/>
        <v>11.77</v>
      </c>
      <c r="F1837" s="680">
        <v>11.77</v>
      </c>
      <c r="G1837" s="680">
        <v>11.77</v>
      </c>
      <c r="H1837" t="b">
        <f t="shared" si="57"/>
        <v>1</v>
      </c>
    </row>
    <row r="1838" spans="1:8">
      <c r="A1838" s="396">
        <v>2687</v>
      </c>
      <c r="B1838" s="401" t="s">
        <v>10579</v>
      </c>
      <c r="C1838" s="396" t="s">
        <v>2024</v>
      </c>
      <c r="D1838" s="405">
        <f t="shared" si="56"/>
        <v>2.19</v>
      </c>
      <c r="F1838" s="679">
        <v>2.19</v>
      </c>
      <c r="G1838" s="679">
        <v>2.19</v>
      </c>
      <c r="H1838" t="b">
        <f t="shared" si="57"/>
        <v>1</v>
      </c>
    </row>
    <row r="1839" spans="1:8">
      <c r="A1839" s="395">
        <v>2689</v>
      </c>
      <c r="B1839" s="406" t="s">
        <v>10580</v>
      </c>
      <c r="C1839" s="395" t="s">
        <v>2024</v>
      </c>
      <c r="D1839" s="407">
        <f t="shared" si="56"/>
        <v>2.61</v>
      </c>
      <c r="F1839" s="680">
        <v>2.61</v>
      </c>
      <c r="G1839" s="680">
        <v>2.61</v>
      </c>
      <c r="H1839" t="b">
        <f t="shared" si="57"/>
        <v>1</v>
      </c>
    </row>
    <row r="1840" spans="1:8">
      <c r="A1840" s="396">
        <v>2688</v>
      </c>
      <c r="B1840" s="401" t="s">
        <v>10581</v>
      </c>
      <c r="C1840" s="396" t="s">
        <v>2024</v>
      </c>
      <c r="D1840" s="405">
        <f t="shared" si="56"/>
        <v>2.83</v>
      </c>
      <c r="F1840" s="679">
        <v>2.83</v>
      </c>
      <c r="G1840" s="679">
        <v>2.83</v>
      </c>
      <c r="H1840" t="b">
        <f t="shared" si="57"/>
        <v>1</v>
      </c>
    </row>
    <row r="1841" spans="1:8">
      <c r="A1841" s="395">
        <v>2690</v>
      </c>
      <c r="B1841" s="406" t="s">
        <v>10582</v>
      </c>
      <c r="C1841" s="395" t="s">
        <v>2024</v>
      </c>
      <c r="D1841" s="407">
        <f t="shared" si="56"/>
        <v>4.84</v>
      </c>
      <c r="F1841" s="680">
        <v>4.84</v>
      </c>
      <c r="G1841" s="680">
        <v>4.84</v>
      </c>
      <c r="H1841" t="b">
        <f t="shared" si="57"/>
        <v>1</v>
      </c>
    </row>
    <row r="1842" spans="1:8">
      <c r="A1842" s="396">
        <v>39243</v>
      </c>
      <c r="B1842" s="401" t="s">
        <v>10583</v>
      </c>
      <c r="C1842" s="396" t="s">
        <v>2024</v>
      </c>
      <c r="D1842" s="405">
        <f t="shared" si="56"/>
        <v>3.19</v>
      </c>
      <c r="F1842" s="679">
        <v>3.19</v>
      </c>
      <c r="G1842" s="679">
        <v>3.19</v>
      </c>
      <c r="H1842" t="b">
        <f t="shared" si="57"/>
        <v>1</v>
      </c>
    </row>
    <row r="1843" spans="1:8">
      <c r="A1843" s="395">
        <v>39244</v>
      </c>
      <c r="B1843" s="406" t="s">
        <v>10584</v>
      </c>
      <c r="C1843" s="395" t="s">
        <v>2024</v>
      </c>
      <c r="D1843" s="407">
        <f t="shared" si="56"/>
        <v>4.3099999999999996</v>
      </c>
      <c r="F1843" s="680">
        <v>4.3099999999999996</v>
      </c>
      <c r="G1843" s="680">
        <v>4.3099999999999996</v>
      </c>
      <c r="H1843" t="b">
        <f t="shared" si="57"/>
        <v>1</v>
      </c>
    </row>
    <row r="1844" spans="1:8">
      <c r="A1844" s="396">
        <v>39245</v>
      </c>
      <c r="B1844" s="401" t="s">
        <v>10585</v>
      </c>
      <c r="C1844" s="396" t="s">
        <v>2024</v>
      </c>
      <c r="D1844" s="405">
        <f t="shared" si="56"/>
        <v>8.2899999999999991</v>
      </c>
      <c r="F1844" s="679">
        <v>8.2899999999999991</v>
      </c>
      <c r="G1844" s="679">
        <v>8.2899999999999991</v>
      </c>
      <c r="H1844" t="b">
        <f t="shared" si="57"/>
        <v>1</v>
      </c>
    </row>
    <row r="1845" spans="1:8">
      <c r="A1845" s="395">
        <v>39254</v>
      </c>
      <c r="B1845" s="406" t="s">
        <v>10586</v>
      </c>
      <c r="C1845" s="395" t="s">
        <v>2024</v>
      </c>
      <c r="D1845" s="407">
        <f t="shared" si="56"/>
        <v>12.41</v>
      </c>
      <c r="F1845" s="680">
        <v>12.41</v>
      </c>
      <c r="G1845" s="680">
        <v>12.41</v>
      </c>
      <c r="H1845" t="b">
        <f t="shared" si="57"/>
        <v>1</v>
      </c>
    </row>
    <row r="1846" spans="1:8">
      <c r="A1846" s="396">
        <v>39255</v>
      </c>
      <c r="B1846" s="401" t="s">
        <v>10587</v>
      </c>
      <c r="C1846" s="396" t="s">
        <v>2024</v>
      </c>
      <c r="D1846" s="405">
        <f t="shared" si="56"/>
        <v>22.96</v>
      </c>
      <c r="F1846" s="679">
        <v>22.96</v>
      </c>
      <c r="G1846" s="679">
        <v>22.96</v>
      </c>
      <c r="H1846" t="b">
        <f t="shared" si="57"/>
        <v>1</v>
      </c>
    </row>
    <row r="1847" spans="1:8">
      <c r="A1847" s="395">
        <v>39253</v>
      </c>
      <c r="B1847" s="406" t="s">
        <v>10588</v>
      </c>
      <c r="C1847" s="395" t="s">
        <v>2024</v>
      </c>
      <c r="D1847" s="407">
        <f t="shared" si="56"/>
        <v>15.81</v>
      </c>
      <c r="F1847" s="680">
        <v>15.81</v>
      </c>
      <c r="G1847" s="680">
        <v>15.81</v>
      </c>
      <c r="H1847" t="b">
        <f t="shared" si="57"/>
        <v>1</v>
      </c>
    </row>
    <row r="1848" spans="1:8" ht="30">
      <c r="A1848" s="396">
        <v>39246</v>
      </c>
      <c r="B1848" s="401" t="s">
        <v>10589</v>
      </c>
      <c r="C1848" s="396" t="s">
        <v>2024</v>
      </c>
      <c r="D1848" s="405">
        <f t="shared" si="56"/>
        <v>5.22</v>
      </c>
      <c r="F1848" s="679">
        <v>5.22</v>
      </c>
      <c r="G1848" s="679">
        <v>5.22</v>
      </c>
      <c r="H1848" t="b">
        <f t="shared" si="57"/>
        <v>1</v>
      </c>
    </row>
    <row r="1849" spans="1:8" ht="30">
      <c r="A1849" s="395">
        <v>39247</v>
      </c>
      <c r="B1849" s="406" t="s">
        <v>10590</v>
      </c>
      <c r="C1849" s="395" t="s">
        <v>2024</v>
      </c>
      <c r="D1849" s="407">
        <f t="shared" si="56"/>
        <v>4.55</v>
      </c>
      <c r="F1849" s="680">
        <v>4.55</v>
      </c>
      <c r="G1849" s="680">
        <v>4.55</v>
      </c>
      <c r="H1849" t="b">
        <f t="shared" si="57"/>
        <v>1</v>
      </c>
    </row>
    <row r="1850" spans="1:8" ht="30">
      <c r="A1850" s="396">
        <v>2446</v>
      </c>
      <c r="B1850" s="401" t="s">
        <v>10591</v>
      </c>
      <c r="C1850" s="396" t="s">
        <v>2024</v>
      </c>
      <c r="D1850" s="405">
        <f t="shared" si="56"/>
        <v>7.5</v>
      </c>
      <c r="F1850" s="679">
        <v>7.5</v>
      </c>
      <c r="G1850" s="679">
        <v>7.5</v>
      </c>
      <c r="H1850" t="b">
        <f t="shared" si="57"/>
        <v>1</v>
      </c>
    </row>
    <row r="1851" spans="1:8" ht="30">
      <c r="A1851" s="395">
        <v>2442</v>
      </c>
      <c r="B1851" s="406" t="s">
        <v>10592</v>
      </c>
      <c r="C1851" s="395" t="s">
        <v>2024</v>
      </c>
      <c r="D1851" s="407">
        <f t="shared" si="56"/>
        <v>10.51</v>
      </c>
      <c r="F1851" s="680">
        <v>10.51</v>
      </c>
      <c r="G1851" s="680">
        <v>10.51</v>
      </c>
      <c r="H1851" t="b">
        <f t="shared" si="57"/>
        <v>1</v>
      </c>
    </row>
    <row r="1852" spans="1:8" ht="30">
      <c r="A1852" s="396">
        <v>39248</v>
      </c>
      <c r="B1852" s="401" t="s">
        <v>10593</v>
      </c>
      <c r="C1852" s="396" t="s">
        <v>2024</v>
      </c>
      <c r="D1852" s="405">
        <f t="shared" si="56"/>
        <v>14.64</v>
      </c>
      <c r="F1852" s="679">
        <v>14.64</v>
      </c>
      <c r="G1852" s="679">
        <v>14.64</v>
      </c>
      <c r="H1852" t="b">
        <f t="shared" si="57"/>
        <v>1</v>
      </c>
    </row>
    <row r="1853" spans="1:8">
      <c r="A1853" s="395">
        <v>2438</v>
      </c>
      <c r="B1853" s="406" t="s">
        <v>10594</v>
      </c>
      <c r="C1853" s="395" t="s">
        <v>2020</v>
      </c>
      <c r="D1853" s="407">
        <f t="shared" si="56"/>
        <v>21.86</v>
      </c>
      <c r="F1853" s="680">
        <v>21.86</v>
      </c>
      <c r="G1853" s="680">
        <v>25.15</v>
      </c>
      <c r="H1853" t="b">
        <f t="shared" si="57"/>
        <v>0</v>
      </c>
    </row>
    <row r="1854" spans="1:8">
      <c r="A1854" s="396">
        <v>40922</v>
      </c>
      <c r="B1854" s="401" t="s">
        <v>10595</v>
      </c>
      <c r="C1854" s="396" t="s">
        <v>2027</v>
      </c>
      <c r="D1854" s="405">
        <f t="shared" si="56"/>
        <v>3855.35</v>
      </c>
      <c r="F1854" s="679">
        <v>3855.35</v>
      </c>
      <c r="G1854" s="679">
        <v>4441.13</v>
      </c>
      <c r="H1854" t="b">
        <f t="shared" si="57"/>
        <v>0</v>
      </c>
    </row>
    <row r="1855" spans="1:8" ht="30">
      <c r="A1855" s="395">
        <v>36486</v>
      </c>
      <c r="B1855" s="406" t="s">
        <v>10596</v>
      </c>
      <c r="C1855" s="395" t="s">
        <v>2021</v>
      </c>
      <c r="D1855" s="407">
        <f t="shared" si="56"/>
        <v>70127.199999999997</v>
      </c>
      <c r="F1855" s="680">
        <v>70127.199999999997</v>
      </c>
      <c r="G1855" s="680">
        <v>70127.199999999997</v>
      </c>
      <c r="H1855" t="b">
        <f t="shared" si="57"/>
        <v>1</v>
      </c>
    </row>
    <row r="1856" spans="1:8" ht="30">
      <c r="A1856" s="396">
        <v>37777</v>
      </c>
      <c r="B1856" s="401" t="s">
        <v>10597</v>
      </c>
      <c r="C1856" s="396" t="s">
        <v>2021</v>
      </c>
      <c r="D1856" s="405">
        <f t="shared" si="56"/>
        <v>330157.49</v>
      </c>
      <c r="F1856" s="679">
        <v>330157.49</v>
      </c>
      <c r="G1856" s="679">
        <v>330157.49</v>
      </c>
      <c r="H1856" t="b">
        <f t="shared" si="57"/>
        <v>1</v>
      </c>
    </row>
    <row r="1857" spans="1:8">
      <c r="A1857" s="395">
        <v>12624</v>
      </c>
      <c r="B1857" s="406" t="s">
        <v>10598</v>
      </c>
      <c r="C1857" s="395" t="s">
        <v>2021</v>
      </c>
      <c r="D1857" s="407">
        <f t="shared" si="56"/>
        <v>39.409999999999997</v>
      </c>
      <c r="F1857" s="680">
        <v>39.409999999999997</v>
      </c>
      <c r="G1857" s="680">
        <v>39.409999999999997</v>
      </c>
      <c r="H1857" t="b">
        <f t="shared" si="57"/>
        <v>1</v>
      </c>
    </row>
    <row r="1858" spans="1:8">
      <c r="A1858" s="396">
        <v>517</v>
      </c>
      <c r="B1858" s="401" t="s">
        <v>10599</v>
      </c>
      <c r="C1858" s="396" t="s">
        <v>2026</v>
      </c>
      <c r="D1858" s="405">
        <f t="shared" si="56"/>
        <v>12.25</v>
      </c>
      <c r="F1858" s="679">
        <v>12.25</v>
      </c>
      <c r="G1858" s="679">
        <v>12.25</v>
      </c>
      <c r="H1858" t="b">
        <f t="shared" si="57"/>
        <v>1</v>
      </c>
    </row>
    <row r="1859" spans="1:8">
      <c r="A1859" s="395">
        <v>37534</v>
      </c>
      <c r="B1859" s="406" t="s">
        <v>10600</v>
      </c>
      <c r="C1859" s="395" t="s">
        <v>2025</v>
      </c>
      <c r="D1859" s="407">
        <f t="shared" ref="D1859:D1922" si="58">IF($J$2=$F$1,F1859,G1859)</f>
        <v>22.3</v>
      </c>
      <c r="F1859" s="680">
        <v>22.3</v>
      </c>
      <c r="G1859" s="680">
        <v>22.3</v>
      </c>
      <c r="H1859" t="b">
        <f t="shared" ref="H1859:H1922" si="59">F1859=G1859</f>
        <v>1</v>
      </c>
    </row>
    <row r="1860" spans="1:8">
      <c r="A1860" s="396">
        <v>37535</v>
      </c>
      <c r="B1860" s="401" t="s">
        <v>10601</v>
      </c>
      <c r="C1860" s="396" t="s">
        <v>2025</v>
      </c>
      <c r="D1860" s="405">
        <f t="shared" si="58"/>
        <v>22.3</v>
      </c>
      <c r="F1860" s="679">
        <v>22.3</v>
      </c>
      <c r="G1860" s="679">
        <v>22.3</v>
      </c>
      <c r="H1860" t="b">
        <f t="shared" si="59"/>
        <v>1</v>
      </c>
    </row>
    <row r="1861" spans="1:8">
      <c r="A1861" s="395">
        <v>37533</v>
      </c>
      <c r="B1861" s="406" t="s">
        <v>10602</v>
      </c>
      <c r="C1861" s="395" t="s">
        <v>2025</v>
      </c>
      <c r="D1861" s="407">
        <f t="shared" si="58"/>
        <v>22.3</v>
      </c>
      <c r="F1861" s="680">
        <v>22.3</v>
      </c>
      <c r="G1861" s="680">
        <v>22.3</v>
      </c>
      <c r="H1861" t="b">
        <f t="shared" si="59"/>
        <v>1</v>
      </c>
    </row>
    <row r="1862" spans="1:8">
      <c r="A1862" s="396">
        <v>37537</v>
      </c>
      <c r="B1862" s="401" t="s">
        <v>10603</v>
      </c>
      <c r="C1862" s="396" t="s">
        <v>2025</v>
      </c>
      <c r="D1862" s="405">
        <f t="shared" si="58"/>
        <v>16.88</v>
      </c>
      <c r="F1862" s="679">
        <v>16.88</v>
      </c>
      <c r="G1862" s="679">
        <v>16.88</v>
      </c>
      <c r="H1862" t="b">
        <f t="shared" si="59"/>
        <v>1</v>
      </c>
    </row>
    <row r="1863" spans="1:8">
      <c r="A1863" s="395">
        <v>37536</v>
      </c>
      <c r="B1863" s="406" t="s">
        <v>10604</v>
      </c>
      <c r="C1863" s="395" t="s">
        <v>2025</v>
      </c>
      <c r="D1863" s="407">
        <f t="shared" si="58"/>
        <v>16.88</v>
      </c>
      <c r="F1863" s="680">
        <v>16.88</v>
      </c>
      <c r="G1863" s="680">
        <v>16.88</v>
      </c>
      <c r="H1863" t="b">
        <f t="shared" si="59"/>
        <v>1</v>
      </c>
    </row>
    <row r="1864" spans="1:8">
      <c r="A1864" s="396">
        <v>37532</v>
      </c>
      <c r="B1864" s="401" t="s">
        <v>10605</v>
      </c>
      <c r="C1864" s="396" t="s">
        <v>2025</v>
      </c>
      <c r="D1864" s="405">
        <f t="shared" si="58"/>
        <v>16.88</v>
      </c>
      <c r="F1864" s="679">
        <v>16.88</v>
      </c>
      <c r="G1864" s="679">
        <v>16.88</v>
      </c>
      <c r="H1864" t="b">
        <f t="shared" si="59"/>
        <v>1</v>
      </c>
    </row>
    <row r="1865" spans="1:8">
      <c r="A1865" s="395">
        <v>2696</v>
      </c>
      <c r="B1865" s="406" t="s">
        <v>10606</v>
      </c>
      <c r="C1865" s="395" t="s">
        <v>2020</v>
      </c>
      <c r="D1865" s="407">
        <f t="shared" si="58"/>
        <v>16.850000000000001</v>
      </c>
      <c r="F1865" s="680">
        <v>16.850000000000001</v>
      </c>
      <c r="G1865" s="680">
        <v>19.38</v>
      </c>
      <c r="H1865" t="b">
        <f t="shared" si="59"/>
        <v>0</v>
      </c>
    </row>
    <row r="1866" spans="1:8">
      <c r="A1866" s="396">
        <v>40928</v>
      </c>
      <c r="B1866" s="401" t="s">
        <v>10607</v>
      </c>
      <c r="C1866" s="396" t="s">
        <v>2027</v>
      </c>
      <c r="D1866" s="405">
        <f t="shared" si="58"/>
        <v>2969.8</v>
      </c>
      <c r="F1866" s="679">
        <v>2969.8</v>
      </c>
      <c r="G1866" s="679">
        <v>3421.03</v>
      </c>
      <c r="H1866" t="b">
        <f t="shared" si="59"/>
        <v>0</v>
      </c>
    </row>
    <row r="1867" spans="1:8">
      <c r="A1867" s="395">
        <v>4083</v>
      </c>
      <c r="B1867" s="406" t="s">
        <v>10608</v>
      </c>
      <c r="C1867" s="395" t="s">
        <v>2020</v>
      </c>
      <c r="D1867" s="407">
        <f t="shared" si="58"/>
        <v>21.79</v>
      </c>
      <c r="F1867" s="680">
        <v>21.79</v>
      </c>
      <c r="G1867" s="680">
        <v>25.07</v>
      </c>
      <c r="H1867" t="b">
        <f t="shared" si="59"/>
        <v>0</v>
      </c>
    </row>
    <row r="1868" spans="1:8">
      <c r="A1868" s="396">
        <v>40818</v>
      </c>
      <c r="B1868" s="401" t="s">
        <v>10609</v>
      </c>
      <c r="C1868" s="396" t="s">
        <v>2027</v>
      </c>
      <c r="D1868" s="405">
        <f t="shared" si="58"/>
        <v>3841.02</v>
      </c>
      <c r="F1868" s="679">
        <v>3841.02</v>
      </c>
      <c r="G1868" s="679">
        <v>4424.63</v>
      </c>
      <c r="H1868" t="b">
        <f t="shared" si="59"/>
        <v>0</v>
      </c>
    </row>
    <row r="1869" spans="1:8">
      <c r="A1869" s="395">
        <v>43146</v>
      </c>
      <c r="B1869" s="406" t="s">
        <v>10610</v>
      </c>
      <c r="C1869" s="395" t="s">
        <v>2025</v>
      </c>
      <c r="D1869" s="407">
        <f t="shared" si="58"/>
        <v>10.32</v>
      </c>
      <c r="F1869" s="680">
        <v>10.32</v>
      </c>
      <c r="G1869" s="680">
        <v>10.32</v>
      </c>
      <c r="H1869" t="b">
        <f t="shared" si="59"/>
        <v>1</v>
      </c>
    </row>
    <row r="1870" spans="1:8">
      <c r="A1870" s="396">
        <v>2705</v>
      </c>
      <c r="B1870" s="401" t="s">
        <v>10611</v>
      </c>
      <c r="C1870" s="396" t="s">
        <v>6472</v>
      </c>
      <c r="D1870" s="405">
        <f t="shared" si="58"/>
        <v>1.05</v>
      </c>
      <c r="F1870" s="679">
        <v>1.05</v>
      </c>
      <c r="G1870" s="679">
        <v>1.05</v>
      </c>
      <c r="H1870" t="b">
        <f t="shared" si="59"/>
        <v>1</v>
      </c>
    </row>
    <row r="1871" spans="1:8">
      <c r="A1871" s="395">
        <v>14250</v>
      </c>
      <c r="B1871" s="406" t="s">
        <v>10612</v>
      </c>
      <c r="C1871" s="395" t="s">
        <v>6472</v>
      </c>
      <c r="D1871" s="407">
        <f t="shared" si="58"/>
        <v>1.07</v>
      </c>
      <c r="F1871" s="680">
        <v>1.07</v>
      </c>
      <c r="G1871" s="680">
        <v>1.07</v>
      </c>
      <c r="H1871" t="b">
        <f t="shared" si="59"/>
        <v>1</v>
      </c>
    </row>
    <row r="1872" spans="1:8">
      <c r="A1872" s="396">
        <v>11683</v>
      </c>
      <c r="B1872" s="401" t="s">
        <v>10613</v>
      </c>
      <c r="C1872" s="396" t="s">
        <v>2021</v>
      </c>
      <c r="D1872" s="405">
        <f t="shared" si="58"/>
        <v>46.38</v>
      </c>
      <c r="F1872" s="679">
        <v>46.38</v>
      </c>
      <c r="G1872" s="679">
        <v>46.38</v>
      </c>
      <c r="H1872" t="b">
        <f t="shared" si="59"/>
        <v>1</v>
      </c>
    </row>
    <row r="1873" spans="1:8">
      <c r="A1873" s="395">
        <v>11684</v>
      </c>
      <c r="B1873" s="406" t="s">
        <v>10614</v>
      </c>
      <c r="C1873" s="395" t="s">
        <v>2021</v>
      </c>
      <c r="D1873" s="407">
        <f t="shared" si="58"/>
        <v>50.76</v>
      </c>
      <c r="F1873" s="680">
        <v>50.76</v>
      </c>
      <c r="G1873" s="680">
        <v>50.76</v>
      </c>
      <c r="H1873" t="b">
        <f t="shared" si="59"/>
        <v>1</v>
      </c>
    </row>
    <row r="1874" spans="1:8">
      <c r="A1874" s="396">
        <v>6141</v>
      </c>
      <c r="B1874" s="401" t="s">
        <v>10615</v>
      </c>
      <c r="C1874" s="396" t="s">
        <v>2021</v>
      </c>
      <c r="D1874" s="405">
        <f t="shared" si="58"/>
        <v>7.41</v>
      </c>
      <c r="F1874" s="679">
        <v>7.41</v>
      </c>
      <c r="G1874" s="679">
        <v>7.41</v>
      </c>
      <c r="H1874" t="b">
        <f t="shared" si="59"/>
        <v>1</v>
      </c>
    </row>
    <row r="1875" spans="1:8">
      <c r="A1875" s="395">
        <v>11681</v>
      </c>
      <c r="B1875" s="406" t="s">
        <v>10616</v>
      </c>
      <c r="C1875" s="395" t="s">
        <v>2021</v>
      </c>
      <c r="D1875" s="407">
        <f t="shared" si="58"/>
        <v>9.35</v>
      </c>
      <c r="F1875" s="680">
        <v>9.35</v>
      </c>
      <c r="G1875" s="680">
        <v>9.35</v>
      </c>
      <c r="H1875" t="b">
        <f t="shared" si="59"/>
        <v>1</v>
      </c>
    </row>
    <row r="1876" spans="1:8">
      <c r="A1876" s="396">
        <v>2706</v>
      </c>
      <c r="B1876" s="401" t="s">
        <v>10617</v>
      </c>
      <c r="C1876" s="396" t="s">
        <v>2020</v>
      </c>
      <c r="D1876" s="405">
        <f t="shared" si="58"/>
        <v>90.76</v>
      </c>
      <c r="F1876" s="679">
        <v>90.76</v>
      </c>
      <c r="G1876" s="679">
        <v>104.43</v>
      </c>
      <c r="H1876" t="b">
        <f t="shared" si="59"/>
        <v>0</v>
      </c>
    </row>
    <row r="1877" spans="1:8">
      <c r="A1877" s="395">
        <v>40811</v>
      </c>
      <c r="B1877" s="406" t="s">
        <v>10618</v>
      </c>
      <c r="C1877" s="395" t="s">
        <v>2027</v>
      </c>
      <c r="D1877" s="407">
        <f t="shared" si="58"/>
        <v>15996.86</v>
      </c>
      <c r="F1877" s="680">
        <v>15996.86</v>
      </c>
      <c r="G1877" s="680">
        <v>18427.439999999999</v>
      </c>
      <c r="H1877" t="b">
        <f t="shared" si="59"/>
        <v>0</v>
      </c>
    </row>
    <row r="1878" spans="1:8">
      <c r="A1878" s="396">
        <v>2707</v>
      </c>
      <c r="B1878" s="401" t="s">
        <v>10619</v>
      </c>
      <c r="C1878" s="396" t="s">
        <v>2020</v>
      </c>
      <c r="D1878" s="405">
        <f t="shared" si="58"/>
        <v>103.3</v>
      </c>
      <c r="F1878" s="679">
        <v>103.3</v>
      </c>
      <c r="G1878" s="679">
        <v>118.86</v>
      </c>
      <c r="H1878" t="b">
        <f t="shared" si="59"/>
        <v>0</v>
      </c>
    </row>
    <row r="1879" spans="1:8">
      <c r="A1879" s="395">
        <v>40813</v>
      </c>
      <c r="B1879" s="406" t="s">
        <v>10620</v>
      </c>
      <c r="C1879" s="395" t="s">
        <v>2027</v>
      </c>
      <c r="D1879" s="407">
        <f t="shared" si="58"/>
        <v>18207.73</v>
      </c>
      <c r="F1879" s="680">
        <v>18207.73</v>
      </c>
      <c r="G1879" s="680">
        <v>20974.22</v>
      </c>
      <c r="H1879" t="b">
        <f t="shared" si="59"/>
        <v>0</v>
      </c>
    </row>
    <row r="1880" spans="1:8">
      <c r="A1880" s="396">
        <v>2708</v>
      </c>
      <c r="B1880" s="401" t="s">
        <v>10621</v>
      </c>
      <c r="C1880" s="396" t="s">
        <v>2020</v>
      </c>
      <c r="D1880" s="405">
        <f t="shared" si="58"/>
        <v>141.21</v>
      </c>
      <c r="F1880" s="679">
        <v>141.21</v>
      </c>
      <c r="G1880" s="679">
        <v>162.47</v>
      </c>
      <c r="H1880" t="b">
        <f t="shared" si="59"/>
        <v>0</v>
      </c>
    </row>
    <row r="1881" spans="1:8">
      <c r="A1881" s="395">
        <v>40814</v>
      </c>
      <c r="B1881" s="406" t="s">
        <v>10622</v>
      </c>
      <c r="C1881" s="395" t="s">
        <v>2027</v>
      </c>
      <c r="D1881" s="407">
        <f t="shared" si="58"/>
        <v>24889.46</v>
      </c>
      <c r="F1881" s="680">
        <v>24889.46</v>
      </c>
      <c r="G1881" s="680">
        <v>28671.19</v>
      </c>
      <c r="H1881" t="b">
        <f t="shared" si="59"/>
        <v>0</v>
      </c>
    </row>
    <row r="1882" spans="1:8">
      <c r="A1882" s="396">
        <v>34779</v>
      </c>
      <c r="B1882" s="401" t="s">
        <v>10623</v>
      </c>
      <c r="C1882" s="396" t="s">
        <v>2020</v>
      </c>
      <c r="D1882" s="405">
        <f t="shared" si="58"/>
        <v>92.08</v>
      </c>
      <c r="F1882" s="679">
        <v>92.08</v>
      </c>
      <c r="G1882" s="679">
        <v>105.94</v>
      </c>
      <c r="H1882" t="b">
        <f t="shared" si="59"/>
        <v>0</v>
      </c>
    </row>
    <row r="1883" spans="1:8">
      <c r="A1883" s="395">
        <v>40936</v>
      </c>
      <c r="B1883" s="406" t="s">
        <v>10624</v>
      </c>
      <c r="C1883" s="395" t="s">
        <v>2027</v>
      </c>
      <c r="D1883" s="407">
        <f t="shared" si="58"/>
        <v>16230.22</v>
      </c>
      <c r="F1883" s="680">
        <v>16230.22</v>
      </c>
      <c r="G1883" s="680">
        <v>18696.259999999998</v>
      </c>
      <c r="H1883" t="b">
        <f t="shared" si="59"/>
        <v>0</v>
      </c>
    </row>
    <row r="1884" spans="1:8">
      <c r="A1884" s="396">
        <v>34780</v>
      </c>
      <c r="B1884" s="401" t="s">
        <v>10625</v>
      </c>
      <c r="C1884" s="396" t="s">
        <v>2020</v>
      </c>
      <c r="D1884" s="405">
        <f t="shared" si="58"/>
        <v>103.88</v>
      </c>
      <c r="F1884" s="679">
        <v>103.88</v>
      </c>
      <c r="G1884" s="679">
        <v>119.52</v>
      </c>
      <c r="H1884" t="b">
        <f t="shared" si="59"/>
        <v>0</v>
      </c>
    </row>
    <row r="1885" spans="1:8">
      <c r="A1885" s="395">
        <v>40937</v>
      </c>
      <c r="B1885" s="406" t="s">
        <v>10626</v>
      </c>
      <c r="C1885" s="395" t="s">
        <v>2027</v>
      </c>
      <c r="D1885" s="407">
        <f t="shared" si="58"/>
        <v>18310.91</v>
      </c>
      <c r="F1885" s="680">
        <v>18310.91</v>
      </c>
      <c r="G1885" s="680">
        <v>21093.08</v>
      </c>
      <c r="H1885" t="b">
        <f t="shared" si="59"/>
        <v>0</v>
      </c>
    </row>
    <row r="1886" spans="1:8">
      <c r="A1886" s="396">
        <v>34782</v>
      </c>
      <c r="B1886" s="401" t="s">
        <v>10627</v>
      </c>
      <c r="C1886" s="396" t="s">
        <v>2020</v>
      </c>
      <c r="D1886" s="405">
        <f t="shared" si="58"/>
        <v>142.36000000000001</v>
      </c>
      <c r="F1886" s="679">
        <v>142.36000000000001</v>
      </c>
      <c r="G1886" s="679">
        <v>163.80000000000001</v>
      </c>
      <c r="H1886" t="b">
        <f t="shared" si="59"/>
        <v>0</v>
      </c>
    </row>
    <row r="1887" spans="1:8">
      <c r="A1887" s="395">
        <v>40938</v>
      </c>
      <c r="B1887" s="406" t="s">
        <v>10628</v>
      </c>
      <c r="C1887" s="395" t="s">
        <v>2027</v>
      </c>
      <c r="D1887" s="407">
        <f t="shared" si="58"/>
        <v>25093.35</v>
      </c>
      <c r="F1887" s="680">
        <v>25093.35</v>
      </c>
      <c r="G1887" s="680">
        <v>28906.06</v>
      </c>
      <c r="H1887" t="b">
        <f t="shared" si="59"/>
        <v>0</v>
      </c>
    </row>
    <row r="1888" spans="1:8">
      <c r="A1888" s="396">
        <v>34783</v>
      </c>
      <c r="B1888" s="401" t="s">
        <v>10629</v>
      </c>
      <c r="C1888" s="396" t="s">
        <v>2020</v>
      </c>
      <c r="D1888" s="405">
        <f t="shared" si="58"/>
        <v>86.56</v>
      </c>
      <c r="F1888" s="679">
        <v>86.56</v>
      </c>
      <c r="G1888" s="679">
        <v>99.59</v>
      </c>
      <c r="H1888" t="b">
        <f t="shared" si="59"/>
        <v>0</v>
      </c>
    </row>
    <row r="1889" spans="1:8">
      <c r="A1889" s="395">
        <v>40939</v>
      </c>
      <c r="B1889" s="406" t="s">
        <v>10630</v>
      </c>
      <c r="C1889" s="395" t="s">
        <v>2027</v>
      </c>
      <c r="D1889" s="407">
        <f t="shared" si="58"/>
        <v>15258.42</v>
      </c>
      <c r="F1889" s="680">
        <v>15258.42</v>
      </c>
      <c r="G1889" s="680">
        <v>17576.79</v>
      </c>
      <c r="H1889" t="b">
        <f t="shared" si="59"/>
        <v>0</v>
      </c>
    </row>
    <row r="1890" spans="1:8">
      <c r="A1890" s="396">
        <v>34785</v>
      </c>
      <c r="B1890" s="401" t="s">
        <v>10631</v>
      </c>
      <c r="C1890" s="396" t="s">
        <v>2020</v>
      </c>
      <c r="D1890" s="405">
        <f t="shared" si="58"/>
        <v>85.71</v>
      </c>
      <c r="F1890" s="679">
        <v>85.71</v>
      </c>
      <c r="G1890" s="679">
        <v>98.62</v>
      </c>
      <c r="H1890" t="b">
        <f t="shared" si="59"/>
        <v>0</v>
      </c>
    </row>
    <row r="1891" spans="1:8">
      <c r="A1891" s="395">
        <v>40940</v>
      </c>
      <c r="B1891" s="406" t="s">
        <v>10632</v>
      </c>
      <c r="C1891" s="395" t="s">
        <v>2027</v>
      </c>
      <c r="D1891" s="407">
        <f t="shared" si="58"/>
        <v>15108.14</v>
      </c>
      <c r="F1891" s="680">
        <v>15108.14</v>
      </c>
      <c r="G1891" s="680">
        <v>17403.68</v>
      </c>
      <c r="H1891" t="b">
        <f t="shared" si="59"/>
        <v>0</v>
      </c>
    </row>
    <row r="1892" spans="1:8">
      <c r="A1892" s="396">
        <v>38403</v>
      </c>
      <c r="B1892" s="401" t="s">
        <v>10633</v>
      </c>
      <c r="C1892" s="396" t="s">
        <v>2021</v>
      </c>
      <c r="D1892" s="405">
        <f t="shared" si="58"/>
        <v>60.82</v>
      </c>
      <c r="F1892" s="679">
        <v>60.82</v>
      </c>
      <c r="G1892" s="679">
        <v>60.82</v>
      </c>
      <c r="H1892" t="b">
        <f t="shared" si="59"/>
        <v>1</v>
      </c>
    </row>
    <row r="1893" spans="1:8">
      <c r="A1893" s="395">
        <v>43482</v>
      </c>
      <c r="B1893" s="406" t="s">
        <v>10634</v>
      </c>
      <c r="C1893" s="395" t="s">
        <v>2020</v>
      </c>
      <c r="D1893" s="407">
        <f t="shared" si="58"/>
        <v>0.75</v>
      </c>
      <c r="F1893" s="680">
        <v>0.75</v>
      </c>
      <c r="G1893" s="680">
        <v>0.75</v>
      </c>
      <c r="H1893" t="b">
        <f t="shared" si="59"/>
        <v>1</v>
      </c>
    </row>
    <row r="1894" spans="1:8">
      <c r="A1894" s="396">
        <v>43494</v>
      </c>
      <c r="B1894" s="401" t="s">
        <v>10635</v>
      </c>
      <c r="C1894" s="396" t="s">
        <v>2027</v>
      </c>
      <c r="D1894" s="405">
        <f t="shared" si="58"/>
        <v>140.69</v>
      </c>
      <c r="F1894" s="679">
        <v>140.69</v>
      </c>
      <c r="G1894" s="679">
        <v>140.69</v>
      </c>
      <c r="H1894" t="b">
        <f t="shared" si="59"/>
        <v>1</v>
      </c>
    </row>
    <row r="1895" spans="1:8">
      <c r="A1895" s="395">
        <v>43483</v>
      </c>
      <c r="B1895" s="406" t="s">
        <v>10636</v>
      </c>
      <c r="C1895" s="395" t="s">
        <v>2020</v>
      </c>
      <c r="D1895" s="407">
        <f t="shared" si="58"/>
        <v>1.34</v>
      </c>
      <c r="F1895" s="680">
        <v>1.34</v>
      </c>
      <c r="G1895" s="680">
        <v>1.34</v>
      </c>
      <c r="H1895" t="b">
        <f t="shared" si="59"/>
        <v>1</v>
      </c>
    </row>
    <row r="1896" spans="1:8">
      <c r="A1896" s="396">
        <v>43495</v>
      </c>
      <c r="B1896" s="401" t="s">
        <v>10637</v>
      </c>
      <c r="C1896" s="396" t="s">
        <v>2027</v>
      </c>
      <c r="D1896" s="405">
        <f t="shared" si="58"/>
        <v>253.46</v>
      </c>
      <c r="F1896" s="679">
        <v>253.46</v>
      </c>
      <c r="G1896" s="679">
        <v>253.46</v>
      </c>
      <c r="H1896" t="b">
        <f t="shared" si="59"/>
        <v>1</v>
      </c>
    </row>
    <row r="1897" spans="1:8">
      <c r="A1897" s="395">
        <v>43484</v>
      </c>
      <c r="B1897" s="406" t="s">
        <v>10638</v>
      </c>
      <c r="C1897" s="395" t="s">
        <v>2020</v>
      </c>
      <c r="D1897" s="407">
        <f t="shared" si="58"/>
        <v>1.1399999999999999</v>
      </c>
      <c r="F1897" s="680">
        <v>1.1399999999999999</v>
      </c>
      <c r="G1897" s="680">
        <v>1.1399999999999999</v>
      </c>
      <c r="H1897" t="b">
        <f t="shared" si="59"/>
        <v>1</v>
      </c>
    </row>
    <row r="1898" spans="1:8">
      <c r="A1898" s="396">
        <v>43496</v>
      </c>
      <c r="B1898" s="401" t="s">
        <v>10639</v>
      </c>
      <c r="C1898" s="396" t="s">
        <v>2027</v>
      </c>
      <c r="D1898" s="405">
        <f t="shared" si="58"/>
        <v>214.4</v>
      </c>
      <c r="F1898" s="679">
        <v>214.4</v>
      </c>
      <c r="G1898" s="679">
        <v>214.4</v>
      </c>
      <c r="H1898" t="b">
        <f t="shared" si="59"/>
        <v>1</v>
      </c>
    </row>
    <row r="1899" spans="1:8">
      <c r="A1899" s="395">
        <v>43485</v>
      </c>
      <c r="B1899" s="406" t="s">
        <v>10640</v>
      </c>
      <c r="C1899" s="395" t="s">
        <v>2020</v>
      </c>
      <c r="D1899" s="407">
        <f t="shared" si="58"/>
        <v>1.01</v>
      </c>
      <c r="F1899" s="680">
        <v>1.01</v>
      </c>
      <c r="G1899" s="680">
        <v>1.01</v>
      </c>
      <c r="H1899" t="b">
        <f t="shared" si="59"/>
        <v>1</v>
      </c>
    </row>
    <row r="1900" spans="1:8">
      <c r="A1900" s="396">
        <v>43497</v>
      </c>
      <c r="B1900" s="401" t="s">
        <v>10641</v>
      </c>
      <c r="C1900" s="396" t="s">
        <v>2027</v>
      </c>
      <c r="D1900" s="405">
        <f t="shared" si="58"/>
        <v>189.52</v>
      </c>
      <c r="F1900" s="679">
        <v>189.52</v>
      </c>
      <c r="G1900" s="679">
        <v>189.52</v>
      </c>
      <c r="H1900" t="b">
        <f t="shared" si="59"/>
        <v>1</v>
      </c>
    </row>
    <row r="1901" spans="1:8">
      <c r="A1901" s="395">
        <v>43487</v>
      </c>
      <c r="B1901" s="406" t="s">
        <v>10642</v>
      </c>
      <c r="C1901" s="395" t="s">
        <v>2020</v>
      </c>
      <c r="D1901" s="407">
        <f t="shared" si="58"/>
        <v>1.17</v>
      </c>
      <c r="F1901" s="680">
        <v>1.17</v>
      </c>
      <c r="G1901" s="680">
        <v>1.17</v>
      </c>
      <c r="H1901" t="b">
        <f t="shared" si="59"/>
        <v>1</v>
      </c>
    </row>
    <row r="1902" spans="1:8">
      <c r="A1902" s="396">
        <v>43499</v>
      </c>
      <c r="B1902" s="401" t="s">
        <v>10643</v>
      </c>
      <c r="C1902" s="396" t="s">
        <v>2027</v>
      </c>
      <c r="D1902" s="405">
        <f t="shared" si="58"/>
        <v>221.51</v>
      </c>
      <c r="F1902" s="679">
        <v>221.51</v>
      </c>
      <c r="G1902" s="679">
        <v>221.51</v>
      </c>
      <c r="H1902" t="b">
        <f t="shared" si="59"/>
        <v>1</v>
      </c>
    </row>
    <row r="1903" spans="1:8">
      <c r="A1903" s="395">
        <v>43486</v>
      </c>
      <c r="B1903" s="406" t="s">
        <v>10644</v>
      </c>
      <c r="C1903" s="395" t="s">
        <v>2020</v>
      </c>
      <c r="D1903" s="407">
        <f t="shared" si="58"/>
        <v>0.71</v>
      </c>
      <c r="F1903" s="680">
        <v>0.71</v>
      </c>
      <c r="G1903" s="680">
        <v>0.71</v>
      </c>
      <c r="H1903" t="b">
        <f t="shared" si="59"/>
        <v>1</v>
      </c>
    </row>
    <row r="1904" spans="1:8">
      <c r="A1904" s="396">
        <v>43498</v>
      </c>
      <c r="B1904" s="401" t="s">
        <v>10645</v>
      </c>
      <c r="C1904" s="396" t="s">
        <v>2027</v>
      </c>
      <c r="D1904" s="405">
        <f t="shared" si="58"/>
        <v>133.44999999999999</v>
      </c>
      <c r="F1904" s="679">
        <v>133.44999999999999</v>
      </c>
      <c r="G1904" s="679">
        <v>133.44999999999999</v>
      </c>
      <c r="H1904" t="b">
        <f t="shared" si="59"/>
        <v>1</v>
      </c>
    </row>
    <row r="1905" spans="1:8">
      <c r="A1905" s="395">
        <v>43488</v>
      </c>
      <c r="B1905" s="406" t="s">
        <v>10646</v>
      </c>
      <c r="C1905" s="395" t="s">
        <v>2020</v>
      </c>
      <c r="D1905" s="407">
        <f t="shared" si="58"/>
        <v>0.82</v>
      </c>
      <c r="F1905" s="680">
        <v>0.82</v>
      </c>
      <c r="G1905" s="680">
        <v>0.82</v>
      </c>
      <c r="H1905" t="b">
        <f t="shared" si="59"/>
        <v>1</v>
      </c>
    </row>
    <row r="1906" spans="1:8">
      <c r="A1906" s="396">
        <v>43500</v>
      </c>
      <c r="B1906" s="401" t="s">
        <v>10647</v>
      </c>
      <c r="C1906" s="396" t="s">
        <v>2027</v>
      </c>
      <c r="D1906" s="405">
        <f t="shared" si="58"/>
        <v>154.53</v>
      </c>
      <c r="F1906" s="679">
        <v>154.53</v>
      </c>
      <c r="G1906" s="679">
        <v>154.53</v>
      </c>
      <c r="H1906" t="b">
        <f t="shared" si="59"/>
        <v>1</v>
      </c>
    </row>
    <row r="1907" spans="1:8">
      <c r="A1907" s="395">
        <v>43489</v>
      </c>
      <c r="B1907" s="406" t="s">
        <v>10648</v>
      </c>
      <c r="C1907" s="395" t="s">
        <v>2020</v>
      </c>
      <c r="D1907" s="407">
        <f t="shared" si="58"/>
        <v>1.17</v>
      </c>
      <c r="F1907" s="680">
        <v>1.17</v>
      </c>
      <c r="G1907" s="680">
        <v>1.17</v>
      </c>
      <c r="H1907" t="b">
        <f t="shared" si="59"/>
        <v>1</v>
      </c>
    </row>
    <row r="1908" spans="1:8">
      <c r="A1908" s="396">
        <v>43501</v>
      </c>
      <c r="B1908" s="401" t="s">
        <v>10649</v>
      </c>
      <c r="C1908" s="396" t="s">
        <v>2027</v>
      </c>
      <c r="D1908" s="405">
        <f t="shared" si="58"/>
        <v>220.75</v>
      </c>
      <c r="F1908" s="679">
        <v>220.75</v>
      </c>
      <c r="G1908" s="679">
        <v>220.75</v>
      </c>
      <c r="H1908" t="b">
        <f t="shared" si="59"/>
        <v>1</v>
      </c>
    </row>
    <row r="1909" spans="1:8">
      <c r="A1909" s="395">
        <v>43490</v>
      </c>
      <c r="B1909" s="406" t="s">
        <v>10650</v>
      </c>
      <c r="C1909" s="395" t="s">
        <v>2020</v>
      </c>
      <c r="D1909" s="407">
        <f t="shared" si="58"/>
        <v>1.68</v>
      </c>
      <c r="F1909" s="680">
        <v>1.68</v>
      </c>
      <c r="G1909" s="680">
        <v>1.68</v>
      </c>
      <c r="H1909" t="b">
        <f t="shared" si="59"/>
        <v>1</v>
      </c>
    </row>
    <row r="1910" spans="1:8">
      <c r="A1910" s="396">
        <v>43502</v>
      </c>
      <c r="B1910" s="401" t="s">
        <v>10651</v>
      </c>
      <c r="C1910" s="396" t="s">
        <v>2027</v>
      </c>
      <c r="D1910" s="405">
        <f t="shared" si="58"/>
        <v>316.25</v>
      </c>
      <c r="F1910" s="679">
        <v>316.25</v>
      </c>
      <c r="G1910" s="679">
        <v>316.25</v>
      </c>
      <c r="H1910" t="b">
        <f t="shared" si="59"/>
        <v>1</v>
      </c>
    </row>
    <row r="1911" spans="1:8">
      <c r="A1911" s="395">
        <v>43491</v>
      </c>
      <c r="B1911" s="406" t="s">
        <v>10652</v>
      </c>
      <c r="C1911" s="395" t="s">
        <v>2020</v>
      </c>
      <c r="D1911" s="407">
        <f t="shared" si="58"/>
        <v>1.25</v>
      </c>
      <c r="F1911" s="680">
        <v>1.25</v>
      </c>
      <c r="G1911" s="680">
        <v>1.25</v>
      </c>
      <c r="H1911" t="b">
        <f t="shared" si="59"/>
        <v>1</v>
      </c>
    </row>
    <row r="1912" spans="1:8">
      <c r="A1912" s="396">
        <v>43503</v>
      </c>
      <c r="B1912" s="401" t="s">
        <v>10653</v>
      </c>
      <c r="C1912" s="396" t="s">
        <v>2027</v>
      </c>
      <c r="D1912" s="405">
        <f t="shared" si="58"/>
        <v>235.5</v>
      </c>
      <c r="F1912" s="679">
        <v>235.5</v>
      </c>
      <c r="G1912" s="679">
        <v>235.5</v>
      </c>
      <c r="H1912" t="b">
        <f t="shared" si="59"/>
        <v>1</v>
      </c>
    </row>
    <row r="1913" spans="1:8">
      <c r="A1913" s="395">
        <v>43492</v>
      </c>
      <c r="B1913" s="406" t="s">
        <v>10654</v>
      </c>
      <c r="C1913" s="395" t="s">
        <v>2020</v>
      </c>
      <c r="D1913" s="407">
        <f t="shared" si="58"/>
        <v>1.68</v>
      </c>
      <c r="F1913" s="680">
        <v>1.68</v>
      </c>
      <c r="G1913" s="680">
        <v>1.68</v>
      </c>
      <c r="H1913" t="b">
        <f t="shared" si="59"/>
        <v>1</v>
      </c>
    </row>
    <row r="1914" spans="1:8">
      <c r="A1914" s="396">
        <v>43504</v>
      </c>
      <c r="B1914" s="401" t="s">
        <v>10655</v>
      </c>
      <c r="C1914" s="396" t="s">
        <v>2027</v>
      </c>
      <c r="D1914" s="405">
        <f t="shared" si="58"/>
        <v>317.67</v>
      </c>
      <c r="F1914" s="679">
        <v>317.67</v>
      </c>
      <c r="G1914" s="679">
        <v>317.67</v>
      </c>
      <c r="H1914" t="b">
        <f t="shared" si="59"/>
        <v>1</v>
      </c>
    </row>
    <row r="1915" spans="1:8">
      <c r="A1915" s="395">
        <v>43493</v>
      </c>
      <c r="B1915" s="406" t="s">
        <v>10656</v>
      </c>
      <c r="C1915" s="395" t="s">
        <v>2020</v>
      </c>
      <c r="D1915" s="407">
        <f t="shared" si="58"/>
        <v>0.67</v>
      </c>
      <c r="F1915" s="680">
        <v>0.67</v>
      </c>
      <c r="G1915" s="680">
        <v>0.67</v>
      </c>
      <c r="H1915" t="b">
        <f t="shared" si="59"/>
        <v>1</v>
      </c>
    </row>
    <row r="1916" spans="1:8">
      <c r="A1916" s="396">
        <v>43505</v>
      </c>
      <c r="B1916" s="401" t="s">
        <v>10657</v>
      </c>
      <c r="C1916" s="396" t="s">
        <v>2027</v>
      </c>
      <c r="D1916" s="405">
        <f t="shared" si="58"/>
        <v>126.7</v>
      </c>
      <c r="F1916" s="679">
        <v>126.7</v>
      </c>
      <c r="G1916" s="679">
        <v>126.7</v>
      </c>
      <c r="H1916" t="b">
        <f t="shared" si="59"/>
        <v>1</v>
      </c>
    </row>
    <row r="1917" spans="1:8" ht="30">
      <c r="A1917" s="395">
        <v>37774</v>
      </c>
      <c r="B1917" s="406" t="s">
        <v>10658</v>
      </c>
      <c r="C1917" s="395" t="s">
        <v>2021</v>
      </c>
      <c r="D1917" s="407">
        <f t="shared" si="58"/>
        <v>450184.09</v>
      </c>
      <c r="F1917" s="680">
        <v>450184.09</v>
      </c>
      <c r="G1917" s="680">
        <v>450184.09</v>
      </c>
      <c r="H1917" t="b">
        <f t="shared" si="59"/>
        <v>1</v>
      </c>
    </row>
    <row r="1918" spans="1:8" ht="30">
      <c r="A1918" s="396">
        <v>38630</v>
      </c>
      <c r="B1918" s="401" t="s">
        <v>10659</v>
      </c>
      <c r="C1918" s="396" t="s">
        <v>2021</v>
      </c>
      <c r="D1918" s="405">
        <f t="shared" si="58"/>
        <v>1765429.68</v>
      </c>
      <c r="F1918" s="679">
        <v>1765429.68</v>
      </c>
      <c r="G1918" s="679">
        <v>1765429.68</v>
      </c>
      <c r="H1918" t="b">
        <f t="shared" si="59"/>
        <v>1</v>
      </c>
    </row>
    <row r="1919" spans="1:8" ht="45">
      <c r="A1919" s="395">
        <v>38629</v>
      </c>
      <c r="B1919" s="406" t="s">
        <v>10660</v>
      </c>
      <c r="C1919" s="395" t="s">
        <v>2021</v>
      </c>
      <c r="D1919" s="407">
        <f t="shared" si="58"/>
        <v>2627929.6800000002</v>
      </c>
      <c r="F1919" s="680">
        <v>2627929.6800000002</v>
      </c>
      <c r="G1919" s="680">
        <v>2627929.6800000002</v>
      </c>
      <c r="H1919" t="b">
        <f t="shared" si="59"/>
        <v>1</v>
      </c>
    </row>
    <row r="1920" spans="1:8">
      <c r="A1920" s="396">
        <v>38476</v>
      </c>
      <c r="B1920" s="401" t="s">
        <v>10661</v>
      </c>
      <c r="C1920" s="396" t="s">
        <v>2021</v>
      </c>
      <c r="D1920" s="405">
        <f t="shared" si="58"/>
        <v>457.08</v>
      </c>
      <c r="F1920" s="679">
        <v>457.08</v>
      </c>
      <c r="G1920" s="679">
        <v>457.08</v>
      </c>
      <c r="H1920" t="b">
        <f t="shared" si="59"/>
        <v>1</v>
      </c>
    </row>
    <row r="1921" spans="1:8">
      <c r="A1921" s="395">
        <v>38477</v>
      </c>
      <c r="B1921" s="406" t="s">
        <v>10662</v>
      </c>
      <c r="C1921" s="395" t="s">
        <v>2021</v>
      </c>
      <c r="D1921" s="407">
        <f t="shared" si="58"/>
        <v>1294.46</v>
      </c>
      <c r="F1921" s="680">
        <v>1294.46</v>
      </c>
      <c r="G1921" s="680">
        <v>1294.46</v>
      </c>
      <c r="H1921" t="b">
        <f t="shared" si="59"/>
        <v>1</v>
      </c>
    </row>
    <row r="1922" spans="1:8" ht="30">
      <c r="A1922" s="396">
        <v>40635</v>
      </c>
      <c r="B1922" s="401" t="s">
        <v>10663</v>
      </c>
      <c r="C1922" s="396" t="s">
        <v>2021</v>
      </c>
      <c r="D1922" s="405">
        <f t="shared" si="58"/>
        <v>989845.18</v>
      </c>
      <c r="F1922" s="679">
        <v>989845.18</v>
      </c>
      <c r="G1922" s="679">
        <v>989845.18</v>
      </c>
      <c r="H1922" t="b">
        <f t="shared" si="59"/>
        <v>1</v>
      </c>
    </row>
    <row r="1923" spans="1:8">
      <c r="A1923" s="395">
        <v>36483</v>
      </c>
      <c r="B1923" s="406" t="s">
        <v>10664</v>
      </c>
      <c r="C1923" s="395" t="s">
        <v>2021</v>
      </c>
      <c r="D1923" s="407">
        <f t="shared" ref="D1923:D1986" si="60">IF($J$2=$F$1,F1923,G1923)</f>
        <v>896958.29</v>
      </c>
      <c r="F1923" s="680">
        <v>896958.29</v>
      </c>
      <c r="G1923" s="680">
        <v>896958.29</v>
      </c>
      <c r="H1923" t="b">
        <f t="shared" ref="H1923:H1986" si="61">F1923=G1923</f>
        <v>1</v>
      </c>
    </row>
    <row r="1924" spans="1:8">
      <c r="A1924" s="396">
        <v>14525</v>
      </c>
      <c r="B1924" s="401" t="s">
        <v>10665</v>
      </c>
      <c r="C1924" s="396" t="s">
        <v>2021</v>
      </c>
      <c r="D1924" s="405">
        <f t="shared" si="60"/>
        <v>939168.09</v>
      </c>
      <c r="F1924" s="679">
        <v>939168.09</v>
      </c>
      <c r="G1924" s="679">
        <v>939168.09</v>
      </c>
      <c r="H1924" t="b">
        <f t="shared" si="61"/>
        <v>1</v>
      </c>
    </row>
    <row r="1925" spans="1:8">
      <c r="A1925" s="395">
        <v>36482</v>
      </c>
      <c r="B1925" s="406" t="s">
        <v>10666</v>
      </c>
      <c r="C1925" s="395" t="s">
        <v>2021</v>
      </c>
      <c r="D1925" s="407">
        <f t="shared" si="60"/>
        <v>805467.44</v>
      </c>
      <c r="F1925" s="680">
        <v>805467.44</v>
      </c>
      <c r="G1925" s="680">
        <v>805467.44</v>
      </c>
      <c r="H1925" t="b">
        <f t="shared" si="61"/>
        <v>1</v>
      </c>
    </row>
    <row r="1926" spans="1:8">
      <c r="A1926" s="396">
        <v>36408</v>
      </c>
      <c r="B1926" s="401" t="s">
        <v>10667</v>
      </c>
      <c r="C1926" s="396" t="s">
        <v>2021</v>
      </c>
      <c r="D1926" s="405">
        <f t="shared" si="60"/>
        <v>962383.48</v>
      </c>
      <c r="F1926" s="679">
        <v>962383.48</v>
      </c>
      <c r="G1926" s="679">
        <v>962383.48</v>
      </c>
      <c r="H1926" t="b">
        <f t="shared" si="61"/>
        <v>1</v>
      </c>
    </row>
    <row r="1927" spans="1:8">
      <c r="A1927" s="395">
        <v>2723</v>
      </c>
      <c r="B1927" s="406" t="s">
        <v>10668</v>
      </c>
      <c r="C1927" s="395" t="s">
        <v>2021</v>
      </c>
      <c r="D1927" s="407">
        <f t="shared" si="60"/>
        <v>738671.53</v>
      </c>
      <c r="F1927" s="680">
        <v>738671.53</v>
      </c>
      <c r="G1927" s="680">
        <v>738671.53</v>
      </c>
      <c r="H1927" t="b">
        <f t="shared" si="61"/>
        <v>1</v>
      </c>
    </row>
    <row r="1928" spans="1:8">
      <c r="A1928" s="396">
        <v>36481</v>
      </c>
      <c r="B1928" s="401" t="s">
        <v>10669</v>
      </c>
      <c r="C1928" s="396" t="s">
        <v>2021</v>
      </c>
      <c r="D1928" s="405">
        <f t="shared" si="60"/>
        <v>881129.61</v>
      </c>
      <c r="F1928" s="679">
        <v>881129.61</v>
      </c>
      <c r="G1928" s="679">
        <v>881129.61</v>
      </c>
      <c r="H1928" t="b">
        <f t="shared" si="61"/>
        <v>1</v>
      </c>
    </row>
    <row r="1929" spans="1:8">
      <c r="A1929" s="395">
        <v>10685</v>
      </c>
      <c r="B1929" s="406" t="s">
        <v>10670</v>
      </c>
      <c r="C1929" s="395" t="s">
        <v>2021</v>
      </c>
      <c r="D1929" s="407">
        <f t="shared" si="60"/>
        <v>844196.04</v>
      </c>
      <c r="F1929" s="680">
        <v>844196.04</v>
      </c>
      <c r="G1929" s="680">
        <v>844196.04</v>
      </c>
      <c r="H1929" t="b">
        <f t="shared" si="61"/>
        <v>1</v>
      </c>
    </row>
    <row r="1930" spans="1:8" ht="30">
      <c r="A1930" s="396">
        <v>40636</v>
      </c>
      <c r="B1930" s="401" t="s">
        <v>10671</v>
      </c>
      <c r="C1930" s="396" t="s">
        <v>2021</v>
      </c>
      <c r="D1930" s="405">
        <f t="shared" si="60"/>
        <v>952911.6</v>
      </c>
      <c r="F1930" s="679">
        <v>952911.6</v>
      </c>
      <c r="G1930" s="679">
        <v>952911.6</v>
      </c>
      <c r="H1930" t="b">
        <f t="shared" si="61"/>
        <v>1</v>
      </c>
    </row>
    <row r="1931" spans="1:8">
      <c r="A1931" s="395">
        <v>4111</v>
      </c>
      <c r="B1931" s="406" t="s">
        <v>10672</v>
      </c>
      <c r="C1931" s="395" t="s">
        <v>2021</v>
      </c>
      <c r="D1931" s="407">
        <f t="shared" si="60"/>
        <v>64.959999999999994</v>
      </c>
      <c r="F1931" s="680">
        <v>64.959999999999994</v>
      </c>
      <c r="G1931" s="680">
        <v>64.959999999999994</v>
      </c>
      <c r="H1931" t="b">
        <f t="shared" si="61"/>
        <v>1</v>
      </c>
    </row>
    <row r="1932" spans="1:8">
      <c r="A1932" s="396">
        <v>44538</v>
      </c>
      <c r="B1932" s="401" t="s">
        <v>10673</v>
      </c>
      <c r="C1932" s="396" t="s">
        <v>2021</v>
      </c>
      <c r="D1932" s="405">
        <f t="shared" si="60"/>
        <v>95.6</v>
      </c>
      <c r="F1932" s="679">
        <v>95.6</v>
      </c>
      <c r="G1932" s="679">
        <v>95.6</v>
      </c>
      <c r="H1932" t="b">
        <f t="shared" si="61"/>
        <v>1</v>
      </c>
    </row>
    <row r="1933" spans="1:8">
      <c r="A1933" s="395">
        <v>12</v>
      </c>
      <c r="B1933" s="406" t="s">
        <v>10674</v>
      </c>
      <c r="C1933" s="395" t="s">
        <v>2021</v>
      </c>
      <c r="D1933" s="407">
        <f t="shared" si="60"/>
        <v>19.440000000000001</v>
      </c>
      <c r="F1933" s="680">
        <v>19.440000000000001</v>
      </c>
      <c r="G1933" s="680">
        <v>19.440000000000001</v>
      </c>
      <c r="H1933" t="b">
        <f t="shared" si="61"/>
        <v>1</v>
      </c>
    </row>
    <row r="1934" spans="1:8">
      <c r="A1934" s="396">
        <v>37554</v>
      </c>
      <c r="B1934" s="401" t="s">
        <v>10675</v>
      </c>
      <c r="C1934" s="396" t="s">
        <v>2021</v>
      </c>
      <c r="D1934" s="405">
        <f t="shared" si="60"/>
        <v>211.38</v>
      </c>
      <c r="F1934" s="679">
        <v>211.38</v>
      </c>
      <c r="G1934" s="679">
        <v>211.38</v>
      </c>
      <c r="H1934" t="b">
        <f t="shared" si="61"/>
        <v>1</v>
      </c>
    </row>
    <row r="1935" spans="1:8">
      <c r="A1935" s="395">
        <v>37555</v>
      </c>
      <c r="B1935" s="406" t="s">
        <v>10676</v>
      </c>
      <c r="C1935" s="395" t="s">
        <v>2021</v>
      </c>
      <c r="D1935" s="407">
        <f t="shared" si="60"/>
        <v>257.14</v>
      </c>
      <c r="F1935" s="680">
        <v>257.14</v>
      </c>
      <c r="G1935" s="680">
        <v>257.14</v>
      </c>
      <c r="H1935" t="b">
        <f t="shared" si="61"/>
        <v>1</v>
      </c>
    </row>
    <row r="1936" spans="1:8" ht="30">
      <c r="A1936" s="396">
        <v>10902</v>
      </c>
      <c r="B1936" s="401" t="s">
        <v>10677</v>
      </c>
      <c r="C1936" s="396" t="s">
        <v>2021</v>
      </c>
      <c r="D1936" s="405">
        <f t="shared" si="60"/>
        <v>64.52</v>
      </c>
      <c r="F1936" s="679">
        <v>64.52</v>
      </c>
      <c r="G1936" s="679">
        <v>64.52</v>
      </c>
      <c r="H1936" t="b">
        <f t="shared" si="61"/>
        <v>1</v>
      </c>
    </row>
    <row r="1937" spans="1:8" ht="30">
      <c r="A1937" s="395">
        <v>20965</v>
      </c>
      <c r="B1937" s="406" t="s">
        <v>10678</v>
      </c>
      <c r="C1937" s="395" t="s">
        <v>2021</v>
      </c>
      <c r="D1937" s="407">
        <f t="shared" si="60"/>
        <v>65.12</v>
      </c>
      <c r="F1937" s="680">
        <v>65.12</v>
      </c>
      <c r="G1937" s="680">
        <v>65.12</v>
      </c>
      <c r="H1937" t="b">
        <f t="shared" si="61"/>
        <v>1</v>
      </c>
    </row>
    <row r="1938" spans="1:8" ht="30">
      <c r="A1938" s="396">
        <v>20966</v>
      </c>
      <c r="B1938" s="401" t="s">
        <v>10679</v>
      </c>
      <c r="C1938" s="396" t="s">
        <v>2021</v>
      </c>
      <c r="D1938" s="405">
        <f t="shared" si="60"/>
        <v>70.12</v>
      </c>
      <c r="F1938" s="679">
        <v>70.12</v>
      </c>
      <c r="G1938" s="679">
        <v>70.12</v>
      </c>
      <c r="H1938" t="b">
        <f t="shared" si="61"/>
        <v>1</v>
      </c>
    </row>
    <row r="1939" spans="1:8" ht="30">
      <c r="A1939" s="395">
        <v>10903</v>
      </c>
      <c r="B1939" s="406" t="s">
        <v>10680</v>
      </c>
      <c r="C1939" s="395" t="s">
        <v>2021</v>
      </c>
      <c r="D1939" s="407">
        <f t="shared" si="60"/>
        <v>106.28</v>
      </c>
      <c r="F1939" s="680">
        <v>106.28</v>
      </c>
      <c r="G1939" s="680">
        <v>106.28</v>
      </c>
      <c r="H1939" t="b">
        <f t="shared" si="61"/>
        <v>1</v>
      </c>
    </row>
    <row r="1940" spans="1:8" ht="30">
      <c r="A1940" s="396">
        <v>20967</v>
      </c>
      <c r="B1940" s="401" t="s">
        <v>10681</v>
      </c>
      <c r="C1940" s="396" t="s">
        <v>2021</v>
      </c>
      <c r="D1940" s="405">
        <f t="shared" si="60"/>
        <v>106.28</v>
      </c>
      <c r="F1940" s="679">
        <v>106.28</v>
      </c>
      <c r="G1940" s="679">
        <v>106.28</v>
      </c>
      <c r="H1940" t="b">
        <f t="shared" si="61"/>
        <v>1</v>
      </c>
    </row>
    <row r="1941" spans="1:8" ht="30">
      <c r="A1941" s="395">
        <v>20968</v>
      </c>
      <c r="B1941" s="406" t="s">
        <v>10682</v>
      </c>
      <c r="C1941" s="395" t="s">
        <v>2021</v>
      </c>
      <c r="D1941" s="407">
        <f t="shared" si="60"/>
        <v>116.57</v>
      </c>
      <c r="F1941" s="680">
        <v>116.57</v>
      </c>
      <c r="G1941" s="680">
        <v>116.57</v>
      </c>
      <c r="H1941" t="b">
        <f t="shared" si="61"/>
        <v>1</v>
      </c>
    </row>
    <row r="1942" spans="1:8">
      <c r="A1942" s="396">
        <v>11359</v>
      </c>
      <c r="B1942" s="401" t="s">
        <v>10683</v>
      </c>
      <c r="C1942" s="396" t="s">
        <v>2021</v>
      </c>
      <c r="D1942" s="405">
        <f t="shared" si="60"/>
        <v>1057</v>
      </c>
      <c r="F1942" s="679">
        <v>1057</v>
      </c>
      <c r="G1942" s="679">
        <v>1057</v>
      </c>
      <c r="H1942" t="b">
        <f t="shared" si="61"/>
        <v>1</v>
      </c>
    </row>
    <row r="1943" spans="1:8" ht="30">
      <c r="A1943" s="395">
        <v>39017</v>
      </c>
      <c r="B1943" s="406" t="s">
        <v>10684</v>
      </c>
      <c r="C1943" s="395" t="s">
        <v>2021</v>
      </c>
      <c r="D1943" s="407">
        <f t="shared" si="60"/>
        <v>0.22</v>
      </c>
      <c r="F1943" s="680">
        <v>0.22</v>
      </c>
      <c r="G1943" s="680">
        <v>0.22</v>
      </c>
      <c r="H1943" t="b">
        <f t="shared" si="61"/>
        <v>1</v>
      </c>
    </row>
    <row r="1944" spans="1:8" ht="30">
      <c r="A1944" s="396">
        <v>39315</v>
      </c>
      <c r="B1944" s="401" t="s">
        <v>10685</v>
      </c>
      <c r="C1944" s="396" t="s">
        <v>2021</v>
      </c>
      <c r="D1944" s="405">
        <f t="shared" si="60"/>
        <v>0.35</v>
      </c>
      <c r="F1944" s="679">
        <v>0.35</v>
      </c>
      <c r="G1944" s="679">
        <v>0.35</v>
      </c>
      <c r="H1944" t="b">
        <f t="shared" si="61"/>
        <v>1</v>
      </c>
    </row>
    <row r="1945" spans="1:8">
      <c r="A1945" s="395">
        <v>39016</v>
      </c>
      <c r="B1945" s="406" t="s">
        <v>10686</v>
      </c>
      <c r="C1945" s="395" t="s">
        <v>2021</v>
      </c>
      <c r="D1945" s="407">
        <f t="shared" si="60"/>
        <v>0.36</v>
      </c>
      <c r="F1945" s="680">
        <v>0.36</v>
      </c>
      <c r="G1945" s="680">
        <v>0.36</v>
      </c>
      <c r="H1945" t="b">
        <f t="shared" si="61"/>
        <v>1</v>
      </c>
    </row>
    <row r="1946" spans="1:8" ht="30">
      <c r="A1946" s="396">
        <v>39481</v>
      </c>
      <c r="B1946" s="401" t="s">
        <v>10687</v>
      </c>
      <c r="C1946" s="396" t="s">
        <v>2021</v>
      </c>
      <c r="D1946" s="405">
        <f t="shared" si="60"/>
        <v>1.74</v>
      </c>
      <c r="F1946" s="679">
        <v>1.74</v>
      </c>
      <c r="G1946" s="679">
        <v>1.74</v>
      </c>
      <c r="H1946" t="b">
        <f t="shared" si="61"/>
        <v>1</v>
      </c>
    </row>
    <row r="1947" spans="1:8" ht="30">
      <c r="A1947" s="395">
        <v>39013</v>
      </c>
      <c r="B1947" s="406" t="s">
        <v>10688</v>
      </c>
      <c r="C1947" s="395" t="s">
        <v>2021</v>
      </c>
      <c r="D1947" s="407">
        <f t="shared" si="60"/>
        <v>1.48</v>
      </c>
      <c r="F1947" s="680">
        <v>1.48</v>
      </c>
      <c r="G1947" s="680">
        <v>1.48</v>
      </c>
      <c r="H1947" t="b">
        <f t="shared" si="61"/>
        <v>1</v>
      </c>
    </row>
    <row r="1948" spans="1:8" ht="30">
      <c r="A1948" s="396">
        <v>44919</v>
      </c>
      <c r="B1948" s="401" t="s">
        <v>10689</v>
      </c>
      <c r="C1948" s="396" t="s">
        <v>2021</v>
      </c>
      <c r="D1948" s="405">
        <f t="shared" si="60"/>
        <v>2.77</v>
      </c>
      <c r="F1948" s="679">
        <v>2.77</v>
      </c>
      <c r="G1948" s="679">
        <v>2.77</v>
      </c>
      <c r="H1948" t="b">
        <f t="shared" si="61"/>
        <v>1</v>
      </c>
    </row>
    <row r="1949" spans="1:8">
      <c r="A1949" s="395">
        <v>40433</v>
      </c>
      <c r="B1949" s="406" t="s">
        <v>10690</v>
      </c>
      <c r="C1949" s="395" t="s">
        <v>2021</v>
      </c>
      <c r="D1949" s="407">
        <f t="shared" si="60"/>
        <v>1.53</v>
      </c>
      <c r="F1949" s="680">
        <v>1.53</v>
      </c>
      <c r="G1949" s="680">
        <v>1.53</v>
      </c>
      <c r="H1949" t="b">
        <f t="shared" si="61"/>
        <v>1</v>
      </c>
    </row>
    <row r="1950" spans="1:8">
      <c r="A1950" s="396">
        <v>20219</v>
      </c>
      <c r="B1950" s="401" t="s">
        <v>10691</v>
      </c>
      <c r="C1950" s="396" t="s">
        <v>2021</v>
      </c>
      <c r="D1950" s="405">
        <f t="shared" si="60"/>
        <v>106150</v>
      </c>
      <c r="F1950" s="679">
        <v>106150</v>
      </c>
      <c r="G1950" s="679">
        <v>106150</v>
      </c>
      <c r="H1950" t="b">
        <f t="shared" si="61"/>
        <v>1</v>
      </c>
    </row>
    <row r="1951" spans="1:8" ht="30">
      <c r="A1951" s="395">
        <v>36484</v>
      </c>
      <c r="B1951" s="406" t="s">
        <v>10692</v>
      </c>
      <c r="C1951" s="395" t="s">
        <v>2021</v>
      </c>
      <c r="D1951" s="407">
        <f t="shared" si="60"/>
        <v>225337.12</v>
      </c>
      <c r="F1951" s="680">
        <v>225337.12</v>
      </c>
      <c r="G1951" s="680">
        <v>225337.12</v>
      </c>
      <c r="H1951" t="b">
        <f t="shared" si="61"/>
        <v>1</v>
      </c>
    </row>
    <row r="1952" spans="1:8">
      <c r="A1952" s="396">
        <v>38367</v>
      </c>
      <c r="B1952" s="401" t="s">
        <v>10693</v>
      </c>
      <c r="C1952" s="396" t="s">
        <v>2021</v>
      </c>
      <c r="D1952" s="405">
        <f t="shared" si="60"/>
        <v>24.56</v>
      </c>
      <c r="F1952" s="679">
        <v>24.56</v>
      </c>
      <c r="G1952" s="679">
        <v>24.56</v>
      </c>
      <c r="H1952" t="b">
        <f t="shared" si="61"/>
        <v>1</v>
      </c>
    </row>
    <row r="1953" spans="1:8">
      <c r="A1953" s="395">
        <v>38368</v>
      </c>
      <c r="B1953" s="406" t="s">
        <v>10694</v>
      </c>
      <c r="C1953" s="395" t="s">
        <v>2021</v>
      </c>
      <c r="D1953" s="407">
        <f t="shared" si="60"/>
        <v>9.69</v>
      </c>
      <c r="F1953" s="680">
        <v>9.69</v>
      </c>
      <c r="G1953" s="680">
        <v>9.69</v>
      </c>
      <c r="H1953" t="b">
        <f t="shared" si="61"/>
        <v>1</v>
      </c>
    </row>
    <row r="1954" spans="1:8">
      <c r="A1954" s="396">
        <v>38091</v>
      </c>
      <c r="B1954" s="401" t="s">
        <v>10695</v>
      </c>
      <c r="C1954" s="396" t="s">
        <v>2021</v>
      </c>
      <c r="D1954" s="405">
        <f t="shared" si="60"/>
        <v>2.2400000000000002</v>
      </c>
      <c r="F1954" s="679">
        <v>2.2400000000000002</v>
      </c>
      <c r="G1954" s="679">
        <v>2.2400000000000002</v>
      </c>
      <c r="H1954" t="b">
        <f t="shared" si="61"/>
        <v>1</v>
      </c>
    </row>
    <row r="1955" spans="1:8">
      <c r="A1955" s="395">
        <v>38095</v>
      </c>
      <c r="B1955" s="406" t="s">
        <v>10696</v>
      </c>
      <c r="C1955" s="395" t="s">
        <v>2021</v>
      </c>
      <c r="D1955" s="407">
        <f t="shared" si="60"/>
        <v>4.74</v>
      </c>
      <c r="F1955" s="680">
        <v>4.74</v>
      </c>
      <c r="G1955" s="680">
        <v>4.74</v>
      </c>
      <c r="H1955" t="b">
        <f t="shared" si="61"/>
        <v>1</v>
      </c>
    </row>
    <row r="1956" spans="1:8">
      <c r="A1956" s="396">
        <v>38092</v>
      </c>
      <c r="B1956" s="401" t="s">
        <v>10697</v>
      </c>
      <c r="C1956" s="396" t="s">
        <v>2021</v>
      </c>
      <c r="D1956" s="405">
        <f t="shared" si="60"/>
        <v>2.12</v>
      </c>
      <c r="F1956" s="679">
        <v>2.12</v>
      </c>
      <c r="G1956" s="679">
        <v>2.12</v>
      </c>
      <c r="H1956" t="b">
        <f t="shared" si="61"/>
        <v>1</v>
      </c>
    </row>
    <row r="1957" spans="1:8">
      <c r="A1957" s="395">
        <v>38093</v>
      </c>
      <c r="B1957" s="406" t="s">
        <v>10698</v>
      </c>
      <c r="C1957" s="395" t="s">
        <v>2021</v>
      </c>
      <c r="D1957" s="407">
        <f t="shared" si="60"/>
        <v>2.19</v>
      </c>
      <c r="F1957" s="680">
        <v>2.19</v>
      </c>
      <c r="G1957" s="680">
        <v>2.19</v>
      </c>
      <c r="H1957" t="b">
        <f t="shared" si="61"/>
        <v>1</v>
      </c>
    </row>
    <row r="1958" spans="1:8">
      <c r="A1958" s="396">
        <v>38096</v>
      </c>
      <c r="B1958" s="401" t="s">
        <v>10699</v>
      </c>
      <c r="C1958" s="396" t="s">
        <v>2021</v>
      </c>
      <c r="D1958" s="405">
        <f t="shared" si="60"/>
        <v>5.0999999999999996</v>
      </c>
      <c r="F1958" s="679">
        <v>5.0999999999999996</v>
      </c>
      <c r="G1958" s="679">
        <v>5.0999999999999996</v>
      </c>
      <c r="H1958" t="b">
        <f t="shared" si="61"/>
        <v>1</v>
      </c>
    </row>
    <row r="1959" spans="1:8">
      <c r="A1959" s="395">
        <v>38094</v>
      </c>
      <c r="B1959" s="406" t="s">
        <v>10700</v>
      </c>
      <c r="C1959" s="395" t="s">
        <v>2021</v>
      </c>
      <c r="D1959" s="407">
        <f t="shared" si="60"/>
        <v>2.69</v>
      </c>
      <c r="F1959" s="680">
        <v>2.69</v>
      </c>
      <c r="G1959" s="680">
        <v>2.69</v>
      </c>
      <c r="H1959" t="b">
        <f t="shared" si="61"/>
        <v>1</v>
      </c>
    </row>
    <row r="1960" spans="1:8">
      <c r="A1960" s="396">
        <v>38097</v>
      </c>
      <c r="B1960" s="401" t="s">
        <v>10701</v>
      </c>
      <c r="C1960" s="396" t="s">
        <v>2021</v>
      </c>
      <c r="D1960" s="405">
        <f t="shared" si="60"/>
        <v>5.46</v>
      </c>
      <c r="F1960" s="679">
        <v>5.46</v>
      </c>
      <c r="G1960" s="679">
        <v>5.46</v>
      </c>
      <c r="H1960" t="b">
        <f t="shared" si="61"/>
        <v>1</v>
      </c>
    </row>
    <row r="1961" spans="1:8">
      <c r="A1961" s="395">
        <v>38098</v>
      </c>
      <c r="B1961" s="406" t="s">
        <v>10702</v>
      </c>
      <c r="C1961" s="395" t="s">
        <v>2021</v>
      </c>
      <c r="D1961" s="407">
        <f t="shared" si="60"/>
        <v>5.46</v>
      </c>
      <c r="F1961" s="680">
        <v>5.46</v>
      </c>
      <c r="G1961" s="680">
        <v>5.46</v>
      </c>
      <c r="H1961" t="b">
        <f t="shared" si="61"/>
        <v>1</v>
      </c>
    </row>
    <row r="1962" spans="1:8">
      <c r="A1962" s="396">
        <v>11186</v>
      </c>
      <c r="B1962" s="401" t="s">
        <v>10703</v>
      </c>
      <c r="C1962" s="396" t="s">
        <v>2023</v>
      </c>
      <c r="D1962" s="405">
        <f t="shared" si="60"/>
        <v>501.66</v>
      </c>
      <c r="F1962" s="679">
        <v>501.66</v>
      </c>
      <c r="G1962" s="679">
        <v>501.66</v>
      </c>
      <c r="H1962" t="b">
        <f t="shared" si="61"/>
        <v>1</v>
      </c>
    </row>
    <row r="1963" spans="1:8" ht="30">
      <c r="A1963" s="395">
        <v>11558</v>
      </c>
      <c r="B1963" s="406" t="s">
        <v>10704</v>
      </c>
      <c r="C1963" s="395" t="s">
        <v>2028</v>
      </c>
      <c r="D1963" s="407">
        <f t="shared" si="60"/>
        <v>16.29</v>
      </c>
      <c r="F1963" s="680">
        <v>16.29</v>
      </c>
      <c r="G1963" s="680">
        <v>16.29</v>
      </c>
      <c r="H1963" t="b">
        <f t="shared" si="61"/>
        <v>1</v>
      </c>
    </row>
    <row r="1964" spans="1:8" ht="30">
      <c r="A1964" s="396">
        <v>11557</v>
      </c>
      <c r="B1964" s="401" t="s">
        <v>10705</v>
      </c>
      <c r="C1964" s="396" t="s">
        <v>2028</v>
      </c>
      <c r="D1964" s="405">
        <f t="shared" si="60"/>
        <v>41.25</v>
      </c>
      <c r="F1964" s="679">
        <v>41.25</v>
      </c>
      <c r="G1964" s="679">
        <v>41.25</v>
      </c>
      <c r="H1964" t="b">
        <f t="shared" si="61"/>
        <v>1</v>
      </c>
    </row>
    <row r="1965" spans="1:8">
      <c r="A1965" s="395">
        <v>2759</v>
      </c>
      <c r="B1965" s="406" t="s">
        <v>10706</v>
      </c>
      <c r="C1965" s="395" t="s">
        <v>2021</v>
      </c>
      <c r="D1965" s="407">
        <f t="shared" si="60"/>
        <v>10.93</v>
      </c>
      <c r="F1965" s="680">
        <v>10.93</v>
      </c>
      <c r="G1965" s="680">
        <v>10.93</v>
      </c>
      <c r="H1965" t="b">
        <f t="shared" si="61"/>
        <v>1</v>
      </c>
    </row>
    <row r="1966" spans="1:8">
      <c r="A1966" s="396">
        <v>38124</v>
      </c>
      <c r="B1966" s="401" t="s">
        <v>10707</v>
      </c>
      <c r="C1966" s="396" t="s">
        <v>2021</v>
      </c>
      <c r="D1966" s="405">
        <f t="shared" si="60"/>
        <v>45.99</v>
      </c>
      <c r="F1966" s="679">
        <v>45.99</v>
      </c>
      <c r="G1966" s="679">
        <v>45.99</v>
      </c>
      <c r="H1966" t="b">
        <f t="shared" si="61"/>
        <v>1</v>
      </c>
    </row>
    <row r="1967" spans="1:8">
      <c r="A1967" s="395">
        <v>38380</v>
      </c>
      <c r="B1967" s="406" t="s">
        <v>10708</v>
      </c>
      <c r="C1967" s="395" t="s">
        <v>2021</v>
      </c>
      <c r="D1967" s="407">
        <f t="shared" si="60"/>
        <v>39.020000000000003</v>
      </c>
      <c r="F1967" s="680">
        <v>39.020000000000003</v>
      </c>
      <c r="G1967" s="680">
        <v>39.020000000000003</v>
      </c>
      <c r="H1967" t="b">
        <f t="shared" si="61"/>
        <v>1</v>
      </c>
    </row>
    <row r="1968" spans="1:8" ht="30">
      <c r="A1968" s="396">
        <v>42429</v>
      </c>
      <c r="B1968" s="401" t="s">
        <v>10709</v>
      </c>
      <c r="C1968" s="396" t="s">
        <v>2021</v>
      </c>
      <c r="D1968" s="405">
        <f t="shared" si="60"/>
        <v>5972.04</v>
      </c>
      <c r="F1968" s="679">
        <v>5972.04</v>
      </c>
      <c r="G1968" s="679">
        <v>5972.04</v>
      </c>
      <c r="H1968" t="b">
        <f t="shared" si="61"/>
        <v>1</v>
      </c>
    </row>
    <row r="1969" spans="1:8">
      <c r="A1969" s="395">
        <v>39616</v>
      </c>
      <c r="B1969" s="406" t="s">
        <v>10710</v>
      </c>
      <c r="C1969" s="395" t="s">
        <v>2021</v>
      </c>
      <c r="D1969" s="407">
        <f t="shared" si="60"/>
        <v>470.05</v>
      </c>
      <c r="F1969" s="680">
        <v>470.05</v>
      </c>
      <c r="G1969" s="680">
        <v>470.05</v>
      </c>
      <c r="H1969" t="b">
        <f t="shared" si="61"/>
        <v>1</v>
      </c>
    </row>
    <row r="1970" spans="1:8">
      <c r="A1970" s="396">
        <v>39618</v>
      </c>
      <c r="B1970" s="401" t="s">
        <v>10711</v>
      </c>
      <c r="C1970" s="396" t="s">
        <v>2021</v>
      </c>
      <c r="D1970" s="405">
        <f t="shared" si="60"/>
        <v>852.59</v>
      </c>
      <c r="F1970" s="679">
        <v>852.59</v>
      </c>
      <c r="G1970" s="679">
        <v>852.59</v>
      </c>
      <c r="H1970" t="b">
        <f t="shared" si="61"/>
        <v>1</v>
      </c>
    </row>
    <row r="1971" spans="1:8">
      <c r="A1971" s="395">
        <v>39619</v>
      </c>
      <c r="B1971" s="406" t="s">
        <v>10712</v>
      </c>
      <c r="C1971" s="395" t="s">
        <v>2021</v>
      </c>
      <c r="D1971" s="407">
        <f t="shared" si="60"/>
        <v>1167.7</v>
      </c>
      <c r="F1971" s="680">
        <v>1167.7</v>
      </c>
      <c r="G1971" s="680">
        <v>1167.7</v>
      </c>
      <c r="H1971" t="b">
        <f t="shared" si="61"/>
        <v>1</v>
      </c>
    </row>
    <row r="1972" spans="1:8">
      <c r="A1972" s="396">
        <v>39613</v>
      </c>
      <c r="B1972" s="401" t="s">
        <v>10713</v>
      </c>
      <c r="C1972" s="396" t="s">
        <v>2021</v>
      </c>
      <c r="D1972" s="405">
        <f t="shared" si="60"/>
        <v>186.71</v>
      </c>
      <c r="F1972" s="679">
        <v>186.71</v>
      </c>
      <c r="G1972" s="679">
        <v>186.71</v>
      </c>
      <c r="H1972" t="b">
        <f t="shared" si="61"/>
        <v>1</v>
      </c>
    </row>
    <row r="1973" spans="1:8">
      <c r="A1973" s="395">
        <v>39614</v>
      </c>
      <c r="B1973" s="406" t="s">
        <v>10714</v>
      </c>
      <c r="C1973" s="395" t="s">
        <v>2021</v>
      </c>
      <c r="D1973" s="407">
        <f t="shared" si="60"/>
        <v>272.39999999999998</v>
      </c>
      <c r="F1973" s="680">
        <v>272.39999999999998</v>
      </c>
      <c r="G1973" s="680">
        <v>272.39999999999998</v>
      </c>
      <c r="H1973" t="b">
        <f t="shared" si="61"/>
        <v>1</v>
      </c>
    </row>
    <row r="1974" spans="1:8" ht="30">
      <c r="A1974" s="396">
        <v>38538</v>
      </c>
      <c r="B1974" s="401" t="s">
        <v>10715</v>
      </c>
      <c r="C1974" s="396" t="s">
        <v>2024</v>
      </c>
      <c r="D1974" s="405">
        <f t="shared" si="60"/>
        <v>75.8</v>
      </c>
      <c r="F1974" s="679">
        <v>75.8</v>
      </c>
      <c r="G1974" s="679">
        <v>75.8</v>
      </c>
      <c r="H1974" t="b">
        <f t="shared" si="61"/>
        <v>1</v>
      </c>
    </row>
    <row r="1975" spans="1:8" ht="30">
      <c r="A1975" s="395">
        <v>38539</v>
      </c>
      <c r="B1975" s="406" t="s">
        <v>10716</v>
      </c>
      <c r="C1975" s="395" t="s">
        <v>2024</v>
      </c>
      <c r="D1975" s="407">
        <f t="shared" si="60"/>
        <v>103.07</v>
      </c>
      <c r="F1975" s="680">
        <v>103.07</v>
      </c>
      <c r="G1975" s="680">
        <v>103.07</v>
      </c>
      <c r="H1975" t="b">
        <f t="shared" si="61"/>
        <v>1</v>
      </c>
    </row>
    <row r="1976" spans="1:8" ht="30">
      <c r="A1976" s="396">
        <v>38540</v>
      </c>
      <c r="B1976" s="401" t="s">
        <v>10717</v>
      </c>
      <c r="C1976" s="396" t="s">
        <v>2024</v>
      </c>
      <c r="D1976" s="405">
        <f t="shared" si="60"/>
        <v>264.16000000000003</v>
      </c>
      <c r="F1976" s="679">
        <v>264.16000000000003</v>
      </c>
      <c r="G1976" s="679">
        <v>264.16000000000003</v>
      </c>
      <c r="H1976" t="b">
        <f t="shared" si="61"/>
        <v>1</v>
      </c>
    </row>
    <row r="1977" spans="1:8">
      <c r="A1977" s="395">
        <v>38384</v>
      </c>
      <c r="B1977" s="406" t="s">
        <v>10718</v>
      </c>
      <c r="C1977" s="395" t="s">
        <v>2021</v>
      </c>
      <c r="D1977" s="407">
        <f t="shared" si="60"/>
        <v>25.12</v>
      </c>
      <c r="F1977" s="680">
        <v>25.12</v>
      </c>
      <c r="G1977" s="680">
        <v>25.12</v>
      </c>
      <c r="H1977" t="b">
        <f t="shared" si="61"/>
        <v>1</v>
      </c>
    </row>
    <row r="1978" spans="1:8">
      <c r="A1978" s="396">
        <v>13</v>
      </c>
      <c r="B1978" s="401" t="s">
        <v>10719</v>
      </c>
      <c r="C1978" s="396" t="s">
        <v>2025</v>
      </c>
      <c r="D1978" s="405">
        <f t="shared" si="60"/>
        <v>29.93</v>
      </c>
      <c r="F1978" s="679">
        <v>29.93</v>
      </c>
      <c r="G1978" s="679">
        <v>29.93</v>
      </c>
      <c r="H1978" t="b">
        <f t="shared" si="61"/>
        <v>1</v>
      </c>
    </row>
    <row r="1979" spans="1:8">
      <c r="A1979" s="395">
        <v>2762</v>
      </c>
      <c r="B1979" s="406" t="s">
        <v>10720</v>
      </c>
      <c r="C1979" s="395" t="s">
        <v>2024</v>
      </c>
      <c r="D1979" s="407">
        <f t="shared" si="60"/>
        <v>13.66</v>
      </c>
      <c r="F1979" s="680">
        <v>13.66</v>
      </c>
      <c r="G1979" s="680">
        <v>13.66</v>
      </c>
      <c r="H1979" t="b">
        <f t="shared" si="61"/>
        <v>1</v>
      </c>
    </row>
    <row r="1980" spans="1:8">
      <c r="A1980" s="396">
        <v>21142</v>
      </c>
      <c r="B1980" s="401" t="s">
        <v>10721</v>
      </c>
      <c r="C1980" s="396" t="s">
        <v>2021</v>
      </c>
      <c r="D1980" s="405">
        <f t="shared" si="60"/>
        <v>30.64</v>
      </c>
      <c r="F1980" s="679">
        <v>30.64</v>
      </c>
      <c r="G1980" s="679">
        <v>30.64</v>
      </c>
      <c r="H1980" t="b">
        <f t="shared" si="61"/>
        <v>1</v>
      </c>
    </row>
    <row r="1981" spans="1:8">
      <c r="A1981" s="395">
        <v>4223</v>
      </c>
      <c r="B1981" s="406" t="s">
        <v>10722</v>
      </c>
      <c r="C1981" s="395" t="s">
        <v>2026</v>
      </c>
      <c r="D1981" s="407">
        <f t="shared" si="60"/>
        <v>3.44</v>
      </c>
      <c r="F1981" s="680">
        <v>3.44</v>
      </c>
      <c r="G1981" s="680">
        <v>3.44</v>
      </c>
      <c r="H1981" t="b">
        <f t="shared" si="61"/>
        <v>1</v>
      </c>
    </row>
    <row r="1982" spans="1:8">
      <c r="A1982" s="396">
        <v>37372</v>
      </c>
      <c r="B1982" s="401" t="s">
        <v>10723</v>
      </c>
      <c r="C1982" s="396" t="s">
        <v>2020</v>
      </c>
      <c r="D1982" s="405">
        <f t="shared" si="60"/>
        <v>1.1399999999999999</v>
      </c>
      <c r="F1982" s="679">
        <v>1.1399999999999999</v>
      </c>
      <c r="G1982" s="679">
        <v>1.1399999999999999</v>
      </c>
      <c r="H1982" t="b">
        <f t="shared" si="61"/>
        <v>1</v>
      </c>
    </row>
    <row r="1983" spans="1:8">
      <c r="A1983" s="395">
        <v>40863</v>
      </c>
      <c r="B1983" s="406" t="s">
        <v>10724</v>
      </c>
      <c r="C1983" s="395" t="s">
        <v>2027</v>
      </c>
      <c r="D1983" s="407">
        <f t="shared" si="60"/>
        <v>215.56</v>
      </c>
      <c r="F1983" s="680">
        <v>215.56</v>
      </c>
      <c r="G1983" s="680">
        <v>215.56</v>
      </c>
      <c r="H1983" t="b">
        <f t="shared" si="61"/>
        <v>1</v>
      </c>
    </row>
    <row r="1984" spans="1:8">
      <c r="A1984" s="396">
        <v>38475</v>
      </c>
      <c r="B1984" s="401" t="s">
        <v>10725</v>
      </c>
      <c r="C1984" s="396" t="s">
        <v>2021</v>
      </c>
      <c r="D1984" s="405">
        <f t="shared" si="60"/>
        <v>32.979999999999997</v>
      </c>
      <c r="F1984" s="679">
        <v>32.979999999999997</v>
      </c>
      <c r="G1984" s="679">
        <v>32.979999999999997</v>
      </c>
      <c r="H1984" t="b">
        <f t="shared" si="61"/>
        <v>1</v>
      </c>
    </row>
    <row r="1985" spans="1:8">
      <c r="A1985" s="395">
        <v>38474</v>
      </c>
      <c r="B1985" s="406" t="s">
        <v>10726</v>
      </c>
      <c r="C1985" s="395" t="s">
        <v>2021</v>
      </c>
      <c r="D1985" s="407">
        <f t="shared" si="60"/>
        <v>40.770000000000003</v>
      </c>
      <c r="F1985" s="680">
        <v>40.770000000000003</v>
      </c>
      <c r="G1985" s="680">
        <v>40.770000000000003</v>
      </c>
      <c r="H1985" t="b">
        <f t="shared" si="61"/>
        <v>1</v>
      </c>
    </row>
    <row r="1986" spans="1:8">
      <c r="A1986" s="396">
        <v>10886</v>
      </c>
      <c r="B1986" s="401" t="s">
        <v>10727</v>
      </c>
      <c r="C1986" s="396" t="s">
        <v>2021</v>
      </c>
      <c r="D1986" s="405">
        <f t="shared" si="60"/>
        <v>200.37</v>
      </c>
      <c r="F1986" s="679">
        <v>200.37</v>
      </c>
      <c r="G1986" s="679">
        <v>200.37</v>
      </c>
      <c r="H1986" t="b">
        <f t="shared" si="61"/>
        <v>1</v>
      </c>
    </row>
    <row r="1987" spans="1:8">
      <c r="A1987" s="395">
        <v>10888</v>
      </c>
      <c r="B1987" s="406" t="s">
        <v>10728</v>
      </c>
      <c r="C1987" s="395" t="s">
        <v>2021</v>
      </c>
      <c r="D1987" s="407">
        <f t="shared" ref="D1987:D2050" si="62">IF($J$2=$F$1,F1987,G1987)</f>
        <v>634.15</v>
      </c>
      <c r="F1987" s="680">
        <v>634.15</v>
      </c>
      <c r="G1987" s="680">
        <v>634.15</v>
      </c>
      <c r="H1987" t="b">
        <f t="shared" ref="H1987:H2050" si="63">F1987=G1987</f>
        <v>1</v>
      </c>
    </row>
    <row r="1988" spans="1:8">
      <c r="A1988" s="396">
        <v>10889</v>
      </c>
      <c r="B1988" s="401" t="s">
        <v>10729</v>
      </c>
      <c r="C1988" s="396" t="s">
        <v>2021</v>
      </c>
      <c r="D1988" s="405">
        <f t="shared" si="62"/>
        <v>687</v>
      </c>
      <c r="F1988" s="679">
        <v>687</v>
      </c>
      <c r="G1988" s="679">
        <v>687</v>
      </c>
      <c r="H1988" t="b">
        <f t="shared" si="63"/>
        <v>1</v>
      </c>
    </row>
    <row r="1989" spans="1:8">
      <c r="A1989" s="395">
        <v>10890</v>
      </c>
      <c r="B1989" s="406" t="s">
        <v>10730</v>
      </c>
      <c r="C1989" s="395" t="s">
        <v>2021</v>
      </c>
      <c r="D1989" s="407">
        <f t="shared" si="62"/>
        <v>317.07</v>
      </c>
      <c r="F1989" s="680">
        <v>317.07</v>
      </c>
      <c r="G1989" s="680">
        <v>317.07</v>
      </c>
      <c r="H1989" t="b">
        <f t="shared" si="63"/>
        <v>1</v>
      </c>
    </row>
    <row r="1990" spans="1:8">
      <c r="A1990" s="396">
        <v>10891</v>
      </c>
      <c r="B1990" s="401" t="s">
        <v>10731</v>
      </c>
      <c r="C1990" s="396" t="s">
        <v>2021</v>
      </c>
      <c r="D1990" s="405">
        <f t="shared" si="62"/>
        <v>193.76</v>
      </c>
      <c r="F1990" s="679">
        <v>193.76</v>
      </c>
      <c r="G1990" s="679">
        <v>193.76</v>
      </c>
      <c r="H1990" t="b">
        <f t="shared" si="63"/>
        <v>1</v>
      </c>
    </row>
    <row r="1991" spans="1:8">
      <c r="A1991" s="395">
        <v>10892</v>
      </c>
      <c r="B1991" s="406" t="s">
        <v>10732</v>
      </c>
      <c r="C1991" s="395" t="s">
        <v>2021</v>
      </c>
      <c r="D1991" s="407">
        <f t="shared" si="62"/>
        <v>229</v>
      </c>
      <c r="F1991" s="680">
        <v>229</v>
      </c>
      <c r="G1991" s="680">
        <v>229</v>
      </c>
      <c r="H1991" t="b">
        <f t="shared" si="63"/>
        <v>1</v>
      </c>
    </row>
    <row r="1992" spans="1:8">
      <c r="A1992" s="396">
        <v>20977</v>
      </c>
      <c r="B1992" s="401" t="s">
        <v>10733</v>
      </c>
      <c r="C1992" s="396" t="s">
        <v>2021</v>
      </c>
      <c r="D1992" s="405">
        <f t="shared" si="62"/>
        <v>273.02999999999997</v>
      </c>
      <c r="F1992" s="679">
        <v>273.02999999999997</v>
      </c>
      <c r="G1992" s="679">
        <v>273.02999999999997</v>
      </c>
      <c r="H1992" t="b">
        <f t="shared" si="63"/>
        <v>1</v>
      </c>
    </row>
    <row r="1993" spans="1:8">
      <c r="A1993" s="395">
        <v>3073</v>
      </c>
      <c r="B1993" s="406" t="s">
        <v>10734</v>
      </c>
      <c r="C1993" s="395" t="s">
        <v>2021</v>
      </c>
      <c r="D1993" s="407">
        <f t="shared" si="62"/>
        <v>211.25</v>
      </c>
      <c r="F1993" s="680">
        <v>211.25</v>
      </c>
      <c r="G1993" s="680">
        <v>211.25</v>
      </c>
      <c r="H1993" t="b">
        <f t="shared" si="63"/>
        <v>1</v>
      </c>
    </row>
    <row r="1994" spans="1:8">
      <c r="A1994" s="396">
        <v>3074</v>
      </c>
      <c r="B1994" s="401" t="s">
        <v>10735</v>
      </c>
      <c r="C1994" s="396" t="s">
        <v>2021</v>
      </c>
      <c r="D1994" s="405">
        <f t="shared" si="62"/>
        <v>133.37</v>
      </c>
      <c r="F1994" s="679">
        <v>133.37</v>
      </c>
      <c r="G1994" s="679">
        <v>133.37</v>
      </c>
      <c r="H1994" t="b">
        <f t="shared" si="63"/>
        <v>1</v>
      </c>
    </row>
    <row r="1995" spans="1:8">
      <c r="A1995" s="395">
        <v>3076</v>
      </c>
      <c r="B1995" s="406" t="s">
        <v>10736</v>
      </c>
      <c r="C1995" s="395" t="s">
        <v>2021</v>
      </c>
      <c r="D1995" s="407">
        <f t="shared" si="62"/>
        <v>173.67</v>
      </c>
      <c r="F1995" s="680">
        <v>173.67</v>
      </c>
      <c r="G1995" s="680">
        <v>173.67</v>
      </c>
      <c r="H1995" t="b">
        <f t="shared" si="63"/>
        <v>1</v>
      </c>
    </row>
    <row r="1996" spans="1:8">
      <c r="A1996" s="396">
        <v>3075</v>
      </c>
      <c r="B1996" s="401" t="s">
        <v>10737</v>
      </c>
      <c r="C1996" s="396" t="s">
        <v>2021</v>
      </c>
      <c r="D1996" s="405">
        <f t="shared" si="62"/>
        <v>109.75</v>
      </c>
      <c r="F1996" s="679">
        <v>109.75</v>
      </c>
      <c r="G1996" s="679">
        <v>109.75</v>
      </c>
      <c r="H1996" t="b">
        <f t="shared" si="63"/>
        <v>1</v>
      </c>
    </row>
    <row r="1997" spans="1:8">
      <c r="A1997" s="395">
        <v>10781</v>
      </c>
      <c r="B1997" s="406" t="s">
        <v>10738</v>
      </c>
      <c r="C1997" s="395" t="s">
        <v>2021</v>
      </c>
      <c r="D1997" s="407">
        <f t="shared" si="62"/>
        <v>14.88</v>
      </c>
      <c r="F1997" s="680">
        <v>14.88</v>
      </c>
      <c r="G1997" s="680">
        <v>14.88</v>
      </c>
      <c r="H1997" t="b">
        <f t="shared" si="63"/>
        <v>1</v>
      </c>
    </row>
    <row r="1998" spans="1:8" ht="30">
      <c r="A1998" s="396">
        <v>43612</v>
      </c>
      <c r="B1998" s="401" t="s">
        <v>10739</v>
      </c>
      <c r="C1998" s="396" t="s">
        <v>2032</v>
      </c>
      <c r="D1998" s="405">
        <f t="shared" si="62"/>
        <v>115.23</v>
      </c>
      <c r="F1998" s="679">
        <v>115.23</v>
      </c>
      <c r="G1998" s="679">
        <v>115.23</v>
      </c>
      <c r="H1998" t="b">
        <f t="shared" si="63"/>
        <v>1</v>
      </c>
    </row>
    <row r="1999" spans="1:8" ht="30">
      <c r="A1999" s="395">
        <v>43613</v>
      </c>
      <c r="B1999" s="406" t="s">
        <v>10740</v>
      </c>
      <c r="C1999" s="395" t="s">
        <v>2032</v>
      </c>
      <c r="D1999" s="407">
        <f t="shared" si="62"/>
        <v>95.39</v>
      </c>
      <c r="F1999" s="680">
        <v>95.39</v>
      </c>
      <c r="G1999" s="680">
        <v>95.39</v>
      </c>
      <c r="H1999" t="b">
        <f t="shared" si="63"/>
        <v>1</v>
      </c>
    </row>
    <row r="2000" spans="1:8" ht="30">
      <c r="A2000" s="396">
        <v>11480</v>
      </c>
      <c r="B2000" s="401" t="s">
        <v>10741</v>
      </c>
      <c r="C2000" s="396" t="s">
        <v>2032</v>
      </c>
      <c r="D2000" s="405">
        <f t="shared" si="62"/>
        <v>146.38999999999999</v>
      </c>
      <c r="F2000" s="679">
        <v>146.38999999999999</v>
      </c>
      <c r="G2000" s="679">
        <v>146.38999999999999</v>
      </c>
      <c r="H2000" t="b">
        <f t="shared" si="63"/>
        <v>1</v>
      </c>
    </row>
    <row r="2001" spans="1:8" ht="30">
      <c r="A2001" s="395">
        <v>11469</v>
      </c>
      <c r="B2001" s="406" t="s">
        <v>10742</v>
      </c>
      <c r="C2001" s="395" t="s">
        <v>2021</v>
      </c>
      <c r="D2001" s="407">
        <f t="shared" si="62"/>
        <v>15.63</v>
      </c>
      <c r="F2001" s="680">
        <v>15.63</v>
      </c>
      <c r="G2001" s="680">
        <v>15.63</v>
      </c>
      <c r="H2001" t="b">
        <f t="shared" si="63"/>
        <v>1</v>
      </c>
    </row>
    <row r="2002" spans="1:8" ht="30">
      <c r="A2002" s="396">
        <v>11468</v>
      </c>
      <c r="B2002" s="401" t="s">
        <v>10743</v>
      </c>
      <c r="C2002" s="396" t="s">
        <v>2021</v>
      </c>
      <c r="D2002" s="405">
        <f t="shared" si="62"/>
        <v>15.64</v>
      </c>
      <c r="F2002" s="679">
        <v>15.64</v>
      </c>
      <c r="G2002" s="679">
        <v>15.64</v>
      </c>
      <c r="H2002" t="b">
        <f t="shared" si="63"/>
        <v>1</v>
      </c>
    </row>
    <row r="2003" spans="1:8" ht="30">
      <c r="A2003" s="395">
        <v>11484</v>
      </c>
      <c r="B2003" s="406" t="s">
        <v>10744</v>
      </c>
      <c r="C2003" s="395" t="s">
        <v>2021</v>
      </c>
      <c r="D2003" s="407">
        <f t="shared" si="62"/>
        <v>68.680000000000007</v>
      </c>
      <c r="F2003" s="680">
        <v>68.680000000000007</v>
      </c>
      <c r="G2003" s="680">
        <v>68.680000000000007</v>
      </c>
      <c r="H2003" t="b">
        <f t="shared" si="63"/>
        <v>1</v>
      </c>
    </row>
    <row r="2004" spans="1:8" ht="30">
      <c r="A2004" s="396">
        <v>38155</v>
      </c>
      <c r="B2004" s="401" t="s">
        <v>10745</v>
      </c>
      <c r="C2004" s="396" t="s">
        <v>2021</v>
      </c>
      <c r="D2004" s="405">
        <f t="shared" si="62"/>
        <v>106.63</v>
      </c>
      <c r="F2004" s="679">
        <v>106.63</v>
      </c>
      <c r="G2004" s="679">
        <v>106.63</v>
      </c>
      <c r="H2004" t="b">
        <f t="shared" si="63"/>
        <v>1</v>
      </c>
    </row>
    <row r="2005" spans="1:8" ht="30">
      <c r="A2005" s="395">
        <v>11467</v>
      </c>
      <c r="B2005" s="406" t="s">
        <v>10746</v>
      </c>
      <c r="C2005" s="395" t="s">
        <v>2021</v>
      </c>
      <c r="D2005" s="407">
        <f t="shared" si="62"/>
        <v>24.36</v>
      </c>
      <c r="F2005" s="680">
        <v>24.36</v>
      </c>
      <c r="G2005" s="680">
        <v>24.36</v>
      </c>
      <c r="H2005" t="b">
        <f t="shared" si="63"/>
        <v>1</v>
      </c>
    </row>
    <row r="2006" spans="1:8" ht="30">
      <c r="A2006" s="396">
        <v>38153</v>
      </c>
      <c r="B2006" s="401" t="s">
        <v>10747</v>
      </c>
      <c r="C2006" s="396" t="s">
        <v>2032</v>
      </c>
      <c r="D2006" s="405">
        <f t="shared" si="62"/>
        <v>62.24</v>
      </c>
      <c r="F2006" s="679">
        <v>62.24</v>
      </c>
      <c r="G2006" s="679">
        <v>62.24</v>
      </c>
      <c r="H2006" t="b">
        <f t="shared" si="63"/>
        <v>1</v>
      </c>
    </row>
    <row r="2007" spans="1:8" ht="45">
      <c r="A2007" s="395">
        <v>43607</v>
      </c>
      <c r="B2007" s="406" t="s">
        <v>10748</v>
      </c>
      <c r="C2007" s="395" t="s">
        <v>2032</v>
      </c>
      <c r="D2007" s="407">
        <f t="shared" si="62"/>
        <v>117.72</v>
      </c>
      <c r="F2007" s="680">
        <v>117.72</v>
      </c>
      <c r="G2007" s="680">
        <v>117.72</v>
      </c>
      <c r="H2007" t="b">
        <f t="shared" si="63"/>
        <v>1</v>
      </c>
    </row>
    <row r="2008" spans="1:8" ht="30">
      <c r="A2008" s="396">
        <v>3080</v>
      </c>
      <c r="B2008" s="401" t="s">
        <v>10749</v>
      </c>
      <c r="C2008" s="396" t="s">
        <v>2032</v>
      </c>
      <c r="D2008" s="405">
        <f t="shared" si="62"/>
        <v>79.150000000000006</v>
      </c>
      <c r="F2008" s="679">
        <v>79.150000000000006</v>
      </c>
      <c r="G2008" s="679">
        <v>79.150000000000006</v>
      </c>
      <c r="H2008" t="b">
        <f t="shared" si="63"/>
        <v>1</v>
      </c>
    </row>
    <row r="2009" spans="1:8" ht="30">
      <c r="A2009" s="395">
        <v>3081</v>
      </c>
      <c r="B2009" s="406" t="s">
        <v>10750</v>
      </c>
      <c r="C2009" s="395" t="s">
        <v>2032</v>
      </c>
      <c r="D2009" s="407">
        <f t="shared" si="62"/>
        <v>156.59</v>
      </c>
      <c r="F2009" s="680">
        <v>156.59</v>
      </c>
      <c r="G2009" s="680">
        <v>156.59</v>
      </c>
      <c r="H2009" t="b">
        <f t="shared" si="63"/>
        <v>1</v>
      </c>
    </row>
    <row r="2010" spans="1:8" ht="30">
      <c r="A2010" s="396">
        <v>3090</v>
      </c>
      <c r="B2010" s="401" t="s">
        <v>10751</v>
      </c>
      <c r="C2010" s="396" t="s">
        <v>2032</v>
      </c>
      <c r="D2010" s="405">
        <f t="shared" si="62"/>
        <v>70.64</v>
      </c>
      <c r="F2010" s="679">
        <v>70.64</v>
      </c>
      <c r="G2010" s="679">
        <v>70.64</v>
      </c>
      <c r="H2010" t="b">
        <f t="shared" si="63"/>
        <v>1</v>
      </c>
    </row>
    <row r="2011" spans="1:8" ht="30">
      <c r="A2011" s="395">
        <v>43611</v>
      </c>
      <c r="B2011" s="406" t="s">
        <v>10752</v>
      </c>
      <c r="C2011" s="395" t="s">
        <v>2032</v>
      </c>
      <c r="D2011" s="407">
        <f t="shared" si="62"/>
        <v>117.23</v>
      </c>
      <c r="F2011" s="680">
        <v>117.23</v>
      </c>
      <c r="G2011" s="680">
        <v>117.23</v>
      </c>
      <c r="H2011" t="b">
        <f t="shared" si="63"/>
        <v>1</v>
      </c>
    </row>
    <row r="2012" spans="1:8" ht="30">
      <c r="A2012" s="396">
        <v>3103</v>
      </c>
      <c r="B2012" s="401" t="s">
        <v>10753</v>
      </c>
      <c r="C2012" s="396" t="s">
        <v>2021</v>
      </c>
      <c r="D2012" s="405">
        <f t="shared" si="62"/>
        <v>58.57</v>
      </c>
      <c r="F2012" s="679">
        <v>58.57</v>
      </c>
      <c r="G2012" s="679">
        <v>58.57</v>
      </c>
      <c r="H2012" t="b">
        <f t="shared" si="63"/>
        <v>1</v>
      </c>
    </row>
    <row r="2013" spans="1:8" ht="30">
      <c r="A2013" s="395">
        <v>3097</v>
      </c>
      <c r="B2013" s="406" t="s">
        <v>10754</v>
      </c>
      <c r="C2013" s="395" t="s">
        <v>2032</v>
      </c>
      <c r="D2013" s="407">
        <f t="shared" si="62"/>
        <v>88.62</v>
      </c>
      <c r="F2013" s="680">
        <v>88.62</v>
      </c>
      <c r="G2013" s="680">
        <v>88.62</v>
      </c>
      <c r="H2013" t="b">
        <f t="shared" si="63"/>
        <v>1</v>
      </c>
    </row>
    <row r="2014" spans="1:8" ht="30">
      <c r="A2014" s="396">
        <v>3099</v>
      </c>
      <c r="B2014" s="401" t="s">
        <v>10755</v>
      </c>
      <c r="C2014" s="396" t="s">
        <v>2032</v>
      </c>
      <c r="D2014" s="405">
        <f t="shared" si="62"/>
        <v>141.9</v>
      </c>
      <c r="F2014" s="679">
        <v>141.9</v>
      </c>
      <c r="G2014" s="679">
        <v>141.9</v>
      </c>
      <c r="H2014" t="b">
        <f t="shared" si="63"/>
        <v>1</v>
      </c>
    </row>
    <row r="2015" spans="1:8" ht="30">
      <c r="A2015" s="395">
        <v>38151</v>
      </c>
      <c r="B2015" s="406" t="s">
        <v>10756</v>
      </c>
      <c r="C2015" s="395" t="s">
        <v>2032</v>
      </c>
      <c r="D2015" s="407">
        <f t="shared" si="62"/>
        <v>102.87</v>
      </c>
      <c r="F2015" s="680">
        <v>102.87</v>
      </c>
      <c r="G2015" s="680">
        <v>102.87</v>
      </c>
      <c r="H2015" t="b">
        <f t="shared" si="63"/>
        <v>1</v>
      </c>
    </row>
    <row r="2016" spans="1:8" ht="30">
      <c r="A2016" s="396">
        <v>38152</v>
      </c>
      <c r="B2016" s="401" t="s">
        <v>10757</v>
      </c>
      <c r="C2016" s="396" t="s">
        <v>2032</v>
      </c>
      <c r="D2016" s="405">
        <f t="shared" si="62"/>
        <v>165.95</v>
      </c>
      <c r="F2016" s="679">
        <v>165.95</v>
      </c>
      <c r="G2016" s="679">
        <v>165.95</v>
      </c>
      <c r="H2016" t="b">
        <f t="shared" si="63"/>
        <v>1</v>
      </c>
    </row>
    <row r="2017" spans="1:8" ht="45">
      <c r="A2017" s="395">
        <v>43610</v>
      </c>
      <c r="B2017" s="406" t="s">
        <v>10758</v>
      </c>
      <c r="C2017" s="395" t="s">
        <v>2032</v>
      </c>
      <c r="D2017" s="407">
        <f t="shared" si="62"/>
        <v>87.93</v>
      </c>
      <c r="F2017" s="680">
        <v>87.93</v>
      </c>
      <c r="G2017" s="680">
        <v>87.93</v>
      </c>
      <c r="H2017" t="b">
        <f t="shared" si="63"/>
        <v>1</v>
      </c>
    </row>
    <row r="2018" spans="1:8" ht="30">
      <c r="A2018" s="396">
        <v>3093</v>
      </c>
      <c r="B2018" s="401" t="s">
        <v>10759</v>
      </c>
      <c r="C2018" s="396" t="s">
        <v>2032</v>
      </c>
      <c r="D2018" s="405">
        <f t="shared" si="62"/>
        <v>141.9</v>
      </c>
      <c r="F2018" s="679">
        <v>141.9</v>
      </c>
      <c r="G2018" s="679">
        <v>141.9</v>
      </c>
      <c r="H2018" t="b">
        <f t="shared" si="63"/>
        <v>1</v>
      </c>
    </row>
    <row r="2019" spans="1:8" ht="30">
      <c r="A2019" s="395">
        <v>38165</v>
      </c>
      <c r="B2019" s="406" t="s">
        <v>10760</v>
      </c>
      <c r="C2019" s="395" t="s">
        <v>2032</v>
      </c>
      <c r="D2019" s="407">
        <f t="shared" si="62"/>
        <v>78.38</v>
      </c>
      <c r="F2019" s="680">
        <v>78.38</v>
      </c>
      <c r="G2019" s="680">
        <v>78.38</v>
      </c>
      <c r="H2019" t="b">
        <f t="shared" si="63"/>
        <v>1</v>
      </c>
    </row>
    <row r="2020" spans="1:8">
      <c r="A2020" s="396">
        <v>38177</v>
      </c>
      <c r="B2020" s="401" t="s">
        <v>10761</v>
      </c>
      <c r="C2020" s="396" t="s">
        <v>2021</v>
      </c>
      <c r="D2020" s="405">
        <f t="shared" si="62"/>
        <v>23.29</v>
      </c>
      <c r="F2020" s="679">
        <v>23.29</v>
      </c>
      <c r="G2020" s="679">
        <v>23.29</v>
      </c>
      <c r="H2020" t="b">
        <f t="shared" si="63"/>
        <v>1</v>
      </c>
    </row>
    <row r="2021" spans="1:8">
      <c r="A2021" s="395">
        <v>11458</v>
      </c>
      <c r="B2021" s="406" t="s">
        <v>10762</v>
      </c>
      <c r="C2021" s="395" t="s">
        <v>2021</v>
      </c>
      <c r="D2021" s="407">
        <f t="shared" si="62"/>
        <v>27.81</v>
      </c>
      <c r="F2021" s="680">
        <v>27.81</v>
      </c>
      <c r="G2021" s="680">
        <v>27.81</v>
      </c>
      <c r="H2021" t="b">
        <f t="shared" si="63"/>
        <v>1</v>
      </c>
    </row>
    <row r="2022" spans="1:8" ht="30">
      <c r="A2022" s="396">
        <v>3108</v>
      </c>
      <c r="B2022" s="401" t="s">
        <v>10763</v>
      </c>
      <c r="C2022" s="396" t="s">
        <v>2021</v>
      </c>
      <c r="D2022" s="405">
        <f t="shared" si="62"/>
        <v>118.21</v>
      </c>
      <c r="F2022" s="679">
        <v>118.21</v>
      </c>
      <c r="G2022" s="679">
        <v>118.21</v>
      </c>
      <c r="H2022" t="b">
        <f t="shared" si="63"/>
        <v>1</v>
      </c>
    </row>
    <row r="2023" spans="1:8" ht="30">
      <c r="A2023" s="395">
        <v>3105</v>
      </c>
      <c r="B2023" s="406" t="s">
        <v>10764</v>
      </c>
      <c r="C2023" s="395" t="s">
        <v>2021</v>
      </c>
      <c r="D2023" s="407">
        <f t="shared" si="62"/>
        <v>154.61000000000001</v>
      </c>
      <c r="F2023" s="680">
        <v>154.61000000000001</v>
      </c>
      <c r="G2023" s="680">
        <v>154.61000000000001</v>
      </c>
      <c r="H2023" t="b">
        <f t="shared" si="63"/>
        <v>1</v>
      </c>
    </row>
    <row r="2024" spans="1:8" ht="30">
      <c r="A2024" s="396">
        <v>38178</v>
      </c>
      <c r="B2024" s="401" t="s">
        <v>10765</v>
      </c>
      <c r="C2024" s="396" t="s">
        <v>2021</v>
      </c>
      <c r="D2024" s="405">
        <f t="shared" si="62"/>
        <v>25.63</v>
      </c>
      <c r="F2024" s="679">
        <v>25.63</v>
      </c>
      <c r="G2024" s="679">
        <v>25.63</v>
      </c>
      <c r="H2024" t="b">
        <f t="shared" si="63"/>
        <v>1</v>
      </c>
    </row>
    <row r="2025" spans="1:8" ht="30">
      <c r="A2025" s="395">
        <v>43575</v>
      </c>
      <c r="B2025" s="406" t="s">
        <v>10766</v>
      </c>
      <c r="C2025" s="395" t="s">
        <v>2021</v>
      </c>
      <c r="D2025" s="407">
        <f t="shared" si="62"/>
        <v>55.53</v>
      </c>
      <c r="F2025" s="680">
        <v>55.53</v>
      </c>
      <c r="G2025" s="680">
        <v>55.53</v>
      </c>
      <c r="H2025" t="b">
        <f t="shared" si="63"/>
        <v>1</v>
      </c>
    </row>
    <row r="2026" spans="1:8" ht="30">
      <c r="A2026" s="396">
        <v>43577</v>
      </c>
      <c r="B2026" s="401" t="s">
        <v>10767</v>
      </c>
      <c r="C2026" s="396" t="s">
        <v>2021</v>
      </c>
      <c r="D2026" s="405">
        <f t="shared" si="62"/>
        <v>96.54</v>
      </c>
      <c r="F2026" s="679">
        <v>96.54</v>
      </c>
      <c r="G2026" s="679">
        <v>96.54</v>
      </c>
      <c r="H2026" t="b">
        <f t="shared" si="63"/>
        <v>1</v>
      </c>
    </row>
    <row r="2027" spans="1:8">
      <c r="A2027" s="395">
        <v>43458</v>
      </c>
      <c r="B2027" s="406" t="s">
        <v>10768</v>
      </c>
      <c r="C2027" s="395" t="s">
        <v>2020</v>
      </c>
      <c r="D2027" s="407">
        <f t="shared" si="62"/>
        <v>0.06</v>
      </c>
      <c r="F2027" s="680">
        <v>0.06</v>
      </c>
      <c r="G2027" s="680">
        <v>0.06</v>
      </c>
      <c r="H2027" t="b">
        <f t="shared" si="63"/>
        <v>1</v>
      </c>
    </row>
    <row r="2028" spans="1:8">
      <c r="A2028" s="396">
        <v>43470</v>
      </c>
      <c r="B2028" s="401" t="s">
        <v>10769</v>
      </c>
      <c r="C2028" s="396" t="s">
        <v>2027</v>
      </c>
      <c r="D2028" s="405">
        <f t="shared" si="62"/>
        <v>10.6</v>
      </c>
      <c r="F2028" s="679">
        <v>10.6</v>
      </c>
      <c r="G2028" s="679">
        <v>10.6</v>
      </c>
      <c r="H2028" t="b">
        <f t="shared" si="63"/>
        <v>1</v>
      </c>
    </row>
    <row r="2029" spans="1:8">
      <c r="A2029" s="395">
        <v>43459</v>
      </c>
      <c r="B2029" s="406" t="s">
        <v>10770</v>
      </c>
      <c r="C2029" s="395" t="s">
        <v>2020</v>
      </c>
      <c r="D2029" s="407">
        <f t="shared" si="62"/>
        <v>0.49</v>
      </c>
      <c r="F2029" s="680">
        <v>0.49</v>
      </c>
      <c r="G2029" s="680">
        <v>0.49</v>
      </c>
      <c r="H2029" t="b">
        <f t="shared" si="63"/>
        <v>1</v>
      </c>
    </row>
    <row r="2030" spans="1:8">
      <c r="A2030" s="396">
        <v>43471</v>
      </c>
      <c r="B2030" s="401" t="s">
        <v>10771</v>
      </c>
      <c r="C2030" s="396" t="s">
        <v>2027</v>
      </c>
      <c r="D2030" s="405">
        <f t="shared" si="62"/>
        <v>92.9</v>
      </c>
      <c r="F2030" s="679">
        <v>92.9</v>
      </c>
      <c r="G2030" s="679">
        <v>92.9</v>
      </c>
      <c r="H2030" t="b">
        <f t="shared" si="63"/>
        <v>1</v>
      </c>
    </row>
    <row r="2031" spans="1:8">
      <c r="A2031" s="395">
        <v>43460</v>
      </c>
      <c r="B2031" s="406" t="s">
        <v>10772</v>
      </c>
      <c r="C2031" s="395" t="s">
        <v>2020</v>
      </c>
      <c r="D2031" s="407">
        <f t="shared" si="62"/>
        <v>0.86</v>
      </c>
      <c r="F2031" s="680">
        <v>0.86</v>
      </c>
      <c r="G2031" s="680">
        <v>0.86</v>
      </c>
      <c r="H2031" t="b">
        <f t="shared" si="63"/>
        <v>1</v>
      </c>
    </row>
    <row r="2032" spans="1:8">
      <c r="A2032" s="396">
        <v>43472</v>
      </c>
      <c r="B2032" s="401" t="s">
        <v>10773</v>
      </c>
      <c r="C2032" s="396" t="s">
        <v>2027</v>
      </c>
      <c r="D2032" s="405">
        <f t="shared" si="62"/>
        <v>161.79</v>
      </c>
      <c r="F2032" s="679">
        <v>161.79</v>
      </c>
      <c r="G2032" s="679">
        <v>161.79</v>
      </c>
      <c r="H2032" t="b">
        <f t="shared" si="63"/>
        <v>1</v>
      </c>
    </row>
    <row r="2033" spans="1:8">
      <c r="A2033" s="395">
        <v>43461</v>
      </c>
      <c r="B2033" s="406" t="s">
        <v>10774</v>
      </c>
      <c r="C2033" s="395" t="s">
        <v>2020</v>
      </c>
      <c r="D2033" s="407">
        <f t="shared" si="62"/>
        <v>0.32</v>
      </c>
      <c r="F2033" s="680">
        <v>0.32</v>
      </c>
      <c r="G2033" s="680">
        <v>0.32</v>
      </c>
      <c r="H2033" t="b">
        <f t="shared" si="63"/>
        <v>1</v>
      </c>
    </row>
    <row r="2034" spans="1:8">
      <c r="A2034" s="396">
        <v>43473</v>
      </c>
      <c r="B2034" s="401" t="s">
        <v>10775</v>
      </c>
      <c r="C2034" s="396" t="s">
        <v>2027</v>
      </c>
      <c r="D2034" s="405">
        <f t="shared" si="62"/>
        <v>60.76</v>
      </c>
      <c r="F2034" s="679">
        <v>60.76</v>
      </c>
      <c r="G2034" s="679">
        <v>60.76</v>
      </c>
      <c r="H2034" t="b">
        <f t="shared" si="63"/>
        <v>1</v>
      </c>
    </row>
    <row r="2035" spans="1:8">
      <c r="A2035" s="395">
        <v>43463</v>
      </c>
      <c r="B2035" s="406" t="s">
        <v>10776</v>
      </c>
      <c r="C2035" s="395" t="s">
        <v>2020</v>
      </c>
      <c r="D2035" s="407">
        <f t="shared" si="62"/>
        <v>0.11</v>
      </c>
      <c r="F2035" s="680">
        <v>0.11</v>
      </c>
      <c r="G2035" s="680">
        <v>0.11</v>
      </c>
      <c r="H2035" t="b">
        <f t="shared" si="63"/>
        <v>1</v>
      </c>
    </row>
    <row r="2036" spans="1:8">
      <c r="A2036" s="396">
        <v>43475</v>
      </c>
      <c r="B2036" s="401" t="s">
        <v>10777</v>
      </c>
      <c r="C2036" s="396" t="s">
        <v>2027</v>
      </c>
      <c r="D2036" s="405">
        <f t="shared" si="62"/>
        <v>21.49</v>
      </c>
      <c r="F2036" s="679">
        <v>21.49</v>
      </c>
      <c r="G2036" s="679">
        <v>21.49</v>
      </c>
      <c r="H2036" t="b">
        <f t="shared" si="63"/>
        <v>1</v>
      </c>
    </row>
    <row r="2037" spans="1:8">
      <c r="A2037" s="395">
        <v>43462</v>
      </c>
      <c r="B2037" s="406" t="s">
        <v>10778</v>
      </c>
      <c r="C2037" s="395" t="s">
        <v>2020</v>
      </c>
      <c r="D2037" s="407">
        <f t="shared" si="62"/>
        <v>0.01</v>
      </c>
      <c r="F2037" s="680">
        <v>0.01</v>
      </c>
      <c r="G2037" s="680">
        <v>0.01</v>
      </c>
      <c r="H2037" t="b">
        <f t="shared" si="63"/>
        <v>1</v>
      </c>
    </row>
    <row r="2038" spans="1:8">
      <c r="A2038" s="396">
        <v>43474</v>
      </c>
      <c r="B2038" s="401" t="s">
        <v>10779</v>
      </c>
      <c r="C2038" s="396" t="s">
        <v>2027</v>
      </c>
      <c r="D2038" s="405">
        <f t="shared" si="62"/>
        <v>2.54</v>
      </c>
      <c r="F2038" s="679">
        <v>2.54</v>
      </c>
      <c r="G2038" s="679">
        <v>2.54</v>
      </c>
      <c r="H2038" t="b">
        <f t="shared" si="63"/>
        <v>1</v>
      </c>
    </row>
    <row r="2039" spans="1:8">
      <c r="A2039" s="395">
        <v>43464</v>
      </c>
      <c r="B2039" s="406" t="s">
        <v>10780</v>
      </c>
      <c r="C2039" s="395" t="s">
        <v>2020</v>
      </c>
      <c r="D2039" s="407">
        <f t="shared" si="62"/>
        <v>0.01</v>
      </c>
      <c r="F2039" s="680">
        <v>0.01</v>
      </c>
      <c r="G2039" s="680">
        <v>0.01</v>
      </c>
      <c r="H2039" t="b">
        <f t="shared" si="63"/>
        <v>1</v>
      </c>
    </row>
    <row r="2040" spans="1:8">
      <c r="A2040" s="396">
        <v>43476</v>
      </c>
      <c r="B2040" s="401" t="s">
        <v>10781</v>
      </c>
      <c r="C2040" s="396" t="s">
        <v>2027</v>
      </c>
      <c r="D2040" s="405">
        <f t="shared" si="62"/>
        <v>0.01</v>
      </c>
      <c r="F2040" s="679">
        <v>0.01</v>
      </c>
      <c r="G2040" s="679">
        <v>0.01</v>
      </c>
      <c r="H2040" t="b">
        <f t="shared" si="63"/>
        <v>1</v>
      </c>
    </row>
    <row r="2041" spans="1:8">
      <c r="A2041" s="395">
        <v>43465</v>
      </c>
      <c r="B2041" s="406" t="s">
        <v>10782</v>
      </c>
      <c r="C2041" s="395" t="s">
        <v>2020</v>
      </c>
      <c r="D2041" s="407">
        <f t="shared" si="62"/>
        <v>0.84</v>
      </c>
      <c r="F2041" s="680">
        <v>0.84</v>
      </c>
      <c r="G2041" s="680">
        <v>0.84</v>
      </c>
      <c r="H2041" t="b">
        <f t="shared" si="63"/>
        <v>1</v>
      </c>
    </row>
    <row r="2042" spans="1:8">
      <c r="A2042" s="396">
        <v>43477</v>
      </c>
      <c r="B2042" s="401" t="s">
        <v>10783</v>
      </c>
      <c r="C2042" s="396" t="s">
        <v>2027</v>
      </c>
      <c r="D2042" s="405">
        <f t="shared" si="62"/>
        <v>158.88</v>
      </c>
      <c r="F2042" s="679">
        <v>158.88</v>
      </c>
      <c r="G2042" s="679">
        <v>158.88</v>
      </c>
      <c r="H2042" t="b">
        <f t="shared" si="63"/>
        <v>1</v>
      </c>
    </row>
    <row r="2043" spans="1:8">
      <c r="A2043" s="395">
        <v>43466</v>
      </c>
      <c r="B2043" s="406" t="s">
        <v>10784</v>
      </c>
      <c r="C2043" s="395" t="s">
        <v>2020</v>
      </c>
      <c r="D2043" s="407">
        <f t="shared" si="62"/>
        <v>1.68</v>
      </c>
      <c r="F2043" s="680">
        <v>1.68</v>
      </c>
      <c r="G2043" s="680">
        <v>1.68</v>
      </c>
      <c r="H2043" t="b">
        <f t="shared" si="63"/>
        <v>1</v>
      </c>
    </row>
    <row r="2044" spans="1:8">
      <c r="A2044" s="396">
        <v>43478</v>
      </c>
      <c r="B2044" s="401" t="s">
        <v>10785</v>
      </c>
      <c r="C2044" s="396" t="s">
        <v>2027</v>
      </c>
      <c r="D2044" s="405">
        <f t="shared" si="62"/>
        <v>315.88</v>
      </c>
      <c r="F2044" s="679">
        <v>315.88</v>
      </c>
      <c r="G2044" s="679">
        <v>315.88</v>
      </c>
      <c r="H2044" t="b">
        <f t="shared" si="63"/>
        <v>1</v>
      </c>
    </row>
    <row r="2045" spans="1:8">
      <c r="A2045" s="395">
        <v>43467</v>
      </c>
      <c r="B2045" s="406" t="s">
        <v>10786</v>
      </c>
      <c r="C2045" s="395" t="s">
        <v>2020</v>
      </c>
      <c r="D2045" s="407">
        <f t="shared" si="62"/>
        <v>0.59</v>
      </c>
      <c r="F2045" s="680">
        <v>0.59</v>
      </c>
      <c r="G2045" s="680">
        <v>0.59</v>
      </c>
      <c r="H2045" t="b">
        <f t="shared" si="63"/>
        <v>1</v>
      </c>
    </row>
    <row r="2046" spans="1:8">
      <c r="A2046" s="396">
        <v>43479</v>
      </c>
      <c r="B2046" s="401" t="s">
        <v>10787</v>
      </c>
      <c r="C2046" s="396" t="s">
        <v>2027</v>
      </c>
      <c r="D2046" s="405">
        <f t="shared" si="62"/>
        <v>110.64</v>
      </c>
      <c r="F2046" s="679">
        <v>110.64</v>
      </c>
      <c r="G2046" s="679">
        <v>110.64</v>
      </c>
      <c r="H2046" t="b">
        <f t="shared" si="63"/>
        <v>1</v>
      </c>
    </row>
    <row r="2047" spans="1:8">
      <c r="A2047" s="395">
        <v>43468</v>
      </c>
      <c r="B2047" s="406" t="s">
        <v>10788</v>
      </c>
      <c r="C2047" s="395" t="s">
        <v>2020</v>
      </c>
      <c r="D2047" s="407">
        <f t="shared" si="62"/>
        <v>1.17</v>
      </c>
      <c r="F2047" s="680">
        <v>1.17</v>
      </c>
      <c r="G2047" s="680">
        <v>1.17</v>
      </c>
      <c r="H2047" t="b">
        <f t="shared" si="63"/>
        <v>1</v>
      </c>
    </row>
    <row r="2048" spans="1:8">
      <c r="A2048" s="396">
        <v>43480</v>
      </c>
      <c r="B2048" s="401" t="s">
        <v>10789</v>
      </c>
      <c r="C2048" s="396" t="s">
        <v>2027</v>
      </c>
      <c r="D2048" s="405">
        <f t="shared" si="62"/>
        <v>220.75</v>
      </c>
      <c r="F2048" s="679">
        <v>220.75</v>
      </c>
      <c r="G2048" s="679">
        <v>220.75</v>
      </c>
      <c r="H2048" t="b">
        <f t="shared" si="63"/>
        <v>1</v>
      </c>
    </row>
    <row r="2049" spans="1:8">
      <c r="A2049" s="395">
        <v>43469</v>
      </c>
      <c r="B2049" s="406" t="s">
        <v>10790</v>
      </c>
      <c r="C2049" s="395" t="s">
        <v>2020</v>
      </c>
      <c r="D2049" s="407">
        <f t="shared" si="62"/>
        <v>0.08</v>
      </c>
      <c r="F2049" s="680">
        <v>0.08</v>
      </c>
      <c r="G2049" s="680">
        <v>0.08</v>
      </c>
      <c r="H2049" t="b">
        <f t="shared" si="63"/>
        <v>1</v>
      </c>
    </row>
    <row r="2050" spans="1:8">
      <c r="A2050" s="396">
        <v>43481</v>
      </c>
      <c r="B2050" s="401" t="s">
        <v>10791</v>
      </c>
      <c r="C2050" s="396" t="s">
        <v>2027</v>
      </c>
      <c r="D2050" s="405">
        <f t="shared" si="62"/>
        <v>15.18</v>
      </c>
      <c r="F2050" s="679">
        <v>15.18</v>
      </c>
      <c r="G2050" s="679">
        <v>15.18</v>
      </c>
      <c r="H2050" t="b">
        <f t="shared" si="63"/>
        <v>1</v>
      </c>
    </row>
    <row r="2051" spans="1:8" ht="30">
      <c r="A2051" s="395">
        <v>3119</v>
      </c>
      <c r="B2051" s="406" t="s">
        <v>10792</v>
      </c>
      <c r="C2051" s="395" t="s">
        <v>2021</v>
      </c>
      <c r="D2051" s="407">
        <f t="shared" ref="D2051:D2114" si="64">IF($J$2=$F$1,F2051,G2051)</f>
        <v>3.01</v>
      </c>
      <c r="F2051" s="680">
        <v>3.01</v>
      </c>
      <c r="G2051" s="680">
        <v>3.01</v>
      </c>
      <c r="H2051" t="b">
        <f t="shared" ref="H2051:H2114" si="65">F2051=G2051</f>
        <v>1</v>
      </c>
    </row>
    <row r="2052" spans="1:8" ht="30">
      <c r="A2052" s="396">
        <v>3122</v>
      </c>
      <c r="B2052" s="401" t="s">
        <v>10793</v>
      </c>
      <c r="C2052" s="396" t="s">
        <v>2021</v>
      </c>
      <c r="D2052" s="405">
        <f t="shared" si="64"/>
        <v>6.12</v>
      </c>
      <c r="F2052" s="679">
        <v>6.12</v>
      </c>
      <c r="G2052" s="679">
        <v>6.12</v>
      </c>
      <c r="H2052" t="b">
        <f t="shared" si="65"/>
        <v>1</v>
      </c>
    </row>
    <row r="2053" spans="1:8" ht="30">
      <c r="A2053" s="395">
        <v>3121</v>
      </c>
      <c r="B2053" s="406" t="s">
        <v>10794</v>
      </c>
      <c r="C2053" s="395" t="s">
        <v>2021</v>
      </c>
      <c r="D2053" s="407">
        <f t="shared" si="64"/>
        <v>6.94</v>
      </c>
      <c r="F2053" s="680">
        <v>6.94</v>
      </c>
      <c r="G2053" s="680">
        <v>6.94</v>
      </c>
      <c r="H2053" t="b">
        <f t="shared" si="65"/>
        <v>1</v>
      </c>
    </row>
    <row r="2054" spans="1:8" ht="30">
      <c r="A2054" s="396">
        <v>3120</v>
      </c>
      <c r="B2054" s="401" t="s">
        <v>10795</v>
      </c>
      <c r="C2054" s="396" t="s">
        <v>2021</v>
      </c>
      <c r="D2054" s="405">
        <f t="shared" si="64"/>
        <v>13.16</v>
      </c>
      <c r="F2054" s="679">
        <v>13.16</v>
      </c>
      <c r="G2054" s="679">
        <v>13.16</v>
      </c>
      <c r="H2054" t="b">
        <f t="shared" si="65"/>
        <v>1</v>
      </c>
    </row>
    <row r="2055" spans="1:8" ht="30">
      <c r="A2055" s="395">
        <v>11455</v>
      </c>
      <c r="B2055" s="406" t="s">
        <v>10796</v>
      </c>
      <c r="C2055" s="395" t="s">
        <v>2021</v>
      </c>
      <c r="D2055" s="407">
        <f t="shared" si="64"/>
        <v>19.04</v>
      </c>
      <c r="F2055" s="680">
        <v>19.04</v>
      </c>
      <c r="G2055" s="680">
        <v>19.04</v>
      </c>
      <c r="H2055" t="b">
        <f t="shared" si="65"/>
        <v>1</v>
      </c>
    </row>
    <row r="2056" spans="1:8" ht="30">
      <c r="A2056" s="396">
        <v>11456</v>
      </c>
      <c r="B2056" s="401" t="s">
        <v>10797</v>
      </c>
      <c r="C2056" s="396" t="s">
        <v>2021</v>
      </c>
      <c r="D2056" s="405">
        <f t="shared" si="64"/>
        <v>22.75</v>
      </c>
      <c r="F2056" s="679">
        <v>22.75</v>
      </c>
      <c r="G2056" s="679">
        <v>22.75</v>
      </c>
      <c r="H2056" t="b">
        <f t="shared" si="65"/>
        <v>1</v>
      </c>
    </row>
    <row r="2057" spans="1:8" ht="30">
      <c r="A2057" s="395">
        <v>3107</v>
      </c>
      <c r="B2057" s="406" t="s">
        <v>10798</v>
      </c>
      <c r="C2057" s="395" t="s">
        <v>2021</v>
      </c>
      <c r="D2057" s="407">
        <f t="shared" si="64"/>
        <v>9.6</v>
      </c>
      <c r="F2057" s="680">
        <v>9.6</v>
      </c>
      <c r="G2057" s="680">
        <v>9.6</v>
      </c>
      <c r="H2057" t="b">
        <f t="shared" si="65"/>
        <v>1</v>
      </c>
    </row>
    <row r="2058" spans="1:8" ht="30">
      <c r="A2058" s="396">
        <v>43583</v>
      </c>
      <c r="B2058" s="401" t="s">
        <v>10799</v>
      </c>
      <c r="C2058" s="396" t="s">
        <v>2021</v>
      </c>
      <c r="D2058" s="405">
        <f t="shared" si="64"/>
        <v>10.82</v>
      </c>
      <c r="F2058" s="679">
        <v>10.82</v>
      </c>
      <c r="G2058" s="679">
        <v>10.82</v>
      </c>
      <c r="H2058" t="b">
        <f t="shared" si="65"/>
        <v>1</v>
      </c>
    </row>
    <row r="2059" spans="1:8" ht="30">
      <c r="A2059" s="395">
        <v>43586</v>
      </c>
      <c r="B2059" s="406" t="s">
        <v>10800</v>
      </c>
      <c r="C2059" s="395" t="s">
        <v>2021</v>
      </c>
      <c r="D2059" s="407">
        <f t="shared" si="64"/>
        <v>11.09</v>
      </c>
      <c r="F2059" s="680">
        <v>11.09</v>
      </c>
      <c r="G2059" s="680">
        <v>11.09</v>
      </c>
      <c r="H2059" t="b">
        <f t="shared" si="65"/>
        <v>1</v>
      </c>
    </row>
    <row r="2060" spans="1:8" ht="30">
      <c r="A2060" s="396">
        <v>11461</v>
      </c>
      <c r="B2060" s="401" t="s">
        <v>10801</v>
      </c>
      <c r="C2060" s="396" t="s">
        <v>2021</v>
      </c>
      <c r="D2060" s="405">
        <f t="shared" si="64"/>
        <v>12.09</v>
      </c>
      <c r="F2060" s="679">
        <v>12.09</v>
      </c>
      <c r="G2060" s="679">
        <v>12.09</v>
      </c>
      <c r="H2060" t="b">
        <f t="shared" si="65"/>
        <v>1</v>
      </c>
    </row>
    <row r="2061" spans="1:8" ht="30">
      <c r="A2061" s="395">
        <v>43587</v>
      </c>
      <c r="B2061" s="406" t="s">
        <v>10802</v>
      </c>
      <c r="C2061" s="395" t="s">
        <v>2021</v>
      </c>
      <c r="D2061" s="407">
        <f t="shared" si="64"/>
        <v>13.95</v>
      </c>
      <c r="F2061" s="680">
        <v>13.95</v>
      </c>
      <c r="G2061" s="680">
        <v>13.95</v>
      </c>
      <c r="H2061" t="b">
        <f t="shared" si="65"/>
        <v>1</v>
      </c>
    </row>
    <row r="2062" spans="1:8" ht="30">
      <c r="A2062" s="396">
        <v>3106</v>
      </c>
      <c r="B2062" s="401" t="s">
        <v>10803</v>
      </c>
      <c r="C2062" s="396" t="s">
        <v>2021</v>
      </c>
      <c r="D2062" s="405">
        <f t="shared" si="64"/>
        <v>17.7</v>
      </c>
      <c r="F2062" s="679">
        <v>17.7</v>
      </c>
      <c r="G2062" s="679">
        <v>17.7</v>
      </c>
      <c r="H2062" t="b">
        <f t="shared" si="65"/>
        <v>1</v>
      </c>
    </row>
    <row r="2063" spans="1:8">
      <c r="A2063" s="395">
        <v>44539</v>
      </c>
      <c r="B2063" s="406" t="s">
        <v>10804</v>
      </c>
      <c r="C2063" s="395" t="s">
        <v>2025</v>
      </c>
      <c r="D2063" s="407">
        <f t="shared" si="64"/>
        <v>5.44</v>
      </c>
      <c r="F2063" s="680">
        <v>5.44</v>
      </c>
      <c r="G2063" s="680">
        <v>5.44</v>
      </c>
      <c r="H2063" t="b">
        <f t="shared" si="65"/>
        <v>1</v>
      </c>
    </row>
    <row r="2064" spans="1:8">
      <c r="A2064" s="396">
        <v>3123</v>
      </c>
      <c r="B2064" s="401" t="s">
        <v>10805</v>
      </c>
      <c r="C2064" s="396" t="s">
        <v>2025</v>
      </c>
      <c r="D2064" s="405">
        <f t="shared" si="64"/>
        <v>5.07</v>
      </c>
      <c r="F2064" s="679">
        <v>5.07</v>
      </c>
      <c r="G2064" s="679">
        <v>5.07</v>
      </c>
      <c r="H2064" t="b">
        <f t="shared" si="65"/>
        <v>1</v>
      </c>
    </row>
    <row r="2065" spans="1:8">
      <c r="A2065" s="395">
        <v>38125</v>
      </c>
      <c r="B2065" s="406" t="s">
        <v>10806</v>
      </c>
      <c r="C2065" s="395" t="s">
        <v>2025</v>
      </c>
      <c r="D2065" s="407">
        <f t="shared" si="64"/>
        <v>1.02</v>
      </c>
      <c r="F2065" s="680">
        <v>1.02</v>
      </c>
      <c r="G2065" s="680">
        <v>1.02</v>
      </c>
      <c r="H2065" t="b">
        <f t="shared" si="65"/>
        <v>1</v>
      </c>
    </row>
    <row r="2066" spans="1:8" ht="30">
      <c r="A2066" s="396">
        <v>39014</v>
      </c>
      <c r="B2066" s="401" t="s">
        <v>10807</v>
      </c>
      <c r="C2066" s="396" t="s">
        <v>2025</v>
      </c>
      <c r="D2066" s="405">
        <f t="shared" si="64"/>
        <v>14.08</v>
      </c>
      <c r="F2066" s="679">
        <v>14.08</v>
      </c>
      <c r="G2066" s="679">
        <v>14.08</v>
      </c>
      <c r="H2066" t="b">
        <f t="shared" si="65"/>
        <v>1</v>
      </c>
    </row>
    <row r="2067" spans="1:8">
      <c r="A2067" s="395">
        <v>39365</v>
      </c>
      <c r="B2067" s="406" t="s">
        <v>10808</v>
      </c>
      <c r="C2067" s="395" t="s">
        <v>2021</v>
      </c>
      <c r="D2067" s="407">
        <f t="shared" si="64"/>
        <v>1196.06</v>
      </c>
      <c r="F2067" s="680">
        <v>1196.06</v>
      </c>
      <c r="G2067" s="680">
        <v>1196.06</v>
      </c>
      <c r="H2067" t="b">
        <f t="shared" si="65"/>
        <v>1</v>
      </c>
    </row>
    <row r="2068" spans="1:8">
      <c r="A2068" s="396">
        <v>39366</v>
      </c>
      <c r="B2068" s="401" t="s">
        <v>10809</v>
      </c>
      <c r="C2068" s="396" t="s">
        <v>2021</v>
      </c>
      <c r="D2068" s="405">
        <f t="shared" si="64"/>
        <v>3062.41</v>
      </c>
      <c r="F2068" s="679">
        <v>3062.41</v>
      </c>
      <c r="G2068" s="679">
        <v>3062.41</v>
      </c>
      <c r="H2068" t="b">
        <f t="shared" si="65"/>
        <v>1</v>
      </c>
    </row>
    <row r="2069" spans="1:8">
      <c r="A2069" s="395">
        <v>39367</v>
      </c>
      <c r="B2069" s="406" t="s">
        <v>10810</v>
      </c>
      <c r="C2069" s="395" t="s">
        <v>2021</v>
      </c>
      <c r="D2069" s="407">
        <f t="shared" si="64"/>
        <v>4185.7700000000004</v>
      </c>
      <c r="F2069" s="680">
        <v>4185.7700000000004</v>
      </c>
      <c r="G2069" s="680">
        <v>4185.7700000000004</v>
      </c>
      <c r="H2069" t="b">
        <f t="shared" si="65"/>
        <v>1</v>
      </c>
    </row>
    <row r="2070" spans="1:8">
      <c r="A2070" s="396">
        <v>37394</v>
      </c>
      <c r="B2070" s="401" t="s">
        <v>10811</v>
      </c>
      <c r="C2070" s="396" t="s">
        <v>2034</v>
      </c>
      <c r="D2070" s="405">
        <f t="shared" si="64"/>
        <v>43.71</v>
      </c>
      <c r="F2070" s="679">
        <v>43.71</v>
      </c>
      <c r="G2070" s="679">
        <v>43.71</v>
      </c>
      <c r="H2070" t="b">
        <f t="shared" si="65"/>
        <v>1</v>
      </c>
    </row>
    <row r="2071" spans="1:8">
      <c r="A2071" s="395">
        <v>14146</v>
      </c>
      <c r="B2071" s="406" t="s">
        <v>10812</v>
      </c>
      <c r="C2071" s="395" t="s">
        <v>2034</v>
      </c>
      <c r="D2071" s="407">
        <f t="shared" si="64"/>
        <v>70.3</v>
      </c>
      <c r="F2071" s="680">
        <v>70.3</v>
      </c>
      <c r="G2071" s="680">
        <v>70.3</v>
      </c>
      <c r="H2071" t="b">
        <f t="shared" si="65"/>
        <v>1</v>
      </c>
    </row>
    <row r="2072" spans="1:8">
      <c r="A2072" s="396">
        <v>938</v>
      </c>
      <c r="B2072" s="401" t="s">
        <v>10813</v>
      </c>
      <c r="C2072" s="396" t="s">
        <v>2024</v>
      </c>
      <c r="D2072" s="405">
        <f t="shared" si="64"/>
        <v>1.49</v>
      </c>
      <c r="F2072" s="679">
        <v>1.49</v>
      </c>
      <c r="G2072" s="679">
        <v>1.49</v>
      </c>
      <c r="H2072" t="b">
        <f t="shared" si="65"/>
        <v>1</v>
      </c>
    </row>
    <row r="2073" spans="1:8">
      <c r="A2073" s="395">
        <v>937</v>
      </c>
      <c r="B2073" s="406" t="s">
        <v>10814</v>
      </c>
      <c r="C2073" s="395" t="s">
        <v>2024</v>
      </c>
      <c r="D2073" s="407">
        <f t="shared" si="64"/>
        <v>8.69</v>
      </c>
      <c r="F2073" s="680">
        <v>8.69</v>
      </c>
      <c r="G2073" s="680">
        <v>8.69</v>
      </c>
      <c r="H2073" t="b">
        <f t="shared" si="65"/>
        <v>1</v>
      </c>
    </row>
    <row r="2074" spans="1:8">
      <c r="A2074" s="396">
        <v>939</v>
      </c>
      <c r="B2074" s="401" t="s">
        <v>10815</v>
      </c>
      <c r="C2074" s="396" t="s">
        <v>2024</v>
      </c>
      <c r="D2074" s="405">
        <f t="shared" si="64"/>
        <v>2.41</v>
      </c>
      <c r="F2074" s="679">
        <v>2.41</v>
      </c>
      <c r="G2074" s="679">
        <v>2.41</v>
      </c>
      <c r="H2074" t="b">
        <f t="shared" si="65"/>
        <v>1</v>
      </c>
    </row>
    <row r="2075" spans="1:8">
      <c r="A2075" s="395">
        <v>944</v>
      </c>
      <c r="B2075" s="406" t="s">
        <v>10816</v>
      </c>
      <c r="C2075" s="395" t="s">
        <v>2024</v>
      </c>
      <c r="D2075" s="407">
        <f t="shared" si="64"/>
        <v>3.81</v>
      </c>
      <c r="F2075" s="680">
        <v>3.81</v>
      </c>
      <c r="G2075" s="680">
        <v>3.81</v>
      </c>
      <c r="H2075" t="b">
        <f t="shared" si="65"/>
        <v>1</v>
      </c>
    </row>
    <row r="2076" spans="1:8">
      <c r="A2076" s="396">
        <v>940</v>
      </c>
      <c r="B2076" s="401" t="s">
        <v>10817</v>
      </c>
      <c r="C2076" s="396" t="s">
        <v>2024</v>
      </c>
      <c r="D2076" s="405">
        <f t="shared" si="64"/>
        <v>5.5</v>
      </c>
      <c r="F2076" s="679">
        <v>5.5</v>
      </c>
      <c r="G2076" s="679">
        <v>5.5</v>
      </c>
      <c r="H2076" t="b">
        <f t="shared" si="65"/>
        <v>1</v>
      </c>
    </row>
    <row r="2077" spans="1:8">
      <c r="A2077" s="395">
        <v>44397</v>
      </c>
      <c r="B2077" s="406" t="s">
        <v>10818</v>
      </c>
      <c r="C2077" s="395" t="s">
        <v>2024</v>
      </c>
      <c r="D2077" s="407">
        <f t="shared" si="64"/>
        <v>2.0699999999999998</v>
      </c>
      <c r="F2077" s="680">
        <v>2.0699999999999998</v>
      </c>
      <c r="G2077" s="680">
        <v>2.0699999999999998</v>
      </c>
      <c r="H2077" t="b">
        <f t="shared" si="65"/>
        <v>1</v>
      </c>
    </row>
    <row r="2078" spans="1:8">
      <c r="A2078" s="396">
        <v>406</v>
      </c>
      <c r="B2078" s="401" t="s">
        <v>10819</v>
      </c>
      <c r="C2078" s="396" t="s">
        <v>2021</v>
      </c>
      <c r="D2078" s="405">
        <f t="shared" si="64"/>
        <v>104.61</v>
      </c>
      <c r="F2078" s="679">
        <v>104.61</v>
      </c>
      <c r="G2078" s="679">
        <v>104.61</v>
      </c>
      <c r="H2078" t="b">
        <f t="shared" si="65"/>
        <v>1</v>
      </c>
    </row>
    <row r="2079" spans="1:8">
      <c r="A2079" s="395">
        <v>42529</v>
      </c>
      <c r="B2079" s="406" t="s">
        <v>10820</v>
      </c>
      <c r="C2079" s="395" t="s">
        <v>2024</v>
      </c>
      <c r="D2079" s="407">
        <f t="shared" si="64"/>
        <v>1.73</v>
      </c>
      <c r="F2079" s="680">
        <v>1.73</v>
      </c>
      <c r="G2079" s="680">
        <v>1.73</v>
      </c>
      <c r="H2079" t="b">
        <f t="shared" si="65"/>
        <v>1</v>
      </c>
    </row>
    <row r="2080" spans="1:8">
      <c r="A2080" s="396">
        <v>39634</v>
      </c>
      <c r="B2080" s="401" t="s">
        <v>10821</v>
      </c>
      <c r="C2080" s="396" t="s">
        <v>2024</v>
      </c>
      <c r="D2080" s="405">
        <f t="shared" si="64"/>
        <v>8.77</v>
      </c>
      <c r="F2080" s="679">
        <v>8.77</v>
      </c>
      <c r="G2080" s="679">
        <v>8.77</v>
      </c>
      <c r="H2080" t="b">
        <f t="shared" si="65"/>
        <v>1</v>
      </c>
    </row>
    <row r="2081" spans="1:8">
      <c r="A2081" s="395">
        <v>39701</v>
      </c>
      <c r="B2081" s="406" t="s">
        <v>10822</v>
      </c>
      <c r="C2081" s="395" t="s">
        <v>2021</v>
      </c>
      <c r="D2081" s="407">
        <f t="shared" si="64"/>
        <v>107.65</v>
      </c>
      <c r="F2081" s="680">
        <v>107.65</v>
      </c>
      <c r="G2081" s="680">
        <v>107.65</v>
      </c>
      <c r="H2081" t="b">
        <f t="shared" si="65"/>
        <v>1</v>
      </c>
    </row>
    <row r="2082" spans="1:8">
      <c r="A2082" s="396">
        <v>12815</v>
      </c>
      <c r="B2082" s="401" t="s">
        <v>10823</v>
      </c>
      <c r="C2082" s="396" t="s">
        <v>2021</v>
      </c>
      <c r="D2082" s="405">
        <f t="shared" si="64"/>
        <v>11.06</v>
      </c>
      <c r="F2082" s="679">
        <v>11.06</v>
      </c>
      <c r="G2082" s="679">
        <v>11.06</v>
      </c>
      <c r="H2082" t="b">
        <f t="shared" si="65"/>
        <v>1</v>
      </c>
    </row>
    <row r="2083" spans="1:8">
      <c r="A2083" s="395">
        <v>407</v>
      </c>
      <c r="B2083" s="406" t="s">
        <v>10824</v>
      </c>
      <c r="C2083" s="395" t="s">
        <v>2025</v>
      </c>
      <c r="D2083" s="407">
        <f t="shared" si="64"/>
        <v>58</v>
      </c>
      <c r="F2083" s="680">
        <v>58</v>
      </c>
      <c r="G2083" s="680">
        <v>58</v>
      </c>
      <c r="H2083" t="b">
        <f t="shared" si="65"/>
        <v>1</v>
      </c>
    </row>
    <row r="2084" spans="1:8">
      <c r="A2084" s="396">
        <v>39431</v>
      </c>
      <c r="B2084" s="401" t="s">
        <v>10825</v>
      </c>
      <c r="C2084" s="396" t="s">
        <v>2024</v>
      </c>
      <c r="D2084" s="405">
        <f t="shared" si="64"/>
        <v>0.38</v>
      </c>
      <c r="F2084" s="679">
        <v>0.38</v>
      </c>
      <c r="G2084" s="679">
        <v>0.38</v>
      </c>
      <c r="H2084" t="b">
        <f t="shared" si="65"/>
        <v>1</v>
      </c>
    </row>
    <row r="2085" spans="1:8">
      <c r="A2085" s="395">
        <v>39432</v>
      </c>
      <c r="B2085" s="406" t="s">
        <v>10826</v>
      </c>
      <c r="C2085" s="395" t="s">
        <v>2024</v>
      </c>
      <c r="D2085" s="407">
        <f t="shared" si="64"/>
        <v>3.39</v>
      </c>
      <c r="F2085" s="680">
        <v>3.39</v>
      </c>
      <c r="G2085" s="680">
        <v>3.39</v>
      </c>
      <c r="H2085" t="b">
        <f t="shared" si="65"/>
        <v>1</v>
      </c>
    </row>
    <row r="2086" spans="1:8">
      <c r="A2086" s="396">
        <v>20111</v>
      </c>
      <c r="B2086" s="401" t="s">
        <v>10827</v>
      </c>
      <c r="C2086" s="396" t="s">
        <v>2021</v>
      </c>
      <c r="D2086" s="405">
        <f t="shared" si="64"/>
        <v>10.98</v>
      </c>
      <c r="F2086" s="679">
        <v>10.98</v>
      </c>
      <c r="G2086" s="679">
        <v>10.98</v>
      </c>
      <c r="H2086" t="b">
        <f t="shared" si="65"/>
        <v>1</v>
      </c>
    </row>
    <row r="2087" spans="1:8">
      <c r="A2087" s="395">
        <v>21127</v>
      </c>
      <c r="B2087" s="406" t="s">
        <v>10828</v>
      </c>
      <c r="C2087" s="395" t="s">
        <v>2021</v>
      </c>
      <c r="D2087" s="407">
        <f t="shared" si="64"/>
        <v>4.1500000000000004</v>
      </c>
      <c r="F2087" s="680">
        <v>4.1500000000000004</v>
      </c>
      <c r="G2087" s="680">
        <v>4.1500000000000004</v>
      </c>
      <c r="H2087" t="b">
        <f t="shared" si="65"/>
        <v>1</v>
      </c>
    </row>
    <row r="2088" spans="1:8">
      <c r="A2088" s="396">
        <v>404</v>
      </c>
      <c r="B2088" s="401" t="s">
        <v>10829</v>
      </c>
      <c r="C2088" s="396" t="s">
        <v>2024</v>
      </c>
      <c r="D2088" s="405">
        <f t="shared" si="64"/>
        <v>1.49</v>
      </c>
      <c r="F2088" s="679">
        <v>1.49</v>
      </c>
      <c r="G2088" s="679">
        <v>1.49</v>
      </c>
      <c r="H2088" t="b">
        <f t="shared" si="65"/>
        <v>1</v>
      </c>
    </row>
    <row r="2089" spans="1:8">
      <c r="A2089" s="395">
        <v>14151</v>
      </c>
      <c r="B2089" s="406" t="s">
        <v>10830</v>
      </c>
      <c r="C2089" s="395" t="s">
        <v>2021</v>
      </c>
      <c r="D2089" s="407">
        <f t="shared" si="64"/>
        <v>50.52</v>
      </c>
      <c r="F2089" s="680">
        <v>50.52</v>
      </c>
      <c r="G2089" s="680">
        <v>50.52</v>
      </c>
      <c r="H2089" t="b">
        <f t="shared" si="65"/>
        <v>1</v>
      </c>
    </row>
    <row r="2090" spans="1:8">
      <c r="A2090" s="396">
        <v>14153</v>
      </c>
      <c r="B2090" s="401" t="s">
        <v>10831</v>
      </c>
      <c r="C2090" s="396" t="s">
        <v>2021</v>
      </c>
      <c r="D2090" s="405">
        <f t="shared" si="64"/>
        <v>57.11</v>
      </c>
      <c r="F2090" s="679">
        <v>57.11</v>
      </c>
      <c r="G2090" s="679">
        <v>57.11</v>
      </c>
      <c r="H2090" t="b">
        <f t="shared" si="65"/>
        <v>1</v>
      </c>
    </row>
    <row r="2091" spans="1:8">
      <c r="A2091" s="395">
        <v>14152</v>
      </c>
      <c r="B2091" s="406" t="s">
        <v>10832</v>
      </c>
      <c r="C2091" s="395" t="s">
        <v>2021</v>
      </c>
      <c r="D2091" s="407">
        <f t="shared" si="64"/>
        <v>43.84</v>
      </c>
      <c r="F2091" s="680">
        <v>43.84</v>
      </c>
      <c r="G2091" s="680">
        <v>43.84</v>
      </c>
      <c r="H2091" t="b">
        <f t="shared" si="65"/>
        <v>1</v>
      </c>
    </row>
    <row r="2092" spans="1:8">
      <c r="A2092" s="396">
        <v>14154</v>
      </c>
      <c r="B2092" s="401" t="s">
        <v>10833</v>
      </c>
      <c r="C2092" s="396" t="s">
        <v>2021</v>
      </c>
      <c r="D2092" s="405">
        <f t="shared" si="64"/>
        <v>153.47</v>
      </c>
      <c r="F2092" s="679">
        <v>153.47</v>
      </c>
      <c r="G2092" s="679">
        <v>153.47</v>
      </c>
      <c r="H2092" t="b">
        <f t="shared" si="65"/>
        <v>1</v>
      </c>
    </row>
    <row r="2093" spans="1:8">
      <c r="A2093" s="395">
        <v>3146</v>
      </c>
      <c r="B2093" s="406" t="s">
        <v>10834</v>
      </c>
      <c r="C2093" s="395" t="s">
        <v>2021</v>
      </c>
      <c r="D2093" s="407">
        <f t="shared" si="64"/>
        <v>4.5</v>
      </c>
      <c r="F2093" s="680">
        <v>4.5</v>
      </c>
      <c r="G2093" s="680">
        <v>4.5</v>
      </c>
      <c r="H2093" t="b">
        <f t="shared" si="65"/>
        <v>1</v>
      </c>
    </row>
    <row r="2094" spans="1:8">
      <c r="A2094" s="396">
        <v>3143</v>
      </c>
      <c r="B2094" s="401" t="s">
        <v>10835</v>
      </c>
      <c r="C2094" s="396" t="s">
        <v>2021</v>
      </c>
      <c r="D2094" s="405">
        <f t="shared" si="64"/>
        <v>10.23</v>
      </c>
      <c r="F2094" s="679">
        <v>10.23</v>
      </c>
      <c r="G2094" s="679">
        <v>10.23</v>
      </c>
      <c r="H2094" t="b">
        <f t="shared" si="65"/>
        <v>1</v>
      </c>
    </row>
    <row r="2095" spans="1:8">
      <c r="A2095" s="395">
        <v>3148</v>
      </c>
      <c r="B2095" s="406" t="s">
        <v>10836</v>
      </c>
      <c r="C2095" s="395" t="s">
        <v>2021</v>
      </c>
      <c r="D2095" s="407">
        <f t="shared" si="64"/>
        <v>16.59</v>
      </c>
      <c r="F2095" s="680">
        <v>16.59</v>
      </c>
      <c r="G2095" s="680">
        <v>16.59</v>
      </c>
      <c r="H2095" t="b">
        <f t="shared" si="65"/>
        <v>1</v>
      </c>
    </row>
    <row r="2096" spans="1:8">
      <c r="A2096" s="396">
        <v>4310</v>
      </c>
      <c r="B2096" s="401" t="s">
        <v>10837</v>
      </c>
      <c r="C2096" s="396" t="s">
        <v>2021</v>
      </c>
      <c r="D2096" s="405">
        <f t="shared" si="64"/>
        <v>2.93</v>
      </c>
      <c r="F2096" s="679">
        <v>2.93</v>
      </c>
      <c r="G2096" s="679">
        <v>2.93</v>
      </c>
      <c r="H2096" t="b">
        <f t="shared" si="65"/>
        <v>1</v>
      </c>
    </row>
    <row r="2097" spans="1:8">
      <c r="A2097" s="395">
        <v>4311</v>
      </c>
      <c r="B2097" s="406" t="s">
        <v>10838</v>
      </c>
      <c r="C2097" s="395" t="s">
        <v>2021</v>
      </c>
      <c r="D2097" s="407">
        <f t="shared" si="64"/>
        <v>2.06</v>
      </c>
      <c r="F2097" s="680">
        <v>2.06</v>
      </c>
      <c r="G2097" s="680">
        <v>2.06</v>
      </c>
      <c r="H2097" t="b">
        <f t="shared" si="65"/>
        <v>1</v>
      </c>
    </row>
    <row r="2098" spans="1:8">
      <c r="A2098" s="396">
        <v>4312</v>
      </c>
      <c r="B2098" s="401" t="s">
        <v>10839</v>
      </c>
      <c r="C2098" s="396" t="s">
        <v>2021</v>
      </c>
      <c r="D2098" s="405">
        <f t="shared" si="64"/>
        <v>2.88</v>
      </c>
      <c r="F2098" s="679">
        <v>2.88</v>
      </c>
      <c r="G2098" s="679">
        <v>2.88</v>
      </c>
      <c r="H2098" t="b">
        <f t="shared" si="65"/>
        <v>1</v>
      </c>
    </row>
    <row r="2099" spans="1:8">
      <c r="A2099" s="395">
        <v>13261</v>
      </c>
      <c r="B2099" s="406" t="s">
        <v>10840</v>
      </c>
      <c r="C2099" s="395" t="s">
        <v>2021</v>
      </c>
      <c r="D2099" s="407">
        <f t="shared" si="64"/>
        <v>4.5999999999999996</v>
      </c>
      <c r="F2099" s="680">
        <v>4.5999999999999996</v>
      </c>
      <c r="G2099" s="680">
        <v>4.5999999999999996</v>
      </c>
      <c r="H2099" t="b">
        <f t="shared" si="65"/>
        <v>1</v>
      </c>
    </row>
    <row r="2100" spans="1:8">
      <c r="A2100" s="396">
        <v>3272</v>
      </c>
      <c r="B2100" s="401" t="s">
        <v>10841</v>
      </c>
      <c r="C2100" s="396" t="s">
        <v>2021</v>
      </c>
      <c r="D2100" s="405">
        <f t="shared" si="64"/>
        <v>38.42</v>
      </c>
      <c r="F2100" s="679">
        <v>38.42</v>
      </c>
      <c r="G2100" s="679">
        <v>38.42</v>
      </c>
      <c r="H2100" t="b">
        <f t="shared" si="65"/>
        <v>1</v>
      </c>
    </row>
    <row r="2101" spans="1:8">
      <c r="A2101" s="395">
        <v>3265</v>
      </c>
      <c r="B2101" s="406" t="s">
        <v>10842</v>
      </c>
      <c r="C2101" s="395" t="s">
        <v>2021</v>
      </c>
      <c r="D2101" s="407">
        <f t="shared" si="64"/>
        <v>30.52</v>
      </c>
      <c r="F2101" s="680">
        <v>30.52</v>
      </c>
      <c r="G2101" s="680">
        <v>30.52</v>
      </c>
      <c r="H2101" t="b">
        <f t="shared" si="65"/>
        <v>1</v>
      </c>
    </row>
    <row r="2102" spans="1:8">
      <c r="A2102" s="396">
        <v>3262</v>
      </c>
      <c r="B2102" s="401" t="s">
        <v>10843</v>
      </c>
      <c r="C2102" s="396" t="s">
        <v>2021</v>
      </c>
      <c r="D2102" s="405">
        <f t="shared" si="64"/>
        <v>13.36</v>
      </c>
      <c r="F2102" s="679">
        <v>13.36</v>
      </c>
      <c r="G2102" s="679">
        <v>13.36</v>
      </c>
      <c r="H2102" t="b">
        <f t="shared" si="65"/>
        <v>1</v>
      </c>
    </row>
    <row r="2103" spans="1:8">
      <c r="A2103" s="395">
        <v>3264</v>
      </c>
      <c r="B2103" s="406" t="s">
        <v>10844</v>
      </c>
      <c r="C2103" s="395" t="s">
        <v>2021</v>
      </c>
      <c r="D2103" s="407">
        <f t="shared" si="64"/>
        <v>21.94</v>
      </c>
      <c r="F2103" s="680">
        <v>21.94</v>
      </c>
      <c r="G2103" s="680">
        <v>21.94</v>
      </c>
      <c r="H2103" t="b">
        <f t="shared" si="65"/>
        <v>1</v>
      </c>
    </row>
    <row r="2104" spans="1:8">
      <c r="A2104" s="396">
        <v>3267</v>
      </c>
      <c r="B2104" s="401" t="s">
        <v>10845</v>
      </c>
      <c r="C2104" s="396" t="s">
        <v>2021</v>
      </c>
      <c r="D2104" s="405">
        <f t="shared" si="64"/>
        <v>71.680000000000007</v>
      </c>
      <c r="F2104" s="679">
        <v>71.680000000000007</v>
      </c>
      <c r="G2104" s="679">
        <v>71.680000000000007</v>
      </c>
      <c r="H2104" t="b">
        <f t="shared" si="65"/>
        <v>1</v>
      </c>
    </row>
    <row r="2105" spans="1:8">
      <c r="A2105" s="395">
        <v>3266</v>
      </c>
      <c r="B2105" s="406" t="s">
        <v>10846</v>
      </c>
      <c r="C2105" s="395" t="s">
        <v>2021</v>
      </c>
      <c r="D2105" s="407">
        <f t="shared" si="64"/>
        <v>45.6</v>
      </c>
      <c r="F2105" s="680">
        <v>45.6</v>
      </c>
      <c r="G2105" s="680">
        <v>45.6</v>
      </c>
      <c r="H2105" t="b">
        <f t="shared" si="65"/>
        <v>1</v>
      </c>
    </row>
    <row r="2106" spans="1:8">
      <c r="A2106" s="396">
        <v>3263</v>
      </c>
      <c r="B2106" s="401" t="s">
        <v>10847</v>
      </c>
      <c r="C2106" s="396" t="s">
        <v>2021</v>
      </c>
      <c r="D2106" s="405">
        <f t="shared" si="64"/>
        <v>18.25</v>
      </c>
      <c r="F2106" s="679">
        <v>18.25</v>
      </c>
      <c r="G2106" s="679">
        <v>18.25</v>
      </c>
      <c r="H2106" t="b">
        <f t="shared" si="65"/>
        <v>1</v>
      </c>
    </row>
    <row r="2107" spans="1:8">
      <c r="A2107" s="395">
        <v>3268</v>
      </c>
      <c r="B2107" s="406" t="s">
        <v>10848</v>
      </c>
      <c r="C2107" s="395" t="s">
        <v>2021</v>
      </c>
      <c r="D2107" s="407">
        <f t="shared" si="64"/>
        <v>96.91</v>
      </c>
      <c r="F2107" s="680">
        <v>96.91</v>
      </c>
      <c r="G2107" s="680">
        <v>96.91</v>
      </c>
      <c r="H2107" t="b">
        <f t="shared" si="65"/>
        <v>1</v>
      </c>
    </row>
    <row r="2108" spans="1:8">
      <c r="A2108" s="396">
        <v>3271</v>
      </c>
      <c r="B2108" s="401" t="s">
        <v>10849</v>
      </c>
      <c r="C2108" s="396" t="s">
        <v>2021</v>
      </c>
      <c r="D2108" s="405">
        <f t="shared" si="64"/>
        <v>143.28</v>
      </c>
      <c r="F2108" s="679">
        <v>143.28</v>
      </c>
      <c r="G2108" s="679">
        <v>143.28</v>
      </c>
      <c r="H2108" t="b">
        <f t="shared" si="65"/>
        <v>1</v>
      </c>
    </row>
    <row r="2109" spans="1:8">
      <c r="A2109" s="395">
        <v>3270</v>
      </c>
      <c r="B2109" s="406" t="s">
        <v>10850</v>
      </c>
      <c r="C2109" s="395" t="s">
        <v>2021</v>
      </c>
      <c r="D2109" s="407">
        <f t="shared" si="64"/>
        <v>240.72</v>
      </c>
      <c r="F2109" s="680">
        <v>240.72</v>
      </c>
      <c r="G2109" s="680">
        <v>240.72</v>
      </c>
      <c r="H2109" t="b">
        <f t="shared" si="65"/>
        <v>1</v>
      </c>
    </row>
    <row r="2110" spans="1:8" ht="30">
      <c r="A2110" s="396">
        <v>3275</v>
      </c>
      <c r="B2110" s="401" t="s">
        <v>10851</v>
      </c>
      <c r="C2110" s="396" t="s">
        <v>2023</v>
      </c>
      <c r="D2110" s="405">
        <f t="shared" si="64"/>
        <v>143.16999999999999</v>
      </c>
      <c r="F2110" s="679">
        <v>143.16999999999999</v>
      </c>
      <c r="G2110" s="679">
        <v>143.16999999999999</v>
      </c>
      <c r="H2110" t="b">
        <f t="shared" si="65"/>
        <v>1</v>
      </c>
    </row>
    <row r="2111" spans="1:8" ht="30">
      <c r="A2111" s="395">
        <v>39512</v>
      </c>
      <c r="B2111" s="406" t="s">
        <v>10852</v>
      </c>
      <c r="C2111" s="395" t="s">
        <v>2023</v>
      </c>
      <c r="D2111" s="407">
        <f t="shared" si="64"/>
        <v>110.96</v>
      </c>
      <c r="F2111" s="680">
        <v>110.96</v>
      </c>
      <c r="G2111" s="680">
        <v>110.96</v>
      </c>
      <c r="H2111" t="b">
        <f t="shared" si="65"/>
        <v>1</v>
      </c>
    </row>
    <row r="2112" spans="1:8" ht="30">
      <c r="A2112" s="396">
        <v>39511</v>
      </c>
      <c r="B2112" s="401" t="s">
        <v>10853</v>
      </c>
      <c r="C2112" s="396" t="s">
        <v>2023</v>
      </c>
      <c r="D2112" s="405">
        <f t="shared" si="64"/>
        <v>121.03</v>
      </c>
      <c r="F2112" s="679">
        <v>121.03</v>
      </c>
      <c r="G2112" s="679">
        <v>121.03</v>
      </c>
      <c r="H2112" t="b">
        <f t="shared" si="65"/>
        <v>1</v>
      </c>
    </row>
    <row r="2113" spans="1:8" ht="30">
      <c r="A2113" s="395">
        <v>39513</v>
      </c>
      <c r="B2113" s="406" t="s">
        <v>10854</v>
      </c>
      <c r="C2113" s="395" t="s">
        <v>2023</v>
      </c>
      <c r="D2113" s="407">
        <f t="shared" si="64"/>
        <v>129.81</v>
      </c>
      <c r="F2113" s="680">
        <v>129.81</v>
      </c>
      <c r="G2113" s="680">
        <v>129.81</v>
      </c>
      <c r="H2113" t="b">
        <f t="shared" si="65"/>
        <v>1</v>
      </c>
    </row>
    <row r="2114" spans="1:8">
      <c r="A2114" s="396">
        <v>3286</v>
      </c>
      <c r="B2114" s="401" t="s">
        <v>10855</v>
      </c>
      <c r="C2114" s="396" t="s">
        <v>2023</v>
      </c>
      <c r="D2114" s="405">
        <f t="shared" si="64"/>
        <v>102.57</v>
      </c>
      <c r="F2114" s="679">
        <v>102.57</v>
      </c>
      <c r="G2114" s="679">
        <v>102.57</v>
      </c>
      <c r="H2114" t="b">
        <f t="shared" si="65"/>
        <v>1</v>
      </c>
    </row>
    <row r="2115" spans="1:8" ht="30">
      <c r="A2115" s="395">
        <v>3287</v>
      </c>
      <c r="B2115" s="406" t="s">
        <v>10856</v>
      </c>
      <c r="C2115" s="395" t="s">
        <v>2023</v>
      </c>
      <c r="D2115" s="407">
        <f t="shared" ref="D2115:D2178" si="66">IF($J$2=$F$1,F2115,G2115)</f>
        <v>155</v>
      </c>
      <c r="F2115" s="680">
        <v>155</v>
      </c>
      <c r="G2115" s="680">
        <v>155</v>
      </c>
      <c r="H2115" t="b">
        <f t="shared" ref="H2115:H2178" si="67">F2115=G2115</f>
        <v>1</v>
      </c>
    </row>
    <row r="2116" spans="1:8">
      <c r="A2116" s="396">
        <v>3283</v>
      </c>
      <c r="B2116" s="401" t="s">
        <v>10857</v>
      </c>
      <c r="C2116" s="396" t="s">
        <v>2023</v>
      </c>
      <c r="D2116" s="405">
        <f t="shared" si="66"/>
        <v>32.56</v>
      </c>
      <c r="F2116" s="679">
        <v>32.56</v>
      </c>
      <c r="G2116" s="679">
        <v>32.56</v>
      </c>
      <c r="H2116" t="b">
        <f t="shared" si="67"/>
        <v>1</v>
      </c>
    </row>
    <row r="2117" spans="1:8">
      <c r="A2117" s="395">
        <v>11587</v>
      </c>
      <c r="B2117" s="406" t="s">
        <v>10858</v>
      </c>
      <c r="C2117" s="395" t="s">
        <v>2023</v>
      </c>
      <c r="D2117" s="407">
        <f t="shared" si="66"/>
        <v>98.17</v>
      </c>
      <c r="F2117" s="680">
        <v>98.17</v>
      </c>
      <c r="G2117" s="680">
        <v>98.17</v>
      </c>
      <c r="H2117" t="b">
        <f t="shared" si="67"/>
        <v>1</v>
      </c>
    </row>
    <row r="2118" spans="1:8">
      <c r="A2118" s="396">
        <v>36225</v>
      </c>
      <c r="B2118" s="401" t="s">
        <v>10859</v>
      </c>
      <c r="C2118" s="396" t="s">
        <v>2023</v>
      </c>
      <c r="D2118" s="405">
        <f t="shared" si="66"/>
        <v>39.880000000000003</v>
      </c>
      <c r="F2118" s="679">
        <v>39.880000000000003</v>
      </c>
      <c r="G2118" s="679">
        <v>39.880000000000003</v>
      </c>
      <c r="H2118" t="b">
        <f t="shared" si="67"/>
        <v>1</v>
      </c>
    </row>
    <row r="2119" spans="1:8">
      <c r="A2119" s="395">
        <v>36230</v>
      </c>
      <c r="B2119" s="406" t="s">
        <v>10860</v>
      </c>
      <c r="C2119" s="395" t="s">
        <v>2023</v>
      </c>
      <c r="D2119" s="407">
        <f t="shared" si="66"/>
        <v>29.3</v>
      </c>
      <c r="F2119" s="680">
        <v>29.3</v>
      </c>
      <c r="G2119" s="680">
        <v>29.3</v>
      </c>
      <c r="H2119" t="b">
        <f t="shared" si="67"/>
        <v>1</v>
      </c>
    </row>
    <row r="2120" spans="1:8">
      <c r="A2120" s="396">
        <v>36238</v>
      </c>
      <c r="B2120" s="401" t="s">
        <v>10861</v>
      </c>
      <c r="C2120" s="396" t="s">
        <v>2023</v>
      </c>
      <c r="D2120" s="405">
        <f t="shared" si="66"/>
        <v>28.63</v>
      </c>
      <c r="F2120" s="679">
        <v>28.63</v>
      </c>
      <c r="G2120" s="679">
        <v>28.63</v>
      </c>
      <c r="H2120" t="b">
        <f t="shared" si="67"/>
        <v>1</v>
      </c>
    </row>
    <row r="2121" spans="1:8" ht="30">
      <c r="A2121" s="395">
        <v>39363</v>
      </c>
      <c r="B2121" s="406" t="s">
        <v>10862</v>
      </c>
      <c r="C2121" s="395" t="s">
        <v>2021</v>
      </c>
      <c r="D2121" s="407">
        <f t="shared" si="66"/>
        <v>4872.03</v>
      </c>
      <c r="F2121" s="680">
        <v>4872.03</v>
      </c>
      <c r="G2121" s="680">
        <v>4872.03</v>
      </c>
      <c r="H2121" t="b">
        <f t="shared" si="67"/>
        <v>1</v>
      </c>
    </row>
    <row r="2122" spans="1:8" ht="30">
      <c r="A2122" s="396">
        <v>39361</v>
      </c>
      <c r="B2122" s="401" t="s">
        <v>10863</v>
      </c>
      <c r="C2122" s="396" t="s">
        <v>2021</v>
      </c>
      <c r="D2122" s="405">
        <f t="shared" si="66"/>
        <v>1252.8</v>
      </c>
      <c r="F2122" s="679">
        <v>1252.8</v>
      </c>
      <c r="G2122" s="679">
        <v>1252.8</v>
      </c>
      <c r="H2122" t="b">
        <f t="shared" si="67"/>
        <v>1</v>
      </c>
    </row>
    <row r="2123" spans="1:8" ht="30">
      <c r="A2123" s="395">
        <v>39362</v>
      </c>
      <c r="B2123" s="406" t="s">
        <v>10864</v>
      </c>
      <c r="C2123" s="395" t="s">
        <v>2021</v>
      </c>
      <c r="D2123" s="407">
        <f t="shared" si="66"/>
        <v>3855.21</v>
      </c>
      <c r="F2123" s="680">
        <v>3855.21</v>
      </c>
      <c r="G2123" s="680">
        <v>3855.21</v>
      </c>
      <c r="H2123" t="b">
        <f t="shared" si="67"/>
        <v>1</v>
      </c>
    </row>
    <row r="2124" spans="1:8" ht="30">
      <c r="A2124" s="396">
        <v>39364</v>
      </c>
      <c r="B2124" s="401" t="s">
        <v>10865</v>
      </c>
      <c r="C2124" s="396" t="s">
        <v>2021</v>
      </c>
      <c r="D2124" s="405">
        <f t="shared" si="66"/>
        <v>11136.07</v>
      </c>
      <c r="F2124" s="679">
        <v>11136.07</v>
      </c>
      <c r="G2124" s="679">
        <v>11136.07</v>
      </c>
      <c r="H2124" t="b">
        <f t="shared" si="67"/>
        <v>1</v>
      </c>
    </row>
    <row r="2125" spans="1:8">
      <c r="A2125" s="395">
        <v>14576</v>
      </c>
      <c r="B2125" s="406" t="s">
        <v>10866</v>
      </c>
      <c r="C2125" s="395" t="s">
        <v>2021</v>
      </c>
      <c r="D2125" s="407">
        <f t="shared" si="66"/>
        <v>6884961.4100000001</v>
      </c>
      <c r="F2125" s="680">
        <v>6884961.4100000001</v>
      </c>
      <c r="G2125" s="680">
        <v>6884961.4100000001</v>
      </c>
      <c r="H2125" t="b">
        <f t="shared" si="67"/>
        <v>1</v>
      </c>
    </row>
    <row r="2126" spans="1:8">
      <c r="A2126" s="396">
        <v>13877</v>
      </c>
      <c r="B2126" s="401" t="s">
        <v>10867</v>
      </c>
      <c r="C2126" s="396" t="s">
        <v>2021</v>
      </c>
      <c r="D2126" s="405">
        <f t="shared" si="66"/>
        <v>2947349.29</v>
      </c>
      <c r="F2126" s="679">
        <v>2947349.29</v>
      </c>
      <c r="G2126" s="679">
        <v>2947349.29</v>
      </c>
      <c r="H2126" t="b">
        <f t="shared" si="67"/>
        <v>1</v>
      </c>
    </row>
    <row r="2127" spans="1:8">
      <c r="A2127" s="395">
        <v>7307</v>
      </c>
      <c r="B2127" s="406" t="s">
        <v>10868</v>
      </c>
      <c r="C2127" s="395" t="s">
        <v>2026</v>
      </c>
      <c r="D2127" s="407">
        <f t="shared" si="66"/>
        <v>38.950000000000003</v>
      </c>
      <c r="F2127" s="680">
        <v>38.950000000000003</v>
      </c>
      <c r="G2127" s="680">
        <v>38.950000000000003</v>
      </c>
      <c r="H2127" t="b">
        <f t="shared" si="67"/>
        <v>1</v>
      </c>
    </row>
    <row r="2128" spans="1:8">
      <c r="A2128" s="396">
        <v>38122</v>
      </c>
      <c r="B2128" s="401" t="s">
        <v>10869</v>
      </c>
      <c r="C2128" s="396" t="s">
        <v>2026</v>
      </c>
      <c r="D2128" s="405">
        <f t="shared" si="66"/>
        <v>10.85</v>
      </c>
      <c r="F2128" s="679">
        <v>10.85</v>
      </c>
      <c r="G2128" s="679">
        <v>10.85</v>
      </c>
      <c r="H2128" t="b">
        <f t="shared" si="67"/>
        <v>1</v>
      </c>
    </row>
    <row r="2129" spans="1:8">
      <c r="A2129" s="395">
        <v>43653</v>
      </c>
      <c r="B2129" s="406" t="s">
        <v>10870</v>
      </c>
      <c r="C2129" s="395" t="s">
        <v>2026</v>
      </c>
      <c r="D2129" s="407">
        <f t="shared" si="66"/>
        <v>42.3</v>
      </c>
      <c r="F2129" s="680">
        <v>42.3</v>
      </c>
      <c r="G2129" s="680">
        <v>42.3</v>
      </c>
      <c r="H2129" t="b">
        <f t="shared" si="67"/>
        <v>1</v>
      </c>
    </row>
    <row r="2130" spans="1:8">
      <c r="A2130" s="396">
        <v>38633</v>
      </c>
      <c r="B2130" s="401" t="s">
        <v>10871</v>
      </c>
      <c r="C2130" s="396" t="s">
        <v>2021</v>
      </c>
      <c r="D2130" s="405">
        <f t="shared" si="66"/>
        <v>21.32</v>
      </c>
      <c r="F2130" s="679">
        <v>21.32</v>
      </c>
      <c r="G2130" s="679">
        <v>21.32</v>
      </c>
      <c r="H2130" t="b">
        <f t="shared" si="67"/>
        <v>1</v>
      </c>
    </row>
    <row r="2131" spans="1:8">
      <c r="A2131" s="395">
        <v>12344</v>
      </c>
      <c r="B2131" s="406" t="s">
        <v>10872</v>
      </c>
      <c r="C2131" s="395" t="s">
        <v>2021</v>
      </c>
      <c r="D2131" s="407">
        <f t="shared" si="66"/>
        <v>6.55</v>
      </c>
      <c r="F2131" s="680">
        <v>6.55</v>
      </c>
      <c r="G2131" s="680">
        <v>6.55</v>
      </c>
      <c r="H2131" t="b">
        <f t="shared" si="67"/>
        <v>1</v>
      </c>
    </row>
    <row r="2132" spans="1:8">
      <c r="A2132" s="396">
        <v>12343</v>
      </c>
      <c r="B2132" s="401" t="s">
        <v>10873</v>
      </c>
      <c r="C2132" s="396" t="s">
        <v>2021</v>
      </c>
      <c r="D2132" s="405">
        <f t="shared" si="66"/>
        <v>10.16</v>
      </c>
      <c r="F2132" s="679">
        <v>10.16</v>
      </c>
      <c r="G2132" s="679">
        <v>10.16</v>
      </c>
      <c r="H2132" t="b">
        <f t="shared" si="67"/>
        <v>1</v>
      </c>
    </row>
    <row r="2133" spans="1:8">
      <c r="A2133" s="395">
        <v>3295</v>
      </c>
      <c r="B2133" s="406" t="s">
        <v>10874</v>
      </c>
      <c r="C2133" s="395" t="s">
        <v>2021</v>
      </c>
      <c r="D2133" s="407">
        <f t="shared" si="66"/>
        <v>35.47</v>
      </c>
      <c r="F2133" s="680">
        <v>35.47</v>
      </c>
      <c r="G2133" s="680">
        <v>35.47</v>
      </c>
      <c r="H2133" t="b">
        <f t="shared" si="67"/>
        <v>1</v>
      </c>
    </row>
    <row r="2134" spans="1:8">
      <c r="A2134" s="396">
        <v>3302</v>
      </c>
      <c r="B2134" s="401" t="s">
        <v>10875</v>
      </c>
      <c r="C2134" s="396" t="s">
        <v>2021</v>
      </c>
      <c r="D2134" s="405">
        <f t="shared" si="66"/>
        <v>37.090000000000003</v>
      </c>
      <c r="F2134" s="679">
        <v>37.090000000000003</v>
      </c>
      <c r="G2134" s="679">
        <v>37.090000000000003</v>
      </c>
      <c r="H2134" t="b">
        <f t="shared" si="67"/>
        <v>1</v>
      </c>
    </row>
    <row r="2135" spans="1:8">
      <c r="A2135" s="395">
        <v>3297</v>
      </c>
      <c r="B2135" s="406" t="s">
        <v>10876</v>
      </c>
      <c r="C2135" s="395" t="s">
        <v>2021</v>
      </c>
      <c r="D2135" s="407">
        <f t="shared" si="66"/>
        <v>39.590000000000003</v>
      </c>
      <c r="F2135" s="680">
        <v>39.590000000000003</v>
      </c>
      <c r="G2135" s="680">
        <v>39.590000000000003</v>
      </c>
      <c r="H2135" t="b">
        <f t="shared" si="67"/>
        <v>1</v>
      </c>
    </row>
    <row r="2136" spans="1:8">
      <c r="A2136" s="396">
        <v>3294</v>
      </c>
      <c r="B2136" s="401" t="s">
        <v>10877</v>
      </c>
      <c r="C2136" s="396" t="s">
        <v>2021</v>
      </c>
      <c r="D2136" s="405">
        <f t="shared" si="66"/>
        <v>40.19</v>
      </c>
      <c r="F2136" s="679">
        <v>40.19</v>
      </c>
      <c r="G2136" s="679">
        <v>40.19</v>
      </c>
      <c r="H2136" t="b">
        <f t="shared" si="67"/>
        <v>1</v>
      </c>
    </row>
    <row r="2137" spans="1:8">
      <c r="A2137" s="395">
        <v>3292</v>
      </c>
      <c r="B2137" s="406" t="s">
        <v>10878</v>
      </c>
      <c r="C2137" s="395" t="s">
        <v>2021</v>
      </c>
      <c r="D2137" s="407">
        <f t="shared" si="66"/>
        <v>37.76</v>
      </c>
      <c r="F2137" s="680">
        <v>37.76</v>
      </c>
      <c r="G2137" s="680">
        <v>37.76</v>
      </c>
      <c r="H2137" t="b">
        <f t="shared" si="67"/>
        <v>1</v>
      </c>
    </row>
    <row r="2138" spans="1:8">
      <c r="A2138" s="396">
        <v>3298</v>
      </c>
      <c r="B2138" s="401" t="s">
        <v>10879</v>
      </c>
      <c r="C2138" s="396" t="s">
        <v>2021</v>
      </c>
      <c r="D2138" s="405">
        <f t="shared" si="66"/>
        <v>88.5</v>
      </c>
      <c r="F2138" s="679">
        <v>88.5</v>
      </c>
      <c r="G2138" s="679">
        <v>88.5</v>
      </c>
      <c r="H2138" t="b">
        <f t="shared" si="67"/>
        <v>1</v>
      </c>
    </row>
    <row r="2139" spans="1:8">
      <c r="A2139" s="395">
        <v>11596</v>
      </c>
      <c r="B2139" s="406" t="s">
        <v>10880</v>
      </c>
      <c r="C2139" s="395" t="s">
        <v>2021</v>
      </c>
      <c r="D2139" s="407">
        <f t="shared" si="66"/>
        <v>530.32000000000005</v>
      </c>
      <c r="F2139" s="680">
        <v>530.32000000000005</v>
      </c>
      <c r="G2139" s="680">
        <v>530.32000000000005</v>
      </c>
      <c r="H2139" t="b">
        <f t="shared" si="67"/>
        <v>1</v>
      </c>
    </row>
    <row r="2140" spans="1:8" ht="30">
      <c r="A2140" s="396">
        <v>34802</v>
      </c>
      <c r="B2140" s="401" t="s">
        <v>10881</v>
      </c>
      <c r="C2140" s="396" t="s">
        <v>2021</v>
      </c>
      <c r="D2140" s="405">
        <f t="shared" si="66"/>
        <v>1456.44</v>
      </c>
      <c r="F2140" s="679">
        <v>1456.44</v>
      </c>
      <c r="G2140" s="679">
        <v>1456.44</v>
      </c>
      <c r="H2140" t="b">
        <f t="shared" si="67"/>
        <v>1</v>
      </c>
    </row>
    <row r="2141" spans="1:8" ht="30">
      <c r="A2141" s="395">
        <v>11588</v>
      </c>
      <c r="B2141" s="406" t="s">
        <v>10882</v>
      </c>
      <c r="C2141" s="395" t="s">
        <v>2021</v>
      </c>
      <c r="D2141" s="407">
        <f t="shared" si="66"/>
        <v>1571.26</v>
      </c>
      <c r="F2141" s="680">
        <v>1571.26</v>
      </c>
      <c r="G2141" s="680">
        <v>1571.26</v>
      </c>
      <c r="H2141" t="b">
        <f t="shared" si="67"/>
        <v>1</v>
      </c>
    </row>
    <row r="2142" spans="1:8" ht="30">
      <c r="A2142" s="396">
        <v>34383</v>
      </c>
      <c r="B2142" s="401" t="s">
        <v>10883</v>
      </c>
      <c r="C2142" s="396" t="s">
        <v>2021</v>
      </c>
      <c r="D2142" s="405">
        <f t="shared" si="66"/>
        <v>1728.51</v>
      </c>
      <c r="F2142" s="679">
        <v>1728.51</v>
      </c>
      <c r="G2142" s="679">
        <v>1728.51</v>
      </c>
      <c r="H2142" t="b">
        <f t="shared" si="67"/>
        <v>1</v>
      </c>
    </row>
    <row r="2143" spans="1:8" ht="30">
      <c r="A2143" s="395">
        <v>40451</v>
      </c>
      <c r="B2143" s="406" t="s">
        <v>10884</v>
      </c>
      <c r="C2143" s="395" t="s">
        <v>2023</v>
      </c>
      <c r="D2143" s="407">
        <f t="shared" si="66"/>
        <v>139.72</v>
      </c>
      <c r="F2143" s="680">
        <v>139.72</v>
      </c>
      <c r="G2143" s="680">
        <v>139.72</v>
      </c>
      <c r="H2143" t="b">
        <f t="shared" si="67"/>
        <v>1</v>
      </c>
    </row>
    <row r="2144" spans="1:8" ht="30">
      <c r="A2144" s="396">
        <v>40453</v>
      </c>
      <c r="B2144" s="401" t="s">
        <v>10885</v>
      </c>
      <c r="C2144" s="396" t="s">
        <v>2023</v>
      </c>
      <c r="D2144" s="405">
        <f t="shared" si="66"/>
        <v>151.16999999999999</v>
      </c>
      <c r="F2144" s="679">
        <v>151.16999999999999</v>
      </c>
      <c r="G2144" s="679">
        <v>151.16999999999999</v>
      </c>
      <c r="H2144" t="b">
        <f t="shared" si="67"/>
        <v>1</v>
      </c>
    </row>
    <row r="2145" spans="1:8" ht="30">
      <c r="A2145" s="395">
        <v>40452</v>
      </c>
      <c r="B2145" s="406" t="s">
        <v>10886</v>
      </c>
      <c r="C2145" s="395" t="s">
        <v>2023</v>
      </c>
      <c r="D2145" s="407">
        <f t="shared" si="66"/>
        <v>165.82</v>
      </c>
      <c r="F2145" s="680">
        <v>165.82</v>
      </c>
      <c r="G2145" s="680">
        <v>165.82</v>
      </c>
      <c r="H2145" t="b">
        <f t="shared" si="67"/>
        <v>1</v>
      </c>
    </row>
    <row r="2146" spans="1:8">
      <c r="A2146" s="396">
        <v>11594</v>
      </c>
      <c r="B2146" s="401" t="s">
        <v>10887</v>
      </c>
      <c r="C2146" s="396" t="s">
        <v>2021</v>
      </c>
      <c r="D2146" s="405">
        <f t="shared" si="66"/>
        <v>500.81</v>
      </c>
      <c r="F2146" s="679">
        <v>500.81</v>
      </c>
      <c r="G2146" s="679">
        <v>500.81</v>
      </c>
      <c r="H2146" t="b">
        <f t="shared" si="67"/>
        <v>1</v>
      </c>
    </row>
    <row r="2147" spans="1:8">
      <c r="A2147" s="395">
        <v>3311</v>
      </c>
      <c r="B2147" s="406" t="s">
        <v>10888</v>
      </c>
      <c r="C2147" s="395" t="s">
        <v>2022</v>
      </c>
      <c r="D2147" s="407">
        <f t="shared" si="66"/>
        <v>500.81</v>
      </c>
      <c r="F2147" s="680">
        <v>500.81</v>
      </c>
      <c r="G2147" s="680">
        <v>500.81</v>
      </c>
      <c r="H2147" t="b">
        <f t="shared" si="67"/>
        <v>1</v>
      </c>
    </row>
    <row r="2148" spans="1:8">
      <c r="A2148" s="396">
        <v>11599</v>
      </c>
      <c r="B2148" s="401" t="s">
        <v>10889</v>
      </c>
      <c r="C2148" s="396" t="s">
        <v>2021</v>
      </c>
      <c r="D2148" s="405">
        <f t="shared" si="66"/>
        <v>666.01</v>
      </c>
      <c r="F2148" s="679">
        <v>666.01</v>
      </c>
      <c r="G2148" s="679">
        <v>666.01</v>
      </c>
      <c r="H2148" t="b">
        <f t="shared" si="67"/>
        <v>1</v>
      </c>
    </row>
    <row r="2149" spans="1:8" ht="30">
      <c r="A2149" s="395">
        <v>11593</v>
      </c>
      <c r="B2149" s="406" t="s">
        <v>10890</v>
      </c>
      <c r="C2149" s="395" t="s">
        <v>2021</v>
      </c>
      <c r="D2149" s="407">
        <f t="shared" si="66"/>
        <v>933.71</v>
      </c>
      <c r="F2149" s="680">
        <v>933.71</v>
      </c>
      <c r="G2149" s="680">
        <v>933.71</v>
      </c>
      <c r="H2149" t="b">
        <f t="shared" si="67"/>
        <v>1</v>
      </c>
    </row>
    <row r="2150" spans="1:8">
      <c r="A2150" s="396">
        <v>3314</v>
      </c>
      <c r="B2150" s="401" t="s">
        <v>10891</v>
      </c>
      <c r="C2150" s="396" t="s">
        <v>2022</v>
      </c>
      <c r="D2150" s="405">
        <f t="shared" si="66"/>
        <v>667.8</v>
      </c>
      <c r="F2150" s="679">
        <v>667.8</v>
      </c>
      <c r="G2150" s="679">
        <v>667.8</v>
      </c>
      <c r="H2150" t="b">
        <f t="shared" si="67"/>
        <v>1</v>
      </c>
    </row>
    <row r="2151" spans="1:8">
      <c r="A2151" s="395">
        <v>11597</v>
      </c>
      <c r="B2151" s="406" t="s">
        <v>10892</v>
      </c>
      <c r="C2151" s="395" t="s">
        <v>2021</v>
      </c>
      <c r="D2151" s="407">
        <f t="shared" si="66"/>
        <v>776.56</v>
      </c>
      <c r="F2151" s="680">
        <v>776.56</v>
      </c>
      <c r="G2151" s="680">
        <v>776.56</v>
      </c>
      <c r="H2151" t="b">
        <f t="shared" si="67"/>
        <v>1</v>
      </c>
    </row>
    <row r="2152" spans="1:8">
      <c r="A2152" s="396">
        <v>3309</v>
      </c>
      <c r="B2152" s="401" t="s">
        <v>10893</v>
      </c>
      <c r="C2152" s="396" t="s">
        <v>2022</v>
      </c>
      <c r="D2152" s="405">
        <f t="shared" si="66"/>
        <v>530.32000000000005</v>
      </c>
      <c r="F2152" s="679">
        <v>530.32000000000005</v>
      </c>
      <c r="G2152" s="679">
        <v>530.32000000000005</v>
      </c>
      <c r="H2152" t="b">
        <f t="shared" si="67"/>
        <v>1</v>
      </c>
    </row>
    <row r="2153" spans="1:8" ht="30">
      <c r="A2153" s="395">
        <v>34612</v>
      </c>
      <c r="B2153" s="406" t="s">
        <v>10894</v>
      </c>
      <c r="C2153" s="395" t="s">
        <v>2021</v>
      </c>
      <c r="D2153" s="407">
        <f t="shared" si="66"/>
        <v>960.47</v>
      </c>
      <c r="F2153" s="680">
        <v>960.47</v>
      </c>
      <c r="G2153" s="680">
        <v>960.47</v>
      </c>
      <c r="H2153" t="b">
        <f t="shared" si="67"/>
        <v>1</v>
      </c>
    </row>
    <row r="2154" spans="1:8" ht="30">
      <c r="A2154" s="396">
        <v>34635</v>
      </c>
      <c r="B2154" s="401" t="s">
        <v>10895</v>
      </c>
      <c r="C2154" s="396" t="s">
        <v>2021</v>
      </c>
      <c r="D2154" s="405">
        <f t="shared" si="66"/>
        <v>1235.1199999999999</v>
      </c>
      <c r="F2154" s="679">
        <v>1235.1199999999999</v>
      </c>
      <c r="G2154" s="679">
        <v>1235.1199999999999</v>
      </c>
      <c r="H2154" t="b">
        <f t="shared" si="67"/>
        <v>1</v>
      </c>
    </row>
    <row r="2155" spans="1:8" ht="30">
      <c r="A2155" s="395">
        <v>34633</v>
      </c>
      <c r="B2155" s="406" t="s">
        <v>10896</v>
      </c>
      <c r="C2155" s="395" t="s">
        <v>2021</v>
      </c>
      <c r="D2155" s="407">
        <f t="shared" si="66"/>
        <v>1361.43</v>
      </c>
      <c r="F2155" s="680">
        <v>1361.43</v>
      </c>
      <c r="G2155" s="680">
        <v>1361.43</v>
      </c>
      <c r="H2155" t="b">
        <f t="shared" si="67"/>
        <v>1</v>
      </c>
    </row>
    <row r="2156" spans="1:8" ht="30">
      <c r="A2156" s="396">
        <v>40440</v>
      </c>
      <c r="B2156" s="401" t="s">
        <v>10897</v>
      </c>
      <c r="C2156" s="396" t="s">
        <v>2022</v>
      </c>
      <c r="D2156" s="405">
        <f t="shared" si="66"/>
        <v>695.58</v>
      </c>
      <c r="F2156" s="679">
        <v>695.58</v>
      </c>
      <c r="G2156" s="679">
        <v>695.58</v>
      </c>
      <c r="H2156" t="b">
        <f t="shared" si="67"/>
        <v>1</v>
      </c>
    </row>
    <row r="2157" spans="1:8" ht="30">
      <c r="A2157" s="395">
        <v>40441</v>
      </c>
      <c r="B2157" s="406" t="s">
        <v>10898</v>
      </c>
      <c r="C2157" s="395" t="s">
        <v>2022</v>
      </c>
      <c r="D2157" s="407">
        <f t="shared" si="66"/>
        <v>444.08</v>
      </c>
      <c r="F2157" s="680">
        <v>444.08</v>
      </c>
      <c r="G2157" s="680">
        <v>444.08</v>
      </c>
      <c r="H2157" t="b">
        <f t="shared" si="67"/>
        <v>1</v>
      </c>
    </row>
    <row r="2158" spans="1:8" ht="30">
      <c r="A2158" s="396">
        <v>40449</v>
      </c>
      <c r="B2158" s="401" t="s">
        <v>10899</v>
      </c>
      <c r="C2158" s="396" t="s">
        <v>2022</v>
      </c>
      <c r="D2158" s="405">
        <f t="shared" si="66"/>
        <v>373.33</v>
      </c>
      <c r="F2158" s="679">
        <v>373.33</v>
      </c>
      <c r="G2158" s="679">
        <v>373.33</v>
      </c>
      <c r="H2158" t="b">
        <f t="shared" si="67"/>
        <v>1</v>
      </c>
    </row>
    <row r="2159" spans="1:8" ht="30">
      <c r="A2159" s="395">
        <v>34800</v>
      </c>
      <c r="B2159" s="406" t="s">
        <v>10900</v>
      </c>
      <c r="C2159" s="395" t="s">
        <v>2022</v>
      </c>
      <c r="D2159" s="407">
        <f t="shared" si="66"/>
        <v>466.85</v>
      </c>
      <c r="F2159" s="680">
        <v>466.85</v>
      </c>
      <c r="G2159" s="680">
        <v>466.85</v>
      </c>
      <c r="H2159" t="b">
        <f t="shared" si="67"/>
        <v>1</v>
      </c>
    </row>
    <row r="2160" spans="1:8" ht="30">
      <c r="A2160" s="396">
        <v>11592</v>
      </c>
      <c r="B2160" s="401" t="s">
        <v>10901</v>
      </c>
      <c r="C2160" s="396" t="s">
        <v>2021</v>
      </c>
      <c r="D2160" s="405">
        <f t="shared" si="66"/>
        <v>667.8</v>
      </c>
      <c r="F2160" s="679">
        <v>667.8</v>
      </c>
      <c r="G2160" s="679">
        <v>667.8</v>
      </c>
      <c r="H2160" t="b">
        <f t="shared" si="67"/>
        <v>1</v>
      </c>
    </row>
    <row r="2161" spans="1:8">
      <c r="A2161" s="395">
        <v>40438</v>
      </c>
      <c r="B2161" s="406" t="s">
        <v>10902</v>
      </c>
      <c r="C2161" s="395" t="s">
        <v>2022</v>
      </c>
      <c r="D2161" s="407">
        <f t="shared" si="66"/>
        <v>311.02999999999997</v>
      </c>
      <c r="F2161" s="680">
        <v>311.02999999999997</v>
      </c>
      <c r="G2161" s="680">
        <v>311.02999999999997</v>
      </c>
      <c r="H2161" t="b">
        <f t="shared" si="67"/>
        <v>1</v>
      </c>
    </row>
    <row r="2162" spans="1:8">
      <c r="A2162" s="396">
        <v>40436</v>
      </c>
      <c r="B2162" s="401" t="s">
        <v>10903</v>
      </c>
      <c r="C2162" s="396" t="s">
        <v>2022</v>
      </c>
      <c r="D2162" s="405">
        <f t="shared" si="66"/>
        <v>387.82</v>
      </c>
      <c r="F2162" s="679">
        <v>387.82</v>
      </c>
      <c r="G2162" s="679">
        <v>387.82</v>
      </c>
      <c r="H2162" t="b">
        <f t="shared" si="67"/>
        <v>1</v>
      </c>
    </row>
    <row r="2163" spans="1:8" ht="30">
      <c r="A2163" s="395">
        <v>4315</v>
      </c>
      <c r="B2163" s="406" t="s">
        <v>10904</v>
      </c>
      <c r="C2163" s="395" t="s">
        <v>2021</v>
      </c>
      <c r="D2163" s="407">
        <f t="shared" si="66"/>
        <v>2.12</v>
      </c>
      <c r="F2163" s="680">
        <v>2.12</v>
      </c>
      <c r="G2163" s="680">
        <v>2.12</v>
      </c>
      <c r="H2163" t="b">
        <f t="shared" si="67"/>
        <v>1</v>
      </c>
    </row>
    <row r="2164" spans="1:8">
      <c r="A2164" s="396">
        <v>402</v>
      </c>
      <c r="B2164" s="401" t="s">
        <v>10905</v>
      </c>
      <c r="C2164" s="396" t="s">
        <v>2021</v>
      </c>
      <c r="D2164" s="405">
        <f t="shared" si="66"/>
        <v>19.989999999999998</v>
      </c>
      <c r="F2164" s="679">
        <v>19.989999999999998</v>
      </c>
      <c r="G2164" s="679">
        <v>19.989999999999998</v>
      </c>
      <c r="H2164" t="b">
        <f t="shared" si="67"/>
        <v>1</v>
      </c>
    </row>
    <row r="2165" spans="1:8">
      <c r="A2165" s="395">
        <v>4226</v>
      </c>
      <c r="B2165" s="406" t="s">
        <v>10906</v>
      </c>
      <c r="C2165" s="395" t="s">
        <v>2025</v>
      </c>
      <c r="D2165" s="407">
        <f t="shared" si="66"/>
        <v>9.4600000000000009</v>
      </c>
      <c r="F2165" s="680">
        <v>9.4600000000000009</v>
      </c>
      <c r="G2165" s="680">
        <v>9.4600000000000009</v>
      </c>
      <c r="H2165" t="b">
        <f t="shared" si="67"/>
        <v>1</v>
      </c>
    </row>
    <row r="2166" spans="1:8">
      <c r="A2166" s="396">
        <v>4222</v>
      </c>
      <c r="B2166" s="401" t="s">
        <v>10907</v>
      </c>
      <c r="C2166" s="396" t="s">
        <v>2026</v>
      </c>
      <c r="D2166" s="405">
        <f t="shared" si="66"/>
        <v>4.95</v>
      </c>
      <c r="F2166" s="679">
        <v>4.95</v>
      </c>
      <c r="G2166" s="679">
        <v>4.95</v>
      </c>
      <c r="H2166" t="b">
        <f t="shared" si="67"/>
        <v>1</v>
      </c>
    </row>
    <row r="2167" spans="1:8" ht="30">
      <c r="A2167" s="395">
        <v>34804</v>
      </c>
      <c r="B2167" s="406" t="s">
        <v>10908</v>
      </c>
      <c r="C2167" s="395" t="s">
        <v>2023</v>
      </c>
      <c r="D2167" s="407">
        <f t="shared" si="66"/>
        <v>56.37</v>
      </c>
      <c r="F2167" s="680">
        <v>56.37</v>
      </c>
      <c r="G2167" s="680">
        <v>56.37</v>
      </c>
      <c r="H2167" t="b">
        <f t="shared" si="67"/>
        <v>1</v>
      </c>
    </row>
    <row r="2168" spans="1:8">
      <c r="A2168" s="396">
        <v>4013</v>
      </c>
      <c r="B2168" s="401" t="s">
        <v>10909</v>
      </c>
      <c r="C2168" s="396" t="s">
        <v>2023</v>
      </c>
      <c r="D2168" s="405">
        <f t="shared" si="66"/>
        <v>7.59</v>
      </c>
      <c r="F2168" s="679">
        <v>7.59</v>
      </c>
      <c r="G2168" s="679">
        <v>7.59</v>
      </c>
      <c r="H2168" t="b">
        <f t="shared" si="67"/>
        <v>1</v>
      </c>
    </row>
    <row r="2169" spans="1:8">
      <c r="A2169" s="395">
        <v>4011</v>
      </c>
      <c r="B2169" s="406" t="s">
        <v>10910</v>
      </c>
      <c r="C2169" s="395" t="s">
        <v>2023</v>
      </c>
      <c r="D2169" s="407">
        <f t="shared" si="66"/>
        <v>8.48</v>
      </c>
      <c r="F2169" s="680">
        <v>8.48</v>
      </c>
      <c r="G2169" s="680">
        <v>8.48</v>
      </c>
      <c r="H2169" t="b">
        <f t="shared" si="67"/>
        <v>1</v>
      </c>
    </row>
    <row r="2170" spans="1:8">
      <c r="A2170" s="396">
        <v>4021</v>
      </c>
      <c r="B2170" s="401" t="s">
        <v>10911</v>
      </c>
      <c r="C2170" s="396" t="s">
        <v>2023</v>
      </c>
      <c r="D2170" s="405">
        <f t="shared" si="66"/>
        <v>10.58</v>
      </c>
      <c r="F2170" s="679">
        <v>10.58</v>
      </c>
      <c r="G2170" s="679">
        <v>10.58</v>
      </c>
      <c r="H2170" t="b">
        <f t="shared" si="67"/>
        <v>1</v>
      </c>
    </row>
    <row r="2171" spans="1:8">
      <c r="A2171" s="395">
        <v>4019</v>
      </c>
      <c r="B2171" s="406" t="s">
        <v>10912</v>
      </c>
      <c r="C2171" s="395" t="s">
        <v>2023</v>
      </c>
      <c r="D2171" s="407">
        <f t="shared" si="66"/>
        <v>12.7</v>
      </c>
      <c r="F2171" s="680">
        <v>12.7</v>
      </c>
      <c r="G2171" s="680">
        <v>12.7</v>
      </c>
      <c r="H2171" t="b">
        <f t="shared" si="67"/>
        <v>1</v>
      </c>
    </row>
    <row r="2172" spans="1:8">
      <c r="A2172" s="396">
        <v>4012</v>
      </c>
      <c r="B2172" s="401" t="s">
        <v>10913</v>
      </c>
      <c r="C2172" s="396" t="s">
        <v>2023</v>
      </c>
      <c r="D2172" s="405">
        <f t="shared" si="66"/>
        <v>17.010000000000002</v>
      </c>
      <c r="F2172" s="679">
        <v>17.010000000000002</v>
      </c>
      <c r="G2172" s="679">
        <v>17.010000000000002</v>
      </c>
      <c r="H2172" t="b">
        <f t="shared" si="67"/>
        <v>1</v>
      </c>
    </row>
    <row r="2173" spans="1:8">
      <c r="A2173" s="395">
        <v>4020</v>
      </c>
      <c r="B2173" s="406" t="s">
        <v>10914</v>
      </c>
      <c r="C2173" s="395" t="s">
        <v>2023</v>
      </c>
      <c r="D2173" s="407">
        <f t="shared" si="66"/>
        <v>21.3</v>
      </c>
      <c r="F2173" s="680">
        <v>21.3</v>
      </c>
      <c r="G2173" s="680">
        <v>21.3</v>
      </c>
      <c r="H2173" t="b">
        <f t="shared" si="67"/>
        <v>1</v>
      </c>
    </row>
    <row r="2174" spans="1:8">
      <c r="A2174" s="396">
        <v>4018</v>
      </c>
      <c r="B2174" s="401" t="s">
        <v>10915</v>
      </c>
      <c r="C2174" s="396" t="s">
        <v>2023</v>
      </c>
      <c r="D2174" s="405">
        <f t="shared" si="66"/>
        <v>25.52</v>
      </c>
      <c r="F2174" s="679">
        <v>25.52</v>
      </c>
      <c r="G2174" s="679">
        <v>25.52</v>
      </c>
      <c r="H2174" t="b">
        <f t="shared" si="67"/>
        <v>1</v>
      </c>
    </row>
    <row r="2175" spans="1:8">
      <c r="A2175" s="395">
        <v>36498</v>
      </c>
      <c r="B2175" s="406" t="s">
        <v>10916</v>
      </c>
      <c r="C2175" s="395" t="s">
        <v>2021</v>
      </c>
      <c r="D2175" s="407">
        <f t="shared" si="66"/>
        <v>8380.85</v>
      </c>
      <c r="F2175" s="680">
        <v>8380.85</v>
      </c>
      <c r="G2175" s="680">
        <v>8380.85</v>
      </c>
      <c r="H2175" t="b">
        <f t="shared" si="67"/>
        <v>1</v>
      </c>
    </row>
    <row r="2176" spans="1:8">
      <c r="A2176" s="396">
        <v>12872</v>
      </c>
      <c r="B2176" s="401" t="s">
        <v>10917</v>
      </c>
      <c r="C2176" s="396" t="s">
        <v>2020</v>
      </c>
      <c r="D2176" s="405">
        <f t="shared" si="66"/>
        <v>15.57</v>
      </c>
      <c r="F2176" s="679">
        <v>15.57</v>
      </c>
      <c r="G2176" s="679">
        <v>17.91</v>
      </c>
      <c r="H2176" t="b">
        <f t="shared" si="67"/>
        <v>0</v>
      </c>
    </row>
    <row r="2177" spans="1:8">
      <c r="A2177" s="395">
        <v>41075</v>
      </c>
      <c r="B2177" s="406" t="s">
        <v>10918</v>
      </c>
      <c r="C2177" s="395" t="s">
        <v>2027</v>
      </c>
      <c r="D2177" s="407">
        <f t="shared" si="66"/>
        <v>2744.43</v>
      </c>
      <c r="F2177" s="680">
        <v>2744.43</v>
      </c>
      <c r="G2177" s="680">
        <v>3161.42</v>
      </c>
      <c r="H2177" t="b">
        <f t="shared" si="67"/>
        <v>0</v>
      </c>
    </row>
    <row r="2178" spans="1:8">
      <c r="A2178" s="396">
        <v>44324</v>
      </c>
      <c r="B2178" s="401" t="s">
        <v>10919</v>
      </c>
      <c r="C2178" s="396" t="s">
        <v>2025</v>
      </c>
      <c r="D2178" s="405">
        <f t="shared" si="66"/>
        <v>3.36</v>
      </c>
      <c r="F2178" s="679">
        <v>3.36</v>
      </c>
      <c r="G2178" s="679">
        <v>3.36</v>
      </c>
      <c r="H2178" t="b">
        <f t="shared" si="67"/>
        <v>1</v>
      </c>
    </row>
    <row r="2179" spans="1:8">
      <c r="A2179" s="395">
        <v>3315</v>
      </c>
      <c r="B2179" s="406" t="s">
        <v>10920</v>
      </c>
      <c r="C2179" s="395" t="s">
        <v>2025</v>
      </c>
      <c r="D2179" s="407">
        <f t="shared" ref="D2179:D2242" si="68">IF($J$2=$F$1,F2179,G2179)</f>
        <v>0.97</v>
      </c>
      <c r="F2179" s="680">
        <v>0.97</v>
      </c>
      <c r="G2179" s="680">
        <v>0.97</v>
      </c>
      <c r="H2179" t="b">
        <f t="shared" ref="H2179:H2242" si="69">F2179=G2179</f>
        <v>1</v>
      </c>
    </row>
    <row r="2180" spans="1:8">
      <c r="A2180" s="396">
        <v>36870</v>
      </c>
      <c r="B2180" s="401" t="s">
        <v>10921</v>
      </c>
      <c r="C2180" s="396" t="s">
        <v>2025</v>
      </c>
      <c r="D2180" s="405">
        <f t="shared" si="68"/>
        <v>0.75</v>
      </c>
      <c r="F2180" s="679">
        <v>0.75</v>
      </c>
      <c r="G2180" s="679">
        <v>0.75</v>
      </c>
      <c r="H2180" t="b">
        <f t="shared" si="69"/>
        <v>1</v>
      </c>
    </row>
    <row r="2181" spans="1:8" ht="30">
      <c r="A2181" s="395">
        <v>5092</v>
      </c>
      <c r="B2181" s="406" t="s">
        <v>10922</v>
      </c>
      <c r="C2181" s="395" t="s">
        <v>2028</v>
      </c>
      <c r="D2181" s="407">
        <f t="shared" si="68"/>
        <v>19.940000000000001</v>
      </c>
      <c r="F2181" s="680">
        <v>19.940000000000001</v>
      </c>
      <c r="G2181" s="680">
        <v>19.940000000000001</v>
      </c>
      <c r="H2181" t="b">
        <f t="shared" si="69"/>
        <v>1</v>
      </c>
    </row>
    <row r="2182" spans="1:8">
      <c r="A2182" s="396">
        <v>11462</v>
      </c>
      <c r="B2182" s="401" t="s">
        <v>10923</v>
      </c>
      <c r="C2182" s="396" t="s">
        <v>2028</v>
      </c>
      <c r="D2182" s="405">
        <f t="shared" si="68"/>
        <v>20.39</v>
      </c>
      <c r="F2182" s="679">
        <v>20.39</v>
      </c>
      <c r="G2182" s="679">
        <v>20.39</v>
      </c>
      <c r="H2182" t="b">
        <f t="shared" si="69"/>
        <v>1</v>
      </c>
    </row>
    <row r="2183" spans="1:8">
      <c r="A2183" s="395">
        <v>36529</v>
      </c>
      <c r="B2183" s="406" t="s">
        <v>10924</v>
      </c>
      <c r="C2183" s="395" t="s">
        <v>2021</v>
      </c>
      <c r="D2183" s="407">
        <f t="shared" si="68"/>
        <v>79958.52</v>
      </c>
      <c r="F2183" s="680">
        <v>79958.52</v>
      </c>
      <c r="G2183" s="680">
        <v>79958.52</v>
      </c>
      <c r="H2183" t="b">
        <f t="shared" si="69"/>
        <v>1</v>
      </c>
    </row>
    <row r="2184" spans="1:8">
      <c r="A2184" s="396">
        <v>3318</v>
      </c>
      <c r="B2184" s="401" t="s">
        <v>10925</v>
      </c>
      <c r="C2184" s="396" t="s">
        <v>2021</v>
      </c>
      <c r="D2184" s="405">
        <f t="shared" si="68"/>
        <v>62687.48</v>
      </c>
      <c r="F2184" s="679">
        <v>62687.48</v>
      </c>
      <c r="G2184" s="679">
        <v>62687.48</v>
      </c>
      <c r="H2184" t="b">
        <f t="shared" si="69"/>
        <v>1</v>
      </c>
    </row>
    <row r="2185" spans="1:8">
      <c r="A2185" s="395">
        <v>3324</v>
      </c>
      <c r="B2185" s="406" t="s">
        <v>10926</v>
      </c>
      <c r="C2185" s="395" t="s">
        <v>2023</v>
      </c>
      <c r="D2185" s="407">
        <f t="shared" si="68"/>
        <v>10.71</v>
      </c>
      <c r="F2185" s="680">
        <v>10.71</v>
      </c>
      <c r="G2185" s="680">
        <v>10.71</v>
      </c>
      <c r="H2185" t="b">
        <f t="shared" si="69"/>
        <v>1</v>
      </c>
    </row>
    <row r="2186" spans="1:8">
      <c r="A2186" s="396">
        <v>3322</v>
      </c>
      <c r="B2186" s="401" t="s">
        <v>10927</v>
      </c>
      <c r="C2186" s="396" t="s">
        <v>2023</v>
      </c>
      <c r="D2186" s="405">
        <f t="shared" si="68"/>
        <v>15</v>
      </c>
      <c r="F2186" s="679">
        <v>15</v>
      </c>
      <c r="G2186" s="679">
        <v>15</v>
      </c>
      <c r="H2186" t="b">
        <f t="shared" si="69"/>
        <v>1</v>
      </c>
    </row>
    <row r="2187" spans="1:8">
      <c r="A2187" s="395">
        <v>5076</v>
      </c>
      <c r="B2187" s="406" t="s">
        <v>10928</v>
      </c>
      <c r="C2187" s="395" t="s">
        <v>2025</v>
      </c>
      <c r="D2187" s="407">
        <f t="shared" si="68"/>
        <v>25.67</v>
      </c>
      <c r="F2187" s="680">
        <v>25.67</v>
      </c>
      <c r="G2187" s="680">
        <v>25.67</v>
      </c>
      <c r="H2187" t="b">
        <f t="shared" si="69"/>
        <v>1</v>
      </c>
    </row>
    <row r="2188" spans="1:8">
      <c r="A2188" s="396">
        <v>5077</v>
      </c>
      <c r="B2188" s="401" t="s">
        <v>10929</v>
      </c>
      <c r="C2188" s="396" t="s">
        <v>2025</v>
      </c>
      <c r="D2188" s="405">
        <f t="shared" si="68"/>
        <v>28.37</v>
      </c>
      <c r="F2188" s="679">
        <v>28.37</v>
      </c>
      <c r="G2188" s="679">
        <v>28.37</v>
      </c>
      <c r="H2188" t="b">
        <f t="shared" si="69"/>
        <v>1</v>
      </c>
    </row>
    <row r="2189" spans="1:8" ht="30">
      <c r="A2189" s="395">
        <v>11837</v>
      </c>
      <c r="B2189" s="406" t="s">
        <v>10930</v>
      </c>
      <c r="C2189" s="395" t="s">
        <v>2021</v>
      </c>
      <c r="D2189" s="407">
        <f t="shared" si="68"/>
        <v>73.67</v>
      </c>
      <c r="F2189" s="680">
        <v>73.67</v>
      </c>
      <c r="G2189" s="680">
        <v>73.67</v>
      </c>
      <c r="H2189" t="b">
        <f t="shared" si="69"/>
        <v>1</v>
      </c>
    </row>
    <row r="2190" spans="1:8">
      <c r="A2190" s="396">
        <v>38055</v>
      </c>
      <c r="B2190" s="401" t="s">
        <v>10931</v>
      </c>
      <c r="C2190" s="396" t="s">
        <v>2021</v>
      </c>
      <c r="D2190" s="405">
        <f t="shared" si="68"/>
        <v>6.68</v>
      </c>
      <c r="F2190" s="679">
        <v>6.68</v>
      </c>
      <c r="G2190" s="679">
        <v>6.68</v>
      </c>
      <c r="H2190" t="b">
        <f t="shared" si="69"/>
        <v>1</v>
      </c>
    </row>
    <row r="2191" spans="1:8">
      <c r="A2191" s="395">
        <v>415</v>
      </c>
      <c r="B2191" s="406" t="s">
        <v>10932</v>
      </c>
      <c r="C2191" s="395" t="s">
        <v>2021</v>
      </c>
      <c r="D2191" s="407">
        <f t="shared" si="68"/>
        <v>30.21</v>
      </c>
      <c r="F2191" s="680">
        <v>30.21</v>
      </c>
      <c r="G2191" s="680">
        <v>30.21</v>
      </c>
      <c r="H2191" t="b">
        <f t="shared" si="69"/>
        <v>1</v>
      </c>
    </row>
    <row r="2192" spans="1:8">
      <c r="A2192" s="396">
        <v>416</v>
      </c>
      <c r="B2192" s="401" t="s">
        <v>10933</v>
      </c>
      <c r="C2192" s="396" t="s">
        <v>2021</v>
      </c>
      <c r="D2192" s="405">
        <f t="shared" si="68"/>
        <v>11.06</v>
      </c>
      <c r="F2192" s="679">
        <v>11.06</v>
      </c>
      <c r="G2192" s="679">
        <v>11.06</v>
      </c>
      <c r="H2192" t="b">
        <f t="shared" si="69"/>
        <v>1</v>
      </c>
    </row>
    <row r="2193" spans="1:8">
      <c r="A2193" s="395">
        <v>425</v>
      </c>
      <c r="B2193" s="406" t="s">
        <v>10934</v>
      </c>
      <c r="C2193" s="395" t="s">
        <v>2021</v>
      </c>
      <c r="D2193" s="407">
        <f t="shared" si="68"/>
        <v>6.85</v>
      </c>
      <c r="F2193" s="680">
        <v>6.85</v>
      </c>
      <c r="G2193" s="680">
        <v>6.85</v>
      </c>
      <c r="H2193" t="b">
        <f t="shared" si="69"/>
        <v>1</v>
      </c>
    </row>
    <row r="2194" spans="1:8">
      <c r="A2194" s="396">
        <v>426</v>
      </c>
      <c r="B2194" s="401" t="s">
        <v>10935</v>
      </c>
      <c r="C2194" s="396" t="s">
        <v>2021</v>
      </c>
      <c r="D2194" s="405">
        <f t="shared" si="68"/>
        <v>37.76</v>
      </c>
      <c r="F2194" s="679">
        <v>37.76</v>
      </c>
      <c r="G2194" s="679">
        <v>37.76</v>
      </c>
      <c r="H2194" t="b">
        <f t="shared" si="69"/>
        <v>1</v>
      </c>
    </row>
    <row r="2195" spans="1:8">
      <c r="A2195" s="395">
        <v>38056</v>
      </c>
      <c r="B2195" s="406" t="s">
        <v>10936</v>
      </c>
      <c r="C2195" s="395" t="s">
        <v>2021</v>
      </c>
      <c r="D2195" s="407">
        <f t="shared" si="68"/>
        <v>36.869999999999997</v>
      </c>
      <c r="F2195" s="680">
        <v>36.869999999999997</v>
      </c>
      <c r="G2195" s="680">
        <v>36.869999999999997</v>
      </c>
      <c r="H2195" t="b">
        <f t="shared" si="69"/>
        <v>1</v>
      </c>
    </row>
    <row r="2196" spans="1:8">
      <c r="A2196" s="396">
        <v>1564</v>
      </c>
      <c r="B2196" s="401" t="s">
        <v>10937</v>
      </c>
      <c r="C2196" s="396" t="s">
        <v>2021</v>
      </c>
      <c r="D2196" s="405">
        <f t="shared" si="68"/>
        <v>14.07</v>
      </c>
      <c r="F2196" s="679">
        <v>14.07</v>
      </c>
      <c r="G2196" s="679">
        <v>14.07</v>
      </c>
      <c r="H2196" t="b">
        <f t="shared" si="69"/>
        <v>1</v>
      </c>
    </row>
    <row r="2197" spans="1:8">
      <c r="A2197" s="395">
        <v>11032</v>
      </c>
      <c r="B2197" s="406" t="s">
        <v>10938</v>
      </c>
      <c r="C2197" s="395" t="s">
        <v>2021</v>
      </c>
      <c r="D2197" s="407">
        <f t="shared" si="68"/>
        <v>11.96</v>
      </c>
      <c r="F2197" s="680">
        <v>11.96</v>
      </c>
      <c r="G2197" s="680">
        <v>11.96</v>
      </c>
      <c r="H2197" t="b">
        <f t="shared" si="69"/>
        <v>1</v>
      </c>
    </row>
    <row r="2198" spans="1:8">
      <c r="A2198" s="396">
        <v>36786</v>
      </c>
      <c r="B2198" s="401" t="s">
        <v>10939</v>
      </c>
      <c r="C2198" s="396" t="s">
        <v>178</v>
      </c>
      <c r="D2198" s="405">
        <f t="shared" si="68"/>
        <v>159.07</v>
      </c>
      <c r="F2198" s="679">
        <v>159.07</v>
      </c>
      <c r="G2198" s="679">
        <v>159.07</v>
      </c>
      <c r="H2198" t="b">
        <f t="shared" si="69"/>
        <v>1</v>
      </c>
    </row>
    <row r="2199" spans="1:8">
      <c r="A2199" s="395">
        <v>36785</v>
      </c>
      <c r="B2199" s="406" t="s">
        <v>10940</v>
      </c>
      <c r="C2199" s="395" t="s">
        <v>178</v>
      </c>
      <c r="D2199" s="407">
        <f t="shared" si="68"/>
        <v>138.22</v>
      </c>
      <c r="F2199" s="680">
        <v>138.22</v>
      </c>
      <c r="G2199" s="680">
        <v>138.22</v>
      </c>
      <c r="H2199" t="b">
        <f t="shared" si="69"/>
        <v>1</v>
      </c>
    </row>
    <row r="2200" spans="1:8">
      <c r="A2200" s="396">
        <v>36782</v>
      </c>
      <c r="B2200" s="401" t="s">
        <v>10941</v>
      </c>
      <c r="C2200" s="396" t="s">
        <v>178</v>
      </c>
      <c r="D2200" s="405">
        <f t="shared" si="68"/>
        <v>164.99</v>
      </c>
      <c r="F2200" s="679">
        <v>164.99</v>
      </c>
      <c r="G2200" s="679">
        <v>164.99</v>
      </c>
      <c r="H2200" t="b">
        <f t="shared" si="69"/>
        <v>1</v>
      </c>
    </row>
    <row r="2201" spans="1:8">
      <c r="A2201" s="395">
        <v>44481</v>
      </c>
      <c r="B2201" s="406" t="s">
        <v>10942</v>
      </c>
      <c r="C2201" s="395" t="s">
        <v>178</v>
      </c>
      <c r="D2201" s="407">
        <f t="shared" si="68"/>
        <v>185.85</v>
      </c>
      <c r="F2201" s="680">
        <v>185.85</v>
      </c>
      <c r="G2201" s="680">
        <v>185.85</v>
      </c>
      <c r="H2201" t="b">
        <f t="shared" si="69"/>
        <v>1</v>
      </c>
    </row>
    <row r="2202" spans="1:8">
      <c r="A2202" s="396">
        <v>4824</v>
      </c>
      <c r="B2202" s="401" t="s">
        <v>10943</v>
      </c>
      <c r="C2202" s="396" t="s">
        <v>2025</v>
      </c>
      <c r="D2202" s="405">
        <f t="shared" si="68"/>
        <v>0.56000000000000005</v>
      </c>
      <c r="F2202" s="679">
        <v>0.56000000000000005</v>
      </c>
      <c r="G2202" s="679">
        <v>0.56000000000000005</v>
      </c>
      <c r="H2202" t="b">
        <f t="shared" si="69"/>
        <v>1</v>
      </c>
    </row>
    <row r="2203" spans="1:8" ht="30">
      <c r="A2203" s="395">
        <v>11795</v>
      </c>
      <c r="B2203" s="406" t="s">
        <v>10944</v>
      </c>
      <c r="C2203" s="395" t="s">
        <v>2023</v>
      </c>
      <c r="D2203" s="407">
        <f t="shared" si="68"/>
        <v>830.18</v>
      </c>
      <c r="F2203" s="680">
        <v>830.18</v>
      </c>
      <c r="G2203" s="680">
        <v>830.18</v>
      </c>
      <c r="H2203" t="b">
        <f t="shared" si="69"/>
        <v>1</v>
      </c>
    </row>
    <row r="2204" spans="1:8">
      <c r="A2204" s="396">
        <v>134</v>
      </c>
      <c r="B2204" s="401" t="s">
        <v>10945</v>
      </c>
      <c r="C2204" s="396" t="s">
        <v>2025</v>
      </c>
      <c r="D2204" s="405">
        <f t="shared" si="68"/>
        <v>1.97</v>
      </c>
      <c r="F2204" s="679">
        <v>1.97</v>
      </c>
      <c r="G2204" s="679">
        <v>1.97</v>
      </c>
      <c r="H2204" t="b">
        <f t="shared" si="69"/>
        <v>1</v>
      </c>
    </row>
    <row r="2205" spans="1:8">
      <c r="A2205" s="395">
        <v>4229</v>
      </c>
      <c r="B2205" s="406" t="s">
        <v>10946</v>
      </c>
      <c r="C2205" s="395" t="s">
        <v>2025</v>
      </c>
      <c r="D2205" s="407">
        <f t="shared" si="68"/>
        <v>38.75</v>
      </c>
      <c r="F2205" s="680">
        <v>38.75</v>
      </c>
      <c r="G2205" s="680">
        <v>38.75</v>
      </c>
      <c r="H2205" t="b">
        <f t="shared" si="69"/>
        <v>1</v>
      </c>
    </row>
    <row r="2206" spans="1:8">
      <c r="A2206" s="396">
        <v>11731</v>
      </c>
      <c r="B2206" s="401" t="s">
        <v>10947</v>
      </c>
      <c r="C2206" s="396" t="s">
        <v>2021</v>
      </c>
      <c r="D2206" s="405">
        <f t="shared" si="68"/>
        <v>12.4</v>
      </c>
      <c r="F2206" s="679">
        <v>12.4</v>
      </c>
      <c r="G2206" s="679">
        <v>12.4</v>
      </c>
      <c r="H2206" t="b">
        <f t="shared" si="69"/>
        <v>1</v>
      </c>
    </row>
    <row r="2207" spans="1:8">
      <c r="A2207" s="395">
        <v>11732</v>
      </c>
      <c r="B2207" s="406" t="s">
        <v>10948</v>
      </c>
      <c r="C2207" s="395" t="s">
        <v>2021</v>
      </c>
      <c r="D2207" s="407">
        <f t="shared" si="68"/>
        <v>32.5</v>
      </c>
      <c r="F2207" s="680">
        <v>32.5</v>
      </c>
      <c r="G2207" s="680">
        <v>32.5</v>
      </c>
      <c r="H2207" t="b">
        <f t="shared" si="69"/>
        <v>1</v>
      </c>
    </row>
    <row r="2208" spans="1:8">
      <c r="A2208" s="396">
        <v>11244</v>
      </c>
      <c r="B2208" s="401" t="s">
        <v>10949</v>
      </c>
      <c r="C2208" s="396" t="s">
        <v>2021</v>
      </c>
      <c r="D2208" s="405">
        <f t="shared" si="68"/>
        <v>275</v>
      </c>
      <c r="F2208" s="679">
        <v>275</v>
      </c>
      <c r="G2208" s="679">
        <v>275</v>
      </c>
      <c r="H2208" t="b">
        <f t="shared" si="69"/>
        <v>1</v>
      </c>
    </row>
    <row r="2209" spans="1:8" ht="30">
      <c r="A2209" s="395">
        <v>11245</v>
      </c>
      <c r="B2209" s="406" t="s">
        <v>10950</v>
      </c>
      <c r="C2209" s="395" t="s">
        <v>2021</v>
      </c>
      <c r="D2209" s="407">
        <f t="shared" si="68"/>
        <v>380.37</v>
      </c>
      <c r="F2209" s="680">
        <v>380.37</v>
      </c>
      <c r="G2209" s="680">
        <v>380.37</v>
      </c>
      <c r="H2209" t="b">
        <f t="shared" si="69"/>
        <v>1</v>
      </c>
    </row>
    <row r="2210" spans="1:8">
      <c r="A2210" s="396">
        <v>11235</v>
      </c>
      <c r="B2210" s="401" t="s">
        <v>10951</v>
      </c>
      <c r="C2210" s="396" t="s">
        <v>2021</v>
      </c>
      <c r="D2210" s="405">
        <f t="shared" si="68"/>
        <v>209.86</v>
      </c>
      <c r="F2210" s="679">
        <v>209.86</v>
      </c>
      <c r="G2210" s="679">
        <v>209.86</v>
      </c>
      <c r="H2210" t="b">
        <f t="shared" si="69"/>
        <v>1</v>
      </c>
    </row>
    <row r="2211" spans="1:8">
      <c r="A2211" s="395">
        <v>11236</v>
      </c>
      <c r="B2211" s="406" t="s">
        <v>10952</v>
      </c>
      <c r="C2211" s="395" t="s">
        <v>2021</v>
      </c>
      <c r="D2211" s="407">
        <f t="shared" si="68"/>
        <v>266.69</v>
      </c>
      <c r="F2211" s="680">
        <v>266.69</v>
      </c>
      <c r="G2211" s="680">
        <v>266.69</v>
      </c>
      <c r="H2211" t="b">
        <f t="shared" si="69"/>
        <v>1</v>
      </c>
    </row>
    <row r="2212" spans="1:8">
      <c r="A2212" s="396">
        <v>36494</v>
      </c>
      <c r="B2212" s="401" t="s">
        <v>10953</v>
      </c>
      <c r="C2212" s="396" t="s">
        <v>2021</v>
      </c>
      <c r="D2212" s="405">
        <f t="shared" si="68"/>
        <v>719505.07</v>
      </c>
      <c r="F2212" s="679">
        <v>719505.07</v>
      </c>
      <c r="G2212" s="679">
        <v>719505.07</v>
      </c>
      <c r="H2212" t="b">
        <f t="shared" si="69"/>
        <v>1</v>
      </c>
    </row>
    <row r="2213" spans="1:8">
      <c r="A2213" s="395">
        <v>36493</v>
      </c>
      <c r="B2213" s="406" t="s">
        <v>10954</v>
      </c>
      <c r="C2213" s="395" t="s">
        <v>2021</v>
      </c>
      <c r="D2213" s="407">
        <f t="shared" si="68"/>
        <v>815170.02</v>
      </c>
      <c r="F2213" s="680">
        <v>815170.02</v>
      </c>
      <c r="G2213" s="680">
        <v>815170.02</v>
      </c>
      <c r="H2213" t="b">
        <f t="shared" si="69"/>
        <v>1</v>
      </c>
    </row>
    <row r="2214" spans="1:8">
      <c r="A2214" s="396">
        <v>36492</v>
      </c>
      <c r="B2214" s="401" t="s">
        <v>10955</v>
      </c>
      <c r="C2214" s="396" t="s">
        <v>2021</v>
      </c>
      <c r="D2214" s="405">
        <f t="shared" si="68"/>
        <v>1514276.75</v>
      </c>
      <c r="F2214" s="679">
        <v>1514276.75</v>
      </c>
      <c r="G2214" s="679">
        <v>1514276.75</v>
      </c>
      <c r="H2214" t="b">
        <f t="shared" si="69"/>
        <v>1</v>
      </c>
    </row>
    <row r="2215" spans="1:8">
      <c r="A2215" s="395">
        <v>36499</v>
      </c>
      <c r="B2215" s="406" t="s">
        <v>10956</v>
      </c>
      <c r="C2215" s="395" t="s">
        <v>2021</v>
      </c>
      <c r="D2215" s="407">
        <f t="shared" si="68"/>
        <v>4525.66</v>
      </c>
      <c r="F2215" s="680">
        <v>4525.66</v>
      </c>
      <c r="G2215" s="680">
        <v>4525.66</v>
      </c>
      <c r="H2215" t="b">
        <f t="shared" si="69"/>
        <v>1</v>
      </c>
    </row>
    <row r="2216" spans="1:8" ht="30">
      <c r="A2216" s="396">
        <v>13533</v>
      </c>
      <c r="B2216" s="401" t="s">
        <v>10957</v>
      </c>
      <c r="C2216" s="396" t="s">
        <v>2021</v>
      </c>
      <c r="D2216" s="405">
        <f t="shared" si="68"/>
        <v>207458.35</v>
      </c>
      <c r="F2216" s="679">
        <v>207458.35</v>
      </c>
      <c r="G2216" s="679">
        <v>207458.35</v>
      </c>
      <c r="H2216" t="b">
        <f t="shared" si="69"/>
        <v>1</v>
      </c>
    </row>
    <row r="2217" spans="1:8" ht="30">
      <c r="A2217" s="395">
        <v>13333</v>
      </c>
      <c r="B2217" s="406" t="s">
        <v>10958</v>
      </c>
      <c r="C2217" s="395" t="s">
        <v>2021</v>
      </c>
      <c r="D2217" s="407">
        <f t="shared" si="68"/>
        <v>232085.16</v>
      </c>
      <c r="F2217" s="680">
        <v>232085.16</v>
      </c>
      <c r="G2217" s="680">
        <v>232085.16</v>
      </c>
      <c r="H2217" t="b">
        <f t="shared" si="69"/>
        <v>1</v>
      </c>
    </row>
    <row r="2218" spans="1:8" ht="30">
      <c r="A2218" s="396">
        <v>39585</v>
      </c>
      <c r="B2218" s="401" t="s">
        <v>10959</v>
      </c>
      <c r="C2218" s="396" t="s">
        <v>2021</v>
      </c>
      <c r="D2218" s="405">
        <f t="shared" si="68"/>
        <v>149857.38</v>
      </c>
      <c r="F2218" s="679">
        <v>149857.38</v>
      </c>
      <c r="G2218" s="679">
        <v>149857.38</v>
      </c>
      <c r="H2218" t="b">
        <f t="shared" si="69"/>
        <v>1</v>
      </c>
    </row>
    <row r="2219" spans="1:8" ht="30">
      <c r="A2219" s="395">
        <v>39586</v>
      </c>
      <c r="B2219" s="406" t="s">
        <v>10960</v>
      </c>
      <c r="C2219" s="395" t="s">
        <v>2021</v>
      </c>
      <c r="D2219" s="407">
        <f t="shared" si="68"/>
        <v>175772.56</v>
      </c>
      <c r="F2219" s="680">
        <v>175772.56</v>
      </c>
      <c r="G2219" s="680">
        <v>175772.56</v>
      </c>
      <c r="H2219" t="b">
        <f t="shared" si="69"/>
        <v>1</v>
      </c>
    </row>
    <row r="2220" spans="1:8" ht="30">
      <c r="A2220" s="396">
        <v>39587</v>
      </c>
      <c r="B2220" s="401" t="s">
        <v>10961</v>
      </c>
      <c r="C2220" s="396" t="s">
        <v>2021</v>
      </c>
      <c r="D2220" s="405">
        <f t="shared" si="68"/>
        <v>214081.97</v>
      </c>
      <c r="F2220" s="679">
        <v>214081.97</v>
      </c>
      <c r="G2220" s="679">
        <v>214081.97</v>
      </c>
      <c r="H2220" t="b">
        <f t="shared" si="69"/>
        <v>1</v>
      </c>
    </row>
    <row r="2221" spans="1:8" ht="30">
      <c r="A2221" s="395">
        <v>39588</v>
      </c>
      <c r="B2221" s="406" t="s">
        <v>10962</v>
      </c>
      <c r="C2221" s="395" t="s">
        <v>2021</v>
      </c>
      <c r="D2221" s="407">
        <f t="shared" si="68"/>
        <v>247884.38</v>
      </c>
      <c r="F2221" s="680">
        <v>247884.38</v>
      </c>
      <c r="G2221" s="680">
        <v>247884.38</v>
      </c>
      <c r="H2221" t="b">
        <f t="shared" si="69"/>
        <v>1</v>
      </c>
    </row>
    <row r="2222" spans="1:8" ht="30">
      <c r="A2222" s="396">
        <v>39584</v>
      </c>
      <c r="B2222" s="401" t="s">
        <v>10963</v>
      </c>
      <c r="C2222" s="396" t="s">
        <v>2021</v>
      </c>
      <c r="D2222" s="405">
        <f t="shared" si="68"/>
        <v>133451.94</v>
      </c>
      <c r="F2222" s="679">
        <v>133451.94</v>
      </c>
      <c r="G2222" s="679">
        <v>133451.94</v>
      </c>
      <c r="H2222" t="b">
        <f t="shared" si="69"/>
        <v>1</v>
      </c>
    </row>
    <row r="2223" spans="1:8" ht="30">
      <c r="A2223" s="395">
        <v>39590</v>
      </c>
      <c r="B2223" s="406" t="s">
        <v>10964</v>
      </c>
      <c r="C2223" s="395" t="s">
        <v>2021</v>
      </c>
      <c r="D2223" s="407">
        <f t="shared" si="68"/>
        <v>130251.98</v>
      </c>
      <c r="F2223" s="680">
        <v>130251.98</v>
      </c>
      <c r="G2223" s="680">
        <v>130251.98</v>
      </c>
      <c r="H2223" t="b">
        <f t="shared" si="69"/>
        <v>1</v>
      </c>
    </row>
    <row r="2224" spans="1:8" ht="30">
      <c r="A2224" s="396">
        <v>39592</v>
      </c>
      <c r="B2224" s="401" t="s">
        <v>10965</v>
      </c>
      <c r="C2224" s="396" t="s">
        <v>2021</v>
      </c>
      <c r="D2224" s="405">
        <f t="shared" si="68"/>
        <v>187175.24</v>
      </c>
      <c r="F2224" s="679">
        <v>187175.24</v>
      </c>
      <c r="G2224" s="679">
        <v>187175.24</v>
      </c>
      <c r="H2224" t="b">
        <f t="shared" si="69"/>
        <v>1</v>
      </c>
    </row>
    <row r="2225" spans="1:8" ht="30">
      <c r="A2225" s="395">
        <v>39593</v>
      </c>
      <c r="B2225" s="406" t="s">
        <v>10966</v>
      </c>
      <c r="C2225" s="395" t="s">
        <v>2021</v>
      </c>
      <c r="D2225" s="407">
        <f t="shared" si="68"/>
        <v>214081.97</v>
      </c>
      <c r="F2225" s="680">
        <v>214081.97</v>
      </c>
      <c r="G2225" s="680">
        <v>214081.97</v>
      </c>
      <c r="H2225" t="b">
        <f t="shared" si="69"/>
        <v>1</v>
      </c>
    </row>
    <row r="2226" spans="1:8" ht="30">
      <c r="A2226" s="396">
        <v>14254</v>
      </c>
      <c r="B2226" s="401" t="s">
        <v>10967</v>
      </c>
      <c r="C2226" s="396" t="s">
        <v>2021</v>
      </c>
      <c r="D2226" s="405">
        <f t="shared" si="68"/>
        <v>121688.7</v>
      </c>
      <c r="F2226" s="679">
        <v>121688.7</v>
      </c>
      <c r="G2226" s="679">
        <v>121688.7</v>
      </c>
      <c r="H2226" t="b">
        <f t="shared" si="69"/>
        <v>1</v>
      </c>
    </row>
    <row r="2227" spans="1:8">
      <c r="A2227" s="395">
        <v>44494</v>
      </c>
      <c r="B2227" s="406" t="s">
        <v>10968</v>
      </c>
      <c r="C2227" s="395" t="s">
        <v>2021</v>
      </c>
      <c r="D2227" s="407">
        <f t="shared" si="68"/>
        <v>101619.77</v>
      </c>
      <c r="F2227" s="680">
        <v>101619.77</v>
      </c>
      <c r="G2227" s="680">
        <v>101619.77</v>
      </c>
      <c r="H2227" t="b">
        <f t="shared" si="69"/>
        <v>1</v>
      </c>
    </row>
    <row r="2228" spans="1:8">
      <c r="A2228" s="396">
        <v>25019</v>
      </c>
      <c r="B2228" s="401" t="s">
        <v>10969</v>
      </c>
      <c r="C2228" s="396" t="s">
        <v>2021</v>
      </c>
      <c r="D2228" s="405">
        <f t="shared" si="68"/>
        <v>174187.65</v>
      </c>
      <c r="F2228" s="679">
        <v>174187.65</v>
      </c>
      <c r="G2228" s="679">
        <v>174187.65</v>
      </c>
      <c r="H2228" t="b">
        <f t="shared" si="69"/>
        <v>1</v>
      </c>
    </row>
    <row r="2229" spans="1:8">
      <c r="A2229" s="395">
        <v>36501</v>
      </c>
      <c r="B2229" s="406" t="s">
        <v>10970</v>
      </c>
      <c r="C2229" s="395" t="s">
        <v>2021</v>
      </c>
      <c r="D2229" s="407">
        <f t="shared" si="68"/>
        <v>155087.03</v>
      </c>
      <c r="F2229" s="680">
        <v>155087.03</v>
      </c>
      <c r="G2229" s="680">
        <v>155087.03</v>
      </c>
      <c r="H2229" t="b">
        <f t="shared" si="69"/>
        <v>1</v>
      </c>
    </row>
    <row r="2230" spans="1:8">
      <c r="A2230" s="396">
        <v>44493</v>
      </c>
      <c r="B2230" s="401" t="s">
        <v>10971</v>
      </c>
      <c r="C2230" s="396" t="s">
        <v>2021</v>
      </c>
      <c r="D2230" s="405">
        <f t="shared" si="68"/>
        <v>186444.33</v>
      </c>
      <c r="F2230" s="679">
        <v>186444.33</v>
      </c>
      <c r="G2230" s="679">
        <v>186444.33</v>
      </c>
      <c r="H2230" t="b">
        <f t="shared" si="69"/>
        <v>1</v>
      </c>
    </row>
    <row r="2231" spans="1:8">
      <c r="A2231" s="395">
        <v>36500</v>
      </c>
      <c r="B2231" s="406" t="s">
        <v>10972</v>
      </c>
      <c r="C2231" s="395" t="s">
        <v>2021</v>
      </c>
      <c r="D2231" s="407">
        <f t="shared" si="68"/>
        <v>109595.77</v>
      </c>
      <c r="F2231" s="680">
        <v>109595.77</v>
      </c>
      <c r="G2231" s="680">
        <v>109595.77</v>
      </c>
      <c r="H2231" t="b">
        <f t="shared" si="69"/>
        <v>1</v>
      </c>
    </row>
    <row r="2232" spans="1:8" ht="30">
      <c r="A2232" s="396">
        <v>20017</v>
      </c>
      <c r="B2232" s="401" t="s">
        <v>10973</v>
      </c>
      <c r="C2232" s="396" t="s">
        <v>2024</v>
      </c>
      <c r="D2232" s="405">
        <f t="shared" si="68"/>
        <v>8.07</v>
      </c>
      <c r="F2232" s="679">
        <v>8.07</v>
      </c>
      <c r="G2232" s="679">
        <v>8.07</v>
      </c>
      <c r="H2232" t="b">
        <f t="shared" si="69"/>
        <v>1</v>
      </c>
    </row>
    <row r="2233" spans="1:8" ht="30">
      <c r="A2233" s="395">
        <v>20007</v>
      </c>
      <c r="B2233" s="406" t="s">
        <v>10974</v>
      </c>
      <c r="C2233" s="395" t="s">
        <v>2024</v>
      </c>
      <c r="D2233" s="407">
        <f t="shared" si="68"/>
        <v>4.82</v>
      </c>
      <c r="F2233" s="680">
        <v>4.82</v>
      </c>
      <c r="G2233" s="680">
        <v>4.82</v>
      </c>
      <c r="H2233" t="b">
        <f t="shared" si="69"/>
        <v>1</v>
      </c>
    </row>
    <row r="2234" spans="1:8">
      <c r="A2234" s="396">
        <v>39831</v>
      </c>
      <c r="B2234" s="401" t="s">
        <v>10975</v>
      </c>
      <c r="C2234" s="396" t="s">
        <v>2029</v>
      </c>
      <c r="D2234" s="405">
        <f t="shared" si="68"/>
        <v>401.43</v>
      </c>
      <c r="F2234" s="679">
        <v>401.43</v>
      </c>
      <c r="G2234" s="679">
        <v>401.43</v>
      </c>
      <c r="H2234" t="b">
        <f t="shared" si="69"/>
        <v>1</v>
      </c>
    </row>
    <row r="2235" spans="1:8" ht="30">
      <c r="A2235" s="395">
        <v>36888</v>
      </c>
      <c r="B2235" s="406" t="s">
        <v>10976</v>
      </c>
      <c r="C2235" s="395" t="s">
        <v>2024</v>
      </c>
      <c r="D2235" s="407">
        <f t="shared" si="68"/>
        <v>28.94</v>
      </c>
      <c r="F2235" s="680">
        <v>28.94</v>
      </c>
      <c r="G2235" s="680">
        <v>28.94</v>
      </c>
      <c r="H2235" t="b">
        <f t="shared" si="69"/>
        <v>1</v>
      </c>
    </row>
    <row r="2236" spans="1:8" ht="30">
      <c r="A2236" s="396">
        <v>39836</v>
      </c>
      <c r="B2236" s="401" t="s">
        <v>10977</v>
      </c>
      <c r="C2236" s="396" t="s">
        <v>2029</v>
      </c>
      <c r="D2236" s="405">
        <f t="shared" si="68"/>
        <v>352.73</v>
      </c>
      <c r="F2236" s="679">
        <v>352.73</v>
      </c>
      <c r="G2236" s="679">
        <v>352.73</v>
      </c>
      <c r="H2236" t="b">
        <f t="shared" si="69"/>
        <v>1</v>
      </c>
    </row>
    <row r="2237" spans="1:8">
      <c r="A2237" s="395">
        <v>39830</v>
      </c>
      <c r="B2237" s="406" t="s">
        <v>10978</v>
      </c>
      <c r="C2237" s="395" t="s">
        <v>2029</v>
      </c>
      <c r="D2237" s="407">
        <f t="shared" si="68"/>
        <v>402.28</v>
      </c>
      <c r="F2237" s="680">
        <v>402.28</v>
      </c>
      <c r="G2237" s="680">
        <v>402.28</v>
      </c>
      <c r="H2237" t="b">
        <f t="shared" si="69"/>
        <v>1</v>
      </c>
    </row>
    <row r="2238" spans="1:8">
      <c r="A2238" s="396">
        <v>40527</v>
      </c>
      <c r="B2238" s="401" t="s">
        <v>10979</v>
      </c>
      <c r="C2238" s="396" t="s">
        <v>2021</v>
      </c>
      <c r="D2238" s="405">
        <f t="shared" si="68"/>
        <v>2751.34</v>
      </c>
      <c r="F2238" s="679">
        <v>2751.34</v>
      </c>
      <c r="G2238" s="679">
        <v>2751.34</v>
      </c>
      <c r="H2238" t="b">
        <f t="shared" si="69"/>
        <v>1</v>
      </c>
    </row>
    <row r="2239" spans="1:8">
      <c r="A2239" s="395">
        <v>36497</v>
      </c>
      <c r="B2239" s="406" t="s">
        <v>10980</v>
      </c>
      <c r="C2239" s="395" t="s">
        <v>2021</v>
      </c>
      <c r="D2239" s="407">
        <f t="shared" si="68"/>
        <v>3140.95</v>
      </c>
      <c r="F2239" s="680">
        <v>3140.95</v>
      </c>
      <c r="G2239" s="680">
        <v>3140.95</v>
      </c>
      <c r="H2239" t="b">
        <f t="shared" si="69"/>
        <v>1</v>
      </c>
    </row>
    <row r="2240" spans="1:8">
      <c r="A2240" s="396">
        <v>36487</v>
      </c>
      <c r="B2240" s="401" t="s">
        <v>10981</v>
      </c>
      <c r="C2240" s="396" t="s">
        <v>2021</v>
      </c>
      <c r="D2240" s="405">
        <f t="shared" si="68"/>
        <v>5468.87</v>
      </c>
      <c r="F2240" s="679">
        <v>5468.87</v>
      </c>
      <c r="G2240" s="679">
        <v>5468.87</v>
      </c>
      <c r="H2240" t="b">
        <f t="shared" si="69"/>
        <v>1</v>
      </c>
    </row>
    <row r="2241" spans="1:8" ht="30">
      <c r="A2241" s="395">
        <v>44475</v>
      </c>
      <c r="B2241" s="406" t="s">
        <v>10982</v>
      </c>
      <c r="C2241" s="395" t="s">
        <v>2021</v>
      </c>
      <c r="D2241" s="407">
        <f t="shared" si="68"/>
        <v>1258165.24</v>
      </c>
      <c r="F2241" s="680">
        <v>1258165.24</v>
      </c>
      <c r="G2241" s="680">
        <v>1258165.24</v>
      </c>
      <c r="H2241" t="b">
        <f t="shared" si="69"/>
        <v>1</v>
      </c>
    </row>
    <row r="2242" spans="1:8" ht="30">
      <c r="A2242" s="396">
        <v>44474</v>
      </c>
      <c r="B2242" s="401" t="s">
        <v>10983</v>
      </c>
      <c r="C2242" s="396" t="s">
        <v>2021</v>
      </c>
      <c r="D2242" s="405">
        <f t="shared" si="68"/>
        <v>2419548.54</v>
      </c>
      <c r="F2242" s="679">
        <v>2419548.54</v>
      </c>
      <c r="G2242" s="679">
        <v>2419548.54</v>
      </c>
      <c r="H2242" t="b">
        <f t="shared" si="69"/>
        <v>1</v>
      </c>
    </row>
    <row r="2243" spans="1:8" ht="30">
      <c r="A2243" s="395">
        <v>44490</v>
      </c>
      <c r="B2243" s="406" t="s">
        <v>10984</v>
      </c>
      <c r="C2243" s="395" t="s">
        <v>2021</v>
      </c>
      <c r="D2243" s="407">
        <f t="shared" ref="D2243:D2306" si="70">IF($J$2=$F$1,F2243,G2243)</f>
        <v>4113232.5</v>
      </c>
      <c r="F2243" s="680">
        <v>4113232.5</v>
      </c>
      <c r="G2243" s="680">
        <v>4113232.5</v>
      </c>
      <c r="H2243" t="b">
        <f t="shared" ref="H2243:H2306" si="71">F2243=G2243</f>
        <v>1</v>
      </c>
    </row>
    <row r="2244" spans="1:8" ht="45">
      <c r="A2244" s="396">
        <v>37776</v>
      </c>
      <c r="B2244" s="401" t="s">
        <v>10985</v>
      </c>
      <c r="C2244" s="396" t="s">
        <v>2021</v>
      </c>
      <c r="D2244" s="405">
        <f t="shared" si="70"/>
        <v>252088.58</v>
      </c>
      <c r="F2244" s="679">
        <v>252088.58</v>
      </c>
      <c r="G2244" s="679">
        <v>252088.58</v>
      </c>
      <c r="H2244" t="b">
        <f t="shared" si="71"/>
        <v>1</v>
      </c>
    </row>
    <row r="2245" spans="1:8" ht="45">
      <c r="A2245" s="395">
        <v>37775</v>
      </c>
      <c r="B2245" s="406" t="s">
        <v>10986</v>
      </c>
      <c r="C2245" s="395" t="s">
        <v>2021</v>
      </c>
      <c r="D2245" s="407">
        <f t="shared" si="70"/>
        <v>397058.59</v>
      </c>
      <c r="F2245" s="680">
        <v>397058.59</v>
      </c>
      <c r="G2245" s="680">
        <v>397058.59</v>
      </c>
      <c r="H2245" t="b">
        <f t="shared" si="71"/>
        <v>1</v>
      </c>
    </row>
    <row r="2246" spans="1:8" ht="45">
      <c r="A2246" s="396">
        <v>36491</v>
      </c>
      <c r="B2246" s="401" t="s">
        <v>10987</v>
      </c>
      <c r="C2246" s="396" t="s">
        <v>2021</v>
      </c>
      <c r="D2246" s="405">
        <f t="shared" si="70"/>
        <v>1470425.78</v>
      </c>
      <c r="F2246" s="679">
        <v>1470425.78</v>
      </c>
      <c r="G2246" s="679">
        <v>1470425.78</v>
      </c>
      <c r="H2246" t="b">
        <f t="shared" si="71"/>
        <v>1</v>
      </c>
    </row>
    <row r="2247" spans="1:8" ht="45">
      <c r="A2247" s="395">
        <v>10712</v>
      </c>
      <c r="B2247" s="406" t="s">
        <v>10988</v>
      </c>
      <c r="C2247" s="395" t="s">
        <v>2021</v>
      </c>
      <c r="D2247" s="407">
        <f t="shared" si="70"/>
        <v>99264.639999999999</v>
      </c>
      <c r="F2247" s="680">
        <v>99264.639999999999</v>
      </c>
      <c r="G2247" s="680">
        <v>99264.639999999999</v>
      </c>
      <c r="H2247" t="b">
        <f t="shared" si="71"/>
        <v>1</v>
      </c>
    </row>
    <row r="2248" spans="1:8" ht="45">
      <c r="A2248" s="396">
        <v>3363</v>
      </c>
      <c r="B2248" s="401" t="s">
        <v>10989</v>
      </c>
      <c r="C2248" s="396" t="s">
        <v>2021</v>
      </c>
      <c r="D2248" s="405">
        <f t="shared" si="70"/>
        <v>139625</v>
      </c>
      <c r="F2248" s="679">
        <v>139625</v>
      </c>
      <c r="G2248" s="679">
        <v>139625</v>
      </c>
      <c r="H2248" t="b">
        <f t="shared" si="71"/>
        <v>1</v>
      </c>
    </row>
    <row r="2249" spans="1:8" ht="45">
      <c r="A2249" s="395">
        <v>3365</v>
      </c>
      <c r="B2249" s="406" t="s">
        <v>10990</v>
      </c>
      <c r="C2249" s="395" t="s">
        <v>2021</v>
      </c>
      <c r="D2249" s="407">
        <f t="shared" si="70"/>
        <v>326373.43</v>
      </c>
      <c r="F2249" s="680">
        <v>326373.43</v>
      </c>
      <c r="G2249" s="680">
        <v>326373.43</v>
      </c>
      <c r="H2249" t="b">
        <f t="shared" si="71"/>
        <v>1</v>
      </c>
    </row>
    <row r="2250" spans="1:8">
      <c r="A2250" s="396">
        <v>7569</v>
      </c>
      <c r="B2250" s="401" t="s">
        <v>10991</v>
      </c>
      <c r="C2250" s="396" t="s">
        <v>2021</v>
      </c>
      <c r="D2250" s="405">
        <f t="shared" si="70"/>
        <v>93.36</v>
      </c>
      <c r="F2250" s="679">
        <v>93.36</v>
      </c>
      <c r="G2250" s="679">
        <v>93.36</v>
      </c>
      <c r="H2250" t="b">
        <f t="shared" si="71"/>
        <v>1</v>
      </c>
    </row>
    <row r="2251" spans="1:8">
      <c r="A2251" s="395">
        <v>34349</v>
      </c>
      <c r="B2251" s="406" t="s">
        <v>10992</v>
      </c>
      <c r="C2251" s="395" t="s">
        <v>2021</v>
      </c>
      <c r="D2251" s="407">
        <f t="shared" si="70"/>
        <v>32.03</v>
      </c>
      <c r="F2251" s="680">
        <v>32.03</v>
      </c>
      <c r="G2251" s="680">
        <v>32.03</v>
      </c>
      <c r="H2251" t="b">
        <f t="shared" si="71"/>
        <v>1</v>
      </c>
    </row>
    <row r="2252" spans="1:8" ht="30">
      <c r="A2252" s="396">
        <v>3378</v>
      </c>
      <c r="B2252" s="401" t="s">
        <v>10993</v>
      </c>
      <c r="C2252" s="396" t="s">
        <v>2021</v>
      </c>
      <c r="D2252" s="405">
        <f t="shared" si="70"/>
        <v>106.94</v>
      </c>
      <c r="F2252" s="679">
        <v>106.94</v>
      </c>
      <c r="G2252" s="679">
        <v>106.94</v>
      </c>
      <c r="H2252" t="b">
        <f t="shared" si="71"/>
        <v>1</v>
      </c>
    </row>
    <row r="2253" spans="1:8" ht="30">
      <c r="A2253" s="395">
        <v>3380</v>
      </c>
      <c r="B2253" s="406" t="s">
        <v>10994</v>
      </c>
      <c r="C2253" s="395" t="s">
        <v>2021</v>
      </c>
      <c r="D2253" s="407">
        <f t="shared" si="70"/>
        <v>74.86</v>
      </c>
      <c r="F2253" s="680">
        <v>74.86</v>
      </c>
      <c r="G2253" s="680">
        <v>74.86</v>
      </c>
      <c r="H2253" t="b">
        <f t="shared" si="71"/>
        <v>1</v>
      </c>
    </row>
    <row r="2254" spans="1:8" ht="30">
      <c r="A2254" s="396">
        <v>3379</v>
      </c>
      <c r="B2254" s="401" t="s">
        <v>10995</v>
      </c>
      <c r="C2254" s="396" t="s">
        <v>2021</v>
      </c>
      <c r="D2254" s="405">
        <f t="shared" si="70"/>
        <v>72.27</v>
      </c>
      <c r="F2254" s="679">
        <v>72.27</v>
      </c>
      <c r="G2254" s="679">
        <v>72.27</v>
      </c>
      <c r="H2254" t="b">
        <f t="shared" si="71"/>
        <v>1</v>
      </c>
    </row>
    <row r="2255" spans="1:8">
      <c r="A2255" s="395">
        <v>11991</v>
      </c>
      <c r="B2255" s="406" t="s">
        <v>10996</v>
      </c>
      <c r="C2255" s="395" t="s">
        <v>2021</v>
      </c>
      <c r="D2255" s="407">
        <f t="shared" si="70"/>
        <v>83.91</v>
      </c>
      <c r="F2255" s="680">
        <v>83.91</v>
      </c>
      <c r="G2255" s="680">
        <v>83.91</v>
      </c>
      <c r="H2255" t="b">
        <f t="shared" si="71"/>
        <v>1</v>
      </c>
    </row>
    <row r="2256" spans="1:8" ht="30">
      <c r="A2256" s="396">
        <v>11029</v>
      </c>
      <c r="B2256" s="401" t="s">
        <v>10997</v>
      </c>
      <c r="C2256" s="396" t="s">
        <v>2032</v>
      </c>
      <c r="D2256" s="405">
        <f t="shared" si="70"/>
        <v>1.83</v>
      </c>
      <c r="F2256" s="679">
        <v>1.83</v>
      </c>
      <c r="G2256" s="679">
        <v>1.83</v>
      </c>
      <c r="H2256" t="b">
        <f t="shared" si="71"/>
        <v>1</v>
      </c>
    </row>
    <row r="2257" spans="1:8" ht="30">
      <c r="A2257" s="395">
        <v>4316</v>
      </c>
      <c r="B2257" s="406" t="s">
        <v>10998</v>
      </c>
      <c r="C2257" s="395" t="s">
        <v>2021</v>
      </c>
      <c r="D2257" s="407">
        <f t="shared" si="70"/>
        <v>1.85</v>
      </c>
      <c r="F2257" s="680">
        <v>1.85</v>
      </c>
      <c r="G2257" s="680">
        <v>1.85</v>
      </c>
      <c r="H2257" t="b">
        <f t="shared" si="71"/>
        <v>1</v>
      </c>
    </row>
    <row r="2258" spans="1:8" ht="30">
      <c r="A2258" s="396">
        <v>4313</v>
      </c>
      <c r="B2258" s="401" t="s">
        <v>10999</v>
      </c>
      <c r="C2258" s="396" t="s">
        <v>2032</v>
      </c>
      <c r="D2258" s="405">
        <f t="shared" si="70"/>
        <v>2.66</v>
      </c>
      <c r="F2258" s="679">
        <v>2.66</v>
      </c>
      <c r="G2258" s="679">
        <v>2.66</v>
      </c>
      <c r="H2258" t="b">
        <f t="shared" si="71"/>
        <v>1</v>
      </c>
    </row>
    <row r="2259" spans="1:8" ht="30">
      <c r="A2259" s="395">
        <v>4317</v>
      </c>
      <c r="B2259" s="406" t="s">
        <v>11000</v>
      </c>
      <c r="C2259" s="395" t="s">
        <v>2021</v>
      </c>
      <c r="D2259" s="407">
        <f t="shared" si="70"/>
        <v>3.03</v>
      </c>
      <c r="F2259" s="680">
        <v>3.03</v>
      </c>
      <c r="G2259" s="680">
        <v>3.03</v>
      </c>
      <c r="H2259" t="b">
        <f t="shared" si="71"/>
        <v>1</v>
      </c>
    </row>
    <row r="2260" spans="1:8" ht="30">
      <c r="A2260" s="396">
        <v>4314</v>
      </c>
      <c r="B2260" s="401" t="s">
        <v>11001</v>
      </c>
      <c r="C2260" s="396" t="s">
        <v>2032</v>
      </c>
      <c r="D2260" s="405">
        <f t="shared" si="70"/>
        <v>3.54</v>
      </c>
      <c r="F2260" s="679">
        <v>3.54</v>
      </c>
      <c r="G2260" s="679">
        <v>3.54</v>
      </c>
      <c r="H2260" t="b">
        <f t="shared" si="71"/>
        <v>1</v>
      </c>
    </row>
    <row r="2261" spans="1:8" ht="30">
      <c r="A2261" s="395">
        <v>10921</v>
      </c>
      <c r="B2261" s="406" t="s">
        <v>11002</v>
      </c>
      <c r="C2261" s="395" t="s">
        <v>2021</v>
      </c>
      <c r="D2261" s="407">
        <f t="shared" si="70"/>
        <v>5965</v>
      </c>
      <c r="F2261" s="680">
        <v>5965</v>
      </c>
      <c r="G2261" s="680">
        <v>5965</v>
      </c>
      <c r="H2261" t="b">
        <f t="shared" si="71"/>
        <v>1</v>
      </c>
    </row>
    <row r="2262" spans="1:8" ht="30">
      <c r="A2262" s="396">
        <v>10922</v>
      </c>
      <c r="B2262" s="401" t="s">
        <v>11003</v>
      </c>
      <c r="C2262" s="396" t="s">
        <v>2021</v>
      </c>
      <c r="D2262" s="405">
        <f t="shared" si="70"/>
        <v>5402.94</v>
      </c>
      <c r="F2262" s="679">
        <v>5402.94</v>
      </c>
      <c r="G2262" s="679">
        <v>5402.94</v>
      </c>
      <c r="H2262" t="b">
        <f t="shared" si="71"/>
        <v>1</v>
      </c>
    </row>
    <row r="2263" spans="1:8">
      <c r="A2263" s="395">
        <v>10923</v>
      </c>
      <c r="B2263" s="406" t="s">
        <v>11004</v>
      </c>
      <c r="C2263" s="395" t="s">
        <v>2021</v>
      </c>
      <c r="D2263" s="407">
        <f t="shared" si="70"/>
        <v>3193.37</v>
      </c>
      <c r="F2263" s="680">
        <v>3193.37</v>
      </c>
      <c r="G2263" s="680">
        <v>3193.37</v>
      </c>
      <c r="H2263" t="b">
        <f t="shared" si="71"/>
        <v>1</v>
      </c>
    </row>
    <row r="2264" spans="1:8">
      <c r="A2264" s="396">
        <v>10924</v>
      </c>
      <c r="B2264" s="401" t="s">
        <v>11005</v>
      </c>
      <c r="C2264" s="396" t="s">
        <v>2021</v>
      </c>
      <c r="D2264" s="405">
        <f t="shared" si="70"/>
        <v>3363.24</v>
      </c>
      <c r="F2264" s="679">
        <v>3363.24</v>
      </c>
      <c r="G2264" s="679">
        <v>3363.24</v>
      </c>
      <c r="H2264" t="b">
        <f t="shared" si="71"/>
        <v>1</v>
      </c>
    </row>
    <row r="2265" spans="1:8" ht="30">
      <c r="A2265" s="395">
        <v>37772</v>
      </c>
      <c r="B2265" s="406" t="s">
        <v>11006</v>
      </c>
      <c r="C2265" s="395" t="s">
        <v>2021</v>
      </c>
      <c r="D2265" s="407">
        <f t="shared" si="70"/>
        <v>273236.33</v>
      </c>
      <c r="F2265" s="680">
        <v>273236.33</v>
      </c>
      <c r="G2265" s="680">
        <v>273236.33</v>
      </c>
      <c r="H2265" t="b">
        <f t="shared" si="71"/>
        <v>1</v>
      </c>
    </row>
    <row r="2266" spans="1:8" ht="30">
      <c r="A2266" s="396">
        <v>37771</v>
      </c>
      <c r="B2266" s="401" t="s">
        <v>11007</v>
      </c>
      <c r="C2266" s="396" t="s">
        <v>2021</v>
      </c>
      <c r="D2266" s="405">
        <f t="shared" si="70"/>
        <v>290679.93</v>
      </c>
      <c r="F2266" s="679">
        <v>290679.93</v>
      </c>
      <c r="G2266" s="679">
        <v>290679.93</v>
      </c>
      <c r="H2266" t="b">
        <f t="shared" si="71"/>
        <v>1</v>
      </c>
    </row>
    <row r="2267" spans="1:8" ht="30">
      <c r="A2267" s="395">
        <v>12772</v>
      </c>
      <c r="B2267" s="406" t="s">
        <v>11008</v>
      </c>
      <c r="C2267" s="395" t="s">
        <v>2021</v>
      </c>
      <c r="D2267" s="407">
        <f t="shared" si="70"/>
        <v>759.19</v>
      </c>
      <c r="F2267" s="680">
        <v>759.19</v>
      </c>
      <c r="G2267" s="680">
        <v>759.19</v>
      </c>
      <c r="H2267" t="b">
        <f t="shared" si="71"/>
        <v>1</v>
      </c>
    </row>
    <row r="2268" spans="1:8" ht="30">
      <c r="A2268" s="396">
        <v>12770</v>
      </c>
      <c r="B2268" s="401" t="s">
        <v>11009</v>
      </c>
      <c r="C2268" s="396" t="s">
        <v>2021</v>
      </c>
      <c r="D2268" s="405">
        <f t="shared" si="70"/>
        <v>456.8</v>
      </c>
      <c r="F2268" s="679">
        <v>456.8</v>
      </c>
      <c r="G2268" s="679">
        <v>456.8</v>
      </c>
      <c r="H2268" t="b">
        <f t="shared" si="71"/>
        <v>1</v>
      </c>
    </row>
    <row r="2269" spans="1:8" ht="30">
      <c r="A2269" s="395">
        <v>12775</v>
      </c>
      <c r="B2269" s="406" t="s">
        <v>11010</v>
      </c>
      <c r="C2269" s="395" t="s">
        <v>2021</v>
      </c>
      <c r="D2269" s="407">
        <f t="shared" si="70"/>
        <v>334.55</v>
      </c>
      <c r="F2269" s="680">
        <v>334.55</v>
      </c>
      <c r="G2269" s="680">
        <v>334.55</v>
      </c>
      <c r="H2269" t="b">
        <f t="shared" si="71"/>
        <v>1</v>
      </c>
    </row>
    <row r="2270" spans="1:8" ht="30">
      <c r="A2270" s="396">
        <v>12768</v>
      </c>
      <c r="B2270" s="401" t="s">
        <v>11011</v>
      </c>
      <c r="C2270" s="396" t="s">
        <v>2021</v>
      </c>
      <c r="D2270" s="405">
        <f t="shared" si="70"/>
        <v>1068.01</v>
      </c>
      <c r="F2270" s="679">
        <v>1068.01</v>
      </c>
      <c r="G2270" s="679">
        <v>1068.01</v>
      </c>
      <c r="H2270" t="b">
        <f t="shared" si="71"/>
        <v>1</v>
      </c>
    </row>
    <row r="2271" spans="1:8" ht="30">
      <c r="A2271" s="395">
        <v>12769</v>
      </c>
      <c r="B2271" s="406" t="s">
        <v>11012</v>
      </c>
      <c r="C2271" s="395" t="s">
        <v>2021</v>
      </c>
      <c r="D2271" s="407">
        <f t="shared" si="70"/>
        <v>87.5</v>
      </c>
      <c r="F2271" s="680">
        <v>87.5</v>
      </c>
      <c r="G2271" s="680">
        <v>87.5</v>
      </c>
      <c r="H2271" t="b">
        <f t="shared" si="71"/>
        <v>1</v>
      </c>
    </row>
    <row r="2272" spans="1:8" ht="30">
      <c r="A2272" s="396">
        <v>12773</v>
      </c>
      <c r="B2272" s="401" t="s">
        <v>11013</v>
      </c>
      <c r="C2272" s="396" t="s">
        <v>2021</v>
      </c>
      <c r="D2272" s="405">
        <f t="shared" si="70"/>
        <v>93.93</v>
      </c>
      <c r="F2272" s="679">
        <v>93.93</v>
      </c>
      <c r="G2272" s="679">
        <v>93.93</v>
      </c>
      <c r="H2272" t="b">
        <f t="shared" si="71"/>
        <v>1</v>
      </c>
    </row>
    <row r="2273" spans="1:8" ht="30">
      <c r="A2273" s="395">
        <v>12774</v>
      </c>
      <c r="B2273" s="406" t="s">
        <v>11014</v>
      </c>
      <c r="C2273" s="395" t="s">
        <v>2021</v>
      </c>
      <c r="D2273" s="407">
        <f t="shared" si="70"/>
        <v>115.8</v>
      </c>
      <c r="F2273" s="680">
        <v>115.8</v>
      </c>
      <c r="G2273" s="680">
        <v>115.8</v>
      </c>
      <c r="H2273" t="b">
        <f t="shared" si="71"/>
        <v>1</v>
      </c>
    </row>
    <row r="2274" spans="1:8" ht="30">
      <c r="A2274" s="396">
        <v>12776</v>
      </c>
      <c r="B2274" s="401" t="s">
        <v>11015</v>
      </c>
      <c r="C2274" s="396" t="s">
        <v>2021</v>
      </c>
      <c r="D2274" s="405">
        <f t="shared" si="70"/>
        <v>1724.26</v>
      </c>
      <c r="F2274" s="679">
        <v>1724.26</v>
      </c>
      <c r="G2274" s="679">
        <v>1724.26</v>
      </c>
      <c r="H2274" t="b">
        <f t="shared" si="71"/>
        <v>1</v>
      </c>
    </row>
    <row r="2275" spans="1:8" ht="30">
      <c r="A2275" s="395">
        <v>12777</v>
      </c>
      <c r="B2275" s="406" t="s">
        <v>11016</v>
      </c>
      <c r="C2275" s="395" t="s">
        <v>2021</v>
      </c>
      <c r="D2275" s="407">
        <f t="shared" si="70"/>
        <v>2251.83</v>
      </c>
      <c r="F2275" s="680">
        <v>2251.83</v>
      </c>
      <c r="G2275" s="680">
        <v>2251.83</v>
      </c>
      <c r="H2275" t="b">
        <f t="shared" si="71"/>
        <v>1</v>
      </c>
    </row>
    <row r="2276" spans="1:8">
      <c r="A2276" s="396">
        <v>3391</v>
      </c>
      <c r="B2276" s="401" t="s">
        <v>11017</v>
      </c>
      <c r="C2276" s="396" t="s">
        <v>2021</v>
      </c>
      <c r="D2276" s="405">
        <f t="shared" si="70"/>
        <v>40.82</v>
      </c>
      <c r="F2276" s="679">
        <v>40.82</v>
      </c>
      <c r="G2276" s="679">
        <v>40.82</v>
      </c>
      <c r="H2276" t="b">
        <f t="shared" si="71"/>
        <v>1</v>
      </c>
    </row>
    <row r="2277" spans="1:8">
      <c r="A2277" s="395">
        <v>3389</v>
      </c>
      <c r="B2277" s="406" t="s">
        <v>11018</v>
      </c>
      <c r="C2277" s="395" t="s">
        <v>2021</v>
      </c>
      <c r="D2277" s="407">
        <f t="shared" si="70"/>
        <v>21.18</v>
      </c>
      <c r="F2277" s="680">
        <v>21.18</v>
      </c>
      <c r="G2277" s="680">
        <v>21.18</v>
      </c>
      <c r="H2277" t="b">
        <f t="shared" si="71"/>
        <v>1</v>
      </c>
    </row>
    <row r="2278" spans="1:8">
      <c r="A2278" s="396">
        <v>3390</v>
      </c>
      <c r="B2278" s="401" t="s">
        <v>11019</v>
      </c>
      <c r="C2278" s="396" t="s">
        <v>2021</v>
      </c>
      <c r="D2278" s="405">
        <f t="shared" si="70"/>
        <v>23.83</v>
      </c>
      <c r="F2278" s="679">
        <v>23.83</v>
      </c>
      <c r="G2278" s="679">
        <v>23.83</v>
      </c>
      <c r="H2278" t="b">
        <f t="shared" si="71"/>
        <v>1</v>
      </c>
    </row>
    <row r="2279" spans="1:8">
      <c r="A2279" s="395">
        <v>12873</v>
      </c>
      <c r="B2279" s="406" t="s">
        <v>11020</v>
      </c>
      <c r="C2279" s="395" t="s">
        <v>2020</v>
      </c>
      <c r="D2279" s="407">
        <f t="shared" si="70"/>
        <v>14.28</v>
      </c>
      <c r="F2279" s="680">
        <v>14.28</v>
      </c>
      <c r="G2279" s="680">
        <v>16.440000000000001</v>
      </c>
      <c r="H2279" t="b">
        <f t="shared" si="71"/>
        <v>0</v>
      </c>
    </row>
    <row r="2280" spans="1:8">
      <c r="A2280" s="396">
        <v>41076</v>
      </c>
      <c r="B2280" s="401" t="s">
        <v>11021</v>
      </c>
      <c r="C2280" s="396" t="s">
        <v>2027</v>
      </c>
      <c r="D2280" s="405">
        <f t="shared" si="70"/>
        <v>2521.06</v>
      </c>
      <c r="F2280" s="679">
        <v>2521.06</v>
      </c>
      <c r="G2280" s="679">
        <v>2904.11</v>
      </c>
      <c r="H2280" t="b">
        <f t="shared" si="71"/>
        <v>0</v>
      </c>
    </row>
    <row r="2281" spans="1:8">
      <c r="A2281" s="395">
        <v>140</v>
      </c>
      <c r="B2281" s="406" t="s">
        <v>11022</v>
      </c>
      <c r="C2281" s="395" t="s">
        <v>2025</v>
      </c>
      <c r="D2281" s="407">
        <f t="shared" si="70"/>
        <v>22.06</v>
      </c>
      <c r="F2281" s="680">
        <v>22.06</v>
      </c>
      <c r="G2281" s="680">
        <v>22.06</v>
      </c>
      <c r="H2281" t="b">
        <f t="shared" si="71"/>
        <v>1</v>
      </c>
    </row>
    <row r="2282" spans="1:8">
      <c r="A2282" s="396">
        <v>151</v>
      </c>
      <c r="B2282" s="401" t="s">
        <v>11023</v>
      </c>
      <c r="C2282" s="396" t="s">
        <v>2026</v>
      </c>
      <c r="D2282" s="405">
        <f t="shared" si="70"/>
        <v>32.549999999999997</v>
      </c>
      <c r="F2282" s="679">
        <v>32.549999999999997</v>
      </c>
      <c r="G2282" s="679">
        <v>32.549999999999997</v>
      </c>
      <c r="H2282" t="b">
        <f t="shared" si="71"/>
        <v>1</v>
      </c>
    </row>
    <row r="2283" spans="1:8">
      <c r="A2283" s="395">
        <v>7340</v>
      </c>
      <c r="B2283" s="406" t="s">
        <v>11024</v>
      </c>
      <c r="C2283" s="395" t="s">
        <v>2026</v>
      </c>
      <c r="D2283" s="407">
        <f t="shared" si="70"/>
        <v>64.92</v>
      </c>
      <c r="F2283" s="680">
        <v>64.92</v>
      </c>
      <c r="G2283" s="680">
        <v>64.92</v>
      </c>
      <c r="H2283" t="b">
        <f t="shared" si="71"/>
        <v>1</v>
      </c>
    </row>
    <row r="2284" spans="1:8">
      <c r="A2284" s="396">
        <v>2701</v>
      </c>
      <c r="B2284" s="401" t="s">
        <v>11025</v>
      </c>
      <c r="C2284" s="396" t="s">
        <v>2020</v>
      </c>
      <c r="D2284" s="405">
        <f t="shared" si="70"/>
        <v>12.5</v>
      </c>
      <c r="F2284" s="679">
        <v>12.5</v>
      </c>
      <c r="G2284" s="679">
        <v>14.38</v>
      </c>
      <c r="H2284" t="b">
        <f t="shared" si="71"/>
        <v>0</v>
      </c>
    </row>
    <row r="2285" spans="1:8">
      <c r="A2285" s="395">
        <v>40929</v>
      </c>
      <c r="B2285" s="406" t="s">
        <v>11026</v>
      </c>
      <c r="C2285" s="395" t="s">
        <v>2027</v>
      </c>
      <c r="D2285" s="407">
        <f t="shared" si="70"/>
        <v>2205.9699999999998</v>
      </c>
      <c r="F2285" s="680">
        <v>2205.9699999999998</v>
      </c>
      <c r="G2285" s="680">
        <v>2541.15</v>
      </c>
      <c r="H2285" t="b">
        <f t="shared" si="71"/>
        <v>0</v>
      </c>
    </row>
    <row r="2286" spans="1:8">
      <c r="A2286" s="396">
        <v>38114</v>
      </c>
      <c r="B2286" s="401" t="s">
        <v>11027</v>
      </c>
      <c r="C2286" s="396" t="s">
        <v>2021</v>
      </c>
      <c r="D2286" s="405">
        <f t="shared" si="70"/>
        <v>16.45</v>
      </c>
      <c r="F2286" s="679">
        <v>16.45</v>
      </c>
      <c r="G2286" s="679">
        <v>16.45</v>
      </c>
      <c r="H2286" t="b">
        <f t="shared" si="71"/>
        <v>1</v>
      </c>
    </row>
    <row r="2287" spans="1:8">
      <c r="A2287" s="395">
        <v>38064</v>
      </c>
      <c r="B2287" s="406" t="s">
        <v>11028</v>
      </c>
      <c r="C2287" s="395" t="s">
        <v>2021</v>
      </c>
      <c r="D2287" s="407">
        <f t="shared" si="70"/>
        <v>18.39</v>
      </c>
      <c r="F2287" s="680">
        <v>18.39</v>
      </c>
      <c r="G2287" s="680">
        <v>18.39</v>
      </c>
      <c r="H2287" t="b">
        <f t="shared" si="71"/>
        <v>1</v>
      </c>
    </row>
    <row r="2288" spans="1:8">
      <c r="A2288" s="396">
        <v>38115</v>
      </c>
      <c r="B2288" s="401" t="s">
        <v>11029</v>
      </c>
      <c r="C2288" s="396" t="s">
        <v>2021</v>
      </c>
      <c r="D2288" s="405">
        <f t="shared" si="70"/>
        <v>17.559999999999999</v>
      </c>
      <c r="F2288" s="679">
        <v>17.559999999999999</v>
      </c>
      <c r="G2288" s="679">
        <v>17.559999999999999</v>
      </c>
      <c r="H2288" t="b">
        <f t="shared" si="71"/>
        <v>1</v>
      </c>
    </row>
    <row r="2289" spans="1:8">
      <c r="A2289" s="395">
        <v>38065</v>
      </c>
      <c r="B2289" s="406" t="s">
        <v>11030</v>
      </c>
      <c r="C2289" s="395" t="s">
        <v>2021</v>
      </c>
      <c r="D2289" s="407">
        <f t="shared" si="70"/>
        <v>26.09</v>
      </c>
      <c r="F2289" s="680">
        <v>26.09</v>
      </c>
      <c r="G2289" s="680">
        <v>26.09</v>
      </c>
      <c r="H2289" t="b">
        <f t="shared" si="71"/>
        <v>1</v>
      </c>
    </row>
    <row r="2290" spans="1:8">
      <c r="A2290" s="396">
        <v>38078</v>
      </c>
      <c r="B2290" s="401" t="s">
        <v>11031</v>
      </c>
      <c r="C2290" s="396" t="s">
        <v>2021</v>
      </c>
      <c r="D2290" s="405">
        <f t="shared" si="70"/>
        <v>15.22</v>
      </c>
      <c r="F2290" s="679">
        <v>15.22</v>
      </c>
      <c r="G2290" s="679">
        <v>15.22</v>
      </c>
      <c r="H2290" t="b">
        <f t="shared" si="71"/>
        <v>1</v>
      </c>
    </row>
    <row r="2291" spans="1:8">
      <c r="A2291" s="395">
        <v>38113</v>
      </c>
      <c r="B2291" s="406" t="s">
        <v>11032</v>
      </c>
      <c r="C2291" s="395" t="s">
        <v>2021</v>
      </c>
      <c r="D2291" s="407">
        <f t="shared" si="70"/>
        <v>8.27</v>
      </c>
      <c r="F2291" s="680">
        <v>8.27</v>
      </c>
      <c r="G2291" s="680">
        <v>8.27</v>
      </c>
      <c r="H2291" t="b">
        <f t="shared" si="71"/>
        <v>1</v>
      </c>
    </row>
    <row r="2292" spans="1:8">
      <c r="A2292" s="396">
        <v>38063</v>
      </c>
      <c r="B2292" s="401" t="s">
        <v>11033</v>
      </c>
      <c r="C2292" s="396" t="s">
        <v>2021</v>
      </c>
      <c r="D2292" s="405">
        <f t="shared" si="70"/>
        <v>8.8699999999999992</v>
      </c>
      <c r="F2292" s="679">
        <v>8.8699999999999992</v>
      </c>
      <c r="G2292" s="679">
        <v>8.8699999999999992</v>
      </c>
      <c r="H2292" t="b">
        <f t="shared" si="71"/>
        <v>1</v>
      </c>
    </row>
    <row r="2293" spans="1:8" ht="30">
      <c r="A2293" s="395">
        <v>38080</v>
      </c>
      <c r="B2293" s="406" t="s">
        <v>11034</v>
      </c>
      <c r="C2293" s="395" t="s">
        <v>2021</v>
      </c>
      <c r="D2293" s="407">
        <f t="shared" si="70"/>
        <v>26.44</v>
      </c>
      <c r="F2293" s="680">
        <v>26.44</v>
      </c>
      <c r="G2293" s="680">
        <v>26.44</v>
      </c>
      <c r="H2293" t="b">
        <f t="shared" si="71"/>
        <v>1</v>
      </c>
    </row>
    <row r="2294" spans="1:8" ht="30">
      <c r="A2294" s="396">
        <v>38069</v>
      </c>
      <c r="B2294" s="401" t="s">
        <v>11035</v>
      </c>
      <c r="C2294" s="396" t="s">
        <v>2021</v>
      </c>
      <c r="D2294" s="405">
        <f t="shared" si="70"/>
        <v>14.46</v>
      </c>
      <c r="F2294" s="679">
        <v>14.46</v>
      </c>
      <c r="G2294" s="679">
        <v>14.46</v>
      </c>
      <c r="H2294" t="b">
        <f t="shared" si="71"/>
        <v>1</v>
      </c>
    </row>
    <row r="2295" spans="1:8">
      <c r="A2295" s="395">
        <v>38077</v>
      </c>
      <c r="B2295" s="406" t="s">
        <v>11036</v>
      </c>
      <c r="C2295" s="395" t="s">
        <v>2021</v>
      </c>
      <c r="D2295" s="407">
        <f t="shared" si="70"/>
        <v>14.13</v>
      </c>
      <c r="F2295" s="680">
        <v>14.13</v>
      </c>
      <c r="G2295" s="680">
        <v>14.13</v>
      </c>
      <c r="H2295" t="b">
        <f t="shared" si="71"/>
        <v>1</v>
      </c>
    </row>
    <row r="2296" spans="1:8" ht="30">
      <c r="A2296" s="396">
        <v>38073</v>
      </c>
      <c r="B2296" s="401" t="s">
        <v>11037</v>
      </c>
      <c r="C2296" s="396" t="s">
        <v>2021</v>
      </c>
      <c r="D2296" s="405">
        <f t="shared" si="70"/>
        <v>21.53</v>
      </c>
      <c r="F2296" s="679">
        <v>21.53</v>
      </c>
      <c r="G2296" s="679">
        <v>21.53</v>
      </c>
      <c r="H2296" t="b">
        <f t="shared" si="71"/>
        <v>1</v>
      </c>
    </row>
    <row r="2297" spans="1:8">
      <c r="A2297" s="395">
        <v>38112</v>
      </c>
      <c r="B2297" s="406" t="s">
        <v>11038</v>
      </c>
      <c r="C2297" s="395" t="s">
        <v>2021</v>
      </c>
      <c r="D2297" s="407">
        <f t="shared" si="70"/>
        <v>6.35</v>
      </c>
      <c r="F2297" s="680">
        <v>6.35</v>
      </c>
      <c r="G2297" s="680">
        <v>6.35</v>
      </c>
      <c r="H2297" t="b">
        <f t="shared" si="71"/>
        <v>1</v>
      </c>
    </row>
    <row r="2298" spans="1:8">
      <c r="A2298" s="396">
        <v>38062</v>
      </c>
      <c r="B2298" s="401" t="s">
        <v>11039</v>
      </c>
      <c r="C2298" s="396" t="s">
        <v>2021</v>
      </c>
      <c r="D2298" s="405">
        <f t="shared" si="70"/>
        <v>6.52</v>
      </c>
      <c r="F2298" s="679">
        <v>6.52</v>
      </c>
      <c r="G2298" s="679">
        <v>6.52</v>
      </c>
      <c r="H2298" t="b">
        <f t="shared" si="71"/>
        <v>1</v>
      </c>
    </row>
    <row r="2299" spans="1:8">
      <c r="A2299" s="395">
        <v>12128</v>
      </c>
      <c r="B2299" s="406" t="s">
        <v>11040</v>
      </c>
      <c r="C2299" s="395" t="s">
        <v>2021</v>
      </c>
      <c r="D2299" s="407">
        <f t="shared" si="70"/>
        <v>8.7100000000000009</v>
      </c>
      <c r="F2299" s="680">
        <v>8.7100000000000009</v>
      </c>
      <c r="G2299" s="680">
        <v>8.7100000000000009</v>
      </c>
      <c r="H2299" t="b">
        <f t="shared" si="71"/>
        <v>1</v>
      </c>
    </row>
    <row r="2300" spans="1:8">
      <c r="A2300" s="396">
        <v>12129</v>
      </c>
      <c r="B2300" s="401" t="s">
        <v>11041</v>
      </c>
      <c r="C2300" s="396" t="s">
        <v>2021</v>
      </c>
      <c r="D2300" s="405">
        <f t="shared" si="70"/>
        <v>11.51</v>
      </c>
      <c r="F2300" s="679">
        <v>11.51</v>
      </c>
      <c r="G2300" s="679">
        <v>11.51</v>
      </c>
      <c r="H2300" t="b">
        <f t="shared" si="71"/>
        <v>1</v>
      </c>
    </row>
    <row r="2301" spans="1:8" ht="30">
      <c r="A2301" s="395">
        <v>38081</v>
      </c>
      <c r="B2301" s="406" t="s">
        <v>11042</v>
      </c>
      <c r="C2301" s="395" t="s">
        <v>2021</v>
      </c>
      <c r="D2301" s="407">
        <f t="shared" si="70"/>
        <v>22.43</v>
      </c>
      <c r="F2301" s="680">
        <v>22.43</v>
      </c>
      <c r="G2301" s="680">
        <v>22.43</v>
      </c>
      <c r="H2301" t="b">
        <f t="shared" si="71"/>
        <v>1</v>
      </c>
    </row>
    <row r="2302" spans="1:8">
      <c r="A2302" s="396">
        <v>38070</v>
      </c>
      <c r="B2302" s="401" t="s">
        <v>11043</v>
      </c>
      <c r="C2302" s="396" t="s">
        <v>2021</v>
      </c>
      <c r="D2302" s="405">
        <f t="shared" si="70"/>
        <v>15.45</v>
      </c>
      <c r="F2302" s="679">
        <v>15.45</v>
      </c>
      <c r="G2302" s="679">
        <v>15.45</v>
      </c>
      <c r="H2302" t="b">
        <f t="shared" si="71"/>
        <v>1</v>
      </c>
    </row>
    <row r="2303" spans="1:8">
      <c r="A2303" s="395">
        <v>38074</v>
      </c>
      <c r="B2303" s="406" t="s">
        <v>11044</v>
      </c>
      <c r="C2303" s="395" t="s">
        <v>2021</v>
      </c>
      <c r="D2303" s="407">
        <f t="shared" si="70"/>
        <v>23.5</v>
      </c>
      <c r="F2303" s="680">
        <v>23.5</v>
      </c>
      <c r="G2303" s="680">
        <v>23.5</v>
      </c>
      <c r="H2303" t="b">
        <f t="shared" si="71"/>
        <v>1</v>
      </c>
    </row>
    <row r="2304" spans="1:8" ht="30">
      <c r="A2304" s="396">
        <v>38079</v>
      </c>
      <c r="B2304" s="401" t="s">
        <v>11045</v>
      </c>
      <c r="C2304" s="396" t="s">
        <v>2021</v>
      </c>
      <c r="D2304" s="405">
        <f t="shared" si="70"/>
        <v>20.170000000000002</v>
      </c>
      <c r="F2304" s="679">
        <v>20.170000000000002</v>
      </c>
      <c r="G2304" s="679">
        <v>20.170000000000002</v>
      </c>
      <c r="H2304" t="b">
        <f t="shared" si="71"/>
        <v>1</v>
      </c>
    </row>
    <row r="2305" spans="1:8" ht="30">
      <c r="A2305" s="395">
        <v>38072</v>
      </c>
      <c r="B2305" s="406" t="s">
        <v>11046</v>
      </c>
      <c r="C2305" s="395" t="s">
        <v>2021</v>
      </c>
      <c r="D2305" s="407">
        <f t="shared" si="70"/>
        <v>19.38</v>
      </c>
      <c r="F2305" s="680">
        <v>19.38</v>
      </c>
      <c r="G2305" s="680">
        <v>19.38</v>
      </c>
      <c r="H2305" t="b">
        <f t="shared" si="71"/>
        <v>1</v>
      </c>
    </row>
    <row r="2306" spans="1:8">
      <c r="A2306" s="396">
        <v>38068</v>
      </c>
      <c r="B2306" s="401" t="s">
        <v>11047</v>
      </c>
      <c r="C2306" s="396" t="s">
        <v>2021</v>
      </c>
      <c r="D2306" s="405">
        <f t="shared" si="70"/>
        <v>13.38</v>
      </c>
      <c r="F2306" s="679">
        <v>13.38</v>
      </c>
      <c r="G2306" s="679">
        <v>13.38</v>
      </c>
      <c r="H2306" t="b">
        <f t="shared" si="71"/>
        <v>1</v>
      </c>
    </row>
    <row r="2307" spans="1:8">
      <c r="A2307" s="395">
        <v>38071</v>
      </c>
      <c r="B2307" s="406" t="s">
        <v>11048</v>
      </c>
      <c r="C2307" s="395" t="s">
        <v>2021</v>
      </c>
      <c r="D2307" s="407">
        <f t="shared" ref="D2307:D2370" si="72">IF($J$2=$F$1,F2307,G2307)</f>
        <v>15.99</v>
      </c>
      <c r="F2307" s="680">
        <v>15.99</v>
      </c>
      <c r="G2307" s="680">
        <v>15.99</v>
      </c>
      <c r="H2307" t="b">
        <f t="shared" ref="H2307:H2370" si="73">F2307=G2307</f>
        <v>1</v>
      </c>
    </row>
    <row r="2308" spans="1:8" ht="30">
      <c r="A2308" s="396">
        <v>38412</v>
      </c>
      <c r="B2308" s="401" t="s">
        <v>11049</v>
      </c>
      <c r="C2308" s="396" t="s">
        <v>2021</v>
      </c>
      <c r="D2308" s="405">
        <f t="shared" si="72"/>
        <v>1702.13</v>
      </c>
      <c r="F2308" s="679">
        <v>1702.13</v>
      </c>
      <c r="G2308" s="679">
        <v>1702.13</v>
      </c>
      <c r="H2308" t="b">
        <f t="shared" si="73"/>
        <v>1</v>
      </c>
    </row>
    <row r="2309" spans="1:8">
      <c r="A2309" s="395">
        <v>3405</v>
      </c>
      <c r="B2309" s="406" t="s">
        <v>11050</v>
      </c>
      <c r="C2309" s="395" t="s">
        <v>2021</v>
      </c>
      <c r="D2309" s="407">
        <f t="shared" si="72"/>
        <v>85.36</v>
      </c>
      <c r="F2309" s="680">
        <v>85.36</v>
      </c>
      <c r="G2309" s="680">
        <v>85.36</v>
      </c>
      <c r="H2309" t="b">
        <f t="shared" si="73"/>
        <v>1</v>
      </c>
    </row>
    <row r="2310" spans="1:8">
      <c r="A2310" s="396">
        <v>3394</v>
      </c>
      <c r="B2310" s="401" t="s">
        <v>11051</v>
      </c>
      <c r="C2310" s="396" t="s">
        <v>2021</v>
      </c>
      <c r="D2310" s="405">
        <f t="shared" si="72"/>
        <v>450.62</v>
      </c>
      <c r="F2310" s="679">
        <v>450.62</v>
      </c>
      <c r="G2310" s="679">
        <v>450.62</v>
      </c>
      <c r="H2310" t="b">
        <f t="shared" si="73"/>
        <v>1</v>
      </c>
    </row>
    <row r="2311" spans="1:8">
      <c r="A2311" s="395">
        <v>3393</v>
      </c>
      <c r="B2311" s="406" t="s">
        <v>11052</v>
      </c>
      <c r="C2311" s="395" t="s">
        <v>2021</v>
      </c>
      <c r="D2311" s="407">
        <f t="shared" si="72"/>
        <v>767.23</v>
      </c>
      <c r="F2311" s="680">
        <v>767.23</v>
      </c>
      <c r="G2311" s="680">
        <v>767.23</v>
      </c>
      <c r="H2311" t="b">
        <f t="shared" si="73"/>
        <v>1</v>
      </c>
    </row>
    <row r="2312" spans="1:8">
      <c r="A2312" s="396">
        <v>3406</v>
      </c>
      <c r="B2312" s="401" t="s">
        <v>11053</v>
      </c>
      <c r="C2312" s="396" t="s">
        <v>2021</v>
      </c>
      <c r="D2312" s="405">
        <f t="shared" si="72"/>
        <v>26.13</v>
      </c>
      <c r="F2312" s="679">
        <v>26.13</v>
      </c>
      <c r="G2312" s="679">
        <v>26.13</v>
      </c>
      <c r="H2312" t="b">
        <f t="shared" si="73"/>
        <v>1</v>
      </c>
    </row>
    <row r="2313" spans="1:8">
      <c r="A2313" s="395">
        <v>3395</v>
      </c>
      <c r="B2313" s="406" t="s">
        <v>11054</v>
      </c>
      <c r="C2313" s="395" t="s">
        <v>2021</v>
      </c>
      <c r="D2313" s="407">
        <f t="shared" si="72"/>
        <v>110.23</v>
      </c>
      <c r="F2313" s="680">
        <v>110.23</v>
      </c>
      <c r="G2313" s="680">
        <v>110.23</v>
      </c>
      <c r="H2313" t="b">
        <f t="shared" si="73"/>
        <v>1</v>
      </c>
    </row>
    <row r="2314" spans="1:8">
      <c r="A2314" s="396">
        <v>3398</v>
      </c>
      <c r="B2314" s="401" t="s">
        <v>11055</v>
      </c>
      <c r="C2314" s="396" t="s">
        <v>2021</v>
      </c>
      <c r="D2314" s="405">
        <f t="shared" si="72"/>
        <v>5.24</v>
      </c>
      <c r="F2314" s="679">
        <v>5.24</v>
      </c>
      <c r="G2314" s="679">
        <v>5.24</v>
      </c>
      <c r="H2314" t="b">
        <f t="shared" si="73"/>
        <v>1</v>
      </c>
    </row>
    <row r="2315" spans="1:8" ht="45">
      <c r="A2315" s="395">
        <v>40662</v>
      </c>
      <c r="B2315" s="406" t="s">
        <v>11056</v>
      </c>
      <c r="C2315" s="395" t="s">
        <v>2021</v>
      </c>
      <c r="D2315" s="407">
        <f t="shared" si="72"/>
        <v>284.83</v>
      </c>
      <c r="F2315" s="680">
        <v>284.83</v>
      </c>
      <c r="G2315" s="680">
        <v>284.83</v>
      </c>
      <c r="H2315" t="b">
        <f t="shared" si="73"/>
        <v>1</v>
      </c>
    </row>
    <row r="2316" spans="1:8" ht="30">
      <c r="A2316" s="396">
        <v>3437</v>
      </c>
      <c r="B2316" s="401" t="s">
        <v>11057</v>
      </c>
      <c r="C2316" s="396" t="s">
        <v>2023</v>
      </c>
      <c r="D2316" s="405">
        <f t="shared" si="72"/>
        <v>791.2</v>
      </c>
      <c r="F2316" s="679">
        <v>791.2</v>
      </c>
      <c r="G2316" s="679">
        <v>791.2</v>
      </c>
      <c r="H2316" t="b">
        <f t="shared" si="73"/>
        <v>1</v>
      </c>
    </row>
    <row r="2317" spans="1:8">
      <c r="A2317" s="395">
        <v>11190</v>
      </c>
      <c r="B2317" s="406" t="s">
        <v>11058</v>
      </c>
      <c r="C2317" s="395" t="s">
        <v>2021</v>
      </c>
      <c r="D2317" s="407">
        <f t="shared" si="72"/>
        <v>229</v>
      </c>
      <c r="F2317" s="680">
        <v>229</v>
      </c>
      <c r="G2317" s="680">
        <v>229</v>
      </c>
      <c r="H2317" t="b">
        <f t="shared" si="73"/>
        <v>1</v>
      </c>
    </row>
    <row r="2318" spans="1:8" ht="30">
      <c r="A2318" s="396">
        <v>34377</v>
      </c>
      <c r="B2318" s="401" t="s">
        <v>13886</v>
      </c>
      <c r="C2318" s="396" t="s">
        <v>2021</v>
      </c>
      <c r="D2318" s="405">
        <f t="shared" si="72"/>
        <v>203.8</v>
      </c>
      <c r="F2318" s="679">
        <v>203.8</v>
      </c>
      <c r="G2318" s="679">
        <v>203.8</v>
      </c>
      <c r="H2318" t="b">
        <f t="shared" si="73"/>
        <v>1</v>
      </c>
    </row>
    <row r="2319" spans="1:8" ht="45">
      <c r="A2319" s="395">
        <v>3428</v>
      </c>
      <c r="B2319" s="406" t="s">
        <v>11059</v>
      </c>
      <c r="C2319" s="395" t="s">
        <v>2023</v>
      </c>
      <c r="D2319" s="407">
        <f t="shared" si="72"/>
        <v>1173.6099999999999</v>
      </c>
      <c r="F2319" s="680">
        <v>1173.6099999999999</v>
      </c>
      <c r="G2319" s="680">
        <v>1173.6099999999999</v>
      </c>
      <c r="H2319" t="b">
        <f t="shared" si="73"/>
        <v>1</v>
      </c>
    </row>
    <row r="2320" spans="1:8" ht="45">
      <c r="A2320" s="396">
        <v>3429</v>
      </c>
      <c r="B2320" s="401" t="s">
        <v>11060</v>
      </c>
      <c r="C2320" s="396" t="s">
        <v>2023</v>
      </c>
      <c r="D2320" s="405">
        <f t="shared" si="72"/>
        <v>670.54</v>
      </c>
      <c r="F2320" s="679">
        <v>670.54</v>
      </c>
      <c r="G2320" s="679">
        <v>670.54</v>
      </c>
      <c r="H2320" t="b">
        <f t="shared" si="73"/>
        <v>1</v>
      </c>
    </row>
    <row r="2321" spans="1:8" ht="30">
      <c r="A2321" s="395">
        <v>34364</v>
      </c>
      <c r="B2321" s="406" t="s">
        <v>13887</v>
      </c>
      <c r="C2321" s="395" t="s">
        <v>2021</v>
      </c>
      <c r="D2321" s="407">
        <f t="shared" si="72"/>
        <v>668.73</v>
      </c>
      <c r="F2321" s="680">
        <v>668.73</v>
      </c>
      <c r="G2321" s="680">
        <v>668.73</v>
      </c>
      <c r="H2321" t="b">
        <f t="shared" si="73"/>
        <v>1</v>
      </c>
    </row>
    <row r="2322" spans="1:8" ht="30">
      <c r="A2322" s="396">
        <v>11199</v>
      </c>
      <c r="B2322" s="401" t="s">
        <v>11061</v>
      </c>
      <c r="C2322" s="396" t="s">
        <v>2021</v>
      </c>
      <c r="D2322" s="405">
        <f t="shared" si="72"/>
        <v>1264.72</v>
      </c>
      <c r="F2322" s="679">
        <v>1264.72</v>
      </c>
      <c r="G2322" s="679">
        <v>1264.72</v>
      </c>
      <c r="H2322" t="b">
        <f t="shared" si="73"/>
        <v>1</v>
      </c>
    </row>
    <row r="2323" spans="1:8" ht="30">
      <c r="A2323" s="395">
        <v>34369</v>
      </c>
      <c r="B2323" s="406" t="s">
        <v>13888</v>
      </c>
      <c r="C2323" s="395" t="s">
        <v>2021</v>
      </c>
      <c r="D2323" s="407">
        <f t="shared" si="72"/>
        <v>708.86</v>
      </c>
      <c r="F2323" s="680">
        <v>708.86</v>
      </c>
      <c r="G2323" s="680">
        <v>708.86</v>
      </c>
      <c r="H2323" t="b">
        <f t="shared" si="73"/>
        <v>1</v>
      </c>
    </row>
    <row r="2324" spans="1:8" ht="30">
      <c r="A2324" s="396">
        <v>36896</v>
      </c>
      <c r="B2324" s="401" t="s">
        <v>13889</v>
      </c>
      <c r="C2324" s="396" t="s">
        <v>2021</v>
      </c>
      <c r="D2324" s="405">
        <f t="shared" si="72"/>
        <v>394.73</v>
      </c>
      <c r="F2324" s="679">
        <v>394.73</v>
      </c>
      <c r="G2324" s="679">
        <v>394.73</v>
      </c>
      <c r="H2324" t="b">
        <f t="shared" si="73"/>
        <v>1</v>
      </c>
    </row>
    <row r="2325" spans="1:8" ht="30">
      <c r="A2325" s="395">
        <v>34367</v>
      </c>
      <c r="B2325" s="406" t="s">
        <v>13890</v>
      </c>
      <c r="C2325" s="395" t="s">
        <v>2021</v>
      </c>
      <c r="D2325" s="407">
        <f t="shared" si="72"/>
        <v>508.74</v>
      </c>
      <c r="F2325" s="680">
        <v>508.74</v>
      </c>
      <c r="G2325" s="680">
        <v>508.74</v>
      </c>
      <c r="H2325" t="b">
        <f t="shared" si="73"/>
        <v>1</v>
      </c>
    </row>
    <row r="2326" spans="1:8" ht="30">
      <c r="A2326" s="396">
        <v>36897</v>
      </c>
      <c r="B2326" s="401" t="s">
        <v>13891</v>
      </c>
      <c r="C2326" s="396" t="s">
        <v>2021</v>
      </c>
      <c r="D2326" s="405">
        <f t="shared" si="72"/>
        <v>615.97</v>
      </c>
      <c r="F2326" s="679">
        <v>615.97</v>
      </c>
      <c r="G2326" s="679">
        <v>615.97</v>
      </c>
      <c r="H2326" t="b">
        <f t="shared" si="73"/>
        <v>1</v>
      </c>
    </row>
    <row r="2327" spans="1:8" ht="45">
      <c r="A2327" s="395">
        <v>40659</v>
      </c>
      <c r="B2327" s="406" t="s">
        <v>11062</v>
      </c>
      <c r="C2327" s="395" t="s">
        <v>2023</v>
      </c>
      <c r="D2327" s="407">
        <f t="shared" si="72"/>
        <v>1119.43</v>
      </c>
      <c r="F2327" s="680">
        <v>1119.43</v>
      </c>
      <c r="G2327" s="680">
        <v>1119.43</v>
      </c>
      <c r="H2327" t="b">
        <f t="shared" si="73"/>
        <v>1</v>
      </c>
    </row>
    <row r="2328" spans="1:8" ht="45">
      <c r="A2328" s="396">
        <v>40660</v>
      </c>
      <c r="B2328" s="401" t="s">
        <v>11063</v>
      </c>
      <c r="C2328" s="396" t="s">
        <v>2023</v>
      </c>
      <c r="D2328" s="405">
        <f t="shared" si="72"/>
        <v>1418.75</v>
      </c>
      <c r="F2328" s="679">
        <v>1418.75</v>
      </c>
      <c r="G2328" s="679">
        <v>1418.75</v>
      </c>
      <c r="H2328" t="b">
        <f t="shared" si="73"/>
        <v>1</v>
      </c>
    </row>
    <row r="2329" spans="1:8" ht="45">
      <c r="A2329" s="395">
        <v>40661</v>
      </c>
      <c r="B2329" s="406" t="s">
        <v>11064</v>
      </c>
      <c r="C2329" s="395" t="s">
        <v>2023</v>
      </c>
      <c r="D2329" s="407">
        <f t="shared" si="72"/>
        <v>872.29</v>
      </c>
      <c r="F2329" s="680">
        <v>872.29</v>
      </c>
      <c r="G2329" s="680">
        <v>872.29</v>
      </c>
      <c r="H2329" t="b">
        <f t="shared" si="73"/>
        <v>1</v>
      </c>
    </row>
    <row r="2330" spans="1:8" ht="45">
      <c r="A2330" s="396">
        <v>3421</v>
      </c>
      <c r="B2330" s="401" t="s">
        <v>11065</v>
      </c>
      <c r="C2330" s="396" t="s">
        <v>2023</v>
      </c>
      <c r="D2330" s="405">
        <f t="shared" si="72"/>
        <v>878.96</v>
      </c>
      <c r="F2330" s="679">
        <v>878.96</v>
      </c>
      <c r="G2330" s="679">
        <v>878.96</v>
      </c>
      <c r="H2330" t="b">
        <f t="shared" si="73"/>
        <v>1</v>
      </c>
    </row>
    <row r="2331" spans="1:8" ht="30">
      <c r="A2331" s="395">
        <v>599</v>
      </c>
      <c r="B2331" s="406" t="s">
        <v>11066</v>
      </c>
      <c r="C2331" s="395" t="s">
        <v>2023</v>
      </c>
      <c r="D2331" s="407">
        <f t="shared" si="72"/>
        <v>719.9</v>
      </c>
      <c r="F2331" s="680">
        <v>719.9</v>
      </c>
      <c r="G2331" s="680">
        <v>719.9</v>
      </c>
      <c r="H2331" t="b">
        <f t="shared" si="73"/>
        <v>1</v>
      </c>
    </row>
    <row r="2332" spans="1:8" ht="30">
      <c r="A2332" s="396">
        <v>44053</v>
      </c>
      <c r="B2332" s="401" t="s">
        <v>13892</v>
      </c>
      <c r="C2332" s="396" t="s">
        <v>2021</v>
      </c>
      <c r="D2332" s="405">
        <f t="shared" si="72"/>
        <v>1597.84</v>
      </c>
      <c r="F2332" s="679">
        <v>1597.84</v>
      </c>
      <c r="G2332" s="679">
        <v>1597.84</v>
      </c>
      <c r="H2332" t="b">
        <f t="shared" si="73"/>
        <v>1</v>
      </c>
    </row>
    <row r="2333" spans="1:8" ht="30">
      <c r="A2333" s="395">
        <v>3423</v>
      </c>
      <c r="B2333" s="406" t="s">
        <v>11067</v>
      </c>
      <c r="C2333" s="395" t="s">
        <v>2023</v>
      </c>
      <c r="D2333" s="407">
        <f t="shared" si="72"/>
        <v>1239.54</v>
      </c>
      <c r="F2333" s="680">
        <v>1239.54</v>
      </c>
      <c r="G2333" s="680">
        <v>1239.54</v>
      </c>
      <c r="H2333" t="b">
        <f t="shared" si="73"/>
        <v>1</v>
      </c>
    </row>
    <row r="2334" spans="1:8" ht="30">
      <c r="A2334" s="396">
        <v>34381</v>
      </c>
      <c r="B2334" s="401" t="s">
        <v>13893</v>
      </c>
      <c r="C2334" s="396" t="s">
        <v>2021</v>
      </c>
      <c r="D2334" s="405">
        <f t="shared" si="72"/>
        <v>290.68</v>
      </c>
      <c r="F2334" s="679">
        <v>290.68</v>
      </c>
      <c r="G2334" s="679">
        <v>290.68</v>
      </c>
      <c r="H2334" t="b">
        <f t="shared" si="73"/>
        <v>1</v>
      </c>
    </row>
    <row r="2335" spans="1:8" ht="30">
      <c r="A2335" s="395">
        <v>34797</v>
      </c>
      <c r="B2335" s="406" t="s">
        <v>11068</v>
      </c>
      <c r="C2335" s="395" t="s">
        <v>2021</v>
      </c>
      <c r="D2335" s="407">
        <f t="shared" si="72"/>
        <v>498.8</v>
      </c>
      <c r="F2335" s="680">
        <v>498.8</v>
      </c>
      <c r="G2335" s="680">
        <v>498.8</v>
      </c>
      <c r="H2335" t="b">
        <f t="shared" si="73"/>
        <v>1</v>
      </c>
    </row>
    <row r="2336" spans="1:8" ht="30">
      <c r="A2336" s="396">
        <v>44054</v>
      </c>
      <c r="B2336" s="401" t="s">
        <v>13894</v>
      </c>
      <c r="C2336" s="396" t="s">
        <v>2021</v>
      </c>
      <c r="D2336" s="405">
        <f t="shared" si="72"/>
        <v>573.21</v>
      </c>
      <c r="F2336" s="679">
        <v>573.21</v>
      </c>
      <c r="G2336" s="679">
        <v>573.21</v>
      </c>
      <c r="H2336" t="b">
        <f t="shared" si="73"/>
        <v>1</v>
      </c>
    </row>
    <row r="2337" spans="1:8" ht="30">
      <c r="A2337" s="395">
        <v>44399</v>
      </c>
      <c r="B2337" s="406" t="s">
        <v>13895</v>
      </c>
      <c r="C2337" s="395" t="s">
        <v>2021</v>
      </c>
      <c r="D2337" s="407">
        <f t="shared" si="72"/>
        <v>783.19</v>
      </c>
      <c r="F2337" s="680">
        <v>783.19</v>
      </c>
      <c r="G2337" s="680">
        <v>783.19</v>
      </c>
      <c r="H2337" t="b">
        <f t="shared" si="73"/>
        <v>1</v>
      </c>
    </row>
    <row r="2338" spans="1:8">
      <c r="A2338" s="396">
        <v>44503</v>
      </c>
      <c r="B2338" s="401" t="s">
        <v>11069</v>
      </c>
      <c r="C2338" s="396" t="s">
        <v>2020</v>
      </c>
      <c r="D2338" s="405">
        <f t="shared" si="72"/>
        <v>13.62</v>
      </c>
      <c r="F2338" s="679">
        <v>13.62</v>
      </c>
      <c r="G2338" s="679">
        <v>15.67</v>
      </c>
      <c r="H2338" t="b">
        <f t="shared" si="73"/>
        <v>0</v>
      </c>
    </row>
    <row r="2339" spans="1:8">
      <c r="A2339" s="395">
        <v>41077</v>
      </c>
      <c r="B2339" s="406" t="s">
        <v>11070</v>
      </c>
      <c r="C2339" s="395" t="s">
        <v>2027</v>
      </c>
      <c r="D2339" s="407">
        <f t="shared" si="72"/>
        <v>2403.21</v>
      </c>
      <c r="F2339" s="680">
        <v>2403.21</v>
      </c>
      <c r="G2339" s="680">
        <v>2768.36</v>
      </c>
      <c r="H2339" t="b">
        <f t="shared" si="73"/>
        <v>0</v>
      </c>
    </row>
    <row r="2340" spans="1:8">
      <c r="A2340" s="396">
        <v>37963</v>
      </c>
      <c r="B2340" s="401" t="s">
        <v>11071</v>
      </c>
      <c r="C2340" s="396" t="s">
        <v>2021</v>
      </c>
      <c r="D2340" s="405">
        <f t="shared" si="72"/>
        <v>4.2300000000000004</v>
      </c>
      <c r="F2340" s="679">
        <v>4.2300000000000004</v>
      </c>
      <c r="G2340" s="679">
        <v>4.2300000000000004</v>
      </c>
      <c r="H2340" t="b">
        <f t="shared" si="73"/>
        <v>1</v>
      </c>
    </row>
    <row r="2341" spans="1:8">
      <c r="A2341" s="395">
        <v>37964</v>
      </c>
      <c r="B2341" s="406" t="s">
        <v>11072</v>
      </c>
      <c r="C2341" s="395" t="s">
        <v>2021</v>
      </c>
      <c r="D2341" s="407">
        <f t="shared" si="72"/>
        <v>5.66</v>
      </c>
      <c r="F2341" s="680">
        <v>5.66</v>
      </c>
      <c r="G2341" s="680">
        <v>5.66</v>
      </c>
      <c r="H2341" t="b">
        <f t="shared" si="73"/>
        <v>1</v>
      </c>
    </row>
    <row r="2342" spans="1:8">
      <c r="A2342" s="396">
        <v>37965</v>
      </c>
      <c r="B2342" s="401" t="s">
        <v>11073</v>
      </c>
      <c r="C2342" s="396" t="s">
        <v>2021</v>
      </c>
      <c r="D2342" s="405">
        <f t="shared" si="72"/>
        <v>8.16</v>
      </c>
      <c r="F2342" s="679">
        <v>8.16</v>
      </c>
      <c r="G2342" s="679">
        <v>8.16</v>
      </c>
      <c r="H2342" t="b">
        <f t="shared" si="73"/>
        <v>1</v>
      </c>
    </row>
    <row r="2343" spans="1:8">
      <c r="A2343" s="395">
        <v>37966</v>
      </c>
      <c r="B2343" s="406" t="s">
        <v>11074</v>
      </c>
      <c r="C2343" s="395" t="s">
        <v>2021</v>
      </c>
      <c r="D2343" s="407">
        <f t="shared" si="72"/>
        <v>14.33</v>
      </c>
      <c r="F2343" s="680">
        <v>14.33</v>
      </c>
      <c r="G2343" s="680">
        <v>14.33</v>
      </c>
      <c r="H2343" t="b">
        <f t="shared" si="73"/>
        <v>1</v>
      </c>
    </row>
    <row r="2344" spans="1:8">
      <c r="A2344" s="396">
        <v>37967</v>
      </c>
      <c r="B2344" s="401" t="s">
        <v>11075</v>
      </c>
      <c r="C2344" s="396" t="s">
        <v>2021</v>
      </c>
      <c r="D2344" s="405">
        <f t="shared" si="72"/>
        <v>24.08</v>
      </c>
      <c r="F2344" s="679">
        <v>24.08</v>
      </c>
      <c r="G2344" s="679">
        <v>24.08</v>
      </c>
      <c r="H2344" t="b">
        <f t="shared" si="73"/>
        <v>1</v>
      </c>
    </row>
    <row r="2345" spans="1:8">
      <c r="A2345" s="395">
        <v>37968</v>
      </c>
      <c r="B2345" s="406" t="s">
        <v>11076</v>
      </c>
      <c r="C2345" s="395" t="s">
        <v>2021</v>
      </c>
      <c r="D2345" s="407">
        <f t="shared" si="72"/>
        <v>51.13</v>
      </c>
      <c r="F2345" s="680">
        <v>51.13</v>
      </c>
      <c r="G2345" s="680">
        <v>51.13</v>
      </c>
      <c r="H2345" t="b">
        <f t="shared" si="73"/>
        <v>1</v>
      </c>
    </row>
    <row r="2346" spans="1:8">
      <c r="A2346" s="396">
        <v>37969</v>
      </c>
      <c r="B2346" s="401" t="s">
        <v>11077</v>
      </c>
      <c r="C2346" s="396" t="s">
        <v>2021</v>
      </c>
      <c r="D2346" s="405">
        <f t="shared" si="72"/>
        <v>129.19999999999999</v>
      </c>
      <c r="F2346" s="679">
        <v>129.19999999999999</v>
      </c>
      <c r="G2346" s="679">
        <v>129.19999999999999</v>
      </c>
      <c r="H2346" t="b">
        <f t="shared" si="73"/>
        <v>1</v>
      </c>
    </row>
    <row r="2347" spans="1:8">
      <c r="A2347" s="395">
        <v>37970</v>
      </c>
      <c r="B2347" s="406" t="s">
        <v>11078</v>
      </c>
      <c r="C2347" s="395" t="s">
        <v>2021</v>
      </c>
      <c r="D2347" s="407">
        <f t="shared" si="72"/>
        <v>186.92</v>
      </c>
      <c r="F2347" s="680">
        <v>186.92</v>
      </c>
      <c r="G2347" s="680">
        <v>186.92</v>
      </c>
      <c r="H2347" t="b">
        <f t="shared" si="73"/>
        <v>1</v>
      </c>
    </row>
    <row r="2348" spans="1:8">
      <c r="A2348" s="396">
        <v>44251</v>
      </c>
      <c r="B2348" s="401" t="s">
        <v>11079</v>
      </c>
      <c r="C2348" s="396" t="s">
        <v>2021</v>
      </c>
      <c r="D2348" s="405">
        <f t="shared" si="72"/>
        <v>215.9</v>
      </c>
      <c r="F2348" s="679">
        <v>215.9</v>
      </c>
      <c r="G2348" s="679">
        <v>215.9</v>
      </c>
      <c r="H2348" t="b">
        <f t="shared" si="73"/>
        <v>1</v>
      </c>
    </row>
    <row r="2349" spans="1:8">
      <c r="A2349" s="395">
        <v>21118</v>
      </c>
      <c r="B2349" s="406" t="s">
        <v>11080</v>
      </c>
      <c r="C2349" s="395" t="s">
        <v>2021</v>
      </c>
      <c r="D2349" s="407">
        <f t="shared" si="72"/>
        <v>3.36</v>
      </c>
      <c r="F2349" s="680">
        <v>3.36</v>
      </c>
      <c r="G2349" s="680">
        <v>3.36</v>
      </c>
      <c r="H2349" t="b">
        <f t="shared" si="73"/>
        <v>1</v>
      </c>
    </row>
    <row r="2350" spans="1:8">
      <c r="A2350" s="396">
        <v>37956</v>
      </c>
      <c r="B2350" s="401" t="s">
        <v>11081</v>
      </c>
      <c r="C2350" s="396" t="s">
        <v>2021</v>
      </c>
      <c r="D2350" s="405">
        <f t="shared" si="72"/>
        <v>4.13</v>
      </c>
      <c r="F2350" s="679">
        <v>4.13</v>
      </c>
      <c r="G2350" s="679">
        <v>4.13</v>
      </c>
      <c r="H2350" t="b">
        <f t="shared" si="73"/>
        <v>1</v>
      </c>
    </row>
    <row r="2351" spans="1:8">
      <c r="A2351" s="395">
        <v>37957</v>
      </c>
      <c r="B2351" s="406" t="s">
        <v>11082</v>
      </c>
      <c r="C2351" s="395" t="s">
        <v>2021</v>
      </c>
      <c r="D2351" s="407">
        <f t="shared" si="72"/>
        <v>8.7899999999999991</v>
      </c>
      <c r="F2351" s="680">
        <v>8.7899999999999991</v>
      </c>
      <c r="G2351" s="680">
        <v>8.7899999999999991</v>
      </c>
      <c r="H2351" t="b">
        <f t="shared" si="73"/>
        <v>1</v>
      </c>
    </row>
    <row r="2352" spans="1:8">
      <c r="A2352" s="396">
        <v>37958</v>
      </c>
      <c r="B2352" s="401" t="s">
        <v>11083</v>
      </c>
      <c r="C2352" s="396" t="s">
        <v>2021</v>
      </c>
      <c r="D2352" s="405">
        <f t="shared" si="72"/>
        <v>15.89</v>
      </c>
      <c r="F2352" s="679">
        <v>15.89</v>
      </c>
      <c r="G2352" s="679">
        <v>15.89</v>
      </c>
      <c r="H2352" t="b">
        <f t="shared" si="73"/>
        <v>1</v>
      </c>
    </row>
    <row r="2353" spans="1:8">
      <c r="A2353" s="395">
        <v>37959</v>
      </c>
      <c r="B2353" s="406" t="s">
        <v>11084</v>
      </c>
      <c r="C2353" s="395" t="s">
        <v>2021</v>
      </c>
      <c r="D2353" s="407">
        <f t="shared" si="72"/>
        <v>24.46</v>
      </c>
      <c r="F2353" s="680">
        <v>24.46</v>
      </c>
      <c r="G2353" s="680">
        <v>24.46</v>
      </c>
      <c r="H2353" t="b">
        <f t="shared" si="73"/>
        <v>1</v>
      </c>
    </row>
    <row r="2354" spans="1:8">
      <c r="A2354" s="396">
        <v>37960</v>
      </c>
      <c r="B2354" s="401" t="s">
        <v>11085</v>
      </c>
      <c r="C2354" s="396" t="s">
        <v>2021</v>
      </c>
      <c r="D2354" s="405">
        <f t="shared" si="72"/>
        <v>62.51</v>
      </c>
      <c r="F2354" s="679">
        <v>62.51</v>
      </c>
      <c r="G2354" s="679">
        <v>62.51</v>
      </c>
      <c r="H2354" t="b">
        <f t="shared" si="73"/>
        <v>1</v>
      </c>
    </row>
    <row r="2355" spans="1:8">
      <c r="A2355" s="395">
        <v>37961</v>
      </c>
      <c r="B2355" s="406" t="s">
        <v>11086</v>
      </c>
      <c r="C2355" s="395" t="s">
        <v>2021</v>
      </c>
      <c r="D2355" s="407">
        <f t="shared" si="72"/>
        <v>134.35</v>
      </c>
      <c r="F2355" s="680">
        <v>134.35</v>
      </c>
      <c r="G2355" s="680">
        <v>134.35</v>
      </c>
      <c r="H2355" t="b">
        <f t="shared" si="73"/>
        <v>1</v>
      </c>
    </row>
    <row r="2356" spans="1:8">
      <c r="A2356" s="396">
        <v>37962</v>
      </c>
      <c r="B2356" s="401" t="s">
        <v>11087</v>
      </c>
      <c r="C2356" s="396" t="s">
        <v>2021</v>
      </c>
      <c r="D2356" s="405">
        <f t="shared" si="72"/>
        <v>154.88</v>
      </c>
      <c r="F2356" s="679">
        <v>154.88</v>
      </c>
      <c r="G2356" s="679">
        <v>154.88</v>
      </c>
      <c r="H2356" t="b">
        <f t="shared" si="73"/>
        <v>1</v>
      </c>
    </row>
    <row r="2357" spans="1:8">
      <c r="A2357" s="395">
        <v>3533</v>
      </c>
      <c r="B2357" s="406" t="s">
        <v>11088</v>
      </c>
      <c r="C2357" s="395" t="s">
        <v>2021</v>
      </c>
      <c r="D2357" s="407">
        <f t="shared" si="72"/>
        <v>3.45</v>
      </c>
      <c r="F2357" s="680">
        <v>3.45</v>
      </c>
      <c r="G2357" s="680">
        <v>3.45</v>
      </c>
      <c r="H2357" t="b">
        <f t="shared" si="73"/>
        <v>1</v>
      </c>
    </row>
    <row r="2358" spans="1:8">
      <c r="A2358" s="396">
        <v>3538</v>
      </c>
      <c r="B2358" s="401" t="s">
        <v>11089</v>
      </c>
      <c r="C2358" s="396" t="s">
        <v>2021</v>
      </c>
      <c r="D2358" s="405">
        <f t="shared" si="72"/>
        <v>6.52</v>
      </c>
      <c r="F2358" s="679">
        <v>6.52</v>
      </c>
      <c r="G2358" s="679">
        <v>6.52</v>
      </c>
      <c r="H2358" t="b">
        <f t="shared" si="73"/>
        <v>1</v>
      </c>
    </row>
    <row r="2359" spans="1:8">
      <c r="A2359" s="395">
        <v>3498</v>
      </c>
      <c r="B2359" s="406" t="s">
        <v>11090</v>
      </c>
      <c r="C2359" s="395" t="s">
        <v>2021</v>
      </c>
      <c r="D2359" s="407">
        <f t="shared" si="72"/>
        <v>6.32</v>
      </c>
      <c r="F2359" s="680">
        <v>6.32</v>
      </c>
      <c r="G2359" s="680">
        <v>6.32</v>
      </c>
      <c r="H2359" t="b">
        <f t="shared" si="73"/>
        <v>1</v>
      </c>
    </row>
    <row r="2360" spans="1:8">
      <c r="A2360" s="396">
        <v>3496</v>
      </c>
      <c r="B2360" s="401" t="s">
        <v>11091</v>
      </c>
      <c r="C2360" s="396" t="s">
        <v>2021</v>
      </c>
      <c r="D2360" s="405">
        <f t="shared" si="72"/>
        <v>4.2300000000000004</v>
      </c>
      <c r="F2360" s="679">
        <v>4.2300000000000004</v>
      </c>
      <c r="G2360" s="679">
        <v>4.2300000000000004</v>
      </c>
      <c r="H2360" t="b">
        <f t="shared" si="73"/>
        <v>1</v>
      </c>
    </row>
    <row r="2361" spans="1:8">
      <c r="A2361" s="395">
        <v>38429</v>
      </c>
      <c r="B2361" s="406" t="s">
        <v>11092</v>
      </c>
      <c r="C2361" s="395" t="s">
        <v>2021</v>
      </c>
      <c r="D2361" s="407">
        <f t="shared" si="72"/>
        <v>11.44</v>
      </c>
      <c r="F2361" s="680">
        <v>11.44</v>
      </c>
      <c r="G2361" s="680">
        <v>11.44</v>
      </c>
      <c r="H2361" t="b">
        <f t="shared" si="73"/>
        <v>1</v>
      </c>
    </row>
    <row r="2362" spans="1:8">
      <c r="A2362" s="396">
        <v>38431</v>
      </c>
      <c r="B2362" s="401" t="s">
        <v>11093</v>
      </c>
      <c r="C2362" s="396" t="s">
        <v>2021</v>
      </c>
      <c r="D2362" s="405">
        <f t="shared" si="72"/>
        <v>14.35</v>
      </c>
      <c r="F2362" s="679">
        <v>14.35</v>
      </c>
      <c r="G2362" s="679">
        <v>14.35</v>
      </c>
      <c r="H2362" t="b">
        <f t="shared" si="73"/>
        <v>1</v>
      </c>
    </row>
    <row r="2363" spans="1:8">
      <c r="A2363" s="395">
        <v>38430</v>
      </c>
      <c r="B2363" s="406" t="s">
        <v>11094</v>
      </c>
      <c r="C2363" s="395" t="s">
        <v>2021</v>
      </c>
      <c r="D2363" s="407">
        <f t="shared" si="72"/>
        <v>22.25</v>
      </c>
      <c r="F2363" s="680">
        <v>22.25</v>
      </c>
      <c r="G2363" s="680">
        <v>22.25</v>
      </c>
      <c r="H2363" t="b">
        <f t="shared" si="73"/>
        <v>1</v>
      </c>
    </row>
    <row r="2364" spans="1:8">
      <c r="A2364" s="396">
        <v>36348</v>
      </c>
      <c r="B2364" s="401" t="s">
        <v>11095</v>
      </c>
      <c r="C2364" s="396" t="s">
        <v>2021</v>
      </c>
      <c r="D2364" s="405">
        <f t="shared" si="72"/>
        <v>2.0299999999999998</v>
      </c>
      <c r="F2364" s="679">
        <v>2.0299999999999998</v>
      </c>
      <c r="G2364" s="679">
        <v>2.0299999999999998</v>
      </c>
      <c r="H2364" t="b">
        <f t="shared" si="73"/>
        <v>1</v>
      </c>
    </row>
    <row r="2365" spans="1:8">
      <c r="A2365" s="395">
        <v>36349</v>
      </c>
      <c r="B2365" s="406" t="s">
        <v>11096</v>
      </c>
      <c r="C2365" s="395" t="s">
        <v>2021</v>
      </c>
      <c r="D2365" s="407">
        <f t="shared" si="72"/>
        <v>2.81</v>
      </c>
      <c r="F2365" s="680">
        <v>2.81</v>
      </c>
      <c r="G2365" s="680">
        <v>2.81</v>
      </c>
      <c r="H2365" t="b">
        <f t="shared" si="73"/>
        <v>1</v>
      </c>
    </row>
    <row r="2366" spans="1:8">
      <c r="A2366" s="396">
        <v>38987</v>
      </c>
      <c r="B2366" s="401" t="s">
        <v>11097</v>
      </c>
      <c r="C2366" s="396" t="s">
        <v>2021</v>
      </c>
      <c r="D2366" s="405">
        <f t="shared" si="72"/>
        <v>13.49</v>
      </c>
      <c r="F2366" s="679">
        <v>13.49</v>
      </c>
      <c r="G2366" s="679">
        <v>13.49</v>
      </c>
      <c r="H2366" t="b">
        <f t="shared" si="73"/>
        <v>1</v>
      </c>
    </row>
    <row r="2367" spans="1:8">
      <c r="A2367" s="395">
        <v>38988</v>
      </c>
      <c r="B2367" s="406" t="s">
        <v>11098</v>
      </c>
      <c r="C2367" s="395" t="s">
        <v>2021</v>
      </c>
      <c r="D2367" s="407">
        <f t="shared" si="72"/>
        <v>21.98</v>
      </c>
      <c r="F2367" s="680">
        <v>21.98</v>
      </c>
      <c r="G2367" s="680">
        <v>21.98</v>
      </c>
      <c r="H2367" t="b">
        <f t="shared" si="73"/>
        <v>1</v>
      </c>
    </row>
    <row r="2368" spans="1:8">
      <c r="A2368" s="396">
        <v>38989</v>
      </c>
      <c r="B2368" s="401" t="s">
        <v>11099</v>
      </c>
      <c r="C2368" s="396" t="s">
        <v>2021</v>
      </c>
      <c r="D2368" s="405">
        <f t="shared" si="72"/>
        <v>36.979999999999997</v>
      </c>
      <c r="F2368" s="679">
        <v>36.979999999999997</v>
      </c>
      <c r="G2368" s="679">
        <v>36.979999999999997</v>
      </c>
      <c r="H2368" t="b">
        <f t="shared" si="73"/>
        <v>1</v>
      </c>
    </row>
    <row r="2369" spans="1:8">
      <c r="A2369" s="395">
        <v>38990</v>
      </c>
      <c r="B2369" s="406" t="s">
        <v>11100</v>
      </c>
      <c r="C2369" s="395" t="s">
        <v>2021</v>
      </c>
      <c r="D2369" s="407">
        <f t="shared" si="72"/>
        <v>73.900000000000006</v>
      </c>
      <c r="F2369" s="680">
        <v>73.900000000000006</v>
      </c>
      <c r="G2369" s="680">
        <v>73.900000000000006</v>
      </c>
      <c r="H2369" t="b">
        <f t="shared" si="73"/>
        <v>1</v>
      </c>
    </row>
    <row r="2370" spans="1:8">
      <c r="A2370" s="396">
        <v>38991</v>
      </c>
      <c r="B2370" s="401" t="s">
        <v>11101</v>
      </c>
      <c r="C2370" s="396" t="s">
        <v>2021</v>
      </c>
      <c r="D2370" s="405">
        <f t="shared" si="72"/>
        <v>132.97999999999999</v>
      </c>
      <c r="F2370" s="679">
        <v>132.97999999999999</v>
      </c>
      <c r="G2370" s="679">
        <v>132.97999999999999</v>
      </c>
      <c r="H2370" t="b">
        <f t="shared" si="73"/>
        <v>1</v>
      </c>
    </row>
    <row r="2371" spans="1:8">
      <c r="A2371" s="395">
        <v>38433</v>
      </c>
      <c r="B2371" s="406" t="s">
        <v>11102</v>
      </c>
      <c r="C2371" s="395" t="s">
        <v>2021</v>
      </c>
      <c r="D2371" s="407">
        <f t="shared" ref="D2371:D2434" si="74">IF($J$2=$F$1,F2371,G2371)</f>
        <v>6.87</v>
      </c>
      <c r="F2371" s="680">
        <v>6.87</v>
      </c>
      <c r="G2371" s="680">
        <v>6.87</v>
      </c>
      <c r="H2371" t="b">
        <f t="shared" ref="H2371:H2434" si="75">F2371=G2371</f>
        <v>1</v>
      </c>
    </row>
    <row r="2372" spans="1:8">
      <c r="A2372" s="396">
        <v>38440</v>
      </c>
      <c r="B2372" s="401" t="s">
        <v>11103</v>
      </c>
      <c r="C2372" s="396" t="s">
        <v>2021</v>
      </c>
      <c r="D2372" s="405">
        <f t="shared" si="74"/>
        <v>289.82</v>
      </c>
      <c r="F2372" s="679">
        <v>289.82</v>
      </c>
      <c r="G2372" s="679">
        <v>289.82</v>
      </c>
      <c r="H2372" t="b">
        <f t="shared" si="75"/>
        <v>1</v>
      </c>
    </row>
    <row r="2373" spans="1:8">
      <c r="A2373" s="395">
        <v>36359</v>
      </c>
      <c r="B2373" s="406" t="s">
        <v>11104</v>
      </c>
      <c r="C2373" s="395" t="s">
        <v>2021</v>
      </c>
      <c r="D2373" s="407">
        <f t="shared" si="74"/>
        <v>1.81</v>
      </c>
      <c r="F2373" s="680">
        <v>1.81</v>
      </c>
      <c r="G2373" s="680">
        <v>1.81</v>
      </c>
      <c r="H2373" t="b">
        <f t="shared" si="75"/>
        <v>1</v>
      </c>
    </row>
    <row r="2374" spans="1:8">
      <c r="A2374" s="396">
        <v>36360</v>
      </c>
      <c r="B2374" s="401" t="s">
        <v>11105</v>
      </c>
      <c r="C2374" s="396" t="s">
        <v>2021</v>
      </c>
      <c r="D2374" s="405">
        <f t="shared" si="74"/>
        <v>2.4300000000000002</v>
      </c>
      <c r="F2374" s="679">
        <v>2.4300000000000002</v>
      </c>
      <c r="G2374" s="679">
        <v>2.4300000000000002</v>
      </c>
      <c r="H2374" t="b">
        <f t="shared" si="75"/>
        <v>1</v>
      </c>
    </row>
    <row r="2375" spans="1:8">
      <c r="A2375" s="395">
        <v>38434</v>
      </c>
      <c r="B2375" s="406" t="s">
        <v>11106</v>
      </c>
      <c r="C2375" s="395" t="s">
        <v>2021</v>
      </c>
      <c r="D2375" s="407">
        <f t="shared" si="74"/>
        <v>3.7</v>
      </c>
      <c r="F2375" s="680">
        <v>3.7</v>
      </c>
      <c r="G2375" s="680">
        <v>3.7</v>
      </c>
      <c r="H2375" t="b">
        <f t="shared" si="75"/>
        <v>1</v>
      </c>
    </row>
    <row r="2376" spans="1:8">
      <c r="A2376" s="396">
        <v>38435</v>
      </c>
      <c r="B2376" s="401" t="s">
        <v>11107</v>
      </c>
      <c r="C2376" s="396" t="s">
        <v>2021</v>
      </c>
      <c r="D2376" s="405">
        <f t="shared" si="74"/>
        <v>8.33</v>
      </c>
      <c r="F2376" s="679">
        <v>8.33</v>
      </c>
      <c r="G2376" s="679">
        <v>8.33</v>
      </c>
      <c r="H2376" t="b">
        <f t="shared" si="75"/>
        <v>1</v>
      </c>
    </row>
    <row r="2377" spans="1:8">
      <c r="A2377" s="395">
        <v>38436</v>
      </c>
      <c r="B2377" s="406" t="s">
        <v>11108</v>
      </c>
      <c r="C2377" s="395" t="s">
        <v>2021</v>
      </c>
      <c r="D2377" s="407">
        <f t="shared" si="74"/>
        <v>13.82</v>
      </c>
      <c r="F2377" s="680">
        <v>13.82</v>
      </c>
      <c r="G2377" s="680">
        <v>13.82</v>
      </c>
      <c r="H2377" t="b">
        <f t="shared" si="75"/>
        <v>1</v>
      </c>
    </row>
    <row r="2378" spans="1:8">
      <c r="A2378" s="396">
        <v>38437</v>
      </c>
      <c r="B2378" s="401" t="s">
        <v>11109</v>
      </c>
      <c r="C2378" s="396" t="s">
        <v>2021</v>
      </c>
      <c r="D2378" s="405">
        <f t="shared" si="74"/>
        <v>22.41</v>
      </c>
      <c r="F2378" s="679">
        <v>22.41</v>
      </c>
      <c r="G2378" s="679">
        <v>22.41</v>
      </c>
      <c r="H2378" t="b">
        <f t="shared" si="75"/>
        <v>1</v>
      </c>
    </row>
    <row r="2379" spans="1:8">
      <c r="A2379" s="395">
        <v>38438</v>
      </c>
      <c r="B2379" s="406" t="s">
        <v>11110</v>
      </c>
      <c r="C2379" s="395" t="s">
        <v>2021</v>
      </c>
      <c r="D2379" s="407">
        <f t="shared" si="74"/>
        <v>65.02</v>
      </c>
      <c r="F2379" s="680">
        <v>65.02</v>
      </c>
      <c r="G2379" s="680">
        <v>65.02</v>
      </c>
      <c r="H2379" t="b">
        <f t="shared" si="75"/>
        <v>1</v>
      </c>
    </row>
    <row r="2380" spans="1:8">
      <c r="A2380" s="396">
        <v>38439</v>
      </c>
      <c r="B2380" s="401" t="s">
        <v>11111</v>
      </c>
      <c r="C2380" s="396" t="s">
        <v>2021</v>
      </c>
      <c r="D2380" s="405">
        <f t="shared" si="74"/>
        <v>82.62</v>
      </c>
      <c r="F2380" s="679">
        <v>82.62</v>
      </c>
      <c r="G2380" s="679">
        <v>82.62</v>
      </c>
      <c r="H2380" t="b">
        <f t="shared" si="75"/>
        <v>1</v>
      </c>
    </row>
    <row r="2381" spans="1:8">
      <c r="A2381" s="395">
        <v>10836</v>
      </c>
      <c r="B2381" s="406" t="s">
        <v>11112</v>
      </c>
      <c r="C2381" s="395" t="s">
        <v>2021</v>
      </c>
      <c r="D2381" s="407">
        <f t="shared" si="74"/>
        <v>24.96</v>
      </c>
      <c r="F2381" s="680">
        <v>24.96</v>
      </c>
      <c r="G2381" s="680">
        <v>24.96</v>
      </c>
      <c r="H2381" t="b">
        <f t="shared" si="75"/>
        <v>1</v>
      </c>
    </row>
    <row r="2382" spans="1:8">
      <c r="A2382" s="396">
        <v>10835</v>
      </c>
      <c r="B2382" s="401" t="s">
        <v>11113</v>
      </c>
      <c r="C2382" s="396" t="s">
        <v>2021</v>
      </c>
      <c r="D2382" s="405">
        <f t="shared" si="74"/>
        <v>6.97</v>
      </c>
      <c r="F2382" s="679">
        <v>6.97</v>
      </c>
      <c r="G2382" s="679">
        <v>6.97</v>
      </c>
      <c r="H2382" t="b">
        <f t="shared" si="75"/>
        <v>1</v>
      </c>
    </row>
    <row r="2383" spans="1:8">
      <c r="A2383" s="395">
        <v>3475</v>
      </c>
      <c r="B2383" s="406" t="s">
        <v>11114</v>
      </c>
      <c r="C2383" s="395" t="s">
        <v>2021</v>
      </c>
      <c r="D2383" s="407">
        <f t="shared" si="74"/>
        <v>6.04</v>
      </c>
      <c r="F2383" s="680">
        <v>6.04</v>
      </c>
      <c r="G2383" s="680">
        <v>6.04</v>
      </c>
      <c r="H2383" t="b">
        <f t="shared" si="75"/>
        <v>1</v>
      </c>
    </row>
    <row r="2384" spans="1:8">
      <c r="A2384" s="396">
        <v>3485</v>
      </c>
      <c r="B2384" s="401" t="s">
        <v>11115</v>
      </c>
      <c r="C2384" s="396" t="s">
        <v>2021</v>
      </c>
      <c r="D2384" s="405">
        <f t="shared" si="74"/>
        <v>16.690000000000001</v>
      </c>
      <c r="F2384" s="679">
        <v>16.690000000000001</v>
      </c>
      <c r="G2384" s="679">
        <v>16.690000000000001</v>
      </c>
      <c r="H2384" t="b">
        <f t="shared" si="75"/>
        <v>1</v>
      </c>
    </row>
    <row r="2385" spans="1:8">
      <c r="A2385" s="395">
        <v>3534</v>
      </c>
      <c r="B2385" s="406" t="s">
        <v>11116</v>
      </c>
      <c r="C2385" s="395" t="s">
        <v>2021</v>
      </c>
      <c r="D2385" s="407">
        <f t="shared" si="74"/>
        <v>9.57</v>
      </c>
      <c r="F2385" s="680">
        <v>9.57</v>
      </c>
      <c r="G2385" s="680">
        <v>9.57</v>
      </c>
      <c r="H2385" t="b">
        <f t="shared" si="75"/>
        <v>1</v>
      </c>
    </row>
    <row r="2386" spans="1:8">
      <c r="A2386" s="396">
        <v>3543</v>
      </c>
      <c r="B2386" s="401" t="s">
        <v>11117</v>
      </c>
      <c r="C2386" s="396" t="s">
        <v>2021</v>
      </c>
      <c r="D2386" s="405">
        <f t="shared" si="74"/>
        <v>2.2200000000000002</v>
      </c>
      <c r="F2386" s="679">
        <v>2.2200000000000002</v>
      </c>
      <c r="G2386" s="679">
        <v>2.2200000000000002</v>
      </c>
      <c r="H2386" t="b">
        <f t="shared" si="75"/>
        <v>1</v>
      </c>
    </row>
    <row r="2387" spans="1:8">
      <c r="A2387" s="395">
        <v>3482</v>
      </c>
      <c r="B2387" s="406" t="s">
        <v>11118</v>
      </c>
      <c r="C2387" s="395" t="s">
        <v>2021</v>
      </c>
      <c r="D2387" s="407">
        <f t="shared" si="74"/>
        <v>6.84</v>
      </c>
      <c r="F2387" s="680">
        <v>6.84</v>
      </c>
      <c r="G2387" s="680">
        <v>6.84</v>
      </c>
      <c r="H2387" t="b">
        <f t="shared" si="75"/>
        <v>1</v>
      </c>
    </row>
    <row r="2388" spans="1:8">
      <c r="A2388" s="396">
        <v>3505</v>
      </c>
      <c r="B2388" s="401" t="s">
        <v>11119</v>
      </c>
      <c r="C2388" s="396" t="s">
        <v>2021</v>
      </c>
      <c r="D2388" s="405">
        <f t="shared" si="74"/>
        <v>3.3</v>
      </c>
      <c r="F2388" s="679">
        <v>3.3</v>
      </c>
      <c r="G2388" s="679">
        <v>3.3</v>
      </c>
      <c r="H2388" t="b">
        <f t="shared" si="75"/>
        <v>1</v>
      </c>
    </row>
    <row r="2389" spans="1:8">
      <c r="A2389" s="395">
        <v>3521</v>
      </c>
      <c r="B2389" s="406" t="s">
        <v>11120</v>
      </c>
      <c r="C2389" s="395" t="s">
        <v>2021</v>
      </c>
      <c r="D2389" s="407">
        <f t="shared" si="74"/>
        <v>2.4900000000000002</v>
      </c>
      <c r="F2389" s="680">
        <v>2.4900000000000002</v>
      </c>
      <c r="G2389" s="680">
        <v>2.4900000000000002</v>
      </c>
      <c r="H2389" t="b">
        <f t="shared" si="75"/>
        <v>1</v>
      </c>
    </row>
    <row r="2390" spans="1:8">
      <c r="A2390" s="396">
        <v>3531</v>
      </c>
      <c r="B2390" s="401" t="s">
        <v>11121</v>
      </c>
      <c r="C2390" s="396" t="s">
        <v>2021</v>
      </c>
      <c r="D2390" s="405">
        <f t="shared" si="74"/>
        <v>4.74</v>
      </c>
      <c r="F2390" s="679">
        <v>4.74</v>
      </c>
      <c r="G2390" s="679">
        <v>4.74</v>
      </c>
      <c r="H2390" t="b">
        <f t="shared" si="75"/>
        <v>1</v>
      </c>
    </row>
    <row r="2391" spans="1:8">
      <c r="A2391" s="395">
        <v>3522</v>
      </c>
      <c r="B2391" s="406" t="s">
        <v>11122</v>
      </c>
      <c r="C2391" s="395" t="s">
        <v>2021</v>
      </c>
      <c r="D2391" s="407">
        <f t="shared" si="74"/>
        <v>3.06</v>
      </c>
      <c r="F2391" s="680">
        <v>3.06</v>
      </c>
      <c r="G2391" s="680">
        <v>3.06</v>
      </c>
      <c r="H2391" t="b">
        <f t="shared" si="75"/>
        <v>1</v>
      </c>
    </row>
    <row r="2392" spans="1:8">
      <c r="A2392" s="396">
        <v>3527</v>
      </c>
      <c r="B2392" s="401" t="s">
        <v>11123</v>
      </c>
      <c r="C2392" s="396" t="s">
        <v>2021</v>
      </c>
      <c r="D2392" s="405">
        <f t="shared" si="74"/>
        <v>16.079999999999998</v>
      </c>
      <c r="F2392" s="679">
        <v>16.079999999999998</v>
      </c>
      <c r="G2392" s="679">
        <v>16.079999999999998</v>
      </c>
      <c r="H2392" t="b">
        <f t="shared" si="75"/>
        <v>1</v>
      </c>
    </row>
    <row r="2393" spans="1:8">
      <c r="A2393" s="395">
        <v>3516</v>
      </c>
      <c r="B2393" s="406" t="s">
        <v>11124</v>
      </c>
      <c r="C2393" s="395" t="s">
        <v>2021</v>
      </c>
      <c r="D2393" s="407">
        <f t="shared" si="74"/>
        <v>2.88</v>
      </c>
      <c r="F2393" s="680">
        <v>2.88</v>
      </c>
      <c r="G2393" s="680">
        <v>2.88</v>
      </c>
      <c r="H2393" t="b">
        <f t="shared" si="75"/>
        <v>1</v>
      </c>
    </row>
    <row r="2394" spans="1:8">
      <c r="A2394" s="396">
        <v>3517</v>
      </c>
      <c r="B2394" s="401" t="s">
        <v>11125</v>
      </c>
      <c r="C2394" s="396" t="s">
        <v>2021</v>
      </c>
      <c r="D2394" s="405">
        <f t="shared" si="74"/>
        <v>2.6</v>
      </c>
      <c r="F2394" s="679">
        <v>2.6</v>
      </c>
      <c r="G2394" s="679">
        <v>2.6</v>
      </c>
      <c r="H2394" t="b">
        <f t="shared" si="75"/>
        <v>1</v>
      </c>
    </row>
    <row r="2395" spans="1:8">
      <c r="A2395" s="395">
        <v>3515</v>
      </c>
      <c r="B2395" s="406" t="s">
        <v>11126</v>
      </c>
      <c r="C2395" s="395" t="s">
        <v>2021</v>
      </c>
      <c r="D2395" s="407">
        <f t="shared" si="74"/>
        <v>8.1999999999999993</v>
      </c>
      <c r="F2395" s="680">
        <v>8.1999999999999993</v>
      </c>
      <c r="G2395" s="680">
        <v>8.1999999999999993</v>
      </c>
      <c r="H2395" t="b">
        <f t="shared" si="75"/>
        <v>1</v>
      </c>
    </row>
    <row r="2396" spans="1:8">
      <c r="A2396" s="396">
        <v>20147</v>
      </c>
      <c r="B2396" s="401" t="s">
        <v>11127</v>
      </c>
      <c r="C2396" s="396" t="s">
        <v>2021</v>
      </c>
      <c r="D2396" s="405">
        <f t="shared" si="74"/>
        <v>6.74</v>
      </c>
      <c r="F2396" s="679">
        <v>6.74</v>
      </c>
      <c r="G2396" s="679">
        <v>6.74</v>
      </c>
      <c r="H2396" t="b">
        <f t="shared" si="75"/>
        <v>1</v>
      </c>
    </row>
    <row r="2397" spans="1:8">
      <c r="A2397" s="395">
        <v>3524</v>
      </c>
      <c r="B2397" s="406" t="s">
        <v>11128</v>
      </c>
      <c r="C2397" s="395" t="s">
        <v>2021</v>
      </c>
      <c r="D2397" s="407">
        <f t="shared" si="74"/>
        <v>10.15</v>
      </c>
      <c r="F2397" s="680">
        <v>10.15</v>
      </c>
      <c r="G2397" s="680">
        <v>10.15</v>
      </c>
      <c r="H2397" t="b">
        <f t="shared" si="75"/>
        <v>1</v>
      </c>
    </row>
    <row r="2398" spans="1:8">
      <c r="A2398" s="396">
        <v>3532</v>
      </c>
      <c r="B2398" s="401" t="s">
        <v>11129</v>
      </c>
      <c r="C2398" s="396" t="s">
        <v>2021</v>
      </c>
      <c r="D2398" s="405">
        <f t="shared" si="74"/>
        <v>23.46</v>
      </c>
      <c r="F2398" s="679">
        <v>23.46</v>
      </c>
      <c r="G2398" s="679">
        <v>23.46</v>
      </c>
      <c r="H2398" t="b">
        <f t="shared" si="75"/>
        <v>1</v>
      </c>
    </row>
    <row r="2399" spans="1:8">
      <c r="A2399" s="395">
        <v>3528</v>
      </c>
      <c r="B2399" s="406" t="s">
        <v>11130</v>
      </c>
      <c r="C2399" s="395" t="s">
        <v>2021</v>
      </c>
      <c r="D2399" s="407">
        <f t="shared" si="74"/>
        <v>11.24</v>
      </c>
      <c r="F2399" s="680">
        <v>11.24</v>
      </c>
      <c r="G2399" s="680">
        <v>11.24</v>
      </c>
      <c r="H2399" t="b">
        <f t="shared" si="75"/>
        <v>1</v>
      </c>
    </row>
    <row r="2400" spans="1:8">
      <c r="A2400" s="396">
        <v>37952</v>
      </c>
      <c r="B2400" s="401" t="s">
        <v>11131</v>
      </c>
      <c r="C2400" s="396" t="s">
        <v>2021</v>
      </c>
      <c r="D2400" s="405">
        <f t="shared" si="74"/>
        <v>80.540000000000006</v>
      </c>
      <c r="F2400" s="679">
        <v>80.540000000000006</v>
      </c>
      <c r="G2400" s="679">
        <v>80.540000000000006</v>
      </c>
      <c r="H2400" t="b">
        <f t="shared" si="75"/>
        <v>1</v>
      </c>
    </row>
    <row r="2401" spans="1:8">
      <c r="A2401" s="395">
        <v>37951</v>
      </c>
      <c r="B2401" s="406" t="s">
        <v>11132</v>
      </c>
      <c r="C2401" s="395" t="s">
        <v>2021</v>
      </c>
      <c r="D2401" s="407">
        <f t="shared" si="74"/>
        <v>3.03</v>
      </c>
      <c r="F2401" s="680">
        <v>3.03</v>
      </c>
      <c r="G2401" s="680">
        <v>3.03</v>
      </c>
      <c r="H2401" t="b">
        <f t="shared" si="75"/>
        <v>1</v>
      </c>
    </row>
    <row r="2402" spans="1:8">
      <c r="A2402" s="396">
        <v>3518</v>
      </c>
      <c r="B2402" s="401" t="s">
        <v>11133</v>
      </c>
      <c r="C2402" s="396" t="s">
        <v>2021</v>
      </c>
      <c r="D2402" s="405">
        <f t="shared" si="74"/>
        <v>4.66</v>
      </c>
      <c r="F2402" s="679">
        <v>4.66</v>
      </c>
      <c r="G2402" s="679">
        <v>4.66</v>
      </c>
      <c r="H2402" t="b">
        <f t="shared" si="75"/>
        <v>1</v>
      </c>
    </row>
    <row r="2403" spans="1:8">
      <c r="A2403" s="395">
        <v>3519</v>
      </c>
      <c r="B2403" s="406" t="s">
        <v>11134</v>
      </c>
      <c r="C2403" s="395" t="s">
        <v>2021</v>
      </c>
      <c r="D2403" s="407">
        <f t="shared" si="74"/>
        <v>9.75</v>
      </c>
      <c r="F2403" s="680">
        <v>9.75</v>
      </c>
      <c r="G2403" s="680">
        <v>9.75</v>
      </c>
      <c r="H2403" t="b">
        <f t="shared" si="75"/>
        <v>1</v>
      </c>
    </row>
    <row r="2404" spans="1:8">
      <c r="A2404" s="396">
        <v>3520</v>
      </c>
      <c r="B2404" s="401" t="s">
        <v>11135</v>
      </c>
      <c r="C2404" s="396" t="s">
        <v>2021</v>
      </c>
      <c r="D2404" s="405">
        <f t="shared" si="74"/>
        <v>10.210000000000001</v>
      </c>
      <c r="F2404" s="679">
        <v>10.210000000000001</v>
      </c>
      <c r="G2404" s="679">
        <v>10.210000000000001</v>
      </c>
      <c r="H2404" t="b">
        <f t="shared" si="75"/>
        <v>1</v>
      </c>
    </row>
    <row r="2405" spans="1:8">
      <c r="A2405" s="395">
        <v>37950</v>
      </c>
      <c r="B2405" s="406" t="s">
        <v>11136</v>
      </c>
      <c r="C2405" s="395" t="s">
        <v>2021</v>
      </c>
      <c r="D2405" s="407">
        <f t="shared" si="74"/>
        <v>74.14</v>
      </c>
      <c r="F2405" s="680">
        <v>74.14</v>
      </c>
      <c r="G2405" s="680">
        <v>74.14</v>
      </c>
      <c r="H2405" t="b">
        <f t="shared" si="75"/>
        <v>1</v>
      </c>
    </row>
    <row r="2406" spans="1:8">
      <c r="A2406" s="396">
        <v>37949</v>
      </c>
      <c r="B2406" s="401" t="s">
        <v>11137</v>
      </c>
      <c r="C2406" s="396" t="s">
        <v>2021</v>
      </c>
      <c r="D2406" s="405">
        <f t="shared" si="74"/>
        <v>2.73</v>
      </c>
      <c r="F2406" s="679">
        <v>2.73</v>
      </c>
      <c r="G2406" s="679">
        <v>2.73</v>
      </c>
      <c r="H2406" t="b">
        <f t="shared" si="75"/>
        <v>1</v>
      </c>
    </row>
    <row r="2407" spans="1:8">
      <c r="A2407" s="395">
        <v>3526</v>
      </c>
      <c r="B2407" s="406" t="s">
        <v>11138</v>
      </c>
      <c r="C2407" s="395" t="s">
        <v>2021</v>
      </c>
      <c r="D2407" s="407">
        <f t="shared" si="74"/>
        <v>3.76</v>
      </c>
      <c r="F2407" s="680">
        <v>3.76</v>
      </c>
      <c r="G2407" s="680">
        <v>3.76</v>
      </c>
      <c r="H2407" t="b">
        <f t="shared" si="75"/>
        <v>1</v>
      </c>
    </row>
    <row r="2408" spans="1:8">
      <c r="A2408" s="396">
        <v>3509</v>
      </c>
      <c r="B2408" s="401" t="s">
        <v>11139</v>
      </c>
      <c r="C2408" s="396" t="s">
        <v>2021</v>
      </c>
      <c r="D2408" s="405">
        <f t="shared" si="74"/>
        <v>8.5500000000000007</v>
      </c>
      <c r="F2408" s="679">
        <v>8.5500000000000007</v>
      </c>
      <c r="G2408" s="679">
        <v>8.5500000000000007</v>
      </c>
      <c r="H2408" t="b">
        <f t="shared" si="75"/>
        <v>1</v>
      </c>
    </row>
    <row r="2409" spans="1:8">
      <c r="A2409" s="395">
        <v>3530</v>
      </c>
      <c r="B2409" s="406" t="s">
        <v>11140</v>
      </c>
      <c r="C2409" s="395" t="s">
        <v>2021</v>
      </c>
      <c r="D2409" s="407">
        <f t="shared" si="74"/>
        <v>260.45</v>
      </c>
      <c r="F2409" s="680">
        <v>260.45</v>
      </c>
      <c r="G2409" s="680">
        <v>260.45</v>
      </c>
      <c r="H2409" t="b">
        <f t="shared" si="75"/>
        <v>1</v>
      </c>
    </row>
    <row r="2410" spans="1:8">
      <c r="A2410" s="396">
        <v>3542</v>
      </c>
      <c r="B2410" s="401" t="s">
        <v>11141</v>
      </c>
      <c r="C2410" s="396" t="s">
        <v>2021</v>
      </c>
      <c r="D2410" s="405">
        <f t="shared" si="74"/>
        <v>0.75</v>
      </c>
      <c r="F2410" s="679">
        <v>0.75</v>
      </c>
      <c r="G2410" s="679">
        <v>0.75</v>
      </c>
      <c r="H2410" t="b">
        <f t="shared" si="75"/>
        <v>1</v>
      </c>
    </row>
    <row r="2411" spans="1:8">
      <c r="A2411" s="395">
        <v>3529</v>
      </c>
      <c r="B2411" s="406" t="s">
        <v>11142</v>
      </c>
      <c r="C2411" s="395" t="s">
        <v>2021</v>
      </c>
      <c r="D2411" s="407">
        <f t="shared" si="74"/>
        <v>0.92</v>
      </c>
      <c r="F2411" s="680">
        <v>0.92</v>
      </c>
      <c r="G2411" s="680">
        <v>0.92</v>
      </c>
      <c r="H2411" t="b">
        <f t="shared" si="75"/>
        <v>1</v>
      </c>
    </row>
    <row r="2412" spans="1:8">
      <c r="A2412" s="396">
        <v>3536</v>
      </c>
      <c r="B2412" s="401" t="s">
        <v>11143</v>
      </c>
      <c r="C2412" s="396" t="s">
        <v>2021</v>
      </c>
      <c r="D2412" s="405">
        <f t="shared" si="74"/>
        <v>3.05</v>
      </c>
      <c r="F2412" s="679">
        <v>3.05</v>
      </c>
      <c r="G2412" s="679">
        <v>3.05</v>
      </c>
      <c r="H2412" t="b">
        <f t="shared" si="75"/>
        <v>1</v>
      </c>
    </row>
    <row r="2413" spans="1:8">
      <c r="A2413" s="395">
        <v>3535</v>
      </c>
      <c r="B2413" s="406" t="s">
        <v>11144</v>
      </c>
      <c r="C2413" s="395" t="s">
        <v>2021</v>
      </c>
      <c r="D2413" s="407">
        <f t="shared" si="74"/>
        <v>7.43</v>
      </c>
      <c r="F2413" s="680">
        <v>7.43</v>
      </c>
      <c r="G2413" s="680">
        <v>7.43</v>
      </c>
      <c r="H2413" t="b">
        <f t="shared" si="75"/>
        <v>1</v>
      </c>
    </row>
    <row r="2414" spans="1:8">
      <c r="A2414" s="396">
        <v>3540</v>
      </c>
      <c r="B2414" s="401" t="s">
        <v>11145</v>
      </c>
      <c r="C2414" s="396" t="s">
        <v>2021</v>
      </c>
      <c r="D2414" s="405">
        <f t="shared" si="74"/>
        <v>6.29</v>
      </c>
      <c r="F2414" s="679">
        <v>6.29</v>
      </c>
      <c r="G2414" s="679">
        <v>6.29</v>
      </c>
      <c r="H2414" t="b">
        <f t="shared" si="75"/>
        <v>1</v>
      </c>
    </row>
    <row r="2415" spans="1:8">
      <c r="A2415" s="395">
        <v>3539</v>
      </c>
      <c r="B2415" s="406" t="s">
        <v>11146</v>
      </c>
      <c r="C2415" s="395" t="s">
        <v>2021</v>
      </c>
      <c r="D2415" s="407">
        <f t="shared" si="74"/>
        <v>36.450000000000003</v>
      </c>
      <c r="F2415" s="680">
        <v>36.450000000000003</v>
      </c>
      <c r="G2415" s="680">
        <v>36.450000000000003</v>
      </c>
      <c r="H2415" t="b">
        <f t="shared" si="75"/>
        <v>1</v>
      </c>
    </row>
    <row r="2416" spans="1:8">
      <c r="A2416" s="396">
        <v>3513</v>
      </c>
      <c r="B2416" s="401" t="s">
        <v>11147</v>
      </c>
      <c r="C2416" s="396" t="s">
        <v>2021</v>
      </c>
      <c r="D2416" s="405">
        <f t="shared" si="74"/>
        <v>128.54</v>
      </c>
      <c r="F2416" s="679">
        <v>128.54</v>
      </c>
      <c r="G2416" s="679">
        <v>128.54</v>
      </c>
      <c r="H2416" t="b">
        <f t="shared" si="75"/>
        <v>1</v>
      </c>
    </row>
    <row r="2417" spans="1:8">
      <c r="A2417" s="395">
        <v>3510</v>
      </c>
      <c r="B2417" s="406" t="s">
        <v>11148</v>
      </c>
      <c r="C2417" s="395" t="s">
        <v>2021</v>
      </c>
      <c r="D2417" s="407">
        <f t="shared" si="74"/>
        <v>15.87</v>
      </c>
      <c r="F2417" s="680">
        <v>15.87</v>
      </c>
      <c r="G2417" s="680">
        <v>15.87</v>
      </c>
      <c r="H2417" t="b">
        <f t="shared" si="75"/>
        <v>1</v>
      </c>
    </row>
    <row r="2418" spans="1:8">
      <c r="A2418" s="396">
        <v>38930</v>
      </c>
      <c r="B2418" s="401" t="s">
        <v>13896</v>
      </c>
      <c r="C2418" s="396" t="s">
        <v>2021</v>
      </c>
      <c r="D2418" s="405">
        <f t="shared" si="74"/>
        <v>45.84</v>
      </c>
      <c r="F2418" s="679">
        <v>45.84</v>
      </c>
      <c r="G2418" s="679">
        <v>45.84</v>
      </c>
      <c r="H2418" t="b">
        <f t="shared" si="75"/>
        <v>1</v>
      </c>
    </row>
    <row r="2419" spans="1:8" ht="30">
      <c r="A2419" s="395">
        <v>38913</v>
      </c>
      <c r="B2419" s="406" t="s">
        <v>11149</v>
      </c>
      <c r="C2419" s="395" t="s">
        <v>2021</v>
      </c>
      <c r="D2419" s="407">
        <f t="shared" si="74"/>
        <v>9.2799999999999994</v>
      </c>
      <c r="F2419" s="680">
        <v>9.2799999999999994</v>
      </c>
      <c r="G2419" s="680">
        <v>9.2799999999999994</v>
      </c>
      <c r="H2419" t="b">
        <f t="shared" si="75"/>
        <v>1</v>
      </c>
    </row>
    <row r="2420" spans="1:8" ht="30">
      <c r="A2420" s="396">
        <v>38914</v>
      </c>
      <c r="B2420" s="401" t="s">
        <v>11150</v>
      </c>
      <c r="C2420" s="396" t="s">
        <v>2021</v>
      </c>
      <c r="D2420" s="405">
        <f t="shared" si="74"/>
        <v>11.39</v>
      </c>
      <c r="F2420" s="679">
        <v>11.39</v>
      </c>
      <c r="G2420" s="679">
        <v>11.39</v>
      </c>
      <c r="H2420" t="b">
        <f t="shared" si="75"/>
        <v>1</v>
      </c>
    </row>
    <row r="2421" spans="1:8" ht="30">
      <c r="A2421" s="395">
        <v>38915</v>
      </c>
      <c r="B2421" s="406" t="s">
        <v>11151</v>
      </c>
      <c r="C2421" s="395" t="s">
        <v>2021</v>
      </c>
      <c r="D2421" s="407">
        <f t="shared" si="74"/>
        <v>21.95</v>
      </c>
      <c r="F2421" s="680">
        <v>21.95</v>
      </c>
      <c r="G2421" s="680">
        <v>21.95</v>
      </c>
      <c r="H2421" t="b">
        <f t="shared" si="75"/>
        <v>1</v>
      </c>
    </row>
    <row r="2422" spans="1:8" ht="30">
      <c r="A2422" s="396">
        <v>38916</v>
      </c>
      <c r="B2422" s="401" t="s">
        <v>11152</v>
      </c>
      <c r="C2422" s="396" t="s">
        <v>2021</v>
      </c>
      <c r="D2422" s="405">
        <f t="shared" si="74"/>
        <v>30.38</v>
      </c>
      <c r="F2422" s="679">
        <v>30.38</v>
      </c>
      <c r="G2422" s="679">
        <v>30.38</v>
      </c>
      <c r="H2422" t="b">
        <f t="shared" si="75"/>
        <v>1</v>
      </c>
    </row>
    <row r="2423" spans="1:8" ht="30">
      <c r="A2423" s="395">
        <v>39300</v>
      </c>
      <c r="B2423" s="406" t="s">
        <v>11153</v>
      </c>
      <c r="C2423" s="395" t="s">
        <v>2021</v>
      </c>
      <c r="D2423" s="407">
        <f t="shared" si="74"/>
        <v>8.2799999999999994</v>
      </c>
      <c r="F2423" s="680">
        <v>8.2799999999999994</v>
      </c>
      <c r="G2423" s="680">
        <v>8.2799999999999994</v>
      </c>
      <c r="H2423" t="b">
        <f t="shared" si="75"/>
        <v>1</v>
      </c>
    </row>
    <row r="2424" spans="1:8" ht="30">
      <c r="A2424" s="396">
        <v>39301</v>
      </c>
      <c r="B2424" s="401" t="s">
        <v>11154</v>
      </c>
      <c r="C2424" s="396" t="s">
        <v>2021</v>
      </c>
      <c r="D2424" s="405">
        <f t="shared" si="74"/>
        <v>11.09</v>
      </c>
      <c r="F2424" s="679">
        <v>11.09</v>
      </c>
      <c r="G2424" s="679">
        <v>11.09</v>
      </c>
      <c r="H2424" t="b">
        <f t="shared" si="75"/>
        <v>1</v>
      </c>
    </row>
    <row r="2425" spans="1:8" ht="30">
      <c r="A2425" s="395">
        <v>39302</v>
      </c>
      <c r="B2425" s="406" t="s">
        <v>11155</v>
      </c>
      <c r="C2425" s="395" t="s">
        <v>2021</v>
      </c>
      <c r="D2425" s="407">
        <f t="shared" si="74"/>
        <v>20.16</v>
      </c>
      <c r="F2425" s="680">
        <v>20.16</v>
      </c>
      <c r="G2425" s="680">
        <v>20.16</v>
      </c>
      <c r="H2425" t="b">
        <f t="shared" si="75"/>
        <v>1</v>
      </c>
    </row>
    <row r="2426" spans="1:8" ht="30">
      <c r="A2426" s="396">
        <v>38923</v>
      </c>
      <c r="B2426" s="401" t="s">
        <v>11156</v>
      </c>
      <c r="C2426" s="396" t="s">
        <v>2021</v>
      </c>
      <c r="D2426" s="405">
        <f t="shared" si="74"/>
        <v>9.93</v>
      </c>
      <c r="F2426" s="679">
        <v>9.93</v>
      </c>
      <c r="G2426" s="679">
        <v>9.93</v>
      </c>
      <c r="H2426" t="b">
        <f t="shared" si="75"/>
        <v>1</v>
      </c>
    </row>
    <row r="2427" spans="1:8" ht="30">
      <c r="A2427" s="395">
        <v>38925</v>
      </c>
      <c r="B2427" s="406" t="s">
        <v>11157</v>
      </c>
      <c r="C2427" s="395" t="s">
        <v>2021</v>
      </c>
      <c r="D2427" s="407">
        <f t="shared" si="74"/>
        <v>11.52</v>
      </c>
      <c r="F2427" s="680">
        <v>11.52</v>
      </c>
      <c r="G2427" s="680">
        <v>11.52</v>
      </c>
      <c r="H2427" t="b">
        <f t="shared" si="75"/>
        <v>1</v>
      </c>
    </row>
    <row r="2428" spans="1:8" ht="30">
      <c r="A2428" s="396">
        <v>38926</v>
      </c>
      <c r="B2428" s="401" t="s">
        <v>11158</v>
      </c>
      <c r="C2428" s="396" t="s">
        <v>2021</v>
      </c>
      <c r="D2428" s="405">
        <f t="shared" si="74"/>
        <v>13.66</v>
      </c>
      <c r="F2428" s="679">
        <v>13.66</v>
      </c>
      <c r="G2428" s="679">
        <v>13.66</v>
      </c>
      <c r="H2428" t="b">
        <f t="shared" si="75"/>
        <v>1</v>
      </c>
    </row>
    <row r="2429" spans="1:8" ht="30">
      <c r="A2429" s="395">
        <v>38927</v>
      </c>
      <c r="B2429" s="406" t="s">
        <v>11159</v>
      </c>
      <c r="C2429" s="395" t="s">
        <v>2021</v>
      </c>
      <c r="D2429" s="407">
        <f t="shared" si="74"/>
        <v>17.25</v>
      </c>
      <c r="F2429" s="680">
        <v>17.25</v>
      </c>
      <c r="G2429" s="680">
        <v>17.25</v>
      </c>
      <c r="H2429" t="b">
        <f t="shared" si="75"/>
        <v>1</v>
      </c>
    </row>
    <row r="2430" spans="1:8" ht="30">
      <c r="A2430" s="396">
        <v>39304</v>
      </c>
      <c r="B2430" s="401" t="s">
        <v>11160</v>
      </c>
      <c r="C2430" s="396" t="s">
        <v>2021</v>
      </c>
      <c r="D2430" s="405">
        <f t="shared" si="74"/>
        <v>9.8000000000000007</v>
      </c>
      <c r="F2430" s="679">
        <v>9.8000000000000007</v>
      </c>
      <c r="G2430" s="679">
        <v>9.8000000000000007</v>
      </c>
      <c r="H2430" t="b">
        <f t="shared" si="75"/>
        <v>1</v>
      </c>
    </row>
    <row r="2431" spans="1:8" ht="30">
      <c r="A2431" s="395">
        <v>39305</v>
      </c>
      <c r="B2431" s="406" t="s">
        <v>11161</v>
      </c>
      <c r="C2431" s="395" t="s">
        <v>2021</v>
      </c>
      <c r="D2431" s="407">
        <f t="shared" si="74"/>
        <v>10.75</v>
      </c>
      <c r="F2431" s="680">
        <v>10.75</v>
      </c>
      <c r="G2431" s="680">
        <v>10.75</v>
      </c>
      <c r="H2431" t="b">
        <f t="shared" si="75"/>
        <v>1</v>
      </c>
    </row>
    <row r="2432" spans="1:8" ht="30">
      <c r="A2432" s="396">
        <v>39306</v>
      </c>
      <c r="B2432" s="401" t="s">
        <v>11162</v>
      </c>
      <c r="C2432" s="396" t="s">
        <v>2021</v>
      </c>
      <c r="D2432" s="405">
        <f t="shared" si="74"/>
        <v>14.45</v>
      </c>
      <c r="F2432" s="679">
        <v>14.45</v>
      </c>
      <c r="G2432" s="679">
        <v>14.45</v>
      </c>
      <c r="H2432" t="b">
        <f t="shared" si="75"/>
        <v>1</v>
      </c>
    </row>
    <row r="2433" spans="1:8" ht="30">
      <c r="A2433" s="395">
        <v>38928</v>
      </c>
      <c r="B2433" s="406" t="s">
        <v>11163</v>
      </c>
      <c r="C2433" s="395" t="s">
        <v>2021</v>
      </c>
      <c r="D2433" s="407">
        <f t="shared" si="74"/>
        <v>19.100000000000001</v>
      </c>
      <c r="F2433" s="680">
        <v>19.100000000000001</v>
      </c>
      <c r="G2433" s="680">
        <v>19.100000000000001</v>
      </c>
      <c r="H2433" t="b">
        <f t="shared" si="75"/>
        <v>1</v>
      </c>
    </row>
    <row r="2434" spans="1:8" ht="30">
      <c r="A2434" s="396">
        <v>38941</v>
      </c>
      <c r="B2434" s="401" t="s">
        <v>11164</v>
      </c>
      <c r="C2434" s="396" t="s">
        <v>2021</v>
      </c>
      <c r="D2434" s="405">
        <f t="shared" si="74"/>
        <v>14.97</v>
      </c>
      <c r="F2434" s="679">
        <v>14.97</v>
      </c>
      <c r="G2434" s="679">
        <v>14.97</v>
      </c>
      <c r="H2434" t="b">
        <f t="shared" si="75"/>
        <v>1</v>
      </c>
    </row>
    <row r="2435" spans="1:8" ht="30">
      <c r="A2435" s="395">
        <v>38917</v>
      </c>
      <c r="B2435" s="406" t="s">
        <v>11165</v>
      </c>
      <c r="C2435" s="395" t="s">
        <v>2021</v>
      </c>
      <c r="D2435" s="407">
        <f t="shared" ref="D2435:D2498" si="76">IF($J$2=$F$1,F2435,G2435)</f>
        <v>10.67</v>
      </c>
      <c r="F2435" s="680">
        <v>10.67</v>
      </c>
      <c r="G2435" s="680">
        <v>10.67</v>
      </c>
      <c r="H2435" t="b">
        <f t="shared" ref="H2435:H2498" si="77">F2435=G2435</f>
        <v>1</v>
      </c>
    </row>
    <row r="2436" spans="1:8" ht="30">
      <c r="A2436" s="396">
        <v>38919</v>
      </c>
      <c r="B2436" s="401" t="s">
        <v>11166</v>
      </c>
      <c r="C2436" s="396" t="s">
        <v>2021</v>
      </c>
      <c r="D2436" s="405">
        <f t="shared" si="76"/>
        <v>12.53</v>
      </c>
      <c r="F2436" s="679">
        <v>12.53</v>
      </c>
      <c r="G2436" s="679">
        <v>12.53</v>
      </c>
      <c r="H2436" t="b">
        <f t="shared" si="77"/>
        <v>1</v>
      </c>
    </row>
    <row r="2437" spans="1:8" ht="30">
      <c r="A2437" s="395">
        <v>38922</v>
      </c>
      <c r="B2437" s="406" t="s">
        <v>11167</v>
      </c>
      <c r="C2437" s="395" t="s">
        <v>2021</v>
      </c>
      <c r="D2437" s="407">
        <f t="shared" si="76"/>
        <v>16.809999999999999</v>
      </c>
      <c r="F2437" s="680">
        <v>16.809999999999999</v>
      </c>
      <c r="G2437" s="680">
        <v>16.809999999999999</v>
      </c>
      <c r="H2437" t="b">
        <f t="shared" si="77"/>
        <v>1</v>
      </c>
    </row>
    <row r="2438" spans="1:8">
      <c r="A2438" s="396">
        <v>20151</v>
      </c>
      <c r="B2438" s="401" t="s">
        <v>11168</v>
      </c>
      <c r="C2438" s="396" t="s">
        <v>2021</v>
      </c>
      <c r="D2438" s="405">
        <f t="shared" si="76"/>
        <v>25.12</v>
      </c>
      <c r="F2438" s="679">
        <v>25.12</v>
      </c>
      <c r="G2438" s="679">
        <v>25.12</v>
      </c>
      <c r="H2438" t="b">
        <f t="shared" si="77"/>
        <v>1</v>
      </c>
    </row>
    <row r="2439" spans="1:8">
      <c r="A2439" s="395">
        <v>20152</v>
      </c>
      <c r="B2439" s="406" t="s">
        <v>11169</v>
      </c>
      <c r="C2439" s="395" t="s">
        <v>2021</v>
      </c>
      <c r="D2439" s="407">
        <f t="shared" si="76"/>
        <v>90.88</v>
      </c>
      <c r="F2439" s="680">
        <v>90.88</v>
      </c>
      <c r="G2439" s="680">
        <v>90.88</v>
      </c>
      <c r="H2439" t="b">
        <f t="shared" si="77"/>
        <v>1</v>
      </c>
    </row>
    <row r="2440" spans="1:8">
      <c r="A2440" s="396">
        <v>20148</v>
      </c>
      <c r="B2440" s="401" t="s">
        <v>11170</v>
      </c>
      <c r="C2440" s="396" t="s">
        <v>2021</v>
      </c>
      <c r="D2440" s="405">
        <f t="shared" si="76"/>
        <v>4.9400000000000004</v>
      </c>
      <c r="F2440" s="679">
        <v>4.9400000000000004</v>
      </c>
      <c r="G2440" s="679">
        <v>4.9400000000000004</v>
      </c>
      <c r="H2440" t="b">
        <f t="shared" si="77"/>
        <v>1</v>
      </c>
    </row>
    <row r="2441" spans="1:8">
      <c r="A2441" s="395">
        <v>20149</v>
      </c>
      <c r="B2441" s="406" t="s">
        <v>11171</v>
      </c>
      <c r="C2441" s="395" t="s">
        <v>2021</v>
      </c>
      <c r="D2441" s="407">
        <f t="shared" si="76"/>
        <v>8.25</v>
      </c>
      <c r="F2441" s="680">
        <v>8.25</v>
      </c>
      <c r="G2441" s="680">
        <v>8.25</v>
      </c>
      <c r="H2441" t="b">
        <f t="shared" si="77"/>
        <v>1</v>
      </c>
    </row>
    <row r="2442" spans="1:8">
      <c r="A2442" s="396">
        <v>20150</v>
      </c>
      <c r="B2442" s="401" t="s">
        <v>11172</v>
      </c>
      <c r="C2442" s="396" t="s">
        <v>2021</v>
      </c>
      <c r="D2442" s="405">
        <f t="shared" si="76"/>
        <v>21.25</v>
      </c>
      <c r="F2442" s="679">
        <v>21.25</v>
      </c>
      <c r="G2442" s="679">
        <v>21.25</v>
      </c>
      <c r="H2442" t="b">
        <f t="shared" si="77"/>
        <v>1</v>
      </c>
    </row>
    <row r="2443" spans="1:8">
      <c r="A2443" s="395">
        <v>20157</v>
      </c>
      <c r="B2443" s="406" t="s">
        <v>11173</v>
      </c>
      <c r="C2443" s="395" t="s">
        <v>2021</v>
      </c>
      <c r="D2443" s="407">
        <f t="shared" si="76"/>
        <v>23.86</v>
      </c>
      <c r="F2443" s="680">
        <v>23.86</v>
      </c>
      <c r="G2443" s="680">
        <v>23.86</v>
      </c>
      <c r="H2443" t="b">
        <f t="shared" si="77"/>
        <v>1</v>
      </c>
    </row>
    <row r="2444" spans="1:8">
      <c r="A2444" s="396">
        <v>20158</v>
      </c>
      <c r="B2444" s="401" t="s">
        <v>11174</v>
      </c>
      <c r="C2444" s="396" t="s">
        <v>2021</v>
      </c>
      <c r="D2444" s="405">
        <f t="shared" si="76"/>
        <v>94.74</v>
      </c>
      <c r="F2444" s="679">
        <v>94.74</v>
      </c>
      <c r="G2444" s="679">
        <v>94.74</v>
      </c>
      <c r="H2444" t="b">
        <f t="shared" si="77"/>
        <v>1</v>
      </c>
    </row>
    <row r="2445" spans="1:8">
      <c r="A2445" s="395">
        <v>20154</v>
      </c>
      <c r="B2445" s="406" t="s">
        <v>11175</v>
      </c>
      <c r="C2445" s="395" t="s">
        <v>2021</v>
      </c>
      <c r="D2445" s="407">
        <f t="shared" si="76"/>
        <v>4.83</v>
      </c>
      <c r="F2445" s="680">
        <v>4.83</v>
      </c>
      <c r="G2445" s="680">
        <v>4.83</v>
      </c>
      <c r="H2445" t="b">
        <f t="shared" si="77"/>
        <v>1</v>
      </c>
    </row>
    <row r="2446" spans="1:8">
      <c r="A2446" s="396">
        <v>20155</v>
      </c>
      <c r="B2446" s="401" t="s">
        <v>11176</v>
      </c>
      <c r="C2446" s="396" t="s">
        <v>2021</v>
      </c>
      <c r="D2446" s="405">
        <f t="shared" si="76"/>
        <v>7.36</v>
      </c>
      <c r="F2446" s="679">
        <v>7.36</v>
      </c>
      <c r="G2446" s="679">
        <v>7.36</v>
      </c>
      <c r="H2446" t="b">
        <f t="shared" si="77"/>
        <v>1</v>
      </c>
    </row>
    <row r="2447" spans="1:8">
      <c r="A2447" s="395">
        <v>20156</v>
      </c>
      <c r="B2447" s="406" t="s">
        <v>11177</v>
      </c>
      <c r="C2447" s="395" t="s">
        <v>2021</v>
      </c>
      <c r="D2447" s="407">
        <f t="shared" si="76"/>
        <v>20.69</v>
      </c>
      <c r="F2447" s="680">
        <v>20.69</v>
      </c>
      <c r="G2447" s="680">
        <v>20.69</v>
      </c>
      <c r="H2447" t="b">
        <f t="shared" si="77"/>
        <v>1</v>
      </c>
    </row>
    <row r="2448" spans="1:8">
      <c r="A2448" s="396">
        <v>3499</v>
      </c>
      <c r="B2448" s="401" t="s">
        <v>11178</v>
      </c>
      <c r="C2448" s="396" t="s">
        <v>2021</v>
      </c>
      <c r="D2448" s="405">
        <f t="shared" si="76"/>
        <v>1.43</v>
      </c>
      <c r="F2448" s="679">
        <v>1.43</v>
      </c>
      <c r="G2448" s="679">
        <v>1.43</v>
      </c>
      <c r="H2448" t="b">
        <f t="shared" si="77"/>
        <v>1</v>
      </c>
    </row>
    <row r="2449" spans="1:8">
      <c r="A2449" s="395">
        <v>3500</v>
      </c>
      <c r="B2449" s="406" t="s">
        <v>11179</v>
      </c>
      <c r="C2449" s="395" t="s">
        <v>2021</v>
      </c>
      <c r="D2449" s="407">
        <f t="shared" si="76"/>
        <v>1.89</v>
      </c>
      <c r="F2449" s="680">
        <v>1.89</v>
      </c>
      <c r="G2449" s="680">
        <v>1.89</v>
      </c>
      <c r="H2449" t="b">
        <f t="shared" si="77"/>
        <v>1</v>
      </c>
    </row>
    <row r="2450" spans="1:8">
      <c r="A2450" s="396">
        <v>3501</v>
      </c>
      <c r="B2450" s="401" t="s">
        <v>11180</v>
      </c>
      <c r="C2450" s="396" t="s">
        <v>2021</v>
      </c>
      <c r="D2450" s="405">
        <f t="shared" si="76"/>
        <v>5.22</v>
      </c>
      <c r="F2450" s="679">
        <v>5.22</v>
      </c>
      <c r="G2450" s="679">
        <v>5.22</v>
      </c>
      <c r="H2450" t="b">
        <f t="shared" si="77"/>
        <v>1</v>
      </c>
    </row>
    <row r="2451" spans="1:8">
      <c r="A2451" s="395">
        <v>3502</v>
      </c>
      <c r="B2451" s="406" t="s">
        <v>11181</v>
      </c>
      <c r="C2451" s="395" t="s">
        <v>2021</v>
      </c>
      <c r="D2451" s="407">
        <f t="shared" si="76"/>
        <v>7.5</v>
      </c>
      <c r="F2451" s="680">
        <v>7.5</v>
      </c>
      <c r="G2451" s="680">
        <v>7.5</v>
      </c>
      <c r="H2451" t="b">
        <f t="shared" si="77"/>
        <v>1</v>
      </c>
    </row>
    <row r="2452" spans="1:8">
      <c r="A2452" s="396">
        <v>3503</v>
      </c>
      <c r="B2452" s="401" t="s">
        <v>11182</v>
      </c>
      <c r="C2452" s="396" t="s">
        <v>2021</v>
      </c>
      <c r="D2452" s="405">
        <f t="shared" si="76"/>
        <v>9.43</v>
      </c>
      <c r="F2452" s="679">
        <v>9.43</v>
      </c>
      <c r="G2452" s="679">
        <v>9.43</v>
      </c>
      <c r="H2452" t="b">
        <f t="shared" si="77"/>
        <v>1</v>
      </c>
    </row>
    <row r="2453" spans="1:8">
      <c r="A2453" s="395">
        <v>3477</v>
      </c>
      <c r="B2453" s="406" t="s">
        <v>11183</v>
      </c>
      <c r="C2453" s="395" t="s">
        <v>2021</v>
      </c>
      <c r="D2453" s="407">
        <f t="shared" si="76"/>
        <v>34.25</v>
      </c>
      <c r="F2453" s="680">
        <v>34.25</v>
      </c>
      <c r="G2453" s="680">
        <v>34.25</v>
      </c>
      <c r="H2453" t="b">
        <f t="shared" si="77"/>
        <v>1</v>
      </c>
    </row>
    <row r="2454" spans="1:8">
      <c r="A2454" s="396">
        <v>3478</v>
      </c>
      <c r="B2454" s="401" t="s">
        <v>11184</v>
      </c>
      <c r="C2454" s="396" t="s">
        <v>2021</v>
      </c>
      <c r="D2454" s="405">
        <f t="shared" si="76"/>
        <v>82.13</v>
      </c>
      <c r="F2454" s="679">
        <v>82.13</v>
      </c>
      <c r="G2454" s="679">
        <v>82.13</v>
      </c>
      <c r="H2454" t="b">
        <f t="shared" si="77"/>
        <v>1</v>
      </c>
    </row>
    <row r="2455" spans="1:8">
      <c r="A2455" s="395">
        <v>3525</v>
      </c>
      <c r="B2455" s="406" t="s">
        <v>11185</v>
      </c>
      <c r="C2455" s="395" t="s">
        <v>2021</v>
      </c>
      <c r="D2455" s="407">
        <f t="shared" si="76"/>
        <v>101.36</v>
      </c>
      <c r="F2455" s="680">
        <v>101.36</v>
      </c>
      <c r="G2455" s="680">
        <v>101.36</v>
      </c>
      <c r="H2455" t="b">
        <f t="shared" si="77"/>
        <v>1</v>
      </c>
    </row>
    <row r="2456" spans="1:8">
      <c r="A2456" s="396">
        <v>3511</v>
      </c>
      <c r="B2456" s="401" t="s">
        <v>11186</v>
      </c>
      <c r="C2456" s="396" t="s">
        <v>2021</v>
      </c>
      <c r="D2456" s="405">
        <f t="shared" si="76"/>
        <v>107.51</v>
      </c>
      <c r="F2456" s="679">
        <v>107.51</v>
      </c>
      <c r="G2456" s="679">
        <v>107.51</v>
      </c>
      <c r="H2456" t="b">
        <f t="shared" si="77"/>
        <v>1</v>
      </c>
    </row>
    <row r="2457" spans="1:8" ht="30">
      <c r="A2457" s="395">
        <v>12032</v>
      </c>
      <c r="B2457" s="406" t="s">
        <v>11187</v>
      </c>
      <c r="C2457" s="395" t="s">
        <v>2029</v>
      </c>
      <c r="D2457" s="407">
        <f t="shared" si="76"/>
        <v>62.07</v>
      </c>
      <c r="F2457" s="680">
        <v>62.07</v>
      </c>
      <c r="G2457" s="680">
        <v>62.07</v>
      </c>
      <c r="H2457" t="b">
        <f t="shared" si="77"/>
        <v>1</v>
      </c>
    </row>
    <row r="2458" spans="1:8" ht="30">
      <c r="A2458" s="396">
        <v>12030</v>
      </c>
      <c r="B2458" s="401" t="s">
        <v>11188</v>
      </c>
      <c r="C2458" s="396" t="s">
        <v>2029</v>
      </c>
      <c r="D2458" s="405">
        <f t="shared" si="76"/>
        <v>58.32</v>
      </c>
      <c r="F2458" s="679">
        <v>58.32</v>
      </c>
      <c r="G2458" s="679">
        <v>58.32</v>
      </c>
      <c r="H2458" t="b">
        <f t="shared" si="77"/>
        <v>1</v>
      </c>
    </row>
    <row r="2459" spans="1:8">
      <c r="A2459" s="395">
        <v>10908</v>
      </c>
      <c r="B2459" s="406" t="s">
        <v>11189</v>
      </c>
      <c r="C2459" s="395" t="s">
        <v>2021</v>
      </c>
      <c r="D2459" s="407">
        <f t="shared" si="76"/>
        <v>23.45</v>
      </c>
      <c r="F2459" s="680">
        <v>23.45</v>
      </c>
      <c r="G2459" s="680">
        <v>23.45</v>
      </c>
      <c r="H2459" t="b">
        <f t="shared" si="77"/>
        <v>1</v>
      </c>
    </row>
    <row r="2460" spans="1:8">
      <c r="A2460" s="396">
        <v>10909</v>
      </c>
      <c r="B2460" s="401" t="s">
        <v>11190</v>
      </c>
      <c r="C2460" s="396" t="s">
        <v>2021</v>
      </c>
      <c r="D2460" s="405">
        <f t="shared" si="76"/>
        <v>27.28</v>
      </c>
      <c r="F2460" s="679">
        <v>27.28</v>
      </c>
      <c r="G2460" s="679">
        <v>27.28</v>
      </c>
      <c r="H2460" t="b">
        <f t="shared" si="77"/>
        <v>1</v>
      </c>
    </row>
    <row r="2461" spans="1:8">
      <c r="A2461" s="395">
        <v>3669</v>
      </c>
      <c r="B2461" s="406" t="s">
        <v>11191</v>
      </c>
      <c r="C2461" s="395" t="s">
        <v>2021</v>
      </c>
      <c r="D2461" s="407">
        <f t="shared" si="76"/>
        <v>16.760000000000002</v>
      </c>
      <c r="F2461" s="680">
        <v>16.760000000000002</v>
      </c>
      <c r="G2461" s="680">
        <v>16.760000000000002</v>
      </c>
      <c r="H2461" t="b">
        <f t="shared" si="77"/>
        <v>1</v>
      </c>
    </row>
    <row r="2462" spans="1:8">
      <c r="A2462" s="396">
        <v>20139</v>
      </c>
      <c r="B2462" s="401" t="s">
        <v>11192</v>
      </c>
      <c r="C2462" s="396" t="s">
        <v>2021</v>
      </c>
      <c r="D2462" s="405">
        <f t="shared" si="76"/>
        <v>144.13</v>
      </c>
      <c r="F2462" s="679">
        <v>144.13</v>
      </c>
      <c r="G2462" s="679">
        <v>144.13</v>
      </c>
      <c r="H2462" t="b">
        <f t="shared" si="77"/>
        <v>1</v>
      </c>
    </row>
    <row r="2463" spans="1:8">
      <c r="A2463" s="395">
        <v>3668</v>
      </c>
      <c r="B2463" s="406" t="s">
        <v>11193</v>
      </c>
      <c r="C2463" s="395" t="s">
        <v>2021</v>
      </c>
      <c r="D2463" s="407">
        <f t="shared" si="76"/>
        <v>51.48</v>
      </c>
      <c r="F2463" s="680">
        <v>51.48</v>
      </c>
      <c r="G2463" s="680">
        <v>51.48</v>
      </c>
      <c r="H2463" t="b">
        <f t="shared" si="77"/>
        <v>1</v>
      </c>
    </row>
    <row r="2464" spans="1:8">
      <c r="A2464" s="396">
        <v>10911</v>
      </c>
      <c r="B2464" s="401" t="s">
        <v>11194</v>
      </c>
      <c r="C2464" s="396" t="s">
        <v>2021</v>
      </c>
      <c r="D2464" s="405">
        <f t="shared" si="76"/>
        <v>22.57</v>
      </c>
      <c r="F2464" s="679">
        <v>22.57</v>
      </c>
      <c r="G2464" s="679">
        <v>22.57</v>
      </c>
      <c r="H2464" t="b">
        <f t="shared" si="77"/>
        <v>1</v>
      </c>
    </row>
    <row r="2465" spans="1:8">
      <c r="A2465" s="395">
        <v>3659</v>
      </c>
      <c r="B2465" s="406" t="s">
        <v>11195</v>
      </c>
      <c r="C2465" s="395" t="s">
        <v>2021</v>
      </c>
      <c r="D2465" s="407">
        <f t="shared" si="76"/>
        <v>23</v>
      </c>
      <c r="F2465" s="680">
        <v>23</v>
      </c>
      <c r="G2465" s="680">
        <v>23</v>
      </c>
      <c r="H2465" t="b">
        <f t="shared" si="77"/>
        <v>1</v>
      </c>
    </row>
    <row r="2466" spans="1:8">
      <c r="A2466" s="396">
        <v>3660</v>
      </c>
      <c r="B2466" s="401" t="s">
        <v>11196</v>
      </c>
      <c r="C2466" s="396" t="s">
        <v>2021</v>
      </c>
      <c r="D2466" s="405">
        <f t="shared" si="76"/>
        <v>29.74</v>
      </c>
      <c r="F2466" s="679">
        <v>29.74</v>
      </c>
      <c r="G2466" s="679">
        <v>29.74</v>
      </c>
      <c r="H2466" t="b">
        <f t="shared" si="77"/>
        <v>1</v>
      </c>
    </row>
    <row r="2467" spans="1:8">
      <c r="A2467" s="395">
        <v>20144</v>
      </c>
      <c r="B2467" s="406" t="s">
        <v>11197</v>
      </c>
      <c r="C2467" s="395" t="s">
        <v>2021</v>
      </c>
      <c r="D2467" s="407">
        <f t="shared" si="76"/>
        <v>66.59</v>
      </c>
      <c r="F2467" s="680">
        <v>66.59</v>
      </c>
      <c r="G2467" s="680">
        <v>66.59</v>
      </c>
      <c r="H2467" t="b">
        <f t="shared" si="77"/>
        <v>1</v>
      </c>
    </row>
    <row r="2468" spans="1:8">
      <c r="A2468" s="396">
        <v>20143</v>
      </c>
      <c r="B2468" s="401" t="s">
        <v>11198</v>
      </c>
      <c r="C2468" s="396" t="s">
        <v>2021</v>
      </c>
      <c r="D2468" s="405">
        <f t="shared" si="76"/>
        <v>85.2</v>
      </c>
      <c r="F2468" s="679">
        <v>85.2</v>
      </c>
      <c r="G2468" s="679">
        <v>85.2</v>
      </c>
      <c r="H2468" t="b">
        <f t="shared" si="77"/>
        <v>1</v>
      </c>
    </row>
    <row r="2469" spans="1:8">
      <c r="A2469" s="395">
        <v>20145</v>
      </c>
      <c r="B2469" s="406" t="s">
        <v>11199</v>
      </c>
      <c r="C2469" s="395" t="s">
        <v>2021</v>
      </c>
      <c r="D2469" s="407">
        <f t="shared" si="76"/>
        <v>164.35</v>
      </c>
      <c r="F2469" s="680">
        <v>164.35</v>
      </c>
      <c r="G2469" s="680">
        <v>164.35</v>
      </c>
      <c r="H2469" t="b">
        <f t="shared" si="77"/>
        <v>1</v>
      </c>
    </row>
    <row r="2470" spans="1:8">
      <c r="A2470" s="396">
        <v>20146</v>
      </c>
      <c r="B2470" s="401" t="s">
        <v>11200</v>
      </c>
      <c r="C2470" s="396" t="s">
        <v>2021</v>
      </c>
      <c r="D2470" s="405">
        <f t="shared" si="76"/>
        <v>224.66</v>
      </c>
      <c r="F2470" s="679">
        <v>224.66</v>
      </c>
      <c r="G2470" s="679">
        <v>224.66</v>
      </c>
      <c r="H2470" t="b">
        <f t="shared" si="77"/>
        <v>1</v>
      </c>
    </row>
    <row r="2471" spans="1:8">
      <c r="A2471" s="395">
        <v>20140</v>
      </c>
      <c r="B2471" s="406" t="s">
        <v>11201</v>
      </c>
      <c r="C2471" s="395" t="s">
        <v>2021</v>
      </c>
      <c r="D2471" s="407">
        <f t="shared" si="76"/>
        <v>10.54</v>
      </c>
      <c r="F2471" s="680">
        <v>10.54</v>
      </c>
      <c r="G2471" s="680">
        <v>10.54</v>
      </c>
      <c r="H2471" t="b">
        <f t="shared" si="77"/>
        <v>1</v>
      </c>
    </row>
    <row r="2472" spans="1:8">
      <c r="A2472" s="396">
        <v>20141</v>
      </c>
      <c r="B2472" s="401" t="s">
        <v>11202</v>
      </c>
      <c r="C2472" s="396" t="s">
        <v>2021</v>
      </c>
      <c r="D2472" s="405">
        <f t="shared" si="76"/>
        <v>25.81</v>
      </c>
      <c r="F2472" s="679">
        <v>25.81</v>
      </c>
      <c r="G2472" s="679">
        <v>25.81</v>
      </c>
      <c r="H2472" t="b">
        <f t="shared" si="77"/>
        <v>1</v>
      </c>
    </row>
    <row r="2473" spans="1:8">
      <c r="A2473" s="395">
        <v>20142</v>
      </c>
      <c r="B2473" s="406" t="s">
        <v>11203</v>
      </c>
      <c r="C2473" s="395" t="s">
        <v>2021</v>
      </c>
      <c r="D2473" s="407">
        <f t="shared" si="76"/>
        <v>45.41</v>
      </c>
      <c r="F2473" s="680">
        <v>45.41</v>
      </c>
      <c r="G2473" s="680">
        <v>45.41</v>
      </c>
      <c r="H2473" t="b">
        <f t="shared" si="77"/>
        <v>1</v>
      </c>
    </row>
    <row r="2474" spans="1:8">
      <c r="A2474" s="396">
        <v>3670</v>
      </c>
      <c r="B2474" s="401" t="s">
        <v>11204</v>
      </c>
      <c r="C2474" s="396" t="s">
        <v>2021</v>
      </c>
      <c r="D2474" s="405">
        <f t="shared" si="76"/>
        <v>29.53</v>
      </c>
      <c r="F2474" s="679">
        <v>29.53</v>
      </c>
      <c r="G2474" s="679">
        <v>29.53</v>
      </c>
      <c r="H2474" t="b">
        <f t="shared" si="77"/>
        <v>1</v>
      </c>
    </row>
    <row r="2475" spans="1:8">
      <c r="A2475" s="395">
        <v>3666</v>
      </c>
      <c r="B2475" s="406" t="s">
        <v>11205</v>
      </c>
      <c r="C2475" s="395" t="s">
        <v>2021</v>
      </c>
      <c r="D2475" s="407">
        <f t="shared" si="76"/>
        <v>4.6500000000000004</v>
      </c>
      <c r="F2475" s="680">
        <v>4.6500000000000004</v>
      </c>
      <c r="G2475" s="680">
        <v>4.6500000000000004</v>
      </c>
      <c r="H2475" t="b">
        <f t="shared" si="77"/>
        <v>1</v>
      </c>
    </row>
    <row r="2476" spans="1:8">
      <c r="A2476" s="396">
        <v>3662</v>
      </c>
      <c r="B2476" s="401" t="s">
        <v>11206</v>
      </c>
      <c r="C2476" s="396" t="s">
        <v>2021</v>
      </c>
      <c r="D2476" s="405">
        <f t="shared" si="76"/>
        <v>12.12</v>
      </c>
      <c r="F2476" s="679">
        <v>12.12</v>
      </c>
      <c r="G2476" s="679">
        <v>12.12</v>
      </c>
      <c r="H2476" t="b">
        <f t="shared" si="77"/>
        <v>1</v>
      </c>
    </row>
    <row r="2477" spans="1:8">
      <c r="A2477" s="395">
        <v>3658</v>
      </c>
      <c r="B2477" s="406" t="s">
        <v>11207</v>
      </c>
      <c r="C2477" s="395" t="s">
        <v>2021</v>
      </c>
      <c r="D2477" s="407">
        <f t="shared" si="76"/>
        <v>22.96</v>
      </c>
      <c r="F2477" s="680">
        <v>22.96</v>
      </c>
      <c r="G2477" s="680">
        <v>22.96</v>
      </c>
      <c r="H2477" t="b">
        <f t="shared" si="77"/>
        <v>1</v>
      </c>
    </row>
    <row r="2478" spans="1:8">
      <c r="A2478" s="396">
        <v>14157</v>
      </c>
      <c r="B2478" s="401" t="s">
        <v>11208</v>
      </c>
      <c r="C2478" s="396" t="s">
        <v>2021</v>
      </c>
      <c r="D2478" s="405">
        <f t="shared" si="76"/>
        <v>1.3</v>
      </c>
      <c r="F2478" s="679">
        <v>1.3</v>
      </c>
      <c r="G2478" s="679">
        <v>1.3</v>
      </c>
      <c r="H2478" t="b">
        <f t="shared" si="77"/>
        <v>1</v>
      </c>
    </row>
    <row r="2479" spans="1:8">
      <c r="A2479" s="395">
        <v>42696</v>
      </c>
      <c r="B2479" s="406" t="s">
        <v>11209</v>
      </c>
      <c r="C2479" s="395" t="s">
        <v>2021</v>
      </c>
      <c r="D2479" s="407">
        <f t="shared" si="76"/>
        <v>182.05</v>
      </c>
      <c r="F2479" s="680">
        <v>182.05</v>
      </c>
      <c r="G2479" s="680">
        <v>182.05</v>
      </c>
      <c r="H2479" t="b">
        <f t="shared" si="77"/>
        <v>1</v>
      </c>
    </row>
    <row r="2480" spans="1:8">
      <c r="A2480" s="396">
        <v>39875</v>
      </c>
      <c r="B2480" s="401" t="s">
        <v>11210</v>
      </c>
      <c r="C2480" s="396" t="s">
        <v>2021</v>
      </c>
      <c r="D2480" s="405">
        <f t="shared" si="76"/>
        <v>624.71</v>
      </c>
      <c r="F2480" s="679">
        <v>624.71</v>
      </c>
      <c r="G2480" s="679">
        <v>624.71</v>
      </c>
      <c r="H2480" t="b">
        <f t="shared" si="77"/>
        <v>1</v>
      </c>
    </row>
    <row r="2481" spans="1:8">
      <c r="A2481" s="395">
        <v>39876</v>
      </c>
      <c r="B2481" s="406" t="s">
        <v>11211</v>
      </c>
      <c r="C2481" s="395" t="s">
        <v>2021</v>
      </c>
      <c r="D2481" s="407">
        <f t="shared" si="76"/>
        <v>782.13</v>
      </c>
      <c r="F2481" s="680">
        <v>782.13</v>
      </c>
      <c r="G2481" s="680">
        <v>782.13</v>
      </c>
      <c r="H2481" t="b">
        <f t="shared" si="77"/>
        <v>1</v>
      </c>
    </row>
    <row r="2482" spans="1:8">
      <c r="A2482" s="396">
        <v>39877</v>
      </c>
      <c r="B2482" s="401" t="s">
        <v>11212</v>
      </c>
      <c r="C2482" s="396" t="s">
        <v>2021</v>
      </c>
      <c r="D2482" s="405">
        <f t="shared" si="76"/>
        <v>1084.78</v>
      </c>
      <c r="F2482" s="679">
        <v>1084.78</v>
      </c>
      <c r="G2482" s="679">
        <v>1084.78</v>
      </c>
      <c r="H2482" t="b">
        <f t="shared" si="77"/>
        <v>1</v>
      </c>
    </row>
    <row r="2483" spans="1:8">
      <c r="A2483" s="395">
        <v>39878</v>
      </c>
      <c r="B2483" s="406" t="s">
        <v>11213</v>
      </c>
      <c r="C2483" s="395" t="s">
        <v>2021</v>
      </c>
      <c r="D2483" s="407">
        <f t="shared" si="76"/>
        <v>1432.82</v>
      </c>
      <c r="F2483" s="680">
        <v>1432.82</v>
      </c>
      <c r="G2483" s="680">
        <v>1432.82</v>
      </c>
      <c r="H2483" t="b">
        <f t="shared" si="77"/>
        <v>1</v>
      </c>
    </row>
    <row r="2484" spans="1:8">
      <c r="A2484" s="396">
        <v>39872</v>
      </c>
      <c r="B2484" s="401" t="s">
        <v>11214</v>
      </c>
      <c r="C2484" s="396" t="s">
        <v>2021</v>
      </c>
      <c r="D2484" s="405">
        <f t="shared" si="76"/>
        <v>428.41</v>
      </c>
      <c r="F2484" s="679">
        <v>428.41</v>
      </c>
      <c r="G2484" s="679">
        <v>428.41</v>
      </c>
      <c r="H2484" t="b">
        <f t="shared" si="77"/>
        <v>1</v>
      </c>
    </row>
    <row r="2485" spans="1:8">
      <c r="A2485" s="395">
        <v>39873</v>
      </c>
      <c r="B2485" s="406" t="s">
        <v>11215</v>
      </c>
      <c r="C2485" s="395" t="s">
        <v>2021</v>
      </c>
      <c r="D2485" s="407">
        <f t="shared" si="76"/>
        <v>496.93</v>
      </c>
      <c r="F2485" s="680">
        <v>496.93</v>
      </c>
      <c r="G2485" s="680">
        <v>496.93</v>
      </c>
      <c r="H2485" t="b">
        <f t="shared" si="77"/>
        <v>1</v>
      </c>
    </row>
    <row r="2486" spans="1:8">
      <c r="A2486" s="396">
        <v>39874</v>
      </c>
      <c r="B2486" s="401" t="s">
        <v>11216</v>
      </c>
      <c r="C2486" s="396" t="s">
        <v>2021</v>
      </c>
      <c r="D2486" s="405">
        <f t="shared" si="76"/>
        <v>545.80999999999995</v>
      </c>
      <c r="F2486" s="679">
        <v>545.80999999999995</v>
      </c>
      <c r="G2486" s="679">
        <v>545.80999999999995</v>
      </c>
      <c r="H2486" t="b">
        <f t="shared" si="77"/>
        <v>1</v>
      </c>
    </row>
    <row r="2487" spans="1:8">
      <c r="A2487" s="395">
        <v>3674</v>
      </c>
      <c r="B2487" s="406" t="s">
        <v>11217</v>
      </c>
      <c r="C2487" s="395" t="s">
        <v>2024</v>
      </c>
      <c r="D2487" s="407">
        <f t="shared" si="76"/>
        <v>88.57</v>
      </c>
      <c r="F2487" s="680">
        <v>88.57</v>
      </c>
      <c r="G2487" s="680">
        <v>88.57</v>
      </c>
      <c r="H2487" t="b">
        <f t="shared" si="77"/>
        <v>1</v>
      </c>
    </row>
    <row r="2488" spans="1:8">
      <c r="A2488" s="396">
        <v>3681</v>
      </c>
      <c r="B2488" s="401" t="s">
        <v>11218</v>
      </c>
      <c r="C2488" s="396" t="s">
        <v>2024</v>
      </c>
      <c r="D2488" s="405">
        <f t="shared" si="76"/>
        <v>131.78</v>
      </c>
      <c r="F2488" s="679">
        <v>131.78</v>
      </c>
      <c r="G2488" s="679">
        <v>131.78</v>
      </c>
      <c r="H2488" t="b">
        <f t="shared" si="77"/>
        <v>1</v>
      </c>
    </row>
    <row r="2489" spans="1:8">
      <c r="A2489" s="395">
        <v>3676</v>
      </c>
      <c r="B2489" s="406" t="s">
        <v>11219</v>
      </c>
      <c r="C2489" s="395" t="s">
        <v>2024</v>
      </c>
      <c r="D2489" s="407">
        <f t="shared" si="76"/>
        <v>495.94</v>
      </c>
      <c r="F2489" s="680">
        <v>495.94</v>
      </c>
      <c r="G2489" s="680">
        <v>495.94</v>
      </c>
      <c r="H2489" t="b">
        <f t="shared" si="77"/>
        <v>1</v>
      </c>
    </row>
    <row r="2490" spans="1:8">
      <c r="A2490" s="396">
        <v>3679</v>
      </c>
      <c r="B2490" s="401" t="s">
        <v>11220</v>
      </c>
      <c r="C2490" s="396" t="s">
        <v>2024</v>
      </c>
      <c r="D2490" s="405">
        <f t="shared" si="76"/>
        <v>410.3</v>
      </c>
      <c r="F2490" s="679">
        <v>410.3</v>
      </c>
      <c r="G2490" s="679">
        <v>410.3</v>
      </c>
      <c r="H2490" t="b">
        <f t="shared" si="77"/>
        <v>1</v>
      </c>
    </row>
    <row r="2491" spans="1:8">
      <c r="A2491" s="395">
        <v>3672</v>
      </c>
      <c r="B2491" s="406" t="s">
        <v>11221</v>
      </c>
      <c r="C2491" s="395" t="s">
        <v>2024</v>
      </c>
      <c r="D2491" s="407">
        <f t="shared" si="76"/>
        <v>1.4</v>
      </c>
      <c r="F2491" s="680">
        <v>1.4</v>
      </c>
      <c r="G2491" s="680">
        <v>1.4</v>
      </c>
      <c r="H2491" t="b">
        <f t="shared" si="77"/>
        <v>1</v>
      </c>
    </row>
    <row r="2492" spans="1:8">
      <c r="A2492" s="396">
        <v>3671</v>
      </c>
      <c r="B2492" s="401" t="s">
        <v>11222</v>
      </c>
      <c r="C2492" s="396" t="s">
        <v>2024</v>
      </c>
      <c r="D2492" s="405">
        <f t="shared" si="76"/>
        <v>1.32</v>
      </c>
      <c r="F2492" s="679">
        <v>1.32</v>
      </c>
      <c r="G2492" s="679">
        <v>1.32</v>
      </c>
      <c r="H2492" t="b">
        <f t="shared" si="77"/>
        <v>1</v>
      </c>
    </row>
    <row r="2493" spans="1:8">
      <c r="A2493" s="395">
        <v>3673</v>
      </c>
      <c r="B2493" s="406" t="s">
        <v>11223</v>
      </c>
      <c r="C2493" s="395" t="s">
        <v>2024</v>
      </c>
      <c r="D2493" s="407">
        <f t="shared" si="76"/>
        <v>2.0699999999999998</v>
      </c>
      <c r="F2493" s="680">
        <v>2.0699999999999998</v>
      </c>
      <c r="G2493" s="680">
        <v>2.0699999999999998</v>
      </c>
      <c r="H2493" t="b">
        <f t="shared" si="77"/>
        <v>1</v>
      </c>
    </row>
    <row r="2494" spans="1:8">
      <c r="A2494" s="396">
        <v>38394</v>
      </c>
      <c r="B2494" s="401" t="s">
        <v>11224</v>
      </c>
      <c r="C2494" s="396" t="s">
        <v>2021</v>
      </c>
      <c r="D2494" s="405">
        <f t="shared" si="76"/>
        <v>396.4</v>
      </c>
      <c r="F2494" s="679">
        <v>396.4</v>
      </c>
      <c r="G2494" s="679">
        <v>396.4</v>
      </c>
      <c r="H2494" t="b">
        <f t="shared" si="77"/>
        <v>1</v>
      </c>
    </row>
    <row r="2495" spans="1:8">
      <c r="A2495" s="395">
        <v>3729</v>
      </c>
      <c r="B2495" s="406" t="s">
        <v>11225</v>
      </c>
      <c r="C2495" s="395" t="s">
        <v>2021</v>
      </c>
      <c r="D2495" s="407">
        <f t="shared" si="76"/>
        <v>174.64</v>
      </c>
      <c r="F2495" s="680">
        <v>174.64</v>
      </c>
      <c r="G2495" s="680">
        <v>174.64</v>
      </c>
      <c r="H2495" t="b">
        <f t="shared" si="77"/>
        <v>1</v>
      </c>
    </row>
    <row r="2496" spans="1:8" ht="45">
      <c r="A2496" s="396">
        <v>39357</v>
      </c>
      <c r="B2496" s="401" t="s">
        <v>11226</v>
      </c>
      <c r="C2496" s="396" t="s">
        <v>2021</v>
      </c>
      <c r="D2496" s="405">
        <f t="shared" si="76"/>
        <v>100.32</v>
      </c>
      <c r="F2496" s="679">
        <v>100.32</v>
      </c>
      <c r="G2496" s="679">
        <v>100.32</v>
      </c>
      <c r="H2496" t="b">
        <f t="shared" si="77"/>
        <v>1</v>
      </c>
    </row>
    <row r="2497" spans="1:8" ht="45">
      <c r="A2497" s="395">
        <v>39358</v>
      </c>
      <c r="B2497" s="406" t="s">
        <v>11227</v>
      </c>
      <c r="C2497" s="395" t="s">
        <v>2021</v>
      </c>
      <c r="D2497" s="407">
        <f t="shared" si="76"/>
        <v>110.01</v>
      </c>
      <c r="F2497" s="680">
        <v>110.01</v>
      </c>
      <c r="G2497" s="680">
        <v>110.01</v>
      </c>
      <c r="H2497" t="b">
        <f t="shared" si="77"/>
        <v>1</v>
      </c>
    </row>
    <row r="2498" spans="1:8" ht="45">
      <c r="A2498" s="396">
        <v>39356</v>
      </c>
      <c r="B2498" s="401" t="s">
        <v>11228</v>
      </c>
      <c r="C2498" s="396" t="s">
        <v>2021</v>
      </c>
      <c r="D2498" s="405">
        <f t="shared" si="76"/>
        <v>187.68</v>
      </c>
      <c r="F2498" s="679">
        <v>187.68</v>
      </c>
      <c r="G2498" s="679">
        <v>187.68</v>
      </c>
      <c r="H2498" t="b">
        <f t="shared" si="77"/>
        <v>1</v>
      </c>
    </row>
    <row r="2499" spans="1:8" ht="45">
      <c r="A2499" s="395">
        <v>39355</v>
      </c>
      <c r="B2499" s="406" t="s">
        <v>11229</v>
      </c>
      <c r="C2499" s="395" t="s">
        <v>2021</v>
      </c>
      <c r="D2499" s="407">
        <f t="shared" ref="D2499:D2562" si="78">IF($J$2=$F$1,F2499,G2499)</f>
        <v>161.5</v>
      </c>
      <c r="F2499" s="680">
        <v>161.5</v>
      </c>
      <c r="G2499" s="680">
        <v>161.5</v>
      </c>
      <c r="H2499" t="b">
        <f t="shared" ref="H2499:H2562" si="79">F2499=G2499</f>
        <v>1</v>
      </c>
    </row>
    <row r="2500" spans="1:8" ht="45">
      <c r="A2500" s="396">
        <v>39353</v>
      </c>
      <c r="B2500" s="401" t="s">
        <v>11230</v>
      </c>
      <c r="C2500" s="396" t="s">
        <v>2021</v>
      </c>
      <c r="D2500" s="405">
        <f t="shared" si="78"/>
        <v>221.47</v>
      </c>
      <c r="F2500" s="679">
        <v>221.47</v>
      </c>
      <c r="G2500" s="679">
        <v>221.47</v>
      </c>
      <c r="H2500" t="b">
        <f t="shared" si="79"/>
        <v>1</v>
      </c>
    </row>
    <row r="2501" spans="1:8" ht="45">
      <c r="A2501" s="395">
        <v>39354</v>
      </c>
      <c r="B2501" s="406" t="s">
        <v>11231</v>
      </c>
      <c r="C2501" s="395" t="s">
        <v>2021</v>
      </c>
      <c r="D2501" s="407">
        <f t="shared" si="78"/>
        <v>220.73</v>
      </c>
      <c r="F2501" s="680">
        <v>220.73</v>
      </c>
      <c r="G2501" s="680">
        <v>220.73</v>
      </c>
      <c r="H2501" t="b">
        <f t="shared" si="79"/>
        <v>1</v>
      </c>
    </row>
    <row r="2502" spans="1:8">
      <c r="A2502" s="396">
        <v>39398</v>
      </c>
      <c r="B2502" s="401" t="s">
        <v>11232</v>
      </c>
      <c r="C2502" s="396" t="s">
        <v>2021</v>
      </c>
      <c r="D2502" s="405">
        <f t="shared" si="78"/>
        <v>97.41</v>
      </c>
      <c r="F2502" s="679">
        <v>97.41</v>
      </c>
      <c r="G2502" s="679">
        <v>97.41</v>
      </c>
      <c r="H2502" t="b">
        <f t="shared" si="79"/>
        <v>1</v>
      </c>
    </row>
    <row r="2503" spans="1:8" ht="30">
      <c r="A2503" s="395">
        <v>13343</v>
      </c>
      <c r="B2503" s="406" t="s">
        <v>11233</v>
      </c>
      <c r="C2503" s="395" t="s">
        <v>2021</v>
      </c>
      <c r="D2503" s="407">
        <f t="shared" si="78"/>
        <v>47.4</v>
      </c>
      <c r="F2503" s="680">
        <v>47.4</v>
      </c>
      <c r="G2503" s="680">
        <v>47.4</v>
      </c>
      <c r="H2503" t="b">
        <f t="shared" si="79"/>
        <v>1</v>
      </c>
    </row>
    <row r="2504" spans="1:8">
      <c r="A2504" s="396">
        <v>12118</v>
      </c>
      <c r="B2504" s="401" t="s">
        <v>11234</v>
      </c>
      <c r="C2504" s="396" t="s">
        <v>2021</v>
      </c>
      <c r="D2504" s="405">
        <f t="shared" si="78"/>
        <v>20.9</v>
      </c>
      <c r="F2504" s="679">
        <v>20.9</v>
      </c>
      <c r="G2504" s="679">
        <v>20.9</v>
      </c>
      <c r="H2504" t="b">
        <f t="shared" si="79"/>
        <v>1</v>
      </c>
    </row>
    <row r="2505" spans="1:8" ht="45">
      <c r="A2505" s="395">
        <v>39482</v>
      </c>
      <c r="B2505" s="406" t="s">
        <v>11235</v>
      </c>
      <c r="C2505" s="395" t="s">
        <v>2021</v>
      </c>
      <c r="D2505" s="407">
        <f t="shared" si="78"/>
        <v>814.59</v>
      </c>
      <c r="F2505" s="680">
        <v>814.59</v>
      </c>
      <c r="G2505" s="680">
        <v>814.59</v>
      </c>
      <c r="H2505" t="b">
        <f t="shared" si="79"/>
        <v>1</v>
      </c>
    </row>
    <row r="2506" spans="1:8" ht="45">
      <c r="A2506" s="396">
        <v>39486</v>
      </c>
      <c r="B2506" s="401" t="s">
        <v>11236</v>
      </c>
      <c r="C2506" s="396" t="s">
        <v>2021</v>
      </c>
      <c r="D2506" s="405">
        <f t="shared" si="78"/>
        <v>664.82</v>
      </c>
      <c r="F2506" s="679">
        <v>664.82</v>
      </c>
      <c r="G2506" s="679">
        <v>664.82</v>
      </c>
      <c r="H2506" t="b">
        <f t="shared" si="79"/>
        <v>1</v>
      </c>
    </row>
    <row r="2507" spans="1:8" ht="45">
      <c r="A2507" s="395">
        <v>39484</v>
      </c>
      <c r="B2507" s="406" t="s">
        <v>11237</v>
      </c>
      <c r="C2507" s="395" t="s">
        <v>2021</v>
      </c>
      <c r="D2507" s="407">
        <f t="shared" si="78"/>
        <v>814.59</v>
      </c>
      <c r="F2507" s="680">
        <v>814.59</v>
      </c>
      <c r="G2507" s="680">
        <v>814.59</v>
      </c>
      <c r="H2507" t="b">
        <f t="shared" si="79"/>
        <v>1</v>
      </c>
    </row>
    <row r="2508" spans="1:8" ht="45">
      <c r="A2508" s="396">
        <v>39488</v>
      </c>
      <c r="B2508" s="401" t="s">
        <v>11238</v>
      </c>
      <c r="C2508" s="396" t="s">
        <v>2021</v>
      </c>
      <c r="D2508" s="405">
        <f t="shared" si="78"/>
        <v>675.7</v>
      </c>
      <c r="F2508" s="679">
        <v>675.7</v>
      </c>
      <c r="G2508" s="679">
        <v>675.7</v>
      </c>
      <c r="H2508" t="b">
        <f t="shared" si="79"/>
        <v>1</v>
      </c>
    </row>
    <row r="2509" spans="1:8" ht="45">
      <c r="A2509" s="395">
        <v>39485</v>
      </c>
      <c r="B2509" s="406" t="s">
        <v>11239</v>
      </c>
      <c r="C2509" s="395" t="s">
        <v>2021</v>
      </c>
      <c r="D2509" s="407">
        <f t="shared" si="78"/>
        <v>814.59</v>
      </c>
      <c r="F2509" s="680">
        <v>814.59</v>
      </c>
      <c r="G2509" s="680">
        <v>814.59</v>
      </c>
      <c r="H2509" t="b">
        <f t="shared" si="79"/>
        <v>1</v>
      </c>
    </row>
    <row r="2510" spans="1:8" ht="45">
      <c r="A2510" s="396">
        <v>39489</v>
      </c>
      <c r="B2510" s="401" t="s">
        <v>11240</v>
      </c>
      <c r="C2510" s="396" t="s">
        <v>2021</v>
      </c>
      <c r="D2510" s="405">
        <f t="shared" si="78"/>
        <v>687.16</v>
      </c>
      <c r="F2510" s="679">
        <v>687.16</v>
      </c>
      <c r="G2510" s="679">
        <v>687.16</v>
      </c>
      <c r="H2510" t="b">
        <f t="shared" si="79"/>
        <v>1</v>
      </c>
    </row>
    <row r="2511" spans="1:8" ht="45">
      <c r="A2511" s="395">
        <v>39490</v>
      </c>
      <c r="B2511" s="406" t="s">
        <v>11241</v>
      </c>
      <c r="C2511" s="395" t="s">
        <v>2021</v>
      </c>
      <c r="D2511" s="407">
        <f t="shared" si="78"/>
        <v>1023.95</v>
      </c>
      <c r="F2511" s="680">
        <v>1023.95</v>
      </c>
      <c r="G2511" s="680">
        <v>1023.95</v>
      </c>
      <c r="H2511" t="b">
        <f t="shared" si="79"/>
        <v>1</v>
      </c>
    </row>
    <row r="2512" spans="1:8" ht="45">
      <c r="A2512" s="396">
        <v>39494</v>
      </c>
      <c r="B2512" s="401" t="s">
        <v>11242</v>
      </c>
      <c r="C2512" s="396" t="s">
        <v>2021</v>
      </c>
      <c r="D2512" s="405">
        <f t="shared" si="78"/>
        <v>735.28</v>
      </c>
      <c r="F2512" s="679">
        <v>735.28</v>
      </c>
      <c r="G2512" s="679">
        <v>735.28</v>
      </c>
      <c r="H2512" t="b">
        <f t="shared" si="79"/>
        <v>1</v>
      </c>
    </row>
    <row r="2513" spans="1:8" ht="45">
      <c r="A2513" s="395">
        <v>39495</v>
      </c>
      <c r="B2513" s="406" t="s">
        <v>11243</v>
      </c>
      <c r="C2513" s="395" t="s">
        <v>2021</v>
      </c>
      <c r="D2513" s="407">
        <f t="shared" si="78"/>
        <v>828.57</v>
      </c>
      <c r="F2513" s="680">
        <v>828.57</v>
      </c>
      <c r="G2513" s="680">
        <v>828.57</v>
      </c>
      <c r="H2513" t="b">
        <f t="shared" si="79"/>
        <v>1</v>
      </c>
    </row>
    <row r="2514" spans="1:8" ht="45">
      <c r="A2514" s="396">
        <v>39496</v>
      </c>
      <c r="B2514" s="401" t="s">
        <v>11244</v>
      </c>
      <c r="C2514" s="396" t="s">
        <v>2021</v>
      </c>
      <c r="D2514" s="405">
        <f t="shared" si="78"/>
        <v>911.42</v>
      </c>
      <c r="F2514" s="679">
        <v>911.42</v>
      </c>
      <c r="G2514" s="679">
        <v>911.42</v>
      </c>
      <c r="H2514" t="b">
        <f t="shared" si="79"/>
        <v>1</v>
      </c>
    </row>
    <row r="2515" spans="1:8" ht="45">
      <c r="A2515" s="395">
        <v>39492</v>
      </c>
      <c r="B2515" s="406" t="s">
        <v>11245</v>
      </c>
      <c r="C2515" s="395" t="s">
        <v>2021</v>
      </c>
      <c r="D2515" s="407">
        <f t="shared" si="78"/>
        <v>1055.18</v>
      </c>
      <c r="F2515" s="680">
        <v>1055.18</v>
      </c>
      <c r="G2515" s="680">
        <v>1055.18</v>
      </c>
      <c r="H2515" t="b">
        <f t="shared" si="79"/>
        <v>1</v>
      </c>
    </row>
    <row r="2516" spans="1:8" ht="45">
      <c r="A2516" s="396">
        <v>39497</v>
      </c>
      <c r="B2516" s="401" t="s">
        <v>11246</v>
      </c>
      <c r="C2516" s="396" t="s">
        <v>2021</v>
      </c>
      <c r="D2516" s="405">
        <f t="shared" si="78"/>
        <v>953.11</v>
      </c>
      <c r="F2516" s="679">
        <v>953.11</v>
      </c>
      <c r="G2516" s="679">
        <v>953.11</v>
      </c>
      <c r="H2516" t="b">
        <f t="shared" si="79"/>
        <v>1</v>
      </c>
    </row>
    <row r="2517" spans="1:8" ht="45">
      <c r="A2517" s="395">
        <v>39493</v>
      </c>
      <c r="B2517" s="406" t="s">
        <v>11247</v>
      </c>
      <c r="C2517" s="395" t="s">
        <v>2021</v>
      </c>
      <c r="D2517" s="407">
        <f t="shared" si="78"/>
        <v>1131.78</v>
      </c>
      <c r="F2517" s="680">
        <v>1131.78</v>
      </c>
      <c r="G2517" s="680">
        <v>1131.78</v>
      </c>
      <c r="H2517" t="b">
        <f t="shared" si="79"/>
        <v>1</v>
      </c>
    </row>
    <row r="2518" spans="1:8" ht="30">
      <c r="A2518" s="396">
        <v>39500</v>
      </c>
      <c r="B2518" s="401" t="s">
        <v>11248</v>
      </c>
      <c r="C2518" s="396" t="s">
        <v>2021</v>
      </c>
      <c r="D2518" s="405">
        <f t="shared" si="78"/>
        <v>1234.8699999999999</v>
      </c>
      <c r="F2518" s="679">
        <v>1234.8699999999999</v>
      </c>
      <c r="G2518" s="679">
        <v>1234.8699999999999</v>
      </c>
      <c r="H2518" t="b">
        <f t="shared" si="79"/>
        <v>1</v>
      </c>
    </row>
    <row r="2519" spans="1:8" ht="45">
      <c r="A2519" s="395">
        <v>39498</v>
      </c>
      <c r="B2519" s="406" t="s">
        <v>11249</v>
      </c>
      <c r="C2519" s="395" t="s">
        <v>2021</v>
      </c>
      <c r="D2519" s="407">
        <f t="shared" si="78"/>
        <v>1523</v>
      </c>
      <c r="F2519" s="680">
        <v>1523</v>
      </c>
      <c r="G2519" s="680">
        <v>1523</v>
      </c>
      <c r="H2519" t="b">
        <f t="shared" si="79"/>
        <v>1</v>
      </c>
    </row>
    <row r="2520" spans="1:8" ht="45">
      <c r="A2520" s="396">
        <v>43628</v>
      </c>
      <c r="B2520" s="401" t="s">
        <v>11250</v>
      </c>
      <c r="C2520" s="396" t="s">
        <v>2021</v>
      </c>
      <c r="D2520" s="405">
        <f t="shared" si="78"/>
        <v>1200.45</v>
      </c>
      <c r="F2520" s="679">
        <v>1200.45</v>
      </c>
      <c r="G2520" s="679">
        <v>1200.45</v>
      </c>
      <c r="H2520" t="b">
        <f t="shared" si="79"/>
        <v>1</v>
      </c>
    </row>
    <row r="2521" spans="1:8" ht="30">
      <c r="A2521" s="395">
        <v>39501</v>
      </c>
      <c r="B2521" s="406" t="s">
        <v>11251</v>
      </c>
      <c r="C2521" s="395" t="s">
        <v>2021</v>
      </c>
      <c r="D2521" s="407">
        <f t="shared" si="78"/>
        <v>1268.31</v>
      </c>
      <c r="F2521" s="680">
        <v>1268.31</v>
      </c>
      <c r="G2521" s="680">
        <v>1268.31</v>
      </c>
      <c r="H2521" t="b">
        <f t="shared" si="79"/>
        <v>1</v>
      </c>
    </row>
    <row r="2522" spans="1:8" ht="45">
      <c r="A2522" s="396">
        <v>39499</v>
      </c>
      <c r="B2522" s="401" t="s">
        <v>11252</v>
      </c>
      <c r="C2522" s="396" t="s">
        <v>2021</v>
      </c>
      <c r="D2522" s="405">
        <f t="shared" si="78"/>
        <v>1544.63</v>
      </c>
      <c r="F2522" s="679">
        <v>1544.63</v>
      </c>
      <c r="G2522" s="679">
        <v>1544.63</v>
      </c>
      <c r="H2522" t="b">
        <f t="shared" si="79"/>
        <v>1</v>
      </c>
    </row>
    <row r="2523" spans="1:8" ht="45">
      <c r="A2523" s="395">
        <v>43621</v>
      </c>
      <c r="B2523" s="406" t="s">
        <v>11253</v>
      </c>
      <c r="C2523" s="395" t="s">
        <v>2021</v>
      </c>
      <c r="D2523" s="407">
        <f t="shared" si="78"/>
        <v>1275.48</v>
      </c>
      <c r="F2523" s="680">
        <v>1275.48</v>
      </c>
      <c r="G2523" s="680">
        <v>1275.48</v>
      </c>
      <c r="H2523" t="b">
        <f t="shared" si="79"/>
        <v>1</v>
      </c>
    </row>
    <row r="2524" spans="1:8">
      <c r="A2524" s="396">
        <v>3733</v>
      </c>
      <c r="B2524" s="401" t="s">
        <v>11254</v>
      </c>
      <c r="C2524" s="396" t="s">
        <v>2023</v>
      </c>
      <c r="D2524" s="405">
        <f t="shared" si="78"/>
        <v>69.510000000000005</v>
      </c>
      <c r="F2524" s="679">
        <v>69.510000000000005</v>
      </c>
      <c r="G2524" s="679">
        <v>69.510000000000005</v>
      </c>
      <c r="H2524" t="b">
        <f t="shared" si="79"/>
        <v>1</v>
      </c>
    </row>
    <row r="2525" spans="1:8">
      <c r="A2525" s="395">
        <v>3731</v>
      </c>
      <c r="B2525" s="406" t="s">
        <v>11255</v>
      </c>
      <c r="C2525" s="395" t="s">
        <v>2023</v>
      </c>
      <c r="D2525" s="407">
        <f t="shared" si="78"/>
        <v>64.52</v>
      </c>
      <c r="F2525" s="680">
        <v>64.52</v>
      </c>
      <c r="G2525" s="680">
        <v>64.52</v>
      </c>
      <c r="H2525" t="b">
        <f t="shared" si="79"/>
        <v>1</v>
      </c>
    </row>
    <row r="2526" spans="1:8">
      <c r="A2526" s="396">
        <v>38137</v>
      </c>
      <c r="B2526" s="401" t="s">
        <v>11256</v>
      </c>
      <c r="C2526" s="396" t="s">
        <v>2023</v>
      </c>
      <c r="D2526" s="405">
        <f t="shared" si="78"/>
        <v>64.900000000000006</v>
      </c>
      <c r="F2526" s="679">
        <v>64.900000000000006</v>
      </c>
      <c r="G2526" s="679">
        <v>64.900000000000006</v>
      </c>
      <c r="H2526" t="b">
        <f t="shared" si="79"/>
        <v>1</v>
      </c>
    </row>
    <row r="2527" spans="1:8">
      <c r="A2527" s="395">
        <v>38135</v>
      </c>
      <c r="B2527" s="406" t="s">
        <v>11257</v>
      </c>
      <c r="C2527" s="395" t="s">
        <v>2023</v>
      </c>
      <c r="D2527" s="407">
        <f t="shared" si="78"/>
        <v>82.27</v>
      </c>
      <c r="F2527" s="680">
        <v>82.27</v>
      </c>
      <c r="G2527" s="680">
        <v>82.27</v>
      </c>
      <c r="H2527" t="b">
        <f t="shared" si="79"/>
        <v>1</v>
      </c>
    </row>
    <row r="2528" spans="1:8">
      <c r="A2528" s="396">
        <v>38138</v>
      </c>
      <c r="B2528" s="401" t="s">
        <v>11258</v>
      </c>
      <c r="C2528" s="396" t="s">
        <v>2023</v>
      </c>
      <c r="D2528" s="405">
        <f t="shared" si="78"/>
        <v>63.73</v>
      </c>
      <c r="F2528" s="679">
        <v>63.73</v>
      </c>
      <c r="G2528" s="679">
        <v>63.73</v>
      </c>
      <c r="H2528" t="b">
        <f t="shared" si="79"/>
        <v>1</v>
      </c>
    </row>
    <row r="2529" spans="1:8" ht="30">
      <c r="A2529" s="395">
        <v>3736</v>
      </c>
      <c r="B2529" s="406" t="s">
        <v>11259</v>
      </c>
      <c r="C2529" s="395" t="s">
        <v>2023</v>
      </c>
      <c r="D2529" s="407">
        <f t="shared" si="78"/>
        <v>73.22</v>
      </c>
      <c r="F2529" s="680">
        <v>73.22</v>
      </c>
      <c r="G2529" s="680">
        <v>73.22</v>
      </c>
      <c r="H2529" t="b">
        <f t="shared" si="79"/>
        <v>1</v>
      </c>
    </row>
    <row r="2530" spans="1:8" ht="30">
      <c r="A2530" s="396">
        <v>3741</v>
      </c>
      <c r="B2530" s="401" t="s">
        <v>11260</v>
      </c>
      <c r="C2530" s="396" t="s">
        <v>2023</v>
      </c>
      <c r="D2530" s="405">
        <f t="shared" si="78"/>
        <v>76.319999999999993</v>
      </c>
      <c r="F2530" s="679">
        <v>76.319999999999993</v>
      </c>
      <c r="G2530" s="679">
        <v>76.319999999999993</v>
      </c>
      <c r="H2530" t="b">
        <f t="shared" si="79"/>
        <v>1</v>
      </c>
    </row>
    <row r="2531" spans="1:8" ht="30">
      <c r="A2531" s="395">
        <v>3745</v>
      </c>
      <c r="B2531" s="406" t="s">
        <v>11261</v>
      </c>
      <c r="C2531" s="395" t="s">
        <v>2023</v>
      </c>
      <c r="D2531" s="407">
        <f t="shared" si="78"/>
        <v>82.3</v>
      </c>
      <c r="F2531" s="680">
        <v>82.3</v>
      </c>
      <c r="G2531" s="680">
        <v>82.3</v>
      </c>
      <c r="H2531" t="b">
        <f t="shared" si="79"/>
        <v>1</v>
      </c>
    </row>
    <row r="2532" spans="1:8" ht="30">
      <c r="A2532" s="396">
        <v>3743</v>
      </c>
      <c r="B2532" s="401" t="s">
        <v>11262</v>
      </c>
      <c r="C2532" s="396" t="s">
        <v>2023</v>
      </c>
      <c r="D2532" s="405">
        <f t="shared" si="78"/>
        <v>76.05</v>
      </c>
      <c r="F2532" s="679">
        <v>76.05</v>
      </c>
      <c r="G2532" s="679">
        <v>76.05</v>
      </c>
      <c r="H2532" t="b">
        <f t="shared" si="79"/>
        <v>1</v>
      </c>
    </row>
    <row r="2533" spans="1:8" ht="30">
      <c r="A2533" s="395">
        <v>3744</v>
      </c>
      <c r="B2533" s="406" t="s">
        <v>11263</v>
      </c>
      <c r="C2533" s="395" t="s">
        <v>2023</v>
      </c>
      <c r="D2533" s="407">
        <f t="shared" si="78"/>
        <v>83.72</v>
      </c>
      <c r="F2533" s="680">
        <v>83.72</v>
      </c>
      <c r="G2533" s="680">
        <v>83.72</v>
      </c>
      <c r="H2533" t="b">
        <f t="shared" si="79"/>
        <v>1</v>
      </c>
    </row>
    <row r="2534" spans="1:8" ht="30">
      <c r="A2534" s="396">
        <v>3739</v>
      </c>
      <c r="B2534" s="401" t="s">
        <v>11264</v>
      </c>
      <c r="C2534" s="396" t="s">
        <v>2023</v>
      </c>
      <c r="D2534" s="405">
        <f t="shared" si="78"/>
        <v>87.97</v>
      </c>
      <c r="F2534" s="679">
        <v>87.97</v>
      </c>
      <c r="G2534" s="679">
        <v>87.97</v>
      </c>
      <c r="H2534" t="b">
        <f t="shared" si="79"/>
        <v>1</v>
      </c>
    </row>
    <row r="2535" spans="1:8" ht="30">
      <c r="A2535" s="395">
        <v>3737</v>
      </c>
      <c r="B2535" s="406" t="s">
        <v>11265</v>
      </c>
      <c r="C2535" s="395" t="s">
        <v>2023</v>
      </c>
      <c r="D2535" s="407">
        <f t="shared" si="78"/>
        <v>92.23</v>
      </c>
      <c r="F2535" s="680">
        <v>92.23</v>
      </c>
      <c r="G2535" s="680">
        <v>92.23</v>
      </c>
      <c r="H2535" t="b">
        <f t="shared" si="79"/>
        <v>1</v>
      </c>
    </row>
    <row r="2536" spans="1:8" ht="30">
      <c r="A2536" s="396">
        <v>3738</v>
      </c>
      <c r="B2536" s="401" t="s">
        <v>11266</v>
      </c>
      <c r="C2536" s="396" t="s">
        <v>2023</v>
      </c>
      <c r="D2536" s="405">
        <f t="shared" si="78"/>
        <v>106.42</v>
      </c>
      <c r="F2536" s="679">
        <v>106.42</v>
      </c>
      <c r="G2536" s="679">
        <v>106.42</v>
      </c>
      <c r="H2536" t="b">
        <f t="shared" si="79"/>
        <v>1</v>
      </c>
    </row>
    <row r="2537" spans="1:8" ht="30">
      <c r="A2537" s="395">
        <v>3747</v>
      </c>
      <c r="B2537" s="406" t="s">
        <v>11267</v>
      </c>
      <c r="C2537" s="395" t="s">
        <v>2023</v>
      </c>
      <c r="D2537" s="407">
        <f t="shared" si="78"/>
        <v>83.72</v>
      </c>
      <c r="F2537" s="680">
        <v>83.72</v>
      </c>
      <c r="G2537" s="680">
        <v>83.72</v>
      </c>
      <c r="H2537" t="b">
        <f t="shared" si="79"/>
        <v>1</v>
      </c>
    </row>
    <row r="2538" spans="1:8" ht="30">
      <c r="A2538" s="396">
        <v>11649</v>
      </c>
      <c r="B2538" s="401" t="s">
        <v>11268</v>
      </c>
      <c r="C2538" s="396" t="s">
        <v>2021</v>
      </c>
      <c r="D2538" s="405">
        <f t="shared" si="78"/>
        <v>607.32000000000005</v>
      </c>
      <c r="F2538" s="679">
        <v>607.32000000000005</v>
      </c>
      <c r="G2538" s="679">
        <v>607.32000000000005</v>
      </c>
      <c r="H2538" t="b">
        <f t="shared" si="79"/>
        <v>1</v>
      </c>
    </row>
    <row r="2539" spans="1:8" ht="30">
      <c r="A2539" s="395">
        <v>11650</v>
      </c>
      <c r="B2539" s="406" t="s">
        <v>11269</v>
      </c>
      <c r="C2539" s="395" t="s">
        <v>2021</v>
      </c>
      <c r="D2539" s="407">
        <f t="shared" si="78"/>
        <v>1035.1500000000001</v>
      </c>
      <c r="F2539" s="680">
        <v>1035.1500000000001</v>
      </c>
      <c r="G2539" s="680">
        <v>1035.1500000000001</v>
      </c>
      <c r="H2539" t="b">
        <f t="shared" si="79"/>
        <v>1</v>
      </c>
    </row>
    <row r="2540" spans="1:8" ht="30">
      <c r="A2540" s="396">
        <v>3742</v>
      </c>
      <c r="B2540" s="401" t="s">
        <v>11270</v>
      </c>
      <c r="C2540" s="396" t="s">
        <v>2023</v>
      </c>
      <c r="D2540" s="405">
        <f t="shared" si="78"/>
        <v>110.39</v>
      </c>
      <c r="F2540" s="679">
        <v>110.39</v>
      </c>
      <c r="G2540" s="679">
        <v>110.39</v>
      </c>
      <c r="H2540" t="b">
        <f t="shared" si="79"/>
        <v>1</v>
      </c>
    </row>
    <row r="2541" spans="1:8" ht="30">
      <c r="A2541" s="395">
        <v>3746</v>
      </c>
      <c r="B2541" s="406" t="s">
        <v>11271</v>
      </c>
      <c r="C2541" s="395" t="s">
        <v>2023</v>
      </c>
      <c r="D2541" s="407">
        <f t="shared" si="78"/>
        <v>128.9</v>
      </c>
      <c r="F2541" s="680">
        <v>128.9</v>
      </c>
      <c r="G2541" s="680">
        <v>128.9</v>
      </c>
      <c r="H2541" t="b">
        <f t="shared" si="79"/>
        <v>1</v>
      </c>
    </row>
    <row r="2542" spans="1:8" ht="30">
      <c r="A2542" s="396">
        <v>21106</v>
      </c>
      <c r="B2542" s="401" t="s">
        <v>11272</v>
      </c>
      <c r="C2542" s="396" t="s">
        <v>2025</v>
      </c>
      <c r="D2542" s="405">
        <f t="shared" si="78"/>
        <v>37.56</v>
      </c>
      <c r="F2542" s="679">
        <v>37.56</v>
      </c>
      <c r="G2542" s="679">
        <v>37.56</v>
      </c>
      <c r="H2542" t="b">
        <f t="shared" si="79"/>
        <v>1</v>
      </c>
    </row>
    <row r="2543" spans="1:8">
      <c r="A2543" s="395">
        <v>3755</v>
      </c>
      <c r="B2543" s="406" t="s">
        <v>11273</v>
      </c>
      <c r="C2543" s="395" t="s">
        <v>2021</v>
      </c>
      <c r="D2543" s="407">
        <f t="shared" si="78"/>
        <v>17.55</v>
      </c>
      <c r="F2543" s="680">
        <v>17.55</v>
      </c>
      <c r="G2543" s="680">
        <v>17.55</v>
      </c>
      <c r="H2543" t="b">
        <f t="shared" si="79"/>
        <v>1</v>
      </c>
    </row>
    <row r="2544" spans="1:8">
      <c r="A2544" s="396">
        <v>3750</v>
      </c>
      <c r="B2544" s="401" t="s">
        <v>11274</v>
      </c>
      <c r="C2544" s="396" t="s">
        <v>2021</v>
      </c>
      <c r="D2544" s="405">
        <f t="shared" si="78"/>
        <v>23.6</v>
      </c>
      <c r="F2544" s="679">
        <v>23.6</v>
      </c>
      <c r="G2544" s="679">
        <v>23.6</v>
      </c>
      <c r="H2544" t="b">
        <f t="shared" si="79"/>
        <v>1</v>
      </c>
    </row>
    <row r="2545" spans="1:8">
      <c r="A2545" s="395">
        <v>3756</v>
      </c>
      <c r="B2545" s="406" t="s">
        <v>11275</v>
      </c>
      <c r="C2545" s="395" t="s">
        <v>2021</v>
      </c>
      <c r="D2545" s="407">
        <f t="shared" si="78"/>
        <v>44.1</v>
      </c>
      <c r="F2545" s="680">
        <v>44.1</v>
      </c>
      <c r="G2545" s="680">
        <v>44.1</v>
      </c>
      <c r="H2545" t="b">
        <f t="shared" si="79"/>
        <v>1</v>
      </c>
    </row>
    <row r="2546" spans="1:8">
      <c r="A2546" s="396">
        <v>39377</v>
      </c>
      <c r="B2546" s="401" t="s">
        <v>11276</v>
      </c>
      <c r="C2546" s="396" t="s">
        <v>2021</v>
      </c>
      <c r="D2546" s="405">
        <f t="shared" si="78"/>
        <v>130.63999999999999</v>
      </c>
      <c r="F2546" s="679">
        <v>130.63999999999999</v>
      </c>
      <c r="G2546" s="679">
        <v>130.63999999999999</v>
      </c>
      <c r="H2546" t="b">
        <f t="shared" si="79"/>
        <v>1</v>
      </c>
    </row>
    <row r="2547" spans="1:8">
      <c r="A2547" s="395">
        <v>38191</v>
      </c>
      <c r="B2547" s="406" t="s">
        <v>11277</v>
      </c>
      <c r="C2547" s="395" t="s">
        <v>2021</v>
      </c>
      <c r="D2547" s="407">
        <f t="shared" si="78"/>
        <v>9.7200000000000006</v>
      </c>
      <c r="F2547" s="680">
        <v>9.7200000000000006</v>
      </c>
      <c r="G2547" s="680">
        <v>9.7200000000000006</v>
      </c>
      <c r="H2547" t="b">
        <f t="shared" si="79"/>
        <v>1</v>
      </c>
    </row>
    <row r="2548" spans="1:8">
      <c r="A2548" s="396">
        <v>39381</v>
      </c>
      <c r="B2548" s="401" t="s">
        <v>11278</v>
      </c>
      <c r="C2548" s="396" t="s">
        <v>2021</v>
      </c>
      <c r="D2548" s="405">
        <f t="shared" si="78"/>
        <v>9.07</v>
      </c>
      <c r="F2548" s="679">
        <v>9.07</v>
      </c>
      <c r="G2548" s="679">
        <v>9.07</v>
      </c>
      <c r="H2548" t="b">
        <f t="shared" si="79"/>
        <v>1</v>
      </c>
    </row>
    <row r="2549" spans="1:8">
      <c r="A2549" s="395">
        <v>38780</v>
      </c>
      <c r="B2549" s="406" t="s">
        <v>11279</v>
      </c>
      <c r="C2549" s="395" t="s">
        <v>2021</v>
      </c>
      <c r="D2549" s="407">
        <f t="shared" si="78"/>
        <v>11.1</v>
      </c>
      <c r="F2549" s="680">
        <v>11.1</v>
      </c>
      <c r="G2549" s="680">
        <v>11.1</v>
      </c>
      <c r="H2549" t="b">
        <f t="shared" si="79"/>
        <v>1</v>
      </c>
    </row>
    <row r="2550" spans="1:8">
      <c r="A2550" s="396">
        <v>38781</v>
      </c>
      <c r="B2550" s="401" t="s">
        <v>11280</v>
      </c>
      <c r="C2550" s="396" t="s">
        <v>2021</v>
      </c>
      <c r="D2550" s="405">
        <f t="shared" si="78"/>
        <v>37.47</v>
      </c>
      <c r="F2550" s="679">
        <v>37.47</v>
      </c>
      <c r="G2550" s="679">
        <v>37.47</v>
      </c>
      <c r="H2550" t="b">
        <f t="shared" si="79"/>
        <v>1</v>
      </c>
    </row>
    <row r="2551" spans="1:8">
      <c r="A2551" s="395">
        <v>38192</v>
      </c>
      <c r="B2551" s="406" t="s">
        <v>11281</v>
      </c>
      <c r="C2551" s="395" t="s">
        <v>2021</v>
      </c>
      <c r="D2551" s="407">
        <f t="shared" si="78"/>
        <v>67.8</v>
      </c>
      <c r="F2551" s="680">
        <v>67.8</v>
      </c>
      <c r="G2551" s="680">
        <v>67.8</v>
      </c>
      <c r="H2551" t="b">
        <f t="shared" si="79"/>
        <v>1</v>
      </c>
    </row>
    <row r="2552" spans="1:8">
      <c r="A2552" s="396">
        <v>3753</v>
      </c>
      <c r="B2552" s="401" t="s">
        <v>11282</v>
      </c>
      <c r="C2552" s="396" t="s">
        <v>2021</v>
      </c>
      <c r="D2552" s="405">
        <f t="shared" si="78"/>
        <v>5.93</v>
      </c>
      <c r="F2552" s="679">
        <v>5.93</v>
      </c>
      <c r="G2552" s="679">
        <v>5.93</v>
      </c>
      <c r="H2552" t="b">
        <f t="shared" si="79"/>
        <v>1</v>
      </c>
    </row>
    <row r="2553" spans="1:8">
      <c r="A2553" s="395">
        <v>38782</v>
      </c>
      <c r="B2553" s="406" t="s">
        <v>11283</v>
      </c>
      <c r="C2553" s="395" t="s">
        <v>2021</v>
      </c>
      <c r="D2553" s="407">
        <f t="shared" si="78"/>
        <v>7.72</v>
      </c>
      <c r="F2553" s="680">
        <v>7.72</v>
      </c>
      <c r="G2553" s="680">
        <v>7.72</v>
      </c>
      <c r="H2553" t="b">
        <f t="shared" si="79"/>
        <v>1</v>
      </c>
    </row>
    <row r="2554" spans="1:8">
      <c r="A2554" s="396">
        <v>38778</v>
      </c>
      <c r="B2554" s="401" t="s">
        <v>11284</v>
      </c>
      <c r="C2554" s="396" t="s">
        <v>2021</v>
      </c>
      <c r="D2554" s="405">
        <f t="shared" si="78"/>
        <v>5.8</v>
      </c>
      <c r="F2554" s="679">
        <v>5.8</v>
      </c>
      <c r="G2554" s="679">
        <v>5.8</v>
      </c>
      <c r="H2554" t="b">
        <f t="shared" si="79"/>
        <v>1</v>
      </c>
    </row>
    <row r="2555" spans="1:8">
      <c r="A2555" s="395">
        <v>38779</v>
      </c>
      <c r="B2555" s="406" t="s">
        <v>11285</v>
      </c>
      <c r="C2555" s="395" t="s">
        <v>2021</v>
      </c>
      <c r="D2555" s="407">
        <f t="shared" si="78"/>
        <v>6.15</v>
      </c>
      <c r="F2555" s="680">
        <v>6.15</v>
      </c>
      <c r="G2555" s="680">
        <v>6.15</v>
      </c>
      <c r="H2555" t="b">
        <f t="shared" si="79"/>
        <v>1</v>
      </c>
    </row>
    <row r="2556" spans="1:8">
      <c r="A2556" s="396">
        <v>39388</v>
      </c>
      <c r="B2556" s="401" t="s">
        <v>11286</v>
      </c>
      <c r="C2556" s="396" t="s">
        <v>2021</v>
      </c>
      <c r="D2556" s="405">
        <f t="shared" si="78"/>
        <v>8.1300000000000008</v>
      </c>
      <c r="F2556" s="679">
        <v>8.1300000000000008</v>
      </c>
      <c r="G2556" s="679">
        <v>8.1300000000000008</v>
      </c>
      <c r="H2556" t="b">
        <f t="shared" si="79"/>
        <v>1</v>
      </c>
    </row>
    <row r="2557" spans="1:8">
      <c r="A2557" s="395">
        <v>39387</v>
      </c>
      <c r="B2557" s="406" t="s">
        <v>11287</v>
      </c>
      <c r="C2557" s="395" t="s">
        <v>2021</v>
      </c>
      <c r="D2557" s="407">
        <f t="shared" si="78"/>
        <v>12.67</v>
      </c>
      <c r="F2557" s="680">
        <v>12.67</v>
      </c>
      <c r="G2557" s="680">
        <v>12.67</v>
      </c>
      <c r="H2557" t="b">
        <f t="shared" si="79"/>
        <v>1</v>
      </c>
    </row>
    <row r="2558" spans="1:8">
      <c r="A2558" s="396">
        <v>39386</v>
      </c>
      <c r="B2558" s="401" t="s">
        <v>11288</v>
      </c>
      <c r="C2558" s="396" t="s">
        <v>2021</v>
      </c>
      <c r="D2558" s="405">
        <f t="shared" si="78"/>
        <v>8.83</v>
      </c>
      <c r="F2558" s="679">
        <v>8.83</v>
      </c>
      <c r="G2558" s="679">
        <v>8.83</v>
      </c>
      <c r="H2558" t="b">
        <f t="shared" si="79"/>
        <v>1</v>
      </c>
    </row>
    <row r="2559" spans="1:8">
      <c r="A2559" s="395">
        <v>38194</v>
      </c>
      <c r="B2559" s="406" t="s">
        <v>11289</v>
      </c>
      <c r="C2559" s="395" t="s">
        <v>2021</v>
      </c>
      <c r="D2559" s="407">
        <f t="shared" si="78"/>
        <v>6.61</v>
      </c>
      <c r="F2559" s="680">
        <v>6.61</v>
      </c>
      <c r="G2559" s="680">
        <v>6.61</v>
      </c>
      <c r="H2559" t="b">
        <f t="shared" si="79"/>
        <v>1</v>
      </c>
    </row>
    <row r="2560" spans="1:8">
      <c r="A2560" s="396">
        <v>38193</v>
      </c>
      <c r="B2560" s="401" t="s">
        <v>11290</v>
      </c>
      <c r="C2560" s="396" t="s">
        <v>2021</v>
      </c>
      <c r="D2560" s="405">
        <f t="shared" si="78"/>
        <v>5.74</v>
      </c>
      <c r="F2560" s="679">
        <v>5.74</v>
      </c>
      <c r="G2560" s="679">
        <v>5.74</v>
      </c>
      <c r="H2560" t="b">
        <f t="shared" si="79"/>
        <v>1</v>
      </c>
    </row>
    <row r="2561" spans="1:8">
      <c r="A2561" s="395">
        <v>12216</v>
      </c>
      <c r="B2561" s="406" t="s">
        <v>11291</v>
      </c>
      <c r="C2561" s="395" t="s">
        <v>2021</v>
      </c>
      <c r="D2561" s="407">
        <f t="shared" si="78"/>
        <v>33.909999999999997</v>
      </c>
      <c r="F2561" s="680">
        <v>33.909999999999997</v>
      </c>
      <c r="G2561" s="680">
        <v>33.909999999999997</v>
      </c>
      <c r="H2561" t="b">
        <f t="shared" si="79"/>
        <v>1</v>
      </c>
    </row>
    <row r="2562" spans="1:8">
      <c r="A2562" s="396">
        <v>3757</v>
      </c>
      <c r="B2562" s="401" t="s">
        <v>11292</v>
      </c>
      <c r="C2562" s="396" t="s">
        <v>2021</v>
      </c>
      <c r="D2562" s="405">
        <f t="shared" si="78"/>
        <v>39.200000000000003</v>
      </c>
      <c r="F2562" s="679">
        <v>39.200000000000003</v>
      </c>
      <c r="G2562" s="679">
        <v>39.200000000000003</v>
      </c>
      <c r="H2562" t="b">
        <f t="shared" si="79"/>
        <v>1</v>
      </c>
    </row>
    <row r="2563" spans="1:8">
      <c r="A2563" s="395">
        <v>3758</v>
      </c>
      <c r="B2563" s="406" t="s">
        <v>11293</v>
      </c>
      <c r="C2563" s="395" t="s">
        <v>2021</v>
      </c>
      <c r="D2563" s="407">
        <f t="shared" ref="D2563:D2626" si="80">IF($J$2=$F$1,F2563,G2563)</f>
        <v>45.71</v>
      </c>
      <c r="F2563" s="680">
        <v>45.71</v>
      </c>
      <c r="G2563" s="680">
        <v>45.71</v>
      </c>
      <c r="H2563" t="b">
        <f t="shared" ref="H2563:H2626" si="81">F2563=G2563</f>
        <v>1</v>
      </c>
    </row>
    <row r="2564" spans="1:8">
      <c r="A2564" s="396">
        <v>12214</v>
      </c>
      <c r="B2564" s="401" t="s">
        <v>11294</v>
      </c>
      <c r="C2564" s="396" t="s">
        <v>2021</v>
      </c>
      <c r="D2564" s="405">
        <f t="shared" si="80"/>
        <v>15.65</v>
      </c>
      <c r="F2564" s="679">
        <v>15.65</v>
      </c>
      <c r="G2564" s="679">
        <v>15.65</v>
      </c>
      <c r="H2564" t="b">
        <f t="shared" si="81"/>
        <v>1</v>
      </c>
    </row>
    <row r="2565" spans="1:8">
      <c r="A2565" s="395">
        <v>3749</v>
      </c>
      <c r="B2565" s="406" t="s">
        <v>11295</v>
      </c>
      <c r="C2565" s="395" t="s">
        <v>2021</v>
      </c>
      <c r="D2565" s="407">
        <f t="shared" si="80"/>
        <v>27.9</v>
      </c>
      <c r="F2565" s="680">
        <v>27.9</v>
      </c>
      <c r="G2565" s="680">
        <v>27.9</v>
      </c>
      <c r="H2565" t="b">
        <f t="shared" si="81"/>
        <v>1</v>
      </c>
    </row>
    <row r="2566" spans="1:8">
      <c r="A2566" s="396">
        <v>3751</v>
      </c>
      <c r="B2566" s="401" t="s">
        <v>11296</v>
      </c>
      <c r="C2566" s="396" t="s">
        <v>2021</v>
      </c>
      <c r="D2566" s="405">
        <f t="shared" si="80"/>
        <v>38.07</v>
      </c>
      <c r="F2566" s="679">
        <v>38.07</v>
      </c>
      <c r="G2566" s="679">
        <v>38.07</v>
      </c>
      <c r="H2566" t="b">
        <f t="shared" si="81"/>
        <v>1</v>
      </c>
    </row>
    <row r="2567" spans="1:8">
      <c r="A2567" s="395">
        <v>39376</v>
      </c>
      <c r="B2567" s="406" t="s">
        <v>11297</v>
      </c>
      <c r="C2567" s="395" t="s">
        <v>2021</v>
      </c>
      <c r="D2567" s="407">
        <f t="shared" si="80"/>
        <v>32.1</v>
      </c>
      <c r="F2567" s="680">
        <v>32.1</v>
      </c>
      <c r="G2567" s="680">
        <v>32.1</v>
      </c>
      <c r="H2567" t="b">
        <f t="shared" si="81"/>
        <v>1</v>
      </c>
    </row>
    <row r="2568" spans="1:8">
      <c r="A2568" s="396">
        <v>3752</v>
      </c>
      <c r="B2568" s="401" t="s">
        <v>11298</v>
      </c>
      <c r="C2568" s="396" t="s">
        <v>2021</v>
      </c>
      <c r="D2568" s="405">
        <f t="shared" si="80"/>
        <v>62.81</v>
      </c>
      <c r="F2568" s="679">
        <v>62.81</v>
      </c>
      <c r="G2568" s="679">
        <v>62.81</v>
      </c>
      <c r="H2568" t="b">
        <f t="shared" si="81"/>
        <v>1</v>
      </c>
    </row>
    <row r="2569" spans="1:8" ht="30">
      <c r="A2569" s="395">
        <v>746</v>
      </c>
      <c r="B2569" s="406" t="s">
        <v>11299</v>
      </c>
      <c r="C2569" s="395" t="s">
        <v>2021</v>
      </c>
      <c r="D2569" s="407">
        <f t="shared" si="80"/>
        <v>3059</v>
      </c>
      <c r="F2569" s="680">
        <v>3059</v>
      </c>
      <c r="G2569" s="680">
        <v>3059</v>
      </c>
      <c r="H2569" t="b">
        <f t="shared" si="81"/>
        <v>1</v>
      </c>
    </row>
    <row r="2570" spans="1:8">
      <c r="A2570" s="396">
        <v>20269</v>
      </c>
      <c r="B2570" s="401" t="s">
        <v>11300</v>
      </c>
      <c r="C2570" s="396" t="s">
        <v>2021</v>
      </c>
      <c r="D2570" s="405">
        <f t="shared" si="80"/>
        <v>98.32</v>
      </c>
      <c r="F2570" s="679">
        <v>98.32</v>
      </c>
      <c r="G2570" s="679">
        <v>98.32</v>
      </c>
      <c r="H2570" t="b">
        <f t="shared" si="81"/>
        <v>1</v>
      </c>
    </row>
    <row r="2571" spans="1:8">
      <c r="A2571" s="395">
        <v>20270</v>
      </c>
      <c r="B2571" s="406" t="s">
        <v>11301</v>
      </c>
      <c r="C2571" s="395" t="s">
        <v>2021</v>
      </c>
      <c r="D2571" s="407">
        <f t="shared" si="80"/>
        <v>108.64</v>
      </c>
      <c r="F2571" s="680">
        <v>108.64</v>
      </c>
      <c r="G2571" s="680">
        <v>108.64</v>
      </c>
      <c r="H2571" t="b">
        <f t="shared" si="81"/>
        <v>1</v>
      </c>
    </row>
    <row r="2572" spans="1:8">
      <c r="A2572" s="396">
        <v>11696</v>
      </c>
      <c r="B2572" s="401" t="s">
        <v>11302</v>
      </c>
      <c r="C2572" s="396" t="s">
        <v>2021</v>
      </c>
      <c r="D2572" s="405">
        <f t="shared" si="80"/>
        <v>173.92</v>
      </c>
      <c r="F2572" s="679">
        <v>173.92</v>
      </c>
      <c r="G2572" s="679">
        <v>173.92</v>
      </c>
      <c r="H2572" t="b">
        <f t="shared" si="81"/>
        <v>1</v>
      </c>
    </row>
    <row r="2573" spans="1:8">
      <c r="A2573" s="395">
        <v>10427</v>
      </c>
      <c r="B2573" s="406" t="s">
        <v>11303</v>
      </c>
      <c r="C2573" s="395" t="s">
        <v>2021</v>
      </c>
      <c r="D2573" s="407">
        <f t="shared" si="80"/>
        <v>486.69</v>
      </c>
      <c r="F2573" s="680">
        <v>486.69</v>
      </c>
      <c r="G2573" s="680">
        <v>486.69</v>
      </c>
      <c r="H2573" t="b">
        <f t="shared" si="81"/>
        <v>1</v>
      </c>
    </row>
    <row r="2574" spans="1:8">
      <c r="A2574" s="396">
        <v>10428</v>
      </c>
      <c r="B2574" s="401" t="s">
        <v>11304</v>
      </c>
      <c r="C2574" s="396" t="s">
        <v>2021</v>
      </c>
      <c r="D2574" s="405">
        <f t="shared" si="80"/>
        <v>501.45</v>
      </c>
      <c r="F2574" s="679">
        <v>501.45</v>
      </c>
      <c r="G2574" s="679">
        <v>501.45</v>
      </c>
      <c r="H2574" t="b">
        <f t="shared" si="81"/>
        <v>1</v>
      </c>
    </row>
    <row r="2575" spans="1:8">
      <c r="A2575" s="395">
        <v>36521</v>
      </c>
      <c r="B2575" s="406" t="s">
        <v>11305</v>
      </c>
      <c r="C2575" s="395" t="s">
        <v>2021</v>
      </c>
      <c r="D2575" s="407">
        <f t="shared" si="80"/>
        <v>156.46</v>
      </c>
      <c r="F2575" s="680">
        <v>156.46</v>
      </c>
      <c r="G2575" s="680">
        <v>156.46</v>
      </c>
      <c r="H2575" t="b">
        <f t="shared" si="81"/>
        <v>1</v>
      </c>
    </row>
    <row r="2576" spans="1:8">
      <c r="A2576" s="396">
        <v>36794</v>
      </c>
      <c r="B2576" s="401" t="s">
        <v>11306</v>
      </c>
      <c r="C2576" s="396" t="s">
        <v>2021</v>
      </c>
      <c r="D2576" s="405">
        <f t="shared" si="80"/>
        <v>166.56</v>
      </c>
      <c r="F2576" s="679">
        <v>166.56</v>
      </c>
      <c r="G2576" s="679">
        <v>166.56</v>
      </c>
      <c r="H2576" t="b">
        <f t="shared" si="81"/>
        <v>1</v>
      </c>
    </row>
    <row r="2577" spans="1:8">
      <c r="A2577" s="395">
        <v>10426</v>
      </c>
      <c r="B2577" s="406" t="s">
        <v>11307</v>
      </c>
      <c r="C2577" s="395" t="s">
        <v>2021</v>
      </c>
      <c r="D2577" s="407">
        <f t="shared" si="80"/>
        <v>186.51</v>
      </c>
      <c r="F2577" s="680">
        <v>186.51</v>
      </c>
      <c r="G2577" s="680">
        <v>186.51</v>
      </c>
      <c r="H2577" t="b">
        <f t="shared" si="81"/>
        <v>1</v>
      </c>
    </row>
    <row r="2578" spans="1:8">
      <c r="A2578" s="396">
        <v>10425</v>
      </c>
      <c r="B2578" s="401" t="s">
        <v>11308</v>
      </c>
      <c r="C2578" s="396" t="s">
        <v>2021</v>
      </c>
      <c r="D2578" s="405">
        <f t="shared" si="80"/>
        <v>94.62</v>
      </c>
      <c r="F2578" s="679">
        <v>94.62</v>
      </c>
      <c r="G2578" s="679">
        <v>94.62</v>
      </c>
      <c r="H2578" t="b">
        <f t="shared" si="81"/>
        <v>1</v>
      </c>
    </row>
    <row r="2579" spans="1:8">
      <c r="A2579" s="395">
        <v>10431</v>
      </c>
      <c r="B2579" s="406" t="s">
        <v>11309</v>
      </c>
      <c r="C2579" s="395" t="s">
        <v>2021</v>
      </c>
      <c r="D2579" s="407">
        <f t="shared" si="80"/>
        <v>323.95</v>
      </c>
      <c r="F2579" s="680">
        <v>323.95</v>
      </c>
      <c r="G2579" s="680">
        <v>323.95</v>
      </c>
      <c r="H2579" t="b">
        <f t="shared" si="81"/>
        <v>1</v>
      </c>
    </row>
    <row r="2580" spans="1:8">
      <c r="A2580" s="396">
        <v>10429</v>
      </c>
      <c r="B2580" s="401" t="s">
        <v>11310</v>
      </c>
      <c r="C2580" s="396" t="s">
        <v>2021</v>
      </c>
      <c r="D2580" s="405">
        <f t="shared" si="80"/>
        <v>159.81</v>
      </c>
      <c r="F2580" s="679">
        <v>159.81</v>
      </c>
      <c r="G2580" s="679">
        <v>159.81</v>
      </c>
      <c r="H2580" t="b">
        <f t="shared" si="81"/>
        <v>1</v>
      </c>
    </row>
    <row r="2581" spans="1:8">
      <c r="A2581" s="395">
        <v>2354</v>
      </c>
      <c r="B2581" s="406" t="s">
        <v>11311</v>
      </c>
      <c r="C2581" s="395" t="s">
        <v>2020</v>
      </c>
      <c r="D2581" s="407">
        <f t="shared" si="80"/>
        <v>12.99</v>
      </c>
      <c r="F2581" s="680">
        <v>12.99</v>
      </c>
      <c r="G2581" s="680">
        <v>14.94</v>
      </c>
      <c r="H2581" t="b">
        <f t="shared" si="81"/>
        <v>0</v>
      </c>
    </row>
    <row r="2582" spans="1:8">
      <c r="A2582" s="396">
        <v>40932</v>
      </c>
      <c r="B2582" s="401" t="s">
        <v>11312</v>
      </c>
      <c r="C2582" s="396" t="s">
        <v>2027</v>
      </c>
      <c r="D2582" s="405">
        <f t="shared" si="80"/>
        <v>2289.6799999999998</v>
      </c>
      <c r="F2582" s="679">
        <v>2289.6799999999998</v>
      </c>
      <c r="G2582" s="679">
        <v>2637.58</v>
      </c>
      <c r="H2582" t="b">
        <f t="shared" si="81"/>
        <v>0</v>
      </c>
    </row>
    <row r="2583" spans="1:8">
      <c r="A2583" s="395">
        <v>10853</v>
      </c>
      <c r="B2583" s="406" t="s">
        <v>11313</v>
      </c>
      <c r="C2583" s="395" t="s">
        <v>2021</v>
      </c>
      <c r="D2583" s="407">
        <f t="shared" si="80"/>
        <v>123.62</v>
      </c>
      <c r="F2583" s="680">
        <v>123.62</v>
      </c>
      <c r="G2583" s="680">
        <v>123.62</v>
      </c>
      <c r="H2583" t="b">
        <f t="shared" si="81"/>
        <v>1</v>
      </c>
    </row>
    <row r="2584" spans="1:8">
      <c r="A2584" s="396">
        <v>5093</v>
      </c>
      <c r="B2584" s="401" t="s">
        <v>11314</v>
      </c>
      <c r="C2584" s="396" t="s">
        <v>2028</v>
      </c>
      <c r="D2584" s="405">
        <f t="shared" si="80"/>
        <v>19.73</v>
      </c>
      <c r="F2584" s="679">
        <v>19.73</v>
      </c>
      <c r="G2584" s="679">
        <v>19.73</v>
      </c>
      <c r="H2584" t="b">
        <f t="shared" si="81"/>
        <v>1</v>
      </c>
    </row>
    <row r="2585" spans="1:8">
      <c r="A2585" s="395">
        <v>44331</v>
      </c>
      <c r="B2585" s="406" t="s">
        <v>11315</v>
      </c>
      <c r="C2585" s="395" t="s">
        <v>2026</v>
      </c>
      <c r="D2585" s="407">
        <f t="shared" si="80"/>
        <v>44.34</v>
      </c>
      <c r="F2585" s="680">
        <v>44.34</v>
      </c>
      <c r="G2585" s="680">
        <v>44.34</v>
      </c>
      <c r="H2585" t="b">
        <f t="shared" si="81"/>
        <v>1</v>
      </c>
    </row>
    <row r="2586" spans="1:8" ht="30">
      <c r="A2586" s="396">
        <v>37768</v>
      </c>
      <c r="B2586" s="401" t="s">
        <v>11316</v>
      </c>
      <c r="C2586" s="396" t="s">
        <v>2021</v>
      </c>
      <c r="D2586" s="405">
        <f t="shared" si="80"/>
        <v>235000</v>
      </c>
      <c r="F2586" s="679">
        <v>235000</v>
      </c>
      <c r="G2586" s="679">
        <v>235000</v>
      </c>
      <c r="H2586" t="b">
        <f t="shared" si="81"/>
        <v>1</v>
      </c>
    </row>
    <row r="2587" spans="1:8">
      <c r="A2587" s="395">
        <v>37773</v>
      </c>
      <c r="B2587" s="406" t="s">
        <v>11317</v>
      </c>
      <c r="C2587" s="395" t="s">
        <v>2021</v>
      </c>
      <c r="D2587" s="407">
        <f t="shared" si="80"/>
        <v>199554.62</v>
      </c>
      <c r="F2587" s="680">
        <v>199554.62</v>
      </c>
      <c r="G2587" s="680">
        <v>199554.62</v>
      </c>
      <c r="H2587" t="b">
        <f t="shared" si="81"/>
        <v>1</v>
      </c>
    </row>
    <row r="2588" spans="1:8">
      <c r="A2588" s="396">
        <v>37769</v>
      </c>
      <c r="B2588" s="401" t="s">
        <v>11318</v>
      </c>
      <c r="C2588" s="396" t="s">
        <v>2021</v>
      </c>
      <c r="D2588" s="405">
        <f t="shared" si="80"/>
        <v>334079.57</v>
      </c>
      <c r="F2588" s="679">
        <v>334079.57</v>
      </c>
      <c r="G2588" s="679">
        <v>334079.57</v>
      </c>
      <c r="H2588" t="b">
        <f t="shared" si="81"/>
        <v>1</v>
      </c>
    </row>
    <row r="2589" spans="1:8">
      <c r="A2589" s="395">
        <v>37770</v>
      </c>
      <c r="B2589" s="406" t="s">
        <v>11319</v>
      </c>
      <c r="C2589" s="395" t="s">
        <v>2021</v>
      </c>
      <c r="D2589" s="407">
        <f t="shared" si="80"/>
        <v>566986.32999999996</v>
      </c>
      <c r="F2589" s="680">
        <v>566986.32999999996</v>
      </c>
      <c r="G2589" s="680">
        <v>566986.32999999996</v>
      </c>
      <c r="H2589" t="b">
        <f t="shared" si="81"/>
        <v>1</v>
      </c>
    </row>
    <row r="2590" spans="1:8">
      <c r="A2590" s="396">
        <v>38382</v>
      </c>
      <c r="B2590" s="401" t="s">
        <v>11320</v>
      </c>
      <c r="C2590" s="396" t="s">
        <v>2021</v>
      </c>
      <c r="D2590" s="405">
        <f t="shared" si="80"/>
        <v>14.42</v>
      </c>
      <c r="F2590" s="679">
        <v>14.42</v>
      </c>
      <c r="G2590" s="679">
        <v>14.42</v>
      </c>
      <c r="H2590" t="b">
        <f t="shared" si="81"/>
        <v>1</v>
      </c>
    </row>
    <row r="2591" spans="1:8">
      <c r="A2591" s="395">
        <v>38383</v>
      </c>
      <c r="B2591" s="406" t="s">
        <v>11321</v>
      </c>
      <c r="C2591" s="395" t="s">
        <v>2021</v>
      </c>
      <c r="D2591" s="407">
        <f t="shared" si="80"/>
        <v>2.7</v>
      </c>
      <c r="F2591" s="680">
        <v>2.7</v>
      </c>
      <c r="G2591" s="680">
        <v>2.7</v>
      </c>
      <c r="H2591" t="b">
        <f t="shared" si="81"/>
        <v>1</v>
      </c>
    </row>
    <row r="2592" spans="1:8">
      <c r="A2592" s="396">
        <v>3768</v>
      </c>
      <c r="B2592" s="401" t="s">
        <v>11322</v>
      </c>
      <c r="C2592" s="396" t="s">
        <v>2021</v>
      </c>
      <c r="D2592" s="405">
        <f t="shared" si="80"/>
        <v>4.34</v>
      </c>
      <c r="F2592" s="679">
        <v>4.34</v>
      </c>
      <c r="G2592" s="679">
        <v>4.34</v>
      </c>
      <c r="H2592" t="b">
        <f t="shared" si="81"/>
        <v>1</v>
      </c>
    </row>
    <row r="2593" spans="1:8">
      <c r="A2593" s="395">
        <v>3767</v>
      </c>
      <c r="B2593" s="406" t="s">
        <v>11323</v>
      </c>
      <c r="C2593" s="395" t="s">
        <v>2021</v>
      </c>
      <c r="D2593" s="407">
        <f t="shared" si="80"/>
        <v>1.45</v>
      </c>
      <c r="F2593" s="680">
        <v>1.45</v>
      </c>
      <c r="G2593" s="680">
        <v>1.45</v>
      </c>
      <c r="H2593" t="b">
        <f t="shared" si="81"/>
        <v>1</v>
      </c>
    </row>
    <row r="2594" spans="1:8">
      <c r="A2594" s="396">
        <v>13192</v>
      </c>
      <c r="B2594" s="401" t="s">
        <v>11324</v>
      </c>
      <c r="C2594" s="396" t="s">
        <v>2021</v>
      </c>
      <c r="D2594" s="405">
        <f t="shared" si="80"/>
        <v>6589.2</v>
      </c>
      <c r="F2594" s="679">
        <v>6589.2</v>
      </c>
      <c r="G2594" s="679">
        <v>6589.2</v>
      </c>
      <c r="H2594" t="b">
        <f t="shared" si="81"/>
        <v>1</v>
      </c>
    </row>
    <row r="2595" spans="1:8">
      <c r="A2595" s="395">
        <v>38413</v>
      </c>
      <c r="B2595" s="406" t="s">
        <v>11325</v>
      </c>
      <c r="C2595" s="395" t="s">
        <v>2021</v>
      </c>
      <c r="D2595" s="407">
        <f t="shared" si="80"/>
        <v>1089.76</v>
      </c>
      <c r="F2595" s="680">
        <v>1089.76</v>
      </c>
      <c r="G2595" s="680">
        <v>1089.76</v>
      </c>
      <c r="H2595" t="b">
        <f t="shared" si="81"/>
        <v>1</v>
      </c>
    </row>
    <row r="2596" spans="1:8" ht="30">
      <c r="A2596" s="396">
        <v>42440</v>
      </c>
      <c r="B2596" s="401" t="s">
        <v>11326</v>
      </c>
      <c r="C2596" s="396" t="s">
        <v>2021</v>
      </c>
      <c r="D2596" s="405">
        <f t="shared" si="80"/>
        <v>1225.03</v>
      </c>
      <c r="F2596" s="679">
        <v>1225.03</v>
      </c>
      <c r="G2596" s="679">
        <v>1225.03</v>
      </c>
      <c r="H2596" t="b">
        <f t="shared" si="81"/>
        <v>1</v>
      </c>
    </row>
    <row r="2597" spans="1:8" ht="30">
      <c r="A2597" s="395">
        <v>20193</v>
      </c>
      <c r="B2597" s="406" t="s">
        <v>11327</v>
      </c>
      <c r="C2597" s="395" t="s">
        <v>2937</v>
      </c>
      <c r="D2597" s="407">
        <f t="shared" si="80"/>
        <v>10.33</v>
      </c>
      <c r="F2597" s="680">
        <v>10.33</v>
      </c>
      <c r="G2597" s="680">
        <v>10.33</v>
      </c>
      <c r="H2597" t="b">
        <f t="shared" si="81"/>
        <v>1</v>
      </c>
    </row>
    <row r="2598" spans="1:8" ht="45">
      <c r="A2598" s="396">
        <v>10527</v>
      </c>
      <c r="B2598" s="401" t="s">
        <v>11328</v>
      </c>
      <c r="C2598" s="396" t="s">
        <v>2938</v>
      </c>
      <c r="D2598" s="405">
        <f t="shared" si="80"/>
        <v>31</v>
      </c>
      <c r="F2598" s="679">
        <v>31</v>
      </c>
      <c r="G2598" s="679">
        <v>31</v>
      </c>
      <c r="H2598" t="b">
        <f t="shared" si="81"/>
        <v>1</v>
      </c>
    </row>
    <row r="2599" spans="1:8" ht="30">
      <c r="A2599" s="395">
        <v>41805</v>
      </c>
      <c r="B2599" s="406" t="s">
        <v>11329</v>
      </c>
      <c r="C2599" s="395" t="s">
        <v>2027</v>
      </c>
      <c r="D2599" s="407">
        <f t="shared" si="80"/>
        <v>620</v>
      </c>
      <c r="F2599" s="680">
        <v>620</v>
      </c>
      <c r="G2599" s="680">
        <v>620</v>
      </c>
      <c r="H2599" t="b">
        <f t="shared" si="81"/>
        <v>1</v>
      </c>
    </row>
    <row r="2600" spans="1:8">
      <c r="A2600" s="396">
        <v>40271</v>
      </c>
      <c r="B2600" s="401" t="s">
        <v>11330</v>
      </c>
      <c r="C2600" s="396" t="s">
        <v>2027</v>
      </c>
      <c r="D2600" s="405">
        <f t="shared" si="80"/>
        <v>20.149999999999999</v>
      </c>
      <c r="F2600" s="679">
        <v>20.149999999999999</v>
      </c>
      <c r="G2600" s="679">
        <v>20.149999999999999</v>
      </c>
      <c r="H2600" t="b">
        <f t="shared" si="81"/>
        <v>1</v>
      </c>
    </row>
    <row r="2601" spans="1:8">
      <c r="A2601" s="395">
        <v>40287</v>
      </c>
      <c r="B2601" s="406" t="s">
        <v>11331</v>
      </c>
      <c r="C2601" s="395" t="s">
        <v>2027</v>
      </c>
      <c r="D2601" s="407">
        <f t="shared" si="80"/>
        <v>7.75</v>
      </c>
      <c r="F2601" s="680">
        <v>7.75</v>
      </c>
      <c r="G2601" s="680">
        <v>7.75</v>
      </c>
      <c r="H2601" t="b">
        <f t="shared" si="81"/>
        <v>1</v>
      </c>
    </row>
    <row r="2602" spans="1:8" ht="45">
      <c r="A2602" s="396">
        <v>4084</v>
      </c>
      <c r="B2602" s="401" t="s">
        <v>11332</v>
      </c>
      <c r="C2602" s="396" t="s">
        <v>2020</v>
      </c>
      <c r="D2602" s="405">
        <f t="shared" si="80"/>
        <v>2.81</v>
      </c>
      <c r="F2602" s="679">
        <v>2.81</v>
      </c>
      <c r="G2602" s="679">
        <v>2.81</v>
      </c>
      <c r="H2602" t="b">
        <f t="shared" si="81"/>
        <v>1</v>
      </c>
    </row>
    <row r="2603" spans="1:8" ht="45">
      <c r="A2603" s="395">
        <v>743</v>
      </c>
      <c r="B2603" s="406" t="s">
        <v>11333</v>
      </c>
      <c r="C2603" s="395" t="s">
        <v>2020</v>
      </c>
      <c r="D2603" s="407">
        <f t="shared" si="80"/>
        <v>2.81</v>
      </c>
      <c r="F2603" s="680">
        <v>2.81</v>
      </c>
      <c r="G2603" s="680">
        <v>2.81</v>
      </c>
      <c r="H2603" t="b">
        <f t="shared" si="81"/>
        <v>1</v>
      </c>
    </row>
    <row r="2604" spans="1:8" ht="45">
      <c r="A2604" s="396">
        <v>40293</v>
      </c>
      <c r="B2604" s="401" t="s">
        <v>11334</v>
      </c>
      <c r="C2604" s="396" t="s">
        <v>2020</v>
      </c>
      <c r="D2604" s="405">
        <f t="shared" si="80"/>
        <v>3.37</v>
      </c>
      <c r="F2604" s="679">
        <v>3.37</v>
      </c>
      <c r="G2604" s="679">
        <v>3.37</v>
      </c>
      <c r="H2604" t="b">
        <f t="shared" si="81"/>
        <v>1</v>
      </c>
    </row>
    <row r="2605" spans="1:8" ht="45">
      <c r="A2605" s="395">
        <v>40294</v>
      </c>
      <c r="B2605" s="406" t="s">
        <v>11335</v>
      </c>
      <c r="C2605" s="395" t="s">
        <v>2020</v>
      </c>
      <c r="D2605" s="407">
        <f t="shared" si="80"/>
        <v>2.81</v>
      </c>
      <c r="F2605" s="680">
        <v>2.81</v>
      </c>
      <c r="G2605" s="680">
        <v>2.81</v>
      </c>
      <c r="H2605" t="b">
        <f t="shared" si="81"/>
        <v>1</v>
      </c>
    </row>
    <row r="2606" spans="1:8" ht="45">
      <c r="A2606" s="396">
        <v>4085</v>
      </c>
      <c r="B2606" s="401" t="s">
        <v>11336</v>
      </c>
      <c r="C2606" s="396" t="s">
        <v>2020</v>
      </c>
      <c r="D2606" s="405">
        <f t="shared" si="80"/>
        <v>3.93</v>
      </c>
      <c r="F2606" s="679">
        <v>3.93</v>
      </c>
      <c r="G2606" s="679">
        <v>3.93</v>
      </c>
      <c r="H2606" t="b">
        <f t="shared" si="81"/>
        <v>1</v>
      </c>
    </row>
    <row r="2607" spans="1:8" ht="30">
      <c r="A2607" s="395">
        <v>10779</v>
      </c>
      <c r="B2607" s="406" t="s">
        <v>11337</v>
      </c>
      <c r="C2607" s="395" t="s">
        <v>2027</v>
      </c>
      <c r="D2607" s="407">
        <f t="shared" si="80"/>
        <v>991.25</v>
      </c>
      <c r="F2607" s="680">
        <v>991.25</v>
      </c>
      <c r="G2607" s="680">
        <v>991.25</v>
      </c>
      <c r="H2607" t="b">
        <f t="shared" si="81"/>
        <v>1</v>
      </c>
    </row>
    <row r="2608" spans="1:8" ht="30">
      <c r="A2608" s="396">
        <v>10777</v>
      </c>
      <c r="B2608" s="401" t="s">
        <v>11338</v>
      </c>
      <c r="C2608" s="396" t="s">
        <v>2027</v>
      </c>
      <c r="D2608" s="405">
        <f t="shared" si="80"/>
        <v>900.38</v>
      </c>
      <c r="F2608" s="679">
        <v>900.38</v>
      </c>
      <c r="G2608" s="679">
        <v>900.38</v>
      </c>
      <c r="H2608" t="b">
        <f t="shared" si="81"/>
        <v>1</v>
      </c>
    </row>
    <row r="2609" spans="1:8" ht="30">
      <c r="A2609" s="395">
        <v>10775</v>
      </c>
      <c r="B2609" s="406" t="s">
        <v>11339</v>
      </c>
      <c r="C2609" s="395" t="s">
        <v>2027</v>
      </c>
      <c r="D2609" s="407">
        <f t="shared" si="80"/>
        <v>793</v>
      </c>
      <c r="F2609" s="680">
        <v>793</v>
      </c>
      <c r="G2609" s="680">
        <v>793</v>
      </c>
      <c r="H2609" t="b">
        <f t="shared" si="81"/>
        <v>1</v>
      </c>
    </row>
    <row r="2610" spans="1:8" ht="30">
      <c r="A2610" s="396">
        <v>10776</v>
      </c>
      <c r="B2610" s="401" t="s">
        <v>11340</v>
      </c>
      <c r="C2610" s="396" t="s">
        <v>2027</v>
      </c>
      <c r="D2610" s="405">
        <f t="shared" si="80"/>
        <v>619.53</v>
      </c>
      <c r="F2610" s="679">
        <v>619.53</v>
      </c>
      <c r="G2610" s="679">
        <v>619.53</v>
      </c>
      <c r="H2610" t="b">
        <f t="shared" si="81"/>
        <v>1</v>
      </c>
    </row>
    <row r="2611" spans="1:8" ht="30">
      <c r="A2611" s="395">
        <v>10778</v>
      </c>
      <c r="B2611" s="406" t="s">
        <v>11341</v>
      </c>
      <c r="C2611" s="395" t="s">
        <v>2027</v>
      </c>
      <c r="D2611" s="407">
        <f t="shared" si="80"/>
        <v>991.25</v>
      </c>
      <c r="F2611" s="680">
        <v>991.25</v>
      </c>
      <c r="G2611" s="680">
        <v>991.25</v>
      </c>
      <c r="H2611" t="b">
        <f t="shared" si="81"/>
        <v>1</v>
      </c>
    </row>
    <row r="2612" spans="1:8">
      <c r="A2612" s="396">
        <v>40339</v>
      </c>
      <c r="B2612" s="401" t="s">
        <v>11342</v>
      </c>
      <c r="C2612" s="396" t="s">
        <v>2027</v>
      </c>
      <c r="D2612" s="405">
        <f t="shared" si="80"/>
        <v>7.75</v>
      </c>
      <c r="F2612" s="679">
        <v>7.75</v>
      </c>
      <c r="G2612" s="679">
        <v>7.75</v>
      </c>
      <c r="H2612" t="b">
        <f t="shared" si="81"/>
        <v>1</v>
      </c>
    </row>
    <row r="2613" spans="1:8" ht="30">
      <c r="A2613" s="395">
        <v>10749</v>
      </c>
      <c r="B2613" s="406" t="s">
        <v>11343</v>
      </c>
      <c r="C2613" s="395" t="s">
        <v>2027</v>
      </c>
      <c r="D2613" s="407">
        <f t="shared" si="80"/>
        <v>14.2</v>
      </c>
      <c r="F2613" s="680">
        <v>14.2</v>
      </c>
      <c r="G2613" s="680">
        <v>14.2</v>
      </c>
      <c r="H2613" t="b">
        <f t="shared" si="81"/>
        <v>1</v>
      </c>
    </row>
    <row r="2614" spans="1:8">
      <c r="A2614" s="396">
        <v>40290</v>
      </c>
      <c r="B2614" s="401" t="s">
        <v>11344</v>
      </c>
      <c r="C2614" s="396" t="s">
        <v>11345</v>
      </c>
      <c r="D2614" s="405">
        <f t="shared" si="80"/>
        <v>20.46</v>
      </c>
      <c r="F2614" s="679">
        <v>20.46</v>
      </c>
      <c r="G2614" s="679">
        <v>20.46</v>
      </c>
      <c r="H2614" t="b">
        <f t="shared" si="81"/>
        <v>1</v>
      </c>
    </row>
    <row r="2615" spans="1:8">
      <c r="A2615" s="395">
        <v>3346</v>
      </c>
      <c r="B2615" s="406" t="s">
        <v>11346</v>
      </c>
      <c r="C2615" s="395" t="s">
        <v>2020</v>
      </c>
      <c r="D2615" s="407">
        <f t="shared" si="80"/>
        <v>17.329999999999998</v>
      </c>
      <c r="F2615" s="680">
        <v>17.329999999999998</v>
      </c>
      <c r="G2615" s="680">
        <v>17.329999999999998</v>
      </c>
      <c r="H2615" t="b">
        <f t="shared" si="81"/>
        <v>1</v>
      </c>
    </row>
    <row r="2616" spans="1:8">
      <c r="A2616" s="396">
        <v>3348</v>
      </c>
      <c r="B2616" s="401" t="s">
        <v>11347</v>
      </c>
      <c r="C2616" s="396" t="s">
        <v>2020</v>
      </c>
      <c r="D2616" s="405">
        <f t="shared" si="80"/>
        <v>20.73</v>
      </c>
      <c r="F2616" s="679">
        <v>20.73</v>
      </c>
      <c r="G2616" s="679">
        <v>20.73</v>
      </c>
      <c r="H2616" t="b">
        <f t="shared" si="81"/>
        <v>1</v>
      </c>
    </row>
    <row r="2617" spans="1:8">
      <c r="A2617" s="395">
        <v>39833</v>
      </c>
      <c r="B2617" s="406" t="s">
        <v>11348</v>
      </c>
      <c r="C2617" s="395" t="s">
        <v>2020</v>
      </c>
      <c r="D2617" s="407">
        <f t="shared" si="80"/>
        <v>28.39</v>
      </c>
      <c r="F2617" s="680">
        <v>28.39</v>
      </c>
      <c r="G2617" s="680">
        <v>28.39</v>
      </c>
      <c r="H2617" t="b">
        <f t="shared" si="81"/>
        <v>1</v>
      </c>
    </row>
    <row r="2618" spans="1:8">
      <c r="A2618" s="396">
        <v>7252</v>
      </c>
      <c r="B2618" s="401" t="s">
        <v>11349</v>
      </c>
      <c r="C2618" s="396" t="s">
        <v>2020</v>
      </c>
      <c r="D2618" s="405">
        <f t="shared" si="80"/>
        <v>2.25</v>
      </c>
      <c r="F2618" s="679">
        <v>2.25</v>
      </c>
      <c r="G2618" s="679">
        <v>2.25</v>
      </c>
      <c r="H2618" t="b">
        <f t="shared" si="81"/>
        <v>1</v>
      </c>
    </row>
    <row r="2619" spans="1:8">
      <c r="A2619" s="395">
        <v>7247</v>
      </c>
      <c r="B2619" s="406" t="s">
        <v>11350</v>
      </c>
      <c r="C2619" s="395" t="s">
        <v>2020</v>
      </c>
      <c r="D2619" s="407">
        <f t="shared" si="80"/>
        <v>2.25</v>
      </c>
      <c r="F2619" s="680">
        <v>2.25</v>
      </c>
      <c r="G2619" s="680">
        <v>2.25</v>
      </c>
      <c r="H2619" t="b">
        <f t="shared" si="81"/>
        <v>1</v>
      </c>
    </row>
    <row r="2620" spans="1:8" ht="30">
      <c r="A2620" s="396">
        <v>40291</v>
      </c>
      <c r="B2620" s="401" t="s">
        <v>11351</v>
      </c>
      <c r="C2620" s="396" t="s">
        <v>2027</v>
      </c>
      <c r="D2620" s="405">
        <f t="shared" si="80"/>
        <v>1081.4100000000001</v>
      </c>
      <c r="F2620" s="679">
        <v>1081.4100000000001</v>
      </c>
      <c r="G2620" s="679">
        <v>1081.4100000000001</v>
      </c>
      <c r="H2620" t="b">
        <f t="shared" si="81"/>
        <v>1</v>
      </c>
    </row>
    <row r="2621" spans="1:8" ht="30">
      <c r="A2621" s="395">
        <v>40275</v>
      </c>
      <c r="B2621" s="406" t="s">
        <v>11352</v>
      </c>
      <c r="C2621" s="395" t="s">
        <v>2027</v>
      </c>
      <c r="D2621" s="407">
        <f t="shared" si="80"/>
        <v>31</v>
      </c>
      <c r="F2621" s="680">
        <v>31</v>
      </c>
      <c r="G2621" s="680">
        <v>31</v>
      </c>
      <c r="H2621" t="b">
        <f t="shared" si="81"/>
        <v>1</v>
      </c>
    </row>
    <row r="2622" spans="1:8">
      <c r="A2622" s="396">
        <v>42408</v>
      </c>
      <c r="B2622" s="401" t="s">
        <v>11353</v>
      </c>
      <c r="C2622" s="396" t="s">
        <v>2023</v>
      </c>
      <c r="D2622" s="405">
        <f t="shared" si="80"/>
        <v>1.63</v>
      </c>
      <c r="F2622" s="679">
        <v>1.63</v>
      </c>
      <c r="G2622" s="679">
        <v>1.63</v>
      </c>
      <c r="H2622" t="b">
        <f t="shared" si="81"/>
        <v>1</v>
      </c>
    </row>
    <row r="2623" spans="1:8">
      <c r="A2623" s="395">
        <v>3777</v>
      </c>
      <c r="B2623" s="406" t="s">
        <v>11354</v>
      </c>
      <c r="C2623" s="395" t="s">
        <v>2023</v>
      </c>
      <c r="D2623" s="407">
        <f t="shared" si="80"/>
        <v>1.18</v>
      </c>
      <c r="F2623" s="680">
        <v>1.18</v>
      </c>
      <c r="G2623" s="680">
        <v>1.18</v>
      </c>
      <c r="H2623" t="b">
        <f t="shared" si="81"/>
        <v>1</v>
      </c>
    </row>
    <row r="2624" spans="1:8">
      <c r="A2624" s="396">
        <v>3798</v>
      </c>
      <c r="B2624" s="401" t="s">
        <v>11355</v>
      </c>
      <c r="C2624" s="396" t="s">
        <v>2021</v>
      </c>
      <c r="D2624" s="405">
        <f t="shared" si="80"/>
        <v>85.08</v>
      </c>
      <c r="F2624" s="679">
        <v>85.08</v>
      </c>
      <c r="G2624" s="679">
        <v>85.08</v>
      </c>
      <c r="H2624" t="b">
        <f t="shared" si="81"/>
        <v>1</v>
      </c>
    </row>
    <row r="2625" spans="1:8" ht="30">
      <c r="A2625" s="395">
        <v>38769</v>
      </c>
      <c r="B2625" s="406" t="s">
        <v>11356</v>
      </c>
      <c r="C2625" s="395" t="s">
        <v>2021</v>
      </c>
      <c r="D2625" s="407">
        <f t="shared" si="80"/>
        <v>66.44</v>
      </c>
      <c r="F2625" s="680">
        <v>66.44</v>
      </c>
      <c r="G2625" s="680">
        <v>66.44</v>
      </c>
      <c r="H2625" t="b">
        <f t="shared" si="81"/>
        <v>1</v>
      </c>
    </row>
    <row r="2626" spans="1:8" ht="30">
      <c r="A2626" s="396">
        <v>39510</v>
      </c>
      <c r="B2626" s="401" t="s">
        <v>11357</v>
      </c>
      <c r="C2626" s="396" t="s">
        <v>2021</v>
      </c>
      <c r="D2626" s="405">
        <f t="shared" si="80"/>
        <v>268.89</v>
      </c>
      <c r="F2626" s="679">
        <v>268.89</v>
      </c>
      <c r="G2626" s="679">
        <v>268.89</v>
      </c>
      <c r="H2626" t="b">
        <f t="shared" si="81"/>
        <v>1</v>
      </c>
    </row>
    <row r="2627" spans="1:8" ht="30">
      <c r="A2627" s="395">
        <v>38776</v>
      </c>
      <c r="B2627" s="406" t="s">
        <v>11358</v>
      </c>
      <c r="C2627" s="395" t="s">
        <v>2021</v>
      </c>
      <c r="D2627" s="407">
        <f t="shared" ref="D2627:D2690" si="82">IF($J$2=$F$1,F2627,G2627)</f>
        <v>285.37</v>
      </c>
      <c r="F2627" s="680">
        <v>285.37</v>
      </c>
      <c r="G2627" s="680">
        <v>285.37</v>
      </c>
      <c r="H2627" t="b">
        <f t="shared" ref="H2627:H2690" si="83">F2627=G2627</f>
        <v>1</v>
      </c>
    </row>
    <row r="2628" spans="1:8">
      <c r="A2628" s="396">
        <v>38774</v>
      </c>
      <c r="B2628" s="401" t="s">
        <v>11359</v>
      </c>
      <c r="C2628" s="396" t="s">
        <v>2021</v>
      </c>
      <c r="D2628" s="405">
        <f t="shared" si="82"/>
        <v>16.600000000000001</v>
      </c>
      <c r="F2628" s="679">
        <v>16.600000000000001</v>
      </c>
      <c r="G2628" s="679">
        <v>16.600000000000001</v>
      </c>
      <c r="H2628" t="b">
        <f t="shared" si="83"/>
        <v>1</v>
      </c>
    </row>
    <row r="2629" spans="1:8">
      <c r="A2629" s="395">
        <v>42247</v>
      </c>
      <c r="B2629" s="406" t="s">
        <v>11360</v>
      </c>
      <c r="C2629" s="395" t="s">
        <v>2021</v>
      </c>
      <c r="D2629" s="407">
        <f t="shared" si="82"/>
        <v>566.79999999999995</v>
      </c>
      <c r="F2629" s="680">
        <v>566.79999999999995</v>
      </c>
      <c r="G2629" s="680">
        <v>566.79999999999995</v>
      </c>
      <c r="H2629" t="b">
        <f t="shared" si="83"/>
        <v>1</v>
      </c>
    </row>
    <row r="2630" spans="1:8">
      <c r="A2630" s="396">
        <v>42248</v>
      </c>
      <c r="B2630" s="401" t="s">
        <v>11361</v>
      </c>
      <c r="C2630" s="396" t="s">
        <v>2021</v>
      </c>
      <c r="D2630" s="405">
        <f t="shared" si="82"/>
        <v>658.38</v>
      </c>
      <c r="F2630" s="679">
        <v>658.38</v>
      </c>
      <c r="G2630" s="679">
        <v>658.38</v>
      </c>
      <c r="H2630" t="b">
        <f t="shared" si="83"/>
        <v>1</v>
      </c>
    </row>
    <row r="2631" spans="1:8">
      <c r="A2631" s="395">
        <v>42249</v>
      </c>
      <c r="B2631" s="406" t="s">
        <v>11362</v>
      </c>
      <c r="C2631" s="395" t="s">
        <v>2021</v>
      </c>
      <c r="D2631" s="407">
        <f t="shared" si="82"/>
        <v>1090.7</v>
      </c>
      <c r="F2631" s="680">
        <v>1090.7</v>
      </c>
      <c r="G2631" s="680">
        <v>1090.7</v>
      </c>
      <c r="H2631" t="b">
        <f t="shared" si="83"/>
        <v>1</v>
      </c>
    </row>
    <row r="2632" spans="1:8">
      <c r="A2632" s="396">
        <v>42244</v>
      </c>
      <c r="B2632" s="401" t="s">
        <v>11363</v>
      </c>
      <c r="C2632" s="396" t="s">
        <v>2021</v>
      </c>
      <c r="D2632" s="405">
        <f t="shared" si="82"/>
        <v>170.33</v>
      </c>
      <c r="F2632" s="679">
        <v>170.33</v>
      </c>
      <c r="G2632" s="679">
        <v>170.33</v>
      </c>
      <c r="H2632" t="b">
        <f t="shared" si="83"/>
        <v>1</v>
      </c>
    </row>
    <row r="2633" spans="1:8">
      <c r="A2633" s="395">
        <v>42245</v>
      </c>
      <c r="B2633" s="406" t="s">
        <v>11364</v>
      </c>
      <c r="C2633" s="395" t="s">
        <v>2021</v>
      </c>
      <c r="D2633" s="407">
        <f t="shared" si="82"/>
        <v>314.32</v>
      </c>
      <c r="F2633" s="680">
        <v>314.32</v>
      </c>
      <c r="G2633" s="680">
        <v>314.32</v>
      </c>
      <c r="H2633" t="b">
        <f t="shared" si="83"/>
        <v>1</v>
      </c>
    </row>
    <row r="2634" spans="1:8">
      <c r="A2634" s="396">
        <v>42246</v>
      </c>
      <c r="B2634" s="401" t="s">
        <v>11365</v>
      </c>
      <c r="C2634" s="396" t="s">
        <v>2021</v>
      </c>
      <c r="D2634" s="405">
        <f t="shared" si="82"/>
        <v>347.94</v>
      </c>
      <c r="F2634" s="679">
        <v>347.94</v>
      </c>
      <c r="G2634" s="679">
        <v>347.94</v>
      </c>
      <c r="H2634" t="b">
        <f t="shared" si="83"/>
        <v>1</v>
      </c>
    </row>
    <row r="2635" spans="1:8">
      <c r="A2635" s="395">
        <v>42243</v>
      </c>
      <c r="B2635" s="406" t="s">
        <v>11366</v>
      </c>
      <c r="C2635" s="395" t="s">
        <v>2021</v>
      </c>
      <c r="D2635" s="407">
        <f t="shared" si="82"/>
        <v>419.55</v>
      </c>
      <c r="F2635" s="680">
        <v>419.55</v>
      </c>
      <c r="G2635" s="680">
        <v>419.55</v>
      </c>
      <c r="H2635" t="b">
        <f t="shared" si="83"/>
        <v>1</v>
      </c>
    </row>
    <row r="2636" spans="1:8" ht="30">
      <c r="A2636" s="396">
        <v>38889</v>
      </c>
      <c r="B2636" s="401" t="s">
        <v>11367</v>
      </c>
      <c r="C2636" s="396" t="s">
        <v>2021</v>
      </c>
      <c r="D2636" s="405">
        <f t="shared" si="82"/>
        <v>50.92</v>
      </c>
      <c r="F2636" s="679">
        <v>50.92</v>
      </c>
      <c r="G2636" s="679">
        <v>50.92</v>
      </c>
      <c r="H2636" t="b">
        <f t="shared" si="83"/>
        <v>1</v>
      </c>
    </row>
    <row r="2637" spans="1:8" ht="30">
      <c r="A2637" s="395">
        <v>38784</v>
      </c>
      <c r="B2637" s="406" t="s">
        <v>11368</v>
      </c>
      <c r="C2637" s="395" t="s">
        <v>2021</v>
      </c>
      <c r="D2637" s="407">
        <f t="shared" si="82"/>
        <v>68.13</v>
      </c>
      <c r="F2637" s="680">
        <v>68.13</v>
      </c>
      <c r="G2637" s="680">
        <v>68.13</v>
      </c>
      <c r="H2637" t="b">
        <f t="shared" si="83"/>
        <v>1</v>
      </c>
    </row>
    <row r="2638" spans="1:8" ht="30">
      <c r="A2638" s="396">
        <v>3788</v>
      </c>
      <c r="B2638" s="401" t="s">
        <v>11369</v>
      </c>
      <c r="C2638" s="396" t="s">
        <v>2021</v>
      </c>
      <c r="D2638" s="405">
        <f t="shared" si="82"/>
        <v>71</v>
      </c>
      <c r="F2638" s="679">
        <v>71</v>
      </c>
      <c r="G2638" s="679">
        <v>71</v>
      </c>
      <c r="H2638" t="b">
        <f t="shared" si="83"/>
        <v>1</v>
      </c>
    </row>
    <row r="2639" spans="1:8" ht="30">
      <c r="A2639" s="395">
        <v>12230</v>
      </c>
      <c r="B2639" s="406" t="s">
        <v>11370</v>
      </c>
      <c r="C2639" s="395" t="s">
        <v>2021</v>
      </c>
      <c r="D2639" s="407">
        <f t="shared" si="82"/>
        <v>18.260000000000002</v>
      </c>
      <c r="F2639" s="680">
        <v>18.260000000000002</v>
      </c>
      <c r="G2639" s="680">
        <v>18.260000000000002</v>
      </c>
      <c r="H2639" t="b">
        <f t="shared" si="83"/>
        <v>1</v>
      </c>
    </row>
    <row r="2640" spans="1:8" ht="30">
      <c r="A2640" s="396">
        <v>3780</v>
      </c>
      <c r="B2640" s="401" t="s">
        <v>11371</v>
      </c>
      <c r="C2640" s="396" t="s">
        <v>2021</v>
      </c>
      <c r="D2640" s="405">
        <f t="shared" si="82"/>
        <v>104.75</v>
      </c>
      <c r="F2640" s="679">
        <v>104.75</v>
      </c>
      <c r="G2640" s="679">
        <v>104.75</v>
      </c>
      <c r="H2640" t="b">
        <f t="shared" si="83"/>
        <v>1</v>
      </c>
    </row>
    <row r="2641" spans="1:8" ht="30">
      <c r="A2641" s="395">
        <v>12231</v>
      </c>
      <c r="B2641" s="406" t="s">
        <v>11372</v>
      </c>
      <c r="C2641" s="395" t="s">
        <v>2021</v>
      </c>
      <c r="D2641" s="407">
        <f t="shared" si="82"/>
        <v>30.37</v>
      </c>
      <c r="F2641" s="680">
        <v>30.37</v>
      </c>
      <c r="G2641" s="680">
        <v>30.37</v>
      </c>
      <c r="H2641" t="b">
        <f t="shared" si="83"/>
        <v>1</v>
      </c>
    </row>
    <row r="2642" spans="1:8" ht="30">
      <c r="A2642" s="396">
        <v>3811</v>
      </c>
      <c r="B2642" s="401" t="s">
        <v>11373</v>
      </c>
      <c r="C2642" s="396" t="s">
        <v>2021</v>
      </c>
      <c r="D2642" s="405">
        <f t="shared" si="82"/>
        <v>98.39</v>
      </c>
      <c r="F2642" s="679">
        <v>98.39</v>
      </c>
      <c r="G2642" s="679">
        <v>98.39</v>
      </c>
      <c r="H2642" t="b">
        <f t="shared" si="83"/>
        <v>1</v>
      </c>
    </row>
    <row r="2643" spans="1:8" ht="30">
      <c r="A2643" s="395">
        <v>12232</v>
      </c>
      <c r="B2643" s="406" t="s">
        <v>11374</v>
      </c>
      <c r="C2643" s="395" t="s">
        <v>2021</v>
      </c>
      <c r="D2643" s="407">
        <f t="shared" si="82"/>
        <v>31.81</v>
      </c>
      <c r="F2643" s="680">
        <v>31.81</v>
      </c>
      <c r="G2643" s="680">
        <v>31.81</v>
      </c>
      <c r="H2643" t="b">
        <f t="shared" si="83"/>
        <v>1</v>
      </c>
    </row>
    <row r="2644" spans="1:8" ht="30">
      <c r="A2644" s="396">
        <v>3799</v>
      </c>
      <c r="B2644" s="401" t="s">
        <v>11375</v>
      </c>
      <c r="C2644" s="396" t="s">
        <v>2021</v>
      </c>
      <c r="D2644" s="405">
        <f t="shared" si="82"/>
        <v>139.15</v>
      </c>
      <c r="F2644" s="679">
        <v>139.15</v>
      </c>
      <c r="G2644" s="679">
        <v>139.15</v>
      </c>
      <c r="H2644" t="b">
        <f t="shared" si="83"/>
        <v>1</v>
      </c>
    </row>
    <row r="2645" spans="1:8" ht="30">
      <c r="A2645" s="395">
        <v>12239</v>
      </c>
      <c r="B2645" s="406" t="s">
        <v>11376</v>
      </c>
      <c r="C2645" s="395" t="s">
        <v>2021</v>
      </c>
      <c r="D2645" s="407">
        <f t="shared" si="82"/>
        <v>41.65</v>
      </c>
      <c r="F2645" s="680">
        <v>41.65</v>
      </c>
      <c r="G2645" s="680">
        <v>41.65</v>
      </c>
      <c r="H2645" t="b">
        <f t="shared" si="83"/>
        <v>1</v>
      </c>
    </row>
    <row r="2646" spans="1:8">
      <c r="A2646" s="396">
        <v>38773</v>
      </c>
      <c r="B2646" s="401" t="s">
        <v>11377</v>
      </c>
      <c r="C2646" s="396" t="s">
        <v>2021</v>
      </c>
      <c r="D2646" s="405">
        <f t="shared" si="82"/>
        <v>6.68</v>
      </c>
      <c r="F2646" s="679">
        <v>6.68</v>
      </c>
      <c r="G2646" s="679">
        <v>6.68</v>
      </c>
      <c r="H2646" t="b">
        <f t="shared" si="83"/>
        <v>1</v>
      </c>
    </row>
    <row r="2647" spans="1:8">
      <c r="A2647" s="395">
        <v>12271</v>
      </c>
      <c r="B2647" s="406" t="s">
        <v>11378</v>
      </c>
      <c r="C2647" s="395" t="s">
        <v>2021</v>
      </c>
      <c r="D2647" s="407">
        <f t="shared" si="82"/>
        <v>372.58</v>
      </c>
      <c r="F2647" s="680">
        <v>372.58</v>
      </c>
      <c r="G2647" s="680">
        <v>372.58</v>
      </c>
      <c r="H2647" t="b">
        <f t="shared" si="83"/>
        <v>1</v>
      </c>
    </row>
    <row r="2648" spans="1:8">
      <c r="A2648" s="396">
        <v>13382</v>
      </c>
      <c r="B2648" s="401" t="s">
        <v>11379</v>
      </c>
      <c r="C2648" s="396" t="s">
        <v>2021</v>
      </c>
      <c r="D2648" s="405">
        <f t="shared" si="82"/>
        <v>397.01</v>
      </c>
      <c r="F2648" s="679">
        <v>397.01</v>
      </c>
      <c r="G2648" s="679">
        <v>397.01</v>
      </c>
      <c r="H2648" t="b">
        <f t="shared" si="83"/>
        <v>1</v>
      </c>
    </row>
    <row r="2649" spans="1:8">
      <c r="A2649" s="395">
        <v>38785</v>
      </c>
      <c r="B2649" s="406" t="s">
        <v>11380</v>
      </c>
      <c r="C2649" s="395" t="s">
        <v>2021</v>
      </c>
      <c r="D2649" s="407">
        <f t="shared" si="82"/>
        <v>176.39</v>
      </c>
      <c r="F2649" s="680">
        <v>176.39</v>
      </c>
      <c r="G2649" s="680">
        <v>176.39</v>
      </c>
      <c r="H2649" t="b">
        <f t="shared" si="83"/>
        <v>1</v>
      </c>
    </row>
    <row r="2650" spans="1:8">
      <c r="A2650" s="396">
        <v>38786</v>
      </c>
      <c r="B2650" s="401" t="s">
        <v>11381</v>
      </c>
      <c r="C2650" s="396" t="s">
        <v>2021</v>
      </c>
      <c r="D2650" s="405">
        <f t="shared" si="82"/>
        <v>217.27</v>
      </c>
      <c r="F2650" s="679">
        <v>217.27</v>
      </c>
      <c r="G2650" s="679">
        <v>217.27</v>
      </c>
      <c r="H2650" t="b">
        <f t="shared" si="83"/>
        <v>1</v>
      </c>
    </row>
    <row r="2651" spans="1:8">
      <c r="A2651" s="395">
        <v>39385</v>
      </c>
      <c r="B2651" s="406" t="s">
        <v>11382</v>
      </c>
      <c r="C2651" s="395" t="s">
        <v>2021</v>
      </c>
      <c r="D2651" s="407">
        <f t="shared" si="82"/>
        <v>15.18</v>
      </c>
      <c r="F2651" s="680">
        <v>15.18</v>
      </c>
      <c r="G2651" s="680">
        <v>15.18</v>
      </c>
      <c r="H2651" t="b">
        <f t="shared" si="83"/>
        <v>1</v>
      </c>
    </row>
    <row r="2652" spans="1:8">
      <c r="A2652" s="396">
        <v>39389</v>
      </c>
      <c r="B2652" s="401" t="s">
        <v>11383</v>
      </c>
      <c r="C2652" s="396" t="s">
        <v>2021</v>
      </c>
      <c r="D2652" s="405">
        <f t="shared" si="82"/>
        <v>16.48</v>
      </c>
      <c r="F2652" s="679">
        <v>16.48</v>
      </c>
      <c r="G2652" s="679">
        <v>16.48</v>
      </c>
      <c r="H2652" t="b">
        <f t="shared" si="83"/>
        <v>1</v>
      </c>
    </row>
    <row r="2653" spans="1:8">
      <c r="A2653" s="395">
        <v>39390</v>
      </c>
      <c r="B2653" s="406" t="s">
        <v>11384</v>
      </c>
      <c r="C2653" s="395" t="s">
        <v>2021</v>
      </c>
      <c r="D2653" s="407">
        <f t="shared" si="82"/>
        <v>34.54</v>
      </c>
      <c r="F2653" s="680">
        <v>34.54</v>
      </c>
      <c r="G2653" s="680">
        <v>34.54</v>
      </c>
      <c r="H2653" t="b">
        <f t="shared" si="83"/>
        <v>1</v>
      </c>
    </row>
    <row r="2654" spans="1:8">
      <c r="A2654" s="396">
        <v>39391</v>
      </c>
      <c r="B2654" s="401" t="s">
        <v>11385</v>
      </c>
      <c r="C2654" s="396" t="s">
        <v>2021</v>
      </c>
      <c r="D2654" s="405">
        <f t="shared" si="82"/>
        <v>38.78</v>
      </c>
      <c r="F2654" s="679">
        <v>38.78</v>
      </c>
      <c r="G2654" s="679">
        <v>38.78</v>
      </c>
      <c r="H2654" t="b">
        <f t="shared" si="83"/>
        <v>1</v>
      </c>
    </row>
    <row r="2655" spans="1:8" ht="30">
      <c r="A2655" s="395">
        <v>3803</v>
      </c>
      <c r="B2655" s="406" t="s">
        <v>11386</v>
      </c>
      <c r="C2655" s="395" t="s">
        <v>2021</v>
      </c>
      <c r="D2655" s="407">
        <f t="shared" si="82"/>
        <v>63</v>
      </c>
      <c r="F2655" s="680">
        <v>63</v>
      </c>
      <c r="G2655" s="680">
        <v>63</v>
      </c>
      <c r="H2655" t="b">
        <f t="shared" si="83"/>
        <v>1</v>
      </c>
    </row>
    <row r="2656" spans="1:8" ht="30">
      <c r="A2656" s="396">
        <v>38770</v>
      </c>
      <c r="B2656" s="401" t="s">
        <v>11387</v>
      </c>
      <c r="C2656" s="396" t="s">
        <v>2021</v>
      </c>
      <c r="D2656" s="405">
        <f t="shared" si="82"/>
        <v>72.95</v>
      </c>
      <c r="F2656" s="679">
        <v>72.95</v>
      </c>
      <c r="G2656" s="679">
        <v>72.95</v>
      </c>
      <c r="H2656" t="b">
        <f t="shared" si="83"/>
        <v>1</v>
      </c>
    </row>
    <row r="2657" spans="1:8">
      <c r="A2657" s="395">
        <v>12267</v>
      </c>
      <c r="B2657" s="406" t="s">
        <v>11388</v>
      </c>
      <c r="C2657" s="395" t="s">
        <v>2021</v>
      </c>
      <c r="D2657" s="407">
        <f t="shared" si="82"/>
        <v>213.77</v>
      </c>
      <c r="F2657" s="680">
        <v>213.77</v>
      </c>
      <c r="G2657" s="680">
        <v>213.77</v>
      </c>
      <c r="H2657" t="b">
        <f t="shared" si="83"/>
        <v>1</v>
      </c>
    </row>
    <row r="2658" spans="1:8" ht="45">
      <c r="A2658" s="396">
        <v>43265</v>
      </c>
      <c r="B2658" s="401" t="s">
        <v>11389</v>
      </c>
      <c r="C2658" s="396" t="s">
        <v>2021</v>
      </c>
      <c r="D2658" s="405">
        <f t="shared" si="82"/>
        <v>47.49</v>
      </c>
      <c r="F2658" s="679">
        <v>47.49</v>
      </c>
      <c r="G2658" s="679">
        <v>47.49</v>
      </c>
      <c r="H2658" t="b">
        <f t="shared" si="83"/>
        <v>1</v>
      </c>
    </row>
    <row r="2659" spans="1:8" ht="30">
      <c r="A2659" s="395">
        <v>12266</v>
      </c>
      <c r="B2659" s="406" t="s">
        <v>11390</v>
      </c>
      <c r="C2659" s="395" t="s">
        <v>2021</v>
      </c>
      <c r="D2659" s="407">
        <f t="shared" si="82"/>
        <v>109.41</v>
      </c>
      <c r="F2659" s="680">
        <v>109.41</v>
      </c>
      <c r="G2659" s="680">
        <v>109.41</v>
      </c>
      <c r="H2659" t="b">
        <f t="shared" si="83"/>
        <v>1</v>
      </c>
    </row>
    <row r="2660" spans="1:8" ht="30">
      <c r="A2660" s="396">
        <v>39378</v>
      </c>
      <c r="B2660" s="401" t="s">
        <v>11391</v>
      </c>
      <c r="C2660" s="396" t="s">
        <v>2021</v>
      </c>
      <c r="D2660" s="405">
        <f t="shared" si="82"/>
        <v>77.569999999999993</v>
      </c>
      <c r="F2660" s="679">
        <v>77.569999999999993</v>
      </c>
      <c r="G2660" s="679">
        <v>77.569999999999993</v>
      </c>
      <c r="H2660" t="b">
        <f t="shared" si="83"/>
        <v>1</v>
      </c>
    </row>
    <row r="2661" spans="1:8" ht="30">
      <c r="A2661" s="395">
        <v>43543</v>
      </c>
      <c r="B2661" s="406" t="s">
        <v>11392</v>
      </c>
      <c r="C2661" s="395" t="s">
        <v>2021</v>
      </c>
      <c r="D2661" s="407">
        <f t="shared" si="82"/>
        <v>161.61000000000001</v>
      </c>
      <c r="F2661" s="680">
        <v>161.61000000000001</v>
      </c>
      <c r="G2661" s="680">
        <v>161.61000000000001</v>
      </c>
      <c r="H2661" t="b">
        <f t="shared" si="83"/>
        <v>1</v>
      </c>
    </row>
    <row r="2662" spans="1:8" ht="30">
      <c r="A2662" s="396">
        <v>38775</v>
      </c>
      <c r="B2662" s="401" t="s">
        <v>11393</v>
      </c>
      <c r="C2662" s="396" t="s">
        <v>2021</v>
      </c>
      <c r="D2662" s="405">
        <f t="shared" si="82"/>
        <v>82.24</v>
      </c>
      <c r="F2662" s="679">
        <v>82.24</v>
      </c>
      <c r="G2662" s="679">
        <v>82.24</v>
      </c>
      <c r="H2662" t="b">
        <f t="shared" si="83"/>
        <v>1</v>
      </c>
    </row>
    <row r="2663" spans="1:8">
      <c r="A2663" s="395">
        <v>44252</v>
      </c>
      <c r="B2663" s="406" t="s">
        <v>11394</v>
      </c>
      <c r="C2663" s="395" t="s">
        <v>2021</v>
      </c>
      <c r="D2663" s="407">
        <f t="shared" si="82"/>
        <v>176.7</v>
      </c>
      <c r="F2663" s="680">
        <v>176.7</v>
      </c>
      <c r="G2663" s="680">
        <v>176.7</v>
      </c>
      <c r="H2663" t="b">
        <f t="shared" si="83"/>
        <v>1</v>
      </c>
    </row>
    <row r="2664" spans="1:8">
      <c r="A2664" s="396">
        <v>21119</v>
      </c>
      <c r="B2664" s="401" t="s">
        <v>11395</v>
      </c>
      <c r="C2664" s="396" t="s">
        <v>2021</v>
      </c>
      <c r="D2664" s="405">
        <f t="shared" si="82"/>
        <v>1.77</v>
      </c>
      <c r="F2664" s="679">
        <v>1.77</v>
      </c>
      <c r="G2664" s="679">
        <v>1.77</v>
      </c>
      <c r="H2664" t="b">
        <f t="shared" si="83"/>
        <v>1</v>
      </c>
    </row>
    <row r="2665" spans="1:8">
      <c r="A2665" s="395">
        <v>37974</v>
      </c>
      <c r="B2665" s="406" t="s">
        <v>11396</v>
      </c>
      <c r="C2665" s="395" t="s">
        <v>2021</v>
      </c>
      <c r="D2665" s="407">
        <f t="shared" si="82"/>
        <v>2.29</v>
      </c>
      <c r="F2665" s="680">
        <v>2.29</v>
      </c>
      <c r="G2665" s="680">
        <v>2.29</v>
      </c>
      <c r="H2665" t="b">
        <f t="shared" si="83"/>
        <v>1</v>
      </c>
    </row>
    <row r="2666" spans="1:8">
      <c r="A2666" s="396">
        <v>37975</v>
      </c>
      <c r="B2666" s="401" t="s">
        <v>11397</v>
      </c>
      <c r="C2666" s="396" t="s">
        <v>2021</v>
      </c>
      <c r="D2666" s="405">
        <f t="shared" si="82"/>
        <v>5.0999999999999996</v>
      </c>
      <c r="F2666" s="679">
        <v>5.0999999999999996</v>
      </c>
      <c r="G2666" s="679">
        <v>5.0999999999999996</v>
      </c>
      <c r="H2666" t="b">
        <f t="shared" si="83"/>
        <v>1</v>
      </c>
    </row>
    <row r="2667" spans="1:8">
      <c r="A2667" s="395">
        <v>37976</v>
      </c>
      <c r="B2667" s="406" t="s">
        <v>11398</v>
      </c>
      <c r="C2667" s="395" t="s">
        <v>2021</v>
      </c>
      <c r="D2667" s="407">
        <f t="shared" si="82"/>
        <v>11.36</v>
      </c>
      <c r="F2667" s="680">
        <v>11.36</v>
      </c>
      <c r="G2667" s="680">
        <v>11.36</v>
      </c>
      <c r="H2667" t="b">
        <f t="shared" si="83"/>
        <v>1</v>
      </c>
    </row>
    <row r="2668" spans="1:8">
      <c r="A2668" s="396">
        <v>37977</v>
      </c>
      <c r="B2668" s="401" t="s">
        <v>11399</v>
      </c>
      <c r="C2668" s="396" t="s">
        <v>2021</v>
      </c>
      <c r="D2668" s="405">
        <f t="shared" si="82"/>
        <v>15.72</v>
      </c>
      <c r="F2668" s="679">
        <v>15.72</v>
      </c>
      <c r="G2668" s="679">
        <v>15.72</v>
      </c>
      <c r="H2668" t="b">
        <f t="shared" si="83"/>
        <v>1</v>
      </c>
    </row>
    <row r="2669" spans="1:8">
      <c r="A2669" s="395">
        <v>37978</v>
      </c>
      <c r="B2669" s="406" t="s">
        <v>11400</v>
      </c>
      <c r="C2669" s="395" t="s">
        <v>2021</v>
      </c>
      <c r="D2669" s="407">
        <f t="shared" si="82"/>
        <v>31.17</v>
      </c>
      <c r="F2669" s="680">
        <v>31.17</v>
      </c>
      <c r="G2669" s="680">
        <v>31.17</v>
      </c>
      <c r="H2669" t="b">
        <f t="shared" si="83"/>
        <v>1</v>
      </c>
    </row>
    <row r="2670" spans="1:8">
      <c r="A2670" s="396">
        <v>37979</v>
      </c>
      <c r="B2670" s="401" t="s">
        <v>11401</v>
      </c>
      <c r="C2670" s="396" t="s">
        <v>2021</v>
      </c>
      <c r="D2670" s="405">
        <f t="shared" si="82"/>
        <v>132.29</v>
      </c>
      <c r="F2670" s="679">
        <v>132.29</v>
      </c>
      <c r="G2670" s="679">
        <v>132.29</v>
      </c>
      <c r="H2670" t="b">
        <f t="shared" si="83"/>
        <v>1</v>
      </c>
    </row>
    <row r="2671" spans="1:8">
      <c r="A2671" s="395">
        <v>37980</v>
      </c>
      <c r="B2671" s="406" t="s">
        <v>11402</v>
      </c>
      <c r="C2671" s="395" t="s">
        <v>2021</v>
      </c>
      <c r="D2671" s="407">
        <f t="shared" si="82"/>
        <v>151.96</v>
      </c>
      <c r="F2671" s="680">
        <v>151.96</v>
      </c>
      <c r="G2671" s="680">
        <v>151.96</v>
      </c>
      <c r="H2671" t="b">
        <f t="shared" si="83"/>
        <v>1</v>
      </c>
    </row>
    <row r="2672" spans="1:8">
      <c r="A2672" s="396">
        <v>36147</v>
      </c>
      <c r="B2672" s="401" t="s">
        <v>11403</v>
      </c>
      <c r="C2672" s="396" t="s">
        <v>2028</v>
      </c>
      <c r="D2672" s="405">
        <f t="shared" si="82"/>
        <v>411.43</v>
      </c>
      <c r="F2672" s="679">
        <v>411.43</v>
      </c>
      <c r="G2672" s="679">
        <v>411.43</v>
      </c>
      <c r="H2672" t="b">
        <f t="shared" si="83"/>
        <v>1</v>
      </c>
    </row>
    <row r="2673" spans="1:8">
      <c r="A2673" s="395">
        <v>12731</v>
      </c>
      <c r="B2673" s="406" t="s">
        <v>11404</v>
      </c>
      <c r="C2673" s="395" t="s">
        <v>2021</v>
      </c>
      <c r="D2673" s="407">
        <f t="shared" si="82"/>
        <v>356.51</v>
      </c>
      <c r="F2673" s="680">
        <v>356.51</v>
      </c>
      <c r="G2673" s="680">
        <v>356.51</v>
      </c>
      <c r="H2673" t="b">
        <f t="shared" si="83"/>
        <v>1</v>
      </c>
    </row>
    <row r="2674" spans="1:8">
      <c r="A2674" s="396">
        <v>12723</v>
      </c>
      <c r="B2674" s="401" t="s">
        <v>11405</v>
      </c>
      <c r="C2674" s="396" t="s">
        <v>2021</v>
      </c>
      <c r="D2674" s="405">
        <f t="shared" si="82"/>
        <v>2.76</v>
      </c>
      <c r="F2674" s="679">
        <v>2.76</v>
      </c>
      <c r="G2674" s="679">
        <v>2.76</v>
      </c>
      <c r="H2674" t="b">
        <f t="shared" si="83"/>
        <v>1</v>
      </c>
    </row>
    <row r="2675" spans="1:8">
      <c r="A2675" s="395">
        <v>12724</v>
      </c>
      <c r="B2675" s="406" t="s">
        <v>11406</v>
      </c>
      <c r="C2675" s="395" t="s">
        <v>2021</v>
      </c>
      <c r="D2675" s="407">
        <f t="shared" si="82"/>
        <v>5.31</v>
      </c>
      <c r="F2675" s="680">
        <v>5.31</v>
      </c>
      <c r="G2675" s="680">
        <v>5.31</v>
      </c>
      <c r="H2675" t="b">
        <f t="shared" si="83"/>
        <v>1</v>
      </c>
    </row>
    <row r="2676" spans="1:8">
      <c r="A2676" s="396">
        <v>12725</v>
      </c>
      <c r="B2676" s="401" t="s">
        <v>11407</v>
      </c>
      <c r="C2676" s="396" t="s">
        <v>2021</v>
      </c>
      <c r="D2676" s="405">
        <f t="shared" si="82"/>
        <v>10.65</v>
      </c>
      <c r="F2676" s="679">
        <v>10.65</v>
      </c>
      <c r="G2676" s="679">
        <v>10.65</v>
      </c>
      <c r="H2676" t="b">
        <f t="shared" si="83"/>
        <v>1</v>
      </c>
    </row>
    <row r="2677" spans="1:8">
      <c r="A2677" s="395">
        <v>12726</v>
      </c>
      <c r="B2677" s="406" t="s">
        <v>11408</v>
      </c>
      <c r="C2677" s="395" t="s">
        <v>2021</v>
      </c>
      <c r="D2677" s="407">
        <f t="shared" si="82"/>
        <v>23.52</v>
      </c>
      <c r="F2677" s="680">
        <v>23.52</v>
      </c>
      <c r="G2677" s="680">
        <v>23.52</v>
      </c>
      <c r="H2677" t="b">
        <f t="shared" si="83"/>
        <v>1</v>
      </c>
    </row>
    <row r="2678" spans="1:8">
      <c r="A2678" s="396">
        <v>12727</v>
      </c>
      <c r="B2678" s="401" t="s">
        <v>11409</v>
      </c>
      <c r="C2678" s="396" t="s">
        <v>2021</v>
      </c>
      <c r="D2678" s="405">
        <f t="shared" si="82"/>
        <v>29.83</v>
      </c>
      <c r="F2678" s="679">
        <v>29.83</v>
      </c>
      <c r="G2678" s="679">
        <v>29.83</v>
      </c>
      <c r="H2678" t="b">
        <f t="shared" si="83"/>
        <v>1</v>
      </c>
    </row>
    <row r="2679" spans="1:8">
      <c r="A2679" s="395">
        <v>12728</v>
      </c>
      <c r="B2679" s="406" t="s">
        <v>11410</v>
      </c>
      <c r="C2679" s="395" t="s">
        <v>2021</v>
      </c>
      <c r="D2679" s="407">
        <f t="shared" si="82"/>
        <v>48.72</v>
      </c>
      <c r="F2679" s="680">
        <v>48.72</v>
      </c>
      <c r="G2679" s="680">
        <v>48.72</v>
      </c>
      <c r="H2679" t="b">
        <f t="shared" si="83"/>
        <v>1</v>
      </c>
    </row>
    <row r="2680" spans="1:8">
      <c r="A2680" s="396">
        <v>12729</v>
      </c>
      <c r="B2680" s="401" t="s">
        <v>11411</v>
      </c>
      <c r="C2680" s="396" t="s">
        <v>2021</v>
      </c>
      <c r="D2680" s="405">
        <f t="shared" si="82"/>
        <v>159.69</v>
      </c>
      <c r="F2680" s="679">
        <v>159.69</v>
      </c>
      <c r="G2680" s="679">
        <v>159.69</v>
      </c>
      <c r="H2680" t="b">
        <f t="shared" si="83"/>
        <v>1</v>
      </c>
    </row>
    <row r="2681" spans="1:8">
      <c r="A2681" s="395">
        <v>12730</v>
      </c>
      <c r="B2681" s="406" t="s">
        <v>11412</v>
      </c>
      <c r="C2681" s="395" t="s">
        <v>2021</v>
      </c>
      <c r="D2681" s="407">
        <f t="shared" si="82"/>
        <v>244.49</v>
      </c>
      <c r="F2681" s="680">
        <v>244.49</v>
      </c>
      <c r="G2681" s="680">
        <v>244.49</v>
      </c>
      <c r="H2681" t="b">
        <f t="shared" si="83"/>
        <v>1</v>
      </c>
    </row>
    <row r="2682" spans="1:8">
      <c r="A2682" s="396">
        <v>3840</v>
      </c>
      <c r="B2682" s="401" t="s">
        <v>11413</v>
      </c>
      <c r="C2682" s="396" t="s">
        <v>2021</v>
      </c>
      <c r="D2682" s="405">
        <f t="shared" si="82"/>
        <v>55.53</v>
      </c>
      <c r="F2682" s="679">
        <v>55.53</v>
      </c>
      <c r="G2682" s="679">
        <v>55.53</v>
      </c>
      <c r="H2682" t="b">
        <f t="shared" si="83"/>
        <v>1</v>
      </c>
    </row>
    <row r="2683" spans="1:8">
      <c r="A2683" s="395">
        <v>3838</v>
      </c>
      <c r="B2683" s="406" t="s">
        <v>11414</v>
      </c>
      <c r="C2683" s="395" t="s">
        <v>2021</v>
      </c>
      <c r="D2683" s="407">
        <f t="shared" si="82"/>
        <v>122.57</v>
      </c>
      <c r="F2683" s="680">
        <v>122.57</v>
      </c>
      <c r="G2683" s="680">
        <v>122.57</v>
      </c>
      <c r="H2683" t="b">
        <f t="shared" si="83"/>
        <v>1</v>
      </c>
    </row>
    <row r="2684" spans="1:8">
      <c r="A2684" s="396">
        <v>3844</v>
      </c>
      <c r="B2684" s="401" t="s">
        <v>11415</v>
      </c>
      <c r="C2684" s="396" t="s">
        <v>2021</v>
      </c>
      <c r="D2684" s="405">
        <f t="shared" si="82"/>
        <v>218.63</v>
      </c>
      <c r="F2684" s="679">
        <v>218.63</v>
      </c>
      <c r="G2684" s="679">
        <v>218.63</v>
      </c>
      <c r="H2684" t="b">
        <f t="shared" si="83"/>
        <v>1</v>
      </c>
    </row>
    <row r="2685" spans="1:8">
      <c r="A2685" s="395">
        <v>3839</v>
      </c>
      <c r="B2685" s="406" t="s">
        <v>11416</v>
      </c>
      <c r="C2685" s="395" t="s">
        <v>2021</v>
      </c>
      <c r="D2685" s="407">
        <f t="shared" si="82"/>
        <v>398.22</v>
      </c>
      <c r="F2685" s="680">
        <v>398.22</v>
      </c>
      <c r="G2685" s="680">
        <v>398.22</v>
      </c>
      <c r="H2685" t="b">
        <f t="shared" si="83"/>
        <v>1</v>
      </c>
    </row>
    <row r="2686" spans="1:8">
      <c r="A2686" s="396">
        <v>3843</v>
      </c>
      <c r="B2686" s="401" t="s">
        <v>11417</v>
      </c>
      <c r="C2686" s="396" t="s">
        <v>2021</v>
      </c>
      <c r="D2686" s="405">
        <f t="shared" si="82"/>
        <v>546.55999999999995</v>
      </c>
      <c r="F2686" s="679">
        <v>546.55999999999995</v>
      </c>
      <c r="G2686" s="679">
        <v>546.55999999999995</v>
      </c>
      <c r="H2686" t="b">
        <f t="shared" si="83"/>
        <v>1</v>
      </c>
    </row>
    <row r="2687" spans="1:8">
      <c r="A2687" s="395">
        <v>3900</v>
      </c>
      <c r="B2687" s="406" t="s">
        <v>11418</v>
      </c>
      <c r="C2687" s="395" t="s">
        <v>2021</v>
      </c>
      <c r="D2687" s="407">
        <f t="shared" si="82"/>
        <v>58.72</v>
      </c>
      <c r="F2687" s="680">
        <v>58.72</v>
      </c>
      <c r="G2687" s="680">
        <v>58.72</v>
      </c>
      <c r="H2687" t="b">
        <f t="shared" si="83"/>
        <v>1</v>
      </c>
    </row>
    <row r="2688" spans="1:8">
      <c r="A2688" s="396">
        <v>3846</v>
      </c>
      <c r="B2688" s="401" t="s">
        <v>11419</v>
      </c>
      <c r="C2688" s="396" t="s">
        <v>2021</v>
      </c>
      <c r="D2688" s="405">
        <f t="shared" si="82"/>
        <v>17.64</v>
      </c>
      <c r="F2688" s="679">
        <v>17.64</v>
      </c>
      <c r="G2688" s="679">
        <v>17.64</v>
      </c>
      <c r="H2688" t="b">
        <f t="shared" si="83"/>
        <v>1</v>
      </c>
    </row>
    <row r="2689" spans="1:8">
      <c r="A2689" s="395">
        <v>3886</v>
      </c>
      <c r="B2689" s="406" t="s">
        <v>11420</v>
      </c>
      <c r="C2689" s="395" t="s">
        <v>2021</v>
      </c>
      <c r="D2689" s="407">
        <f t="shared" si="82"/>
        <v>23.42</v>
      </c>
      <c r="F2689" s="680">
        <v>23.42</v>
      </c>
      <c r="G2689" s="680">
        <v>23.42</v>
      </c>
      <c r="H2689" t="b">
        <f t="shared" si="83"/>
        <v>1</v>
      </c>
    </row>
    <row r="2690" spans="1:8">
      <c r="A2690" s="396">
        <v>3854</v>
      </c>
      <c r="B2690" s="401" t="s">
        <v>11421</v>
      </c>
      <c r="C2690" s="396" t="s">
        <v>2021</v>
      </c>
      <c r="D2690" s="405">
        <f t="shared" si="82"/>
        <v>13.35</v>
      </c>
      <c r="F2690" s="679">
        <v>13.35</v>
      </c>
      <c r="G2690" s="679">
        <v>13.35</v>
      </c>
      <c r="H2690" t="b">
        <f t="shared" si="83"/>
        <v>1</v>
      </c>
    </row>
    <row r="2691" spans="1:8">
      <c r="A2691" s="395">
        <v>3873</v>
      </c>
      <c r="B2691" s="406" t="s">
        <v>11422</v>
      </c>
      <c r="C2691" s="395" t="s">
        <v>2021</v>
      </c>
      <c r="D2691" s="407">
        <f t="shared" ref="D2691:D2754" si="84">IF($J$2=$F$1,F2691,G2691)</f>
        <v>15.54</v>
      </c>
      <c r="F2691" s="680">
        <v>15.54</v>
      </c>
      <c r="G2691" s="680">
        <v>15.54</v>
      </c>
      <c r="H2691" t="b">
        <f t="shared" ref="H2691:H2754" si="85">F2691=G2691</f>
        <v>1</v>
      </c>
    </row>
    <row r="2692" spans="1:8">
      <c r="A2692" s="396">
        <v>38021</v>
      </c>
      <c r="B2692" s="401" t="s">
        <v>11423</v>
      </c>
      <c r="C2692" s="396" t="s">
        <v>2021</v>
      </c>
      <c r="D2692" s="405">
        <f t="shared" si="84"/>
        <v>27.59</v>
      </c>
      <c r="F2692" s="679">
        <v>27.59</v>
      </c>
      <c r="G2692" s="679">
        <v>27.59</v>
      </c>
      <c r="H2692" t="b">
        <f t="shared" si="85"/>
        <v>1</v>
      </c>
    </row>
    <row r="2693" spans="1:8">
      <c r="A2693" s="395">
        <v>43838</v>
      </c>
      <c r="B2693" s="406" t="s">
        <v>11424</v>
      </c>
      <c r="C2693" s="395" t="s">
        <v>2021</v>
      </c>
      <c r="D2693" s="407">
        <f t="shared" si="84"/>
        <v>35.67</v>
      </c>
      <c r="F2693" s="680">
        <v>35.67</v>
      </c>
      <c r="G2693" s="680">
        <v>35.67</v>
      </c>
      <c r="H2693" t="b">
        <f t="shared" si="85"/>
        <v>1</v>
      </c>
    </row>
    <row r="2694" spans="1:8">
      <c r="A2694" s="396">
        <v>3847</v>
      </c>
      <c r="B2694" s="401" t="s">
        <v>11425</v>
      </c>
      <c r="C2694" s="396" t="s">
        <v>2021</v>
      </c>
      <c r="D2694" s="405">
        <f t="shared" si="84"/>
        <v>35.97</v>
      </c>
      <c r="F2694" s="679">
        <v>35.97</v>
      </c>
      <c r="G2694" s="679">
        <v>35.97</v>
      </c>
      <c r="H2694" t="b">
        <f t="shared" si="85"/>
        <v>1</v>
      </c>
    </row>
    <row r="2695" spans="1:8">
      <c r="A2695" s="395">
        <v>38022</v>
      </c>
      <c r="B2695" s="406" t="s">
        <v>11426</v>
      </c>
      <c r="C2695" s="395" t="s">
        <v>2021</v>
      </c>
      <c r="D2695" s="407">
        <f t="shared" si="84"/>
        <v>49.43</v>
      </c>
      <c r="F2695" s="680">
        <v>49.43</v>
      </c>
      <c r="G2695" s="680">
        <v>49.43</v>
      </c>
      <c r="H2695" t="b">
        <f t="shared" si="85"/>
        <v>1</v>
      </c>
    </row>
    <row r="2696" spans="1:8">
      <c r="A2696" s="396">
        <v>3830</v>
      </c>
      <c r="B2696" s="401" t="s">
        <v>11427</v>
      </c>
      <c r="C2696" s="396" t="s">
        <v>2021</v>
      </c>
      <c r="D2696" s="405">
        <f t="shared" si="84"/>
        <v>242.99</v>
      </c>
      <c r="F2696" s="679">
        <v>242.99</v>
      </c>
      <c r="G2696" s="679">
        <v>242.99</v>
      </c>
      <c r="H2696" t="b">
        <f t="shared" si="85"/>
        <v>1</v>
      </c>
    </row>
    <row r="2697" spans="1:8">
      <c r="A2697" s="395">
        <v>37981</v>
      </c>
      <c r="B2697" s="406" t="s">
        <v>11428</v>
      </c>
      <c r="C2697" s="395" t="s">
        <v>2021</v>
      </c>
      <c r="D2697" s="407">
        <f t="shared" si="84"/>
        <v>6.62</v>
      </c>
      <c r="F2697" s="680">
        <v>6.62</v>
      </c>
      <c r="G2697" s="680">
        <v>6.62</v>
      </c>
      <c r="H2697" t="b">
        <f t="shared" si="85"/>
        <v>1</v>
      </c>
    </row>
    <row r="2698" spans="1:8">
      <c r="A2698" s="396">
        <v>37982</v>
      </c>
      <c r="B2698" s="401" t="s">
        <v>11429</v>
      </c>
      <c r="C2698" s="396" t="s">
        <v>2021</v>
      </c>
      <c r="D2698" s="405">
        <f t="shared" si="84"/>
        <v>9.6</v>
      </c>
      <c r="F2698" s="679">
        <v>9.6</v>
      </c>
      <c r="G2698" s="679">
        <v>9.6</v>
      </c>
      <c r="H2698" t="b">
        <f t="shared" si="85"/>
        <v>1</v>
      </c>
    </row>
    <row r="2699" spans="1:8">
      <c r="A2699" s="395">
        <v>37983</v>
      </c>
      <c r="B2699" s="406" t="s">
        <v>11430</v>
      </c>
      <c r="C2699" s="395" t="s">
        <v>2021</v>
      </c>
      <c r="D2699" s="407">
        <f t="shared" si="84"/>
        <v>14.2</v>
      </c>
      <c r="F2699" s="680">
        <v>14.2</v>
      </c>
      <c r="G2699" s="680">
        <v>14.2</v>
      </c>
      <c r="H2699" t="b">
        <f t="shared" si="85"/>
        <v>1</v>
      </c>
    </row>
    <row r="2700" spans="1:8">
      <c r="A2700" s="396">
        <v>37984</v>
      </c>
      <c r="B2700" s="401" t="s">
        <v>11431</v>
      </c>
      <c r="C2700" s="396" t="s">
        <v>2021</v>
      </c>
      <c r="D2700" s="405">
        <f t="shared" si="84"/>
        <v>19.940000000000001</v>
      </c>
      <c r="F2700" s="679">
        <v>19.940000000000001</v>
      </c>
      <c r="G2700" s="679">
        <v>19.940000000000001</v>
      </c>
      <c r="H2700" t="b">
        <f t="shared" si="85"/>
        <v>1</v>
      </c>
    </row>
    <row r="2701" spans="1:8">
      <c r="A2701" s="395">
        <v>37985</v>
      </c>
      <c r="B2701" s="406" t="s">
        <v>11432</v>
      </c>
      <c r="C2701" s="395" t="s">
        <v>2021</v>
      </c>
      <c r="D2701" s="407">
        <f t="shared" si="84"/>
        <v>28.34</v>
      </c>
      <c r="F2701" s="680">
        <v>28.34</v>
      </c>
      <c r="G2701" s="680">
        <v>28.34</v>
      </c>
      <c r="H2701" t="b">
        <f t="shared" si="85"/>
        <v>1</v>
      </c>
    </row>
    <row r="2702" spans="1:8">
      <c r="A2702" s="396">
        <v>3826</v>
      </c>
      <c r="B2702" s="401" t="s">
        <v>11433</v>
      </c>
      <c r="C2702" s="396" t="s">
        <v>2021</v>
      </c>
      <c r="D2702" s="405">
        <f t="shared" si="84"/>
        <v>55.1</v>
      </c>
      <c r="F2702" s="679">
        <v>55.1</v>
      </c>
      <c r="G2702" s="679">
        <v>55.1</v>
      </c>
      <c r="H2702" t="b">
        <f t="shared" si="85"/>
        <v>1</v>
      </c>
    </row>
    <row r="2703" spans="1:8">
      <c r="A2703" s="395">
        <v>3825</v>
      </c>
      <c r="B2703" s="406" t="s">
        <v>11434</v>
      </c>
      <c r="C2703" s="395" t="s">
        <v>2021</v>
      </c>
      <c r="D2703" s="407">
        <f t="shared" si="84"/>
        <v>15.85</v>
      </c>
      <c r="F2703" s="680">
        <v>15.85</v>
      </c>
      <c r="G2703" s="680">
        <v>15.85</v>
      </c>
      <c r="H2703" t="b">
        <f t="shared" si="85"/>
        <v>1</v>
      </c>
    </row>
    <row r="2704" spans="1:8">
      <c r="A2704" s="396">
        <v>3827</v>
      </c>
      <c r="B2704" s="401" t="s">
        <v>11435</v>
      </c>
      <c r="C2704" s="396" t="s">
        <v>2021</v>
      </c>
      <c r="D2704" s="405">
        <f t="shared" si="84"/>
        <v>34.619999999999997</v>
      </c>
      <c r="F2704" s="679">
        <v>34.619999999999997</v>
      </c>
      <c r="G2704" s="679">
        <v>34.619999999999997</v>
      </c>
      <c r="H2704" t="b">
        <f t="shared" si="85"/>
        <v>1</v>
      </c>
    </row>
    <row r="2705" spans="1:8">
      <c r="A2705" s="395">
        <v>20165</v>
      </c>
      <c r="B2705" s="406" t="s">
        <v>11436</v>
      </c>
      <c r="C2705" s="395" t="s">
        <v>2021</v>
      </c>
      <c r="D2705" s="407">
        <f t="shared" si="84"/>
        <v>30.12</v>
      </c>
      <c r="F2705" s="680">
        <v>30.12</v>
      </c>
      <c r="G2705" s="680">
        <v>30.12</v>
      </c>
      <c r="H2705" t="b">
        <f t="shared" si="85"/>
        <v>1</v>
      </c>
    </row>
    <row r="2706" spans="1:8">
      <c r="A2706" s="396">
        <v>20166</v>
      </c>
      <c r="B2706" s="401" t="s">
        <v>11437</v>
      </c>
      <c r="C2706" s="396" t="s">
        <v>2021</v>
      </c>
      <c r="D2706" s="405">
        <f t="shared" si="84"/>
        <v>92</v>
      </c>
      <c r="F2706" s="679">
        <v>92</v>
      </c>
      <c r="G2706" s="679">
        <v>92</v>
      </c>
      <c r="H2706" t="b">
        <f t="shared" si="85"/>
        <v>1</v>
      </c>
    </row>
    <row r="2707" spans="1:8">
      <c r="A2707" s="395">
        <v>20164</v>
      </c>
      <c r="B2707" s="406" t="s">
        <v>11438</v>
      </c>
      <c r="C2707" s="395" t="s">
        <v>2021</v>
      </c>
      <c r="D2707" s="407">
        <f t="shared" si="84"/>
        <v>14.47</v>
      </c>
      <c r="F2707" s="680">
        <v>14.47</v>
      </c>
      <c r="G2707" s="680">
        <v>14.47</v>
      </c>
      <c r="H2707" t="b">
        <f t="shared" si="85"/>
        <v>1</v>
      </c>
    </row>
    <row r="2708" spans="1:8">
      <c r="A2708" s="396">
        <v>3893</v>
      </c>
      <c r="B2708" s="401" t="s">
        <v>11439</v>
      </c>
      <c r="C2708" s="396" t="s">
        <v>2021</v>
      </c>
      <c r="D2708" s="405">
        <f t="shared" si="84"/>
        <v>22.68</v>
      </c>
      <c r="F2708" s="679">
        <v>22.68</v>
      </c>
      <c r="G2708" s="679">
        <v>22.68</v>
      </c>
      <c r="H2708" t="b">
        <f t="shared" si="85"/>
        <v>1</v>
      </c>
    </row>
    <row r="2709" spans="1:8">
      <c r="A2709" s="395">
        <v>3848</v>
      </c>
      <c r="B2709" s="406" t="s">
        <v>11440</v>
      </c>
      <c r="C2709" s="395" t="s">
        <v>2021</v>
      </c>
      <c r="D2709" s="407">
        <f t="shared" si="84"/>
        <v>13.83</v>
      </c>
      <c r="F2709" s="680">
        <v>13.83</v>
      </c>
      <c r="G2709" s="680">
        <v>13.83</v>
      </c>
      <c r="H2709" t="b">
        <f t="shared" si="85"/>
        <v>1</v>
      </c>
    </row>
    <row r="2710" spans="1:8">
      <c r="A2710" s="396">
        <v>3895</v>
      </c>
      <c r="B2710" s="401" t="s">
        <v>11441</v>
      </c>
      <c r="C2710" s="396" t="s">
        <v>2021</v>
      </c>
      <c r="D2710" s="405">
        <f t="shared" si="84"/>
        <v>15.36</v>
      </c>
      <c r="F2710" s="679">
        <v>15.36</v>
      </c>
      <c r="G2710" s="679">
        <v>15.36</v>
      </c>
      <c r="H2710" t="b">
        <f t="shared" si="85"/>
        <v>1</v>
      </c>
    </row>
    <row r="2711" spans="1:8">
      <c r="A2711" s="395">
        <v>12404</v>
      </c>
      <c r="B2711" s="406" t="s">
        <v>11442</v>
      </c>
      <c r="C2711" s="395" t="s">
        <v>2021</v>
      </c>
      <c r="D2711" s="407">
        <f t="shared" si="84"/>
        <v>8.09</v>
      </c>
      <c r="F2711" s="680">
        <v>8.09</v>
      </c>
      <c r="G2711" s="680">
        <v>8.09</v>
      </c>
      <c r="H2711" t="b">
        <f t="shared" si="85"/>
        <v>1</v>
      </c>
    </row>
    <row r="2712" spans="1:8">
      <c r="A2712" s="396">
        <v>3939</v>
      </c>
      <c r="B2712" s="401" t="s">
        <v>11443</v>
      </c>
      <c r="C2712" s="396" t="s">
        <v>2021</v>
      </c>
      <c r="D2712" s="405">
        <f t="shared" si="84"/>
        <v>16.66</v>
      </c>
      <c r="F2712" s="679">
        <v>16.66</v>
      </c>
      <c r="G2712" s="679">
        <v>16.66</v>
      </c>
      <c r="H2712" t="b">
        <f t="shared" si="85"/>
        <v>1</v>
      </c>
    </row>
    <row r="2713" spans="1:8">
      <c r="A2713" s="395">
        <v>3911</v>
      </c>
      <c r="B2713" s="406" t="s">
        <v>11444</v>
      </c>
      <c r="C2713" s="395" t="s">
        <v>2021</v>
      </c>
      <c r="D2713" s="407">
        <f t="shared" si="84"/>
        <v>13.61</v>
      </c>
      <c r="F2713" s="680">
        <v>13.61</v>
      </c>
      <c r="G2713" s="680">
        <v>13.61</v>
      </c>
      <c r="H2713" t="b">
        <f t="shared" si="85"/>
        <v>1</v>
      </c>
    </row>
    <row r="2714" spans="1:8">
      <c r="A2714" s="396">
        <v>3908</v>
      </c>
      <c r="B2714" s="401" t="s">
        <v>11445</v>
      </c>
      <c r="C2714" s="396" t="s">
        <v>2021</v>
      </c>
      <c r="D2714" s="405">
        <f t="shared" si="84"/>
        <v>4.4000000000000004</v>
      </c>
      <c r="F2714" s="679">
        <v>4.4000000000000004</v>
      </c>
      <c r="G2714" s="679">
        <v>4.4000000000000004</v>
      </c>
      <c r="H2714" t="b">
        <f t="shared" si="85"/>
        <v>1</v>
      </c>
    </row>
    <row r="2715" spans="1:8">
      <c r="A2715" s="395">
        <v>3910</v>
      </c>
      <c r="B2715" s="406" t="s">
        <v>11446</v>
      </c>
      <c r="C2715" s="395" t="s">
        <v>2021</v>
      </c>
      <c r="D2715" s="407">
        <f t="shared" si="84"/>
        <v>9.74</v>
      </c>
      <c r="F2715" s="680">
        <v>9.74</v>
      </c>
      <c r="G2715" s="680">
        <v>9.74</v>
      </c>
      <c r="H2715" t="b">
        <f t="shared" si="85"/>
        <v>1</v>
      </c>
    </row>
    <row r="2716" spans="1:8">
      <c r="A2716" s="396">
        <v>3913</v>
      </c>
      <c r="B2716" s="401" t="s">
        <v>11447</v>
      </c>
      <c r="C2716" s="396" t="s">
        <v>2021</v>
      </c>
      <c r="D2716" s="405">
        <f t="shared" si="84"/>
        <v>46.55</v>
      </c>
      <c r="F2716" s="679">
        <v>46.55</v>
      </c>
      <c r="G2716" s="679">
        <v>46.55</v>
      </c>
      <c r="H2716" t="b">
        <f t="shared" si="85"/>
        <v>1</v>
      </c>
    </row>
    <row r="2717" spans="1:8">
      <c r="A2717" s="395">
        <v>3912</v>
      </c>
      <c r="B2717" s="406" t="s">
        <v>11448</v>
      </c>
      <c r="C2717" s="395" t="s">
        <v>2021</v>
      </c>
      <c r="D2717" s="407">
        <f t="shared" si="84"/>
        <v>25.52</v>
      </c>
      <c r="F2717" s="680">
        <v>25.52</v>
      </c>
      <c r="G2717" s="680">
        <v>25.52</v>
      </c>
      <c r="H2717" t="b">
        <f t="shared" si="85"/>
        <v>1</v>
      </c>
    </row>
    <row r="2718" spans="1:8">
      <c r="A2718" s="396">
        <v>3909</v>
      </c>
      <c r="B2718" s="401" t="s">
        <v>11449</v>
      </c>
      <c r="C2718" s="396" t="s">
        <v>2021</v>
      </c>
      <c r="D2718" s="405">
        <f t="shared" si="84"/>
        <v>5.99</v>
      </c>
      <c r="F2718" s="679">
        <v>5.99</v>
      </c>
      <c r="G2718" s="679">
        <v>5.99</v>
      </c>
      <c r="H2718" t="b">
        <f t="shared" si="85"/>
        <v>1</v>
      </c>
    </row>
    <row r="2719" spans="1:8">
      <c r="A2719" s="395">
        <v>3914</v>
      </c>
      <c r="B2719" s="406" t="s">
        <v>11450</v>
      </c>
      <c r="C2719" s="395" t="s">
        <v>2021</v>
      </c>
      <c r="D2719" s="407">
        <f t="shared" si="84"/>
        <v>70.23</v>
      </c>
      <c r="F2719" s="680">
        <v>70.23</v>
      </c>
      <c r="G2719" s="680">
        <v>70.23</v>
      </c>
      <c r="H2719" t="b">
        <f t="shared" si="85"/>
        <v>1</v>
      </c>
    </row>
    <row r="2720" spans="1:8">
      <c r="A2720" s="396">
        <v>3915</v>
      </c>
      <c r="B2720" s="401" t="s">
        <v>11451</v>
      </c>
      <c r="C2720" s="396" t="s">
        <v>2021</v>
      </c>
      <c r="D2720" s="405">
        <f t="shared" si="84"/>
        <v>110.75</v>
      </c>
      <c r="F2720" s="679">
        <v>110.75</v>
      </c>
      <c r="G2720" s="679">
        <v>110.75</v>
      </c>
      <c r="H2720" t="b">
        <f t="shared" si="85"/>
        <v>1</v>
      </c>
    </row>
    <row r="2721" spans="1:8">
      <c r="A2721" s="395">
        <v>3916</v>
      </c>
      <c r="B2721" s="406" t="s">
        <v>11452</v>
      </c>
      <c r="C2721" s="395" t="s">
        <v>2021</v>
      </c>
      <c r="D2721" s="407">
        <f t="shared" si="84"/>
        <v>201.77</v>
      </c>
      <c r="F2721" s="680">
        <v>201.77</v>
      </c>
      <c r="G2721" s="680">
        <v>201.77</v>
      </c>
      <c r="H2721" t="b">
        <f t="shared" si="85"/>
        <v>1</v>
      </c>
    </row>
    <row r="2722" spans="1:8">
      <c r="A2722" s="396">
        <v>3917</v>
      </c>
      <c r="B2722" s="401" t="s">
        <v>11453</v>
      </c>
      <c r="C2722" s="396" t="s">
        <v>2021</v>
      </c>
      <c r="D2722" s="405">
        <f t="shared" si="84"/>
        <v>332.8</v>
      </c>
      <c r="F2722" s="679">
        <v>332.8</v>
      </c>
      <c r="G2722" s="679">
        <v>332.8</v>
      </c>
      <c r="H2722" t="b">
        <f t="shared" si="85"/>
        <v>1</v>
      </c>
    </row>
    <row r="2723" spans="1:8">
      <c r="A2723" s="395">
        <v>1904</v>
      </c>
      <c r="B2723" s="406" t="s">
        <v>11454</v>
      </c>
      <c r="C2723" s="395" t="s">
        <v>2021</v>
      </c>
      <c r="D2723" s="407">
        <f t="shared" si="84"/>
        <v>0.98</v>
      </c>
      <c r="F2723" s="680">
        <v>0.98</v>
      </c>
      <c r="G2723" s="680">
        <v>0.98</v>
      </c>
      <c r="H2723" t="b">
        <f t="shared" si="85"/>
        <v>1</v>
      </c>
    </row>
    <row r="2724" spans="1:8">
      <c r="A2724" s="396">
        <v>1899</v>
      </c>
      <c r="B2724" s="401" t="s">
        <v>11455</v>
      </c>
      <c r="C2724" s="396" t="s">
        <v>2021</v>
      </c>
      <c r="D2724" s="405">
        <f t="shared" si="84"/>
        <v>1.1100000000000001</v>
      </c>
      <c r="F2724" s="679">
        <v>1.1100000000000001</v>
      </c>
      <c r="G2724" s="679">
        <v>1.1100000000000001</v>
      </c>
      <c r="H2724" t="b">
        <f t="shared" si="85"/>
        <v>1</v>
      </c>
    </row>
    <row r="2725" spans="1:8">
      <c r="A2725" s="395">
        <v>1900</v>
      </c>
      <c r="B2725" s="406" t="s">
        <v>11456</v>
      </c>
      <c r="C2725" s="395" t="s">
        <v>2021</v>
      </c>
      <c r="D2725" s="407">
        <f t="shared" si="84"/>
        <v>1.8</v>
      </c>
      <c r="F2725" s="680">
        <v>1.8</v>
      </c>
      <c r="G2725" s="680">
        <v>1.8</v>
      </c>
      <c r="H2725" t="b">
        <f t="shared" si="85"/>
        <v>1</v>
      </c>
    </row>
    <row r="2726" spans="1:8">
      <c r="A2726" s="396">
        <v>12407</v>
      </c>
      <c r="B2726" s="401" t="s">
        <v>11457</v>
      </c>
      <c r="C2726" s="396" t="s">
        <v>2021</v>
      </c>
      <c r="D2726" s="405">
        <f t="shared" si="84"/>
        <v>25.19</v>
      </c>
      <c r="F2726" s="679">
        <v>25.19</v>
      </c>
      <c r="G2726" s="679">
        <v>25.19</v>
      </c>
      <c r="H2726" t="b">
        <f t="shared" si="85"/>
        <v>1</v>
      </c>
    </row>
    <row r="2727" spans="1:8">
      <c r="A2727" s="395">
        <v>12408</v>
      </c>
      <c r="B2727" s="406" t="s">
        <v>11458</v>
      </c>
      <c r="C2727" s="395" t="s">
        <v>2021</v>
      </c>
      <c r="D2727" s="407">
        <f t="shared" si="84"/>
        <v>14.22</v>
      </c>
      <c r="F2727" s="680">
        <v>14.22</v>
      </c>
      <c r="G2727" s="680">
        <v>14.22</v>
      </c>
      <c r="H2727" t="b">
        <f t="shared" si="85"/>
        <v>1</v>
      </c>
    </row>
    <row r="2728" spans="1:8">
      <c r="A2728" s="396">
        <v>12409</v>
      </c>
      <c r="B2728" s="401" t="s">
        <v>11459</v>
      </c>
      <c r="C2728" s="396" t="s">
        <v>2021</v>
      </c>
      <c r="D2728" s="405">
        <f t="shared" si="84"/>
        <v>14.22</v>
      </c>
      <c r="F2728" s="679">
        <v>14.22</v>
      </c>
      <c r="G2728" s="679">
        <v>14.22</v>
      </c>
      <c r="H2728" t="b">
        <f t="shared" si="85"/>
        <v>1</v>
      </c>
    </row>
    <row r="2729" spans="1:8">
      <c r="A2729" s="395">
        <v>12410</v>
      </c>
      <c r="B2729" s="406" t="s">
        <v>11460</v>
      </c>
      <c r="C2729" s="395" t="s">
        <v>2021</v>
      </c>
      <c r="D2729" s="407">
        <f t="shared" si="84"/>
        <v>9.7899999999999991</v>
      </c>
      <c r="F2729" s="680">
        <v>9.7899999999999991</v>
      </c>
      <c r="G2729" s="680">
        <v>9.7899999999999991</v>
      </c>
      <c r="H2729" t="b">
        <f t="shared" si="85"/>
        <v>1</v>
      </c>
    </row>
    <row r="2730" spans="1:8">
      <c r="A2730" s="396">
        <v>3936</v>
      </c>
      <c r="B2730" s="401" t="s">
        <v>11461</v>
      </c>
      <c r="C2730" s="396" t="s">
        <v>2021</v>
      </c>
      <c r="D2730" s="405">
        <f t="shared" si="84"/>
        <v>17.7</v>
      </c>
      <c r="F2730" s="679">
        <v>17.7</v>
      </c>
      <c r="G2730" s="679">
        <v>17.7</v>
      </c>
      <c r="H2730" t="b">
        <f t="shared" si="85"/>
        <v>1</v>
      </c>
    </row>
    <row r="2731" spans="1:8">
      <c r="A2731" s="395">
        <v>3922</v>
      </c>
      <c r="B2731" s="406" t="s">
        <v>11462</v>
      </c>
      <c r="C2731" s="395" t="s">
        <v>2021</v>
      </c>
      <c r="D2731" s="407">
        <f t="shared" si="84"/>
        <v>16.28</v>
      </c>
      <c r="F2731" s="680">
        <v>16.28</v>
      </c>
      <c r="G2731" s="680">
        <v>16.28</v>
      </c>
      <c r="H2731" t="b">
        <f t="shared" si="85"/>
        <v>1</v>
      </c>
    </row>
    <row r="2732" spans="1:8">
      <c r="A2732" s="396">
        <v>3924</v>
      </c>
      <c r="B2732" s="401" t="s">
        <v>11463</v>
      </c>
      <c r="C2732" s="396" t="s">
        <v>2021</v>
      </c>
      <c r="D2732" s="405">
        <f t="shared" si="84"/>
        <v>17.7</v>
      </c>
      <c r="F2732" s="679">
        <v>17.7</v>
      </c>
      <c r="G2732" s="679">
        <v>17.7</v>
      </c>
      <c r="H2732" t="b">
        <f t="shared" si="85"/>
        <v>1</v>
      </c>
    </row>
    <row r="2733" spans="1:8">
      <c r="A2733" s="395">
        <v>3923</v>
      </c>
      <c r="B2733" s="406" t="s">
        <v>11464</v>
      </c>
      <c r="C2733" s="395" t="s">
        <v>2021</v>
      </c>
      <c r="D2733" s="407">
        <f t="shared" si="84"/>
        <v>17.7</v>
      </c>
      <c r="F2733" s="680">
        <v>17.7</v>
      </c>
      <c r="G2733" s="680">
        <v>17.7</v>
      </c>
      <c r="H2733" t="b">
        <f t="shared" si="85"/>
        <v>1</v>
      </c>
    </row>
    <row r="2734" spans="1:8">
      <c r="A2734" s="396">
        <v>3937</v>
      </c>
      <c r="B2734" s="401" t="s">
        <v>11465</v>
      </c>
      <c r="C2734" s="396" t="s">
        <v>2021</v>
      </c>
      <c r="D2734" s="405">
        <f t="shared" si="84"/>
        <v>14.6</v>
      </c>
      <c r="F2734" s="679">
        <v>14.6</v>
      </c>
      <c r="G2734" s="679">
        <v>14.6</v>
      </c>
      <c r="H2734" t="b">
        <f t="shared" si="85"/>
        <v>1</v>
      </c>
    </row>
    <row r="2735" spans="1:8">
      <c r="A2735" s="395">
        <v>3921</v>
      </c>
      <c r="B2735" s="406" t="s">
        <v>11466</v>
      </c>
      <c r="C2735" s="395" t="s">
        <v>2021</v>
      </c>
      <c r="D2735" s="407">
        <f t="shared" si="84"/>
        <v>14.61</v>
      </c>
      <c r="F2735" s="680">
        <v>14.61</v>
      </c>
      <c r="G2735" s="680">
        <v>14.61</v>
      </c>
      <c r="H2735" t="b">
        <f t="shared" si="85"/>
        <v>1</v>
      </c>
    </row>
    <row r="2736" spans="1:8">
      <c r="A2736" s="396">
        <v>3920</v>
      </c>
      <c r="B2736" s="401" t="s">
        <v>11467</v>
      </c>
      <c r="C2736" s="396" t="s">
        <v>2021</v>
      </c>
      <c r="D2736" s="405">
        <f t="shared" si="84"/>
        <v>14.6</v>
      </c>
      <c r="F2736" s="679">
        <v>14.6</v>
      </c>
      <c r="G2736" s="679">
        <v>14.6</v>
      </c>
      <c r="H2736" t="b">
        <f t="shared" si="85"/>
        <v>1</v>
      </c>
    </row>
    <row r="2737" spans="1:8">
      <c r="A2737" s="395">
        <v>3938</v>
      </c>
      <c r="B2737" s="406" t="s">
        <v>11468</v>
      </c>
      <c r="C2737" s="395" t="s">
        <v>2021</v>
      </c>
      <c r="D2737" s="407">
        <f t="shared" si="84"/>
        <v>9.6300000000000008</v>
      </c>
      <c r="F2737" s="680">
        <v>9.6300000000000008</v>
      </c>
      <c r="G2737" s="680">
        <v>9.6300000000000008</v>
      </c>
      <c r="H2737" t="b">
        <f t="shared" si="85"/>
        <v>1</v>
      </c>
    </row>
    <row r="2738" spans="1:8">
      <c r="A2738" s="396">
        <v>3919</v>
      </c>
      <c r="B2738" s="401" t="s">
        <v>11469</v>
      </c>
      <c r="C2738" s="396" t="s">
        <v>2021</v>
      </c>
      <c r="D2738" s="405">
        <f t="shared" si="84"/>
        <v>9.81</v>
      </c>
      <c r="F2738" s="679">
        <v>9.81</v>
      </c>
      <c r="G2738" s="679">
        <v>9.81</v>
      </c>
      <c r="H2738" t="b">
        <f t="shared" si="85"/>
        <v>1</v>
      </c>
    </row>
    <row r="2739" spans="1:8">
      <c r="A2739" s="395">
        <v>3927</v>
      </c>
      <c r="B2739" s="406" t="s">
        <v>11470</v>
      </c>
      <c r="C2739" s="395" t="s">
        <v>2021</v>
      </c>
      <c r="D2739" s="407">
        <f t="shared" si="84"/>
        <v>49.71</v>
      </c>
      <c r="F2739" s="680">
        <v>49.71</v>
      </c>
      <c r="G2739" s="680">
        <v>49.71</v>
      </c>
      <c r="H2739" t="b">
        <f t="shared" si="85"/>
        <v>1</v>
      </c>
    </row>
    <row r="2740" spans="1:8">
      <c r="A2740" s="396">
        <v>3928</v>
      </c>
      <c r="B2740" s="401" t="s">
        <v>11471</v>
      </c>
      <c r="C2740" s="396" t="s">
        <v>2021</v>
      </c>
      <c r="D2740" s="405">
        <f t="shared" si="84"/>
        <v>49.71</v>
      </c>
      <c r="F2740" s="679">
        <v>49.71</v>
      </c>
      <c r="G2740" s="679">
        <v>49.71</v>
      </c>
      <c r="H2740" t="b">
        <f t="shared" si="85"/>
        <v>1</v>
      </c>
    </row>
    <row r="2741" spans="1:8">
      <c r="A2741" s="395">
        <v>3926</v>
      </c>
      <c r="B2741" s="406" t="s">
        <v>11472</v>
      </c>
      <c r="C2741" s="395" t="s">
        <v>2021</v>
      </c>
      <c r="D2741" s="407">
        <f t="shared" si="84"/>
        <v>28.34</v>
      </c>
      <c r="F2741" s="680">
        <v>28.34</v>
      </c>
      <c r="G2741" s="680">
        <v>28.34</v>
      </c>
      <c r="H2741" t="b">
        <f t="shared" si="85"/>
        <v>1</v>
      </c>
    </row>
    <row r="2742" spans="1:8">
      <c r="A2742" s="396">
        <v>3935</v>
      </c>
      <c r="B2742" s="401" t="s">
        <v>11473</v>
      </c>
      <c r="C2742" s="396" t="s">
        <v>2021</v>
      </c>
      <c r="D2742" s="405">
        <f t="shared" si="84"/>
        <v>28.34</v>
      </c>
      <c r="F2742" s="679">
        <v>28.34</v>
      </c>
      <c r="G2742" s="679">
        <v>28.34</v>
      </c>
      <c r="H2742" t="b">
        <f t="shared" si="85"/>
        <v>1</v>
      </c>
    </row>
    <row r="2743" spans="1:8">
      <c r="A2743" s="395">
        <v>3925</v>
      </c>
      <c r="B2743" s="406" t="s">
        <v>11474</v>
      </c>
      <c r="C2743" s="395" t="s">
        <v>2021</v>
      </c>
      <c r="D2743" s="407">
        <f t="shared" si="84"/>
        <v>28.34</v>
      </c>
      <c r="F2743" s="680">
        <v>28.34</v>
      </c>
      <c r="G2743" s="680">
        <v>28.34</v>
      </c>
      <c r="H2743" t="b">
        <f t="shared" si="85"/>
        <v>1</v>
      </c>
    </row>
    <row r="2744" spans="1:8">
      <c r="A2744" s="396">
        <v>12406</v>
      </c>
      <c r="B2744" s="401" t="s">
        <v>11475</v>
      </c>
      <c r="C2744" s="396" t="s">
        <v>2021</v>
      </c>
      <c r="D2744" s="405">
        <f t="shared" si="84"/>
        <v>6.96</v>
      </c>
      <c r="F2744" s="679">
        <v>6.96</v>
      </c>
      <c r="G2744" s="679">
        <v>6.96</v>
      </c>
      <c r="H2744" t="b">
        <f t="shared" si="85"/>
        <v>1</v>
      </c>
    </row>
    <row r="2745" spans="1:8">
      <c r="A2745" s="395">
        <v>3929</v>
      </c>
      <c r="B2745" s="406" t="s">
        <v>11476</v>
      </c>
      <c r="C2745" s="395" t="s">
        <v>2021</v>
      </c>
      <c r="D2745" s="407">
        <f t="shared" si="84"/>
        <v>75.739999999999995</v>
      </c>
      <c r="F2745" s="680">
        <v>75.739999999999995</v>
      </c>
      <c r="G2745" s="680">
        <v>75.739999999999995</v>
      </c>
      <c r="H2745" t="b">
        <f t="shared" si="85"/>
        <v>1</v>
      </c>
    </row>
    <row r="2746" spans="1:8">
      <c r="A2746" s="396">
        <v>3931</v>
      </c>
      <c r="B2746" s="401" t="s">
        <v>11477</v>
      </c>
      <c r="C2746" s="396" t="s">
        <v>2021</v>
      </c>
      <c r="D2746" s="405">
        <f t="shared" si="84"/>
        <v>75.739999999999995</v>
      </c>
      <c r="F2746" s="679">
        <v>75.739999999999995</v>
      </c>
      <c r="G2746" s="679">
        <v>75.739999999999995</v>
      </c>
      <c r="H2746" t="b">
        <f t="shared" si="85"/>
        <v>1</v>
      </c>
    </row>
    <row r="2747" spans="1:8">
      <c r="A2747" s="395">
        <v>3930</v>
      </c>
      <c r="B2747" s="406" t="s">
        <v>11478</v>
      </c>
      <c r="C2747" s="395" t="s">
        <v>2021</v>
      </c>
      <c r="D2747" s="407">
        <f t="shared" si="84"/>
        <v>75.739999999999995</v>
      </c>
      <c r="F2747" s="680">
        <v>75.739999999999995</v>
      </c>
      <c r="G2747" s="680">
        <v>75.739999999999995</v>
      </c>
      <c r="H2747" t="b">
        <f t="shared" si="85"/>
        <v>1</v>
      </c>
    </row>
    <row r="2748" spans="1:8">
      <c r="A2748" s="396">
        <v>3932</v>
      </c>
      <c r="B2748" s="401" t="s">
        <v>11479</v>
      </c>
      <c r="C2748" s="396" t="s">
        <v>2021</v>
      </c>
      <c r="D2748" s="405">
        <f t="shared" si="84"/>
        <v>130.78</v>
      </c>
      <c r="F2748" s="679">
        <v>130.78</v>
      </c>
      <c r="G2748" s="679">
        <v>130.78</v>
      </c>
      <c r="H2748" t="b">
        <f t="shared" si="85"/>
        <v>1</v>
      </c>
    </row>
    <row r="2749" spans="1:8">
      <c r="A2749" s="395">
        <v>3933</v>
      </c>
      <c r="B2749" s="406" t="s">
        <v>11480</v>
      </c>
      <c r="C2749" s="395" t="s">
        <v>2021</v>
      </c>
      <c r="D2749" s="407">
        <f t="shared" si="84"/>
        <v>130.78</v>
      </c>
      <c r="F2749" s="680">
        <v>130.78</v>
      </c>
      <c r="G2749" s="680">
        <v>130.78</v>
      </c>
      <c r="H2749" t="b">
        <f t="shared" si="85"/>
        <v>1</v>
      </c>
    </row>
    <row r="2750" spans="1:8">
      <c r="A2750" s="396">
        <v>3934</v>
      </c>
      <c r="B2750" s="401" t="s">
        <v>11481</v>
      </c>
      <c r="C2750" s="396" t="s">
        <v>2021</v>
      </c>
      <c r="D2750" s="405">
        <f t="shared" si="84"/>
        <v>130.78</v>
      </c>
      <c r="F2750" s="679">
        <v>130.78</v>
      </c>
      <c r="G2750" s="679">
        <v>130.78</v>
      </c>
      <c r="H2750" t="b">
        <f t="shared" si="85"/>
        <v>1</v>
      </c>
    </row>
    <row r="2751" spans="1:8">
      <c r="A2751" s="395">
        <v>40355</v>
      </c>
      <c r="B2751" s="406" t="s">
        <v>11482</v>
      </c>
      <c r="C2751" s="395" t="s">
        <v>2021</v>
      </c>
      <c r="D2751" s="407">
        <f t="shared" si="84"/>
        <v>14.01</v>
      </c>
      <c r="F2751" s="680">
        <v>14.01</v>
      </c>
      <c r="G2751" s="680">
        <v>14.01</v>
      </c>
      <c r="H2751" t="b">
        <f t="shared" si="85"/>
        <v>1</v>
      </c>
    </row>
    <row r="2752" spans="1:8">
      <c r="A2752" s="396">
        <v>40364</v>
      </c>
      <c r="B2752" s="401" t="s">
        <v>11483</v>
      </c>
      <c r="C2752" s="396" t="s">
        <v>2021</v>
      </c>
      <c r="D2752" s="405">
        <f t="shared" si="84"/>
        <v>65.62</v>
      </c>
      <c r="F2752" s="679">
        <v>65.62</v>
      </c>
      <c r="G2752" s="679">
        <v>65.62</v>
      </c>
      <c r="H2752" t="b">
        <f t="shared" si="85"/>
        <v>1</v>
      </c>
    </row>
    <row r="2753" spans="1:8">
      <c r="A2753" s="395">
        <v>40361</v>
      </c>
      <c r="B2753" s="406" t="s">
        <v>11484</v>
      </c>
      <c r="C2753" s="395" t="s">
        <v>2021</v>
      </c>
      <c r="D2753" s="407">
        <f t="shared" si="84"/>
        <v>51.31</v>
      </c>
      <c r="F2753" s="680">
        <v>51.31</v>
      </c>
      <c r="G2753" s="680">
        <v>51.31</v>
      </c>
      <c r="H2753" t="b">
        <f t="shared" si="85"/>
        <v>1</v>
      </c>
    </row>
    <row r="2754" spans="1:8">
      <c r="A2754" s="396">
        <v>40358</v>
      </c>
      <c r="B2754" s="401" t="s">
        <v>11485</v>
      </c>
      <c r="C2754" s="396" t="s">
        <v>2021</v>
      </c>
      <c r="D2754" s="405">
        <f t="shared" si="84"/>
        <v>19.559999999999999</v>
      </c>
      <c r="F2754" s="679">
        <v>19.559999999999999</v>
      </c>
      <c r="G2754" s="679">
        <v>19.559999999999999</v>
      </c>
      <c r="H2754" t="b">
        <f t="shared" si="85"/>
        <v>1</v>
      </c>
    </row>
    <row r="2755" spans="1:8">
      <c r="A2755" s="395">
        <v>40370</v>
      </c>
      <c r="B2755" s="406" t="s">
        <v>11486</v>
      </c>
      <c r="C2755" s="395" t="s">
        <v>2021</v>
      </c>
      <c r="D2755" s="407">
        <f t="shared" ref="D2755:D2818" si="86">IF($J$2=$F$1,F2755,G2755)</f>
        <v>208.22</v>
      </c>
      <c r="F2755" s="680">
        <v>208.22</v>
      </c>
      <c r="G2755" s="680">
        <v>208.22</v>
      </c>
      <c r="H2755" t="b">
        <f t="shared" ref="H2755:H2818" si="87">F2755=G2755</f>
        <v>1</v>
      </c>
    </row>
    <row r="2756" spans="1:8">
      <c r="A2756" s="396">
        <v>40367</v>
      </c>
      <c r="B2756" s="401" t="s">
        <v>11487</v>
      </c>
      <c r="C2756" s="396" t="s">
        <v>2021</v>
      </c>
      <c r="D2756" s="405">
        <f t="shared" si="86"/>
        <v>103.49</v>
      </c>
      <c r="F2756" s="679">
        <v>103.49</v>
      </c>
      <c r="G2756" s="679">
        <v>103.49</v>
      </c>
      <c r="H2756" t="b">
        <f t="shared" si="87"/>
        <v>1</v>
      </c>
    </row>
    <row r="2757" spans="1:8">
      <c r="A2757" s="395">
        <v>40373</v>
      </c>
      <c r="B2757" s="406" t="s">
        <v>11488</v>
      </c>
      <c r="C2757" s="395" t="s">
        <v>2021</v>
      </c>
      <c r="D2757" s="407">
        <f t="shared" si="86"/>
        <v>281.56</v>
      </c>
      <c r="F2757" s="680">
        <v>281.56</v>
      </c>
      <c r="G2757" s="680">
        <v>281.56</v>
      </c>
      <c r="H2757" t="b">
        <f t="shared" si="87"/>
        <v>1</v>
      </c>
    </row>
    <row r="2758" spans="1:8">
      <c r="A2758" s="396">
        <v>39312</v>
      </c>
      <c r="B2758" s="401" t="s">
        <v>11489</v>
      </c>
      <c r="C2758" s="396" t="s">
        <v>2021</v>
      </c>
      <c r="D2758" s="405">
        <f t="shared" si="86"/>
        <v>14.11</v>
      </c>
      <c r="F2758" s="679">
        <v>14.11</v>
      </c>
      <c r="G2758" s="679">
        <v>14.11</v>
      </c>
      <c r="H2758" t="b">
        <f t="shared" si="87"/>
        <v>1</v>
      </c>
    </row>
    <row r="2759" spans="1:8">
      <c r="A2759" s="395">
        <v>39313</v>
      </c>
      <c r="B2759" s="406" t="s">
        <v>11490</v>
      </c>
      <c r="C2759" s="395" t="s">
        <v>2021</v>
      </c>
      <c r="D2759" s="407">
        <f t="shared" si="86"/>
        <v>18.41</v>
      </c>
      <c r="F2759" s="680">
        <v>18.41</v>
      </c>
      <c r="G2759" s="680">
        <v>18.41</v>
      </c>
      <c r="H2759" t="b">
        <f t="shared" si="87"/>
        <v>1</v>
      </c>
    </row>
    <row r="2760" spans="1:8">
      <c r="A2760" s="396">
        <v>39314</v>
      </c>
      <c r="B2760" s="401" t="s">
        <v>11491</v>
      </c>
      <c r="C2760" s="396" t="s">
        <v>2021</v>
      </c>
      <c r="D2760" s="405">
        <f t="shared" si="86"/>
        <v>29.24</v>
      </c>
      <c r="F2760" s="679">
        <v>29.24</v>
      </c>
      <c r="G2760" s="679">
        <v>29.24</v>
      </c>
      <c r="H2760" t="b">
        <f t="shared" si="87"/>
        <v>1</v>
      </c>
    </row>
    <row r="2761" spans="1:8">
      <c r="A2761" s="395">
        <v>3907</v>
      </c>
      <c r="B2761" s="406" t="s">
        <v>11492</v>
      </c>
      <c r="C2761" s="395" t="s">
        <v>2021</v>
      </c>
      <c r="D2761" s="407">
        <f t="shared" si="86"/>
        <v>6.76</v>
      </c>
      <c r="F2761" s="680">
        <v>6.76</v>
      </c>
      <c r="G2761" s="680">
        <v>6.76</v>
      </c>
      <c r="H2761" t="b">
        <f t="shared" si="87"/>
        <v>1</v>
      </c>
    </row>
    <row r="2762" spans="1:8">
      <c r="A2762" s="396">
        <v>3889</v>
      </c>
      <c r="B2762" s="401" t="s">
        <v>11493</v>
      </c>
      <c r="C2762" s="396" t="s">
        <v>2021</v>
      </c>
      <c r="D2762" s="405">
        <f t="shared" si="86"/>
        <v>4.8099999999999996</v>
      </c>
      <c r="F2762" s="679">
        <v>4.8099999999999996</v>
      </c>
      <c r="G2762" s="679">
        <v>4.8099999999999996</v>
      </c>
      <c r="H2762" t="b">
        <f t="shared" si="87"/>
        <v>1</v>
      </c>
    </row>
    <row r="2763" spans="1:8">
      <c r="A2763" s="395">
        <v>3868</v>
      </c>
      <c r="B2763" s="406" t="s">
        <v>11494</v>
      </c>
      <c r="C2763" s="395" t="s">
        <v>2021</v>
      </c>
      <c r="D2763" s="407">
        <f t="shared" si="86"/>
        <v>1.77</v>
      </c>
      <c r="F2763" s="680">
        <v>1.77</v>
      </c>
      <c r="G2763" s="680">
        <v>1.77</v>
      </c>
      <c r="H2763" t="b">
        <f t="shared" si="87"/>
        <v>1</v>
      </c>
    </row>
    <row r="2764" spans="1:8">
      <c r="A2764" s="396">
        <v>3869</v>
      </c>
      <c r="B2764" s="401" t="s">
        <v>11495</v>
      </c>
      <c r="C2764" s="396" t="s">
        <v>2021</v>
      </c>
      <c r="D2764" s="405">
        <f t="shared" si="86"/>
        <v>3.91</v>
      </c>
      <c r="F2764" s="679">
        <v>3.91</v>
      </c>
      <c r="G2764" s="679">
        <v>3.91</v>
      </c>
      <c r="H2764" t="b">
        <f t="shared" si="87"/>
        <v>1</v>
      </c>
    </row>
    <row r="2765" spans="1:8">
      <c r="A2765" s="395">
        <v>3872</v>
      </c>
      <c r="B2765" s="406" t="s">
        <v>11496</v>
      </c>
      <c r="C2765" s="395" t="s">
        <v>2021</v>
      </c>
      <c r="D2765" s="407">
        <f t="shared" si="86"/>
        <v>6.67</v>
      </c>
      <c r="F2765" s="680">
        <v>6.67</v>
      </c>
      <c r="G2765" s="680">
        <v>6.67</v>
      </c>
      <c r="H2765" t="b">
        <f t="shared" si="87"/>
        <v>1</v>
      </c>
    </row>
    <row r="2766" spans="1:8">
      <c r="A2766" s="396">
        <v>3850</v>
      </c>
      <c r="B2766" s="401" t="s">
        <v>11497</v>
      </c>
      <c r="C2766" s="396" t="s">
        <v>2021</v>
      </c>
      <c r="D2766" s="405">
        <f t="shared" si="86"/>
        <v>15.4</v>
      </c>
      <c r="F2766" s="679">
        <v>15.4</v>
      </c>
      <c r="G2766" s="679">
        <v>15.4</v>
      </c>
      <c r="H2766" t="b">
        <f t="shared" si="87"/>
        <v>1</v>
      </c>
    </row>
    <row r="2767" spans="1:8">
      <c r="A2767" s="395">
        <v>38023</v>
      </c>
      <c r="B2767" s="406" t="s">
        <v>11498</v>
      </c>
      <c r="C2767" s="395" t="s">
        <v>2021</v>
      </c>
      <c r="D2767" s="407">
        <f t="shared" si="86"/>
        <v>7.84</v>
      </c>
      <c r="F2767" s="680">
        <v>7.84</v>
      </c>
      <c r="G2767" s="680">
        <v>7.84</v>
      </c>
      <c r="H2767" t="b">
        <f t="shared" si="87"/>
        <v>1</v>
      </c>
    </row>
    <row r="2768" spans="1:8">
      <c r="A2768" s="396">
        <v>37986</v>
      </c>
      <c r="B2768" s="401" t="s">
        <v>11499</v>
      </c>
      <c r="C2768" s="396" t="s">
        <v>2021</v>
      </c>
      <c r="D2768" s="405">
        <f t="shared" si="86"/>
        <v>2.2599999999999998</v>
      </c>
      <c r="F2768" s="679">
        <v>2.2599999999999998</v>
      </c>
      <c r="G2768" s="679">
        <v>2.2599999999999998</v>
      </c>
      <c r="H2768" t="b">
        <f t="shared" si="87"/>
        <v>1</v>
      </c>
    </row>
    <row r="2769" spans="1:8">
      <c r="A2769" s="395">
        <v>37987</v>
      </c>
      <c r="B2769" s="406" t="s">
        <v>11500</v>
      </c>
      <c r="C2769" s="395" t="s">
        <v>2021</v>
      </c>
      <c r="D2769" s="407">
        <f t="shared" si="86"/>
        <v>112.72</v>
      </c>
      <c r="F2769" s="680">
        <v>112.72</v>
      </c>
      <c r="G2769" s="680">
        <v>112.72</v>
      </c>
      <c r="H2769" t="b">
        <f t="shared" si="87"/>
        <v>1</v>
      </c>
    </row>
    <row r="2770" spans="1:8">
      <c r="A2770" s="396">
        <v>37988</v>
      </c>
      <c r="B2770" s="401" t="s">
        <v>11501</v>
      </c>
      <c r="C2770" s="396" t="s">
        <v>2021</v>
      </c>
      <c r="D2770" s="405">
        <f t="shared" si="86"/>
        <v>179.12</v>
      </c>
      <c r="F2770" s="679">
        <v>179.12</v>
      </c>
      <c r="G2770" s="679">
        <v>179.12</v>
      </c>
      <c r="H2770" t="b">
        <f t="shared" si="87"/>
        <v>1</v>
      </c>
    </row>
    <row r="2771" spans="1:8">
      <c r="A2771" s="395">
        <v>21120</v>
      </c>
      <c r="B2771" s="406" t="s">
        <v>11502</v>
      </c>
      <c r="C2771" s="395" t="s">
        <v>2021</v>
      </c>
      <c r="D2771" s="407">
        <f t="shared" si="86"/>
        <v>11.53</v>
      </c>
      <c r="F2771" s="680">
        <v>11.53</v>
      </c>
      <c r="G2771" s="680">
        <v>11.53</v>
      </c>
      <c r="H2771" t="b">
        <f t="shared" si="87"/>
        <v>1</v>
      </c>
    </row>
    <row r="2772" spans="1:8">
      <c r="A2772" s="396">
        <v>39318</v>
      </c>
      <c r="B2772" s="401" t="s">
        <v>11503</v>
      </c>
      <c r="C2772" s="396" t="s">
        <v>2021</v>
      </c>
      <c r="D2772" s="405">
        <f t="shared" si="86"/>
        <v>10.72</v>
      </c>
      <c r="F2772" s="679">
        <v>10.72</v>
      </c>
      <c r="G2772" s="679">
        <v>10.72</v>
      </c>
      <c r="H2772" t="b">
        <f t="shared" si="87"/>
        <v>1</v>
      </c>
    </row>
    <row r="2773" spans="1:8">
      <c r="A2773" s="395">
        <v>40366</v>
      </c>
      <c r="B2773" s="406" t="s">
        <v>11504</v>
      </c>
      <c r="C2773" s="395" t="s">
        <v>2021</v>
      </c>
      <c r="D2773" s="407">
        <f t="shared" si="86"/>
        <v>51.19</v>
      </c>
      <c r="F2773" s="680">
        <v>51.19</v>
      </c>
      <c r="G2773" s="680">
        <v>51.19</v>
      </c>
      <c r="H2773" t="b">
        <f t="shared" si="87"/>
        <v>1</v>
      </c>
    </row>
    <row r="2774" spans="1:8">
      <c r="A2774" s="396">
        <v>40363</v>
      </c>
      <c r="B2774" s="401" t="s">
        <v>11505</v>
      </c>
      <c r="C2774" s="396" t="s">
        <v>2021</v>
      </c>
      <c r="D2774" s="405">
        <f t="shared" si="86"/>
        <v>40.04</v>
      </c>
      <c r="F2774" s="679">
        <v>40.04</v>
      </c>
      <c r="G2774" s="679">
        <v>40.04</v>
      </c>
      <c r="H2774" t="b">
        <f t="shared" si="87"/>
        <v>1</v>
      </c>
    </row>
    <row r="2775" spans="1:8">
      <c r="A2775" s="395">
        <v>40354</v>
      </c>
      <c r="B2775" s="406" t="s">
        <v>11506</v>
      </c>
      <c r="C2775" s="395" t="s">
        <v>2021</v>
      </c>
      <c r="D2775" s="407">
        <f t="shared" si="86"/>
        <v>17.43</v>
      </c>
      <c r="F2775" s="680">
        <v>17.43</v>
      </c>
      <c r="G2775" s="680">
        <v>17.43</v>
      </c>
      <c r="H2775" t="b">
        <f t="shared" si="87"/>
        <v>1</v>
      </c>
    </row>
    <row r="2776" spans="1:8">
      <c r="A2776" s="396">
        <v>40360</v>
      </c>
      <c r="B2776" s="401" t="s">
        <v>11507</v>
      </c>
      <c r="C2776" s="396" t="s">
        <v>2021</v>
      </c>
      <c r="D2776" s="405">
        <f t="shared" si="86"/>
        <v>26.24</v>
      </c>
      <c r="F2776" s="679">
        <v>26.24</v>
      </c>
      <c r="G2776" s="679">
        <v>26.24</v>
      </c>
      <c r="H2776" t="b">
        <f t="shared" si="87"/>
        <v>1</v>
      </c>
    </row>
    <row r="2777" spans="1:8">
      <c r="A2777" s="395">
        <v>40372</v>
      </c>
      <c r="B2777" s="406" t="s">
        <v>11508</v>
      </c>
      <c r="C2777" s="395" t="s">
        <v>2021</v>
      </c>
      <c r="D2777" s="407">
        <f t="shared" si="86"/>
        <v>162.08000000000001</v>
      </c>
      <c r="F2777" s="680">
        <v>162.08000000000001</v>
      </c>
      <c r="G2777" s="680">
        <v>162.08000000000001</v>
      </c>
      <c r="H2777" t="b">
        <f t="shared" si="87"/>
        <v>1</v>
      </c>
    </row>
    <row r="2778" spans="1:8">
      <c r="A2778" s="396">
        <v>40369</v>
      </c>
      <c r="B2778" s="401" t="s">
        <v>11509</v>
      </c>
      <c r="C2778" s="396" t="s">
        <v>2021</v>
      </c>
      <c r="D2778" s="405">
        <f t="shared" si="86"/>
        <v>80.67</v>
      </c>
      <c r="F2778" s="679">
        <v>80.67</v>
      </c>
      <c r="G2778" s="679">
        <v>80.67</v>
      </c>
      <c r="H2778" t="b">
        <f t="shared" si="87"/>
        <v>1</v>
      </c>
    </row>
    <row r="2779" spans="1:8">
      <c r="A2779" s="395">
        <v>40357</v>
      </c>
      <c r="B2779" s="406" t="s">
        <v>11510</v>
      </c>
      <c r="C2779" s="395" t="s">
        <v>2021</v>
      </c>
      <c r="D2779" s="407">
        <f t="shared" si="86"/>
        <v>19.559999999999999</v>
      </c>
      <c r="F2779" s="680">
        <v>19.559999999999999</v>
      </c>
      <c r="G2779" s="680">
        <v>19.559999999999999</v>
      </c>
      <c r="H2779" t="b">
        <f t="shared" si="87"/>
        <v>1</v>
      </c>
    </row>
    <row r="2780" spans="1:8">
      <c r="A2780" s="396">
        <v>40375</v>
      </c>
      <c r="B2780" s="401" t="s">
        <v>11511</v>
      </c>
      <c r="C2780" s="396" t="s">
        <v>2021</v>
      </c>
      <c r="D2780" s="405">
        <f t="shared" si="86"/>
        <v>219.42</v>
      </c>
      <c r="F2780" s="679">
        <v>219.42</v>
      </c>
      <c r="G2780" s="679">
        <v>219.42</v>
      </c>
      <c r="H2780" t="b">
        <f t="shared" si="87"/>
        <v>1</v>
      </c>
    </row>
    <row r="2781" spans="1:8">
      <c r="A2781" s="395">
        <v>1893</v>
      </c>
      <c r="B2781" s="406" t="s">
        <v>11512</v>
      </c>
      <c r="C2781" s="395" t="s">
        <v>2021</v>
      </c>
      <c r="D2781" s="407">
        <f t="shared" si="86"/>
        <v>3.7</v>
      </c>
      <c r="F2781" s="680">
        <v>3.7</v>
      </c>
      <c r="G2781" s="680">
        <v>3.7</v>
      </c>
      <c r="H2781" t="b">
        <f t="shared" si="87"/>
        <v>1</v>
      </c>
    </row>
    <row r="2782" spans="1:8">
      <c r="A2782" s="396">
        <v>1902</v>
      </c>
      <c r="B2782" s="401" t="s">
        <v>11513</v>
      </c>
      <c r="C2782" s="396" t="s">
        <v>2021</v>
      </c>
      <c r="D2782" s="405">
        <f t="shared" si="86"/>
        <v>2.69</v>
      </c>
      <c r="F2782" s="679">
        <v>2.69</v>
      </c>
      <c r="G2782" s="679">
        <v>2.69</v>
      </c>
      <c r="H2782" t="b">
        <f t="shared" si="87"/>
        <v>1</v>
      </c>
    </row>
    <row r="2783" spans="1:8">
      <c r="A2783" s="395">
        <v>1901</v>
      </c>
      <c r="B2783" s="406" t="s">
        <v>11514</v>
      </c>
      <c r="C2783" s="395" t="s">
        <v>2021</v>
      </c>
      <c r="D2783" s="407">
        <f t="shared" si="86"/>
        <v>0.84</v>
      </c>
      <c r="F2783" s="680">
        <v>0.84</v>
      </c>
      <c r="G2783" s="680">
        <v>0.84</v>
      </c>
      <c r="H2783" t="b">
        <f t="shared" si="87"/>
        <v>1</v>
      </c>
    </row>
    <row r="2784" spans="1:8">
      <c r="A2784" s="396">
        <v>1892</v>
      </c>
      <c r="B2784" s="401" t="s">
        <v>11515</v>
      </c>
      <c r="C2784" s="396" t="s">
        <v>2021</v>
      </c>
      <c r="D2784" s="405">
        <f t="shared" si="86"/>
        <v>1.73</v>
      </c>
      <c r="F2784" s="679">
        <v>1.73</v>
      </c>
      <c r="G2784" s="679">
        <v>1.73</v>
      </c>
      <c r="H2784" t="b">
        <f t="shared" si="87"/>
        <v>1</v>
      </c>
    </row>
    <row r="2785" spans="1:8">
      <c r="A2785" s="395">
        <v>1907</v>
      </c>
      <c r="B2785" s="406" t="s">
        <v>11516</v>
      </c>
      <c r="C2785" s="395" t="s">
        <v>2021</v>
      </c>
      <c r="D2785" s="407">
        <f t="shared" si="86"/>
        <v>11.92</v>
      </c>
      <c r="F2785" s="680">
        <v>11.92</v>
      </c>
      <c r="G2785" s="680">
        <v>11.92</v>
      </c>
      <c r="H2785" t="b">
        <f t="shared" si="87"/>
        <v>1</v>
      </c>
    </row>
    <row r="2786" spans="1:8">
      <c r="A2786" s="396">
        <v>1894</v>
      </c>
      <c r="B2786" s="401" t="s">
        <v>11517</v>
      </c>
      <c r="C2786" s="396" t="s">
        <v>2021</v>
      </c>
      <c r="D2786" s="405">
        <f t="shared" si="86"/>
        <v>5.36</v>
      </c>
      <c r="F2786" s="679">
        <v>5.36</v>
      </c>
      <c r="G2786" s="679">
        <v>5.36</v>
      </c>
      <c r="H2786" t="b">
        <f t="shared" si="87"/>
        <v>1</v>
      </c>
    </row>
    <row r="2787" spans="1:8">
      <c r="A2787" s="395">
        <v>1891</v>
      </c>
      <c r="B2787" s="406" t="s">
        <v>11518</v>
      </c>
      <c r="C2787" s="395" t="s">
        <v>2021</v>
      </c>
      <c r="D2787" s="407">
        <f t="shared" si="86"/>
        <v>1.24</v>
      </c>
      <c r="F2787" s="680">
        <v>1.24</v>
      </c>
      <c r="G2787" s="680">
        <v>1.24</v>
      </c>
      <c r="H2787" t="b">
        <f t="shared" si="87"/>
        <v>1</v>
      </c>
    </row>
    <row r="2788" spans="1:8">
      <c r="A2788" s="396">
        <v>1896</v>
      </c>
      <c r="B2788" s="401" t="s">
        <v>11519</v>
      </c>
      <c r="C2788" s="396" t="s">
        <v>2021</v>
      </c>
      <c r="D2788" s="405">
        <f t="shared" si="86"/>
        <v>16.010000000000002</v>
      </c>
      <c r="F2788" s="679">
        <v>16.010000000000002</v>
      </c>
      <c r="G2788" s="679">
        <v>16.010000000000002</v>
      </c>
      <c r="H2788" t="b">
        <f t="shared" si="87"/>
        <v>1</v>
      </c>
    </row>
    <row r="2789" spans="1:8">
      <c r="A2789" s="395">
        <v>1895</v>
      </c>
      <c r="B2789" s="406" t="s">
        <v>11520</v>
      </c>
      <c r="C2789" s="395" t="s">
        <v>2021</v>
      </c>
      <c r="D2789" s="407">
        <f t="shared" si="86"/>
        <v>28.13</v>
      </c>
      <c r="F2789" s="680">
        <v>28.13</v>
      </c>
      <c r="G2789" s="680">
        <v>28.13</v>
      </c>
      <c r="H2789" t="b">
        <f t="shared" si="87"/>
        <v>1</v>
      </c>
    </row>
    <row r="2790" spans="1:8">
      <c r="A2790" s="396">
        <v>2641</v>
      </c>
      <c r="B2790" s="401" t="s">
        <v>11521</v>
      </c>
      <c r="C2790" s="396" t="s">
        <v>2021</v>
      </c>
      <c r="D2790" s="405">
        <f t="shared" si="86"/>
        <v>30.9</v>
      </c>
      <c r="F2790" s="679">
        <v>30.9</v>
      </c>
      <c r="G2790" s="679">
        <v>30.9</v>
      </c>
      <c r="H2790" t="b">
        <f t="shared" si="87"/>
        <v>1</v>
      </c>
    </row>
    <row r="2791" spans="1:8">
      <c r="A2791" s="395">
        <v>2636</v>
      </c>
      <c r="B2791" s="406" t="s">
        <v>11522</v>
      </c>
      <c r="C2791" s="395" t="s">
        <v>2021</v>
      </c>
      <c r="D2791" s="407">
        <f t="shared" si="86"/>
        <v>1.99</v>
      </c>
      <c r="F2791" s="680">
        <v>1.99</v>
      </c>
      <c r="G2791" s="680">
        <v>1.99</v>
      </c>
      <c r="H2791" t="b">
        <f t="shared" si="87"/>
        <v>1</v>
      </c>
    </row>
    <row r="2792" spans="1:8">
      <c r="A2792" s="396">
        <v>2637</v>
      </c>
      <c r="B2792" s="401" t="s">
        <v>11523</v>
      </c>
      <c r="C2792" s="396" t="s">
        <v>2021</v>
      </c>
      <c r="D2792" s="405">
        <f t="shared" si="86"/>
        <v>2.12</v>
      </c>
      <c r="F2792" s="679">
        <v>2.12</v>
      </c>
      <c r="G2792" s="679">
        <v>2.12</v>
      </c>
      <c r="H2792" t="b">
        <f t="shared" si="87"/>
        <v>1</v>
      </c>
    </row>
    <row r="2793" spans="1:8">
      <c r="A2793" s="395">
        <v>2638</v>
      </c>
      <c r="B2793" s="406" t="s">
        <v>11524</v>
      </c>
      <c r="C2793" s="395" t="s">
        <v>2021</v>
      </c>
      <c r="D2793" s="407">
        <f t="shared" si="86"/>
        <v>2.46</v>
      </c>
      <c r="F2793" s="680">
        <v>2.46</v>
      </c>
      <c r="G2793" s="680">
        <v>2.46</v>
      </c>
      <c r="H2793" t="b">
        <f t="shared" si="87"/>
        <v>1</v>
      </c>
    </row>
    <row r="2794" spans="1:8">
      <c r="A2794" s="396">
        <v>2639</v>
      </c>
      <c r="B2794" s="401" t="s">
        <v>11525</v>
      </c>
      <c r="C2794" s="396" t="s">
        <v>2021</v>
      </c>
      <c r="D2794" s="405">
        <f t="shared" si="86"/>
        <v>4.37</v>
      </c>
      <c r="F2794" s="679">
        <v>4.37</v>
      </c>
      <c r="G2794" s="679">
        <v>4.37</v>
      </c>
      <c r="H2794" t="b">
        <f t="shared" si="87"/>
        <v>1</v>
      </c>
    </row>
    <row r="2795" spans="1:8">
      <c r="A2795" s="395">
        <v>2644</v>
      </c>
      <c r="B2795" s="406" t="s">
        <v>11526</v>
      </c>
      <c r="C2795" s="395" t="s">
        <v>2021</v>
      </c>
      <c r="D2795" s="407">
        <f t="shared" si="86"/>
        <v>6.32</v>
      </c>
      <c r="F2795" s="680">
        <v>6.32</v>
      </c>
      <c r="G2795" s="680">
        <v>6.32</v>
      </c>
      <c r="H2795" t="b">
        <f t="shared" si="87"/>
        <v>1</v>
      </c>
    </row>
    <row r="2796" spans="1:8">
      <c r="A2796" s="396">
        <v>2643</v>
      </c>
      <c r="B2796" s="401" t="s">
        <v>11527</v>
      </c>
      <c r="C2796" s="396" t="s">
        <v>2021</v>
      </c>
      <c r="D2796" s="405">
        <f t="shared" si="86"/>
        <v>8.81</v>
      </c>
      <c r="F2796" s="679">
        <v>8.81</v>
      </c>
      <c r="G2796" s="679">
        <v>8.81</v>
      </c>
      <c r="H2796" t="b">
        <f t="shared" si="87"/>
        <v>1</v>
      </c>
    </row>
    <row r="2797" spans="1:8">
      <c r="A2797" s="395">
        <v>2640</v>
      </c>
      <c r="B2797" s="406" t="s">
        <v>11528</v>
      </c>
      <c r="C2797" s="395" t="s">
        <v>2021</v>
      </c>
      <c r="D2797" s="407">
        <f t="shared" si="86"/>
        <v>12.86</v>
      </c>
      <c r="F2797" s="680">
        <v>12.86</v>
      </c>
      <c r="G2797" s="680">
        <v>12.86</v>
      </c>
      <c r="H2797" t="b">
        <f t="shared" si="87"/>
        <v>1</v>
      </c>
    </row>
    <row r="2798" spans="1:8">
      <c r="A2798" s="396">
        <v>2642</v>
      </c>
      <c r="B2798" s="401" t="s">
        <v>11529</v>
      </c>
      <c r="C2798" s="396" t="s">
        <v>2021</v>
      </c>
      <c r="D2798" s="405">
        <f t="shared" si="86"/>
        <v>19.579999999999998</v>
      </c>
      <c r="F2798" s="679">
        <v>19.579999999999998</v>
      </c>
      <c r="G2798" s="679">
        <v>19.579999999999998</v>
      </c>
      <c r="H2798" t="b">
        <f t="shared" si="87"/>
        <v>1</v>
      </c>
    </row>
    <row r="2799" spans="1:8">
      <c r="A2799" s="395">
        <v>39310</v>
      </c>
      <c r="B2799" s="406" t="s">
        <v>11530</v>
      </c>
      <c r="C2799" s="395" t="s">
        <v>2021</v>
      </c>
      <c r="D2799" s="407">
        <f t="shared" si="86"/>
        <v>21.42</v>
      </c>
      <c r="F2799" s="680">
        <v>21.42</v>
      </c>
      <c r="G2799" s="680">
        <v>21.42</v>
      </c>
      <c r="H2799" t="b">
        <f t="shared" si="87"/>
        <v>1</v>
      </c>
    </row>
    <row r="2800" spans="1:8">
      <c r="A2800" s="396">
        <v>39311</v>
      </c>
      <c r="B2800" s="401" t="s">
        <v>11531</v>
      </c>
      <c r="C2800" s="396" t="s">
        <v>2021</v>
      </c>
      <c r="D2800" s="405">
        <f t="shared" si="86"/>
        <v>32.200000000000003</v>
      </c>
      <c r="F2800" s="679">
        <v>32.200000000000003</v>
      </c>
      <c r="G2800" s="679">
        <v>32.200000000000003</v>
      </c>
      <c r="H2800" t="b">
        <f t="shared" si="87"/>
        <v>1</v>
      </c>
    </row>
    <row r="2801" spans="1:8">
      <c r="A2801" s="395">
        <v>39855</v>
      </c>
      <c r="B2801" s="406" t="s">
        <v>11532</v>
      </c>
      <c r="C2801" s="395" t="s">
        <v>2021</v>
      </c>
      <c r="D2801" s="407">
        <f t="shared" si="86"/>
        <v>2.79</v>
      </c>
      <c r="F2801" s="680">
        <v>2.79</v>
      </c>
      <c r="G2801" s="680">
        <v>2.79</v>
      </c>
      <c r="H2801" t="b">
        <f t="shared" si="87"/>
        <v>1</v>
      </c>
    </row>
    <row r="2802" spans="1:8">
      <c r="A2802" s="396">
        <v>39856</v>
      </c>
      <c r="B2802" s="401" t="s">
        <v>11533</v>
      </c>
      <c r="C2802" s="396" t="s">
        <v>2021</v>
      </c>
      <c r="D2802" s="405">
        <f t="shared" si="86"/>
        <v>6.58</v>
      </c>
      <c r="F2802" s="679">
        <v>6.58</v>
      </c>
      <c r="G2802" s="679">
        <v>6.58</v>
      </c>
      <c r="H2802" t="b">
        <f t="shared" si="87"/>
        <v>1</v>
      </c>
    </row>
    <row r="2803" spans="1:8">
      <c r="A2803" s="395">
        <v>39857</v>
      </c>
      <c r="B2803" s="406" t="s">
        <v>11534</v>
      </c>
      <c r="C2803" s="395" t="s">
        <v>2021</v>
      </c>
      <c r="D2803" s="407">
        <f t="shared" si="86"/>
        <v>10.65</v>
      </c>
      <c r="F2803" s="680">
        <v>10.65</v>
      </c>
      <c r="G2803" s="680">
        <v>10.65</v>
      </c>
      <c r="H2803" t="b">
        <f t="shared" si="87"/>
        <v>1</v>
      </c>
    </row>
    <row r="2804" spans="1:8">
      <c r="A2804" s="396">
        <v>39858</v>
      </c>
      <c r="B2804" s="401" t="s">
        <v>11535</v>
      </c>
      <c r="C2804" s="396" t="s">
        <v>2021</v>
      </c>
      <c r="D2804" s="405">
        <f t="shared" si="86"/>
        <v>23.64</v>
      </c>
      <c r="F2804" s="679">
        <v>23.64</v>
      </c>
      <c r="G2804" s="679">
        <v>23.64</v>
      </c>
      <c r="H2804" t="b">
        <f t="shared" si="87"/>
        <v>1</v>
      </c>
    </row>
    <row r="2805" spans="1:8">
      <c r="A2805" s="395">
        <v>39859</v>
      </c>
      <c r="B2805" s="406" t="s">
        <v>11536</v>
      </c>
      <c r="C2805" s="395" t="s">
        <v>2021</v>
      </c>
      <c r="D2805" s="407">
        <f t="shared" si="86"/>
        <v>36.450000000000003</v>
      </c>
      <c r="F2805" s="680">
        <v>36.450000000000003</v>
      </c>
      <c r="G2805" s="680">
        <v>36.450000000000003</v>
      </c>
      <c r="H2805" t="b">
        <f t="shared" si="87"/>
        <v>1</v>
      </c>
    </row>
    <row r="2806" spans="1:8">
      <c r="A2806" s="396">
        <v>39860</v>
      </c>
      <c r="B2806" s="401" t="s">
        <v>11537</v>
      </c>
      <c r="C2806" s="396" t="s">
        <v>2021</v>
      </c>
      <c r="D2806" s="405">
        <f t="shared" si="86"/>
        <v>55.93</v>
      </c>
      <c r="F2806" s="679">
        <v>55.93</v>
      </c>
      <c r="G2806" s="679">
        <v>55.93</v>
      </c>
      <c r="H2806" t="b">
        <f t="shared" si="87"/>
        <v>1</v>
      </c>
    </row>
    <row r="2807" spans="1:8">
      <c r="A2807" s="395">
        <v>39861</v>
      </c>
      <c r="B2807" s="406" t="s">
        <v>11538</v>
      </c>
      <c r="C2807" s="395" t="s">
        <v>2021</v>
      </c>
      <c r="D2807" s="407">
        <f t="shared" si="86"/>
        <v>159.69</v>
      </c>
      <c r="F2807" s="680">
        <v>159.69</v>
      </c>
      <c r="G2807" s="680">
        <v>159.69</v>
      </c>
      <c r="H2807" t="b">
        <f t="shared" si="87"/>
        <v>1</v>
      </c>
    </row>
    <row r="2808" spans="1:8">
      <c r="A2808" s="396">
        <v>3867</v>
      </c>
      <c r="B2808" s="401" t="s">
        <v>11539</v>
      </c>
      <c r="C2808" s="396" t="s">
        <v>2021</v>
      </c>
      <c r="D2808" s="405">
        <f t="shared" si="86"/>
        <v>93.78</v>
      </c>
      <c r="F2808" s="679">
        <v>93.78</v>
      </c>
      <c r="G2808" s="679">
        <v>93.78</v>
      </c>
      <c r="H2808" t="b">
        <f t="shared" si="87"/>
        <v>1</v>
      </c>
    </row>
    <row r="2809" spans="1:8">
      <c r="A2809" s="395">
        <v>3861</v>
      </c>
      <c r="B2809" s="406" t="s">
        <v>11540</v>
      </c>
      <c r="C2809" s="395" t="s">
        <v>2021</v>
      </c>
      <c r="D2809" s="407">
        <f t="shared" si="86"/>
        <v>0.97</v>
      </c>
      <c r="F2809" s="680">
        <v>0.97</v>
      </c>
      <c r="G2809" s="680">
        <v>0.97</v>
      </c>
      <c r="H2809" t="b">
        <f t="shared" si="87"/>
        <v>1</v>
      </c>
    </row>
    <row r="2810" spans="1:8">
      <c r="A2810" s="396">
        <v>3904</v>
      </c>
      <c r="B2810" s="401" t="s">
        <v>11541</v>
      </c>
      <c r="C2810" s="396" t="s">
        <v>2021</v>
      </c>
      <c r="D2810" s="405">
        <f t="shared" si="86"/>
        <v>1.03</v>
      </c>
      <c r="F2810" s="679">
        <v>1.03</v>
      </c>
      <c r="G2810" s="679">
        <v>1.03</v>
      </c>
      <c r="H2810" t="b">
        <f t="shared" si="87"/>
        <v>1</v>
      </c>
    </row>
    <row r="2811" spans="1:8">
      <c r="A2811" s="395">
        <v>3903</v>
      </c>
      <c r="B2811" s="406" t="s">
        <v>11542</v>
      </c>
      <c r="C2811" s="395" t="s">
        <v>2021</v>
      </c>
      <c r="D2811" s="407">
        <f t="shared" si="86"/>
        <v>2.52</v>
      </c>
      <c r="F2811" s="680">
        <v>2.52</v>
      </c>
      <c r="G2811" s="680">
        <v>2.52</v>
      </c>
      <c r="H2811" t="b">
        <f t="shared" si="87"/>
        <v>1</v>
      </c>
    </row>
    <row r="2812" spans="1:8">
      <c r="A2812" s="396">
        <v>3862</v>
      </c>
      <c r="B2812" s="401" t="s">
        <v>11543</v>
      </c>
      <c r="C2812" s="396" t="s">
        <v>2021</v>
      </c>
      <c r="D2812" s="405">
        <f t="shared" si="86"/>
        <v>5.36</v>
      </c>
      <c r="F2812" s="679">
        <v>5.36</v>
      </c>
      <c r="G2812" s="679">
        <v>5.36</v>
      </c>
      <c r="H2812" t="b">
        <f t="shared" si="87"/>
        <v>1</v>
      </c>
    </row>
    <row r="2813" spans="1:8">
      <c r="A2813" s="395">
        <v>3863</v>
      </c>
      <c r="B2813" s="406" t="s">
        <v>11544</v>
      </c>
      <c r="C2813" s="395" t="s">
        <v>2021</v>
      </c>
      <c r="D2813" s="407">
        <f t="shared" si="86"/>
        <v>5.49</v>
      </c>
      <c r="F2813" s="680">
        <v>5.49</v>
      </c>
      <c r="G2813" s="680">
        <v>5.49</v>
      </c>
      <c r="H2813" t="b">
        <f t="shared" si="87"/>
        <v>1</v>
      </c>
    </row>
    <row r="2814" spans="1:8">
      <c r="A2814" s="396">
        <v>3864</v>
      </c>
      <c r="B2814" s="401" t="s">
        <v>11545</v>
      </c>
      <c r="C2814" s="396" t="s">
        <v>2021</v>
      </c>
      <c r="D2814" s="405">
        <f t="shared" si="86"/>
        <v>16.82</v>
      </c>
      <c r="F2814" s="679">
        <v>16.82</v>
      </c>
      <c r="G2814" s="679">
        <v>16.82</v>
      </c>
      <c r="H2814" t="b">
        <f t="shared" si="87"/>
        <v>1</v>
      </c>
    </row>
    <row r="2815" spans="1:8">
      <c r="A2815" s="395">
        <v>3865</v>
      </c>
      <c r="B2815" s="406" t="s">
        <v>11546</v>
      </c>
      <c r="C2815" s="395" t="s">
        <v>2021</v>
      </c>
      <c r="D2815" s="407">
        <f t="shared" si="86"/>
        <v>24.6</v>
      </c>
      <c r="F2815" s="680">
        <v>24.6</v>
      </c>
      <c r="G2815" s="680">
        <v>24.6</v>
      </c>
      <c r="H2815" t="b">
        <f t="shared" si="87"/>
        <v>1</v>
      </c>
    </row>
    <row r="2816" spans="1:8">
      <c r="A2816" s="396">
        <v>3866</v>
      </c>
      <c r="B2816" s="401" t="s">
        <v>11547</v>
      </c>
      <c r="C2816" s="396" t="s">
        <v>2021</v>
      </c>
      <c r="D2816" s="405">
        <f t="shared" si="86"/>
        <v>55.23</v>
      </c>
      <c r="F2816" s="679">
        <v>55.23</v>
      </c>
      <c r="G2816" s="679">
        <v>55.23</v>
      </c>
      <c r="H2816" t="b">
        <f t="shared" si="87"/>
        <v>1</v>
      </c>
    </row>
    <row r="2817" spans="1:8">
      <c r="A2817" s="395">
        <v>3878</v>
      </c>
      <c r="B2817" s="406" t="s">
        <v>11548</v>
      </c>
      <c r="C2817" s="395" t="s">
        <v>2021</v>
      </c>
      <c r="D2817" s="407">
        <f t="shared" si="86"/>
        <v>15.06</v>
      </c>
      <c r="F2817" s="680">
        <v>15.06</v>
      </c>
      <c r="G2817" s="680">
        <v>15.06</v>
      </c>
      <c r="H2817" t="b">
        <f t="shared" si="87"/>
        <v>1</v>
      </c>
    </row>
    <row r="2818" spans="1:8">
      <c r="A2818" s="396">
        <v>3883</v>
      </c>
      <c r="B2818" s="401" t="s">
        <v>11549</v>
      </c>
      <c r="C2818" s="396" t="s">
        <v>2021</v>
      </c>
      <c r="D2818" s="405">
        <f t="shared" si="86"/>
        <v>1.93</v>
      </c>
      <c r="F2818" s="679">
        <v>1.93</v>
      </c>
      <c r="G2818" s="679">
        <v>1.93</v>
      </c>
      <c r="H2818" t="b">
        <f t="shared" si="87"/>
        <v>1</v>
      </c>
    </row>
    <row r="2819" spans="1:8">
      <c r="A2819" s="395">
        <v>3876</v>
      </c>
      <c r="B2819" s="406" t="s">
        <v>11550</v>
      </c>
      <c r="C2819" s="395" t="s">
        <v>2021</v>
      </c>
      <c r="D2819" s="407">
        <f t="shared" ref="D2819:D2882" si="88">IF($J$2=$F$1,F2819,G2819)</f>
        <v>5.99</v>
      </c>
      <c r="F2819" s="680">
        <v>5.99</v>
      </c>
      <c r="G2819" s="680">
        <v>5.99</v>
      </c>
      <c r="H2819" t="b">
        <f t="shared" ref="H2819:H2882" si="89">F2819=G2819</f>
        <v>1</v>
      </c>
    </row>
    <row r="2820" spans="1:8">
      <c r="A2820" s="396">
        <v>3884</v>
      </c>
      <c r="B2820" s="401" t="s">
        <v>11551</v>
      </c>
      <c r="C2820" s="396" t="s">
        <v>2021</v>
      </c>
      <c r="D2820" s="405">
        <f t="shared" si="88"/>
        <v>3.05</v>
      </c>
      <c r="F2820" s="679">
        <v>3.05</v>
      </c>
      <c r="G2820" s="679">
        <v>3.05</v>
      </c>
      <c r="H2820" t="b">
        <f t="shared" si="89"/>
        <v>1</v>
      </c>
    </row>
    <row r="2821" spans="1:8">
      <c r="A2821" s="395">
        <v>12892</v>
      </c>
      <c r="B2821" s="406" t="s">
        <v>11552</v>
      </c>
      <c r="C2821" s="395" t="s">
        <v>2028</v>
      </c>
      <c r="D2821" s="407">
        <f t="shared" si="88"/>
        <v>14.31</v>
      </c>
      <c r="F2821" s="680">
        <v>14.31</v>
      </c>
      <c r="G2821" s="680">
        <v>14.31</v>
      </c>
      <c r="H2821" t="b">
        <f t="shared" si="89"/>
        <v>1</v>
      </c>
    </row>
    <row r="2822" spans="1:8">
      <c r="A2822" s="396">
        <v>38447</v>
      </c>
      <c r="B2822" s="401" t="s">
        <v>11553</v>
      </c>
      <c r="C2822" s="396" t="s">
        <v>2021</v>
      </c>
      <c r="D2822" s="405">
        <f t="shared" si="88"/>
        <v>84.84</v>
      </c>
      <c r="F2822" s="679">
        <v>84.84</v>
      </c>
      <c r="G2822" s="679">
        <v>84.84</v>
      </c>
      <c r="H2822" t="b">
        <f t="shared" si="89"/>
        <v>1</v>
      </c>
    </row>
    <row r="2823" spans="1:8">
      <c r="A2823" s="395">
        <v>36320</v>
      </c>
      <c r="B2823" s="406" t="s">
        <v>11554</v>
      </c>
      <c r="C2823" s="395" t="s">
        <v>2021</v>
      </c>
      <c r="D2823" s="407">
        <f t="shared" si="88"/>
        <v>2.2799999999999998</v>
      </c>
      <c r="F2823" s="680">
        <v>2.2799999999999998</v>
      </c>
      <c r="G2823" s="680">
        <v>2.2799999999999998</v>
      </c>
      <c r="H2823" t="b">
        <f t="shared" si="89"/>
        <v>1</v>
      </c>
    </row>
    <row r="2824" spans="1:8">
      <c r="A2824" s="396">
        <v>36324</v>
      </c>
      <c r="B2824" s="401" t="s">
        <v>11555</v>
      </c>
      <c r="C2824" s="396" t="s">
        <v>2021</v>
      </c>
      <c r="D2824" s="405">
        <f t="shared" si="88"/>
        <v>2.08</v>
      </c>
      <c r="F2824" s="679">
        <v>2.08</v>
      </c>
      <c r="G2824" s="679">
        <v>2.08</v>
      </c>
      <c r="H2824" t="b">
        <f t="shared" si="89"/>
        <v>1</v>
      </c>
    </row>
    <row r="2825" spans="1:8">
      <c r="A2825" s="395">
        <v>38441</v>
      </c>
      <c r="B2825" s="406" t="s">
        <v>11556</v>
      </c>
      <c r="C2825" s="395" t="s">
        <v>2021</v>
      </c>
      <c r="D2825" s="407">
        <f t="shared" si="88"/>
        <v>3.73</v>
      </c>
      <c r="F2825" s="680">
        <v>3.73</v>
      </c>
      <c r="G2825" s="680">
        <v>3.73</v>
      </c>
      <c r="H2825" t="b">
        <f t="shared" si="89"/>
        <v>1</v>
      </c>
    </row>
    <row r="2826" spans="1:8">
      <c r="A2826" s="396">
        <v>38442</v>
      </c>
      <c r="B2826" s="401" t="s">
        <v>11557</v>
      </c>
      <c r="C2826" s="396" t="s">
        <v>2021</v>
      </c>
      <c r="D2826" s="405">
        <f t="shared" si="88"/>
        <v>10.6</v>
      </c>
      <c r="F2826" s="679">
        <v>10.6</v>
      </c>
      <c r="G2826" s="679">
        <v>10.6</v>
      </c>
      <c r="H2826" t="b">
        <f t="shared" si="89"/>
        <v>1</v>
      </c>
    </row>
    <row r="2827" spans="1:8">
      <c r="A2827" s="395">
        <v>38443</v>
      </c>
      <c r="B2827" s="406" t="s">
        <v>11558</v>
      </c>
      <c r="C2827" s="395" t="s">
        <v>2021</v>
      </c>
      <c r="D2827" s="407">
        <f t="shared" si="88"/>
        <v>12.86</v>
      </c>
      <c r="F2827" s="680">
        <v>12.86</v>
      </c>
      <c r="G2827" s="680">
        <v>12.86</v>
      </c>
      <c r="H2827" t="b">
        <f t="shared" si="89"/>
        <v>1</v>
      </c>
    </row>
    <row r="2828" spans="1:8">
      <c r="A2828" s="396">
        <v>38444</v>
      </c>
      <c r="B2828" s="401" t="s">
        <v>11559</v>
      </c>
      <c r="C2828" s="396" t="s">
        <v>2021</v>
      </c>
      <c r="D2828" s="405">
        <f t="shared" si="88"/>
        <v>21.6</v>
      </c>
      <c r="F2828" s="679">
        <v>21.6</v>
      </c>
      <c r="G2828" s="679">
        <v>21.6</v>
      </c>
      <c r="H2828" t="b">
        <f t="shared" si="89"/>
        <v>1</v>
      </c>
    </row>
    <row r="2829" spans="1:8">
      <c r="A2829" s="395">
        <v>38445</v>
      </c>
      <c r="B2829" s="406" t="s">
        <v>11560</v>
      </c>
      <c r="C2829" s="395" t="s">
        <v>2021</v>
      </c>
      <c r="D2829" s="407">
        <f t="shared" si="88"/>
        <v>40.049999999999997</v>
      </c>
      <c r="F2829" s="680">
        <v>40.049999999999997</v>
      </c>
      <c r="G2829" s="680">
        <v>40.049999999999997</v>
      </c>
      <c r="H2829" t="b">
        <f t="shared" si="89"/>
        <v>1</v>
      </c>
    </row>
    <row r="2830" spans="1:8">
      <c r="A2830" s="396">
        <v>38446</v>
      </c>
      <c r="B2830" s="401" t="s">
        <v>11561</v>
      </c>
      <c r="C2830" s="396" t="s">
        <v>2021</v>
      </c>
      <c r="D2830" s="405">
        <f t="shared" si="88"/>
        <v>65.55</v>
      </c>
      <c r="F2830" s="679">
        <v>65.55</v>
      </c>
      <c r="G2830" s="679">
        <v>65.55</v>
      </c>
      <c r="H2830" t="b">
        <f t="shared" si="89"/>
        <v>1</v>
      </c>
    </row>
    <row r="2831" spans="1:8">
      <c r="A2831" s="395">
        <v>3837</v>
      </c>
      <c r="B2831" s="406" t="s">
        <v>11562</v>
      </c>
      <c r="C2831" s="395" t="s">
        <v>2021</v>
      </c>
      <c r="D2831" s="407">
        <f t="shared" si="88"/>
        <v>47.83</v>
      </c>
      <c r="F2831" s="680">
        <v>47.83</v>
      </c>
      <c r="G2831" s="680">
        <v>47.83</v>
      </c>
      <c r="H2831" t="b">
        <f t="shared" si="89"/>
        <v>1</v>
      </c>
    </row>
    <row r="2832" spans="1:8">
      <c r="A2832" s="396">
        <v>3845</v>
      </c>
      <c r="B2832" s="401" t="s">
        <v>11563</v>
      </c>
      <c r="C2832" s="396" t="s">
        <v>2021</v>
      </c>
      <c r="D2832" s="405">
        <f t="shared" si="88"/>
        <v>17.47</v>
      </c>
      <c r="F2832" s="679">
        <v>17.47</v>
      </c>
      <c r="G2832" s="679">
        <v>17.47</v>
      </c>
      <c r="H2832" t="b">
        <f t="shared" si="89"/>
        <v>1</v>
      </c>
    </row>
    <row r="2833" spans="1:8">
      <c r="A2833" s="395">
        <v>11045</v>
      </c>
      <c r="B2833" s="406" t="s">
        <v>11564</v>
      </c>
      <c r="C2833" s="395" t="s">
        <v>2021</v>
      </c>
      <c r="D2833" s="407">
        <f t="shared" si="88"/>
        <v>33.71</v>
      </c>
      <c r="F2833" s="680">
        <v>33.71</v>
      </c>
      <c r="G2833" s="680">
        <v>33.71</v>
      </c>
      <c r="H2833" t="b">
        <f t="shared" si="89"/>
        <v>1</v>
      </c>
    </row>
    <row r="2834" spans="1:8">
      <c r="A2834" s="396">
        <v>20170</v>
      </c>
      <c r="B2834" s="401" t="s">
        <v>11565</v>
      </c>
      <c r="C2834" s="396" t="s">
        <v>2021</v>
      </c>
      <c r="D2834" s="405">
        <f t="shared" si="88"/>
        <v>16.690000000000001</v>
      </c>
      <c r="F2834" s="679">
        <v>16.690000000000001</v>
      </c>
      <c r="G2834" s="679">
        <v>16.690000000000001</v>
      </c>
      <c r="H2834" t="b">
        <f t="shared" si="89"/>
        <v>1</v>
      </c>
    </row>
    <row r="2835" spans="1:8">
      <c r="A2835" s="395">
        <v>20171</v>
      </c>
      <c r="B2835" s="406" t="s">
        <v>11566</v>
      </c>
      <c r="C2835" s="395" t="s">
        <v>2021</v>
      </c>
      <c r="D2835" s="407">
        <f t="shared" si="88"/>
        <v>48.11</v>
      </c>
      <c r="F2835" s="680">
        <v>48.11</v>
      </c>
      <c r="G2835" s="680">
        <v>48.11</v>
      </c>
      <c r="H2835" t="b">
        <f t="shared" si="89"/>
        <v>1</v>
      </c>
    </row>
    <row r="2836" spans="1:8">
      <c r="A2836" s="396">
        <v>20167</v>
      </c>
      <c r="B2836" s="401" t="s">
        <v>11567</v>
      </c>
      <c r="C2836" s="396" t="s">
        <v>2021</v>
      </c>
      <c r="D2836" s="405">
        <f t="shared" si="88"/>
        <v>6.05</v>
      </c>
      <c r="F2836" s="679">
        <v>6.05</v>
      </c>
      <c r="G2836" s="679">
        <v>6.05</v>
      </c>
      <c r="H2836" t="b">
        <f t="shared" si="89"/>
        <v>1</v>
      </c>
    </row>
    <row r="2837" spans="1:8">
      <c r="A2837" s="395">
        <v>20168</v>
      </c>
      <c r="B2837" s="406" t="s">
        <v>11568</v>
      </c>
      <c r="C2837" s="395" t="s">
        <v>2021</v>
      </c>
      <c r="D2837" s="407">
        <f t="shared" si="88"/>
        <v>12.45</v>
      </c>
      <c r="F2837" s="680">
        <v>12.45</v>
      </c>
      <c r="G2837" s="680">
        <v>12.45</v>
      </c>
      <c r="H2837" t="b">
        <f t="shared" si="89"/>
        <v>1</v>
      </c>
    </row>
    <row r="2838" spans="1:8">
      <c r="A2838" s="396">
        <v>20169</v>
      </c>
      <c r="B2838" s="401" t="s">
        <v>11569</v>
      </c>
      <c r="C2838" s="396" t="s">
        <v>2021</v>
      </c>
      <c r="D2838" s="405">
        <f t="shared" si="88"/>
        <v>14.53</v>
      </c>
      <c r="F2838" s="679">
        <v>14.53</v>
      </c>
      <c r="G2838" s="679">
        <v>14.53</v>
      </c>
      <c r="H2838" t="b">
        <f t="shared" si="89"/>
        <v>1</v>
      </c>
    </row>
    <row r="2839" spans="1:8">
      <c r="A2839" s="395">
        <v>3899</v>
      </c>
      <c r="B2839" s="406" t="s">
        <v>11570</v>
      </c>
      <c r="C2839" s="395" t="s">
        <v>2021</v>
      </c>
      <c r="D2839" s="407">
        <f t="shared" si="88"/>
        <v>8.06</v>
      </c>
      <c r="F2839" s="680">
        <v>8.06</v>
      </c>
      <c r="G2839" s="680">
        <v>8.06</v>
      </c>
      <c r="H2839" t="b">
        <f t="shared" si="89"/>
        <v>1</v>
      </c>
    </row>
    <row r="2840" spans="1:8">
      <c r="A2840" s="396">
        <v>38676</v>
      </c>
      <c r="B2840" s="401" t="s">
        <v>11571</v>
      </c>
      <c r="C2840" s="396" t="s">
        <v>2021</v>
      </c>
      <c r="D2840" s="405">
        <f t="shared" si="88"/>
        <v>40.32</v>
      </c>
      <c r="F2840" s="679">
        <v>40.32</v>
      </c>
      <c r="G2840" s="679">
        <v>40.32</v>
      </c>
      <c r="H2840" t="b">
        <f t="shared" si="89"/>
        <v>1</v>
      </c>
    </row>
    <row r="2841" spans="1:8">
      <c r="A2841" s="395">
        <v>3897</v>
      </c>
      <c r="B2841" s="406" t="s">
        <v>11572</v>
      </c>
      <c r="C2841" s="395" t="s">
        <v>2021</v>
      </c>
      <c r="D2841" s="407">
        <f t="shared" si="88"/>
        <v>1.97</v>
      </c>
      <c r="F2841" s="680">
        <v>1.97</v>
      </c>
      <c r="G2841" s="680">
        <v>1.97</v>
      </c>
      <c r="H2841" t="b">
        <f t="shared" si="89"/>
        <v>1</v>
      </c>
    </row>
    <row r="2842" spans="1:8">
      <c r="A2842" s="396">
        <v>3875</v>
      </c>
      <c r="B2842" s="401" t="s">
        <v>11573</v>
      </c>
      <c r="C2842" s="396" t="s">
        <v>2021</v>
      </c>
      <c r="D2842" s="405">
        <f t="shared" si="88"/>
        <v>4.0599999999999996</v>
      </c>
      <c r="F2842" s="679">
        <v>4.0599999999999996</v>
      </c>
      <c r="G2842" s="679">
        <v>4.0599999999999996</v>
      </c>
      <c r="H2842" t="b">
        <f t="shared" si="89"/>
        <v>1</v>
      </c>
    </row>
    <row r="2843" spans="1:8">
      <c r="A2843" s="395">
        <v>3898</v>
      </c>
      <c r="B2843" s="406" t="s">
        <v>11574</v>
      </c>
      <c r="C2843" s="395" t="s">
        <v>2021</v>
      </c>
      <c r="D2843" s="407">
        <f t="shared" si="88"/>
        <v>8.25</v>
      </c>
      <c r="F2843" s="680">
        <v>8.25</v>
      </c>
      <c r="G2843" s="680">
        <v>8.25</v>
      </c>
      <c r="H2843" t="b">
        <f t="shared" si="89"/>
        <v>1</v>
      </c>
    </row>
    <row r="2844" spans="1:8">
      <c r="A2844" s="396">
        <v>3855</v>
      </c>
      <c r="B2844" s="401" t="s">
        <v>11575</v>
      </c>
      <c r="C2844" s="396" t="s">
        <v>2021</v>
      </c>
      <c r="D2844" s="405">
        <f t="shared" si="88"/>
        <v>6.5</v>
      </c>
      <c r="F2844" s="679">
        <v>6.5</v>
      </c>
      <c r="G2844" s="679">
        <v>6.5</v>
      </c>
      <c r="H2844" t="b">
        <f t="shared" si="89"/>
        <v>1</v>
      </c>
    </row>
    <row r="2845" spans="1:8">
      <c r="A2845" s="395">
        <v>3874</v>
      </c>
      <c r="B2845" s="406" t="s">
        <v>11576</v>
      </c>
      <c r="C2845" s="395" t="s">
        <v>2021</v>
      </c>
      <c r="D2845" s="407">
        <f t="shared" si="88"/>
        <v>7.54</v>
      </c>
      <c r="F2845" s="680">
        <v>7.54</v>
      </c>
      <c r="G2845" s="680">
        <v>7.54</v>
      </c>
      <c r="H2845" t="b">
        <f t="shared" si="89"/>
        <v>1</v>
      </c>
    </row>
    <row r="2846" spans="1:8">
      <c r="A2846" s="396">
        <v>3870</v>
      </c>
      <c r="B2846" s="401" t="s">
        <v>11577</v>
      </c>
      <c r="C2846" s="396" t="s">
        <v>2021</v>
      </c>
      <c r="D2846" s="405">
        <f t="shared" si="88"/>
        <v>8.27</v>
      </c>
      <c r="F2846" s="679">
        <v>8.27</v>
      </c>
      <c r="G2846" s="679">
        <v>8.27</v>
      </c>
      <c r="H2846" t="b">
        <f t="shared" si="89"/>
        <v>1</v>
      </c>
    </row>
    <row r="2847" spans="1:8">
      <c r="A2847" s="395">
        <v>38678</v>
      </c>
      <c r="B2847" s="406" t="s">
        <v>11578</v>
      </c>
      <c r="C2847" s="395" t="s">
        <v>2021</v>
      </c>
      <c r="D2847" s="407">
        <f t="shared" si="88"/>
        <v>21.88</v>
      </c>
      <c r="F2847" s="680">
        <v>21.88</v>
      </c>
      <c r="G2847" s="680">
        <v>21.88</v>
      </c>
      <c r="H2847" t="b">
        <f t="shared" si="89"/>
        <v>1</v>
      </c>
    </row>
    <row r="2848" spans="1:8">
      <c r="A2848" s="396">
        <v>3859</v>
      </c>
      <c r="B2848" s="401" t="s">
        <v>11579</v>
      </c>
      <c r="C2848" s="396" t="s">
        <v>2021</v>
      </c>
      <c r="D2848" s="405">
        <f t="shared" si="88"/>
        <v>1.67</v>
      </c>
      <c r="F2848" s="679">
        <v>1.67</v>
      </c>
      <c r="G2848" s="679">
        <v>1.67</v>
      </c>
      <c r="H2848" t="b">
        <f t="shared" si="89"/>
        <v>1</v>
      </c>
    </row>
    <row r="2849" spans="1:8">
      <c r="A2849" s="395">
        <v>3856</v>
      </c>
      <c r="B2849" s="406" t="s">
        <v>11580</v>
      </c>
      <c r="C2849" s="395" t="s">
        <v>2021</v>
      </c>
      <c r="D2849" s="407">
        <f t="shared" si="88"/>
        <v>2.31</v>
      </c>
      <c r="F2849" s="680">
        <v>2.31</v>
      </c>
      <c r="G2849" s="680">
        <v>2.31</v>
      </c>
      <c r="H2849" t="b">
        <f t="shared" si="89"/>
        <v>1</v>
      </c>
    </row>
    <row r="2850" spans="1:8">
      <c r="A2850" s="396">
        <v>3906</v>
      </c>
      <c r="B2850" s="401" t="s">
        <v>11581</v>
      </c>
      <c r="C2850" s="396" t="s">
        <v>2021</v>
      </c>
      <c r="D2850" s="405">
        <f t="shared" si="88"/>
        <v>1.91</v>
      </c>
      <c r="F2850" s="679">
        <v>1.91</v>
      </c>
      <c r="G2850" s="679">
        <v>1.91</v>
      </c>
      <c r="H2850" t="b">
        <f t="shared" si="89"/>
        <v>1</v>
      </c>
    </row>
    <row r="2851" spans="1:8">
      <c r="A2851" s="395">
        <v>3860</v>
      </c>
      <c r="B2851" s="406" t="s">
        <v>11582</v>
      </c>
      <c r="C2851" s="395" t="s">
        <v>2021</v>
      </c>
      <c r="D2851" s="407">
        <f t="shared" si="88"/>
        <v>5.67</v>
      </c>
      <c r="F2851" s="680">
        <v>5.67</v>
      </c>
      <c r="G2851" s="680">
        <v>5.67</v>
      </c>
      <c r="H2851" t="b">
        <f t="shared" si="89"/>
        <v>1</v>
      </c>
    </row>
    <row r="2852" spans="1:8">
      <c r="A2852" s="396">
        <v>3905</v>
      </c>
      <c r="B2852" s="401" t="s">
        <v>11583</v>
      </c>
      <c r="C2852" s="396" t="s">
        <v>2021</v>
      </c>
      <c r="D2852" s="405">
        <f t="shared" si="88"/>
        <v>13</v>
      </c>
      <c r="F2852" s="679">
        <v>13</v>
      </c>
      <c r="G2852" s="679">
        <v>13</v>
      </c>
      <c r="H2852" t="b">
        <f t="shared" si="89"/>
        <v>1</v>
      </c>
    </row>
    <row r="2853" spans="1:8">
      <c r="A2853" s="395">
        <v>3871</v>
      </c>
      <c r="B2853" s="406" t="s">
        <v>11584</v>
      </c>
      <c r="C2853" s="395" t="s">
        <v>2021</v>
      </c>
      <c r="D2853" s="407">
        <f t="shared" si="88"/>
        <v>23.01</v>
      </c>
      <c r="F2853" s="680">
        <v>23.01</v>
      </c>
      <c r="G2853" s="680">
        <v>23.01</v>
      </c>
      <c r="H2853" t="b">
        <f t="shared" si="89"/>
        <v>1</v>
      </c>
    </row>
    <row r="2854" spans="1:8" ht="30">
      <c r="A2854" s="396">
        <v>39292</v>
      </c>
      <c r="B2854" s="401" t="s">
        <v>11585</v>
      </c>
      <c r="C2854" s="396" t="s">
        <v>2021</v>
      </c>
      <c r="D2854" s="405">
        <f t="shared" si="88"/>
        <v>7.46</v>
      </c>
      <c r="F2854" s="679">
        <v>7.46</v>
      </c>
      <c r="G2854" s="679">
        <v>7.46</v>
      </c>
      <c r="H2854" t="b">
        <f t="shared" si="89"/>
        <v>1</v>
      </c>
    </row>
    <row r="2855" spans="1:8" ht="30">
      <c r="A2855" s="395">
        <v>39293</v>
      </c>
      <c r="B2855" s="406" t="s">
        <v>11586</v>
      </c>
      <c r="C2855" s="395" t="s">
        <v>2021</v>
      </c>
      <c r="D2855" s="407">
        <f t="shared" si="88"/>
        <v>11.6</v>
      </c>
      <c r="F2855" s="680">
        <v>11.6</v>
      </c>
      <c r="G2855" s="680">
        <v>11.6</v>
      </c>
      <c r="H2855" t="b">
        <f t="shared" si="89"/>
        <v>1</v>
      </c>
    </row>
    <row r="2856" spans="1:8" ht="30">
      <c r="A2856" s="396">
        <v>39294</v>
      </c>
      <c r="B2856" s="401" t="s">
        <v>11587</v>
      </c>
      <c r="C2856" s="396" t="s">
        <v>2021</v>
      </c>
      <c r="D2856" s="405">
        <f t="shared" si="88"/>
        <v>12.4</v>
      </c>
      <c r="F2856" s="679">
        <v>12.4</v>
      </c>
      <c r="G2856" s="679">
        <v>12.4</v>
      </c>
      <c r="H2856" t="b">
        <f t="shared" si="89"/>
        <v>1</v>
      </c>
    </row>
    <row r="2857" spans="1:8" ht="30">
      <c r="A2857" s="395">
        <v>39295</v>
      </c>
      <c r="B2857" s="406" t="s">
        <v>11588</v>
      </c>
      <c r="C2857" s="395" t="s">
        <v>2021</v>
      </c>
      <c r="D2857" s="407">
        <f t="shared" si="88"/>
        <v>17.05</v>
      </c>
      <c r="F2857" s="680">
        <v>17.05</v>
      </c>
      <c r="G2857" s="680">
        <v>17.05</v>
      </c>
      <c r="H2857" t="b">
        <f t="shared" si="89"/>
        <v>1</v>
      </c>
    </row>
    <row r="2858" spans="1:8">
      <c r="A2858" s="396">
        <v>39296</v>
      </c>
      <c r="B2858" s="401" t="s">
        <v>11589</v>
      </c>
      <c r="C2858" s="396" t="s">
        <v>2021</v>
      </c>
      <c r="D2858" s="405">
        <f t="shared" si="88"/>
        <v>6.8</v>
      </c>
      <c r="F2858" s="679">
        <v>6.8</v>
      </c>
      <c r="G2858" s="679">
        <v>6.8</v>
      </c>
      <c r="H2858" t="b">
        <f t="shared" si="89"/>
        <v>1</v>
      </c>
    </row>
    <row r="2859" spans="1:8">
      <c r="A2859" s="395">
        <v>39297</v>
      </c>
      <c r="B2859" s="406" t="s">
        <v>11590</v>
      </c>
      <c r="C2859" s="395" t="s">
        <v>2021</v>
      </c>
      <c r="D2859" s="407">
        <f t="shared" si="88"/>
        <v>9.23</v>
      </c>
      <c r="F2859" s="680">
        <v>9.23</v>
      </c>
      <c r="G2859" s="680">
        <v>9.23</v>
      </c>
      <c r="H2859" t="b">
        <f t="shared" si="89"/>
        <v>1</v>
      </c>
    </row>
    <row r="2860" spans="1:8">
      <c r="A2860" s="396">
        <v>39298</v>
      </c>
      <c r="B2860" s="401" t="s">
        <v>11591</v>
      </c>
      <c r="C2860" s="396" t="s">
        <v>2021</v>
      </c>
      <c r="D2860" s="405">
        <f t="shared" si="88"/>
        <v>17.72</v>
      </c>
      <c r="F2860" s="679">
        <v>17.72</v>
      </c>
      <c r="G2860" s="679">
        <v>17.72</v>
      </c>
      <c r="H2860" t="b">
        <f t="shared" si="89"/>
        <v>1</v>
      </c>
    </row>
    <row r="2861" spans="1:8">
      <c r="A2861" s="395">
        <v>39299</v>
      </c>
      <c r="B2861" s="406" t="s">
        <v>11592</v>
      </c>
      <c r="C2861" s="395" t="s">
        <v>2021</v>
      </c>
      <c r="D2861" s="407">
        <f t="shared" si="88"/>
        <v>21</v>
      </c>
      <c r="F2861" s="680">
        <v>21</v>
      </c>
      <c r="G2861" s="680">
        <v>21</v>
      </c>
      <c r="H2861" t="b">
        <f t="shared" si="89"/>
        <v>1</v>
      </c>
    </row>
    <row r="2862" spans="1:8">
      <c r="A2862" s="396">
        <v>39308</v>
      </c>
      <c r="B2862" s="401" t="s">
        <v>11593</v>
      </c>
      <c r="C2862" s="396" t="s">
        <v>2021</v>
      </c>
      <c r="D2862" s="405">
        <f t="shared" si="88"/>
        <v>5.68</v>
      </c>
      <c r="F2862" s="679">
        <v>5.68</v>
      </c>
      <c r="G2862" s="679">
        <v>5.68</v>
      </c>
      <c r="H2862" t="b">
        <f t="shared" si="89"/>
        <v>1</v>
      </c>
    </row>
    <row r="2863" spans="1:8">
      <c r="A2863" s="395">
        <v>39309</v>
      </c>
      <c r="B2863" s="406" t="s">
        <v>11594</v>
      </c>
      <c r="C2863" s="395" t="s">
        <v>2021</v>
      </c>
      <c r="D2863" s="407">
        <f t="shared" si="88"/>
        <v>6.47</v>
      </c>
      <c r="F2863" s="680">
        <v>6.47</v>
      </c>
      <c r="G2863" s="680">
        <v>6.47</v>
      </c>
      <c r="H2863" t="b">
        <f t="shared" si="89"/>
        <v>1</v>
      </c>
    </row>
    <row r="2864" spans="1:8">
      <c r="A2864" s="396">
        <v>37429</v>
      </c>
      <c r="B2864" s="401" t="s">
        <v>11595</v>
      </c>
      <c r="C2864" s="396" t="s">
        <v>2021</v>
      </c>
      <c r="D2864" s="405">
        <f t="shared" si="88"/>
        <v>2901.8</v>
      </c>
      <c r="F2864" s="679">
        <v>2901.8</v>
      </c>
      <c r="G2864" s="679">
        <v>2901.8</v>
      </c>
      <c r="H2864" t="b">
        <f t="shared" si="89"/>
        <v>1</v>
      </c>
    </row>
    <row r="2865" spans="1:8">
      <c r="A2865" s="395">
        <v>37426</v>
      </c>
      <c r="B2865" s="406" t="s">
        <v>11596</v>
      </c>
      <c r="C2865" s="395" t="s">
        <v>2021</v>
      </c>
      <c r="D2865" s="407">
        <f t="shared" si="88"/>
        <v>27.91</v>
      </c>
      <c r="F2865" s="680">
        <v>27.91</v>
      </c>
      <c r="G2865" s="680">
        <v>27.91</v>
      </c>
      <c r="H2865" t="b">
        <f t="shared" si="89"/>
        <v>1</v>
      </c>
    </row>
    <row r="2866" spans="1:8">
      <c r="A2866" s="396">
        <v>37427</v>
      </c>
      <c r="B2866" s="401" t="s">
        <v>11597</v>
      </c>
      <c r="C2866" s="396" t="s">
        <v>2021</v>
      </c>
      <c r="D2866" s="405">
        <f t="shared" si="88"/>
        <v>66.58</v>
      </c>
      <c r="F2866" s="679">
        <v>66.58</v>
      </c>
      <c r="G2866" s="679">
        <v>66.58</v>
      </c>
      <c r="H2866" t="b">
        <f t="shared" si="89"/>
        <v>1</v>
      </c>
    </row>
    <row r="2867" spans="1:8">
      <c r="A2867" s="395">
        <v>37424</v>
      </c>
      <c r="B2867" s="406" t="s">
        <v>11598</v>
      </c>
      <c r="C2867" s="395" t="s">
        <v>2021</v>
      </c>
      <c r="D2867" s="407">
        <f t="shared" si="88"/>
        <v>12.83</v>
      </c>
      <c r="F2867" s="680">
        <v>12.83</v>
      </c>
      <c r="G2867" s="680">
        <v>12.83</v>
      </c>
      <c r="H2867" t="b">
        <f t="shared" si="89"/>
        <v>1</v>
      </c>
    </row>
    <row r="2868" spans="1:8">
      <c r="A2868" s="396">
        <v>37428</v>
      </c>
      <c r="B2868" s="401" t="s">
        <v>11599</v>
      </c>
      <c r="C2868" s="396" t="s">
        <v>2021</v>
      </c>
      <c r="D2868" s="405">
        <f t="shared" si="88"/>
        <v>229.47</v>
      </c>
      <c r="F2868" s="679">
        <v>229.47</v>
      </c>
      <c r="G2868" s="679">
        <v>229.47</v>
      </c>
      <c r="H2868" t="b">
        <f t="shared" si="89"/>
        <v>1</v>
      </c>
    </row>
    <row r="2869" spans="1:8">
      <c r="A2869" s="395">
        <v>37425</v>
      </c>
      <c r="B2869" s="406" t="s">
        <v>11600</v>
      </c>
      <c r="C2869" s="395" t="s">
        <v>2021</v>
      </c>
      <c r="D2869" s="407">
        <f t="shared" si="88"/>
        <v>13.82</v>
      </c>
      <c r="F2869" s="680">
        <v>13.82</v>
      </c>
      <c r="G2869" s="680">
        <v>13.82</v>
      </c>
      <c r="H2869" t="b">
        <f t="shared" si="89"/>
        <v>1</v>
      </c>
    </row>
    <row r="2870" spans="1:8">
      <c r="A2870" s="396">
        <v>11519</v>
      </c>
      <c r="B2870" s="401" t="s">
        <v>11601</v>
      </c>
      <c r="C2870" s="396" t="s">
        <v>2028</v>
      </c>
      <c r="D2870" s="405">
        <f t="shared" si="88"/>
        <v>59.23</v>
      </c>
      <c r="F2870" s="679">
        <v>59.23</v>
      </c>
      <c r="G2870" s="679">
        <v>59.23</v>
      </c>
      <c r="H2870" t="b">
        <f t="shared" si="89"/>
        <v>1</v>
      </c>
    </row>
    <row r="2871" spans="1:8" ht="30">
      <c r="A2871" s="395">
        <v>11520</v>
      </c>
      <c r="B2871" s="406" t="s">
        <v>11602</v>
      </c>
      <c r="C2871" s="395" t="s">
        <v>2028</v>
      </c>
      <c r="D2871" s="407">
        <f t="shared" si="88"/>
        <v>27.39</v>
      </c>
      <c r="F2871" s="680">
        <v>27.39</v>
      </c>
      <c r="G2871" s="680">
        <v>27.39</v>
      </c>
      <c r="H2871" t="b">
        <f t="shared" si="89"/>
        <v>1</v>
      </c>
    </row>
    <row r="2872" spans="1:8">
      <c r="A2872" s="396">
        <v>11518</v>
      </c>
      <c r="B2872" s="401" t="s">
        <v>11603</v>
      </c>
      <c r="C2872" s="396" t="s">
        <v>2028</v>
      </c>
      <c r="D2872" s="405">
        <f t="shared" si="88"/>
        <v>99.57</v>
      </c>
      <c r="F2872" s="679">
        <v>99.57</v>
      </c>
      <c r="G2872" s="679">
        <v>99.57</v>
      </c>
      <c r="H2872" t="b">
        <f t="shared" si="89"/>
        <v>1</v>
      </c>
    </row>
    <row r="2873" spans="1:8">
      <c r="A2873" s="395">
        <v>38473</v>
      </c>
      <c r="B2873" s="406" t="s">
        <v>11604</v>
      </c>
      <c r="C2873" s="395" t="s">
        <v>2021</v>
      </c>
      <c r="D2873" s="407">
        <f t="shared" si="88"/>
        <v>137.24</v>
      </c>
      <c r="F2873" s="680">
        <v>137.24</v>
      </c>
      <c r="G2873" s="680">
        <v>137.24</v>
      </c>
      <c r="H2873" t="b">
        <f t="shared" si="89"/>
        <v>1</v>
      </c>
    </row>
    <row r="2874" spans="1:8">
      <c r="A2874" s="396">
        <v>4244</v>
      </c>
      <c r="B2874" s="401" t="s">
        <v>11605</v>
      </c>
      <c r="C2874" s="396" t="s">
        <v>2020</v>
      </c>
      <c r="D2874" s="405">
        <f t="shared" si="88"/>
        <v>15.87</v>
      </c>
      <c r="F2874" s="679">
        <v>15.87</v>
      </c>
      <c r="G2874" s="679">
        <v>18.260000000000002</v>
      </c>
      <c r="H2874" t="b">
        <f t="shared" si="89"/>
        <v>0</v>
      </c>
    </row>
    <row r="2875" spans="1:8">
      <c r="A2875" s="395">
        <v>40977</v>
      </c>
      <c r="B2875" s="406" t="s">
        <v>11606</v>
      </c>
      <c r="C2875" s="395" t="s">
        <v>2027</v>
      </c>
      <c r="D2875" s="407">
        <f t="shared" si="88"/>
        <v>2798.98</v>
      </c>
      <c r="F2875" s="680">
        <v>2798.98</v>
      </c>
      <c r="G2875" s="680">
        <v>3224.26</v>
      </c>
      <c r="H2875" t="b">
        <f t="shared" si="89"/>
        <v>0</v>
      </c>
    </row>
    <row r="2876" spans="1:8">
      <c r="A2876" s="396">
        <v>4115</v>
      </c>
      <c r="B2876" s="401" t="s">
        <v>11607</v>
      </c>
      <c r="C2876" s="396" t="s">
        <v>2024</v>
      </c>
      <c r="D2876" s="405">
        <f t="shared" si="88"/>
        <v>30.5</v>
      </c>
      <c r="F2876" s="679">
        <v>30.5</v>
      </c>
      <c r="G2876" s="679">
        <v>30.5</v>
      </c>
      <c r="H2876" t="b">
        <f t="shared" si="89"/>
        <v>1</v>
      </c>
    </row>
    <row r="2877" spans="1:8">
      <c r="A2877" s="395">
        <v>4119</v>
      </c>
      <c r="B2877" s="406" t="s">
        <v>11608</v>
      </c>
      <c r="C2877" s="395" t="s">
        <v>2024</v>
      </c>
      <c r="D2877" s="407">
        <f t="shared" si="88"/>
        <v>61.61</v>
      </c>
      <c r="F2877" s="680">
        <v>61.61</v>
      </c>
      <c r="G2877" s="680">
        <v>61.61</v>
      </c>
      <c r="H2877" t="b">
        <f t="shared" si="89"/>
        <v>1</v>
      </c>
    </row>
    <row r="2878" spans="1:8">
      <c r="A2878" s="396">
        <v>2794</v>
      </c>
      <c r="B2878" s="401" t="s">
        <v>11609</v>
      </c>
      <c r="C2878" s="396" t="s">
        <v>2024</v>
      </c>
      <c r="D2878" s="405">
        <f t="shared" si="88"/>
        <v>163.43</v>
      </c>
      <c r="F2878" s="679">
        <v>163.43</v>
      </c>
      <c r="G2878" s="679">
        <v>163.43</v>
      </c>
      <c r="H2878" t="b">
        <f t="shared" si="89"/>
        <v>1</v>
      </c>
    </row>
    <row r="2879" spans="1:8">
      <c r="A2879" s="395">
        <v>2788</v>
      </c>
      <c r="B2879" s="406" t="s">
        <v>11610</v>
      </c>
      <c r="C2879" s="395" t="s">
        <v>2024</v>
      </c>
      <c r="D2879" s="407">
        <f t="shared" si="88"/>
        <v>238.09</v>
      </c>
      <c r="F2879" s="680">
        <v>238.09</v>
      </c>
      <c r="G2879" s="680">
        <v>238.09</v>
      </c>
      <c r="H2879" t="b">
        <f t="shared" si="89"/>
        <v>1</v>
      </c>
    </row>
    <row r="2880" spans="1:8">
      <c r="A2880" s="396">
        <v>4006</v>
      </c>
      <c r="B2880" s="401" t="s">
        <v>11611</v>
      </c>
      <c r="C2880" s="396" t="s">
        <v>2022</v>
      </c>
      <c r="D2880" s="405">
        <f t="shared" si="88"/>
        <v>2914.38</v>
      </c>
      <c r="F2880" s="679">
        <v>2914.38</v>
      </c>
      <c r="G2880" s="679">
        <v>2914.38</v>
      </c>
      <c r="H2880" t="b">
        <f t="shared" si="89"/>
        <v>1</v>
      </c>
    </row>
    <row r="2881" spans="1:8">
      <c r="A2881" s="395">
        <v>36151</v>
      </c>
      <c r="B2881" s="406" t="s">
        <v>11612</v>
      </c>
      <c r="C2881" s="395" t="s">
        <v>2021</v>
      </c>
      <c r="D2881" s="407">
        <f t="shared" si="88"/>
        <v>31.8</v>
      </c>
      <c r="F2881" s="680">
        <v>31.8</v>
      </c>
      <c r="G2881" s="680">
        <v>31.8</v>
      </c>
      <c r="H2881" t="b">
        <f t="shared" si="89"/>
        <v>1</v>
      </c>
    </row>
    <row r="2882" spans="1:8">
      <c r="A2882" s="396">
        <v>37457</v>
      </c>
      <c r="B2882" s="401" t="s">
        <v>11613</v>
      </c>
      <c r="C2882" s="396" t="s">
        <v>2024</v>
      </c>
      <c r="D2882" s="405">
        <f t="shared" si="88"/>
        <v>4.57</v>
      </c>
      <c r="F2882" s="679">
        <v>4.57</v>
      </c>
      <c r="G2882" s="679">
        <v>4.57</v>
      </c>
      <c r="H2882" t="b">
        <f t="shared" si="89"/>
        <v>1</v>
      </c>
    </row>
    <row r="2883" spans="1:8">
      <c r="A2883" s="395">
        <v>37456</v>
      </c>
      <c r="B2883" s="406" t="s">
        <v>11614</v>
      </c>
      <c r="C2883" s="395" t="s">
        <v>2024</v>
      </c>
      <c r="D2883" s="407">
        <f t="shared" ref="D2883:D2946" si="90">IF($J$2=$F$1,F2883,G2883)</f>
        <v>2.41</v>
      </c>
      <c r="F2883" s="680">
        <v>2.41</v>
      </c>
      <c r="G2883" s="680">
        <v>2.41</v>
      </c>
      <c r="H2883" t="b">
        <f t="shared" ref="H2883:H2946" si="91">F2883=G2883</f>
        <v>1</v>
      </c>
    </row>
    <row r="2884" spans="1:8">
      <c r="A2884" s="396">
        <v>37461</v>
      </c>
      <c r="B2884" s="401" t="s">
        <v>11615</v>
      </c>
      <c r="C2884" s="396" t="s">
        <v>2024</v>
      </c>
      <c r="D2884" s="405">
        <f t="shared" si="90"/>
        <v>16.989999999999998</v>
      </c>
      <c r="F2884" s="679">
        <v>16.989999999999998</v>
      </c>
      <c r="G2884" s="679">
        <v>16.989999999999998</v>
      </c>
      <c r="H2884" t="b">
        <f t="shared" si="91"/>
        <v>1</v>
      </c>
    </row>
    <row r="2885" spans="1:8">
      <c r="A2885" s="395">
        <v>37460</v>
      </c>
      <c r="B2885" s="406" t="s">
        <v>11616</v>
      </c>
      <c r="C2885" s="395" t="s">
        <v>2024</v>
      </c>
      <c r="D2885" s="407">
        <f t="shared" si="90"/>
        <v>23.2</v>
      </c>
      <c r="F2885" s="680">
        <v>23.2</v>
      </c>
      <c r="G2885" s="680">
        <v>23.2</v>
      </c>
      <c r="H2885" t="b">
        <f t="shared" si="91"/>
        <v>1</v>
      </c>
    </row>
    <row r="2886" spans="1:8">
      <c r="A2886" s="396">
        <v>37458</v>
      </c>
      <c r="B2886" s="401" t="s">
        <v>11617</v>
      </c>
      <c r="C2886" s="396" t="s">
        <v>2024</v>
      </c>
      <c r="D2886" s="405">
        <f t="shared" si="90"/>
        <v>6.8</v>
      </c>
      <c r="F2886" s="679">
        <v>6.8</v>
      </c>
      <c r="G2886" s="679">
        <v>6.8</v>
      </c>
      <c r="H2886" t="b">
        <f t="shared" si="91"/>
        <v>1</v>
      </c>
    </row>
    <row r="2887" spans="1:8">
      <c r="A2887" s="395">
        <v>37454</v>
      </c>
      <c r="B2887" s="406" t="s">
        <v>11618</v>
      </c>
      <c r="C2887" s="395" t="s">
        <v>2024</v>
      </c>
      <c r="D2887" s="407">
        <f t="shared" si="90"/>
        <v>1.78</v>
      </c>
      <c r="F2887" s="680">
        <v>1.78</v>
      </c>
      <c r="G2887" s="680">
        <v>1.78</v>
      </c>
      <c r="H2887" t="b">
        <f t="shared" si="91"/>
        <v>1</v>
      </c>
    </row>
    <row r="2888" spans="1:8">
      <c r="A2888" s="396">
        <v>37455</v>
      </c>
      <c r="B2888" s="401" t="s">
        <v>11619</v>
      </c>
      <c r="C2888" s="396" t="s">
        <v>2024</v>
      </c>
      <c r="D2888" s="405">
        <f t="shared" si="90"/>
        <v>3</v>
      </c>
      <c r="F2888" s="679">
        <v>3</v>
      </c>
      <c r="G2888" s="679">
        <v>3</v>
      </c>
      <c r="H2888" t="b">
        <f t="shared" si="91"/>
        <v>1</v>
      </c>
    </row>
    <row r="2889" spans="1:8">
      <c r="A2889" s="395">
        <v>37459</v>
      </c>
      <c r="B2889" s="406" t="s">
        <v>11620</v>
      </c>
      <c r="C2889" s="395" t="s">
        <v>2024</v>
      </c>
      <c r="D2889" s="407">
        <f t="shared" si="90"/>
        <v>9.5500000000000007</v>
      </c>
      <c r="F2889" s="680">
        <v>9.5500000000000007</v>
      </c>
      <c r="G2889" s="680">
        <v>9.5500000000000007</v>
      </c>
      <c r="H2889" t="b">
        <f t="shared" si="91"/>
        <v>1</v>
      </c>
    </row>
    <row r="2890" spans="1:8" ht="30">
      <c r="A2890" s="396">
        <v>21029</v>
      </c>
      <c r="B2890" s="401" t="s">
        <v>11621</v>
      </c>
      <c r="C2890" s="396" t="s">
        <v>2021</v>
      </c>
      <c r="D2890" s="405">
        <f t="shared" si="90"/>
        <v>495</v>
      </c>
      <c r="F2890" s="679">
        <v>495</v>
      </c>
      <c r="G2890" s="679">
        <v>495</v>
      </c>
      <c r="H2890" t="b">
        <f t="shared" si="91"/>
        <v>1</v>
      </c>
    </row>
    <row r="2891" spans="1:8" ht="30">
      <c r="A2891" s="395">
        <v>21030</v>
      </c>
      <c r="B2891" s="406" t="s">
        <v>11622</v>
      </c>
      <c r="C2891" s="395" t="s">
        <v>2021</v>
      </c>
      <c r="D2891" s="407">
        <f t="shared" si="90"/>
        <v>610.16999999999996</v>
      </c>
      <c r="F2891" s="680">
        <v>610.16999999999996</v>
      </c>
      <c r="G2891" s="680">
        <v>610.16999999999996</v>
      </c>
      <c r="H2891" t="b">
        <f t="shared" si="91"/>
        <v>1</v>
      </c>
    </row>
    <row r="2892" spans="1:8" ht="30">
      <c r="A2892" s="396">
        <v>21031</v>
      </c>
      <c r="B2892" s="401" t="s">
        <v>11623</v>
      </c>
      <c r="C2892" s="396" t="s">
        <v>2021</v>
      </c>
      <c r="D2892" s="405">
        <f t="shared" si="90"/>
        <v>759.65</v>
      </c>
      <c r="F2892" s="679">
        <v>759.65</v>
      </c>
      <c r="G2892" s="679">
        <v>759.65</v>
      </c>
      <c r="H2892" t="b">
        <f t="shared" si="91"/>
        <v>1</v>
      </c>
    </row>
    <row r="2893" spans="1:8" ht="30">
      <c r="A2893" s="395">
        <v>21032</v>
      </c>
      <c r="B2893" s="406" t="s">
        <v>11624</v>
      </c>
      <c r="C2893" s="395" t="s">
        <v>2021</v>
      </c>
      <c r="D2893" s="407">
        <f t="shared" si="90"/>
        <v>811.11</v>
      </c>
      <c r="F2893" s="680">
        <v>811.11</v>
      </c>
      <c r="G2893" s="680">
        <v>811.11</v>
      </c>
      <c r="H2893" t="b">
        <f t="shared" si="91"/>
        <v>1</v>
      </c>
    </row>
    <row r="2894" spans="1:8" ht="30">
      <c r="A2894" s="396">
        <v>37527</v>
      </c>
      <c r="B2894" s="401" t="s">
        <v>11625</v>
      </c>
      <c r="C2894" s="396" t="s">
        <v>2021</v>
      </c>
      <c r="D2894" s="405">
        <f t="shared" si="90"/>
        <v>732.69</v>
      </c>
      <c r="F2894" s="679">
        <v>732.69</v>
      </c>
      <c r="G2894" s="679">
        <v>732.69</v>
      </c>
      <c r="H2894" t="b">
        <f t="shared" si="91"/>
        <v>1</v>
      </c>
    </row>
    <row r="2895" spans="1:8" ht="30">
      <c r="A2895" s="395">
        <v>37528</v>
      </c>
      <c r="B2895" s="406" t="s">
        <v>11626</v>
      </c>
      <c r="C2895" s="395" t="s">
        <v>2021</v>
      </c>
      <c r="D2895" s="407">
        <f t="shared" si="90"/>
        <v>873.6</v>
      </c>
      <c r="F2895" s="680">
        <v>873.6</v>
      </c>
      <c r="G2895" s="680">
        <v>873.6</v>
      </c>
      <c r="H2895" t="b">
        <f t="shared" si="91"/>
        <v>1</v>
      </c>
    </row>
    <row r="2896" spans="1:8" ht="30">
      <c r="A2896" s="396">
        <v>37529</v>
      </c>
      <c r="B2896" s="401" t="s">
        <v>11627</v>
      </c>
      <c r="C2896" s="396" t="s">
        <v>2021</v>
      </c>
      <c r="D2896" s="405">
        <f t="shared" si="90"/>
        <v>882.17</v>
      </c>
      <c r="F2896" s="679">
        <v>882.17</v>
      </c>
      <c r="G2896" s="679">
        <v>882.17</v>
      </c>
      <c r="H2896" t="b">
        <f t="shared" si="91"/>
        <v>1</v>
      </c>
    </row>
    <row r="2897" spans="1:8" ht="30">
      <c r="A2897" s="395">
        <v>37530</v>
      </c>
      <c r="B2897" s="406" t="s">
        <v>11628</v>
      </c>
      <c r="C2897" s="395" t="s">
        <v>2021</v>
      </c>
      <c r="D2897" s="407">
        <f t="shared" si="90"/>
        <v>1151.73</v>
      </c>
      <c r="F2897" s="680">
        <v>1151.73</v>
      </c>
      <c r="G2897" s="680">
        <v>1151.73</v>
      </c>
      <c r="H2897" t="b">
        <f t="shared" si="91"/>
        <v>1</v>
      </c>
    </row>
    <row r="2898" spans="1:8" ht="30">
      <c r="A2898" s="396">
        <v>21034</v>
      </c>
      <c r="B2898" s="401" t="s">
        <v>11629</v>
      </c>
      <c r="C2898" s="396" t="s">
        <v>2021</v>
      </c>
      <c r="D2898" s="405">
        <f t="shared" si="90"/>
        <v>982.64</v>
      </c>
      <c r="F2898" s="679">
        <v>982.64</v>
      </c>
      <c r="G2898" s="679">
        <v>982.64</v>
      </c>
      <c r="H2898" t="b">
        <f t="shared" si="91"/>
        <v>1</v>
      </c>
    </row>
    <row r="2899" spans="1:8" ht="30">
      <c r="A2899" s="395">
        <v>37531</v>
      </c>
      <c r="B2899" s="406" t="s">
        <v>11630</v>
      </c>
      <c r="C2899" s="395" t="s">
        <v>2021</v>
      </c>
      <c r="D2899" s="407">
        <f t="shared" si="90"/>
        <v>1237.5</v>
      </c>
      <c r="F2899" s="680">
        <v>1237.5</v>
      </c>
      <c r="G2899" s="680">
        <v>1237.5</v>
      </c>
      <c r="H2899" t="b">
        <f t="shared" si="91"/>
        <v>1</v>
      </c>
    </row>
    <row r="2900" spans="1:8" ht="30">
      <c r="A2900" s="396">
        <v>21036</v>
      </c>
      <c r="B2900" s="401" t="s">
        <v>11631</v>
      </c>
      <c r="C2900" s="396" t="s">
        <v>2021</v>
      </c>
      <c r="D2900" s="405">
        <f t="shared" si="90"/>
        <v>1504.6</v>
      </c>
      <c r="F2900" s="679">
        <v>1504.6</v>
      </c>
      <c r="G2900" s="679">
        <v>1504.6</v>
      </c>
      <c r="H2900" t="b">
        <f t="shared" si="91"/>
        <v>1</v>
      </c>
    </row>
    <row r="2901" spans="1:8" ht="30">
      <c r="A2901" s="395">
        <v>21037</v>
      </c>
      <c r="B2901" s="406" t="s">
        <v>11632</v>
      </c>
      <c r="C2901" s="395" t="s">
        <v>2021</v>
      </c>
      <c r="D2901" s="407">
        <f t="shared" si="90"/>
        <v>1715.34</v>
      </c>
      <c r="F2901" s="680">
        <v>1715.34</v>
      </c>
      <c r="G2901" s="680">
        <v>1715.34</v>
      </c>
      <c r="H2901" t="b">
        <f t="shared" si="91"/>
        <v>1</v>
      </c>
    </row>
    <row r="2902" spans="1:8" ht="30">
      <c r="A2902" s="396">
        <v>20185</v>
      </c>
      <c r="B2902" s="401" t="s">
        <v>11633</v>
      </c>
      <c r="C2902" s="396" t="s">
        <v>2024</v>
      </c>
      <c r="D2902" s="405">
        <f t="shared" si="90"/>
        <v>27.62</v>
      </c>
      <c r="F2902" s="679">
        <v>27.62</v>
      </c>
      <c r="G2902" s="679">
        <v>27.62</v>
      </c>
      <c r="H2902" t="b">
        <f t="shared" si="91"/>
        <v>1</v>
      </c>
    </row>
    <row r="2903" spans="1:8">
      <c r="A2903" s="395">
        <v>20260</v>
      </c>
      <c r="B2903" s="406" t="s">
        <v>11634</v>
      </c>
      <c r="C2903" s="395" t="s">
        <v>2021</v>
      </c>
      <c r="D2903" s="407">
        <f t="shared" si="90"/>
        <v>22.21</v>
      </c>
      <c r="F2903" s="680">
        <v>22.21</v>
      </c>
      <c r="G2903" s="680">
        <v>22.21</v>
      </c>
      <c r="H2903" t="b">
        <f t="shared" si="91"/>
        <v>1</v>
      </c>
    </row>
    <row r="2904" spans="1:8">
      <c r="A2904" s="396">
        <v>37523</v>
      </c>
      <c r="B2904" s="401" t="s">
        <v>11635</v>
      </c>
      <c r="C2904" s="396" t="s">
        <v>2021</v>
      </c>
      <c r="D2904" s="405">
        <f t="shared" si="90"/>
        <v>469601.78</v>
      </c>
      <c r="F2904" s="679">
        <v>469601.78</v>
      </c>
      <c r="G2904" s="679">
        <v>469601.78</v>
      </c>
      <c r="H2904" t="b">
        <f t="shared" si="91"/>
        <v>1</v>
      </c>
    </row>
    <row r="2905" spans="1:8">
      <c r="A2905" s="395">
        <v>37515</v>
      </c>
      <c r="B2905" s="406" t="s">
        <v>11636</v>
      </c>
      <c r="C2905" s="395" t="s">
        <v>2021</v>
      </c>
      <c r="D2905" s="407">
        <f t="shared" si="90"/>
        <v>417500</v>
      </c>
      <c r="F2905" s="680">
        <v>417500</v>
      </c>
      <c r="G2905" s="680">
        <v>417500</v>
      </c>
      <c r="H2905" t="b">
        <f t="shared" si="91"/>
        <v>1</v>
      </c>
    </row>
    <row r="2906" spans="1:8" ht="30">
      <c r="A2906" s="396">
        <v>12899</v>
      </c>
      <c r="B2906" s="401" t="s">
        <v>11637</v>
      </c>
      <c r="C2906" s="396" t="s">
        <v>2021</v>
      </c>
      <c r="D2906" s="405">
        <f t="shared" si="90"/>
        <v>114.55</v>
      </c>
      <c r="F2906" s="679">
        <v>114.55</v>
      </c>
      <c r="G2906" s="679">
        <v>114.55</v>
      </c>
      <c r="H2906" t="b">
        <f t="shared" si="91"/>
        <v>1</v>
      </c>
    </row>
    <row r="2907" spans="1:8">
      <c r="A2907" s="395">
        <v>12898</v>
      </c>
      <c r="B2907" s="406" t="s">
        <v>11638</v>
      </c>
      <c r="C2907" s="395" t="s">
        <v>2021</v>
      </c>
      <c r="D2907" s="407">
        <f t="shared" si="90"/>
        <v>181.71</v>
      </c>
      <c r="F2907" s="680">
        <v>181.71</v>
      </c>
      <c r="G2907" s="680">
        <v>181.71</v>
      </c>
      <c r="H2907" t="b">
        <f t="shared" si="91"/>
        <v>1</v>
      </c>
    </row>
    <row r="2908" spans="1:8">
      <c r="A2908" s="396">
        <v>42528</v>
      </c>
      <c r="B2908" s="401" t="s">
        <v>11639</v>
      </c>
      <c r="C2908" s="396" t="s">
        <v>2023</v>
      </c>
      <c r="D2908" s="405">
        <f t="shared" si="90"/>
        <v>11.66</v>
      </c>
      <c r="F2908" s="679">
        <v>11.66</v>
      </c>
      <c r="G2908" s="679">
        <v>11.66</v>
      </c>
      <c r="H2908" t="b">
        <f t="shared" si="91"/>
        <v>1</v>
      </c>
    </row>
    <row r="2909" spans="1:8">
      <c r="A2909" s="395">
        <v>39696</v>
      </c>
      <c r="B2909" s="406" t="s">
        <v>11640</v>
      </c>
      <c r="C2909" s="395" t="s">
        <v>2023</v>
      </c>
      <c r="D2909" s="407">
        <f t="shared" si="90"/>
        <v>8.1999999999999993</v>
      </c>
      <c r="F2909" s="680">
        <v>8.1999999999999993</v>
      </c>
      <c r="G2909" s="680">
        <v>8.1999999999999993</v>
      </c>
      <c r="H2909" t="b">
        <f t="shared" si="91"/>
        <v>1</v>
      </c>
    </row>
    <row r="2910" spans="1:8">
      <c r="A2910" s="396">
        <v>39700</v>
      </c>
      <c r="B2910" s="401" t="s">
        <v>11641</v>
      </c>
      <c r="C2910" s="396" t="s">
        <v>2023</v>
      </c>
      <c r="D2910" s="405">
        <f t="shared" si="90"/>
        <v>29.17</v>
      </c>
      <c r="F2910" s="679">
        <v>29.17</v>
      </c>
      <c r="G2910" s="679">
        <v>29.17</v>
      </c>
      <c r="H2910" t="b">
        <f t="shared" si="91"/>
        <v>1</v>
      </c>
    </row>
    <row r="2911" spans="1:8">
      <c r="A2911" s="395">
        <v>11621</v>
      </c>
      <c r="B2911" s="406" t="s">
        <v>11642</v>
      </c>
      <c r="C2911" s="395" t="s">
        <v>2023</v>
      </c>
      <c r="D2911" s="407">
        <f t="shared" si="90"/>
        <v>58.04</v>
      </c>
      <c r="F2911" s="680">
        <v>58.04</v>
      </c>
      <c r="G2911" s="680">
        <v>58.04</v>
      </c>
      <c r="H2911" t="b">
        <f t="shared" si="91"/>
        <v>1</v>
      </c>
    </row>
    <row r="2912" spans="1:8">
      <c r="A2912" s="396">
        <v>4014</v>
      </c>
      <c r="B2912" s="401" t="s">
        <v>11643</v>
      </c>
      <c r="C2912" s="396" t="s">
        <v>2023</v>
      </c>
      <c r="D2912" s="405">
        <f t="shared" si="90"/>
        <v>60.05</v>
      </c>
      <c r="F2912" s="679">
        <v>60.05</v>
      </c>
      <c r="G2912" s="679">
        <v>60.05</v>
      </c>
      <c r="H2912" t="b">
        <f t="shared" si="91"/>
        <v>1</v>
      </c>
    </row>
    <row r="2913" spans="1:8">
      <c r="A2913" s="395">
        <v>4015</v>
      </c>
      <c r="B2913" s="406" t="s">
        <v>11644</v>
      </c>
      <c r="C2913" s="395" t="s">
        <v>2023</v>
      </c>
      <c r="D2913" s="407">
        <f t="shared" si="90"/>
        <v>73.739999999999995</v>
      </c>
      <c r="F2913" s="680">
        <v>73.739999999999995</v>
      </c>
      <c r="G2913" s="680">
        <v>73.739999999999995</v>
      </c>
      <c r="H2913" t="b">
        <f t="shared" si="91"/>
        <v>1</v>
      </c>
    </row>
    <row r="2914" spans="1:8">
      <c r="A2914" s="396">
        <v>4017</v>
      </c>
      <c r="B2914" s="401" t="s">
        <v>11645</v>
      </c>
      <c r="C2914" s="396" t="s">
        <v>2023</v>
      </c>
      <c r="D2914" s="405">
        <f t="shared" si="90"/>
        <v>107.3</v>
      </c>
      <c r="F2914" s="679">
        <v>107.3</v>
      </c>
      <c r="G2914" s="679">
        <v>107.3</v>
      </c>
      <c r="H2914" t="b">
        <f t="shared" si="91"/>
        <v>1</v>
      </c>
    </row>
    <row r="2915" spans="1:8">
      <c r="A2915" s="395">
        <v>4016</v>
      </c>
      <c r="B2915" s="406" t="s">
        <v>11646</v>
      </c>
      <c r="C2915" s="395" t="s">
        <v>2023</v>
      </c>
      <c r="D2915" s="407">
        <f t="shared" si="90"/>
        <v>42.38</v>
      </c>
      <c r="F2915" s="680">
        <v>42.38</v>
      </c>
      <c r="G2915" s="680">
        <v>42.38</v>
      </c>
      <c r="H2915" t="b">
        <f t="shared" si="91"/>
        <v>1</v>
      </c>
    </row>
    <row r="2916" spans="1:8">
      <c r="A2916" s="396">
        <v>39699</v>
      </c>
      <c r="B2916" s="401" t="s">
        <v>11647</v>
      </c>
      <c r="C2916" s="396" t="s">
        <v>2023</v>
      </c>
      <c r="D2916" s="405">
        <f t="shared" si="90"/>
        <v>22.53</v>
      </c>
      <c r="F2916" s="679">
        <v>22.53</v>
      </c>
      <c r="G2916" s="679">
        <v>22.53</v>
      </c>
      <c r="H2916" t="b">
        <f t="shared" si="91"/>
        <v>1</v>
      </c>
    </row>
    <row r="2917" spans="1:8">
      <c r="A2917" s="395">
        <v>38544</v>
      </c>
      <c r="B2917" s="406" t="s">
        <v>11648</v>
      </c>
      <c r="C2917" s="395" t="s">
        <v>2023</v>
      </c>
      <c r="D2917" s="407">
        <f t="shared" si="90"/>
        <v>10.87</v>
      </c>
      <c r="F2917" s="680">
        <v>10.87</v>
      </c>
      <c r="G2917" s="680">
        <v>10.87</v>
      </c>
      <c r="H2917" t="b">
        <f t="shared" si="91"/>
        <v>1</v>
      </c>
    </row>
    <row r="2918" spans="1:8">
      <c r="A2918" s="396">
        <v>38545</v>
      </c>
      <c r="B2918" s="401" t="s">
        <v>11649</v>
      </c>
      <c r="C2918" s="396" t="s">
        <v>2023</v>
      </c>
      <c r="D2918" s="405">
        <f t="shared" si="90"/>
        <v>6.99</v>
      </c>
      <c r="F2918" s="679">
        <v>6.99</v>
      </c>
      <c r="G2918" s="679">
        <v>6.99</v>
      </c>
      <c r="H2918" t="b">
        <f t="shared" si="91"/>
        <v>1</v>
      </c>
    </row>
    <row r="2919" spans="1:8">
      <c r="A2919" s="395">
        <v>42527</v>
      </c>
      <c r="B2919" s="406" t="s">
        <v>11650</v>
      </c>
      <c r="C2919" s="395" t="s">
        <v>2023</v>
      </c>
      <c r="D2919" s="407">
        <f t="shared" si="90"/>
        <v>30.81</v>
      </c>
      <c r="F2919" s="680">
        <v>30.81</v>
      </c>
      <c r="G2919" s="680">
        <v>30.81</v>
      </c>
      <c r="H2919" t="b">
        <f t="shared" si="91"/>
        <v>1</v>
      </c>
    </row>
    <row r="2920" spans="1:8">
      <c r="A2920" s="396">
        <v>39323</v>
      </c>
      <c r="B2920" s="401" t="s">
        <v>11651</v>
      </c>
      <c r="C2920" s="396" t="s">
        <v>2023</v>
      </c>
      <c r="D2920" s="405">
        <f t="shared" si="90"/>
        <v>26.66</v>
      </c>
      <c r="F2920" s="679">
        <v>26.66</v>
      </c>
      <c r="G2920" s="679">
        <v>26.66</v>
      </c>
      <c r="H2920" t="b">
        <f t="shared" si="91"/>
        <v>1</v>
      </c>
    </row>
    <row r="2921" spans="1:8" ht="30">
      <c r="A2921" s="395">
        <v>626</v>
      </c>
      <c r="B2921" s="406" t="s">
        <v>11652</v>
      </c>
      <c r="C2921" s="395" t="s">
        <v>2025</v>
      </c>
      <c r="D2921" s="407">
        <f t="shared" si="90"/>
        <v>42.94</v>
      </c>
      <c r="F2921" s="680">
        <v>42.94</v>
      </c>
      <c r="G2921" s="680">
        <v>42.94</v>
      </c>
      <c r="H2921" t="b">
        <f t="shared" si="91"/>
        <v>1</v>
      </c>
    </row>
    <row r="2922" spans="1:8">
      <c r="A2922" s="396">
        <v>44504</v>
      </c>
      <c r="B2922" s="401" t="s">
        <v>11653</v>
      </c>
      <c r="C2922" s="396" t="s">
        <v>2023</v>
      </c>
      <c r="D2922" s="405">
        <f t="shared" si="90"/>
        <v>14.64</v>
      </c>
      <c r="F2922" s="679">
        <v>14.64</v>
      </c>
      <c r="G2922" s="679">
        <v>14.64</v>
      </c>
      <c r="H2922" t="b">
        <f t="shared" si="91"/>
        <v>1</v>
      </c>
    </row>
    <row r="2923" spans="1:8">
      <c r="A2923" s="395">
        <v>44505</v>
      </c>
      <c r="B2923" s="406" t="s">
        <v>11654</v>
      </c>
      <c r="C2923" s="395" t="s">
        <v>2023</v>
      </c>
      <c r="D2923" s="407">
        <f t="shared" si="90"/>
        <v>22.1</v>
      </c>
      <c r="F2923" s="680">
        <v>22.1</v>
      </c>
      <c r="G2923" s="680">
        <v>22.1</v>
      </c>
      <c r="H2923" t="b">
        <f t="shared" si="91"/>
        <v>1</v>
      </c>
    </row>
    <row r="2924" spans="1:8">
      <c r="A2924" s="396">
        <v>44506</v>
      </c>
      <c r="B2924" s="401" t="s">
        <v>11655</v>
      </c>
      <c r="C2924" s="396" t="s">
        <v>2023</v>
      </c>
      <c r="D2924" s="405">
        <f t="shared" si="90"/>
        <v>23.45</v>
      </c>
      <c r="F2924" s="679">
        <v>23.45</v>
      </c>
      <c r="G2924" s="679">
        <v>23.45</v>
      </c>
      <c r="H2924" t="b">
        <f t="shared" si="91"/>
        <v>1</v>
      </c>
    </row>
    <row r="2925" spans="1:8">
      <c r="A2925" s="395">
        <v>44507</v>
      </c>
      <c r="B2925" s="406" t="s">
        <v>11656</v>
      </c>
      <c r="C2925" s="395" t="s">
        <v>2023</v>
      </c>
      <c r="D2925" s="407">
        <f t="shared" si="90"/>
        <v>29.32</v>
      </c>
      <c r="F2925" s="680">
        <v>29.32</v>
      </c>
      <c r="G2925" s="680">
        <v>29.32</v>
      </c>
      <c r="H2925" t="b">
        <f t="shared" si="91"/>
        <v>1</v>
      </c>
    </row>
    <row r="2926" spans="1:8">
      <c r="A2926" s="396">
        <v>44508</v>
      </c>
      <c r="B2926" s="401" t="s">
        <v>11657</v>
      </c>
      <c r="C2926" s="396" t="s">
        <v>2023</v>
      </c>
      <c r="D2926" s="405">
        <f t="shared" si="90"/>
        <v>43.97</v>
      </c>
      <c r="F2926" s="679">
        <v>43.97</v>
      </c>
      <c r="G2926" s="679">
        <v>43.97</v>
      </c>
      <c r="H2926" t="b">
        <f t="shared" si="91"/>
        <v>1</v>
      </c>
    </row>
    <row r="2927" spans="1:8">
      <c r="A2927" s="395">
        <v>44509</v>
      </c>
      <c r="B2927" s="406" t="s">
        <v>11658</v>
      </c>
      <c r="C2927" s="395" t="s">
        <v>2023</v>
      </c>
      <c r="D2927" s="407">
        <f t="shared" si="90"/>
        <v>58.9</v>
      </c>
      <c r="F2927" s="680">
        <v>58.9</v>
      </c>
      <c r="G2927" s="680">
        <v>58.9</v>
      </c>
      <c r="H2927" t="b">
        <f t="shared" si="91"/>
        <v>1</v>
      </c>
    </row>
    <row r="2928" spans="1:8">
      <c r="A2928" s="396">
        <v>44510</v>
      </c>
      <c r="B2928" s="401" t="s">
        <v>11659</v>
      </c>
      <c r="C2928" s="396" t="s">
        <v>2023</v>
      </c>
      <c r="D2928" s="405">
        <f t="shared" si="90"/>
        <v>73.14</v>
      </c>
      <c r="F2928" s="679">
        <v>73.14</v>
      </c>
      <c r="G2928" s="679">
        <v>73.14</v>
      </c>
      <c r="H2928" t="b">
        <f t="shared" si="91"/>
        <v>1</v>
      </c>
    </row>
    <row r="2929" spans="1:8">
      <c r="A2929" s="395">
        <v>44512</v>
      </c>
      <c r="B2929" s="406" t="s">
        <v>11660</v>
      </c>
      <c r="C2929" s="395" t="s">
        <v>2023</v>
      </c>
      <c r="D2929" s="407">
        <f t="shared" si="90"/>
        <v>16.32</v>
      </c>
      <c r="F2929" s="680">
        <v>16.32</v>
      </c>
      <c r="G2929" s="680">
        <v>16.32</v>
      </c>
      <c r="H2929" t="b">
        <f t="shared" si="91"/>
        <v>1</v>
      </c>
    </row>
    <row r="2930" spans="1:8">
      <c r="A2930" s="396">
        <v>44513</v>
      </c>
      <c r="B2930" s="401" t="s">
        <v>11661</v>
      </c>
      <c r="C2930" s="396" t="s">
        <v>2023</v>
      </c>
      <c r="D2930" s="405">
        <f t="shared" si="90"/>
        <v>23.04</v>
      </c>
      <c r="F2930" s="679">
        <v>23.04</v>
      </c>
      <c r="G2930" s="679">
        <v>23.04</v>
      </c>
      <c r="H2930" t="b">
        <f t="shared" si="91"/>
        <v>1</v>
      </c>
    </row>
    <row r="2931" spans="1:8">
      <c r="A2931" s="395">
        <v>44514</v>
      </c>
      <c r="B2931" s="406" t="s">
        <v>11662</v>
      </c>
      <c r="C2931" s="395" t="s">
        <v>2023</v>
      </c>
      <c r="D2931" s="407">
        <f t="shared" si="90"/>
        <v>26.12</v>
      </c>
      <c r="F2931" s="680">
        <v>26.12</v>
      </c>
      <c r="G2931" s="680">
        <v>26.12</v>
      </c>
      <c r="H2931" t="b">
        <f t="shared" si="91"/>
        <v>1</v>
      </c>
    </row>
    <row r="2932" spans="1:8">
      <c r="A2932" s="396">
        <v>44515</v>
      </c>
      <c r="B2932" s="401" t="s">
        <v>11663</v>
      </c>
      <c r="C2932" s="396" t="s">
        <v>2023</v>
      </c>
      <c r="D2932" s="405">
        <f t="shared" si="90"/>
        <v>32.07</v>
      </c>
      <c r="F2932" s="679">
        <v>32.07</v>
      </c>
      <c r="G2932" s="679">
        <v>32.07</v>
      </c>
      <c r="H2932" t="b">
        <f t="shared" si="91"/>
        <v>1</v>
      </c>
    </row>
    <row r="2933" spans="1:8">
      <c r="A2933" s="395">
        <v>44511</v>
      </c>
      <c r="B2933" s="406" t="s">
        <v>11664</v>
      </c>
      <c r="C2933" s="395" t="s">
        <v>2023</v>
      </c>
      <c r="D2933" s="407">
        <f t="shared" si="90"/>
        <v>47.48</v>
      </c>
      <c r="F2933" s="680">
        <v>47.48</v>
      </c>
      <c r="G2933" s="680">
        <v>47.48</v>
      </c>
      <c r="H2933" t="b">
        <f t="shared" si="91"/>
        <v>1</v>
      </c>
    </row>
    <row r="2934" spans="1:8">
      <c r="A2934" s="396">
        <v>44516</v>
      </c>
      <c r="B2934" s="401" t="s">
        <v>11665</v>
      </c>
      <c r="C2934" s="396" t="s">
        <v>2023</v>
      </c>
      <c r="D2934" s="405">
        <f t="shared" si="90"/>
        <v>64.16</v>
      </c>
      <c r="F2934" s="679">
        <v>64.16</v>
      </c>
      <c r="G2934" s="679">
        <v>64.16</v>
      </c>
      <c r="H2934" t="b">
        <f t="shared" si="91"/>
        <v>1</v>
      </c>
    </row>
    <row r="2935" spans="1:8">
      <c r="A2935" s="395">
        <v>44517</v>
      </c>
      <c r="B2935" s="406" t="s">
        <v>11666</v>
      </c>
      <c r="C2935" s="395" t="s">
        <v>2023</v>
      </c>
      <c r="D2935" s="407">
        <f t="shared" si="90"/>
        <v>80.03</v>
      </c>
      <c r="F2935" s="680">
        <v>80.03</v>
      </c>
      <c r="G2935" s="680">
        <v>80.03</v>
      </c>
      <c r="H2935" t="b">
        <f t="shared" si="91"/>
        <v>1</v>
      </c>
    </row>
    <row r="2936" spans="1:8">
      <c r="A2936" s="396">
        <v>11479</v>
      </c>
      <c r="B2936" s="401" t="s">
        <v>11667</v>
      </c>
      <c r="C2936" s="396" t="s">
        <v>2021</v>
      </c>
      <c r="D2936" s="405">
        <f t="shared" si="90"/>
        <v>41.59</v>
      </c>
      <c r="F2936" s="679">
        <v>41.59</v>
      </c>
      <c r="G2936" s="679">
        <v>41.59</v>
      </c>
      <c r="H2936" t="b">
        <f t="shared" si="91"/>
        <v>1</v>
      </c>
    </row>
    <row r="2937" spans="1:8">
      <c r="A2937" s="395">
        <v>11481</v>
      </c>
      <c r="B2937" s="406" t="s">
        <v>11668</v>
      </c>
      <c r="C2937" s="395" t="s">
        <v>2021</v>
      </c>
      <c r="D2937" s="407">
        <f t="shared" si="90"/>
        <v>37.619999999999997</v>
      </c>
      <c r="F2937" s="680">
        <v>37.619999999999997</v>
      </c>
      <c r="G2937" s="680">
        <v>37.619999999999997</v>
      </c>
      <c r="H2937" t="b">
        <f t="shared" si="91"/>
        <v>1</v>
      </c>
    </row>
    <row r="2938" spans="1:8">
      <c r="A2938" s="396">
        <v>43609</v>
      </c>
      <c r="B2938" s="401" t="s">
        <v>11669</v>
      </c>
      <c r="C2938" s="396" t="s">
        <v>2021</v>
      </c>
      <c r="D2938" s="405">
        <f t="shared" si="90"/>
        <v>37.619999999999997</v>
      </c>
      <c r="F2938" s="679">
        <v>37.619999999999997</v>
      </c>
      <c r="G2938" s="679">
        <v>37.619999999999997</v>
      </c>
      <c r="H2938" t="b">
        <f t="shared" si="91"/>
        <v>1</v>
      </c>
    </row>
    <row r="2939" spans="1:8">
      <c r="A2939" s="395">
        <v>11478</v>
      </c>
      <c r="B2939" s="406" t="s">
        <v>11670</v>
      </c>
      <c r="C2939" s="395" t="s">
        <v>2021</v>
      </c>
      <c r="D2939" s="407">
        <f t="shared" si="90"/>
        <v>71.36</v>
      </c>
      <c r="F2939" s="680">
        <v>71.36</v>
      </c>
      <c r="G2939" s="680">
        <v>71.36</v>
      </c>
      <c r="H2939" t="b">
        <f t="shared" si="91"/>
        <v>1</v>
      </c>
    </row>
    <row r="2940" spans="1:8">
      <c r="A2940" s="396">
        <v>43608</v>
      </c>
      <c r="B2940" s="401" t="s">
        <v>11671</v>
      </c>
      <c r="C2940" s="396" t="s">
        <v>2021</v>
      </c>
      <c r="D2940" s="405">
        <f t="shared" si="90"/>
        <v>54.46</v>
      </c>
      <c r="F2940" s="679">
        <v>54.46</v>
      </c>
      <c r="G2940" s="679">
        <v>54.46</v>
      </c>
      <c r="H2940" t="b">
        <f t="shared" si="91"/>
        <v>1</v>
      </c>
    </row>
    <row r="2941" spans="1:8">
      <c r="A2941" s="395">
        <v>11476</v>
      </c>
      <c r="B2941" s="406" t="s">
        <v>11672</v>
      </c>
      <c r="C2941" s="395" t="s">
        <v>2021</v>
      </c>
      <c r="D2941" s="407">
        <f t="shared" si="90"/>
        <v>54.46</v>
      </c>
      <c r="F2941" s="680">
        <v>54.46</v>
      </c>
      <c r="G2941" s="680">
        <v>54.46</v>
      </c>
      <c r="H2941" t="b">
        <f t="shared" si="91"/>
        <v>1</v>
      </c>
    </row>
    <row r="2942" spans="1:8">
      <c r="A2942" s="396">
        <v>40637</v>
      </c>
      <c r="B2942" s="401" t="s">
        <v>11673</v>
      </c>
      <c r="C2942" s="396" t="s">
        <v>2021</v>
      </c>
      <c r="D2942" s="405">
        <f t="shared" si="90"/>
        <v>725729.26</v>
      </c>
      <c r="F2942" s="679">
        <v>725729.26</v>
      </c>
      <c r="G2942" s="679">
        <v>725729.26</v>
      </c>
      <c r="H2942" t="b">
        <f t="shared" si="91"/>
        <v>1</v>
      </c>
    </row>
    <row r="2943" spans="1:8">
      <c r="A2943" s="395">
        <v>13836</v>
      </c>
      <c r="B2943" s="406" t="s">
        <v>11674</v>
      </c>
      <c r="C2943" s="395" t="s">
        <v>2021</v>
      </c>
      <c r="D2943" s="407">
        <f t="shared" si="90"/>
        <v>68057.95</v>
      </c>
      <c r="F2943" s="680">
        <v>68057.95</v>
      </c>
      <c r="G2943" s="680">
        <v>68057.95</v>
      </c>
      <c r="H2943" t="b">
        <f t="shared" si="91"/>
        <v>1</v>
      </c>
    </row>
    <row r="2944" spans="1:8" ht="30">
      <c r="A2944" s="396">
        <v>14534</v>
      </c>
      <c r="B2944" s="401" t="s">
        <v>11675</v>
      </c>
      <c r="C2944" s="396" t="s">
        <v>2021</v>
      </c>
      <c r="D2944" s="405">
        <f t="shared" si="90"/>
        <v>28490.86</v>
      </c>
      <c r="F2944" s="679">
        <v>28490.86</v>
      </c>
      <c r="G2944" s="679">
        <v>28490.86</v>
      </c>
      <c r="H2944" t="b">
        <f t="shared" si="91"/>
        <v>1</v>
      </c>
    </row>
    <row r="2945" spans="1:8">
      <c r="A2945" s="395">
        <v>14619</v>
      </c>
      <c r="B2945" s="406" t="s">
        <v>11676</v>
      </c>
      <c r="C2945" s="395" t="s">
        <v>2021</v>
      </c>
      <c r="D2945" s="407">
        <f t="shared" si="90"/>
        <v>18625.87</v>
      </c>
      <c r="F2945" s="680">
        <v>18625.87</v>
      </c>
      <c r="G2945" s="680">
        <v>18625.87</v>
      </c>
      <c r="H2945" t="b">
        <f t="shared" si="91"/>
        <v>1</v>
      </c>
    </row>
    <row r="2946" spans="1:8" ht="30">
      <c r="A2946" s="396">
        <v>14535</v>
      </c>
      <c r="B2946" s="401" t="s">
        <v>11677</v>
      </c>
      <c r="C2946" s="396" t="s">
        <v>2021</v>
      </c>
      <c r="D2946" s="405">
        <f t="shared" si="90"/>
        <v>282774.51</v>
      </c>
      <c r="F2946" s="679">
        <v>282774.51</v>
      </c>
      <c r="G2946" s="679">
        <v>282774.51</v>
      </c>
      <c r="H2946" t="b">
        <f t="shared" si="91"/>
        <v>1</v>
      </c>
    </row>
    <row r="2947" spans="1:8" ht="45">
      <c r="A2947" s="395">
        <v>39813</v>
      </c>
      <c r="B2947" s="406" t="s">
        <v>11678</v>
      </c>
      <c r="C2947" s="395" t="s">
        <v>2021</v>
      </c>
      <c r="D2947" s="407">
        <f t="shared" ref="D2947:D3010" si="92">IF($J$2=$F$1,F2947,G2947)</f>
        <v>36425.879999999997</v>
      </c>
      <c r="F2947" s="680">
        <v>36425.879999999997</v>
      </c>
      <c r="G2947" s="680">
        <v>36425.879999999997</v>
      </c>
      <c r="H2947" t="b">
        <f t="shared" ref="H2947:H3010" si="93">F2947=G2947</f>
        <v>1</v>
      </c>
    </row>
    <row r="2948" spans="1:8" ht="30">
      <c r="A2948" s="396">
        <v>40403</v>
      </c>
      <c r="B2948" s="401" t="s">
        <v>11679</v>
      </c>
      <c r="C2948" s="396" t="s">
        <v>2021</v>
      </c>
      <c r="D2948" s="405">
        <f t="shared" si="92"/>
        <v>826.11</v>
      </c>
      <c r="F2948" s="679">
        <v>826.11</v>
      </c>
      <c r="G2948" s="679">
        <v>826.11</v>
      </c>
      <c r="H2948" t="b">
        <f t="shared" si="93"/>
        <v>1</v>
      </c>
    </row>
    <row r="2949" spans="1:8">
      <c r="A2949" s="395">
        <v>12868</v>
      </c>
      <c r="B2949" s="406" t="s">
        <v>11680</v>
      </c>
      <c r="C2949" s="395" t="s">
        <v>2020</v>
      </c>
      <c r="D2949" s="407">
        <f t="shared" si="92"/>
        <v>15.08</v>
      </c>
      <c r="F2949" s="680">
        <v>15.08</v>
      </c>
      <c r="G2949" s="680">
        <v>17.350000000000001</v>
      </c>
      <c r="H2949" t="b">
        <f t="shared" si="93"/>
        <v>0</v>
      </c>
    </row>
    <row r="2950" spans="1:8">
      <c r="A2950" s="396">
        <v>40916</v>
      </c>
      <c r="B2950" s="401" t="s">
        <v>11681</v>
      </c>
      <c r="C2950" s="396" t="s">
        <v>2027</v>
      </c>
      <c r="D2950" s="405">
        <f t="shared" si="92"/>
        <v>2661.01</v>
      </c>
      <c r="F2950" s="679">
        <v>2661.01</v>
      </c>
      <c r="G2950" s="679">
        <v>3065.33</v>
      </c>
      <c r="H2950" t="b">
        <f t="shared" si="93"/>
        <v>0</v>
      </c>
    </row>
    <row r="2951" spans="1:8">
      <c r="A2951" s="395">
        <v>4755</v>
      </c>
      <c r="B2951" s="406" t="s">
        <v>11682</v>
      </c>
      <c r="C2951" s="395" t="s">
        <v>2020</v>
      </c>
      <c r="D2951" s="407">
        <f t="shared" si="92"/>
        <v>16.29</v>
      </c>
      <c r="F2951" s="680">
        <v>16.29</v>
      </c>
      <c r="G2951" s="680">
        <v>18.739999999999998</v>
      </c>
      <c r="H2951" t="b">
        <f t="shared" si="93"/>
        <v>0</v>
      </c>
    </row>
    <row r="2952" spans="1:8">
      <c r="A2952" s="396">
        <v>41067</v>
      </c>
      <c r="B2952" s="401" t="s">
        <v>11683</v>
      </c>
      <c r="C2952" s="396" t="s">
        <v>2027</v>
      </c>
      <c r="D2952" s="405">
        <f t="shared" si="92"/>
        <v>2871.23</v>
      </c>
      <c r="F2952" s="679">
        <v>2871.23</v>
      </c>
      <c r="G2952" s="679">
        <v>3307.49</v>
      </c>
      <c r="H2952" t="b">
        <f t="shared" si="93"/>
        <v>0</v>
      </c>
    </row>
    <row r="2953" spans="1:8">
      <c r="A2953" s="395">
        <v>38463</v>
      </c>
      <c r="B2953" s="406" t="s">
        <v>11684</v>
      </c>
      <c r="C2953" s="395" t="s">
        <v>2021</v>
      </c>
      <c r="D2953" s="407">
        <f t="shared" si="92"/>
        <v>33.340000000000003</v>
      </c>
      <c r="F2953" s="680">
        <v>33.340000000000003</v>
      </c>
      <c r="G2953" s="680">
        <v>33.340000000000003</v>
      </c>
      <c r="H2953" t="b">
        <f t="shared" si="93"/>
        <v>1</v>
      </c>
    </row>
    <row r="2954" spans="1:8" ht="30">
      <c r="A2954" s="396">
        <v>40703</v>
      </c>
      <c r="B2954" s="401" t="s">
        <v>11685</v>
      </c>
      <c r="C2954" s="396" t="s">
        <v>2021</v>
      </c>
      <c r="D2954" s="405">
        <f t="shared" si="92"/>
        <v>12274</v>
      </c>
      <c r="F2954" s="679">
        <v>12274</v>
      </c>
      <c r="G2954" s="679">
        <v>12274</v>
      </c>
      <c r="H2954" t="b">
        <f t="shared" si="93"/>
        <v>1</v>
      </c>
    </row>
    <row r="2955" spans="1:8">
      <c r="A2955" s="395">
        <v>14531</v>
      </c>
      <c r="B2955" s="406" t="s">
        <v>11686</v>
      </c>
      <c r="C2955" s="395" t="s">
        <v>2021</v>
      </c>
      <c r="D2955" s="407">
        <f t="shared" si="92"/>
        <v>22883.360000000001</v>
      </c>
      <c r="F2955" s="680">
        <v>22883.360000000001</v>
      </c>
      <c r="G2955" s="680">
        <v>22883.360000000001</v>
      </c>
      <c r="H2955" t="b">
        <f t="shared" si="93"/>
        <v>1</v>
      </c>
    </row>
    <row r="2956" spans="1:8">
      <c r="A2956" s="396">
        <v>36533</v>
      </c>
      <c r="B2956" s="401" t="s">
        <v>11687</v>
      </c>
      <c r="C2956" s="396" t="s">
        <v>2021</v>
      </c>
      <c r="D2956" s="405">
        <f t="shared" si="92"/>
        <v>26332.9</v>
      </c>
      <c r="F2956" s="679">
        <v>26332.9</v>
      </c>
      <c r="G2956" s="679">
        <v>26332.9</v>
      </c>
      <c r="H2956" t="b">
        <f t="shared" si="93"/>
        <v>1</v>
      </c>
    </row>
    <row r="2957" spans="1:8">
      <c r="A2957" s="395">
        <v>11616</v>
      </c>
      <c r="B2957" s="406" t="s">
        <v>11688</v>
      </c>
      <c r="C2957" s="395" t="s">
        <v>2021</v>
      </c>
      <c r="D2957" s="407">
        <f t="shared" si="92"/>
        <v>24871.03</v>
      </c>
      <c r="F2957" s="680">
        <v>24871.03</v>
      </c>
      <c r="G2957" s="680">
        <v>24871.03</v>
      </c>
      <c r="H2957" t="b">
        <f t="shared" si="93"/>
        <v>1</v>
      </c>
    </row>
    <row r="2958" spans="1:8">
      <c r="A2958" s="396">
        <v>41898</v>
      </c>
      <c r="B2958" s="401" t="s">
        <v>11689</v>
      </c>
      <c r="C2958" s="396" t="s">
        <v>2021</v>
      </c>
      <c r="D2958" s="405">
        <f t="shared" si="92"/>
        <v>27983.29</v>
      </c>
      <c r="F2958" s="679">
        <v>27983.29</v>
      </c>
      <c r="G2958" s="679">
        <v>27983.29</v>
      </c>
      <c r="H2958" t="b">
        <f t="shared" si="93"/>
        <v>1</v>
      </c>
    </row>
    <row r="2959" spans="1:8">
      <c r="A2959" s="395">
        <v>13447</v>
      </c>
      <c r="B2959" s="406" t="s">
        <v>11690</v>
      </c>
      <c r="C2959" s="395" t="s">
        <v>2021</v>
      </c>
      <c r="D2959" s="407">
        <f t="shared" si="92"/>
        <v>51491.18</v>
      </c>
      <c r="F2959" s="680">
        <v>51491.18</v>
      </c>
      <c r="G2959" s="680">
        <v>51491.18</v>
      </c>
      <c r="H2959" t="b">
        <f t="shared" si="93"/>
        <v>1</v>
      </c>
    </row>
    <row r="2960" spans="1:8">
      <c r="A2960" s="396">
        <v>14529</v>
      </c>
      <c r="B2960" s="401" t="s">
        <v>11691</v>
      </c>
      <c r="C2960" s="396" t="s">
        <v>2021</v>
      </c>
      <c r="D2960" s="405">
        <f t="shared" si="92"/>
        <v>28797.71</v>
      </c>
      <c r="F2960" s="679">
        <v>28797.71</v>
      </c>
      <c r="G2960" s="679">
        <v>28797.71</v>
      </c>
      <c r="H2960" t="b">
        <f t="shared" si="93"/>
        <v>1</v>
      </c>
    </row>
    <row r="2961" spans="1:8">
      <c r="A2961" s="395">
        <v>10747</v>
      </c>
      <c r="B2961" s="406" t="s">
        <v>11692</v>
      </c>
      <c r="C2961" s="395" t="s">
        <v>2021</v>
      </c>
      <c r="D2961" s="407">
        <f t="shared" si="92"/>
        <v>28254.95</v>
      </c>
      <c r="F2961" s="680">
        <v>28254.95</v>
      </c>
      <c r="G2961" s="680">
        <v>28254.95</v>
      </c>
      <c r="H2961" t="b">
        <f t="shared" si="93"/>
        <v>1</v>
      </c>
    </row>
    <row r="2962" spans="1:8">
      <c r="A2962" s="396">
        <v>36141</v>
      </c>
      <c r="B2962" s="401" t="s">
        <v>11693</v>
      </c>
      <c r="C2962" s="396" t="s">
        <v>2021</v>
      </c>
      <c r="D2962" s="405">
        <f t="shared" si="92"/>
        <v>42.93</v>
      </c>
      <c r="F2962" s="679">
        <v>42.93</v>
      </c>
      <c r="G2962" s="679">
        <v>42.93</v>
      </c>
      <c r="H2962" t="b">
        <f t="shared" si="93"/>
        <v>1</v>
      </c>
    </row>
    <row r="2963" spans="1:8">
      <c r="A2963" s="395">
        <v>43651</v>
      </c>
      <c r="B2963" s="406" t="s">
        <v>11694</v>
      </c>
      <c r="C2963" s="395" t="s">
        <v>2025</v>
      </c>
      <c r="D2963" s="407">
        <f t="shared" si="92"/>
        <v>7.73</v>
      </c>
      <c r="F2963" s="680">
        <v>7.73</v>
      </c>
      <c r="G2963" s="680">
        <v>7.73</v>
      </c>
      <c r="H2963" t="b">
        <f t="shared" si="93"/>
        <v>1</v>
      </c>
    </row>
    <row r="2964" spans="1:8">
      <c r="A2964" s="396">
        <v>43626</v>
      </c>
      <c r="B2964" s="401" t="s">
        <v>11695</v>
      </c>
      <c r="C2964" s="396" t="s">
        <v>2025</v>
      </c>
      <c r="D2964" s="405">
        <f t="shared" si="92"/>
        <v>4.3</v>
      </c>
      <c r="F2964" s="679">
        <v>4.3</v>
      </c>
      <c r="G2964" s="679">
        <v>4.3</v>
      </c>
      <c r="H2964" t="b">
        <f t="shared" si="93"/>
        <v>1</v>
      </c>
    </row>
    <row r="2965" spans="1:8" ht="30">
      <c r="A2965" s="395">
        <v>39434</v>
      </c>
      <c r="B2965" s="406" t="s">
        <v>11696</v>
      </c>
      <c r="C2965" s="395" t="s">
        <v>2025</v>
      </c>
      <c r="D2965" s="407">
        <f t="shared" si="92"/>
        <v>4.24</v>
      </c>
      <c r="F2965" s="680">
        <v>4.24</v>
      </c>
      <c r="G2965" s="680">
        <v>4.24</v>
      </c>
      <c r="H2965" t="b">
        <f t="shared" si="93"/>
        <v>1</v>
      </c>
    </row>
    <row r="2966" spans="1:8">
      <c r="A2966" s="396">
        <v>39433</v>
      </c>
      <c r="B2966" s="401" t="s">
        <v>11697</v>
      </c>
      <c r="C2966" s="396" t="s">
        <v>2025</v>
      </c>
      <c r="D2966" s="405">
        <f t="shared" si="92"/>
        <v>3.37</v>
      </c>
      <c r="F2966" s="679">
        <v>3.37</v>
      </c>
      <c r="G2966" s="679">
        <v>3.37</v>
      </c>
      <c r="H2966" t="b">
        <f t="shared" si="93"/>
        <v>1</v>
      </c>
    </row>
    <row r="2967" spans="1:8">
      <c r="A2967" s="395">
        <v>4049</v>
      </c>
      <c r="B2967" s="406" t="s">
        <v>11698</v>
      </c>
      <c r="C2967" s="395" t="s">
        <v>2026</v>
      </c>
      <c r="D2967" s="407">
        <f t="shared" si="92"/>
        <v>86.3</v>
      </c>
      <c r="F2967" s="680">
        <v>86.3</v>
      </c>
      <c r="G2967" s="680">
        <v>86.3</v>
      </c>
      <c r="H2967" t="b">
        <f t="shared" si="93"/>
        <v>1</v>
      </c>
    </row>
    <row r="2968" spans="1:8">
      <c r="A2968" s="396">
        <v>38120</v>
      </c>
      <c r="B2968" s="401" t="s">
        <v>11699</v>
      </c>
      <c r="C2968" s="396" t="s">
        <v>2025</v>
      </c>
      <c r="D2968" s="405">
        <f t="shared" si="92"/>
        <v>305.58999999999997</v>
      </c>
      <c r="F2968" s="679">
        <v>305.58999999999997</v>
      </c>
      <c r="G2968" s="679">
        <v>305.58999999999997</v>
      </c>
      <c r="H2968" t="b">
        <f t="shared" si="93"/>
        <v>1</v>
      </c>
    </row>
    <row r="2969" spans="1:8">
      <c r="A2969" s="395">
        <v>43652</v>
      </c>
      <c r="B2969" s="406" t="s">
        <v>11700</v>
      </c>
      <c r="C2969" s="395" t="s">
        <v>2025</v>
      </c>
      <c r="D2969" s="407">
        <f t="shared" si="92"/>
        <v>17.329999999999998</v>
      </c>
      <c r="F2969" s="680">
        <v>17.329999999999998</v>
      </c>
      <c r="G2969" s="680">
        <v>17.329999999999998</v>
      </c>
      <c r="H2969" t="b">
        <f t="shared" si="93"/>
        <v>1</v>
      </c>
    </row>
    <row r="2970" spans="1:8">
      <c r="A2970" s="396">
        <v>10498</v>
      </c>
      <c r="B2970" s="401" t="s">
        <v>11701</v>
      </c>
      <c r="C2970" s="396" t="s">
        <v>2025</v>
      </c>
      <c r="D2970" s="405">
        <f t="shared" si="92"/>
        <v>11.14</v>
      </c>
      <c r="F2970" s="679">
        <v>11.14</v>
      </c>
      <c r="G2970" s="679">
        <v>11.14</v>
      </c>
      <c r="H2970" t="b">
        <f t="shared" si="93"/>
        <v>1</v>
      </c>
    </row>
    <row r="2971" spans="1:8">
      <c r="A2971" s="395">
        <v>4823</v>
      </c>
      <c r="B2971" s="406" t="s">
        <v>11702</v>
      </c>
      <c r="C2971" s="395" t="s">
        <v>2025</v>
      </c>
      <c r="D2971" s="407">
        <f t="shared" si="92"/>
        <v>58.73</v>
      </c>
      <c r="F2971" s="680">
        <v>58.73</v>
      </c>
      <c r="G2971" s="680">
        <v>58.73</v>
      </c>
      <c r="H2971" t="b">
        <f t="shared" si="93"/>
        <v>1</v>
      </c>
    </row>
    <row r="2972" spans="1:8">
      <c r="A2972" s="396">
        <v>38877</v>
      </c>
      <c r="B2972" s="401" t="s">
        <v>11703</v>
      </c>
      <c r="C2972" s="396" t="s">
        <v>2025</v>
      </c>
      <c r="D2972" s="405">
        <f t="shared" si="92"/>
        <v>6.41</v>
      </c>
      <c r="F2972" s="679">
        <v>6.41</v>
      </c>
      <c r="G2972" s="679">
        <v>6.41</v>
      </c>
      <c r="H2972" t="b">
        <f t="shared" si="93"/>
        <v>1</v>
      </c>
    </row>
    <row r="2973" spans="1:8">
      <c r="A2973" s="395">
        <v>34546</v>
      </c>
      <c r="B2973" s="406" t="s">
        <v>11704</v>
      </c>
      <c r="C2973" s="395" t="s">
        <v>2025</v>
      </c>
      <c r="D2973" s="407">
        <f t="shared" si="92"/>
        <v>6.59</v>
      </c>
      <c r="F2973" s="680">
        <v>6.59</v>
      </c>
      <c r="G2973" s="680">
        <v>6.59</v>
      </c>
      <c r="H2973" t="b">
        <f t="shared" si="93"/>
        <v>1</v>
      </c>
    </row>
    <row r="2974" spans="1:8">
      <c r="A2974" s="396">
        <v>41387</v>
      </c>
      <c r="B2974" s="401" t="s">
        <v>11705</v>
      </c>
      <c r="C2974" s="396" t="s">
        <v>2024</v>
      </c>
      <c r="D2974" s="405">
        <f t="shared" si="92"/>
        <v>58.63</v>
      </c>
      <c r="F2974" s="679">
        <v>58.63</v>
      </c>
      <c r="G2974" s="679">
        <v>58.63</v>
      </c>
      <c r="H2974" t="b">
        <f t="shared" si="93"/>
        <v>1</v>
      </c>
    </row>
    <row r="2975" spans="1:8">
      <c r="A2975" s="395">
        <v>41388</v>
      </c>
      <c r="B2975" s="406" t="s">
        <v>11706</v>
      </c>
      <c r="C2975" s="395" t="s">
        <v>2024</v>
      </c>
      <c r="D2975" s="407">
        <f t="shared" si="92"/>
        <v>70.34</v>
      </c>
      <c r="F2975" s="680">
        <v>70.34</v>
      </c>
      <c r="G2975" s="680">
        <v>70.34</v>
      </c>
      <c r="H2975" t="b">
        <f t="shared" si="93"/>
        <v>1</v>
      </c>
    </row>
    <row r="2976" spans="1:8">
      <c r="A2976" s="396">
        <v>41380</v>
      </c>
      <c r="B2976" s="401" t="s">
        <v>11707</v>
      </c>
      <c r="C2976" s="396" t="s">
        <v>2021</v>
      </c>
      <c r="D2976" s="405">
        <f t="shared" si="92"/>
        <v>468.02</v>
      </c>
      <c r="F2976" s="679">
        <v>468.02</v>
      </c>
      <c r="G2976" s="679">
        <v>468.02</v>
      </c>
      <c r="H2976" t="b">
        <f t="shared" si="93"/>
        <v>1</v>
      </c>
    </row>
    <row r="2977" spans="1:8">
      <c r="A2977" s="395">
        <v>41381</v>
      </c>
      <c r="B2977" s="406" t="s">
        <v>11708</v>
      </c>
      <c r="C2977" s="395" t="s">
        <v>2021</v>
      </c>
      <c r="D2977" s="407">
        <f t="shared" si="92"/>
        <v>490.31</v>
      </c>
      <c r="F2977" s="680">
        <v>490.31</v>
      </c>
      <c r="G2977" s="680">
        <v>490.31</v>
      </c>
      <c r="H2977" t="b">
        <f t="shared" si="93"/>
        <v>1</v>
      </c>
    </row>
    <row r="2978" spans="1:8">
      <c r="A2978" s="396">
        <v>41382</v>
      </c>
      <c r="B2978" s="401" t="s">
        <v>11709</v>
      </c>
      <c r="C2978" s="396" t="s">
        <v>2021</v>
      </c>
      <c r="D2978" s="405">
        <f t="shared" si="92"/>
        <v>474.59</v>
      </c>
      <c r="F2978" s="679">
        <v>474.59</v>
      </c>
      <c r="G2978" s="679">
        <v>474.59</v>
      </c>
      <c r="H2978" t="b">
        <f t="shared" si="93"/>
        <v>1</v>
      </c>
    </row>
    <row r="2979" spans="1:8">
      <c r="A2979" s="395">
        <v>41383</v>
      </c>
      <c r="B2979" s="406" t="s">
        <v>11710</v>
      </c>
      <c r="C2979" s="395" t="s">
        <v>2021</v>
      </c>
      <c r="D2979" s="407">
        <f t="shared" si="92"/>
        <v>644.16</v>
      </c>
      <c r="F2979" s="680">
        <v>644.16</v>
      </c>
      <c r="G2979" s="680">
        <v>644.16</v>
      </c>
      <c r="H2979" t="b">
        <f t="shared" si="93"/>
        <v>1</v>
      </c>
    </row>
    <row r="2980" spans="1:8">
      <c r="A2980" s="396">
        <v>41385</v>
      </c>
      <c r="B2980" s="401" t="s">
        <v>11711</v>
      </c>
      <c r="C2980" s="396" t="s">
        <v>2021</v>
      </c>
      <c r="D2980" s="405">
        <f t="shared" si="92"/>
        <v>801.57</v>
      </c>
      <c r="F2980" s="679">
        <v>801.57</v>
      </c>
      <c r="G2980" s="679">
        <v>801.57</v>
      </c>
      <c r="H2980" t="b">
        <f t="shared" si="93"/>
        <v>1</v>
      </c>
    </row>
    <row r="2981" spans="1:8">
      <c r="A2981" s="395">
        <v>11079</v>
      </c>
      <c r="B2981" s="406" t="s">
        <v>11712</v>
      </c>
      <c r="C2981" s="395" t="s">
        <v>2022</v>
      </c>
      <c r="D2981" s="407">
        <f t="shared" si="92"/>
        <v>2313.92</v>
      </c>
      <c r="F2981" s="680">
        <v>2313.92</v>
      </c>
      <c r="G2981" s="680">
        <v>2313.92</v>
      </c>
      <c r="H2981" t="b">
        <f t="shared" si="93"/>
        <v>1</v>
      </c>
    </row>
    <row r="2982" spans="1:8">
      <c r="A2982" s="396">
        <v>11082</v>
      </c>
      <c r="B2982" s="401" t="s">
        <v>11713</v>
      </c>
      <c r="C2982" s="396" t="s">
        <v>2022</v>
      </c>
      <c r="D2982" s="405">
        <f t="shared" si="92"/>
        <v>2313.92</v>
      </c>
      <c r="F2982" s="679">
        <v>2313.92</v>
      </c>
      <c r="G2982" s="679">
        <v>2313.92</v>
      </c>
      <c r="H2982" t="b">
        <f t="shared" si="93"/>
        <v>1</v>
      </c>
    </row>
    <row r="2983" spans="1:8">
      <c r="A2983" s="395">
        <v>4058</v>
      </c>
      <c r="B2983" s="406" t="s">
        <v>11714</v>
      </c>
      <c r="C2983" s="395" t="s">
        <v>2020</v>
      </c>
      <c r="D2983" s="407">
        <f t="shared" si="92"/>
        <v>18.45</v>
      </c>
      <c r="F2983" s="680">
        <v>18.45</v>
      </c>
      <c r="G2983" s="680">
        <v>21.23</v>
      </c>
      <c r="H2983" t="b">
        <f t="shared" si="93"/>
        <v>0</v>
      </c>
    </row>
    <row r="2984" spans="1:8">
      <c r="A2984" s="396">
        <v>40974</v>
      </c>
      <c r="B2984" s="401" t="s">
        <v>11715</v>
      </c>
      <c r="C2984" s="396" t="s">
        <v>2027</v>
      </c>
      <c r="D2984" s="405">
        <f t="shared" si="92"/>
        <v>3253.96</v>
      </c>
      <c r="F2984" s="679">
        <v>3253.96</v>
      </c>
      <c r="G2984" s="679">
        <v>3748.37</v>
      </c>
      <c r="H2984" t="b">
        <f t="shared" si="93"/>
        <v>0</v>
      </c>
    </row>
    <row r="2985" spans="1:8">
      <c r="A2985" s="395">
        <v>34794</v>
      </c>
      <c r="B2985" s="406" t="s">
        <v>11716</v>
      </c>
      <c r="C2985" s="395" t="s">
        <v>2020</v>
      </c>
      <c r="D2985" s="407">
        <f t="shared" si="92"/>
        <v>17.93</v>
      </c>
      <c r="F2985" s="680">
        <v>17.93</v>
      </c>
      <c r="G2985" s="680">
        <v>20.63</v>
      </c>
      <c r="H2985" t="b">
        <f t="shared" si="93"/>
        <v>0</v>
      </c>
    </row>
    <row r="2986" spans="1:8">
      <c r="A2986" s="396">
        <v>40925</v>
      </c>
      <c r="B2986" s="401" t="s">
        <v>11717</v>
      </c>
      <c r="C2986" s="396" t="s">
        <v>2027</v>
      </c>
      <c r="D2986" s="405">
        <f t="shared" si="92"/>
        <v>3162.79</v>
      </c>
      <c r="F2986" s="679">
        <v>3162.79</v>
      </c>
      <c r="G2986" s="679">
        <v>3643.35</v>
      </c>
      <c r="H2986" t="b">
        <f t="shared" si="93"/>
        <v>0</v>
      </c>
    </row>
    <row r="2987" spans="1:8">
      <c r="A2987" s="395">
        <v>13741</v>
      </c>
      <c r="B2987" s="406" t="s">
        <v>11718</v>
      </c>
      <c r="C2987" s="395" t="s">
        <v>2021</v>
      </c>
      <c r="D2987" s="407">
        <f t="shared" si="92"/>
        <v>3034.09</v>
      </c>
      <c r="F2987" s="680">
        <v>3034.09</v>
      </c>
      <c r="G2987" s="680">
        <v>3034.09</v>
      </c>
      <c r="H2987" t="b">
        <f t="shared" si="93"/>
        <v>1</v>
      </c>
    </row>
    <row r="2988" spans="1:8">
      <c r="A2988" s="396">
        <v>3288</v>
      </c>
      <c r="B2988" s="401" t="s">
        <v>11719</v>
      </c>
      <c r="C2988" s="396" t="s">
        <v>2024</v>
      </c>
      <c r="D2988" s="405">
        <f t="shared" si="92"/>
        <v>7.75</v>
      </c>
      <c r="F2988" s="679">
        <v>7.75</v>
      </c>
      <c r="G2988" s="679">
        <v>7.75</v>
      </c>
      <c r="H2988" t="b">
        <f t="shared" si="93"/>
        <v>1</v>
      </c>
    </row>
    <row r="2989" spans="1:8">
      <c r="A2989" s="395">
        <v>13587</v>
      </c>
      <c r="B2989" s="406" t="s">
        <v>11720</v>
      </c>
      <c r="C2989" s="395" t="s">
        <v>2024</v>
      </c>
      <c r="D2989" s="407">
        <f t="shared" si="92"/>
        <v>4.68</v>
      </c>
      <c r="F2989" s="680">
        <v>4.68</v>
      </c>
      <c r="G2989" s="680">
        <v>4.68</v>
      </c>
      <c r="H2989" t="b">
        <f t="shared" si="93"/>
        <v>1</v>
      </c>
    </row>
    <row r="2990" spans="1:8">
      <c r="A2990" s="396">
        <v>38598</v>
      </c>
      <c r="B2990" s="401" t="s">
        <v>11721</v>
      </c>
      <c r="C2990" s="396" t="s">
        <v>2021</v>
      </c>
      <c r="D2990" s="405">
        <f t="shared" si="92"/>
        <v>3.7</v>
      </c>
      <c r="F2990" s="679">
        <v>3.7</v>
      </c>
      <c r="G2990" s="679">
        <v>3.7</v>
      </c>
      <c r="H2990" t="b">
        <f t="shared" si="93"/>
        <v>1</v>
      </c>
    </row>
    <row r="2991" spans="1:8">
      <c r="A2991" s="395">
        <v>38595</v>
      </c>
      <c r="B2991" s="406" t="s">
        <v>11722</v>
      </c>
      <c r="C2991" s="395" t="s">
        <v>2021</v>
      </c>
      <c r="D2991" s="407">
        <f t="shared" si="92"/>
        <v>3.13</v>
      </c>
      <c r="F2991" s="680">
        <v>3.13</v>
      </c>
      <c r="G2991" s="680">
        <v>3.13</v>
      </c>
      <c r="H2991" t="b">
        <f t="shared" si="93"/>
        <v>1</v>
      </c>
    </row>
    <row r="2992" spans="1:8">
      <c r="A2992" s="396">
        <v>38592</v>
      </c>
      <c r="B2992" s="401" t="s">
        <v>11723</v>
      </c>
      <c r="C2992" s="396" t="s">
        <v>2021</v>
      </c>
      <c r="D2992" s="405">
        <f t="shared" si="92"/>
        <v>3.17</v>
      </c>
      <c r="F2992" s="679">
        <v>3.17</v>
      </c>
      <c r="G2992" s="679">
        <v>3.17</v>
      </c>
      <c r="H2992" t="b">
        <f t="shared" si="93"/>
        <v>1</v>
      </c>
    </row>
    <row r="2993" spans="1:8">
      <c r="A2993" s="395">
        <v>38588</v>
      </c>
      <c r="B2993" s="406" t="s">
        <v>11724</v>
      </c>
      <c r="C2993" s="395" t="s">
        <v>2021</v>
      </c>
      <c r="D2993" s="407">
        <f t="shared" si="92"/>
        <v>2.5299999999999998</v>
      </c>
      <c r="F2993" s="680">
        <v>2.5299999999999998</v>
      </c>
      <c r="G2993" s="680">
        <v>2.5299999999999998</v>
      </c>
      <c r="H2993" t="b">
        <f t="shared" si="93"/>
        <v>1</v>
      </c>
    </row>
    <row r="2994" spans="1:8">
      <c r="A2994" s="396">
        <v>38593</v>
      </c>
      <c r="B2994" s="401" t="s">
        <v>11725</v>
      </c>
      <c r="C2994" s="396" t="s">
        <v>2021</v>
      </c>
      <c r="D2994" s="405">
        <f t="shared" si="92"/>
        <v>3.5</v>
      </c>
      <c r="F2994" s="679">
        <v>3.5</v>
      </c>
      <c r="G2994" s="679">
        <v>3.5</v>
      </c>
      <c r="H2994" t="b">
        <f t="shared" si="93"/>
        <v>1</v>
      </c>
    </row>
    <row r="2995" spans="1:8">
      <c r="A2995" s="395">
        <v>38589</v>
      </c>
      <c r="B2995" s="406" t="s">
        <v>11726</v>
      </c>
      <c r="C2995" s="395" t="s">
        <v>2021</v>
      </c>
      <c r="D2995" s="407">
        <f t="shared" si="92"/>
        <v>2.66</v>
      </c>
      <c r="F2995" s="680">
        <v>2.66</v>
      </c>
      <c r="G2995" s="680">
        <v>2.66</v>
      </c>
      <c r="H2995" t="b">
        <f t="shared" si="93"/>
        <v>1</v>
      </c>
    </row>
    <row r="2996" spans="1:8">
      <c r="A2996" s="396">
        <v>38594</v>
      </c>
      <c r="B2996" s="401" t="s">
        <v>11727</v>
      </c>
      <c r="C2996" s="396" t="s">
        <v>2021</v>
      </c>
      <c r="D2996" s="405">
        <f t="shared" si="92"/>
        <v>5.52</v>
      </c>
      <c r="F2996" s="679">
        <v>5.52</v>
      </c>
      <c r="G2996" s="679">
        <v>5.52</v>
      </c>
      <c r="H2996" t="b">
        <f t="shared" si="93"/>
        <v>1</v>
      </c>
    </row>
    <row r="2997" spans="1:8">
      <c r="A2997" s="395">
        <v>34773</v>
      </c>
      <c r="B2997" s="406" t="s">
        <v>11728</v>
      </c>
      <c r="C2997" s="395" t="s">
        <v>2021</v>
      </c>
      <c r="D2997" s="407">
        <f t="shared" si="92"/>
        <v>2.61</v>
      </c>
      <c r="F2997" s="680">
        <v>2.61</v>
      </c>
      <c r="G2997" s="680">
        <v>2.61</v>
      </c>
      <c r="H2997" t="b">
        <f t="shared" si="93"/>
        <v>1</v>
      </c>
    </row>
    <row r="2998" spans="1:8">
      <c r="A2998" s="396">
        <v>34769</v>
      </c>
      <c r="B2998" s="401" t="s">
        <v>11729</v>
      </c>
      <c r="C2998" s="396" t="s">
        <v>2021</v>
      </c>
      <c r="D2998" s="405">
        <f t="shared" si="92"/>
        <v>3.23</v>
      </c>
      <c r="F2998" s="679">
        <v>3.23</v>
      </c>
      <c r="G2998" s="679">
        <v>3.23</v>
      </c>
      <c r="H2998" t="b">
        <f t="shared" si="93"/>
        <v>1</v>
      </c>
    </row>
    <row r="2999" spans="1:8">
      <c r="A2999" s="395">
        <v>34763</v>
      </c>
      <c r="B2999" s="406" t="s">
        <v>11730</v>
      </c>
      <c r="C2999" s="395" t="s">
        <v>2021</v>
      </c>
      <c r="D2999" s="407">
        <f t="shared" si="92"/>
        <v>1.99</v>
      </c>
      <c r="F2999" s="680">
        <v>1.99</v>
      </c>
      <c r="G2999" s="680">
        <v>1.99</v>
      </c>
      <c r="H2999" t="b">
        <f t="shared" si="93"/>
        <v>1</v>
      </c>
    </row>
    <row r="3000" spans="1:8">
      <c r="A3000" s="396">
        <v>34774</v>
      </c>
      <c r="B3000" s="401" t="s">
        <v>11731</v>
      </c>
      <c r="C3000" s="396" t="s">
        <v>2021</v>
      </c>
      <c r="D3000" s="405">
        <f t="shared" si="92"/>
        <v>2.48</v>
      </c>
      <c r="F3000" s="679">
        <v>2.48</v>
      </c>
      <c r="G3000" s="679">
        <v>2.48</v>
      </c>
      <c r="H3000" t="b">
        <f t="shared" si="93"/>
        <v>1</v>
      </c>
    </row>
    <row r="3001" spans="1:8">
      <c r="A3001" s="395">
        <v>34771</v>
      </c>
      <c r="B3001" s="406" t="s">
        <v>11732</v>
      </c>
      <c r="C3001" s="395" t="s">
        <v>2021</v>
      </c>
      <c r="D3001" s="407">
        <f t="shared" si="92"/>
        <v>2.99</v>
      </c>
      <c r="F3001" s="680">
        <v>2.99</v>
      </c>
      <c r="G3001" s="680">
        <v>2.99</v>
      </c>
      <c r="H3001" t="b">
        <f t="shared" si="93"/>
        <v>1</v>
      </c>
    </row>
    <row r="3002" spans="1:8">
      <c r="A3002" s="396">
        <v>34764</v>
      </c>
      <c r="B3002" s="401" t="s">
        <v>11733</v>
      </c>
      <c r="C3002" s="396" t="s">
        <v>2021</v>
      </c>
      <c r="D3002" s="405">
        <f t="shared" si="92"/>
        <v>1.96</v>
      </c>
      <c r="F3002" s="679">
        <v>1.96</v>
      </c>
      <c r="G3002" s="679">
        <v>1.96</v>
      </c>
      <c r="H3002" t="b">
        <f t="shared" si="93"/>
        <v>1</v>
      </c>
    </row>
    <row r="3003" spans="1:8">
      <c r="A3003" s="395">
        <v>34788</v>
      </c>
      <c r="B3003" s="406" t="s">
        <v>11734</v>
      </c>
      <c r="C3003" s="395" t="s">
        <v>2021</v>
      </c>
      <c r="D3003" s="407">
        <f t="shared" si="92"/>
        <v>1.99</v>
      </c>
      <c r="F3003" s="680">
        <v>1.99</v>
      </c>
      <c r="G3003" s="680">
        <v>1.99</v>
      </c>
      <c r="H3003" t="b">
        <f t="shared" si="93"/>
        <v>1</v>
      </c>
    </row>
    <row r="3004" spans="1:8">
      <c r="A3004" s="396">
        <v>34781</v>
      </c>
      <c r="B3004" s="401" t="s">
        <v>11735</v>
      </c>
      <c r="C3004" s="396" t="s">
        <v>2021</v>
      </c>
      <c r="D3004" s="405">
        <f t="shared" si="92"/>
        <v>2.2599999999999998</v>
      </c>
      <c r="F3004" s="679">
        <v>2.2599999999999998</v>
      </c>
      <c r="G3004" s="679">
        <v>2.2599999999999998</v>
      </c>
      <c r="H3004" t="b">
        <f t="shared" si="93"/>
        <v>1</v>
      </c>
    </row>
    <row r="3005" spans="1:8">
      <c r="A3005" s="395">
        <v>41682</v>
      </c>
      <c r="B3005" s="406" t="s">
        <v>11736</v>
      </c>
      <c r="C3005" s="395" t="s">
        <v>2021</v>
      </c>
      <c r="D3005" s="407">
        <f t="shared" si="92"/>
        <v>40.229999999999997</v>
      </c>
      <c r="F3005" s="680">
        <v>40.229999999999997</v>
      </c>
      <c r="G3005" s="680">
        <v>40.229999999999997</v>
      </c>
      <c r="H3005" t="b">
        <f t="shared" si="93"/>
        <v>1</v>
      </c>
    </row>
    <row r="3006" spans="1:8">
      <c r="A3006" s="396">
        <v>41683</v>
      </c>
      <c r="B3006" s="401" t="s">
        <v>11737</v>
      </c>
      <c r="C3006" s="396" t="s">
        <v>2021</v>
      </c>
      <c r="D3006" s="405">
        <f t="shared" si="92"/>
        <v>29.6</v>
      </c>
      <c r="F3006" s="679">
        <v>29.6</v>
      </c>
      <c r="G3006" s="679">
        <v>29.6</v>
      </c>
      <c r="H3006" t="b">
        <f t="shared" si="93"/>
        <v>1</v>
      </c>
    </row>
    <row r="3007" spans="1:8">
      <c r="A3007" s="395">
        <v>41680</v>
      </c>
      <c r="B3007" s="406" t="s">
        <v>11738</v>
      </c>
      <c r="C3007" s="395" t="s">
        <v>2021</v>
      </c>
      <c r="D3007" s="407">
        <f t="shared" si="92"/>
        <v>15.93</v>
      </c>
      <c r="F3007" s="680">
        <v>15.93</v>
      </c>
      <c r="G3007" s="680">
        <v>15.93</v>
      </c>
      <c r="H3007" t="b">
        <f t="shared" si="93"/>
        <v>1</v>
      </c>
    </row>
    <row r="3008" spans="1:8">
      <c r="A3008" s="396">
        <v>41679</v>
      </c>
      <c r="B3008" s="401" t="s">
        <v>11739</v>
      </c>
      <c r="C3008" s="396" t="s">
        <v>2021</v>
      </c>
      <c r="D3008" s="405">
        <f t="shared" si="92"/>
        <v>36.43</v>
      </c>
      <c r="F3008" s="679">
        <v>36.43</v>
      </c>
      <c r="G3008" s="679">
        <v>36.43</v>
      </c>
      <c r="H3008" t="b">
        <f t="shared" si="93"/>
        <v>1</v>
      </c>
    </row>
    <row r="3009" spans="1:8">
      <c r="A3009" s="395">
        <v>41681</v>
      </c>
      <c r="B3009" s="406" t="s">
        <v>11740</v>
      </c>
      <c r="C3009" s="395" t="s">
        <v>2021</v>
      </c>
      <c r="D3009" s="407">
        <f t="shared" si="92"/>
        <v>24.93</v>
      </c>
      <c r="F3009" s="680">
        <v>24.93</v>
      </c>
      <c r="G3009" s="680">
        <v>24.93</v>
      </c>
      <c r="H3009" t="b">
        <f t="shared" si="93"/>
        <v>1</v>
      </c>
    </row>
    <row r="3010" spans="1:8">
      <c r="A3010" s="396">
        <v>43386</v>
      </c>
      <c r="B3010" s="401" t="s">
        <v>11741</v>
      </c>
      <c r="C3010" s="396" t="s">
        <v>2021</v>
      </c>
      <c r="D3010" s="405">
        <f t="shared" si="92"/>
        <v>56.92</v>
      </c>
      <c r="F3010" s="679">
        <v>56.92</v>
      </c>
      <c r="G3010" s="679">
        <v>56.92</v>
      </c>
      <c r="H3010" t="b">
        <f t="shared" si="93"/>
        <v>1</v>
      </c>
    </row>
    <row r="3011" spans="1:8">
      <c r="A3011" s="395">
        <v>4059</v>
      </c>
      <c r="B3011" s="406" t="s">
        <v>11742</v>
      </c>
      <c r="C3011" s="395" t="s">
        <v>2024</v>
      </c>
      <c r="D3011" s="407">
        <f t="shared" ref="D3011:D3074" si="94">IF($J$2=$F$1,F3011,G3011)</f>
        <v>40.229999999999997</v>
      </c>
      <c r="F3011" s="680">
        <v>40.229999999999997</v>
      </c>
      <c r="G3011" s="680">
        <v>40.229999999999997</v>
      </c>
      <c r="H3011" t="b">
        <f t="shared" ref="H3011:H3074" si="95">F3011=G3011</f>
        <v>1</v>
      </c>
    </row>
    <row r="3012" spans="1:8">
      <c r="A3012" s="396">
        <v>4062</v>
      </c>
      <c r="B3012" s="401" t="s">
        <v>11743</v>
      </c>
      <c r="C3012" s="396" t="s">
        <v>2021</v>
      </c>
      <c r="D3012" s="405">
        <f t="shared" si="94"/>
        <v>40.229999999999997</v>
      </c>
      <c r="F3012" s="679">
        <v>40.229999999999997</v>
      </c>
      <c r="G3012" s="679">
        <v>40.229999999999997</v>
      </c>
      <c r="H3012" t="b">
        <f t="shared" si="95"/>
        <v>1</v>
      </c>
    </row>
    <row r="3013" spans="1:8">
      <c r="A3013" s="395">
        <v>4061</v>
      </c>
      <c r="B3013" s="406" t="s">
        <v>11744</v>
      </c>
      <c r="C3013" s="395" t="s">
        <v>2021</v>
      </c>
      <c r="D3013" s="407">
        <f t="shared" si="94"/>
        <v>50.09</v>
      </c>
      <c r="F3013" s="680">
        <v>50.09</v>
      </c>
      <c r="G3013" s="680">
        <v>50.09</v>
      </c>
      <c r="H3013" t="b">
        <f t="shared" si="95"/>
        <v>1</v>
      </c>
    </row>
    <row r="3014" spans="1:8">
      <c r="A3014" s="396">
        <v>41315</v>
      </c>
      <c r="B3014" s="401" t="s">
        <v>11745</v>
      </c>
      <c r="C3014" s="396" t="s">
        <v>2025</v>
      </c>
      <c r="D3014" s="405">
        <f t="shared" si="94"/>
        <v>102.81</v>
      </c>
      <c r="F3014" s="679">
        <v>102.81</v>
      </c>
      <c r="G3014" s="679">
        <v>102.81</v>
      </c>
      <c r="H3014" t="b">
        <f t="shared" si="95"/>
        <v>1</v>
      </c>
    </row>
    <row r="3015" spans="1:8">
      <c r="A3015" s="395">
        <v>43148</v>
      </c>
      <c r="B3015" s="406" t="s">
        <v>11746</v>
      </c>
      <c r="C3015" s="395" t="s">
        <v>2025</v>
      </c>
      <c r="D3015" s="407">
        <f t="shared" si="94"/>
        <v>69.790000000000006</v>
      </c>
      <c r="F3015" s="680">
        <v>69.790000000000006</v>
      </c>
      <c r="G3015" s="680">
        <v>69.790000000000006</v>
      </c>
      <c r="H3015" t="b">
        <f t="shared" si="95"/>
        <v>1</v>
      </c>
    </row>
    <row r="3016" spans="1:8">
      <c r="A3016" s="396">
        <v>43147</v>
      </c>
      <c r="B3016" s="401" t="s">
        <v>11747</v>
      </c>
      <c r="C3016" s="396" t="s">
        <v>2025</v>
      </c>
      <c r="D3016" s="405">
        <f t="shared" si="94"/>
        <v>27.03</v>
      </c>
      <c r="F3016" s="679">
        <v>27.03</v>
      </c>
      <c r="G3016" s="679">
        <v>27.03</v>
      </c>
      <c r="H3016" t="b">
        <f t="shared" si="95"/>
        <v>1</v>
      </c>
    </row>
    <row r="3017" spans="1:8">
      <c r="A3017" s="395">
        <v>10608</v>
      </c>
      <c r="B3017" s="406" t="s">
        <v>11748</v>
      </c>
      <c r="C3017" s="395" t="s">
        <v>2021</v>
      </c>
      <c r="D3017" s="407">
        <f t="shared" si="94"/>
        <v>9735.98</v>
      </c>
      <c r="F3017" s="680">
        <v>9735.98</v>
      </c>
      <c r="G3017" s="680">
        <v>9735.98</v>
      </c>
      <c r="H3017" t="b">
        <f t="shared" si="95"/>
        <v>1</v>
      </c>
    </row>
    <row r="3018" spans="1:8">
      <c r="A3018" s="396">
        <v>4069</v>
      </c>
      <c r="B3018" s="401" t="s">
        <v>11749</v>
      </c>
      <c r="C3018" s="396" t="s">
        <v>2020</v>
      </c>
      <c r="D3018" s="405">
        <f t="shared" si="94"/>
        <v>47.03</v>
      </c>
      <c r="F3018" s="679">
        <v>47.03</v>
      </c>
      <c r="G3018" s="679">
        <v>54.11</v>
      </c>
      <c r="H3018" t="b">
        <f t="shared" si="95"/>
        <v>0</v>
      </c>
    </row>
    <row r="3019" spans="1:8">
      <c r="A3019" s="395">
        <v>40819</v>
      </c>
      <c r="B3019" s="406" t="s">
        <v>11750</v>
      </c>
      <c r="C3019" s="395" t="s">
        <v>2027</v>
      </c>
      <c r="D3019" s="407">
        <f t="shared" si="94"/>
        <v>8290.0300000000007</v>
      </c>
      <c r="F3019" s="680">
        <v>8290.0300000000007</v>
      </c>
      <c r="G3019" s="680">
        <v>9549.6299999999992</v>
      </c>
      <c r="H3019" t="b">
        <f t="shared" si="95"/>
        <v>0</v>
      </c>
    </row>
    <row r="3020" spans="1:8">
      <c r="A3020" s="396">
        <v>34361</v>
      </c>
      <c r="B3020" s="401" t="s">
        <v>11751</v>
      </c>
      <c r="C3020" s="396" t="s">
        <v>2025</v>
      </c>
      <c r="D3020" s="405">
        <f t="shared" si="94"/>
        <v>19.670000000000002</v>
      </c>
      <c r="F3020" s="679">
        <v>19.670000000000002</v>
      </c>
      <c r="G3020" s="679">
        <v>19.670000000000002</v>
      </c>
      <c r="H3020" t="b">
        <f t="shared" si="95"/>
        <v>1</v>
      </c>
    </row>
    <row r="3021" spans="1:8">
      <c r="A3021" s="395">
        <v>36512</v>
      </c>
      <c r="B3021" s="406" t="s">
        <v>11752</v>
      </c>
      <c r="C3021" s="395" t="s">
        <v>2021</v>
      </c>
      <c r="D3021" s="407">
        <f t="shared" si="94"/>
        <v>21070.07</v>
      </c>
      <c r="F3021" s="680">
        <v>21070.07</v>
      </c>
      <c r="G3021" s="680">
        <v>21070.07</v>
      </c>
      <c r="H3021" t="b">
        <f t="shared" si="95"/>
        <v>1</v>
      </c>
    </row>
    <row r="3022" spans="1:8">
      <c r="A3022" s="396">
        <v>44478</v>
      </c>
      <c r="B3022" s="401" t="s">
        <v>11753</v>
      </c>
      <c r="C3022" s="396" t="s">
        <v>2025</v>
      </c>
      <c r="D3022" s="405">
        <f t="shared" si="94"/>
        <v>14.58</v>
      </c>
      <c r="F3022" s="679">
        <v>14.58</v>
      </c>
      <c r="G3022" s="679">
        <v>14.58</v>
      </c>
      <c r="H3022" t="b">
        <f t="shared" si="95"/>
        <v>1</v>
      </c>
    </row>
    <row r="3023" spans="1:8">
      <c r="A3023" s="395">
        <v>44477</v>
      </c>
      <c r="B3023" s="406" t="s">
        <v>11754</v>
      </c>
      <c r="C3023" s="395" t="s">
        <v>2025</v>
      </c>
      <c r="D3023" s="407">
        <f t="shared" si="94"/>
        <v>14.58</v>
      </c>
      <c r="F3023" s="680">
        <v>14.58</v>
      </c>
      <c r="G3023" s="680">
        <v>14.58</v>
      </c>
      <c r="H3023" t="b">
        <f t="shared" si="95"/>
        <v>1</v>
      </c>
    </row>
    <row r="3024" spans="1:8">
      <c r="A3024" s="396">
        <v>11697</v>
      </c>
      <c r="B3024" s="401" t="s">
        <v>11755</v>
      </c>
      <c r="C3024" s="396" t="s">
        <v>2021</v>
      </c>
      <c r="D3024" s="405">
        <f t="shared" si="94"/>
        <v>845.8</v>
      </c>
      <c r="F3024" s="679">
        <v>845.8</v>
      </c>
      <c r="G3024" s="679">
        <v>845.8</v>
      </c>
      <c r="H3024" t="b">
        <f t="shared" si="95"/>
        <v>1</v>
      </c>
    </row>
    <row r="3025" spans="1:8">
      <c r="A3025" s="395">
        <v>11698</v>
      </c>
      <c r="B3025" s="406" t="s">
        <v>11756</v>
      </c>
      <c r="C3025" s="395" t="s">
        <v>2021</v>
      </c>
      <c r="D3025" s="407">
        <f t="shared" si="94"/>
        <v>1008.99</v>
      </c>
      <c r="F3025" s="680">
        <v>1008.99</v>
      </c>
      <c r="G3025" s="680">
        <v>1008.99</v>
      </c>
      <c r="H3025" t="b">
        <f t="shared" si="95"/>
        <v>1</v>
      </c>
    </row>
    <row r="3026" spans="1:8">
      <c r="A3026" s="396">
        <v>10432</v>
      </c>
      <c r="B3026" s="401" t="s">
        <v>11757</v>
      </c>
      <c r="C3026" s="396" t="s">
        <v>2021</v>
      </c>
      <c r="D3026" s="405">
        <f t="shared" si="94"/>
        <v>363.88</v>
      </c>
      <c r="F3026" s="679">
        <v>363.88</v>
      </c>
      <c r="G3026" s="679">
        <v>363.88</v>
      </c>
      <c r="H3026" t="b">
        <f t="shared" si="95"/>
        <v>1</v>
      </c>
    </row>
    <row r="3027" spans="1:8">
      <c r="A3027" s="395">
        <v>11699</v>
      </c>
      <c r="B3027" s="406" t="s">
        <v>11758</v>
      </c>
      <c r="C3027" s="395" t="s">
        <v>2021</v>
      </c>
      <c r="D3027" s="407">
        <f t="shared" si="94"/>
        <v>1115.1600000000001</v>
      </c>
      <c r="F3027" s="680">
        <v>1115.1600000000001</v>
      </c>
      <c r="G3027" s="680">
        <v>1115.1600000000001</v>
      </c>
      <c r="H3027" t="b">
        <f t="shared" si="95"/>
        <v>1</v>
      </c>
    </row>
    <row r="3028" spans="1:8">
      <c r="A3028" s="396">
        <v>44020</v>
      </c>
      <c r="B3028" s="401" t="s">
        <v>11759</v>
      </c>
      <c r="C3028" s="396" t="s">
        <v>2021</v>
      </c>
      <c r="D3028" s="405">
        <f t="shared" si="94"/>
        <v>897.74</v>
      </c>
      <c r="F3028" s="679">
        <v>897.74</v>
      </c>
      <c r="G3028" s="679">
        <v>897.74</v>
      </c>
      <c r="H3028" t="b">
        <f t="shared" si="95"/>
        <v>1</v>
      </c>
    </row>
    <row r="3029" spans="1:8">
      <c r="A3029" s="395">
        <v>41420</v>
      </c>
      <c r="B3029" s="406" t="s">
        <v>11760</v>
      </c>
      <c r="C3029" s="395" t="s">
        <v>2021</v>
      </c>
      <c r="D3029" s="407">
        <f t="shared" si="94"/>
        <v>11.93</v>
      </c>
      <c r="F3029" s="680">
        <v>11.93</v>
      </c>
      <c r="G3029" s="680">
        <v>11.93</v>
      </c>
      <c r="H3029" t="b">
        <f t="shared" si="95"/>
        <v>1</v>
      </c>
    </row>
    <row r="3030" spans="1:8">
      <c r="A3030" s="396">
        <v>41422</v>
      </c>
      <c r="B3030" s="401" t="s">
        <v>11761</v>
      </c>
      <c r="C3030" s="396" t="s">
        <v>2021</v>
      </c>
      <c r="D3030" s="405">
        <f t="shared" si="94"/>
        <v>16.29</v>
      </c>
      <c r="F3030" s="679">
        <v>16.29</v>
      </c>
      <c r="G3030" s="679">
        <v>16.29</v>
      </c>
      <c r="H3030" t="b">
        <f t="shared" si="95"/>
        <v>1</v>
      </c>
    </row>
    <row r="3031" spans="1:8">
      <c r="A3031" s="395">
        <v>41425</v>
      </c>
      <c r="B3031" s="406" t="s">
        <v>11762</v>
      </c>
      <c r="C3031" s="395" t="s">
        <v>2021</v>
      </c>
      <c r="D3031" s="407">
        <f t="shared" si="94"/>
        <v>8.34</v>
      </c>
      <c r="F3031" s="680">
        <v>8.34</v>
      </c>
      <c r="G3031" s="680">
        <v>8.34</v>
      </c>
      <c r="H3031" t="b">
        <f t="shared" si="95"/>
        <v>1</v>
      </c>
    </row>
    <row r="3032" spans="1:8">
      <c r="A3032" s="396">
        <v>41426</v>
      </c>
      <c r="B3032" s="401" t="s">
        <v>11763</v>
      </c>
      <c r="C3032" s="396" t="s">
        <v>2021</v>
      </c>
      <c r="D3032" s="405">
        <f t="shared" si="94"/>
        <v>15.03</v>
      </c>
      <c r="F3032" s="679">
        <v>15.03</v>
      </c>
      <c r="G3032" s="679">
        <v>15.03</v>
      </c>
      <c r="H3032" t="b">
        <f t="shared" si="95"/>
        <v>1</v>
      </c>
    </row>
    <row r="3033" spans="1:8">
      <c r="A3033" s="395">
        <v>41419</v>
      </c>
      <c r="B3033" s="406" t="s">
        <v>11764</v>
      </c>
      <c r="C3033" s="395" t="s">
        <v>2021</v>
      </c>
      <c r="D3033" s="407">
        <f t="shared" si="94"/>
        <v>8.77</v>
      </c>
      <c r="F3033" s="680">
        <v>8.77</v>
      </c>
      <c r="G3033" s="680">
        <v>8.77</v>
      </c>
      <c r="H3033" t="b">
        <f t="shared" si="95"/>
        <v>1</v>
      </c>
    </row>
    <row r="3034" spans="1:8">
      <c r="A3034" s="396">
        <v>41421</v>
      </c>
      <c r="B3034" s="401" t="s">
        <v>11765</v>
      </c>
      <c r="C3034" s="396" t="s">
        <v>2021</v>
      </c>
      <c r="D3034" s="405">
        <f t="shared" si="94"/>
        <v>11.9</v>
      </c>
      <c r="F3034" s="679">
        <v>11.9</v>
      </c>
      <c r="G3034" s="679">
        <v>11.9</v>
      </c>
      <c r="H3034" t="b">
        <f t="shared" si="95"/>
        <v>1</v>
      </c>
    </row>
    <row r="3035" spans="1:8">
      <c r="A3035" s="395">
        <v>41414</v>
      </c>
      <c r="B3035" s="406" t="s">
        <v>11766</v>
      </c>
      <c r="C3035" s="395" t="s">
        <v>2021</v>
      </c>
      <c r="D3035" s="407">
        <f t="shared" si="94"/>
        <v>27.59</v>
      </c>
      <c r="F3035" s="680">
        <v>27.59</v>
      </c>
      <c r="G3035" s="680">
        <v>27.59</v>
      </c>
      <c r="H3035" t="b">
        <f t="shared" si="95"/>
        <v>1</v>
      </c>
    </row>
    <row r="3036" spans="1:8">
      <c r="A3036" s="396">
        <v>41415</v>
      </c>
      <c r="B3036" s="401" t="s">
        <v>11767</v>
      </c>
      <c r="C3036" s="396" t="s">
        <v>2021</v>
      </c>
      <c r="D3036" s="405">
        <f t="shared" si="94"/>
        <v>32.14</v>
      </c>
      <c r="F3036" s="679">
        <v>32.14</v>
      </c>
      <c r="G3036" s="679">
        <v>32.14</v>
      </c>
      <c r="H3036" t="b">
        <f t="shared" si="95"/>
        <v>1</v>
      </c>
    </row>
    <row r="3037" spans="1:8">
      <c r="A3037" s="395">
        <v>37514</v>
      </c>
      <c r="B3037" s="406" t="s">
        <v>11768</v>
      </c>
      <c r="C3037" s="395" t="s">
        <v>2021</v>
      </c>
      <c r="D3037" s="407">
        <f t="shared" si="94"/>
        <v>255000</v>
      </c>
      <c r="F3037" s="680">
        <v>255000</v>
      </c>
      <c r="G3037" s="680">
        <v>255000</v>
      </c>
      <c r="H3037" t="b">
        <f t="shared" si="95"/>
        <v>1</v>
      </c>
    </row>
    <row r="3038" spans="1:8">
      <c r="A3038" s="396">
        <v>37519</v>
      </c>
      <c r="B3038" s="401" t="s">
        <v>11769</v>
      </c>
      <c r="C3038" s="396" t="s">
        <v>2021</v>
      </c>
      <c r="D3038" s="405">
        <f t="shared" si="94"/>
        <v>393539.81</v>
      </c>
      <c r="F3038" s="679">
        <v>393539.81</v>
      </c>
      <c r="G3038" s="679">
        <v>393539.81</v>
      </c>
      <c r="H3038" t="b">
        <f t="shared" si="95"/>
        <v>1</v>
      </c>
    </row>
    <row r="3039" spans="1:8">
      <c r="A3039" s="395">
        <v>37520</v>
      </c>
      <c r="B3039" s="406" t="s">
        <v>11770</v>
      </c>
      <c r="C3039" s="395" t="s">
        <v>2021</v>
      </c>
      <c r="D3039" s="407">
        <f t="shared" si="94"/>
        <v>387088.34</v>
      </c>
      <c r="F3039" s="680">
        <v>387088.34</v>
      </c>
      <c r="G3039" s="680">
        <v>387088.34</v>
      </c>
      <c r="H3039" t="b">
        <f t="shared" si="95"/>
        <v>1</v>
      </c>
    </row>
    <row r="3040" spans="1:8">
      <c r="A3040" s="396">
        <v>37521</v>
      </c>
      <c r="B3040" s="401" t="s">
        <v>11771</v>
      </c>
      <c r="C3040" s="396" t="s">
        <v>2021</v>
      </c>
      <c r="D3040" s="405">
        <f t="shared" si="94"/>
        <v>472247.78</v>
      </c>
      <c r="F3040" s="679">
        <v>472247.78</v>
      </c>
      <c r="G3040" s="679">
        <v>472247.78</v>
      </c>
      <c r="H3040" t="b">
        <f t="shared" si="95"/>
        <v>1</v>
      </c>
    </row>
    <row r="3041" spans="1:8">
      <c r="A3041" s="395">
        <v>37522</v>
      </c>
      <c r="B3041" s="406" t="s">
        <v>11772</v>
      </c>
      <c r="C3041" s="395" t="s">
        <v>2021</v>
      </c>
      <c r="D3041" s="407">
        <f t="shared" si="94"/>
        <v>486455.72</v>
      </c>
      <c r="F3041" s="680">
        <v>486455.72</v>
      </c>
      <c r="G3041" s="680">
        <v>486455.72</v>
      </c>
      <c r="H3041" t="b">
        <f t="shared" si="95"/>
        <v>1</v>
      </c>
    </row>
    <row r="3042" spans="1:8" ht="30">
      <c r="A3042" s="396">
        <v>21109</v>
      </c>
      <c r="B3042" s="401" t="s">
        <v>11773</v>
      </c>
      <c r="C3042" s="396" t="s">
        <v>2021</v>
      </c>
      <c r="D3042" s="405">
        <f t="shared" si="94"/>
        <v>55.05</v>
      </c>
      <c r="F3042" s="679">
        <v>55.05</v>
      </c>
      <c r="G3042" s="679">
        <v>55.05</v>
      </c>
      <c r="H3042" t="b">
        <f t="shared" si="95"/>
        <v>1</v>
      </c>
    </row>
    <row r="3043" spans="1:8" ht="30">
      <c r="A3043" s="395">
        <v>37546</v>
      </c>
      <c r="B3043" s="406" t="s">
        <v>11774</v>
      </c>
      <c r="C3043" s="395" t="s">
        <v>2021</v>
      </c>
      <c r="D3043" s="407">
        <f t="shared" si="94"/>
        <v>14315.35</v>
      </c>
      <c r="F3043" s="680">
        <v>14315.35</v>
      </c>
      <c r="G3043" s="680">
        <v>14315.35</v>
      </c>
      <c r="H3043" t="b">
        <f t="shared" si="95"/>
        <v>1</v>
      </c>
    </row>
    <row r="3044" spans="1:8" ht="30">
      <c r="A3044" s="396">
        <v>37544</v>
      </c>
      <c r="B3044" s="401" t="s">
        <v>11775</v>
      </c>
      <c r="C3044" s="396" t="s">
        <v>2021</v>
      </c>
      <c r="D3044" s="405">
        <f t="shared" si="94"/>
        <v>15140.89</v>
      </c>
      <c r="F3044" s="679">
        <v>15140.89</v>
      </c>
      <c r="G3044" s="679">
        <v>15140.89</v>
      </c>
      <c r="H3044" t="b">
        <f t="shared" si="95"/>
        <v>1</v>
      </c>
    </row>
    <row r="3045" spans="1:8" ht="30">
      <c r="A3045" s="395">
        <v>37545</v>
      </c>
      <c r="B3045" s="406" t="s">
        <v>11776</v>
      </c>
      <c r="C3045" s="395" t="s">
        <v>2021</v>
      </c>
      <c r="D3045" s="407">
        <f t="shared" si="94"/>
        <v>18015.63</v>
      </c>
      <c r="F3045" s="680">
        <v>18015.63</v>
      </c>
      <c r="G3045" s="680">
        <v>18015.63</v>
      </c>
      <c r="H3045" t="b">
        <f t="shared" si="95"/>
        <v>1</v>
      </c>
    </row>
    <row r="3046" spans="1:8">
      <c r="A3046" s="396">
        <v>36793</v>
      </c>
      <c r="B3046" s="401" t="s">
        <v>11777</v>
      </c>
      <c r="C3046" s="396" t="s">
        <v>2021</v>
      </c>
      <c r="D3046" s="405">
        <f t="shared" si="94"/>
        <v>903.12</v>
      </c>
      <c r="F3046" s="679">
        <v>903.12</v>
      </c>
      <c r="G3046" s="679">
        <v>903.12</v>
      </c>
      <c r="H3046" t="b">
        <f t="shared" si="95"/>
        <v>1</v>
      </c>
    </row>
    <row r="3047" spans="1:8">
      <c r="A3047" s="395">
        <v>11769</v>
      </c>
      <c r="B3047" s="406" t="s">
        <v>11778</v>
      </c>
      <c r="C3047" s="395" t="s">
        <v>2021</v>
      </c>
      <c r="D3047" s="407">
        <f t="shared" si="94"/>
        <v>399.11</v>
      </c>
      <c r="F3047" s="680">
        <v>399.11</v>
      </c>
      <c r="G3047" s="680">
        <v>399.11</v>
      </c>
      <c r="H3047" t="b">
        <f t="shared" si="95"/>
        <v>1</v>
      </c>
    </row>
    <row r="3048" spans="1:8">
      <c r="A3048" s="396">
        <v>11771</v>
      </c>
      <c r="B3048" s="401" t="s">
        <v>11779</v>
      </c>
      <c r="C3048" s="396" t="s">
        <v>2021</v>
      </c>
      <c r="D3048" s="405">
        <f t="shared" si="94"/>
        <v>488.86</v>
      </c>
      <c r="F3048" s="679">
        <v>488.86</v>
      </c>
      <c r="G3048" s="679">
        <v>488.86</v>
      </c>
      <c r="H3048" t="b">
        <f t="shared" si="95"/>
        <v>1</v>
      </c>
    </row>
    <row r="3049" spans="1:8" ht="30">
      <c r="A3049" s="395">
        <v>39919</v>
      </c>
      <c r="B3049" s="406" t="s">
        <v>11780</v>
      </c>
      <c r="C3049" s="395" t="s">
        <v>2021</v>
      </c>
      <c r="D3049" s="407">
        <f t="shared" si="94"/>
        <v>71656.27</v>
      </c>
      <c r="F3049" s="680">
        <v>71656.27</v>
      </c>
      <c r="G3049" s="680">
        <v>71656.27</v>
      </c>
      <c r="H3049" t="b">
        <f t="shared" si="95"/>
        <v>1</v>
      </c>
    </row>
    <row r="3050" spans="1:8">
      <c r="A3050" s="396">
        <v>38385</v>
      </c>
      <c r="B3050" s="401" t="s">
        <v>11781</v>
      </c>
      <c r="C3050" s="396" t="s">
        <v>2021</v>
      </c>
      <c r="D3050" s="405">
        <f t="shared" si="94"/>
        <v>59.12</v>
      </c>
      <c r="F3050" s="679">
        <v>59.12</v>
      </c>
      <c r="G3050" s="679">
        <v>59.12</v>
      </c>
      <c r="H3050" t="b">
        <f t="shared" si="95"/>
        <v>1</v>
      </c>
    </row>
    <row r="3051" spans="1:8">
      <c r="A3051" s="395">
        <v>36800</v>
      </c>
      <c r="B3051" s="406" t="s">
        <v>11782</v>
      </c>
      <c r="C3051" s="395" t="s">
        <v>2021</v>
      </c>
      <c r="D3051" s="407">
        <f t="shared" si="94"/>
        <v>239.81</v>
      </c>
      <c r="F3051" s="680">
        <v>239.81</v>
      </c>
      <c r="G3051" s="680">
        <v>239.81</v>
      </c>
      <c r="H3051" t="b">
        <f t="shared" si="95"/>
        <v>1</v>
      </c>
    </row>
    <row r="3052" spans="1:8">
      <c r="A3052" s="396">
        <v>37587</v>
      </c>
      <c r="B3052" s="401" t="s">
        <v>11783</v>
      </c>
      <c r="C3052" s="396" t="s">
        <v>2021</v>
      </c>
      <c r="D3052" s="405">
        <f t="shared" si="94"/>
        <v>526.87</v>
      </c>
      <c r="F3052" s="679">
        <v>526.87</v>
      </c>
      <c r="G3052" s="679">
        <v>526.87</v>
      </c>
      <c r="H3052" t="b">
        <f t="shared" si="95"/>
        <v>1</v>
      </c>
    </row>
    <row r="3053" spans="1:8" ht="30">
      <c r="A3053" s="395">
        <v>11561</v>
      </c>
      <c r="B3053" s="406" t="s">
        <v>11784</v>
      </c>
      <c r="C3053" s="395" t="s">
        <v>2021</v>
      </c>
      <c r="D3053" s="407">
        <f t="shared" si="94"/>
        <v>263.2</v>
      </c>
      <c r="F3053" s="680">
        <v>263.2</v>
      </c>
      <c r="G3053" s="680">
        <v>263.2</v>
      </c>
      <c r="H3053" t="b">
        <f t="shared" si="95"/>
        <v>1</v>
      </c>
    </row>
    <row r="3054" spans="1:8" ht="30">
      <c r="A3054" s="396">
        <v>43604</v>
      </c>
      <c r="B3054" s="401" t="s">
        <v>11785</v>
      </c>
      <c r="C3054" s="396" t="s">
        <v>2021</v>
      </c>
      <c r="D3054" s="405">
        <f t="shared" si="94"/>
        <v>140.32</v>
      </c>
      <c r="F3054" s="679">
        <v>140.32</v>
      </c>
      <c r="G3054" s="679">
        <v>140.32</v>
      </c>
      <c r="H3054" t="b">
        <f t="shared" si="95"/>
        <v>1</v>
      </c>
    </row>
    <row r="3055" spans="1:8" ht="30">
      <c r="A3055" s="395">
        <v>11560</v>
      </c>
      <c r="B3055" s="406" t="s">
        <v>11786</v>
      </c>
      <c r="C3055" s="395" t="s">
        <v>2021</v>
      </c>
      <c r="D3055" s="407">
        <f t="shared" si="94"/>
        <v>203.15</v>
      </c>
      <c r="F3055" s="680">
        <v>203.15</v>
      </c>
      <c r="G3055" s="680">
        <v>203.15</v>
      </c>
      <c r="H3055" t="b">
        <f t="shared" si="95"/>
        <v>1</v>
      </c>
    </row>
    <row r="3056" spans="1:8">
      <c r="A3056" s="396">
        <v>11499</v>
      </c>
      <c r="B3056" s="401" t="s">
        <v>11787</v>
      </c>
      <c r="C3056" s="396" t="s">
        <v>2021</v>
      </c>
      <c r="D3056" s="405">
        <f t="shared" si="94"/>
        <v>983.13</v>
      </c>
      <c r="F3056" s="679">
        <v>983.13</v>
      </c>
      <c r="G3056" s="679">
        <v>983.13</v>
      </c>
      <c r="H3056" t="b">
        <f t="shared" si="95"/>
        <v>1</v>
      </c>
    </row>
    <row r="3057" spans="1:8">
      <c r="A3057" s="395">
        <v>34761</v>
      </c>
      <c r="B3057" s="406" t="s">
        <v>11788</v>
      </c>
      <c r="C3057" s="395" t="s">
        <v>2020</v>
      </c>
      <c r="D3057" s="407">
        <f t="shared" si="94"/>
        <v>14.27</v>
      </c>
      <c r="F3057" s="680">
        <v>14.27</v>
      </c>
      <c r="G3057" s="680">
        <v>16.41</v>
      </c>
      <c r="H3057" t="b">
        <f t="shared" si="95"/>
        <v>0</v>
      </c>
    </row>
    <row r="3058" spans="1:8">
      <c r="A3058" s="396">
        <v>40924</v>
      </c>
      <c r="B3058" s="401" t="s">
        <v>11789</v>
      </c>
      <c r="C3058" s="396" t="s">
        <v>2027</v>
      </c>
      <c r="D3058" s="405">
        <f t="shared" si="94"/>
        <v>2515.12</v>
      </c>
      <c r="F3058" s="679">
        <v>2515.12</v>
      </c>
      <c r="G3058" s="679">
        <v>2897.27</v>
      </c>
      <c r="H3058" t="b">
        <f t="shared" si="95"/>
        <v>0</v>
      </c>
    </row>
    <row r="3059" spans="1:8">
      <c r="A3059" s="395">
        <v>40983</v>
      </c>
      <c r="B3059" s="406" t="s">
        <v>11790</v>
      </c>
      <c r="C3059" s="395" t="s">
        <v>2027</v>
      </c>
      <c r="D3059" s="407">
        <f t="shared" si="94"/>
        <v>2034.49</v>
      </c>
      <c r="F3059" s="680">
        <v>2034.49</v>
      </c>
      <c r="G3059" s="680">
        <v>2343.61</v>
      </c>
      <c r="H3059" t="b">
        <f t="shared" si="95"/>
        <v>0</v>
      </c>
    </row>
    <row r="3060" spans="1:8">
      <c r="A3060" s="396">
        <v>44497</v>
      </c>
      <c r="B3060" s="401" t="s">
        <v>11791</v>
      </c>
      <c r="C3060" s="396" t="s">
        <v>2020</v>
      </c>
      <c r="D3060" s="405">
        <f t="shared" si="94"/>
        <v>11.52</v>
      </c>
      <c r="F3060" s="679">
        <v>11.52</v>
      </c>
      <c r="G3060" s="679">
        <v>13.26</v>
      </c>
      <c r="H3060" t="b">
        <f t="shared" si="95"/>
        <v>0</v>
      </c>
    </row>
    <row r="3061" spans="1:8">
      <c r="A3061" s="395">
        <v>2437</v>
      </c>
      <c r="B3061" s="406" t="s">
        <v>11792</v>
      </c>
      <c r="C3061" s="395" t="s">
        <v>2020</v>
      </c>
      <c r="D3061" s="407">
        <f t="shared" si="94"/>
        <v>18.11</v>
      </c>
      <c r="F3061" s="680">
        <v>18.11</v>
      </c>
      <c r="G3061" s="680">
        <v>20.84</v>
      </c>
      <c r="H3061" t="b">
        <f t="shared" si="95"/>
        <v>0</v>
      </c>
    </row>
    <row r="3062" spans="1:8">
      <c r="A3062" s="396">
        <v>40921</v>
      </c>
      <c r="B3062" s="401" t="s">
        <v>11793</v>
      </c>
      <c r="C3062" s="396" t="s">
        <v>2027</v>
      </c>
      <c r="D3062" s="405">
        <f t="shared" si="94"/>
        <v>3192.55</v>
      </c>
      <c r="F3062" s="679">
        <v>3192.55</v>
      </c>
      <c r="G3062" s="679">
        <v>3677.63</v>
      </c>
      <c r="H3062" t="b">
        <f t="shared" si="95"/>
        <v>0</v>
      </c>
    </row>
    <row r="3063" spans="1:8" ht="30">
      <c r="A3063" s="395">
        <v>14252</v>
      </c>
      <c r="B3063" s="406" t="s">
        <v>11794</v>
      </c>
      <c r="C3063" s="395" t="s">
        <v>2021</v>
      </c>
      <c r="D3063" s="407">
        <f t="shared" si="94"/>
        <v>3099.7</v>
      </c>
      <c r="F3063" s="680">
        <v>3099.7</v>
      </c>
      <c r="G3063" s="680">
        <v>3099.7</v>
      </c>
      <c r="H3063" t="b">
        <f t="shared" si="95"/>
        <v>1</v>
      </c>
    </row>
    <row r="3064" spans="1:8" ht="30">
      <c r="A3064" s="396">
        <v>730</v>
      </c>
      <c r="B3064" s="401" t="s">
        <v>11795</v>
      </c>
      <c r="C3064" s="396" t="s">
        <v>2021</v>
      </c>
      <c r="D3064" s="405">
        <f t="shared" si="94"/>
        <v>8281.81</v>
      </c>
      <c r="F3064" s="679">
        <v>8281.81</v>
      </c>
      <c r="G3064" s="679">
        <v>8281.81</v>
      </c>
      <c r="H3064" t="b">
        <f t="shared" si="95"/>
        <v>1</v>
      </c>
    </row>
    <row r="3065" spans="1:8" ht="30">
      <c r="A3065" s="395">
        <v>723</v>
      </c>
      <c r="B3065" s="406" t="s">
        <v>11796</v>
      </c>
      <c r="C3065" s="395" t="s">
        <v>2021</v>
      </c>
      <c r="D3065" s="407">
        <f t="shared" si="94"/>
        <v>4116.3500000000004</v>
      </c>
      <c r="F3065" s="680">
        <v>4116.3500000000004</v>
      </c>
      <c r="G3065" s="680">
        <v>4116.3500000000004</v>
      </c>
      <c r="H3065" t="b">
        <f t="shared" si="95"/>
        <v>1</v>
      </c>
    </row>
    <row r="3066" spans="1:8" ht="30">
      <c r="A3066" s="396">
        <v>36502</v>
      </c>
      <c r="B3066" s="401" t="s">
        <v>11797</v>
      </c>
      <c r="C3066" s="396" t="s">
        <v>2021</v>
      </c>
      <c r="D3066" s="405">
        <f t="shared" si="94"/>
        <v>3868.88</v>
      </c>
      <c r="F3066" s="679">
        <v>3868.88</v>
      </c>
      <c r="G3066" s="679">
        <v>3868.88</v>
      </c>
      <c r="H3066" t="b">
        <f t="shared" si="95"/>
        <v>1</v>
      </c>
    </row>
    <row r="3067" spans="1:8" ht="30">
      <c r="A3067" s="395">
        <v>36503</v>
      </c>
      <c r="B3067" s="406" t="s">
        <v>11798</v>
      </c>
      <c r="C3067" s="395" t="s">
        <v>2021</v>
      </c>
      <c r="D3067" s="407">
        <f t="shared" si="94"/>
        <v>4770.78</v>
      </c>
      <c r="F3067" s="680">
        <v>4770.78</v>
      </c>
      <c r="G3067" s="680">
        <v>4770.78</v>
      </c>
      <c r="H3067" t="b">
        <f t="shared" si="95"/>
        <v>1</v>
      </c>
    </row>
    <row r="3068" spans="1:8">
      <c r="A3068" s="396">
        <v>4090</v>
      </c>
      <c r="B3068" s="401" t="s">
        <v>11799</v>
      </c>
      <c r="C3068" s="396" t="s">
        <v>2021</v>
      </c>
      <c r="D3068" s="405">
        <f t="shared" si="94"/>
        <v>1120000</v>
      </c>
      <c r="F3068" s="679">
        <v>1120000</v>
      </c>
      <c r="G3068" s="679">
        <v>1120000</v>
      </c>
      <c r="H3068" t="b">
        <f t="shared" si="95"/>
        <v>1</v>
      </c>
    </row>
    <row r="3069" spans="1:8">
      <c r="A3069" s="395">
        <v>13227</v>
      </c>
      <c r="B3069" s="406" t="s">
        <v>11800</v>
      </c>
      <c r="C3069" s="395" t="s">
        <v>2021</v>
      </c>
      <c r="D3069" s="407">
        <f t="shared" si="94"/>
        <v>1391739.66</v>
      </c>
      <c r="F3069" s="680">
        <v>1391739.66</v>
      </c>
      <c r="G3069" s="680">
        <v>1391739.66</v>
      </c>
      <c r="H3069" t="b">
        <f t="shared" si="95"/>
        <v>1</v>
      </c>
    </row>
    <row r="3070" spans="1:8">
      <c r="A3070" s="396">
        <v>10597</v>
      </c>
      <c r="B3070" s="401" t="s">
        <v>11801</v>
      </c>
      <c r="C3070" s="396" t="s">
        <v>2021</v>
      </c>
      <c r="D3070" s="405">
        <f t="shared" si="94"/>
        <v>1464985.53</v>
      </c>
      <c r="F3070" s="679">
        <v>1464985.53</v>
      </c>
      <c r="G3070" s="679">
        <v>1464985.53</v>
      </c>
      <c r="H3070" t="b">
        <f t="shared" si="95"/>
        <v>1</v>
      </c>
    </row>
    <row r="3071" spans="1:8">
      <c r="A3071" s="395">
        <v>39628</v>
      </c>
      <c r="B3071" s="406" t="s">
        <v>11802</v>
      </c>
      <c r="C3071" s="395" t="s">
        <v>2021</v>
      </c>
      <c r="D3071" s="407">
        <f t="shared" si="94"/>
        <v>4562.5600000000004</v>
      </c>
      <c r="F3071" s="680">
        <v>4562.5600000000004</v>
      </c>
      <c r="G3071" s="680">
        <v>4562.5600000000004</v>
      </c>
      <c r="H3071" t="b">
        <f t="shared" si="95"/>
        <v>1</v>
      </c>
    </row>
    <row r="3072" spans="1:8">
      <c r="A3072" s="396">
        <v>39404</v>
      </c>
      <c r="B3072" s="401" t="s">
        <v>11803</v>
      </c>
      <c r="C3072" s="396" t="s">
        <v>2021</v>
      </c>
      <c r="D3072" s="405">
        <f t="shared" si="94"/>
        <v>2262.4299999999998</v>
      </c>
      <c r="F3072" s="679">
        <v>2262.4299999999998</v>
      </c>
      <c r="G3072" s="679">
        <v>2262.4299999999998</v>
      </c>
      <c r="H3072" t="b">
        <f t="shared" si="95"/>
        <v>1</v>
      </c>
    </row>
    <row r="3073" spans="1:8">
      <c r="A3073" s="395">
        <v>39402</v>
      </c>
      <c r="B3073" s="406" t="s">
        <v>11804</v>
      </c>
      <c r="C3073" s="395" t="s">
        <v>2021</v>
      </c>
      <c r="D3073" s="407">
        <f t="shared" si="94"/>
        <v>1863.81</v>
      </c>
      <c r="F3073" s="680">
        <v>1863.81</v>
      </c>
      <c r="G3073" s="680">
        <v>1863.81</v>
      </c>
      <c r="H3073" t="b">
        <f t="shared" si="95"/>
        <v>1</v>
      </c>
    </row>
    <row r="3074" spans="1:8">
      <c r="A3074" s="396">
        <v>39403</v>
      </c>
      <c r="B3074" s="401" t="s">
        <v>11805</v>
      </c>
      <c r="C3074" s="396" t="s">
        <v>2021</v>
      </c>
      <c r="D3074" s="405">
        <f t="shared" si="94"/>
        <v>1823.27</v>
      </c>
      <c r="F3074" s="679">
        <v>1823.27</v>
      </c>
      <c r="G3074" s="679">
        <v>1823.27</v>
      </c>
      <c r="H3074" t="b">
        <f t="shared" si="95"/>
        <v>1</v>
      </c>
    </row>
    <row r="3075" spans="1:8">
      <c r="A3075" s="395">
        <v>4093</v>
      </c>
      <c r="B3075" s="406" t="s">
        <v>11806</v>
      </c>
      <c r="C3075" s="395" t="s">
        <v>2020</v>
      </c>
      <c r="D3075" s="407">
        <f t="shared" ref="D3075:D3138" si="96">IF($J$2=$F$1,F3075,G3075)</f>
        <v>13.38</v>
      </c>
      <c r="F3075" s="680">
        <v>13.38</v>
      </c>
      <c r="G3075" s="680">
        <v>15.4</v>
      </c>
      <c r="H3075" t="b">
        <f t="shared" ref="H3075:H3138" si="97">F3075=G3075</f>
        <v>0</v>
      </c>
    </row>
    <row r="3076" spans="1:8">
      <c r="A3076" s="396">
        <v>10512</v>
      </c>
      <c r="B3076" s="401" t="s">
        <v>11807</v>
      </c>
      <c r="C3076" s="396" t="s">
        <v>2027</v>
      </c>
      <c r="D3076" s="405">
        <f t="shared" si="96"/>
        <v>2361.9</v>
      </c>
      <c r="F3076" s="679">
        <v>2361.9</v>
      </c>
      <c r="G3076" s="679">
        <v>2720.77</v>
      </c>
      <c r="H3076" t="b">
        <f t="shared" si="97"/>
        <v>0</v>
      </c>
    </row>
    <row r="3077" spans="1:8">
      <c r="A3077" s="395">
        <v>20020</v>
      </c>
      <c r="B3077" s="406" t="s">
        <v>11808</v>
      </c>
      <c r="C3077" s="395" t="s">
        <v>2020</v>
      </c>
      <c r="D3077" s="407">
        <f t="shared" si="96"/>
        <v>12.62</v>
      </c>
      <c r="F3077" s="680">
        <v>12.62</v>
      </c>
      <c r="G3077" s="680">
        <v>14.53</v>
      </c>
      <c r="H3077" t="b">
        <f t="shared" si="97"/>
        <v>0</v>
      </c>
    </row>
    <row r="3078" spans="1:8">
      <c r="A3078" s="396">
        <v>41038</v>
      </c>
      <c r="B3078" s="401" t="s">
        <v>11809</v>
      </c>
      <c r="C3078" s="396" t="s">
        <v>2027</v>
      </c>
      <c r="D3078" s="405">
        <f t="shared" si="96"/>
        <v>2227.87</v>
      </c>
      <c r="F3078" s="679">
        <v>2227.87</v>
      </c>
      <c r="G3078" s="679">
        <v>2566.37</v>
      </c>
      <c r="H3078" t="b">
        <f t="shared" si="97"/>
        <v>0</v>
      </c>
    </row>
    <row r="3079" spans="1:8">
      <c r="A3079" s="395">
        <v>4094</v>
      </c>
      <c r="B3079" s="406" t="s">
        <v>11810</v>
      </c>
      <c r="C3079" s="395" t="s">
        <v>2020</v>
      </c>
      <c r="D3079" s="407">
        <f t="shared" si="96"/>
        <v>17.87</v>
      </c>
      <c r="F3079" s="680">
        <v>17.87</v>
      </c>
      <c r="G3079" s="680">
        <v>20.57</v>
      </c>
      <c r="H3079" t="b">
        <f t="shared" si="97"/>
        <v>0</v>
      </c>
    </row>
    <row r="3080" spans="1:8">
      <c r="A3080" s="396">
        <v>40988</v>
      </c>
      <c r="B3080" s="401" t="s">
        <v>11811</v>
      </c>
      <c r="C3080" s="396" t="s">
        <v>2027</v>
      </c>
      <c r="D3080" s="405">
        <f t="shared" si="96"/>
        <v>3154.17</v>
      </c>
      <c r="F3080" s="679">
        <v>3154.17</v>
      </c>
      <c r="G3080" s="679">
        <v>3633.42</v>
      </c>
      <c r="H3080" t="b">
        <f t="shared" si="97"/>
        <v>0</v>
      </c>
    </row>
    <row r="3081" spans="1:8">
      <c r="A3081" s="395">
        <v>4095</v>
      </c>
      <c r="B3081" s="406" t="s">
        <v>11812</v>
      </c>
      <c r="C3081" s="395" t="s">
        <v>2020</v>
      </c>
      <c r="D3081" s="407">
        <f t="shared" si="96"/>
        <v>12.41</v>
      </c>
      <c r="F3081" s="680">
        <v>12.41</v>
      </c>
      <c r="G3081" s="680">
        <v>14.28</v>
      </c>
      <c r="H3081" t="b">
        <f t="shared" si="97"/>
        <v>0</v>
      </c>
    </row>
    <row r="3082" spans="1:8">
      <c r="A3082" s="396">
        <v>40990</v>
      </c>
      <c r="B3082" s="401" t="s">
        <v>11813</v>
      </c>
      <c r="C3082" s="396" t="s">
        <v>2027</v>
      </c>
      <c r="D3082" s="405">
        <f t="shared" si="96"/>
        <v>2188.7399999999998</v>
      </c>
      <c r="F3082" s="679">
        <v>2188.7399999999998</v>
      </c>
      <c r="G3082" s="679">
        <v>2521.3000000000002</v>
      </c>
      <c r="H3082" t="b">
        <f t="shared" si="97"/>
        <v>0</v>
      </c>
    </row>
    <row r="3083" spans="1:8">
      <c r="A3083" s="395">
        <v>4097</v>
      </c>
      <c r="B3083" s="406" t="s">
        <v>11814</v>
      </c>
      <c r="C3083" s="395" t="s">
        <v>2020</v>
      </c>
      <c r="D3083" s="407">
        <f t="shared" si="96"/>
        <v>14.61</v>
      </c>
      <c r="F3083" s="680">
        <v>14.61</v>
      </c>
      <c r="G3083" s="680">
        <v>16.809999999999999</v>
      </c>
      <c r="H3083" t="b">
        <f t="shared" si="97"/>
        <v>0</v>
      </c>
    </row>
    <row r="3084" spans="1:8">
      <c r="A3084" s="396">
        <v>40994</v>
      </c>
      <c r="B3084" s="401" t="s">
        <v>11815</v>
      </c>
      <c r="C3084" s="396" t="s">
        <v>2027</v>
      </c>
      <c r="D3084" s="405">
        <f t="shared" si="96"/>
        <v>2576.83</v>
      </c>
      <c r="F3084" s="679">
        <v>2576.83</v>
      </c>
      <c r="G3084" s="679">
        <v>2968.36</v>
      </c>
      <c r="H3084" t="b">
        <f t="shared" si="97"/>
        <v>0</v>
      </c>
    </row>
    <row r="3085" spans="1:8">
      <c r="A3085" s="395">
        <v>4096</v>
      </c>
      <c r="B3085" s="406" t="s">
        <v>11816</v>
      </c>
      <c r="C3085" s="395" t="s">
        <v>2020</v>
      </c>
      <c r="D3085" s="407">
        <f t="shared" si="96"/>
        <v>15.67</v>
      </c>
      <c r="F3085" s="680">
        <v>15.67</v>
      </c>
      <c r="G3085" s="680">
        <v>18.03</v>
      </c>
      <c r="H3085" t="b">
        <f t="shared" si="97"/>
        <v>0</v>
      </c>
    </row>
    <row r="3086" spans="1:8">
      <c r="A3086" s="396">
        <v>40992</v>
      </c>
      <c r="B3086" s="401" t="s">
        <v>11817</v>
      </c>
      <c r="C3086" s="396" t="s">
        <v>2027</v>
      </c>
      <c r="D3086" s="405">
        <f t="shared" si="96"/>
        <v>2765.37</v>
      </c>
      <c r="F3086" s="679">
        <v>2765.37</v>
      </c>
      <c r="G3086" s="679">
        <v>3185.55</v>
      </c>
      <c r="H3086" t="b">
        <f t="shared" si="97"/>
        <v>0</v>
      </c>
    </row>
    <row r="3087" spans="1:8">
      <c r="A3087" s="395">
        <v>4114</v>
      </c>
      <c r="B3087" s="406" t="s">
        <v>11818</v>
      </c>
      <c r="C3087" s="395" t="s">
        <v>2021</v>
      </c>
      <c r="D3087" s="407">
        <f t="shared" si="96"/>
        <v>92.22</v>
      </c>
      <c r="F3087" s="680">
        <v>92.22</v>
      </c>
      <c r="G3087" s="680">
        <v>92.22</v>
      </c>
      <c r="H3087" t="b">
        <f t="shared" si="97"/>
        <v>1</v>
      </c>
    </row>
    <row r="3088" spans="1:8">
      <c r="A3088" s="396">
        <v>36797</v>
      </c>
      <c r="B3088" s="401" t="s">
        <v>11819</v>
      </c>
      <c r="C3088" s="396" t="s">
        <v>2021</v>
      </c>
      <c r="D3088" s="405">
        <f t="shared" si="96"/>
        <v>82.11</v>
      </c>
      <c r="F3088" s="679">
        <v>82.11</v>
      </c>
      <c r="G3088" s="679">
        <v>82.11</v>
      </c>
      <c r="H3088" t="b">
        <f t="shared" si="97"/>
        <v>1</v>
      </c>
    </row>
    <row r="3089" spans="1:8">
      <c r="A3089" s="395">
        <v>4107</v>
      </c>
      <c r="B3089" s="406" t="s">
        <v>11820</v>
      </c>
      <c r="C3089" s="395" t="s">
        <v>2021</v>
      </c>
      <c r="D3089" s="407">
        <f t="shared" si="96"/>
        <v>77.42</v>
      </c>
      <c r="F3089" s="680">
        <v>77.42</v>
      </c>
      <c r="G3089" s="680">
        <v>77.42</v>
      </c>
      <c r="H3089" t="b">
        <f t="shared" si="97"/>
        <v>1</v>
      </c>
    </row>
    <row r="3090" spans="1:8">
      <c r="A3090" s="396">
        <v>4102</v>
      </c>
      <c r="B3090" s="401" t="s">
        <v>11821</v>
      </c>
      <c r="C3090" s="396" t="s">
        <v>2021</v>
      </c>
      <c r="D3090" s="405">
        <f t="shared" si="96"/>
        <v>94.5</v>
      </c>
      <c r="F3090" s="679">
        <v>94.5</v>
      </c>
      <c r="G3090" s="679">
        <v>94.5</v>
      </c>
      <c r="H3090" t="b">
        <f t="shared" si="97"/>
        <v>1</v>
      </c>
    </row>
    <row r="3091" spans="1:8">
      <c r="A3091" s="395">
        <v>36799</v>
      </c>
      <c r="B3091" s="406" t="s">
        <v>11822</v>
      </c>
      <c r="C3091" s="395" t="s">
        <v>2021</v>
      </c>
      <c r="D3091" s="407">
        <f t="shared" si="96"/>
        <v>79.69</v>
      </c>
      <c r="F3091" s="680">
        <v>79.69</v>
      </c>
      <c r="G3091" s="680">
        <v>79.69</v>
      </c>
      <c r="H3091" t="b">
        <f t="shared" si="97"/>
        <v>1</v>
      </c>
    </row>
    <row r="3092" spans="1:8">
      <c r="A3092" s="396">
        <v>2747</v>
      </c>
      <c r="B3092" s="401" t="s">
        <v>11823</v>
      </c>
      <c r="C3092" s="396" t="s">
        <v>2024</v>
      </c>
      <c r="D3092" s="405">
        <f t="shared" si="96"/>
        <v>34.57</v>
      </c>
      <c r="F3092" s="679">
        <v>34.57</v>
      </c>
      <c r="G3092" s="679">
        <v>34.57</v>
      </c>
      <c r="H3092" t="b">
        <f t="shared" si="97"/>
        <v>1</v>
      </c>
    </row>
    <row r="3093" spans="1:8">
      <c r="A3093" s="395">
        <v>21138</v>
      </c>
      <c r="B3093" s="406" t="s">
        <v>11824</v>
      </c>
      <c r="C3093" s="395" t="s">
        <v>2024</v>
      </c>
      <c r="D3093" s="407">
        <f t="shared" si="96"/>
        <v>10.96</v>
      </c>
      <c r="F3093" s="680">
        <v>10.96</v>
      </c>
      <c r="G3093" s="680">
        <v>10.96</v>
      </c>
      <c r="H3093" t="b">
        <f t="shared" si="97"/>
        <v>1</v>
      </c>
    </row>
    <row r="3094" spans="1:8">
      <c r="A3094" s="396">
        <v>10826</v>
      </c>
      <c r="B3094" s="401" t="s">
        <v>11825</v>
      </c>
      <c r="C3094" s="396" t="s">
        <v>2021</v>
      </c>
      <c r="D3094" s="405">
        <f t="shared" si="96"/>
        <v>114.94</v>
      </c>
      <c r="F3094" s="679">
        <v>114.94</v>
      </c>
      <c r="G3094" s="679">
        <v>114.94</v>
      </c>
      <c r="H3094" t="b">
        <f t="shared" si="97"/>
        <v>1</v>
      </c>
    </row>
    <row r="3095" spans="1:8">
      <c r="A3095" s="395">
        <v>365</v>
      </c>
      <c r="B3095" s="406" t="s">
        <v>11826</v>
      </c>
      <c r="C3095" s="395" t="s">
        <v>2021</v>
      </c>
      <c r="D3095" s="407">
        <f t="shared" si="96"/>
        <v>71.260000000000005</v>
      </c>
      <c r="F3095" s="680">
        <v>71.260000000000005</v>
      </c>
      <c r="G3095" s="680">
        <v>71.260000000000005</v>
      </c>
      <c r="H3095" t="b">
        <f t="shared" si="97"/>
        <v>1</v>
      </c>
    </row>
    <row r="3096" spans="1:8">
      <c r="A3096" s="396">
        <v>38639</v>
      </c>
      <c r="B3096" s="401" t="s">
        <v>11827</v>
      </c>
      <c r="C3096" s="396" t="s">
        <v>2021</v>
      </c>
      <c r="D3096" s="405">
        <f t="shared" si="96"/>
        <v>275.86</v>
      </c>
      <c r="F3096" s="679">
        <v>275.86</v>
      </c>
      <c r="G3096" s="679">
        <v>275.86</v>
      </c>
      <c r="H3096" t="b">
        <f t="shared" si="97"/>
        <v>1</v>
      </c>
    </row>
    <row r="3097" spans="1:8">
      <c r="A3097" s="395">
        <v>38640</v>
      </c>
      <c r="B3097" s="406" t="s">
        <v>11828</v>
      </c>
      <c r="C3097" s="395" t="s">
        <v>2021</v>
      </c>
      <c r="D3097" s="407">
        <f t="shared" si="96"/>
        <v>4.13</v>
      </c>
      <c r="F3097" s="680">
        <v>4.13</v>
      </c>
      <c r="G3097" s="680">
        <v>4.13</v>
      </c>
      <c r="H3097" t="b">
        <f t="shared" si="97"/>
        <v>1</v>
      </c>
    </row>
    <row r="3098" spans="1:8">
      <c r="A3098" s="396">
        <v>358</v>
      </c>
      <c r="B3098" s="401" t="s">
        <v>11829</v>
      </c>
      <c r="C3098" s="396" t="s">
        <v>2021</v>
      </c>
      <c r="D3098" s="405">
        <f t="shared" si="96"/>
        <v>85.05</v>
      </c>
      <c r="F3098" s="679">
        <v>85.05</v>
      </c>
      <c r="G3098" s="679">
        <v>85.05</v>
      </c>
      <c r="H3098" t="b">
        <f t="shared" si="97"/>
        <v>1</v>
      </c>
    </row>
    <row r="3099" spans="1:8">
      <c r="A3099" s="395">
        <v>359</v>
      </c>
      <c r="B3099" s="406" t="s">
        <v>11830</v>
      </c>
      <c r="C3099" s="395" t="s">
        <v>2021</v>
      </c>
      <c r="D3099" s="407">
        <f t="shared" si="96"/>
        <v>174.71</v>
      </c>
      <c r="F3099" s="680">
        <v>174.71</v>
      </c>
      <c r="G3099" s="680">
        <v>174.71</v>
      </c>
      <c r="H3099" t="b">
        <f t="shared" si="97"/>
        <v>1</v>
      </c>
    </row>
    <row r="3100" spans="1:8">
      <c r="A3100" s="396">
        <v>38641</v>
      </c>
      <c r="B3100" s="401" t="s">
        <v>11831</v>
      </c>
      <c r="C3100" s="396" t="s">
        <v>2021</v>
      </c>
      <c r="D3100" s="405">
        <f t="shared" si="96"/>
        <v>172.41</v>
      </c>
      <c r="F3100" s="679">
        <v>172.41</v>
      </c>
      <c r="G3100" s="679">
        <v>172.41</v>
      </c>
      <c r="H3100" t="b">
        <f t="shared" si="97"/>
        <v>1</v>
      </c>
    </row>
    <row r="3101" spans="1:8">
      <c r="A3101" s="395">
        <v>360</v>
      </c>
      <c r="B3101" s="406" t="s">
        <v>11832</v>
      </c>
      <c r="C3101" s="395" t="s">
        <v>2021</v>
      </c>
      <c r="D3101" s="407">
        <f t="shared" si="96"/>
        <v>4</v>
      </c>
      <c r="F3101" s="680">
        <v>4</v>
      </c>
      <c r="G3101" s="680">
        <v>4</v>
      </c>
      <c r="H3101" t="b">
        <f t="shared" si="97"/>
        <v>1</v>
      </c>
    </row>
    <row r="3102" spans="1:8" ht="30">
      <c r="A3102" s="396">
        <v>42430</v>
      </c>
      <c r="B3102" s="401" t="s">
        <v>11833</v>
      </c>
      <c r="C3102" s="396" t="s">
        <v>2021</v>
      </c>
      <c r="D3102" s="405">
        <f t="shared" si="96"/>
        <v>6377.55</v>
      </c>
      <c r="F3102" s="679">
        <v>6377.55</v>
      </c>
      <c r="G3102" s="679">
        <v>6377.55</v>
      </c>
      <c r="H3102" t="b">
        <f t="shared" si="97"/>
        <v>1</v>
      </c>
    </row>
    <row r="3103" spans="1:8">
      <c r="A3103" s="395">
        <v>4209</v>
      </c>
      <c r="B3103" s="406" t="s">
        <v>11834</v>
      </c>
      <c r="C3103" s="395" t="s">
        <v>2021</v>
      </c>
      <c r="D3103" s="407">
        <f t="shared" si="96"/>
        <v>16.420000000000002</v>
      </c>
      <c r="F3103" s="680">
        <v>16.420000000000002</v>
      </c>
      <c r="G3103" s="680">
        <v>16.420000000000002</v>
      </c>
      <c r="H3103" t="b">
        <f t="shared" si="97"/>
        <v>1</v>
      </c>
    </row>
    <row r="3104" spans="1:8">
      <c r="A3104" s="396">
        <v>4180</v>
      </c>
      <c r="B3104" s="401" t="s">
        <v>11835</v>
      </c>
      <c r="C3104" s="396" t="s">
        <v>2021</v>
      </c>
      <c r="D3104" s="405">
        <f t="shared" si="96"/>
        <v>12.36</v>
      </c>
      <c r="F3104" s="679">
        <v>12.36</v>
      </c>
      <c r="G3104" s="679">
        <v>12.36</v>
      </c>
      <c r="H3104" t="b">
        <f t="shared" si="97"/>
        <v>1</v>
      </c>
    </row>
    <row r="3105" spans="1:8">
      <c r="A3105" s="395">
        <v>4177</v>
      </c>
      <c r="B3105" s="406" t="s">
        <v>11836</v>
      </c>
      <c r="C3105" s="395" t="s">
        <v>2021</v>
      </c>
      <c r="D3105" s="407">
        <f t="shared" si="96"/>
        <v>4.0999999999999996</v>
      </c>
      <c r="F3105" s="680">
        <v>4.0999999999999996</v>
      </c>
      <c r="G3105" s="680">
        <v>4.0999999999999996</v>
      </c>
      <c r="H3105" t="b">
        <f t="shared" si="97"/>
        <v>1</v>
      </c>
    </row>
    <row r="3106" spans="1:8">
      <c r="A3106" s="396">
        <v>4179</v>
      </c>
      <c r="B3106" s="401" t="s">
        <v>11837</v>
      </c>
      <c r="C3106" s="396" t="s">
        <v>2021</v>
      </c>
      <c r="D3106" s="405">
        <f t="shared" si="96"/>
        <v>8.39</v>
      </c>
      <c r="F3106" s="679">
        <v>8.39</v>
      </c>
      <c r="G3106" s="679">
        <v>8.39</v>
      </c>
      <c r="H3106" t="b">
        <f t="shared" si="97"/>
        <v>1</v>
      </c>
    </row>
    <row r="3107" spans="1:8">
      <c r="A3107" s="395">
        <v>4208</v>
      </c>
      <c r="B3107" s="406" t="s">
        <v>11838</v>
      </c>
      <c r="C3107" s="395" t="s">
        <v>2021</v>
      </c>
      <c r="D3107" s="407">
        <f t="shared" si="96"/>
        <v>39.090000000000003</v>
      </c>
      <c r="F3107" s="680">
        <v>39.090000000000003</v>
      </c>
      <c r="G3107" s="680">
        <v>39.090000000000003</v>
      </c>
      <c r="H3107" t="b">
        <f t="shared" si="97"/>
        <v>1</v>
      </c>
    </row>
    <row r="3108" spans="1:8">
      <c r="A3108" s="396">
        <v>4181</v>
      </c>
      <c r="B3108" s="401" t="s">
        <v>11839</v>
      </c>
      <c r="C3108" s="396" t="s">
        <v>2021</v>
      </c>
      <c r="D3108" s="405">
        <f t="shared" si="96"/>
        <v>25.54</v>
      </c>
      <c r="F3108" s="679">
        <v>25.54</v>
      </c>
      <c r="G3108" s="679">
        <v>25.54</v>
      </c>
      <c r="H3108" t="b">
        <f t="shared" si="97"/>
        <v>1</v>
      </c>
    </row>
    <row r="3109" spans="1:8">
      <c r="A3109" s="395">
        <v>4178</v>
      </c>
      <c r="B3109" s="406" t="s">
        <v>11840</v>
      </c>
      <c r="C3109" s="395" t="s">
        <v>2021</v>
      </c>
      <c r="D3109" s="407">
        <f t="shared" si="96"/>
        <v>5.69</v>
      </c>
      <c r="F3109" s="680">
        <v>5.69</v>
      </c>
      <c r="G3109" s="680">
        <v>5.69</v>
      </c>
      <c r="H3109" t="b">
        <f t="shared" si="97"/>
        <v>1</v>
      </c>
    </row>
    <row r="3110" spans="1:8">
      <c r="A3110" s="396">
        <v>4182</v>
      </c>
      <c r="B3110" s="401" t="s">
        <v>11841</v>
      </c>
      <c r="C3110" s="396" t="s">
        <v>2021</v>
      </c>
      <c r="D3110" s="405">
        <f t="shared" si="96"/>
        <v>63.59</v>
      </c>
      <c r="F3110" s="679">
        <v>63.59</v>
      </c>
      <c r="G3110" s="679">
        <v>63.59</v>
      </c>
      <c r="H3110" t="b">
        <f t="shared" si="97"/>
        <v>1</v>
      </c>
    </row>
    <row r="3111" spans="1:8">
      <c r="A3111" s="395">
        <v>4183</v>
      </c>
      <c r="B3111" s="406" t="s">
        <v>11842</v>
      </c>
      <c r="C3111" s="395" t="s">
        <v>2021</v>
      </c>
      <c r="D3111" s="407">
        <f t="shared" si="96"/>
        <v>102.37</v>
      </c>
      <c r="F3111" s="680">
        <v>102.37</v>
      </c>
      <c r="G3111" s="680">
        <v>102.37</v>
      </c>
      <c r="H3111" t="b">
        <f t="shared" si="97"/>
        <v>1</v>
      </c>
    </row>
    <row r="3112" spans="1:8">
      <c r="A3112" s="396">
        <v>4184</v>
      </c>
      <c r="B3112" s="401" t="s">
        <v>11843</v>
      </c>
      <c r="C3112" s="396" t="s">
        <v>2021</v>
      </c>
      <c r="D3112" s="405">
        <f t="shared" si="96"/>
        <v>225.98</v>
      </c>
      <c r="F3112" s="679">
        <v>225.98</v>
      </c>
      <c r="G3112" s="679">
        <v>225.98</v>
      </c>
      <c r="H3112" t="b">
        <f t="shared" si="97"/>
        <v>1</v>
      </c>
    </row>
    <row r="3113" spans="1:8">
      <c r="A3113" s="395">
        <v>4185</v>
      </c>
      <c r="B3113" s="406" t="s">
        <v>11844</v>
      </c>
      <c r="C3113" s="395" t="s">
        <v>2021</v>
      </c>
      <c r="D3113" s="407">
        <f t="shared" si="96"/>
        <v>375.48</v>
      </c>
      <c r="F3113" s="680">
        <v>375.48</v>
      </c>
      <c r="G3113" s="680">
        <v>375.48</v>
      </c>
      <c r="H3113" t="b">
        <f t="shared" si="97"/>
        <v>1</v>
      </c>
    </row>
    <row r="3114" spans="1:8">
      <c r="A3114" s="396">
        <v>4205</v>
      </c>
      <c r="B3114" s="401" t="s">
        <v>11845</v>
      </c>
      <c r="C3114" s="396" t="s">
        <v>2021</v>
      </c>
      <c r="D3114" s="405">
        <f t="shared" si="96"/>
        <v>21.68</v>
      </c>
      <c r="F3114" s="679">
        <v>21.68</v>
      </c>
      <c r="G3114" s="679">
        <v>21.68</v>
      </c>
      <c r="H3114" t="b">
        <f t="shared" si="97"/>
        <v>1</v>
      </c>
    </row>
    <row r="3115" spans="1:8">
      <c r="A3115" s="395">
        <v>4192</v>
      </c>
      <c r="B3115" s="406" t="s">
        <v>11846</v>
      </c>
      <c r="C3115" s="395" t="s">
        <v>2021</v>
      </c>
      <c r="D3115" s="407">
        <f t="shared" si="96"/>
        <v>21.68</v>
      </c>
      <c r="F3115" s="680">
        <v>21.68</v>
      </c>
      <c r="G3115" s="680">
        <v>21.68</v>
      </c>
      <c r="H3115" t="b">
        <f t="shared" si="97"/>
        <v>1</v>
      </c>
    </row>
    <row r="3116" spans="1:8">
      <c r="A3116" s="396">
        <v>4191</v>
      </c>
      <c r="B3116" s="401" t="s">
        <v>11847</v>
      </c>
      <c r="C3116" s="396" t="s">
        <v>2021</v>
      </c>
      <c r="D3116" s="405">
        <f t="shared" si="96"/>
        <v>21.68</v>
      </c>
      <c r="F3116" s="679">
        <v>21.68</v>
      </c>
      <c r="G3116" s="679">
        <v>21.68</v>
      </c>
      <c r="H3116" t="b">
        <f t="shared" si="97"/>
        <v>1</v>
      </c>
    </row>
    <row r="3117" spans="1:8">
      <c r="A3117" s="395">
        <v>4207</v>
      </c>
      <c r="B3117" s="406" t="s">
        <v>11848</v>
      </c>
      <c r="C3117" s="395" t="s">
        <v>2021</v>
      </c>
      <c r="D3117" s="407">
        <f t="shared" si="96"/>
        <v>17.45</v>
      </c>
      <c r="F3117" s="680">
        <v>17.45</v>
      </c>
      <c r="G3117" s="680">
        <v>17.45</v>
      </c>
      <c r="H3117" t="b">
        <f t="shared" si="97"/>
        <v>1</v>
      </c>
    </row>
    <row r="3118" spans="1:8">
      <c r="A3118" s="396">
        <v>4206</v>
      </c>
      <c r="B3118" s="401" t="s">
        <v>11849</v>
      </c>
      <c r="C3118" s="396" t="s">
        <v>2021</v>
      </c>
      <c r="D3118" s="405">
        <f t="shared" si="96"/>
        <v>16.940000000000001</v>
      </c>
      <c r="F3118" s="679">
        <v>16.940000000000001</v>
      </c>
      <c r="G3118" s="679">
        <v>16.940000000000001</v>
      </c>
      <c r="H3118" t="b">
        <f t="shared" si="97"/>
        <v>1</v>
      </c>
    </row>
    <row r="3119" spans="1:8">
      <c r="A3119" s="395">
        <v>4190</v>
      </c>
      <c r="B3119" s="406" t="s">
        <v>11850</v>
      </c>
      <c r="C3119" s="395" t="s">
        <v>2021</v>
      </c>
      <c r="D3119" s="407">
        <f t="shared" si="96"/>
        <v>16.940000000000001</v>
      </c>
      <c r="F3119" s="680">
        <v>16.940000000000001</v>
      </c>
      <c r="G3119" s="680">
        <v>16.940000000000001</v>
      </c>
      <c r="H3119" t="b">
        <f t="shared" si="97"/>
        <v>1</v>
      </c>
    </row>
    <row r="3120" spans="1:8">
      <c r="A3120" s="396">
        <v>4186</v>
      </c>
      <c r="B3120" s="401" t="s">
        <v>11851</v>
      </c>
      <c r="C3120" s="396" t="s">
        <v>2021</v>
      </c>
      <c r="D3120" s="405">
        <f t="shared" si="96"/>
        <v>5.01</v>
      </c>
      <c r="F3120" s="679">
        <v>5.01</v>
      </c>
      <c r="G3120" s="679">
        <v>5.01</v>
      </c>
      <c r="H3120" t="b">
        <f t="shared" si="97"/>
        <v>1</v>
      </c>
    </row>
    <row r="3121" spans="1:8">
      <c r="A3121" s="395">
        <v>4188</v>
      </c>
      <c r="B3121" s="406" t="s">
        <v>11852</v>
      </c>
      <c r="C3121" s="395" t="s">
        <v>2021</v>
      </c>
      <c r="D3121" s="407">
        <f t="shared" si="96"/>
        <v>10.220000000000001</v>
      </c>
      <c r="F3121" s="680">
        <v>10.220000000000001</v>
      </c>
      <c r="G3121" s="680">
        <v>10.220000000000001</v>
      </c>
      <c r="H3121" t="b">
        <f t="shared" si="97"/>
        <v>1</v>
      </c>
    </row>
    <row r="3122" spans="1:8">
      <c r="A3122" s="396">
        <v>4189</v>
      </c>
      <c r="B3122" s="401" t="s">
        <v>11853</v>
      </c>
      <c r="C3122" s="396" t="s">
        <v>2021</v>
      </c>
      <c r="D3122" s="405">
        <f t="shared" si="96"/>
        <v>10.220000000000001</v>
      </c>
      <c r="F3122" s="679">
        <v>10.220000000000001</v>
      </c>
      <c r="G3122" s="679">
        <v>10.220000000000001</v>
      </c>
      <c r="H3122" t="b">
        <f t="shared" si="97"/>
        <v>1</v>
      </c>
    </row>
    <row r="3123" spans="1:8">
      <c r="A3123" s="395">
        <v>4197</v>
      </c>
      <c r="B3123" s="406" t="s">
        <v>11854</v>
      </c>
      <c r="C3123" s="395" t="s">
        <v>2021</v>
      </c>
      <c r="D3123" s="407">
        <f t="shared" si="96"/>
        <v>54.14</v>
      </c>
      <c r="F3123" s="680">
        <v>54.14</v>
      </c>
      <c r="G3123" s="680">
        <v>54.14</v>
      </c>
      <c r="H3123" t="b">
        <f t="shared" si="97"/>
        <v>1</v>
      </c>
    </row>
    <row r="3124" spans="1:8">
      <c r="A3124" s="396">
        <v>4194</v>
      </c>
      <c r="B3124" s="401" t="s">
        <v>11855</v>
      </c>
      <c r="C3124" s="396" t="s">
        <v>2021</v>
      </c>
      <c r="D3124" s="405">
        <f t="shared" si="96"/>
        <v>32.71</v>
      </c>
      <c r="F3124" s="679">
        <v>32.71</v>
      </c>
      <c r="G3124" s="679">
        <v>32.71</v>
      </c>
      <c r="H3124" t="b">
        <f t="shared" si="97"/>
        <v>1</v>
      </c>
    </row>
    <row r="3125" spans="1:8">
      <c r="A3125" s="395">
        <v>4193</v>
      </c>
      <c r="B3125" s="406" t="s">
        <v>11856</v>
      </c>
      <c r="C3125" s="395" t="s">
        <v>2021</v>
      </c>
      <c r="D3125" s="407">
        <f t="shared" si="96"/>
        <v>32.71</v>
      </c>
      <c r="F3125" s="680">
        <v>32.71</v>
      </c>
      <c r="G3125" s="680">
        <v>32.71</v>
      </c>
      <c r="H3125" t="b">
        <f t="shared" si="97"/>
        <v>1</v>
      </c>
    </row>
    <row r="3126" spans="1:8">
      <c r="A3126" s="396">
        <v>4204</v>
      </c>
      <c r="B3126" s="401" t="s">
        <v>11857</v>
      </c>
      <c r="C3126" s="396" t="s">
        <v>2021</v>
      </c>
      <c r="D3126" s="405">
        <f t="shared" si="96"/>
        <v>32.71</v>
      </c>
      <c r="F3126" s="679">
        <v>32.71</v>
      </c>
      <c r="G3126" s="679">
        <v>32.71</v>
      </c>
      <c r="H3126" t="b">
        <f t="shared" si="97"/>
        <v>1</v>
      </c>
    </row>
    <row r="3127" spans="1:8">
      <c r="A3127" s="395">
        <v>4187</v>
      </c>
      <c r="B3127" s="406" t="s">
        <v>11858</v>
      </c>
      <c r="C3127" s="395" t="s">
        <v>2021</v>
      </c>
      <c r="D3127" s="407">
        <f t="shared" si="96"/>
        <v>6.52</v>
      </c>
      <c r="F3127" s="680">
        <v>6.52</v>
      </c>
      <c r="G3127" s="680">
        <v>6.52</v>
      </c>
      <c r="H3127" t="b">
        <f t="shared" si="97"/>
        <v>1</v>
      </c>
    </row>
    <row r="3128" spans="1:8">
      <c r="A3128" s="396">
        <v>4202</v>
      </c>
      <c r="B3128" s="401" t="s">
        <v>11859</v>
      </c>
      <c r="C3128" s="396" t="s">
        <v>2021</v>
      </c>
      <c r="D3128" s="405">
        <f t="shared" si="96"/>
        <v>98.88</v>
      </c>
      <c r="F3128" s="679">
        <v>98.88</v>
      </c>
      <c r="G3128" s="679">
        <v>98.88</v>
      </c>
      <c r="H3128" t="b">
        <f t="shared" si="97"/>
        <v>1</v>
      </c>
    </row>
    <row r="3129" spans="1:8">
      <c r="A3129" s="395">
        <v>4203</v>
      </c>
      <c r="B3129" s="406" t="s">
        <v>11860</v>
      </c>
      <c r="C3129" s="395" t="s">
        <v>2021</v>
      </c>
      <c r="D3129" s="407">
        <f t="shared" si="96"/>
        <v>87.33</v>
      </c>
      <c r="F3129" s="680">
        <v>87.33</v>
      </c>
      <c r="G3129" s="680">
        <v>87.33</v>
      </c>
      <c r="H3129" t="b">
        <f t="shared" si="97"/>
        <v>1</v>
      </c>
    </row>
    <row r="3130" spans="1:8">
      <c r="A3130" s="396">
        <v>40368</v>
      </c>
      <c r="B3130" s="401" t="s">
        <v>11861</v>
      </c>
      <c r="C3130" s="396" t="s">
        <v>2021</v>
      </c>
      <c r="D3130" s="405">
        <f t="shared" si="96"/>
        <v>62.71</v>
      </c>
      <c r="F3130" s="679">
        <v>62.71</v>
      </c>
      <c r="G3130" s="679">
        <v>62.71</v>
      </c>
      <c r="H3130" t="b">
        <f t="shared" si="97"/>
        <v>1</v>
      </c>
    </row>
    <row r="3131" spans="1:8">
      <c r="A3131" s="395">
        <v>40365</v>
      </c>
      <c r="B3131" s="406" t="s">
        <v>11862</v>
      </c>
      <c r="C3131" s="395" t="s">
        <v>2021</v>
      </c>
      <c r="D3131" s="407">
        <f t="shared" si="96"/>
        <v>42.31</v>
      </c>
      <c r="F3131" s="680">
        <v>42.31</v>
      </c>
      <c r="G3131" s="680">
        <v>42.31</v>
      </c>
      <c r="H3131" t="b">
        <f t="shared" si="97"/>
        <v>1</v>
      </c>
    </row>
    <row r="3132" spans="1:8">
      <c r="A3132" s="396">
        <v>40356</v>
      </c>
      <c r="B3132" s="401" t="s">
        <v>11863</v>
      </c>
      <c r="C3132" s="396" t="s">
        <v>2021</v>
      </c>
      <c r="D3132" s="405">
        <f t="shared" si="96"/>
        <v>14.45</v>
      </c>
      <c r="F3132" s="679">
        <v>14.45</v>
      </c>
      <c r="G3132" s="679">
        <v>14.45</v>
      </c>
      <c r="H3132" t="b">
        <f t="shared" si="97"/>
        <v>1</v>
      </c>
    </row>
    <row r="3133" spans="1:8">
      <c r="A3133" s="395">
        <v>40362</v>
      </c>
      <c r="B3133" s="406" t="s">
        <v>11864</v>
      </c>
      <c r="C3133" s="395" t="s">
        <v>2021</v>
      </c>
      <c r="D3133" s="407">
        <f t="shared" si="96"/>
        <v>28.02</v>
      </c>
      <c r="F3133" s="680">
        <v>28.02</v>
      </c>
      <c r="G3133" s="680">
        <v>28.02</v>
      </c>
      <c r="H3133" t="b">
        <f t="shared" si="97"/>
        <v>1</v>
      </c>
    </row>
    <row r="3134" spans="1:8">
      <c r="A3134" s="396">
        <v>40374</v>
      </c>
      <c r="B3134" s="401" t="s">
        <v>11865</v>
      </c>
      <c r="C3134" s="396" t="s">
        <v>2021</v>
      </c>
      <c r="D3134" s="405">
        <f t="shared" si="96"/>
        <v>163.9</v>
      </c>
      <c r="F3134" s="679">
        <v>163.9</v>
      </c>
      <c r="G3134" s="679">
        <v>163.9</v>
      </c>
      <c r="H3134" t="b">
        <f t="shared" si="97"/>
        <v>1</v>
      </c>
    </row>
    <row r="3135" spans="1:8">
      <c r="A3135" s="395">
        <v>40371</v>
      </c>
      <c r="B3135" s="406" t="s">
        <v>11866</v>
      </c>
      <c r="C3135" s="395" t="s">
        <v>2021</v>
      </c>
      <c r="D3135" s="407">
        <f t="shared" si="96"/>
        <v>103.17</v>
      </c>
      <c r="F3135" s="680">
        <v>103.17</v>
      </c>
      <c r="G3135" s="680">
        <v>103.17</v>
      </c>
      <c r="H3135" t="b">
        <f t="shared" si="97"/>
        <v>1</v>
      </c>
    </row>
    <row r="3136" spans="1:8">
      <c r="A3136" s="396">
        <v>40359</v>
      </c>
      <c r="B3136" s="401" t="s">
        <v>11867</v>
      </c>
      <c r="C3136" s="396" t="s">
        <v>2021</v>
      </c>
      <c r="D3136" s="405">
        <f t="shared" si="96"/>
        <v>18.670000000000002</v>
      </c>
      <c r="F3136" s="679">
        <v>18.670000000000002</v>
      </c>
      <c r="G3136" s="679">
        <v>18.670000000000002</v>
      </c>
      <c r="H3136" t="b">
        <f t="shared" si="97"/>
        <v>1</v>
      </c>
    </row>
    <row r="3137" spans="1:8">
      <c r="A3137" s="395">
        <v>7595</v>
      </c>
      <c r="B3137" s="406" t="s">
        <v>11868</v>
      </c>
      <c r="C3137" s="395" t="s">
        <v>2020</v>
      </c>
      <c r="D3137" s="407">
        <f t="shared" si="96"/>
        <v>9.34</v>
      </c>
      <c r="F3137" s="680">
        <v>9.34</v>
      </c>
      <c r="G3137" s="680">
        <v>10.75</v>
      </c>
      <c r="H3137" t="b">
        <f t="shared" si="97"/>
        <v>0</v>
      </c>
    </row>
    <row r="3138" spans="1:8">
      <c r="A3138" s="396">
        <v>41094</v>
      </c>
      <c r="B3138" s="401" t="s">
        <v>11869</v>
      </c>
      <c r="C3138" s="396" t="s">
        <v>2027</v>
      </c>
      <c r="D3138" s="405">
        <f t="shared" si="96"/>
        <v>1648.65</v>
      </c>
      <c r="F3138" s="679">
        <v>1648.65</v>
      </c>
      <c r="G3138" s="679">
        <v>1899.15</v>
      </c>
      <c r="H3138" t="b">
        <f t="shared" si="97"/>
        <v>0</v>
      </c>
    </row>
    <row r="3139" spans="1:8">
      <c r="A3139" s="395">
        <v>39609</v>
      </c>
      <c r="B3139" s="406" t="s">
        <v>11870</v>
      </c>
      <c r="C3139" s="395" t="s">
        <v>2021</v>
      </c>
      <c r="D3139" s="407">
        <f t="shared" ref="D3139:D3202" si="98">IF($J$2=$F$1,F3139,G3139)</f>
        <v>65107.28</v>
      </c>
      <c r="F3139" s="680">
        <v>65107.28</v>
      </c>
      <c r="G3139" s="680">
        <v>65107.28</v>
      </c>
      <c r="H3139" t="b">
        <f t="shared" ref="H3139:H3202" si="99">F3139=G3139</f>
        <v>1</v>
      </c>
    </row>
    <row r="3140" spans="1:8">
      <c r="A3140" s="396">
        <v>39610</v>
      </c>
      <c r="B3140" s="401" t="s">
        <v>11871</v>
      </c>
      <c r="C3140" s="396" t="s">
        <v>2021</v>
      </c>
      <c r="D3140" s="405">
        <f t="shared" si="98"/>
        <v>95036.32</v>
      </c>
      <c r="F3140" s="679">
        <v>95036.32</v>
      </c>
      <c r="G3140" s="679">
        <v>95036.32</v>
      </c>
      <c r="H3140" t="b">
        <f t="shared" si="99"/>
        <v>1</v>
      </c>
    </row>
    <row r="3141" spans="1:8">
      <c r="A3141" s="395">
        <v>39611</v>
      </c>
      <c r="B3141" s="406" t="s">
        <v>11872</v>
      </c>
      <c r="C3141" s="395" t="s">
        <v>2021</v>
      </c>
      <c r="D3141" s="407">
        <f t="shared" si="98"/>
        <v>115009.5</v>
      </c>
      <c r="F3141" s="680">
        <v>115009.5</v>
      </c>
      <c r="G3141" s="680">
        <v>115009.5</v>
      </c>
      <c r="H3141" t="b">
        <f t="shared" si="99"/>
        <v>1</v>
      </c>
    </row>
    <row r="3142" spans="1:8">
      <c r="A3142" s="396">
        <v>39612</v>
      </c>
      <c r="B3142" s="401" t="s">
        <v>11873</v>
      </c>
      <c r="C3142" s="396" t="s">
        <v>2021</v>
      </c>
      <c r="D3142" s="405">
        <f t="shared" si="98"/>
        <v>180164.97</v>
      </c>
      <c r="F3142" s="679">
        <v>180164.97</v>
      </c>
      <c r="G3142" s="679">
        <v>180164.97</v>
      </c>
      <c r="H3142" t="b">
        <f t="shared" si="99"/>
        <v>1</v>
      </c>
    </row>
    <row r="3143" spans="1:8">
      <c r="A3143" s="395">
        <v>39608</v>
      </c>
      <c r="B3143" s="406" t="s">
        <v>11874</v>
      </c>
      <c r="C3143" s="395" t="s">
        <v>2021</v>
      </c>
      <c r="D3143" s="407">
        <f t="shared" si="98"/>
        <v>52059.09</v>
      </c>
      <c r="F3143" s="680">
        <v>52059.09</v>
      </c>
      <c r="G3143" s="680">
        <v>52059.09</v>
      </c>
      <c r="H3143" t="b">
        <f t="shared" si="99"/>
        <v>1</v>
      </c>
    </row>
    <row r="3144" spans="1:8">
      <c r="A3144" s="396">
        <v>38175</v>
      </c>
      <c r="B3144" s="401" t="s">
        <v>11875</v>
      </c>
      <c r="C3144" s="396" t="s">
        <v>2021</v>
      </c>
      <c r="D3144" s="405">
        <f t="shared" si="98"/>
        <v>5.28</v>
      </c>
      <c r="F3144" s="679">
        <v>5.28</v>
      </c>
      <c r="G3144" s="679">
        <v>5.28</v>
      </c>
      <c r="H3144" t="b">
        <f t="shared" si="99"/>
        <v>1</v>
      </c>
    </row>
    <row r="3145" spans="1:8">
      <c r="A3145" s="395">
        <v>38176</v>
      </c>
      <c r="B3145" s="406" t="s">
        <v>11876</v>
      </c>
      <c r="C3145" s="395" t="s">
        <v>2021</v>
      </c>
      <c r="D3145" s="407">
        <f t="shared" si="98"/>
        <v>15.53</v>
      </c>
      <c r="F3145" s="680">
        <v>15.53</v>
      </c>
      <c r="G3145" s="680">
        <v>15.53</v>
      </c>
      <c r="H3145" t="b">
        <f t="shared" si="99"/>
        <v>1</v>
      </c>
    </row>
    <row r="3146" spans="1:8">
      <c r="A3146" s="396">
        <v>36152</v>
      </c>
      <c r="B3146" s="401" t="s">
        <v>11877</v>
      </c>
      <c r="C3146" s="396" t="s">
        <v>2021</v>
      </c>
      <c r="D3146" s="405">
        <f t="shared" si="98"/>
        <v>6.2</v>
      </c>
      <c r="F3146" s="679">
        <v>6.2</v>
      </c>
      <c r="G3146" s="679">
        <v>6.2</v>
      </c>
      <c r="H3146" t="b">
        <f t="shared" si="99"/>
        <v>1</v>
      </c>
    </row>
    <row r="3147" spans="1:8">
      <c r="A3147" s="395">
        <v>11138</v>
      </c>
      <c r="B3147" s="406" t="s">
        <v>11878</v>
      </c>
      <c r="C3147" s="395" t="s">
        <v>2026</v>
      </c>
      <c r="D3147" s="407">
        <f t="shared" si="98"/>
        <v>4.12</v>
      </c>
      <c r="F3147" s="680">
        <v>4.12</v>
      </c>
      <c r="G3147" s="680">
        <v>4.12</v>
      </c>
      <c r="H3147" t="b">
        <f t="shared" si="99"/>
        <v>1</v>
      </c>
    </row>
    <row r="3148" spans="1:8">
      <c r="A3148" s="396">
        <v>4221</v>
      </c>
      <c r="B3148" s="401" t="s">
        <v>11879</v>
      </c>
      <c r="C3148" s="396" t="s">
        <v>2026</v>
      </c>
      <c r="D3148" s="405">
        <f t="shared" si="98"/>
        <v>6.41</v>
      </c>
      <c r="F3148" s="679">
        <v>6.41</v>
      </c>
      <c r="G3148" s="679">
        <v>6.41</v>
      </c>
      <c r="H3148" t="b">
        <f t="shared" si="99"/>
        <v>1</v>
      </c>
    </row>
    <row r="3149" spans="1:8">
      <c r="A3149" s="395">
        <v>4227</v>
      </c>
      <c r="B3149" s="406" t="s">
        <v>11880</v>
      </c>
      <c r="C3149" s="395" t="s">
        <v>2026</v>
      </c>
      <c r="D3149" s="407">
        <f t="shared" si="98"/>
        <v>26.4</v>
      </c>
      <c r="F3149" s="680">
        <v>26.4</v>
      </c>
      <c r="G3149" s="680">
        <v>26.4</v>
      </c>
      <c r="H3149" t="b">
        <f t="shared" si="99"/>
        <v>1</v>
      </c>
    </row>
    <row r="3150" spans="1:8" ht="30">
      <c r="A3150" s="396">
        <v>38170</v>
      </c>
      <c r="B3150" s="401" t="s">
        <v>11881</v>
      </c>
      <c r="C3150" s="396" t="s">
        <v>2021</v>
      </c>
      <c r="D3150" s="405">
        <f t="shared" si="98"/>
        <v>23.07</v>
      </c>
      <c r="F3150" s="679">
        <v>23.07</v>
      </c>
      <c r="G3150" s="679">
        <v>23.07</v>
      </c>
      <c r="H3150" t="b">
        <f t="shared" si="99"/>
        <v>1</v>
      </c>
    </row>
    <row r="3151" spans="1:8">
      <c r="A3151" s="395">
        <v>4252</v>
      </c>
      <c r="B3151" s="406" t="s">
        <v>11882</v>
      </c>
      <c r="C3151" s="395" t="s">
        <v>2020</v>
      </c>
      <c r="D3151" s="407">
        <f t="shared" si="98"/>
        <v>14.07</v>
      </c>
      <c r="F3151" s="680">
        <v>14.07</v>
      </c>
      <c r="G3151" s="680">
        <v>16.190000000000001</v>
      </c>
      <c r="H3151" t="b">
        <f t="shared" si="99"/>
        <v>0</v>
      </c>
    </row>
    <row r="3152" spans="1:8">
      <c r="A3152" s="396">
        <v>40980</v>
      </c>
      <c r="B3152" s="401" t="s">
        <v>11883</v>
      </c>
      <c r="C3152" s="396" t="s">
        <v>2027</v>
      </c>
      <c r="D3152" s="405">
        <f t="shared" si="98"/>
        <v>2483.15</v>
      </c>
      <c r="F3152" s="679">
        <v>2483.15</v>
      </c>
      <c r="G3152" s="679">
        <v>2860.44</v>
      </c>
      <c r="H3152" t="b">
        <f t="shared" si="99"/>
        <v>0</v>
      </c>
    </row>
    <row r="3153" spans="1:8">
      <c r="A3153" s="395">
        <v>4243</v>
      </c>
      <c r="B3153" s="406" t="s">
        <v>11884</v>
      </c>
      <c r="C3153" s="395" t="s">
        <v>2020</v>
      </c>
      <c r="D3153" s="407">
        <f t="shared" si="98"/>
        <v>12.07</v>
      </c>
      <c r="F3153" s="680">
        <v>12.07</v>
      </c>
      <c r="G3153" s="680">
        <v>13.88</v>
      </c>
      <c r="H3153" t="b">
        <f t="shared" si="99"/>
        <v>0</v>
      </c>
    </row>
    <row r="3154" spans="1:8">
      <c r="A3154" s="396">
        <v>41031</v>
      </c>
      <c r="B3154" s="401" t="s">
        <v>11885</v>
      </c>
      <c r="C3154" s="396" t="s">
        <v>2027</v>
      </c>
      <c r="D3154" s="405">
        <f t="shared" si="98"/>
        <v>2129.59</v>
      </c>
      <c r="F3154" s="679">
        <v>2129.59</v>
      </c>
      <c r="G3154" s="679">
        <v>2453.16</v>
      </c>
      <c r="H3154" t="b">
        <f t="shared" si="99"/>
        <v>0</v>
      </c>
    </row>
    <row r="3155" spans="1:8">
      <c r="A3155" s="395">
        <v>37666</v>
      </c>
      <c r="B3155" s="406" t="s">
        <v>11886</v>
      </c>
      <c r="C3155" s="395" t="s">
        <v>2020</v>
      </c>
      <c r="D3155" s="407">
        <f t="shared" si="98"/>
        <v>11.65</v>
      </c>
      <c r="F3155" s="680">
        <v>11.65</v>
      </c>
      <c r="G3155" s="680">
        <v>13.4</v>
      </c>
      <c r="H3155" t="b">
        <f t="shared" si="99"/>
        <v>0</v>
      </c>
    </row>
    <row r="3156" spans="1:8">
      <c r="A3156" s="396">
        <v>40986</v>
      </c>
      <c r="B3156" s="401" t="s">
        <v>11887</v>
      </c>
      <c r="C3156" s="396" t="s">
        <v>2027</v>
      </c>
      <c r="D3156" s="405">
        <f t="shared" si="98"/>
        <v>2055.12</v>
      </c>
      <c r="F3156" s="679">
        <v>2055.12</v>
      </c>
      <c r="G3156" s="679">
        <v>2367.38</v>
      </c>
      <c r="H3156" t="b">
        <f t="shared" si="99"/>
        <v>0</v>
      </c>
    </row>
    <row r="3157" spans="1:8">
      <c r="A3157" s="395">
        <v>4250</v>
      </c>
      <c r="B3157" s="406" t="s">
        <v>11888</v>
      </c>
      <c r="C3157" s="395" t="s">
        <v>2020</v>
      </c>
      <c r="D3157" s="407">
        <f t="shared" si="98"/>
        <v>12.7</v>
      </c>
      <c r="F3157" s="680">
        <v>12.7</v>
      </c>
      <c r="G3157" s="680">
        <v>14.61</v>
      </c>
      <c r="H3157" t="b">
        <f t="shared" si="99"/>
        <v>0</v>
      </c>
    </row>
    <row r="3158" spans="1:8">
      <c r="A3158" s="396">
        <v>40978</v>
      </c>
      <c r="B3158" s="401" t="s">
        <v>11889</v>
      </c>
      <c r="C3158" s="396" t="s">
        <v>2027</v>
      </c>
      <c r="D3158" s="405">
        <f t="shared" si="98"/>
        <v>2239.81</v>
      </c>
      <c r="F3158" s="679">
        <v>2239.81</v>
      </c>
      <c r="G3158" s="679">
        <v>2580.12</v>
      </c>
      <c r="H3158" t="b">
        <f t="shared" si="99"/>
        <v>0</v>
      </c>
    </row>
    <row r="3159" spans="1:8">
      <c r="A3159" s="395">
        <v>41043</v>
      </c>
      <c r="B3159" s="406" t="s">
        <v>11890</v>
      </c>
      <c r="C3159" s="395" t="s">
        <v>2027</v>
      </c>
      <c r="D3159" s="407">
        <f t="shared" si="98"/>
        <v>2621.0300000000002</v>
      </c>
      <c r="F3159" s="680">
        <v>2621.0300000000002</v>
      </c>
      <c r="G3159" s="680">
        <v>3019.27</v>
      </c>
      <c r="H3159" t="b">
        <f t="shared" si="99"/>
        <v>0</v>
      </c>
    </row>
    <row r="3160" spans="1:8">
      <c r="A3160" s="396">
        <v>44501</v>
      </c>
      <c r="B3160" s="401" t="s">
        <v>11891</v>
      </c>
      <c r="C3160" s="396" t="s">
        <v>2020</v>
      </c>
      <c r="D3160" s="405">
        <f t="shared" si="98"/>
        <v>14.86</v>
      </c>
      <c r="F3160" s="679">
        <v>14.86</v>
      </c>
      <c r="G3160" s="679">
        <v>17.100000000000001</v>
      </c>
      <c r="H3160" t="b">
        <f t="shared" si="99"/>
        <v>0</v>
      </c>
    </row>
    <row r="3161" spans="1:8">
      <c r="A3161" s="395">
        <v>4234</v>
      </c>
      <c r="B3161" s="406" t="s">
        <v>11892</v>
      </c>
      <c r="C3161" s="395" t="s">
        <v>2020</v>
      </c>
      <c r="D3161" s="407">
        <f t="shared" si="98"/>
        <v>16.29</v>
      </c>
      <c r="F3161" s="680">
        <v>16.29</v>
      </c>
      <c r="G3161" s="680">
        <v>18.739999999999998</v>
      </c>
      <c r="H3161" t="b">
        <f t="shared" si="99"/>
        <v>0</v>
      </c>
    </row>
    <row r="3162" spans="1:8">
      <c r="A3162" s="396">
        <v>40987</v>
      </c>
      <c r="B3162" s="401" t="s">
        <v>11893</v>
      </c>
      <c r="C3162" s="396" t="s">
        <v>2027</v>
      </c>
      <c r="D3162" s="405">
        <f t="shared" si="98"/>
        <v>2871.23</v>
      </c>
      <c r="F3162" s="679">
        <v>2871.23</v>
      </c>
      <c r="G3162" s="679">
        <v>3307.49</v>
      </c>
      <c r="H3162" t="b">
        <f t="shared" si="99"/>
        <v>0</v>
      </c>
    </row>
    <row r="3163" spans="1:8">
      <c r="A3163" s="395">
        <v>4253</v>
      </c>
      <c r="B3163" s="406" t="s">
        <v>11894</v>
      </c>
      <c r="C3163" s="395" t="s">
        <v>2020</v>
      </c>
      <c r="D3163" s="407">
        <f t="shared" si="98"/>
        <v>11.7</v>
      </c>
      <c r="F3163" s="680">
        <v>11.7</v>
      </c>
      <c r="G3163" s="680">
        <v>13.47</v>
      </c>
      <c r="H3163" t="b">
        <f t="shared" si="99"/>
        <v>0</v>
      </c>
    </row>
    <row r="3164" spans="1:8">
      <c r="A3164" s="396">
        <v>40981</v>
      </c>
      <c r="B3164" s="401" t="s">
        <v>11895</v>
      </c>
      <c r="C3164" s="396" t="s">
        <v>2027</v>
      </c>
      <c r="D3164" s="405">
        <f t="shared" si="98"/>
        <v>2065.3000000000002</v>
      </c>
      <c r="F3164" s="679">
        <v>2065.3000000000002</v>
      </c>
      <c r="G3164" s="679">
        <v>2379.1</v>
      </c>
      <c r="H3164" t="b">
        <f t="shared" si="99"/>
        <v>0</v>
      </c>
    </row>
    <row r="3165" spans="1:8">
      <c r="A3165" s="395">
        <v>4254</v>
      </c>
      <c r="B3165" s="406" t="s">
        <v>11896</v>
      </c>
      <c r="C3165" s="395" t="s">
        <v>2020</v>
      </c>
      <c r="D3165" s="407">
        <f t="shared" si="98"/>
        <v>11.78</v>
      </c>
      <c r="F3165" s="680">
        <v>11.78</v>
      </c>
      <c r="G3165" s="680">
        <v>13.55</v>
      </c>
      <c r="H3165" t="b">
        <f t="shared" si="99"/>
        <v>0</v>
      </c>
    </row>
    <row r="3166" spans="1:8">
      <c r="A3166" s="396">
        <v>41036</v>
      </c>
      <c r="B3166" s="401" t="s">
        <v>11897</v>
      </c>
      <c r="C3166" s="396" t="s">
        <v>2027</v>
      </c>
      <c r="D3166" s="405">
        <f t="shared" si="98"/>
        <v>2076.63</v>
      </c>
      <c r="F3166" s="679">
        <v>2076.63</v>
      </c>
      <c r="G3166" s="679">
        <v>2392.16</v>
      </c>
      <c r="H3166" t="b">
        <f t="shared" si="99"/>
        <v>0</v>
      </c>
    </row>
    <row r="3167" spans="1:8">
      <c r="A3167" s="395">
        <v>4251</v>
      </c>
      <c r="B3167" s="406" t="s">
        <v>11898</v>
      </c>
      <c r="C3167" s="395" t="s">
        <v>2020</v>
      </c>
      <c r="D3167" s="407">
        <f t="shared" si="98"/>
        <v>14.57</v>
      </c>
      <c r="F3167" s="680">
        <v>14.57</v>
      </c>
      <c r="G3167" s="680">
        <v>16.77</v>
      </c>
      <c r="H3167" t="b">
        <f t="shared" si="99"/>
        <v>0</v>
      </c>
    </row>
    <row r="3168" spans="1:8">
      <c r="A3168" s="396">
        <v>40979</v>
      </c>
      <c r="B3168" s="401" t="s">
        <v>11899</v>
      </c>
      <c r="C3168" s="396" t="s">
        <v>2027</v>
      </c>
      <c r="D3168" s="405">
        <f t="shared" si="98"/>
        <v>2570.4</v>
      </c>
      <c r="F3168" s="679">
        <v>2570.4</v>
      </c>
      <c r="G3168" s="679">
        <v>2960.95</v>
      </c>
      <c r="H3168" t="b">
        <f t="shared" si="99"/>
        <v>0</v>
      </c>
    </row>
    <row r="3169" spans="1:8">
      <c r="A3169" s="395">
        <v>4230</v>
      </c>
      <c r="B3169" s="406" t="s">
        <v>11900</v>
      </c>
      <c r="C3169" s="395" t="s">
        <v>2020</v>
      </c>
      <c r="D3169" s="407">
        <f t="shared" si="98"/>
        <v>12.41</v>
      </c>
      <c r="F3169" s="680">
        <v>12.41</v>
      </c>
      <c r="G3169" s="680">
        <v>14.28</v>
      </c>
      <c r="H3169" t="b">
        <f t="shared" si="99"/>
        <v>0</v>
      </c>
    </row>
    <row r="3170" spans="1:8">
      <c r="A3170" s="396">
        <v>40998</v>
      </c>
      <c r="B3170" s="401" t="s">
        <v>11901</v>
      </c>
      <c r="C3170" s="396" t="s">
        <v>2027</v>
      </c>
      <c r="D3170" s="405">
        <f t="shared" si="98"/>
        <v>2188.7399999999998</v>
      </c>
      <c r="F3170" s="679">
        <v>2188.7399999999998</v>
      </c>
      <c r="G3170" s="679">
        <v>2521.3000000000002</v>
      </c>
      <c r="H3170" t="b">
        <f t="shared" si="99"/>
        <v>0</v>
      </c>
    </row>
    <row r="3171" spans="1:8">
      <c r="A3171" s="395">
        <v>4257</v>
      </c>
      <c r="B3171" s="406" t="s">
        <v>11902</v>
      </c>
      <c r="C3171" s="395" t="s">
        <v>2020</v>
      </c>
      <c r="D3171" s="407">
        <f t="shared" si="98"/>
        <v>9.77</v>
      </c>
      <c r="F3171" s="680">
        <v>9.77</v>
      </c>
      <c r="G3171" s="680">
        <v>11.25</v>
      </c>
      <c r="H3171" t="b">
        <f t="shared" si="99"/>
        <v>0</v>
      </c>
    </row>
    <row r="3172" spans="1:8">
      <c r="A3172" s="396">
        <v>40982</v>
      </c>
      <c r="B3172" s="401" t="s">
        <v>11903</v>
      </c>
      <c r="C3172" s="396" t="s">
        <v>2027</v>
      </c>
      <c r="D3172" s="405">
        <f t="shared" si="98"/>
        <v>1725.48</v>
      </c>
      <c r="F3172" s="679">
        <v>1725.48</v>
      </c>
      <c r="G3172" s="679">
        <v>1987.65</v>
      </c>
      <c r="H3172" t="b">
        <f t="shared" si="99"/>
        <v>0</v>
      </c>
    </row>
    <row r="3173" spans="1:8">
      <c r="A3173" s="395">
        <v>4240</v>
      </c>
      <c r="B3173" s="406" t="s">
        <v>11904</v>
      </c>
      <c r="C3173" s="395" t="s">
        <v>2020</v>
      </c>
      <c r="D3173" s="407">
        <f t="shared" si="98"/>
        <v>15.11</v>
      </c>
      <c r="F3173" s="680">
        <v>15.11</v>
      </c>
      <c r="G3173" s="680">
        <v>17.39</v>
      </c>
      <c r="H3173" t="b">
        <f t="shared" si="99"/>
        <v>0</v>
      </c>
    </row>
    <row r="3174" spans="1:8">
      <c r="A3174" s="396">
        <v>41026</v>
      </c>
      <c r="B3174" s="401" t="s">
        <v>11905</v>
      </c>
      <c r="C3174" s="396" t="s">
        <v>2027</v>
      </c>
      <c r="D3174" s="405">
        <f t="shared" si="98"/>
        <v>2665.71</v>
      </c>
      <c r="F3174" s="679">
        <v>2665.71</v>
      </c>
      <c r="G3174" s="679">
        <v>3070.74</v>
      </c>
      <c r="H3174" t="b">
        <f t="shared" si="99"/>
        <v>0</v>
      </c>
    </row>
    <row r="3175" spans="1:8">
      <c r="A3175" s="395">
        <v>4239</v>
      </c>
      <c r="B3175" s="406" t="s">
        <v>11906</v>
      </c>
      <c r="C3175" s="395" t="s">
        <v>2020</v>
      </c>
      <c r="D3175" s="407">
        <f t="shared" si="98"/>
        <v>18.54</v>
      </c>
      <c r="F3175" s="680">
        <v>18.54</v>
      </c>
      <c r="G3175" s="680">
        <v>21.33</v>
      </c>
      <c r="H3175" t="b">
        <f t="shared" si="99"/>
        <v>0</v>
      </c>
    </row>
    <row r="3176" spans="1:8">
      <c r="A3176" s="396">
        <v>41024</v>
      </c>
      <c r="B3176" s="401" t="s">
        <v>11907</v>
      </c>
      <c r="C3176" s="396" t="s">
        <v>2027</v>
      </c>
      <c r="D3176" s="405">
        <f t="shared" si="98"/>
        <v>3270.33</v>
      </c>
      <c r="F3176" s="679">
        <v>3270.33</v>
      </c>
      <c r="G3176" s="679">
        <v>3767.23</v>
      </c>
      <c r="H3176" t="b">
        <f t="shared" si="99"/>
        <v>0</v>
      </c>
    </row>
    <row r="3177" spans="1:8">
      <c r="A3177" s="395">
        <v>4248</v>
      </c>
      <c r="B3177" s="406" t="s">
        <v>11908</v>
      </c>
      <c r="C3177" s="395" t="s">
        <v>2020</v>
      </c>
      <c r="D3177" s="407">
        <f t="shared" si="98"/>
        <v>13.54</v>
      </c>
      <c r="F3177" s="680">
        <v>13.54</v>
      </c>
      <c r="G3177" s="680">
        <v>15.58</v>
      </c>
      <c r="H3177" t="b">
        <f t="shared" si="99"/>
        <v>0</v>
      </c>
    </row>
    <row r="3178" spans="1:8">
      <c r="A3178" s="396">
        <v>41033</v>
      </c>
      <c r="B3178" s="401" t="s">
        <v>11909</v>
      </c>
      <c r="C3178" s="396" t="s">
        <v>2027</v>
      </c>
      <c r="D3178" s="405">
        <f t="shared" si="98"/>
        <v>2388.19</v>
      </c>
      <c r="F3178" s="679">
        <v>2388.19</v>
      </c>
      <c r="G3178" s="679">
        <v>2751.06</v>
      </c>
      <c r="H3178" t="b">
        <f t="shared" si="99"/>
        <v>0</v>
      </c>
    </row>
    <row r="3179" spans="1:8">
      <c r="A3179" s="395">
        <v>41040</v>
      </c>
      <c r="B3179" s="406" t="s">
        <v>11910</v>
      </c>
      <c r="C3179" s="395" t="s">
        <v>2027</v>
      </c>
      <c r="D3179" s="407">
        <f t="shared" si="98"/>
        <v>2752.08</v>
      </c>
      <c r="F3179" s="680">
        <v>2752.08</v>
      </c>
      <c r="G3179" s="680">
        <v>3170.23</v>
      </c>
      <c r="H3179" t="b">
        <f t="shared" si="99"/>
        <v>0</v>
      </c>
    </row>
    <row r="3180" spans="1:8">
      <c r="A3180" s="396">
        <v>44500</v>
      </c>
      <c r="B3180" s="401" t="s">
        <v>11911</v>
      </c>
      <c r="C3180" s="396" t="s">
        <v>2020</v>
      </c>
      <c r="D3180" s="405">
        <f t="shared" si="98"/>
        <v>15.6</v>
      </c>
      <c r="F3180" s="679">
        <v>15.6</v>
      </c>
      <c r="G3180" s="679">
        <v>17.95</v>
      </c>
      <c r="H3180" t="b">
        <f t="shared" si="99"/>
        <v>0</v>
      </c>
    </row>
    <row r="3181" spans="1:8">
      <c r="A3181" s="395">
        <v>4238</v>
      </c>
      <c r="B3181" s="406" t="s">
        <v>11912</v>
      </c>
      <c r="C3181" s="395" t="s">
        <v>2020</v>
      </c>
      <c r="D3181" s="407">
        <f t="shared" si="98"/>
        <v>12.41</v>
      </c>
      <c r="F3181" s="680">
        <v>12.41</v>
      </c>
      <c r="G3181" s="680">
        <v>14.28</v>
      </c>
      <c r="H3181" t="b">
        <f t="shared" si="99"/>
        <v>0</v>
      </c>
    </row>
    <row r="3182" spans="1:8">
      <c r="A3182" s="396">
        <v>41012</v>
      </c>
      <c r="B3182" s="401" t="s">
        <v>11913</v>
      </c>
      <c r="C3182" s="396" t="s">
        <v>2027</v>
      </c>
      <c r="D3182" s="405">
        <f t="shared" si="98"/>
        <v>2188.7399999999998</v>
      </c>
      <c r="F3182" s="679">
        <v>2188.7399999999998</v>
      </c>
      <c r="G3182" s="679">
        <v>2521.3000000000002</v>
      </c>
      <c r="H3182" t="b">
        <f t="shared" si="99"/>
        <v>0</v>
      </c>
    </row>
    <row r="3183" spans="1:8">
      <c r="A3183" s="395">
        <v>4237</v>
      </c>
      <c r="B3183" s="406" t="s">
        <v>11914</v>
      </c>
      <c r="C3183" s="395" t="s">
        <v>2020</v>
      </c>
      <c r="D3183" s="407">
        <f t="shared" si="98"/>
        <v>12.5</v>
      </c>
      <c r="F3183" s="680">
        <v>12.5</v>
      </c>
      <c r="G3183" s="680">
        <v>14.38</v>
      </c>
      <c r="H3183" t="b">
        <f t="shared" si="99"/>
        <v>0</v>
      </c>
    </row>
    <row r="3184" spans="1:8">
      <c r="A3184" s="396">
        <v>41002</v>
      </c>
      <c r="B3184" s="401" t="s">
        <v>11915</v>
      </c>
      <c r="C3184" s="396" t="s">
        <v>2027</v>
      </c>
      <c r="D3184" s="405">
        <f t="shared" si="98"/>
        <v>2205.9699999999998</v>
      </c>
      <c r="F3184" s="679">
        <v>2205.9699999999998</v>
      </c>
      <c r="G3184" s="679">
        <v>2541.15</v>
      </c>
      <c r="H3184" t="b">
        <f t="shared" si="99"/>
        <v>0</v>
      </c>
    </row>
    <row r="3185" spans="1:8">
      <c r="A3185" s="395">
        <v>4233</v>
      </c>
      <c r="B3185" s="406" t="s">
        <v>11916</v>
      </c>
      <c r="C3185" s="395" t="s">
        <v>2020</v>
      </c>
      <c r="D3185" s="407">
        <f t="shared" si="98"/>
        <v>13.4</v>
      </c>
      <c r="F3185" s="680">
        <v>13.4</v>
      </c>
      <c r="G3185" s="680">
        <v>15.42</v>
      </c>
      <c r="H3185" t="b">
        <f t="shared" si="99"/>
        <v>0</v>
      </c>
    </row>
    <row r="3186" spans="1:8">
      <c r="A3186" s="396">
        <v>41001</v>
      </c>
      <c r="B3186" s="401" t="s">
        <v>11917</v>
      </c>
      <c r="C3186" s="396" t="s">
        <v>2027</v>
      </c>
      <c r="D3186" s="405">
        <f t="shared" si="98"/>
        <v>2363.39</v>
      </c>
      <c r="F3186" s="679">
        <v>2363.39</v>
      </c>
      <c r="G3186" s="679">
        <v>2722.49</v>
      </c>
      <c r="H3186" t="b">
        <f t="shared" si="99"/>
        <v>0</v>
      </c>
    </row>
    <row r="3187" spans="1:8">
      <c r="A3187" s="395">
        <v>2</v>
      </c>
      <c r="B3187" s="406" t="s">
        <v>11918</v>
      </c>
      <c r="C3187" s="395" t="s">
        <v>2022</v>
      </c>
      <c r="D3187" s="407">
        <f t="shared" si="98"/>
        <v>24.09</v>
      </c>
      <c r="F3187" s="680">
        <v>24.09</v>
      </c>
      <c r="G3187" s="680">
        <v>24.09</v>
      </c>
      <c r="H3187" t="b">
        <f t="shared" si="99"/>
        <v>1</v>
      </c>
    </row>
    <row r="3188" spans="1:8" ht="30">
      <c r="A3188" s="396">
        <v>36517</v>
      </c>
      <c r="B3188" s="401" t="s">
        <v>11919</v>
      </c>
      <c r="C3188" s="396" t="s">
        <v>2021</v>
      </c>
      <c r="D3188" s="405">
        <f t="shared" si="98"/>
        <v>603840</v>
      </c>
      <c r="F3188" s="679">
        <v>603840</v>
      </c>
      <c r="G3188" s="679">
        <v>603840</v>
      </c>
      <c r="H3188" t="b">
        <f t="shared" si="99"/>
        <v>1</v>
      </c>
    </row>
    <row r="3189" spans="1:8" ht="30">
      <c r="A3189" s="395">
        <v>4262</v>
      </c>
      <c r="B3189" s="406" t="s">
        <v>11920</v>
      </c>
      <c r="C3189" s="395" t="s">
        <v>2021</v>
      </c>
      <c r="D3189" s="407">
        <f t="shared" si="98"/>
        <v>680000</v>
      </c>
      <c r="F3189" s="680">
        <v>680000</v>
      </c>
      <c r="G3189" s="680">
        <v>680000</v>
      </c>
      <c r="H3189" t="b">
        <f t="shared" si="99"/>
        <v>1</v>
      </c>
    </row>
    <row r="3190" spans="1:8" ht="30">
      <c r="A3190" s="396">
        <v>4263</v>
      </c>
      <c r="B3190" s="401" t="s">
        <v>11921</v>
      </c>
      <c r="C3190" s="396" t="s">
        <v>2021</v>
      </c>
      <c r="D3190" s="405">
        <f t="shared" si="98"/>
        <v>942933.28</v>
      </c>
      <c r="F3190" s="679">
        <v>942933.28</v>
      </c>
      <c r="G3190" s="679">
        <v>942933.28</v>
      </c>
      <c r="H3190" t="b">
        <f t="shared" si="99"/>
        <v>1</v>
      </c>
    </row>
    <row r="3191" spans="1:8" ht="30">
      <c r="A3191" s="395">
        <v>36518</v>
      </c>
      <c r="B3191" s="406" t="s">
        <v>11922</v>
      </c>
      <c r="C3191" s="395" t="s">
        <v>2021</v>
      </c>
      <c r="D3191" s="407">
        <f t="shared" si="98"/>
        <v>1073493.28</v>
      </c>
      <c r="F3191" s="680">
        <v>1073493.28</v>
      </c>
      <c r="G3191" s="680">
        <v>1073493.28</v>
      </c>
      <c r="H3191" t="b">
        <f t="shared" si="99"/>
        <v>1</v>
      </c>
    </row>
    <row r="3192" spans="1:8" ht="30">
      <c r="A3192" s="396">
        <v>14221</v>
      </c>
      <c r="B3192" s="401" t="s">
        <v>11923</v>
      </c>
      <c r="C3192" s="396" t="s">
        <v>2021</v>
      </c>
      <c r="D3192" s="405">
        <f t="shared" si="98"/>
        <v>626506.64</v>
      </c>
      <c r="F3192" s="679">
        <v>626506.64</v>
      </c>
      <c r="G3192" s="679">
        <v>626506.64</v>
      </c>
      <c r="H3192" t="b">
        <f t="shared" si="99"/>
        <v>1</v>
      </c>
    </row>
    <row r="3193" spans="1:8">
      <c r="A3193" s="395">
        <v>38402</v>
      </c>
      <c r="B3193" s="406" t="s">
        <v>11924</v>
      </c>
      <c r="C3193" s="395" t="s">
        <v>2021</v>
      </c>
      <c r="D3193" s="407">
        <f t="shared" si="98"/>
        <v>18.82</v>
      </c>
      <c r="F3193" s="680">
        <v>18.82</v>
      </c>
      <c r="G3193" s="680">
        <v>18.82</v>
      </c>
      <c r="H3193" t="b">
        <f t="shared" si="99"/>
        <v>1</v>
      </c>
    </row>
    <row r="3194" spans="1:8">
      <c r="A3194" s="396">
        <v>3412</v>
      </c>
      <c r="B3194" s="401" t="s">
        <v>11925</v>
      </c>
      <c r="C3194" s="396" t="s">
        <v>2023</v>
      </c>
      <c r="D3194" s="405">
        <f t="shared" si="98"/>
        <v>20.55</v>
      </c>
      <c r="F3194" s="679">
        <v>20.55</v>
      </c>
      <c r="G3194" s="679">
        <v>20.55</v>
      </c>
      <c r="H3194" t="b">
        <f t="shared" si="99"/>
        <v>1</v>
      </c>
    </row>
    <row r="3195" spans="1:8">
      <c r="A3195" s="395">
        <v>3413</v>
      </c>
      <c r="B3195" s="406" t="s">
        <v>11926</v>
      </c>
      <c r="C3195" s="395" t="s">
        <v>2023</v>
      </c>
      <c r="D3195" s="407">
        <f t="shared" si="98"/>
        <v>46.28</v>
      </c>
      <c r="F3195" s="680">
        <v>46.28</v>
      </c>
      <c r="G3195" s="680">
        <v>46.28</v>
      </c>
      <c r="H3195" t="b">
        <f t="shared" si="99"/>
        <v>1</v>
      </c>
    </row>
    <row r="3196" spans="1:8">
      <c r="A3196" s="396">
        <v>39744</v>
      </c>
      <c r="B3196" s="401" t="s">
        <v>11927</v>
      </c>
      <c r="C3196" s="396" t="s">
        <v>2023</v>
      </c>
      <c r="D3196" s="405">
        <f t="shared" si="98"/>
        <v>35.93</v>
      </c>
      <c r="F3196" s="679">
        <v>35.93</v>
      </c>
      <c r="G3196" s="679">
        <v>35.93</v>
      </c>
      <c r="H3196" t="b">
        <f t="shared" si="99"/>
        <v>1</v>
      </c>
    </row>
    <row r="3197" spans="1:8">
      <c r="A3197" s="395">
        <v>39745</v>
      </c>
      <c r="B3197" s="406" t="s">
        <v>11928</v>
      </c>
      <c r="C3197" s="395" t="s">
        <v>2023</v>
      </c>
      <c r="D3197" s="407">
        <f t="shared" si="98"/>
        <v>75.84</v>
      </c>
      <c r="F3197" s="680">
        <v>75.84</v>
      </c>
      <c r="G3197" s="680">
        <v>75.84</v>
      </c>
      <c r="H3197" t="b">
        <f t="shared" si="99"/>
        <v>1</v>
      </c>
    </row>
    <row r="3198" spans="1:8">
      <c r="A3198" s="396">
        <v>39637</v>
      </c>
      <c r="B3198" s="401" t="s">
        <v>11929</v>
      </c>
      <c r="C3198" s="396" t="s">
        <v>2023</v>
      </c>
      <c r="D3198" s="405">
        <f t="shared" si="98"/>
        <v>118.1</v>
      </c>
      <c r="F3198" s="679">
        <v>118.1</v>
      </c>
      <c r="G3198" s="679">
        <v>118.1</v>
      </c>
      <c r="H3198" t="b">
        <f t="shared" si="99"/>
        <v>1</v>
      </c>
    </row>
    <row r="3199" spans="1:8">
      <c r="A3199" s="395">
        <v>39638</v>
      </c>
      <c r="B3199" s="406" t="s">
        <v>11930</v>
      </c>
      <c r="C3199" s="395" t="s">
        <v>2023</v>
      </c>
      <c r="D3199" s="407">
        <f t="shared" si="98"/>
        <v>133.63999999999999</v>
      </c>
      <c r="F3199" s="680">
        <v>133.63999999999999</v>
      </c>
      <c r="G3199" s="680">
        <v>133.63999999999999</v>
      </c>
      <c r="H3199" t="b">
        <f t="shared" si="99"/>
        <v>1</v>
      </c>
    </row>
    <row r="3200" spans="1:8">
      <c r="A3200" s="396">
        <v>39639</v>
      </c>
      <c r="B3200" s="401" t="s">
        <v>11931</v>
      </c>
      <c r="C3200" s="396" t="s">
        <v>2023</v>
      </c>
      <c r="D3200" s="405">
        <f t="shared" si="98"/>
        <v>201.63</v>
      </c>
      <c r="F3200" s="679">
        <v>201.63</v>
      </c>
      <c r="G3200" s="679">
        <v>201.63</v>
      </c>
      <c r="H3200" t="b">
        <f t="shared" si="99"/>
        <v>1</v>
      </c>
    </row>
    <row r="3201" spans="1:8" ht="45">
      <c r="A3201" s="395">
        <v>39517</v>
      </c>
      <c r="B3201" s="406" t="s">
        <v>11932</v>
      </c>
      <c r="C3201" s="395" t="s">
        <v>2023</v>
      </c>
      <c r="D3201" s="407">
        <f t="shared" si="98"/>
        <v>223.23</v>
      </c>
      <c r="F3201" s="680">
        <v>223.23</v>
      </c>
      <c r="G3201" s="680">
        <v>223.23</v>
      </c>
      <c r="H3201" t="b">
        <f t="shared" si="99"/>
        <v>1</v>
      </c>
    </row>
    <row r="3202" spans="1:8" ht="45">
      <c r="A3202" s="396">
        <v>39518</v>
      </c>
      <c r="B3202" s="401" t="s">
        <v>11933</v>
      </c>
      <c r="C3202" s="396" t="s">
        <v>2023</v>
      </c>
      <c r="D3202" s="405">
        <f t="shared" si="98"/>
        <v>264.64</v>
      </c>
      <c r="F3202" s="679">
        <v>264.64</v>
      </c>
      <c r="G3202" s="679">
        <v>264.64</v>
      </c>
      <c r="H3202" t="b">
        <f t="shared" si="99"/>
        <v>1</v>
      </c>
    </row>
    <row r="3203" spans="1:8">
      <c r="A3203" s="395">
        <v>38366</v>
      </c>
      <c r="B3203" s="406" t="s">
        <v>11934</v>
      </c>
      <c r="C3203" s="395" t="s">
        <v>2023</v>
      </c>
      <c r="D3203" s="407">
        <f t="shared" ref="D3203:D3266" si="100">IF($J$2=$F$1,F3203,G3203)</f>
        <v>6.16</v>
      </c>
      <c r="F3203" s="680">
        <v>6.16</v>
      </c>
      <c r="G3203" s="680">
        <v>6.16</v>
      </c>
      <c r="H3203" t="b">
        <f t="shared" ref="H3203:H3266" si="101">F3203=G3203</f>
        <v>1</v>
      </c>
    </row>
    <row r="3204" spans="1:8">
      <c r="A3204" s="396">
        <v>11703</v>
      </c>
      <c r="B3204" s="401" t="s">
        <v>11935</v>
      </c>
      <c r="C3204" s="396" t="s">
        <v>2021</v>
      </c>
      <c r="D3204" s="405">
        <f t="shared" si="100"/>
        <v>37.9</v>
      </c>
      <c r="F3204" s="679">
        <v>37.9</v>
      </c>
      <c r="G3204" s="679">
        <v>37.9</v>
      </c>
      <c r="H3204" t="b">
        <f t="shared" si="101"/>
        <v>1</v>
      </c>
    </row>
    <row r="3205" spans="1:8">
      <c r="A3205" s="395">
        <v>37400</v>
      </c>
      <c r="B3205" s="406" t="s">
        <v>11936</v>
      </c>
      <c r="C3205" s="395" t="s">
        <v>2021</v>
      </c>
      <c r="D3205" s="407">
        <f t="shared" si="100"/>
        <v>67.44</v>
      </c>
      <c r="F3205" s="680">
        <v>67.44</v>
      </c>
      <c r="G3205" s="680">
        <v>67.44</v>
      </c>
      <c r="H3205" t="b">
        <f t="shared" si="101"/>
        <v>1</v>
      </c>
    </row>
    <row r="3206" spans="1:8" ht="30">
      <c r="A3206" s="396">
        <v>25400</v>
      </c>
      <c r="B3206" s="401" t="s">
        <v>11937</v>
      </c>
      <c r="C3206" s="396" t="s">
        <v>2021</v>
      </c>
      <c r="D3206" s="405">
        <f t="shared" si="100"/>
        <v>4438.1000000000004</v>
      </c>
      <c r="F3206" s="679">
        <v>4438.1000000000004</v>
      </c>
      <c r="G3206" s="679">
        <v>4438.1000000000004</v>
      </c>
      <c r="H3206" t="b">
        <f t="shared" si="101"/>
        <v>1</v>
      </c>
    </row>
    <row r="3207" spans="1:8">
      <c r="A3207" s="395">
        <v>4276</v>
      </c>
      <c r="B3207" s="406" t="s">
        <v>11938</v>
      </c>
      <c r="C3207" s="395" t="s">
        <v>2021</v>
      </c>
      <c r="D3207" s="407">
        <f t="shared" si="100"/>
        <v>222.09</v>
      </c>
      <c r="F3207" s="680">
        <v>222.09</v>
      </c>
      <c r="G3207" s="680">
        <v>222.09</v>
      </c>
      <c r="H3207" t="b">
        <f t="shared" si="101"/>
        <v>1</v>
      </c>
    </row>
    <row r="3208" spans="1:8">
      <c r="A3208" s="396">
        <v>4273</v>
      </c>
      <c r="B3208" s="401" t="s">
        <v>11939</v>
      </c>
      <c r="C3208" s="396" t="s">
        <v>2021</v>
      </c>
      <c r="D3208" s="405">
        <f t="shared" si="100"/>
        <v>403.24</v>
      </c>
      <c r="F3208" s="679">
        <v>403.24</v>
      </c>
      <c r="G3208" s="679">
        <v>403.24</v>
      </c>
      <c r="H3208" t="b">
        <f t="shared" si="101"/>
        <v>1</v>
      </c>
    </row>
    <row r="3209" spans="1:8" ht="30">
      <c r="A3209" s="395">
        <v>4274</v>
      </c>
      <c r="B3209" s="406" t="s">
        <v>11940</v>
      </c>
      <c r="C3209" s="395" t="s">
        <v>2021</v>
      </c>
      <c r="D3209" s="407">
        <f t="shared" si="100"/>
        <v>147.52000000000001</v>
      </c>
      <c r="F3209" s="680">
        <v>147.52000000000001</v>
      </c>
      <c r="G3209" s="680">
        <v>147.52000000000001</v>
      </c>
      <c r="H3209" t="b">
        <f t="shared" si="101"/>
        <v>1</v>
      </c>
    </row>
    <row r="3210" spans="1:8" ht="30">
      <c r="A3210" s="396">
        <v>39438</v>
      </c>
      <c r="B3210" s="401" t="s">
        <v>11941</v>
      </c>
      <c r="C3210" s="396" t="s">
        <v>2021</v>
      </c>
      <c r="D3210" s="405">
        <f t="shared" si="100"/>
        <v>0.27</v>
      </c>
      <c r="F3210" s="679">
        <v>0.27</v>
      </c>
      <c r="G3210" s="679">
        <v>0.27</v>
      </c>
      <c r="H3210" t="b">
        <f t="shared" si="101"/>
        <v>1</v>
      </c>
    </row>
    <row r="3211" spans="1:8">
      <c r="A3211" s="395">
        <v>11963</v>
      </c>
      <c r="B3211" s="406" t="s">
        <v>11942</v>
      </c>
      <c r="C3211" s="395" t="s">
        <v>2021</v>
      </c>
      <c r="D3211" s="407">
        <f t="shared" si="100"/>
        <v>10.050000000000001</v>
      </c>
      <c r="F3211" s="680">
        <v>10.050000000000001</v>
      </c>
      <c r="G3211" s="680">
        <v>10.050000000000001</v>
      </c>
      <c r="H3211" t="b">
        <f t="shared" si="101"/>
        <v>1</v>
      </c>
    </row>
    <row r="3212" spans="1:8">
      <c r="A3212" s="396">
        <v>11964</v>
      </c>
      <c r="B3212" s="401" t="s">
        <v>11943</v>
      </c>
      <c r="C3212" s="396" t="s">
        <v>2021</v>
      </c>
      <c r="D3212" s="405">
        <f t="shared" si="100"/>
        <v>2.5299999999999998</v>
      </c>
      <c r="F3212" s="679">
        <v>2.5299999999999998</v>
      </c>
      <c r="G3212" s="679">
        <v>2.5299999999999998</v>
      </c>
      <c r="H3212" t="b">
        <f t="shared" si="101"/>
        <v>1</v>
      </c>
    </row>
    <row r="3213" spans="1:8" ht="30">
      <c r="A3213" s="395">
        <v>4379</v>
      </c>
      <c r="B3213" s="406" t="s">
        <v>11944</v>
      </c>
      <c r="C3213" s="395" t="s">
        <v>2021</v>
      </c>
      <c r="D3213" s="407">
        <f t="shared" si="100"/>
        <v>0.05</v>
      </c>
      <c r="F3213" s="680">
        <v>0.05</v>
      </c>
      <c r="G3213" s="680">
        <v>0.05</v>
      </c>
      <c r="H3213" t="b">
        <f t="shared" si="101"/>
        <v>1</v>
      </c>
    </row>
    <row r="3214" spans="1:8">
      <c r="A3214" s="396">
        <v>4377</v>
      </c>
      <c r="B3214" s="401" t="s">
        <v>11945</v>
      </c>
      <c r="C3214" s="396" t="s">
        <v>2021</v>
      </c>
      <c r="D3214" s="405">
        <f t="shared" si="100"/>
        <v>0.19</v>
      </c>
      <c r="F3214" s="679">
        <v>0.19</v>
      </c>
      <c r="G3214" s="679">
        <v>0.19</v>
      </c>
      <c r="H3214" t="b">
        <f t="shared" si="101"/>
        <v>1</v>
      </c>
    </row>
    <row r="3215" spans="1:8">
      <c r="A3215" s="395">
        <v>4356</v>
      </c>
      <c r="B3215" s="406" t="s">
        <v>11946</v>
      </c>
      <c r="C3215" s="395" t="s">
        <v>2021</v>
      </c>
      <c r="D3215" s="407">
        <f t="shared" si="100"/>
        <v>0.27</v>
      </c>
      <c r="F3215" s="680">
        <v>0.27</v>
      </c>
      <c r="G3215" s="680">
        <v>0.27</v>
      </c>
      <c r="H3215" t="b">
        <f t="shared" si="101"/>
        <v>1</v>
      </c>
    </row>
    <row r="3216" spans="1:8" ht="30">
      <c r="A3216" s="396">
        <v>13246</v>
      </c>
      <c r="B3216" s="401" t="s">
        <v>11947</v>
      </c>
      <c r="C3216" s="396" t="s">
        <v>2021</v>
      </c>
      <c r="D3216" s="405">
        <f t="shared" si="100"/>
        <v>0.48</v>
      </c>
      <c r="F3216" s="679">
        <v>0.48</v>
      </c>
      <c r="G3216" s="679">
        <v>0.48</v>
      </c>
      <c r="H3216" t="b">
        <f t="shared" si="101"/>
        <v>1</v>
      </c>
    </row>
    <row r="3217" spans="1:8" ht="30">
      <c r="A3217" s="395">
        <v>4346</v>
      </c>
      <c r="B3217" s="406" t="s">
        <v>11948</v>
      </c>
      <c r="C3217" s="395" t="s">
        <v>2021</v>
      </c>
      <c r="D3217" s="407">
        <f t="shared" si="100"/>
        <v>10.77</v>
      </c>
      <c r="F3217" s="680">
        <v>10.77</v>
      </c>
      <c r="G3217" s="680">
        <v>10.77</v>
      </c>
      <c r="H3217" t="b">
        <f t="shared" si="101"/>
        <v>1</v>
      </c>
    </row>
    <row r="3218" spans="1:8" ht="30">
      <c r="A3218" s="396">
        <v>11955</v>
      </c>
      <c r="B3218" s="401" t="s">
        <v>11949</v>
      </c>
      <c r="C3218" s="396" t="s">
        <v>2021</v>
      </c>
      <c r="D3218" s="405">
        <f t="shared" si="100"/>
        <v>4.71</v>
      </c>
      <c r="F3218" s="679">
        <v>4.71</v>
      </c>
      <c r="G3218" s="679">
        <v>4.71</v>
      </c>
      <c r="H3218" t="b">
        <f t="shared" si="101"/>
        <v>1</v>
      </c>
    </row>
    <row r="3219" spans="1:8">
      <c r="A3219" s="395">
        <v>11960</v>
      </c>
      <c r="B3219" s="406" t="s">
        <v>11950</v>
      </c>
      <c r="C3219" s="395" t="s">
        <v>2021</v>
      </c>
      <c r="D3219" s="407">
        <f t="shared" si="100"/>
        <v>0.15</v>
      </c>
      <c r="F3219" s="680">
        <v>0.15</v>
      </c>
      <c r="G3219" s="680">
        <v>0.15</v>
      </c>
      <c r="H3219" t="b">
        <f t="shared" si="101"/>
        <v>1</v>
      </c>
    </row>
    <row r="3220" spans="1:8">
      <c r="A3220" s="396">
        <v>4333</v>
      </c>
      <c r="B3220" s="401" t="s">
        <v>11951</v>
      </c>
      <c r="C3220" s="396" t="s">
        <v>2021</v>
      </c>
      <c r="D3220" s="405">
        <f t="shared" si="100"/>
        <v>0.27</v>
      </c>
      <c r="F3220" s="679">
        <v>0.27</v>
      </c>
      <c r="G3220" s="679">
        <v>0.27</v>
      </c>
      <c r="H3220" t="b">
        <f t="shared" si="101"/>
        <v>1</v>
      </c>
    </row>
    <row r="3221" spans="1:8">
      <c r="A3221" s="395">
        <v>4358</v>
      </c>
      <c r="B3221" s="406" t="s">
        <v>11952</v>
      </c>
      <c r="C3221" s="395" t="s">
        <v>2021</v>
      </c>
      <c r="D3221" s="407">
        <f t="shared" si="100"/>
        <v>2.15</v>
      </c>
      <c r="F3221" s="680">
        <v>2.15</v>
      </c>
      <c r="G3221" s="680">
        <v>2.15</v>
      </c>
      <c r="H3221" t="b">
        <f t="shared" si="101"/>
        <v>1</v>
      </c>
    </row>
    <row r="3222" spans="1:8">
      <c r="A3222" s="396">
        <v>39435</v>
      </c>
      <c r="B3222" s="401" t="s">
        <v>11953</v>
      </c>
      <c r="C3222" s="396" t="s">
        <v>2021</v>
      </c>
      <c r="D3222" s="405">
        <f t="shared" si="100"/>
        <v>0.11</v>
      </c>
      <c r="F3222" s="679">
        <v>0.11</v>
      </c>
      <c r="G3222" s="679">
        <v>0.11</v>
      </c>
      <c r="H3222" t="b">
        <f t="shared" si="101"/>
        <v>1</v>
      </c>
    </row>
    <row r="3223" spans="1:8">
      <c r="A3223" s="395">
        <v>39436</v>
      </c>
      <c r="B3223" s="406" t="s">
        <v>11954</v>
      </c>
      <c r="C3223" s="395" t="s">
        <v>2021</v>
      </c>
      <c r="D3223" s="407">
        <f t="shared" si="100"/>
        <v>0.18</v>
      </c>
      <c r="F3223" s="680">
        <v>0.18</v>
      </c>
      <c r="G3223" s="680">
        <v>0.18</v>
      </c>
      <c r="H3223" t="b">
        <f t="shared" si="101"/>
        <v>1</v>
      </c>
    </row>
    <row r="3224" spans="1:8">
      <c r="A3224" s="396">
        <v>39437</v>
      </c>
      <c r="B3224" s="401" t="s">
        <v>11955</v>
      </c>
      <c r="C3224" s="396" t="s">
        <v>2021</v>
      </c>
      <c r="D3224" s="405">
        <f t="shared" si="100"/>
        <v>0.24</v>
      </c>
      <c r="F3224" s="679">
        <v>0.24</v>
      </c>
      <c r="G3224" s="679">
        <v>0.24</v>
      </c>
      <c r="H3224" t="b">
        <f t="shared" si="101"/>
        <v>1</v>
      </c>
    </row>
    <row r="3225" spans="1:8">
      <c r="A3225" s="395">
        <v>39439</v>
      </c>
      <c r="B3225" s="406" t="s">
        <v>11956</v>
      </c>
      <c r="C3225" s="395" t="s">
        <v>2021</v>
      </c>
      <c r="D3225" s="407">
        <f t="shared" si="100"/>
        <v>0.16</v>
      </c>
      <c r="F3225" s="680">
        <v>0.16</v>
      </c>
      <c r="G3225" s="680">
        <v>0.16</v>
      </c>
      <c r="H3225" t="b">
        <f t="shared" si="101"/>
        <v>1</v>
      </c>
    </row>
    <row r="3226" spans="1:8">
      <c r="A3226" s="396">
        <v>39440</v>
      </c>
      <c r="B3226" s="401" t="s">
        <v>11957</v>
      </c>
      <c r="C3226" s="396" t="s">
        <v>2021</v>
      </c>
      <c r="D3226" s="405">
        <f t="shared" si="100"/>
        <v>0.21</v>
      </c>
      <c r="F3226" s="679">
        <v>0.21</v>
      </c>
      <c r="G3226" s="679">
        <v>0.21</v>
      </c>
      <c r="H3226" t="b">
        <f t="shared" si="101"/>
        <v>1</v>
      </c>
    </row>
    <row r="3227" spans="1:8">
      <c r="A3227" s="395">
        <v>39441</v>
      </c>
      <c r="B3227" s="406" t="s">
        <v>11958</v>
      </c>
      <c r="C3227" s="395" t="s">
        <v>2021</v>
      </c>
      <c r="D3227" s="407">
        <f t="shared" si="100"/>
        <v>0.27</v>
      </c>
      <c r="F3227" s="680">
        <v>0.27</v>
      </c>
      <c r="G3227" s="680">
        <v>0.27</v>
      </c>
      <c r="H3227" t="b">
        <f t="shared" si="101"/>
        <v>1</v>
      </c>
    </row>
    <row r="3228" spans="1:8">
      <c r="A3228" s="396">
        <v>39442</v>
      </c>
      <c r="B3228" s="401" t="s">
        <v>11959</v>
      </c>
      <c r="C3228" s="396" t="s">
        <v>2021</v>
      </c>
      <c r="D3228" s="405">
        <f t="shared" si="100"/>
        <v>0.19</v>
      </c>
      <c r="F3228" s="679">
        <v>0.19</v>
      </c>
      <c r="G3228" s="679">
        <v>0.19</v>
      </c>
      <c r="H3228" t="b">
        <f t="shared" si="101"/>
        <v>1</v>
      </c>
    </row>
    <row r="3229" spans="1:8">
      <c r="A3229" s="395">
        <v>39443</v>
      </c>
      <c r="B3229" s="406" t="s">
        <v>11960</v>
      </c>
      <c r="C3229" s="395" t="s">
        <v>2021</v>
      </c>
      <c r="D3229" s="407">
        <f t="shared" si="100"/>
        <v>0.25</v>
      </c>
      <c r="F3229" s="680">
        <v>0.25</v>
      </c>
      <c r="G3229" s="680">
        <v>0.25</v>
      </c>
      <c r="H3229" t="b">
        <f t="shared" si="101"/>
        <v>1</v>
      </c>
    </row>
    <row r="3230" spans="1:8">
      <c r="A3230" s="396">
        <v>4329</v>
      </c>
      <c r="B3230" s="401" t="s">
        <v>11961</v>
      </c>
      <c r="C3230" s="396" t="s">
        <v>2021</v>
      </c>
      <c r="D3230" s="405">
        <f t="shared" si="100"/>
        <v>2.2999999999999998</v>
      </c>
      <c r="F3230" s="679">
        <v>2.2999999999999998</v>
      </c>
      <c r="G3230" s="679">
        <v>2.2999999999999998</v>
      </c>
      <c r="H3230" t="b">
        <f t="shared" si="101"/>
        <v>1</v>
      </c>
    </row>
    <row r="3231" spans="1:8" ht="30">
      <c r="A3231" s="395">
        <v>4383</v>
      </c>
      <c r="B3231" s="406" t="s">
        <v>11962</v>
      </c>
      <c r="C3231" s="395" t="s">
        <v>2021</v>
      </c>
      <c r="D3231" s="407">
        <f t="shared" si="100"/>
        <v>20.8</v>
      </c>
      <c r="F3231" s="680">
        <v>20.8</v>
      </c>
      <c r="G3231" s="680">
        <v>20.8</v>
      </c>
      <c r="H3231" t="b">
        <f t="shared" si="101"/>
        <v>1</v>
      </c>
    </row>
    <row r="3232" spans="1:8" ht="30">
      <c r="A3232" s="396">
        <v>4344</v>
      </c>
      <c r="B3232" s="401" t="s">
        <v>11963</v>
      </c>
      <c r="C3232" s="396" t="s">
        <v>2021</v>
      </c>
      <c r="D3232" s="405">
        <f t="shared" si="100"/>
        <v>21.8</v>
      </c>
      <c r="F3232" s="679">
        <v>21.8</v>
      </c>
      <c r="G3232" s="679">
        <v>21.8</v>
      </c>
      <c r="H3232" t="b">
        <f t="shared" si="101"/>
        <v>1</v>
      </c>
    </row>
    <row r="3233" spans="1:8">
      <c r="A3233" s="395">
        <v>436</v>
      </c>
      <c r="B3233" s="406" t="s">
        <v>11964</v>
      </c>
      <c r="C3233" s="395" t="s">
        <v>2021</v>
      </c>
      <c r="D3233" s="407">
        <f t="shared" si="100"/>
        <v>12.64</v>
      </c>
      <c r="F3233" s="680">
        <v>12.64</v>
      </c>
      <c r="G3233" s="680">
        <v>12.64</v>
      </c>
      <c r="H3233" t="b">
        <f t="shared" si="101"/>
        <v>1</v>
      </c>
    </row>
    <row r="3234" spans="1:8">
      <c r="A3234" s="396">
        <v>442</v>
      </c>
      <c r="B3234" s="401" t="s">
        <v>11965</v>
      </c>
      <c r="C3234" s="396" t="s">
        <v>2021</v>
      </c>
      <c r="D3234" s="405">
        <f t="shared" si="100"/>
        <v>7.48</v>
      </c>
      <c r="F3234" s="679">
        <v>7.48</v>
      </c>
      <c r="G3234" s="679">
        <v>7.48</v>
      </c>
      <c r="H3234" t="b">
        <f t="shared" si="101"/>
        <v>1</v>
      </c>
    </row>
    <row r="3235" spans="1:8">
      <c r="A3235" s="395">
        <v>11953</v>
      </c>
      <c r="B3235" s="406" t="s">
        <v>11966</v>
      </c>
      <c r="C3235" s="395" t="s">
        <v>2021</v>
      </c>
      <c r="D3235" s="407">
        <f t="shared" si="100"/>
        <v>3.45</v>
      </c>
      <c r="F3235" s="680">
        <v>3.45</v>
      </c>
      <c r="G3235" s="680">
        <v>3.45</v>
      </c>
      <c r="H3235" t="b">
        <f t="shared" si="101"/>
        <v>1</v>
      </c>
    </row>
    <row r="3236" spans="1:8">
      <c r="A3236" s="396">
        <v>4335</v>
      </c>
      <c r="B3236" s="401" t="s">
        <v>11967</v>
      </c>
      <c r="C3236" s="396" t="s">
        <v>2021</v>
      </c>
      <c r="D3236" s="405">
        <f t="shared" si="100"/>
        <v>14.64</v>
      </c>
      <c r="F3236" s="679">
        <v>14.64</v>
      </c>
      <c r="G3236" s="679">
        <v>14.64</v>
      </c>
      <c r="H3236" t="b">
        <f t="shared" si="101"/>
        <v>1</v>
      </c>
    </row>
    <row r="3237" spans="1:8">
      <c r="A3237" s="395">
        <v>4334</v>
      </c>
      <c r="B3237" s="406" t="s">
        <v>11968</v>
      </c>
      <c r="C3237" s="395" t="s">
        <v>2021</v>
      </c>
      <c r="D3237" s="407">
        <f t="shared" si="100"/>
        <v>20.079999999999998</v>
      </c>
      <c r="F3237" s="680">
        <v>20.079999999999998</v>
      </c>
      <c r="G3237" s="680">
        <v>20.079999999999998</v>
      </c>
      <c r="H3237" t="b">
        <f t="shared" si="101"/>
        <v>1</v>
      </c>
    </row>
    <row r="3238" spans="1:8">
      <c r="A3238" s="396">
        <v>4343</v>
      </c>
      <c r="B3238" s="401" t="s">
        <v>11969</v>
      </c>
      <c r="C3238" s="396" t="s">
        <v>2021</v>
      </c>
      <c r="D3238" s="405">
        <f t="shared" si="100"/>
        <v>4.9400000000000004</v>
      </c>
      <c r="F3238" s="679">
        <v>4.9400000000000004</v>
      </c>
      <c r="G3238" s="679">
        <v>4.9400000000000004</v>
      </c>
      <c r="H3238" t="b">
        <f t="shared" si="101"/>
        <v>1</v>
      </c>
    </row>
    <row r="3239" spans="1:8">
      <c r="A3239" s="395">
        <v>430</v>
      </c>
      <c r="B3239" s="406" t="s">
        <v>11970</v>
      </c>
      <c r="C3239" s="395" t="s">
        <v>2021</v>
      </c>
      <c r="D3239" s="407">
        <f t="shared" si="100"/>
        <v>11.31</v>
      </c>
      <c r="F3239" s="680">
        <v>11.31</v>
      </c>
      <c r="G3239" s="680">
        <v>11.31</v>
      </c>
      <c r="H3239" t="b">
        <f t="shared" si="101"/>
        <v>1</v>
      </c>
    </row>
    <row r="3240" spans="1:8">
      <c r="A3240" s="396">
        <v>441</v>
      </c>
      <c r="B3240" s="401" t="s">
        <v>11971</v>
      </c>
      <c r="C3240" s="396" t="s">
        <v>2021</v>
      </c>
      <c r="D3240" s="405">
        <f t="shared" si="100"/>
        <v>12.45</v>
      </c>
      <c r="F3240" s="679">
        <v>12.45</v>
      </c>
      <c r="G3240" s="679">
        <v>12.45</v>
      </c>
      <c r="H3240" t="b">
        <f t="shared" si="101"/>
        <v>1</v>
      </c>
    </row>
    <row r="3241" spans="1:8">
      <c r="A3241" s="395">
        <v>431</v>
      </c>
      <c r="B3241" s="406" t="s">
        <v>11972</v>
      </c>
      <c r="C3241" s="395" t="s">
        <v>2021</v>
      </c>
      <c r="D3241" s="407">
        <f t="shared" si="100"/>
        <v>15.03</v>
      </c>
      <c r="F3241" s="680">
        <v>15.03</v>
      </c>
      <c r="G3241" s="680">
        <v>15.03</v>
      </c>
      <c r="H3241" t="b">
        <f t="shared" si="101"/>
        <v>1</v>
      </c>
    </row>
    <row r="3242" spans="1:8">
      <c r="A3242" s="396">
        <v>432</v>
      </c>
      <c r="B3242" s="401" t="s">
        <v>11973</v>
      </c>
      <c r="C3242" s="396" t="s">
        <v>2021</v>
      </c>
      <c r="D3242" s="405">
        <f t="shared" si="100"/>
        <v>16.59</v>
      </c>
      <c r="F3242" s="679">
        <v>16.59</v>
      </c>
      <c r="G3242" s="679">
        <v>16.59</v>
      </c>
      <c r="H3242" t="b">
        <f t="shared" si="101"/>
        <v>1</v>
      </c>
    </row>
    <row r="3243" spans="1:8">
      <c r="A3243" s="395">
        <v>429</v>
      </c>
      <c r="B3243" s="406" t="s">
        <v>11974</v>
      </c>
      <c r="C3243" s="395" t="s">
        <v>2021</v>
      </c>
      <c r="D3243" s="407">
        <f t="shared" si="100"/>
        <v>22.36</v>
      </c>
      <c r="F3243" s="680">
        <v>22.36</v>
      </c>
      <c r="G3243" s="680">
        <v>22.36</v>
      </c>
      <c r="H3243" t="b">
        <f t="shared" si="101"/>
        <v>1</v>
      </c>
    </row>
    <row r="3244" spans="1:8">
      <c r="A3244" s="396">
        <v>439</v>
      </c>
      <c r="B3244" s="401" t="s">
        <v>11975</v>
      </c>
      <c r="C3244" s="396" t="s">
        <v>2021</v>
      </c>
      <c r="D3244" s="405">
        <f t="shared" si="100"/>
        <v>19.059999999999999</v>
      </c>
      <c r="F3244" s="679">
        <v>19.059999999999999</v>
      </c>
      <c r="G3244" s="679">
        <v>19.059999999999999</v>
      </c>
      <c r="H3244" t="b">
        <f t="shared" si="101"/>
        <v>1</v>
      </c>
    </row>
    <row r="3245" spans="1:8">
      <c r="A3245" s="395">
        <v>433</v>
      </c>
      <c r="B3245" s="406" t="s">
        <v>11976</v>
      </c>
      <c r="C3245" s="395" t="s">
        <v>2021</v>
      </c>
      <c r="D3245" s="407">
        <f t="shared" si="100"/>
        <v>22.25</v>
      </c>
      <c r="F3245" s="680">
        <v>22.25</v>
      </c>
      <c r="G3245" s="680">
        <v>22.25</v>
      </c>
      <c r="H3245" t="b">
        <f t="shared" si="101"/>
        <v>1</v>
      </c>
    </row>
    <row r="3246" spans="1:8">
      <c r="A3246" s="396">
        <v>437</v>
      </c>
      <c r="B3246" s="401" t="s">
        <v>11977</v>
      </c>
      <c r="C3246" s="396" t="s">
        <v>2021</v>
      </c>
      <c r="D3246" s="405">
        <f t="shared" si="100"/>
        <v>29.56</v>
      </c>
      <c r="F3246" s="679">
        <v>29.56</v>
      </c>
      <c r="G3246" s="679">
        <v>29.56</v>
      </c>
      <c r="H3246" t="b">
        <f t="shared" si="101"/>
        <v>1</v>
      </c>
    </row>
    <row r="3247" spans="1:8">
      <c r="A3247" s="395">
        <v>11790</v>
      </c>
      <c r="B3247" s="406" t="s">
        <v>11978</v>
      </c>
      <c r="C3247" s="395" t="s">
        <v>2021</v>
      </c>
      <c r="D3247" s="407">
        <f t="shared" si="100"/>
        <v>33.53</v>
      </c>
      <c r="F3247" s="680">
        <v>33.53</v>
      </c>
      <c r="G3247" s="680">
        <v>33.53</v>
      </c>
      <c r="H3247" t="b">
        <f t="shared" si="101"/>
        <v>1</v>
      </c>
    </row>
    <row r="3248" spans="1:8" ht="30">
      <c r="A3248" s="396">
        <v>428</v>
      </c>
      <c r="B3248" s="401" t="s">
        <v>11979</v>
      </c>
      <c r="C3248" s="396" t="s">
        <v>2021</v>
      </c>
      <c r="D3248" s="405">
        <f t="shared" si="100"/>
        <v>36.46</v>
      </c>
      <c r="F3248" s="679">
        <v>36.46</v>
      </c>
      <c r="G3248" s="679">
        <v>36.46</v>
      </c>
      <c r="H3248" t="b">
        <f t="shared" si="101"/>
        <v>1</v>
      </c>
    </row>
    <row r="3249" spans="1:8" ht="30">
      <c r="A3249" s="395">
        <v>4384</v>
      </c>
      <c r="B3249" s="406" t="s">
        <v>11980</v>
      </c>
      <c r="C3249" s="395" t="s">
        <v>2021</v>
      </c>
      <c r="D3249" s="407">
        <f t="shared" si="100"/>
        <v>23.89</v>
      </c>
      <c r="F3249" s="680">
        <v>23.89</v>
      </c>
      <c r="G3249" s="680">
        <v>23.89</v>
      </c>
      <c r="H3249" t="b">
        <f t="shared" si="101"/>
        <v>1</v>
      </c>
    </row>
    <row r="3250" spans="1:8" ht="30">
      <c r="A3250" s="396">
        <v>4351</v>
      </c>
      <c r="B3250" s="401" t="s">
        <v>11981</v>
      </c>
      <c r="C3250" s="396" t="s">
        <v>2021</v>
      </c>
      <c r="D3250" s="405">
        <f t="shared" si="100"/>
        <v>17.71</v>
      </c>
      <c r="F3250" s="679">
        <v>17.71</v>
      </c>
      <c r="G3250" s="679">
        <v>17.71</v>
      </c>
      <c r="H3250" t="b">
        <f t="shared" si="101"/>
        <v>1</v>
      </c>
    </row>
    <row r="3251" spans="1:8">
      <c r="A3251" s="395">
        <v>11054</v>
      </c>
      <c r="B3251" s="406" t="s">
        <v>11982</v>
      </c>
      <c r="C3251" s="395" t="s">
        <v>2021</v>
      </c>
      <c r="D3251" s="407">
        <f t="shared" si="100"/>
        <v>0.04</v>
      </c>
      <c r="F3251" s="680">
        <v>0.04</v>
      </c>
      <c r="G3251" s="680">
        <v>0.04</v>
      </c>
      <c r="H3251" t="b">
        <f t="shared" si="101"/>
        <v>1</v>
      </c>
    </row>
    <row r="3252" spans="1:8">
      <c r="A3252" s="396">
        <v>11055</v>
      </c>
      <c r="B3252" s="401" t="s">
        <v>11983</v>
      </c>
      <c r="C3252" s="396" t="s">
        <v>2021</v>
      </c>
      <c r="D3252" s="405">
        <f t="shared" si="100"/>
        <v>7.0000000000000007E-2</v>
      </c>
      <c r="F3252" s="679">
        <v>7.0000000000000007E-2</v>
      </c>
      <c r="G3252" s="679">
        <v>7.0000000000000007E-2</v>
      </c>
      <c r="H3252" t="b">
        <f t="shared" si="101"/>
        <v>1</v>
      </c>
    </row>
    <row r="3253" spans="1:8">
      <c r="A3253" s="395">
        <v>11056</v>
      </c>
      <c r="B3253" s="406" t="s">
        <v>11984</v>
      </c>
      <c r="C3253" s="395" t="s">
        <v>2021</v>
      </c>
      <c r="D3253" s="407">
        <f t="shared" si="100"/>
        <v>0.08</v>
      </c>
      <c r="F3253" s="680">
        <v>0.08</v>
      </c>
      <c r="G3253" s="680">
        <v>0.08</v>
      </c>
      <c r="H3253" t="b">
        <f t="shared" si="101"/>
        <v>1</v>
      </c>
    </row>
    <row r="3254" spans="1:8">
      <c r="A3254" s="396">
        <v>11057</v>
      </c>
      <c r="B3254" s="401" t="s">
        <v>11985</v>
      </c>
      <c r="C3254" s="396" t="s">
        <v>2021</v>
      </c>
      <c r="D3254" s="405">
        <f t="shared" si="100"/>
        <v>0.16</v>
      </c>
      <c r="F3254" s="679">
        <v>0.16</v>
      </c>
      <c r="G3254" s="679">
        <v>0.16</v>
      </c>
      <c r="H3254" t="b">
        <f t="shared" si="101"/>
        <v>1</v>
      </c>
    </row>
    <row r="3255" spans="1:8">
      <c r="A3255" s="395">
        <v>11059</v>
      </c>
      <c r="B3255" s="406" t="s">
        <v>11986</v>
      </c>
      <c r="C3255" s="395" t="s">
        <v>2021</v>
      </c>
      <c r="D3255" s="407">
        <f t="shared" si="100"/>
        <v>0.31</v>
      </c>
      <c r="F3255" s="680">
        <v>0.31</v>
      </c>
      <c r="G3255" s="680">
        <v>0.31</v>
      </c>
      <c r="H3255" t="b">
        <f t="shared" si="101"/>
        <v>1</v>
      </c>
    </row>
    <row r="3256" spans="1:8">
      <c r="A3256" s="396">
        <v>11058</v>
      </c>
      <c r="B3256" s="401" t="s">
        <v>11987</v>
      </c>
      <c r="C3256" s="396" t="s">
        <v>2021</v>
      </c>
      <c r="D3256" s="405">
        <f t="shared" si="100"/>
        <v>0.41</v>
      </c>
      <c r="F3256" s="679">
        <v>0.41</v>
      </c>
      <c r="G3256" s="679">
        <v>0.41</v>
      </c>
      <c r="H3256" t="b">
        <f t="shared" si="101"/>
        <v>1</v>
      </c>
    </row>
    <row r="3257" spans="1:8">
      <c r="A3257" s="395">
        <v>4380</v>
      </c>
      <c r="B3257" s="406" t="s">
        <v>11988</v>
      </c>
      <c r="C3257" s="395" t="s">
        <v>2021</v>
      </c>
      <c r="D3257" s="407">
        <f t="shared" si="100"/>
        <v>1.38</v>
      </c>
      <c r="F3257" s="680">
        <v>1.38</v>
      </c>
      <c r="G3257" s="680">
        <v>1.38</v>
      </c>
      <c r="H3257" t="b">
        <f t="shared" si="101"/>
        <v>1</v>
      </c>
    </row>
    <row r="3258" spans="1:8">
      <c r="A3258" s="396">
        <v>4299</v>
      </c>
      <c r="B3258" s="401" t="s">
        <v>11989</v>
      </c>
      <c r="C3258" s="396" t="s">
        <v>2021</v>
      </c>
      <c r="D3258" s="405">
        <f t="shared" si="100"/>
        <v>1.3</v>
      </c>
      <c r="F3258" s="679">
        <v>1.3</v>
      </c>
      <c r="G3258" s="679">
        <v>1.3</v>
      </c>
      <c r="H3258" t="b">
        <f t="shared" si="101"/>
        <v>1</v>
      </c>
    </row>
    <row r="3259" spans="1:8">
      <c r="A3259" s="395">
        <v>4304</v>
      </c>
      <c r="B3259" s="406" t="s">
        <v>11990</v>
      </c>
      <c r="C3259" s="395" t="s">
        <v>2021</v>
      </c>
      <c r="D3259" s="407">
        <f t="shared" si="100"/>
        <v>1.77</v>
      </c>
      <c r="F3259" s="680">
        <v>1.77</v>
      </c>
      <c r="G3259" s="680">
        <v>1.77</v>
      </c>
      <c r="H3259" t="b">
        <f t="shared" si="101"/>
        <v>1</v>
      </c>
    </row>
    <row r="3260" spans="1:8">
      <c r="A3260" s="396">
        <v>4305</v>
      </c>
      <c r="B3260" s="401" t="s">
        <v>11991</v>
      </c>
      <c r="C3260" s="396" t="s">
        <v>2021</v>
      </c>
      <c r="D3260" s="405">
        <f t="shared" si="100"/>
        <v>2.06</v>
      </c>
      <c r="F3260" s="679">
        <v>2.06</v>
      </c>
      <c r="G3260" s="679">
        <v>2.06</v>
      </c>
      <c r="H3260" t="b">
        <f t="shared" si="101"/>
        <v>1</v>
      </c>
    </row>
    <row r="3261" spans="1:8">
      <c r="A3261" s="395">
        <v>4306</v>
      </c>
      <c r="B3261" s="406" t="s">
        <v>11992</v>
      </c>
      <c r="C3261" s="395" t="s">
        <v>2021</v>
      </c>
      <c r="D3261" s="407">
        <f t="shared" si="100"/>
        <v>2.39</v>
      </c>
      <c r="F3261" s="680">
        <v>2.39</v>
      </c>
      <c r="G3261" s="680">
        <v>2.39</v>
      </c>
      <c r="H3261" t="b">
        <f t="shared" si="101"/>
        <v>1</v>
      </c>
    </row>
    <row r="3262" spans="1:8">
      <c r="A3262" s="396">
        <v>4308</v>
      </c>
      <c r="B3262" s="401" t="s">
        <v>11993</v>
      </c>
      <c r="C3262" s="396" t="s">
        <v>2021</v>
      </c>
      <c r="D3262" s="405">
        <f t="shared" si="100"/>
        <v>4.95</v>
      </c>
      <c r="F3262" s="679">
        <v>4.95</v>
      </c>
      <c r="G3262" s="679">
        <v>4.95</v>
      </c>
      <c r="H3262" t="b">
        <f t="shared" si="101"/>
        <v>1</v>
      </c>
    </row>
    <row r="3263" spans="1:8">
      <c r="A3263" s="395">
        <v>4302</v>
      </c>
      <c r="B3263" s="406" t="s">
        <v>11994</v>
      </c>
      <c r="C3263" s="395" t="s">
        <v>2021</v>
      </c>
      <c r="D3263" s="407">
        <f t="shared" si="100"/>
        <v>3.71</v>
      </c>
      <c r="F3263" s="680">
        <v>3.71</v>
      </c>
      <c r="G3263" s="680">
        <v>3.71</v>
      </c>
      <c r="H3263" t="b">
        <f t="shared" si="101"/>
        <v>1</v>
      </c>
    </row>
    <row r="3264" spans="1:8">
      <c r="A3264" s="396">
        <v>4300</v>
      </c>
      <c r="B3264" s="401" t="s">
        <v>11995</v>
      </c>
      <c r="C3264" s="396" t="s">
        <v>2021</v>
      </c>
      <c r="D3264" s="405">
        <f t="shared" si="100"/>
        <v>0.88</v>
      </c>
      <c r="F3264" s="679">
        <v>0.88</v>
      </c>
      <c r="G3264" s="679">
        <v>0.88</v>
      </c>
      <c r="H3264" t="b">
        <f t="shared" si="101"/>
        <v>1</v>
      </c>
    </row>
    <row r="3265" spans="1:8">
      <c r="A3265" s="395">
        <v>4301</v>
      </c>
      <c r="B3265" s="406" t="s">
        <v>11996</v>
      </c>
      <c r="C3265" s="395" t="s">
        <v>2021</v>
      </c>
      <c r="D3265" s="407">
        <f t="shared" si="100"/>
        <v>1.08</v>
      </c>
      <c r="F3265" s="680">
        <v>1.08</v>
      </c>
      <c r="G3265" s="680">
        <v>1.08</v>
      </c>
      <c r="H3265" t="b">
        <f t="shared" si="101"/>
        <v>1</v>
      </c>
    </row>
    <row r="3266" spans="1:8">
      <c r="A3266" s="396">
        <v>4320</v>
      </c>
      <c r="B3266" s="401" t="s">
        <v>11997</v>
      </c>
      <c r="C3266" s="396" t="s">
        <v>2021</v>
      </c>
      <c r="D3266" s="405">
        <f t="shared" si="100"/>
        <v>3.28</v>
      </c>
      <c r="F3266" s="679">
        <v>3.28</v>
      </c>
      <c r="G3266" s="679">
        <v>3.28</v>
      </c>
      <c r="H3266" t="b">
        <f t="shared" si="101"/>
        <v>1</v>
      </c>
    </row>
    <row r="3267" spans="1:8">
      <c r="A3267" s="395">
        <v>4318</v>
      </c>
      <c r="B3267" s="406" t="s">
        <v>11998</v>
      </c>
      <c r="C3267" s="395" t="s">
        <v>2021</v>
      </c>
      <c r="D3267" s="407">
        <f t="shared" ref="D3267:D3330" si="102">IF($J$2=$F$1,F3267,G3267)</f>
        <v>1.59</v>
      </c>
      <c r="F3267" s="680">
        <v>1.59</v>
      </c>
      <c r="G3267" s="680">
        <v>1.59</v>
      </c>
      <c r="H3267" t="b">
        <f t="shared" ref="H3267:H3330" si="103">F3267=G3267</f>
        <v>1</v>
      </c>
    </row>
    <row r="3268" spans="1:8">
      <c r="A3268" s="396">
        <v>40547</v>
      </c>
      <c r="B3268" s="401" t="s">
        <v>11999</v>
      </c>
      <c r="C3268" s="396" t="s">
        <v>2034</v>
      </c>
      <c r="D3268" s="405">
        <f t="shared" si="102"/>
        <v>29.04</v>
      </c>
      <c r="F3268" s="679">
        <v>29.04</v>
      </c>
      <c r="G3268" s="679">
        <v>29.04</v>
      </c>
      <c r="H3268" t="b">
        <f t="shared" si="103"/>
        <v>1</v>
      </c>
    </row>
    <row r="3269" spans="1:8">
      <c r="A3269" s="395">
        <v>11962</v>
      </c>
      <c r="B3269" s="406" t="s">
        <v>12000</v>
      </c>
      <c r="C3269" s="395" t="s">
        <v>2021</v>
      </c>
      <c r="D3269" s="407">
        <f t="shared" si="102"/>
        <v>0.23</v>
      </c>
      <c r="F3269" s="680">
        <v>0.23</v>
      </c>
      <c r="G3269" s="680">
        <v>0.23</v>
      </c>
      <c r="H3269" t="b">
        <f t="shared" si="103"/>
        <v>1</v>
      </c>
    </row>
    <row r="3270" spans="1:8">
      <c r="A3270" s="396">
        <v>4332</v>
      </c>
      <c r="B3270" s="401" t="s">
        <v>12001</v>
      </c>
      <c r="C3270" s="396" t="s">
        <v>2021</v>
      </c>
      <c r="D3270" s="405">
        <f t="shared" si="102"/>
        <v>1.1499999999999999</v>
      </c>
      <c r="F3270" s="679">
        <v>1.1499999999999999</v>
      </c>
      <c r="G3270" s="679">
        <v>1.1499999999999999</v>
      </c>
      <c r="H3270" t="b">
        <f t="shared" si="103"/>
        <v>1</v>
      </c>
    </row>
    <row r="3271" spans="1:8">
      <c r="A3271" s="395">
        <v>4331</v>
      </c>
      <c r="B3271" s="406" t="s">
        <v>12002</v>
      </c>
      <c r="C3271" s="395" t="s">
        <v>2021</v>
      </c>
      <c r="D3271" s="407">
        <f t="shared" si="102"/>
        <v>4.3600000000000003</v>
      </c>
      <c r="F3271" s="680">
        <v>4.3600000000000003</v>
      </c>
      <c r="G3271" s="680">
        <v>4.3600000000000003</v>
      </c>
      <c r="H3271" t="b">
        <f t="shared" si="103"/>
        <v>1</v>
      </c>
    </row>
    <row r="3272" spans="1:8" ht="30">
      <c r="A3272" s="396">
        <v>4336</v>
      </c>
      <c r="B3272" s="401" t="s">
        <v>12003</v>
      </c>
      <c r="C3272" s="396" t="s">
        <v>2021</v>
      </c>
      <c r="D3272" s="405">
        <f t="shared" si="102"/>
        <v>5.58</v>
      </c>
      <c r="F3272" s="679">
        <v>5.58</v>
      </c>
      <c r="G3272" s="679">
        <v>5.58</v>
      </c>
      <c r="H3272" t="b">
        <f t="shared" si="103"/>
        <v>1</v>
      </c>
    </row>
    <row r="3273" spans="1:8">
      <c r="A3273" s="395">
        <v>13294</v>
      </c>
      <c r="B3273" s="406" t="s">
        <v>12004</v>
      </c>
      <c r="C3273" s="395" t="s">
        <v>2021</v>
      </c>
      <c r="D3273" s="407">
        <f t="shared" si="102"/>
        <v>1.6</v>
      </c>
      <c r="F3273" s="680">
        <v>1.6</v>
      </c>
      <c r="G3273" s="680">
        <v>1.6</v>
      </c>
      <c r="H3273" t="b">
        <f t="shared" si="103"/>
        <v>1</v>
      </c>
    </row>
    <row r="3274" spans="1:8">
      <c r="A3274" s="396">
        <v>11948</v>
      </c>
      <c r="B3274" s="401" t="s">
        <v>12005</v>
      </c>
      <c r="C3274" s="396" t="s">
        <v>2021</v>
      </c>
      <c r="D3274" s="405">
        <f t="shared" si="102"/>
        <v>0.72</v>
      </c>
      <c r="F3274" s="679">
        <v>0.72</v>
      </c>
      <c r="G3274" s="679">
        <v>0.72</v>
      </c>
      <c r="H3274" t="b">
        <f t="shared" si="103"/>
        <v>1</v>
      </c>
    </row>
    <row r="3275" spans="1:8">
      <c r="A3275" s="395">
        <v>4382</v>
      </c>
      <c r="B3275" s="406" t="s">
        <v>12006</v>
      </c>
      <c r="C3275" s="395" t="s">
        <v>2021</v>
      </c>
      <c r="D3275" s="407">
        <f t="shared" si="102"/>
        <v>1.19</v>
      </c>
      <c r="F3275" s="680">
        <v>1.19</v>
      </c>
      <c r="G3275" s="680">
        <v>1.19</v>
      </c>
      <c r="H3275" t="b">
        <f t="shared" si="103"/>
        <v>1</v>
      </c>
    </row>
    <row r="3276" spans="1:8">
      <c r="A3276" s="396">
        <v>4354</v>
      </c>
      <c r="B3276" s="401" t="s">
        <v>12007</v>
      </c>
      <c r="C3276" s="396" t="s">
        <v>2021</v>
      </c>
      <c r="D3276" s="405">
        <f t="shared" si="102"/>
        <v>49.99</v>
      </c>
      <c r="F3276" s="679">
        <v>49.99</v>
      </c>
      <c r="G3276" s="679">
        <v>49.99</v>
      </c>
      <c r="H3276" t="b">
        <f t="shared" si="103"/>
        <v>1</v>
      </c>
    </row>
    <row r="3277" spans="1:8">
      <c r="A3277" s="395">
        <v>40839</v>
      </c>
      <c r="B3277" s="406" t="s">
        <v>12008</v>
      </c>
      <c r="C3277" s="395" t="s">
        <v>2034</v>
      </c>
      <c r="D3277" s="407">
        <f t="shared" si="102"/>
        <v>120.31</v>
      </c>
      <c r="F3277" s="680">
        <v>120.31</v>
      </c>
      <c r="G3277" s="680">
        <v>120.31</v>
      </c>
      <c r="H3277" t="b">
        <f t="shared" si="103"/>
        <v>1</v>
      </c>
    </row>
    <row r="3278" spans="1:8">
      <c r="A3278" s="396">
        <v>40552</v>
      </c>
      <c r="B3278" s="401" t="s">
        <v>12009</v>
      </c>
      <c r="C3278" s="396" t="s">
        <v>2034</v>
      </c>
      <c r="D3278" s="405">
        <f t="shared" si="102"/>
        <v>49.78</v>
      </c>
      <c r="F3278" s="679">
        <v>49.78</v>
      </c>
      <c r="G3278" s="679">
        <v>49.78</v>
      </c>
      <c r="H3278" t="b">
        <f t="shared" si="103"/>
        <v>1</v>
      </c>
    </row>
    <row r="3279" spans="1:8">
      <c r="A3279" s="395">
        <v>40549</v>
      </c>
      <c r="B3279" s="406" t="s">
        <v>12010</v>
      </c>
      <c r="C3279" s="395" t="s">
        <v>2034</v>
      </c>
      <c r="D3279" s="407">
        <f t="shared" si="102"/>
        <v>197.05</v>
      </c>
      <c r="F3279" s="680">
        <v>197.05</v>
      </c>
      <c r="G3279" s="680">
        <v>197.05</v>
      </c>
      <c r="H3279" t="b">
        <f t="shared" si="103"/>
        <v>1</v>
      </c>
    </row>
    <row r="3280" spans="1:8">
      <c r="A3280" s="396">
        <v>4385</v>
      </c>
      <c r="B3280" s="401" t="s">
        <v>12011</v>
      </c>
      <c r="C3280" s="396" t="s">
        <v>2030</v>
      </c>
      <c r="D3280" s="405">
        <f t="shared" si="102"/>
        <v>5444.4</v>
      </c>
      <c r="F3280" s="679">
        <v>5444.4</v>
      </c>
      <c r="G3280" s="679">
        <v>5444.4</v>
      </c>
      <c r="H3280" t="b">
        <f t="shared" si="103"/>
        <v>1</v>
      </c>
    </row>
    <row r="3281" spans="1:8" ht="30">
      <c r="A3281" s="395">
        <v>20078</v>
      </c>
      <c r="B3281" s="406" t="s">
        <v>12012</v>
      </c>
      <c r="C3281" s="395" t="s">
        <v>2021</v>
      </c>
      <c r="D3281" s="407">
        <f t="shared" si="102"/>
        <v>31.44</v>
      </c>
      <c r="F3281" s="680">
        <v>31.44</v>
      </c>
      <c r="G3281" s="680">
        <v>31.44</v>
      </c>
      <c r="H3281" t="b">
        <f t="shared" si="103"/>
        <v>1</v>
      </c>
    </row>
    <row r="3282" spans="1:8">
      <c r="A3282" s="396">
        <v>39897</v>
      </c>
      <c r="B3282" s="401" t="s">
        <v>12013</v>
      </c>
      <c r="C3282" s="396" t="s">
        <v>2021</v>
      </c>
      <c r="D3282" s="405">
        <f t="shared" si="102"/>
        <v>51.27</v>
      </c>
      <c r="F3282" s="679">
        <v>51.27</v>
      </c>
      <c r="G3282" s="679">
        <v>51.27</v>
      </c>
      <c r="H3282" t="b">
        <f t="shared" si="103"/>
        <v>1</v>
      </c>
    </row>
    <row r="3283" spans="1:8">
      <c r="A3283" s="395">
        <v>118</v>
      </c>
      <c r="B3283" s="406" t="s">
        <v>12014</v>
      </c>
      <c r="C3283" s="395" t="s">
        <v>2021</v>
      </c>
      <c r="D3283" s="407">
        <f t="shared" si="102"/>
        <v>66.459999999999994</v>
      </c>
      <c r="F3283" s="680">
        <v>66.459999999999994</v>
      </c>
      <c r="G3283" s="680">
        <v>66.459999999999994</v>
      </c>
      <c r="H3283" t="b">
        <f t="shared" si="103"/>
        <v>1</v>
      </c>
    </row>
    <row r="3284" spans="1:8" ht="30">
      <c r="A3284" s="396">
        <v>4396</v>
      </c>
      <c r="B3284" s="401" t="s">
        <v>12015</v>
      </c>
      <c r="C3284" s="396" t="s">
        <v>2023</v>
      </c>
      <c r="D3284" s="405">
        <f t="shared" si="102"/>
        <v>206.81</v>
      </c>
      <c r="F3284" s="679">
        <v>206.81</v>
      </c>
      <c r="G3284" s="679">
        <v>206.81</v>
      </c>
      <c r="H3284" t="b">
        <f t="shared" si="103"/>
        <v>1</v>
      </c>
    </row>
    <row r="3285" spans="1:8" ht="30">
      <c r="A3285" s="395">
        <v>36881</v>
      </c>
      <c r="B3285" s="406" t="s">
        <v>12016</v>
      </c>
      <c r="C3285" s="395" t="s">
        <v>2023</v>
      </c>
      <c r="D3285" s="407">
        <f t="shared" si="102"/>
        <v>133.19999999999999</v>
      </c>
      <c r="F3285" s="680">
        <v>133.19999999999999</v>
      </c>
      <c r="G3285" s="680">
        <v>133.19999999999999</v>
      </c>
      <c r="H3285" t="b">
        <f t="shared" si="103"/>
        <v>1</v>
      </c>
    </row>
    <row r="3286" spans="1:8" ht="30">
      <c r="A3286" s="396">
        <v>4397</v>
      </c>
      <c r="B3286" s="401" t="s">
        <v>12017</v>
      </c>
      <c r="C3286" s="396" t="s">
        <v>2023</v>
      </c>
      <c r="D3286" s="405">
        <f t="shared" si="102"/>
        <v>224.97</v>
      </c>
      <c r="F3286" s="679">
        <v>224.97</v>
      </c>
      <c r="G3286" s="679">
        <v>224.97</v>
      </c>
      <c r="H3286" t="b">
        <f t="shared" si="103"/>
        <v>1</v>
      </c>
    </row>
    <row r="3287" spans="1:8" ht="30">
      <c r="A3287" s="395">
        <v>36882</v>
      </c>
      <c r="B3287" s="406" t="s">
        <v>12018</v>
      </c>
      <c r="C3287" s="395" t="s">
        <v>2023</v>
      </c>
      <c r="D3287" s="407">
        <f t="shared" si="102"/>
        <v>159.27000000000001</v>
      </c>
      <c r="F3287" s="680">
        <v>159.27000000000001</v>
      </c>
      <c r="G3287" s="680">
        <v>159.27000000000001</v>
      </c>
      <c r="H3287" t="b">
        <f t="shared" si="103"/>
        <v>1</v>
      </c>
    </row>
    <row r="3288" spans="1:8">
      <c r="A3288" s="396">
        <v>4751</v>
      </c>
      <c r="B3288" s="401" t="s">
        <v>12019</v>
      </c>
      <c r="C3288" s="396" t="s">
        <v>2020</v>
      </c>
      <c r="D3288" s="405">
        <f t="shared" si="102"/>
        <v>16.29</v>
      </c>
      <c r="F3288" s="679">
        <v>16.29</v>
      </c>
      <c r="G3288" s="679">
        <v>18.739999999999998</v>
      </c>
      <c r="H3288" t="b">
        <f t="shared" si="103"/>
        <v>0</v>
      </c>
    </row>
    <row r="3289" spans="1:8">
      <c r="A3289" s="395">
        <v>41066</v>
      </c>
      <c r="B3289" s="406" t="s">
        <v>12020</v>
      </c>
      <c r="C3289" s="395" t="s">
        <v>2027</v>
      </c>
      <c r="D3289" s="407">
        <f t="shared" si="102"/>
        <v>2871.23</v>
      </c>
      <c r="F3289" s="680">
        <v>2871.23</v>
      </c>
      <c r="G3289" s="680">
        <v>3307.49</v>
      </c>
      <c r="H3289" t="b">
        <f t="shared" si="103"/>
        <v>0</v>
      </c>
    </row>
    <row r="3290" spans="1:8">
      <c r="A3290" s="396">
        <v>39604</v>
      </c>
      <c r="B3290" s="401" t="s">
        <v>12021</v>
      </c>
      <c r="C3290" s="396" t="s">
        <v>2021</v>
      </c>
      <c r="D3290" s="405">
        <f t="shared" si="102"/>
        <v>10.99</v>
      </c>
      <c r="F3290" s="679">
        <v>10.99</v>
      </c>
      <c r="G3290" s="679">
        <v>10.99</v>
      </c>
      <c r="H3290" t="b">
        <f t="shared" si="103"/>
        <v>1</v>
      </c>
    </row>
    <row r="3291" spans="1:8">
      <c r="A3291" s="395">
        <v>39605</v>
      </c>
      <c r="B3291" s="406" t="s">
        <v>12022</v>
      </c>
      <c r="C3291" s="395" t="s">
        <v>2021</v>
      </c>
      <c r="D3291" s="407">
        <f t="shared" si="102"/>
        <v>11.94</v>
      </c>
      <c r="F3291" s="680">
        <v>11.94</v>
      </c>
      <c r="G3291" s="680">
        <v>11.94</v>
      </c>
      <c r="H3291" t="b">
        <f t="shared" si="103"/>
        <v>1</v>
      </c>
    </row>
    <row r="3292" spans="1:8">
      <c r="A3292" s="396">
        <v>39606</v>
      </c>
      <c r="B3292" s="401" t="s">
        <v>12023</v>
      </c>
      <c r="C3292" s="396" t="s">
        <v>2021</v>
      </c>
      <c r="D3292" s="405">
        <f t="shared" si="102"/>
        <v>20.9</v>
      </c>
      <c r="F3292" s="679">
        <v>20.9</v>
      </c>
      <c r="G3292" s="679">
        <v>20.9</v>
      </c>
      <c r="H3292" t="b">
        <f t="shared" si="103"/>
        <v>1</v>
      </c>
    </row>
    <row r="3293" spans="1:8">
      <c r="A3293" s="395">
        <v>39607</v>
      </c>
      <c r="B3293" s="406" t="s">
        <v>12024</v>
      </c>
      <c r="C3293" s="395" t="s">
        <v>2021</v>
      </c>
      <c r="D3293" s="407">
        <f t="shared" si="102"/>
        <v>28.28</v>
      </c>
      <c r="F3293" s="680">
        <v>28.28</v>
      </c>
      <c r="G3293" s="680">
        <v>28.28</v>
      </c>
      <c r="H3293" t="b">
        <f t="shared" si="103"/>
        <v>1</v>
      </c>
    </row>
    <row r="3294" spans="1:8">
      <c r="A3294" s="396">
        <v>39594</v>
      </c>
      <c r="B3294" s="401" t="s">
        <v>12025</v>
      </c>
      <c r="C3294" s="396" t="s">
        <v>2021</v>
      </c>
      <c r="D3294" s="405">
        <f t="shared" si="102"/>
        <v>287.02</v>
      </c>
      <c r="F3294" s="679">
        <v>287.02</v>
      </c>
      <c r="G3294" s="679">
        <v>287.02</v>
      </c>
      <c r="H3294" t="b">
        <f t="shared" si="103"/>
        <v>1</v>
      </c>
    </row>
    <row r="3295" spans="1:8">
      <c r="A3295" s="395">
        <v>39596</v>
      </c>
      <c r="B3295" s="406" t="s">
        <v>12026</v>
      </c>
      <c r="C3295" s="395" t="s">
        <v>2021</v>
      </c>
      <c r="D3295" s="407">
        <f t="shared" si="102"/>
        <v>768.66</v>
      </c>
      <c r="F3295" s="680">
        <v>768.66</v>
      </c>
      <c r="G3295" s="680">
        <v>768.66</v>
      </c>
      <c r="H3295" t="b">
        <f t="shared" si="103"/>
        <v>1</v>
      </c>
    </row>
    <row r="3296" spans="1:8">
      <c r="A3296" s="396">
        <v>39595</v>
      </c>
      <c r="B3296" s="401" t="s">
        <v>12027</v>
      </c>
      <c r="C3296" s="396" t="s">
        <v>2021</v>
      </c>
      <c r="D3296" s="405">
        <f t="shared" si="102"/>
        <v>1727.08</v>
      </c>
      <c r="F3296" s="679">
        <v>1727.08</v>
      </c>
      <c r="G3296" s="679">
        <v>1727.08</v>
      </c>
      <c r="H3296" t="b">
        <f t="shared" si="103"/>
        <v>1</v>
      </c>
    </row>
    <row r="3297" spans="1:8">
      <c r="A3297" s="395">
        <v>39597</v>
      </c>
      <c r="B3297" s="406" t="s">
        <v>12028</v>
      </c>
      <c r="C3297" s="395" t="s">
        <v>2021</v>
      </c>
      <c r="D3297" s="407">
        <f t="shared" si="102"/>
        <v>2709.15</v>
      </c>
      <c r="F3297" s="680">
        <v>2709.15</v>
      </c>
      <c r="G3297" s="680">
        <v>2709.15</v>
      </c>
      <c r="H3297" t="b">
        <f t="shared" si="103"/>
        <v>1</v>
      </c>
    </row>
    <row r="3298" spans="1:8">
      <c r="A3298" s="396">
        <v>10731</v>
      </c>
      <c r="B3298" s="401" t="s">
        <v>12029</v>
      </c>
      <c r="C3298" s="396" t="s">
        <v>2023</v>
      </c>
      <c r="D3298" s="405">
        <f t="shared" si="102"/>
        <v>40</v>
      </c>
      <c r="F3298" s="679">
        <v>40</v>
      </c>
      <c r="G3298" s="679">
        <v>40</v>
      </c>
      <c r="H3298" t="b">
        <f t="shared" si="103"/>
        <v>1</v>
      </c>
    </row>
    <row r="3299" spans="1:8">
      <c r="A3299" s="395">
        <v>4704</v>
      </c>
      <c r="B3299" s="406" t="s">
        <v>12030</v>
      </c>
      <c r="C3299" s="395" t="s">
        <v>2023</v>
      </c>
      <c r="D3299" s="407">
        <f t="shared" si="102"/>
        <v>36.090000000000003</v>
      </c>
      <c r="F3299" s="680">
        <v>36.090000000000003</v>
      </c>
      <c r="G3299" s="680">
        <v>36.090000000000003</v>
      </c>
      <c r="H3299" t="b">
        <f t="shared" si="103"/>
        <v>1</v>
      </c>
    </row>
    <row r="3300" spans="1:8">
      <c r="A3300" s="396">
        <v>10730</v>
      </c>
      <c r="B3300" s="401" t="s">
        <v>12031</v>
      </c>
      <c r="C3300" s="396" t="s">
        <v>2023</v>
      </c>
      <c r="D3300" s="405">
        <f t="shared" si="102"/>
        <v>38.67</v>
      </c>
      <c r="F3300" s="679">
        <v>38.67</v>
      </c>
      <c r="G3300" s="679">
        <v>38.67</v>
      </c>
      <c r="H3300" t="b">
        <f t="shared" si="103"/>
        <v>1</v>
      </c>
    </row>
    <row r="3301" spans="1:8">
      <c r="A3301" s="395">
        <v>4729</v>
      </c>
      <c r="B3301" s="406" t="s">
        <v>12032</v>
      </c>
      <c r="C3301" s="395" t="s">
        <v>2022</v>
      </c>
      <c r="D3301" s="407">
        <f t="shared" si="102"/>
        <v>111.93</v>
      </c>
      <c r="F3301" s="680">
        <v>111.93</v>
      </c>
      <c r="G3301" s="680">
        <v>111.93</v>
      </c>
      <c r="H3301" t="b">
        <f t="shared" si="103"/>
        <v>1</v>
      </c>
    </row>
    <row r="3302" spans="1:8">
      <c r="A3302" s="396">
        <v>4720</v>
      </c>
      <c r="B3302" s="401" t="s">
        <v>12033</v>
      </c>
      <c r="C3302" s="396" t="s">
        <v>2022</v>
      </c>
      <c r="D3302" s="405">
        <f t="shared" si="102"/>
        <v>128.26</v>
      </c>
      <c r="F3302" s="679">
        <v>128.26</v>
      </c>
      <c r="G3302" s="679">
        <v>128.26</v>
      </c>
      <c r="H3302" t="b">
        <f t="shared" si="103"/>
        <v>1</v>
      </c>
    </row>
    <row r="3303" spans="1:8">
      <c r="A3303" s="395">
        <v>4721</v>
      </c>
      <c r="B3303" s="406" t="s">
        <v>12034</v>
      </c>
      <c r="C3303" s="395" t="s">
        <v>2022</v>
      </c>
      <c r="D3303" s="407">
        <f t="shared" si="102"/>
        <v>111.09</v>
      </c>
      <c r="F3303" s="680">
        <v>111.09</v>
      </c>
      <c r="G3303" s="680">
        <v>111.09</v>
      </c>
      <c r="H3303" t="b">
        <f t="shared" si="103"/>
        <v>1</v>
      </c>
    </row>
    <row r="3304" spans="1:8">
      <c r="A3304" s="396">
        <v>4718</v>
      </c>
      <c r="B3304" s="401" t="s">
        <v>12035</v>
      </c>
      <c r="C3304" s="396" t="s">
        <v>2022</v>
      </c>
      <c r="D3304" s="405">
        <f t="shared" si="102"/>
        <v>111.68</v>
      </c>
      <c r="F3304" s="679">
        <v>111.68</v>
      </c>
      <c r="G3304" s="679">
        <v>111.68</v>
      </c>
      <c r="H3304" t="b">
        <f t="shared" si="103"/>
        <v>1</v>
      </c>
    </row>
    <row r="3305" spans="1:8">
      <c r="A3305" s="395">
        <v>4722</v>
      </c>
      <c r="B3305" s="406" t="s">
        <v>12036</v>
      </c>
      <c r="C3305" s="395" t="s">
        <v>2022</v>
      </c>
      <c r="D3305" s="407">
        <f t="shared" si="102"/>
        <v>104.94</v>
      </c>
      <c r="F3305" s="680">
        <v>104.94</v>
      </c>
      <c r="G3305" s="680">
        <v>104.94</v>
      </c>
      <c r="H3305" t="b">
        <f t="shared" si="103"/>
        <v>1</v>
      </c>
    </row>
    <row r="3306" spans="1:8">
      <c r="A3306" s="396">
        <v>4723</v>
      </c>
      <c r="B3306" s="401" t="s">
        <v>12037</v>
      </c>
      <c r="C3306" s="396" t="s">
        <v>2022</v>
      </c>
      <c r="D3306" s="405">
        <f t="shared" si="102"/>
        <v>104.03</v>
      </c>
      <c r="F3306" s="679">
        <v>104.03</v>
      </c>
      <c r="G3306" s="679">
        <v>104.03</v>
      </c>
      <c r="H3306" t="b">
        <f t="shared" si="103"/>
        <v>1</v>
      </c>
    </row>
    <row r="3307" spans="1:8">
      <c r="A3307" s="395">
        <v>4727</v>
      </c>
      <c r="B3307" s="406" t="s">
        <v>12038</v>
      </c>
      <c r="C3307" s="395" t="s">
        <v>2022</v>
      </c>
      <c r="D3307" s="407">
        <f t="shared" si="102"/>
        <v>95.22</v>
      </c>
      <c r="F3307" s="680">
        <v>95.22</v>
      </c>
      <c r="G3307" s="680">
        <v>95.22</v>
      </c>
      <c r="H3307" t="b">
        <f t="shared" si="103"/>
        <v>1</v>
      </c>
    </row>
    <row r="3308" spans="1:8">
      <c r="A3308" s="396">
        <v>4748</v>
      </c>
      <c r="B3308" s="401" t="s">
        <v>12039</v>
      </c>
      <c r="C3308" s="396" t="s">
        <v>2022</v>
      </c>
      <c r="D3308" s="405">
        <f t="shared" si="102"/>
        <v>102.61</v>
      </c>
      <c r="F3308" s="679">
        <v>102.61</v>
      </c>
      <c r="G3308" s="679">
        <v>102.61</v>
      </c>
      <c r="H3308" t="b">
        <f t="shared" si="103"/>
        <v>1</v>
      </c>
    </row>
    <row r="3309" spans="1:8">
      <c r="A3309" s="395">
        <v>4730</v>
      </c>
      <c r="B3309" s="406" t="s">
        <v>12040</v>
      </c>
      <c r="C3309" s="395" t="s">
        <v>2022</v>
      </c>
      <c r="D3309" s="407">
        <f t="shared" si="102"/>
        <v>104.42</v>
      </c>
      <c r="F3309" s="680">
        <v>104.42</v>
      </c>
      <c r="G3309" s="680">
        <v>104.42</v>
      </c>
      <c r="H3309" t="b">
        <f t="shared" si="103"/>
        <v>1</v>
      </c>
    </row>
    <row r="3310" spans="1:8" ht="30">
      <c r="A3310" s="396">
        <v>13186</v>
      </c>
      <c r="B3310" s="401" t="s">
        <v>12041</v>
      </c>
      <c r="C3310" s="396" t="s">
        <v>2022</v>
      </c>
      <c r="D3310" s="405">
        <f t="shared" si="102"/>
        <v>120.49</v>
      </c>
      <c r="F3310" s="679">
        <v>120.49</v>
      </c>
      <c r="G3310" s="679">
        <v>120.49</v>
      </c>
      <c r="H3310" t="b">
        <f t="shared" si="103"/>
        <v>1</v>
      </c>
    </row>
    <row r="3311" spans="1:8" ht="30">
      <c r="A3311" s="395">
        <v>10737</v>
      </c>
      <c r="B3311" s="406" t="s">
        <v>12042</v>
      </c>
      <c r="C3311" s="395" t="s">
        <v>2023</v>
      </c>
      <c r="D3311" s="407">
        <f t="shared" si="102"/>
        <v>125.7</v>
      </c>
      <c r="F3311" s="680">
        <v>125.7</v>
      </c>
      <c r="G3311" s="680">
        <v>125.7</v>
      </c>
      <c r="H3311" t="b">
        <f t="shared" si="103"/>
        <v>1</v>
      </c>
    </row>
    <row r="3312" spans="1:8" ht="30">
      <c r="A3312" s="396">
        <v>10734</v>
      </c>
      <c r="B3312" s="401" t="s">
        <v>12043</v>
      </c>
      <c r="C3312" s="396" t="s">
        <v>2023</v>
      </c>
      <c r="D3312" s="405">
        <f t="shared" si="102"/>
        <v>74.77</v>
      </c>
      <c r="F3312" s="679">
        <v>74.77</v>
      </c>
      <c r="G3312" s="679">
        <v>74.77</v>
      </c>
      <c r="H3312" t="b">
        <f t="shared" si="103"/>
        <v>1</v>
      </c>
    </row>
    <row r="3313" spans="1:8">
      <c r="A3313" s="395">
        <v>4708</v>
      </c>
      <c r="B3313" s="406" t="s">
        <v>12044</v>
      </c>
      <c r="C3313" s="395" t="s">
        <v>2023</v>
      </c>
      <c r="D3313" s="407">
        <f t="shared" si="102"/>
        <v>145.04</v>
      </c>
      <c r="F3313" s="680">
        <v>145.04</v>
      </c>
      <c r="G3313" s="680">
        <v>145.04</v>
      </c>
      <c r="H3313" t="b">
        <f t="shared" si="103"/>
        <v>1</v>
      </c>
    </row>
    <row r="3314" spans="1:8" ht="30">
      <c r="A3314" s="396">
        <v>4712</v>
      </c>
      <c r="B3314" s="401" t="s">
        <v>12045</v>
      </c>
      <c r="C3314" s="396" t="s">
        <v>2023</v>
      </c>
      <c r="D3314" s="405">
        <f t="shared" si="102"/>
        <v>70.91</v>
      </c>
      <c r="F3314" s="679">
        <v>70.91</v>
      </c>
      <c r="G3314" s="679">
        <v>70.91</v>
      </c>
      <c r="H3314" t="b">
        <f t="shared" si="103"/>
        <v>1</v>
      </c>
    </row>
    <row r="3315" spans="1:8" ht="30">
      <c r="A3315" s="395">
        <v>4710</v>
      </c>
      <c r="B3315" s="406" t="s">
        <v>12046</v>
      </c>
      <c r="C3315" s="395" t="s">
        <v>2023</v>
      </c>
      <c r="D3315" s="407">
        <f t="shared" si="102"/>
        <v>227.39</v>
      </c>
      <c r="F3315" s="680">
        <v>227.39</v>
      </c>
      <c r="G3315" s="680">
        <v>227.39</v>
      </c>
      <c r="H3315" t="b">
        <f t="shared" si="103"/>
        <v>1</v>
      </c>
    </row>
    <row r="3316" spans="1:8">
      <c r="A3316" s="396">
        <v>4746</v>
      </c>
      <c r="B3316" s="401" t="s">
        <v>12047</v>
      </c>
      <c r="C3316" s="396" t="s">
        <v>2022</v>
      </c>
      <c r="D3316" s="405">
        <f t="shared" si="102"/>
        <v>77.989999999999995</v>
      </c>
      <c r="F3316" s="679">
        <v>77.989999999999995</v>
      </c>
      <c r="G3316" s="679">
        <v>77.989999999999995</v>
      </c>
      <c r="H3316" t="b">
        <f t="shared" si="103"/>
        <v>1</v>
      </c>
    </row>
    <row r="3317" spans="1:8">
      <c r="A3317" s="395">
        <v>4750</v>
      </c>
      <c r="B3317" s="406" t="s">
        <v>12048</v>
      </c>
      <c r="C3317" s="395" t="s">
        <v>2020</v>
      </c>
      <c r="D3317" s="407">
        <f t="shared" si="102"/>
        <v>16.29</v>
      </c>
      <c r="F3317" s="680">
        <v>16.29</v>
      </c>
      <c r="G3317" s="680">
        <v>18.739999999999998</v>
      </c>
      <c r="H3317" t="b">
        <f t="shared" si="103"/>
        <v>0</v>
      </c>
    </row>
    <row r="3318" spans="1:8">
      <c r="A3318" s="396">
        <v>41065</v>
      </c>
      <c r="B3318" s="401" t="s">
        <v>12049</v>
      </c>
      <c r="C3318" s="396" t="s">
        <v>2027</v>
      </c>
      <c r="D3318" s="405">
        <f t="shared" si="102"/>
        <v>2871.23</v>
      </c>
      <c r="F3318" s="679">
        <v>2871.23</v>
      </c>
      <c r="G3318" s="679">
        <v>3307.49</v>
      </c>
      <c r="H3318" t="b">
        <f t="shared" si="103"/>
        <v>0</v>
      </c>
    </row>
    <row r="3319" spans="1:8">
      <c r="A3319" s="395">
        <v>34747</v>
      </c>
      <c r="B3319" s="406" t="s">
        <v>12050</v>
      </c>
      <c r="C3319" s="395" t="s">
        <v>2024</v>
      </c>
      <c r="D3319" s="407">
        <f t="shared" si="102"/>
        <v>94.46</v>
      </c>
      <c r="F3319" s="680">
        <v>94.46</v>
      </c>
      <c r="G3319" s="680">
        <v>94.46</v>
      </c>
      <c r="H3319" t="b">
        <f t="shared" si="103"/>
        <v>1</v>
      </c>
    </row>
    <row r="3320" spans="1:8">
      <c r="A3320" s="396">
        <v>4826</v>
      </c>
      <c r="B3320" s="401" t="s">
        <v>12051</v>
      </c>
      <c r="C3320" s="396" t="s">
        <v>2024</v>
      </c>
      <c r="D3320" s="405">
        <f t="shared" si="102"/>
        <v>101.57</v>
      </c>
      <c r="F3320" s="679">
        <v>101.57</v>
      </c>
      <c r="G3320" s="679">
        <v>101.57</v>
      </c>
      <c r="H3320" t="b">
        <f t="shared" si="103"/>
        <v>1</v>
      </c>
    </row>
    <row r="3321" spans="1:8">
      <c r="A3321" s="395">
        <v>41975</v>
      </c>
      <c r="B3321" s="406" t="s">
        <v>12052</v>
      </c>
      <c r="C3321" s="395" t="s">
        <v>2023</v>
      </c>
      <c r="D3321" s="407">
        <f t="shared" si="102"/>
        <v>104.34</v>
      </c>
      <c r="F3321" s="680">
        <v>104.34</v>
      </c>
      <c r="G3321" s="680">
        <v>104.34</v>
      </c>
      <c r="H3321" t="b">
        <f t="shared" si="103"/>
        <v>1</v>
      </c>
    </row>
    <row r="3322" spans="1:8">
      <c r="A3322" s="396">
        <v>4825</v>
      </c>
      <c r="B3322" s="401" t="s">
        <v>12053</v>
      </c>
      <c r="C3322" s="396" t="s">
        <v>2024</v>
      </c>
      <c r="D3322" s="405">
        <f t="shared" si="102"/>
        <v>140.59</v>
      </c>
      <c r="F3322" s="679">
        <v>140.59</v>
      </c>
      <c r="G3322" s="679">
        <v>140.59</v>
      </c>
      <c r="H3322" t="b">
        <f t="shared" si="103"/>
        <v>1</v>
      </c>
    </row>
    <row r="3323" spans="1:8">
      <c r="A3323" s="395">
        <v>34744</v>
      </c>
      <c r="B3323" s="406" t="s">
        <v>12054</v>
      </c>
      <c r="C3323" s="395" t="s">
        <v>2023</v>
      </c>
      <c r="D3323" s="407">
        <f t="shared" si="102"/>
        <v>27.9</v>
      </c>
      <c r="F3323" s="680">
        <v>27.9</v>
      </c>
      <c r="G3323" s="680">
        <v>27.9</v>
      </c>
      <c r="H3323" t="b">
        <f t="shared" si="103"/>
        <v>1</v>
      </c>
    </row>
    <row r="3324" spans="1:8" ht="30">
      <c r="A3324" s="396">
        <v>39430</v>
      </c>
      <c r="B3324" s="401" t="s">
        <v>12055</v>
      </c>
      <c r="C3324" s="396" t="s">
        <v>2021</v>
      </c>
      <c r="D3324" s="405">
        <f t="shared" si="102"/>
        <v>2.72</v>
      </c>
      <c r="F3324" s="679">
        <v>2.72</v>
      </c>
      <c r="G3324" s="679">
        <v>2.72</v>
      </c>
      <c r="H3324" t="b">
        <f t="shared" si="103"/>
        <v>1</v>
      </c>
    </row>
    <row r="3325" spans="1:8">
      <c r="A3325" s="395">
        <v>39573</v>
      </c>
      <c r="B3325" s="406" t="s">
        <v>12056</v>
      </c>
      <c r="C3325" s="395" t="s">
        <v>2021</v>
      </c>
      <c r="D3325" s="407">
        <f t="shared" si="102"/>
        <v>2.68</v>
      </c>
      <c r="F3325" s="680">
        <v>2.68</v>
      </c>
      <c r="G3325" s="680">
        <v>2.68</v>
      </c>
      <c r="H3325" t="b">
        <f t="shared" si="103"/>
        <v>1</v>
      </c>
    </row>
    <row r="3326" spans="1:8">
      <c r="A3326" s="396">
        <v>38410</v>
      </c>
      <c r="B3326" s="401" t="s">
        <v>12057</v>
      </c>
      <c r="C3326" s="396" t="s">
        <v>2021</v>
      </c>
      <c r="D3326" s="405">
        <f t="shared" si="102"/>
        <v>16763.080000000002</v>
      </c>
      <c r="F3326" s="679">
        <v>16763.080000000002</v>
      </c>
      <c r="G3326" s="679">
        <v>16763.080000000002</v>
      </c>
      <c r="H3326" t="b">
        <f t="shared" si="103"/>
        <v>1</v>
      </c>
    </row>
    <row r="3327" spans="1:8">
      <c r="A3327" s="395">
        <v>41596</v>
      </c>
      <c r="B3327" s="406" t="s">
        <v>12058</v>
      </c>
      <c r="C3327" s="395" t="s">
        <v>2025</v>
      </c>
      <c r="D3327" s="407">
        <f t="shared" si="102"/>
        <v>14.53</v>
      </c>
      <c r="F3327" s="680">
        <v>14.53</v>
      </c>
      <c r="G3327" s="680">
        <v>14.53</v>
      </c>
      <c r="H3327" t="b">
        <f t="shared" si="103"/>
        <v>1</v>
      </c>
    </row>
    <row r="3328" spans="1:8">
      <c r="A3328" s="396">
        <v>41598</v>
      </c>
      <c r="B3328" s="401" t="s">
        <v>12059</v>
      </c>
      <c r="C3328" s="396" t="s">
        <v>2025</v>
      </c>
      <c r="D3328" s="405">
        <f t="shared" si="102"/>
        <v>14.53</v>
      </c>
      <c r="F3328" s="679">
        <v>14.53</v>
      </c>
      <c r="G3328" s="679">
        <v>14.53</v>
      </c>
      <c r="H3328" t="b">
        <f t="shared" si="103"/>
        <v>1</v>
      </c>
    </row>
    <row r="3329" spans="1:8">
      <c r="A3329" s="395">
        <v>41594</v>
      </c>
      <c r="B3329" s="406" t="s">
        <v>12060</v>
      </c>
      <c r="C3329" s="395" t="s">
        <v>2025</v>
      </c>
      <c r="D3329" s="407">
        <f t="shared" si="102"/>
        <v>14.76</v>
      </c>
      <c r="F3329" s="680">
        <v>14.76</v>
      </c>
      <c r="G3329" s="680">
        <v>14.76</v>
      </c>
      <c r="H3329" t="b">
        <f t="shared" si="103"/>
        <v>1</v>
      </c>
    </row>
    <row r="3330" spans="1:8">
      <c r="A3330" s="396">
        <v>43663</v>
      </c>
      <c r="B3330" s="401" t="s">
        <v>12061</v>
      </c>
      <c r="C3330" s="396" t="s">
        <v>2025</v>
      </c>
      <c r="D3330" s="405">
        <f t="shared" si="102"/>
        <v>12.16</v>
      </c>
      <c r="F3330" s="679">
        <v>12.16</v>
      </c>
      <c r="G3330" s="679">
        <v>12.16</v>
      </c>
      <c r="H3330" t="b">
        <f t="shared" si="103"/>
        <v>1</v>
      </c>
    </row>
    <row r="3331" spans="1:8">
      <c r="A3331" s="395">
        <v>4766</v>
      </c>
      <c r="B3331" s="406" t="s">
        <v>12062</v>
      </c>
      <c r="C3331" s="395" t="s">
        <v>2025</v>
      </c>
      <c r="D3331" s="407">
        <f t="shared" ref="D3331:D3394" si="104">IF($J$2=$F$1,F3331,G3331)</f>
        <v>11.45</v>
      </c>
      <c r="F3331" s="680">
        <v>11.45</v>
      </c>
      <c r="G3331" s="680">
        <v>11.45</v>
      </c>
      <c r="H3331" t="b">
        <f t="shared" ref="H3331:H3394" si="105">F3331=G3331</f>
        <v>1</v>
      </c>
    </row>
    <row r="3332" spans="1:8">
      <c r="A3332" s="396">
        <v>43664</v>
      </c>
      <c r="B3332" s="401" t="s">
        <v>12063</v>
      </c>
      <c r="C3332" s="396" t="s">
        <v>2025</v>
      </c>
      <c r="D3332" s="405">
        <f t="shared" si="104"/>
        <v>12.22</v>
      </c>
      <c r="F3332" s="679">
        <v>12.22</v>
      </c>
      <c r="G3332" s="679">
        <v>12.22</v>
      </c>
      <c r="H3332" t="b">
        <f t="shared" si="105"/>
        <v>1</v>
      </c>
    </row>
    <row r="3333" spans="1:8">
      <c r="A3333" s="395">
        <v>43082</v>
      </c>
      <c r="B3333" s="406" t="s">
        <v>12064</v>
      </c>
      <c r="C3333" s="395" t="s">
        <v>2025</v>
      </c>
      <c r="D3333" s="407">
        <f t="shared" si="104"/>
        <v>13.32</v>
      </c>
      <c r="F3333" s="680">
        <v>13.32</v>
      </c>
      <c r="G3333" s="680">
        <v>13.32</v>
      </c>
      <c r="H3333" t="b">
        <f t="shared" si="105"/>
        <v>1</v>
      </c>
    </row>
    <row r="3334" spans="1:8">
      <c r="A3334" s="396">
        <v>43665</v>
      </c>
      <c r="B3334" s="401" t="s">
        <v>12065</v>
      </c>
      <c r="C3334" s="396" t="s">
        <v>2025</v>
      </c>
      <c r="D3334" s="405">
        <f t="shared" si="104"/>
        <v>11.45</v>
      </c>
      <c r="F3334" s="679">
        <v>11.45</v>
      </c>
      <c r="G3334" s="679">
        <v>11.45</v>
      </c>
      <c r="H3334" t="b">
        <f t="shared" si="105"/>
        <v>1</v>
      </c>
    </row>
    <row r="3335" spans="1:8">
      <c r="A3335" s="395">
        <v>10966</v>
      </c>
      <c r="B3335" s="406" t="s">
        <v>12066</v>
      </c>
      <c r="C3335" s="395" t="s">
        <v>2025</v>
      </c>
      <c r="D3335" s="407">
        <f t="shared" si="104"/>
        <v>12.16</v>
      </c>
      <c r="F3335" s="680">
        <v>12.16</v>
      </c>
      <c r="G3335" s="680">
        <v>12.16</v>
      </c>
      <c r="H3335" t="b">
        <f t="shared" si="105"/>
        <v>1</v>
      </c>
    </row>
    <row r="3336" spans="1:8">
      <c r="A3336" s="396">
        <v>43692</v>
      </c>
      <c r="B3336" s="401" t="s">
        <v>12067</v>
      </c>
      <c r="C3336" s="396" t="s">
        <v>2025</v>
      </c>
      <c r="D3336" s="405">
        <f t="shared" si="104"/>
        <v>12.16</v>
      </c>
      <c r="F3336" s="679">
        <v>12.16</v>
      </c>
      <c r="G3336" s="679">
        <v>12.16</v>
      </c>
      <c r="H3336" t="b">
        <f t="shared" si="105"/>
        <v>1</v>
      </c>
    </row>
    <row r="3337" spans="1:8">
      <c r="A3337" s="395">
        <v>43083</v>
      </c>
      <c r="B3337" s="406" t="s">
        <v>12068</v>
      </c>
      <c r="C3337" s="395" t="s">
        <v>2025</v>
      </c>
      <c r="D3337" s="407">
        <f t="shared" si="104"/>
        <v>11.54</v>
      </c>
      <c r="F3337" s="680">
        <v>11.54</v>
      </c>
      <c r="G3337" s="680">
        <v>11.54</v>
      </c>
      <c r="H3337" t="b">
        <f t="shared" si="105"/>
        <v>1</v>
      </c>
    </row>
    <row r="3338" spans="1:8">
      <c r="A3338" s="396">
        <v>40535</v>
      </c>
      <c r="B3338" s="401" t="s">
        <v>12069</v>
      </c>
      <c r="C3338" s="396" t="s">
        <v>2025</v>
      </c>
      <c r="D3338" s="405">
        <f t="shared" si="104"/>
        <v>11.54</v>
      </c>
      <c r="F3338" s="679">
        <v>11.54</v>
      </c>
      <c r="G3338" s="679">
        <v>11.54</v>
      </c>
      <c r="H3338" t="b">
        <f t="shared" si="105"/>
        <v>1</v>
      </c>
    </row>
    <row r="3339" spans="1:8" ht="30">
      <c r="A3339" s="395">
        <v>39427</v>
      </c>
      <c r="B3339" s="406" t="s">
        <v>12070</v>
      </c>
      <c r="C3339" s="395" t="s">
        <v>2024</v>
      </c>
      <c r="D3339" s="407">
        <f t="shared" si="104"/>
        <v>7.22</v>
      </c>
      <c r="F3339" s="680">
        <v>7.22</v>
      </c>
      <c r="G3339" s="680">
        <v>7.22</v>
      </c>
      <c r="H3339" t="b">
        <f t="shared" si="105"/>
        <v>1</v>
      </c>
    </row>
    <row r="3340" spans="1:8">
      <c r="A3340" s="396">
        <v>39424</v>
      </c>
      <c r="B3340" s="401" t="s">
        <v>12071</v>
      </c>
      <c r="C3340" s="396" t="s">
        <v>2024</v>
      </c>
      <c r="D3340" s="405">
        <f t="shared" si="104"/>
        <v>4.3</v>
      </c>
      <c r="F3340" s="679">
        <v>4.3</v>
      </c>
      <c r="G3340" s="679">
        <v>4.3</v>
      </c>
      <c r="H3340" t="b">
        <f t="shared" si="105"/>
        <v>1</v>
      </c>
    </row>
    <row r="3341" spans="1:8">
      <c r="A3341" s="395">
        <v>39425</v>
      </c>
      <c r="B3341" s="406" t="s">
        <v>12072</v>
      </c>
      <c r="C3341" s="395" t="s">
        <v>2024</v>
      </c>
      <c r="D3341" s="407">
        <f t="shared" si="104"/>
        <v>4.24</v>
      </c>
      <c r="F3341" s="680">
        <v>4.24</v>
      </c>
      <c r="G3341" s="680">
        <v>4.24</v>
      </c>
      <c r="H3341" t="b">
        <f t="shared" si="105"/>
        <v>1</v>
      </c>
    </row>
    <row r="3342" spans="1:8">
      <c r="A3342" s="396">
        <v>40664</v>
      </c>
      <c r="B3342" s="401" t="s">
        <v>12073</v>
      </c>
      <c r="C3342" s="396" t="s">
        <v>2025</v>
      </c>
      <c r="D3342" s="405">
        <f t="shared" si="104"/>
        <v>23.67</v>
      </c>
      <c r="F3342" s="679">
        <v>23.67</v>
      </c>
      <c r="G3342" s="679">
        <v>23.67</v>
      </c>
      <c r="H3342" t="b">
        <f t="shared" si="105"/>
        <v>1</v>
      </c>
    </row>
    <row r="3343" spans="1:8">
      <c r="A3343" s="395">
        <v>34360</v>
      </c>
      <c r="B3343" s="406" t="s">
        <v>12074</v>
      </c>
      <c r="C3343" s="395" t="s">
        <v>2025</v>
      </c>
      <c r="D3343" s="407">
        <f t="shared" si="104"/>
        <v>42.29</v>
      </c>
      <c r="F3343" s="680">
        <v>42.29</v>
      </c>
      <c r="G3343" s="680">
        <v>42.29</v>
      </c>
      <c r="H3343" t="b">
        <f t="shared" si="105"/>
        <v>1</v>
      </c>
    </row>
    <row r="3344" spans="1:8">
      <c r="A3344" s="396">
        <v>20259</v>
      </c>
      <c r="B3344" s="401" t="s">
        <v>12075</v>
      </c>
      <c r="C3344" s="396" t="s">
        <v>2024</v>
      </c>
      <c r="D3344" s="405">
        <f t="shared" si="104"/>
        <v>13.2</v>
      </c>
      <c r="F3344" s="679">
        <v>13.2</v>
      </c>
      <c r="G3344" s="679">
        <v>13.2</v>
      </c>
      <c r="H3344" t="b">
        <f t="shared" si="105"/>
        <v>1</v>
      </c>
    </row>
    <row r="3345" spans="1:8" ht="30">
      <c r="A3345" s="395">
        <v>14077</v>
      </c>
      <c r="B3345" s="406" t="s">
        <v>12076</v>
      </c>
      <c r="C3345" s="395" t="s">
        <v>2024</v>
      </c>
      <c r="D3345" s="407">
        <f t="shared" si="104"/>
        <v>202.04</v>
      </c>
      <c r="F3345" s="680">
        <v>202.04</v>
      </c>
      <c r="G3345" s="680">
        <v>202.04</v>
      </c>
      <c r="H3345" t="b">
        <f t="shared" si="105"/>
        <v>1</v>
      </c>
    </row>
    <row r="3346" spans="1:8" ht="30">
      <c r="A3346" s="396">
        <v>3678</v>
      </c>
      <c r="B3346" s="401" t="s">
        <v>12077</v>
      </c>
      <c r="C3346" s="396" t="s">
        <v>2024</v>
      </c>
      <c r="D3346" s="405">
        <f t="shared" si="104"/>
        <v>91.32</v>
      </c>
      <c r="F3346" s="679">
        <v>91.32</v>
      </c>
      <c r="G3346" s="679">
        <v>91.32</v>
      </c>
      <c r="H3346" t="b">
        <f t="shared" si="105"/>
        <v>1</v>
      </c>
    </row>
    <row r="3347" spans="1:8">
      <c r="A3347" s="395">
        <v>39418</v>
      </c>
      <c r="B3347" s="406" t="s">
        <v>12078</v>
      </c>
      <c r="C3347" s="395" t="s">
        <v>2024</v>
      </c>
      <c r="D3347" s="407">
        <f t="shared" si="104"/>
        <v>8.06</v>
      </c>
      <c r="F3347" s="680">
        <v>8.06</v>
      </c>
      <c r="G3347" s="680">
        <v>8.06</v>
      </c>
      <c r="H3347" t="b">
        <f t="shared" si="105"/>
        <v>1</v>
      </c>
    </row>
    <row r="3348" spans="1:8">
      <c r="A3348" s="396">
        <v>39419</v>
      </c>
      <c r="B3348" s="401" t="s">
        <v>12079</v>
      </c>
      <c r="C3348" s="396" t="s">
        <v>2024</v>
      </c>
      <c r="D3348" s="405">
        <f t="shared" si="104"/>
        <v>9.82</v>
      </c>
      <c r="F3348" s="679">
        <v>9.82</v>
      </c>
      <c r="G3348" s="679">
        <v>9.82</v>
      </c>
      <c r="H3348" t="b">
        <f t="shared" si="105"/>
        <v>1</v>
      </c>
    </row>
    <row r="3349" spans="1:8">
      <c r="A3349" s="395">
        <v>39420</v>
      </c>
      <c r="B3349" s="406" t="s">
        <v>12080</v>
      </c>
      <c r="C3349" s="395" t="s">
        <v>2024</v>
      </c>
      <c r="D3349" s="407">
        <f t="shared" si="104"/>
        <v>10.84</v>
      </c>
      <c r="F3349" s="680">
        <v>10.84</v>
      </c>
      <c r="G3349" s="680">
        <v>10.84</v>
      </c>
      <c r="H3349" t="b">
        <f t="shared" si="105"/>
        <v>1</v>
      </c>
    </row>
    <row r="3350" spans="1:8" ht="30">
      <c r="A3350" s="396">
        <v>39571</v>
      </c>
      <c r="B3350" s="401" t="s">
        <v>12081</v>
      </c>
      <c r="C3350" s="396" t="s">
        <v>2024</v>
      </c>
      <c r="D3350" s="405">
        <f t="shared" si="104"/>
        <v>6.55</v>
      </c>
      <c r="F3350" s="679">
        <v>6.55</v>
      </c>
      <c r="G3350" s="679">
        <v>6.55</v>
      </c>
      <c r="H3350" t="b">
        <f t="shared" si="105"/>
        <v>1</v>
      </c>
    </row>
    <row r="3351" spans="1:8">
      <c r="A3351" s="395">
        <v>39421</v>
      </c>
      <c r="B3351" s="406" t="s">
        <v>12082</v>
      </c>
      <c r="C3351" s="395" t="s">
        <v>2024</v>
      </c>
      <c r="D3351" s="407">
        <f t="shared" si="104"/>
        <v>9.5399999999999991</v>
      </c>
      <c r="F3351" s="680">
        <v>9.5399999999999991</v>
      </c>
      <c r="G3351" s="680">
        <v>9.5399999999999991</v>
      </c>
      <c r="H3351" t="b">
        <f t="shared" si="105"/>
        <v>1</v>
      </c>
    </row>
    <row r="3352" spans="1:8">
      <c r="A3352" s="396">
        <v>39422</v>
      </c>
      <c r="B3352" s="401" t="s">
        <v>12083</v>
      </c>
      <c r="C3352" s="396" t="s">
        <v>2024</v>
      </c>
      <c r="D3352" s="405">
        <f t="shared" si="104"/>
        <v>11.14</v>
      </c>
      <c r="F3352" s="679">
        <v>11.14</v>
      </c>
      <c r="G3352" s="679">
        <v>11.14</v>
      </c>
      <c r="H3352" t="b">
        <f t="shared" si="105"/>
        <v>1</v>
      </c>
    </row>
    <row r="3353" spans="1:8">
      <c r="A3353" s="395">
        <v>39423</v>
      </c>
      <c r="B3353" s="406" t="s">
        <v>12084</v>
      </c>
      <c r="C3353" s="395" t="s">
        <v>2024</v>
      </c>
      <c r="D3353" s="407">
        <f t="shared" si="104"/>
        <v>12.93</v>
      </c>
      <c r="F3353" s="680">
        <v>12.93</v>
      </c>
      <c r="G3353" s="680">
        <v>12.93</v>
      </c>
      <c r="H3353" t="b">
        <f t="shared" si="105"/>
        <v>1</v>
      </c>
    </row>
    <row r="3354" spans="1:8" ht="30">
      <c r="A3354" s="396">
        <v>39426</v>
      </c>
      <c r="B3354" s="401" t="s">
        <v>12085</v>
      </c>
      <c r="C3354" s="396" t="s">
        <v>2024</v>
      </c>
      <c r="D3354" s="405">
        <f t="shared" si="104"/>
        <v>29.08</v>
      </c>
      <c r="F3354" s="679">
        <v>29.08</v>
      </c>
      <c r="G3354" s="679">
        <v>29.08</v>
      </c>
      <c r="H3354" t="b">
        <f t="shared" si="105"/>
        <v>1</v>
      </c>
    </row>
    <row r="3355" spans="1:8" ht="30">
      <c r="A3355" s="395">
        <v>39429</v>
      </c>
      <c r="B3355" s="406" t="s">
        <v>12086</v>
      </c>
      <c r="C3355" s="395" t="s">
        <v>2024</v>
      </c>
      <c r="D3355" s="407">
        <f t="shared" si="104"/>
        <v>9.17</v>
      </c>
      <c r="F3355" s="680">
        <v>9.17</v>
      </c>
      <c r="G3355" s="680">
        <v>9.17</v>
      </c>
      <c r="H3355" t="b">
        <f t="shared" si="105"/>
        <v>1</v>
      </c>
    </row>
    <row r="3356" spans="1:8" ht="30">
      <c r="A3356" s="396">
        <v>39428</v>
      </c>
      <c r="B3356" s="401" t="s">
        <v>12087</v>
      </c>
      <c r="C3356" s="396" t="s">
        <v>2024</v>
      </c>
      <c r="D3356" s="405">
        <f t="shared" si="104"/>
        <v>7.01</v>
      </c>
      <c r="F3356" s="679">
        <v>7.01</v>
      </c>
      <c r="G3356" s="679">
        <v>7.01</v>
      </c>
      <c r="H3356" t="b">
        <f t="shared" si="105"/>
        <v>1</v>
      </c>
    </row>
    <row r="3357" spans="1:8">
      <c r="A3357" s="395">
        <v>39572</v>
      </c>
      <c r="B3357" s="406" t="s">
        <v>12088</v>
      </c>
      <c r="C3357" s="395" t="s">
        <v>2024</v>
      </c>
      <c r="D3357" s="407">
        <f t="shared" si="104"/>
        <v>6.07</v>
      </c>
      <c r="F3357" s="680">
        <v>6.07</v>
      </c>
      <c r="G3357" s="680">
        <v>6.07</v>
      </c>
      <c r="H3357" t="b">
        <f t="shared" si="105"/>
        <v>1</v>
      </c>
    </row>
    <row r="3358" spans="1:8">
      <c r="A3358" s="396">
        <v>39570</v>
      </c>
      <c r="B3358" s="401" t="s">
        <v>12089</v>
      </c>
      <c r="C3358" s="396" t="s">
        <v>2024</v>
      </c>
      <c r="D3358" s="405">
        <f t="shared" si="104"/>
        <v>6.43</v>
      </c>
      <c r="F3358" s="679">
        <v>6.43</v>
      </c>
      <c r="G3358" s="679">
        <v>6.43</v>
      </c>
      <c r="H3358" t="b">
        <f t="shared" si="105"/>
        <v>1</v>
      </c>
    </row>
    <row r="3359" spans="1:8">
      <c r="A3359" s="395">
        <v>39569</v>
      </c>
      <c r="B3359" s="406" t="s">
        <v>12090</v>
      </c>
      <c r="C3359" s="395" t="s">
        <v>2024</v>
      </c>
      <c r="D3359" s="407">
        <f t="shared" si="104"/>
        <v>6.36</v>
      </c>
      <c r="F3359" s="680">
        <v>6.36</v>
      </c>
      <c r="G3359" s="680">
        <v>6.36</v>
      </c>
      <c r="H3359" t="b">
        <f t="shared" si="105"/>
        <v>1</v>
      </c>
    </row>
    <row r="3360" spans="1:8">
      <c r="A3360" s="396">
        <v>11552</v>
      </c>
      <c r="B3360" s="401" t="s">
        <v>12091</v>
      </c>
      <c r="C3360" s="396" t="s">
        <v>2024</v>
      </c>
      <c r="D3360" s="405">
        <f t="shared" si="104"/>
        <v>8.14</v>
      </c>
      <c r="F3360" s="679">
        <v>8.14</v>
      </c>
      <c r="G3360" s="679">
        <v>8.14</v>
      </c>
      <c r="H3360" t="b">
        <f t="shared" si="105"/>
        <v>1</v>
      </c>
    </row>
    <row r="3361" spans="1:8">
      <c r="A3361" s="395">
        <v>40598</v>
      </c>
      <c r="B3361" s="406" t="s">
        <v>12092</v>
      </c>
      <c r="C3361" s="395" t="s">
        <v>2025</v>
      </c>
      <c r="D3361" s="407">
        <f t="shared" si="104"/>
        <v>11.25</v>
      </c>
      <c r="F3361" s="680">
        <v>11.25</v>
      </c>
      <c r="G3361" s="680">
        <v>11.25</v>
      </c>
      <c r="H3361" t="b">
        <f t="shared" si="105"/>
        <v>1</v>
      </c>
    </row>
    <row r="3362" spans="1:8">
      <c r="A3362" s="396">
        <v>39029</v>
      </c>
      <c r="B3362" s="401" t="s">
        <v>12093</v>
      </c>
      <c r="C3362" s="396" t="s">
        <v>2024</v>
      </c>
      <c r="D3362" s="405">
        <f t="shared" si="104"/>
        <v>20.53</v>
      </c>
      <c r="F3362" s="679">
        <v>20.53</v>
      </c>
      <c r="G3362" s="679">
        <v>20.53</v>
      </c>
      <c r="H3362" t="b">
        <f t="shared" si="105"/>
        <v>1</v>
      </c>
    </row>
    <row r="3363" spans="1:8">
      <c r="A3363" s="395">
        <v>39028</v>
      </c>
      <c r="B3363" s="406" t="s">
        <v>12094</v>
      </c>
      <c r="C3363" s="395" t="s">
        <v>2024</v>
      </c>
      <c r="D3363" s="407">
        <f t="shared" si="104"/>
        <v>11.95</v>
      </c>
      <c r="F3363" s="680">
        <v>11.95</v>
      </c>
      <c r="G3363" s="680">
        <v>11.95</v>
      </c>
      <c r="H3363" t="b">
        <f t="shared" si="105"/>
        <v>1</v>
      </c>
    </row>
    <row r="3364" spans="1:8">
      <c r="A3364" s="396">
        <v>39328</v>
      </c>
      <c r="B3364" s="401" t="s">
        <v>12095</v>
      </c>
      <c r="C3364" s="396" t="s">
        <v>2024</v>
      </c>
      <c r="D3364" s="405">
        <f t="shared" si="104"/>
        <v>6.57</v>
      </c>
      <c r="F3364" s="679">
        <v>6.57</v>
      </c>
      <c r="G3364" s="679">
        <v>6.57</v>
      </c>
      <c r="H3364" t="b">
        <f t="shared" si="105"/>
        <v>1</v>
      </c>
    </row>
    <row r="3365" spans="1:8" ht="30">
      <c r="A3365" s="395">
        <v>38541</v>
      </c>
      <c r="B3365" s="406" t="s">
        <v>12096</v>
      </c>
      <c r="C3365" s="395" t="s">
        <v>2021</v>
      </c>
      <c r="D3365" s="407">
        <f t="shared" si="104"/>
        <v>4143225.27</v>
      </c>
      <c r="F3365" s="680">
        <v>4143225.27</v>
      </c>
      <c r="G3365" s="680">
        <v>4143225.27</v>
      </c>
      <c r="H3365" t="b">
        <f t="shared" si="105"/>
        <v>1</v>
      </c>
    </row>
    <row r="3366" spans="1:8" ht="30">
      <c r="A3366" s="396">
        <v>38542</v>
      </c>
      <c r="B3366" s="401" t="s">
        <v>12097</v>
      </c>
      <c r="C3366" s="396" t="s">
        <v>2021</v>
      </c>
      <c r="D3366" s="405">
        <f t="shared" si="104"/>
        <v>6442548.6799999997</v>
      </c>
      <c r="F3366" s="679">
        <v>6442548.6799999997</v>
      </c>
      <c r="G3366" s="679">
        <v>6442548.6799999997</v>
      </c>
      <c r="H3366" t="b">
        <f t="shared" si="105"/>
        <v>1</v>
      </c>
    </row>
    <row r="3367" spans="1:8" ht="30">
      <c r="A3367" s="395">
        <v>38543</v>
      </c>
      <c r="B3367" s="406" t="s">
        <v>12098</v>
      </c>
      <c r="C3367" s="395" t="s">
        <v>2021</v>
      </c>
      <c r="D3367" s="407">
        <f t="shared" si="104"/>
        <v>1577313.69</v>
      </c>
      <c r="F3367" s="680">
        <v>1577313.69</v>
      </c>
      <c r="G3367" s="680">
        <v>1577313.69</v>
      </c>
      <c r="H3367" t="b">
        <f t="shared" si="105"/>
        <v>1</v>
      </c>
    </row>
    <row r="3368" spans="1:8" ht="30">
      <c r="A3368" s="396">
        <v>40406</v>
      </c>
      <c r="B3368" s="401" t="s">
        <v>12099</v>
      </c>
      <c r="C3368" s="396" t="s">
        <v>2021</v>
      </c>
      <c r="D3368" s="405">
        <f t="shared" si="104"/>
        <v>82655.98</v>
      </c>
      <c r="F3368" s="679">
        <v>82655.98</v>
      </c>
      <c r="G3368" s="679">
        <v>82655.98</v>
      </c>
      <c r="H3368" t="b">
        <f t="shared" si="105"/>
        <v>1</v>
      </c>
    </row>
    <row r="3369" spans="1:8">
      <c r="A3369" s="395">
        <v>40789</v>
      </c>
      <c r="B3369" s="406" t="s">
        <v>12100</v>
      </c>
      <c r="C3369" s="395" t="s">
        <v>2021</v>
      </c>
      <c r="D3369" s="407">
        <f t="shared" si="104"/>
        <v>11911.57</v>
      </c>
      <c r="F3369" s="680">
        <v>11911.57</v>
      </c>
      <c r="G3369" s="680">
        <v>11911.57</v>
      </c>
      <c r="H3369" t="b">
        <f t="shared" si="105"/>
        <v>1</v>
      </c>
    </row>
    <row r="3370" spans="1:8" ht="30">
      <c r="A3370" s="396">
        <v>40791</v>
      </c>
      <c r="B3370" s="401" t="s">
        <v>12101</v>
      </c>
      <c r="C3370" s="396" t="s">
        <v>2021</v>
      </c>
      <c r="D3370" s="405">
        <f t="shared" si="104"/>
        <v>37288.410000000003</v>
      </c>
      <c r="F3370" s="679">
        <v>37288.410000000003</v>
      </c>
      <c r="G3370" s="679">
        <v>37288.410000000003</v>
      </c>
      <c r="H3370" t="b">
        <f t="shared" si="105"/>
        <v>1</v>
      </c>
    </row>
    <row r="3371" spans="1:8">
      <c r="A3371" s="395">
        <v>11651</v>
      </c>
      <c r="B3371" s="406" t="s">
        <v>12102</v>
      </c>
      <c r="C3371" s="395" t="s">
        <v>2021</v>
      </c>
      <c r="D3371" s="407">
        <f t="shared" si="104"/>
        <v>20393.560000000001</v>
      </c>
      <c r="F3371" s="680">
        <v>20393.560000000001</v>
      </c>
      <c r="G3371" s="680">
        <v>20393.560000000001</v>
      </c>
      <c r="H3371" t="b">
        <f t="shared" si="105"/>
        <v>1</v>
      </c>
    </row>
    <row r="3372" spans="1:8">
      <c r="A3372" s="396">
        <v>40435</v>
      </c>
      <c r="B3372" s="401" t="s">
        <v>12103</v>
      </c>
      <c r="C3372" s="396" t="s">
        <v>2021</v>
      </c>
      <c r="D3372" s="405">
        <f t="shared" si="104"/>
        <v>865300.94</v>
      </c>
      <c r="F3372" s="679">
        <v>865300.94</v>
      </c>
      <c r="G3372" s="679">
        <v>865300.94</v>
      </c>
      <c r="H3372" t="b">
        <f t="shared" si="105"/>
        <v>1</v>
      </c>
    </row>
    <row r="3373" spans="1:8">
      <c r="A3373" s="395">
        <v>39012</v>
      </c>
      <c r="B3373" s="406" t="s">
        <v>12104</v>
      </c>
      <c r="C3373" s="395" t="s">
        <v>2021</v>
      </c>
      <c r="D3373" s="407">
        <f t="shared" si="104"/>
        <v>902821.9</v>
      </c>
      <c r="F3373" s="680">
        <v>902821.9</v>
      </c>
      <c r="G3373" s="680">
        <v>902821.9</v>
      </c>
      <c r="H3373" t="b">
        <f t="shared" si="105"/>
        <v>1</v>
      </c>
    </row>
    <row r="3374" spans="1:8">
      <c r="A3374" s="396">
        <v>13617</v>
      </c>
      <c r="B3374" s="401" t="s">
        <v>12105</v>
      </c>
      <c r="C3374" s="396" t="s">
        <v>2021</v>
      </c>
      <c r="D3374" s="405">
        <f t="shared" si="104"/>
        <v>95725.06</v>
      </c>
      <c r="F3374" s="679">
        <v>95725.06</v>
      </c>
      <c r="G3374" s="679">
        <v>95725.06</v>
      </c>
      <c r="H3374" t="b">
        <f t="shared" si="105"/>
        <v>1</v>
      </c>
    </row>
    <row r="3375" spans="1:8">
      <c r="A3375" s="395">
        <v>35274</v>
      </c>
      <c r="B3375" s="406" t="s">
        <v>12106</v>
      </c>
      <c r="C3375" s="395" t="s">
        <v>2024</v>
      </c>
      <c r="D3375" s="407">
        <f t="shared" si="104"/>
        <v>44.91</v>
      </c>
      <c r="F3375" s="680">
        <v>44.91</v>
      </c>
      <c r="G3375" s="680">
        <v>44.91</v>
      </c>
      <c r="H3375" t="b">
        <f t="shared" si="105"/>
        <v>1</v>
      </c>
    </row>
    <row r="3376" spans="1:8">
      <c r="A3376" s="396">
        <v>35275</v>
      </c>
      <c r="B3376" s="401" t="s">
        <v>12107</v>
      </c>
      <c r="C3376" s="396" t="s">
        <v>2024</v>
      </c>
      <c r="D3376" s="405">
        <f t="shared" si="104"/>
        <v>95.32</v>
      </c>
      <c r="F3376" s="679">
        <v>95.32</v>
      </c>
      <c r="G3376" s="679">
        <v>95.32</v>
      </c>
      <c r="H3376" t="b">
        <f t="shared" si="105"/>
        <v>1</v>
      </c>
    </row>
    <row r="3377" spans="1:8">
      <c r="A3377" s="395">
        <v>35276</v>
      </c>
      <c r="B3377" s="406" t="s">
        <v>12108</v>
      </c>
      <c r="C3377" s="395" t="s">
        <v>2024</v>
      </c>
      <c r="D3377" s="407">
        <f t="shared" si="104"/>
        <v>165.86</v>
      </c>
      <c r="F3377" s="680">
        <v>165.86</v>
      </c>
      <c r="G3377" s="680">
        <v>165.86</v>
      </c>
      <c r="H3377" t="b">
        <f t="shared" si="105"/>
        <v>1</v>
      </c>
    </row>
    <row r="3378" spans="1:8">
      <c r="A3378" s="396">
        <v>38386</v>
      </c>
      <c r="B3378" s="401" t="s">
        <v>12109</v>
      </c>
      <c r="C3378" s="396" t="s">
        <v>2021</v>
      </c>
      <c r="D3378" s="405">
        <f t="shared" si="104"/>
        <v>6.34</v>
      </c>
      <c r="F3378" s="679">
        <v>6.34</v>
      </c>
      <c r="G3378" s="679">
        <v>6.34</v>
      </c>
      <c r="H3378" t="b">
        <f t="shared" si="105"/>
        <v>1</v>
      </c>
    </row>
    <row r="3379" spans="1:8">
      <c r="A3379" s="395">
        <v>11091</v>
      </c>
      <c r="B3379" s="406" t="s">
        <v>12110</v>
      </c>
      <c r="C3379" s="395" t="s">
        <v>2021</v>
      </c>
      <c r="D3379" s="407">
        <f t="shared" si="104"/>
        <v>1.58</v>
      </c>
      <c r="F3379" s="680">
        <v>1.58</v>
      </c>
      <c r="G3379" s="680">
        <v>1.58</v>
      </c>
      <c r="H3379" t="b">
        <f t="shared" si="105"/>
        <v>1</v>
      </c>
    </row>
    <row r="3380" spans="1:8">
      <c r="A3380" s="396">
        <v>37586</v>
      </c>
      <c r="B3380" s="401" t="s">
        <v>12111</v>
      </c>
      <c r="C3380" s="396" t="s">
        <v>2034</v>
      </c>
      <c r="D3380" s="405">
        <f t="shared" si="104"/>
        <v>48.28</v>
      </c>
      <c r="F3380" s="679">
        <v>48.28</v>
      </c>
      <c r="G3380" s="679">
        <v>48.28</v>
      </c>
      <c r="H3380" t="b">
        <f t="shared" si="105"/>
        <v>1</v>
      </c>
    </row>
    <row r="3381" spans="1:8">
      <c r="A3381" s="395">
        <v>37395</v>
      </c>
      <c r="B3381" s="406" t="s">
        <v>12112</v>
      </c>
      <c r="C3381" s="395" t="s">
        <v>2034</v>
      </c>
      <c r="D3381" s="407">
        <f t="shared" si="104"/>
        <v>41.52</v>
      </c>
      <c r="F3381" s="680">
        <v>41.52</v>
      </c>
      <c r="G3381" s="680">
        <v>41.52</v>
      </c>
      <c r="H3381" t="b">
        <f t="shared" si="105"/>
        <v>1</v>
      </c>
    </row>
    <row r="3382" spans="1:8">
      <c r="A3382" s="396">
        <v>14147</v>
      </c>
      <c r="B3382" s="401" t="s">
        <v>12113</v>
      </c>
      <c r="C3382" s="396" t="s">
        <v>2034</v>
      </c>
      <c r="D3382" s="405">
        <f t="shared" si="104"/>
        <v>55.07</v>
      </c>
      <c r="F3382" s="679">
        <v>55.07</v>
      </c>
      <c r="G3382" s="679">
        <v>55.07</v>
      </c>
      <c r="H3382" t="b">
        <f t="shared" si="105"/>
        <v>1</v>
      </c>
    </row>
    <row r="3383" spans="1:8">
      <c r="A3383" s="395">
        <v>37396</v>
      </c>
      <c r="B3383" s="406" t="s">
        <v>12114</v>
      </c>
      <c r="C3383" s="395" t="s">
        <v>2034</v>
      </c>
      <c r="D3383" s="407">
        <f t="shared" si="104"/>
        <v>33.97</v>
      </c>
      <c r="F3383" s="680">
        <v>33.97</v>
      </c>
      <c r="G3383" s="680">
        <v>33.97</v>
      </c>
      <c r="H3383" t="b">
        <f t="shared" si="105"/>
        <v>1</v>
      </c>
    </row>
    <row r="3384" spans="1:8">
      <c r="A3384" s="396">
        <v>37397</v>
      </c>
      <c r="B3384" s="401" t="s">
        <v>12115</v>
      </c>
      <c r="C3384" s="396" t="s">
        <v>2034</v>
      </c>
      <c r="D3384" s="405">
        <f t="shared" si="104"/>
        <v>35.58</v>
      </c>
      <c r="F3384" s="679">
        <v>35.58</v>
      </c>
      <c r="G3384" s="679">
        <v>35.58</v>
      </c>
      <c r="H3384" t="b">
        <f t="shared" si="105"/>
        <v>1</v>
      </c>
    </row>
    <row r="3385" spans="1:8">
      <c r="A3385" s="395">
        <v>43606</v>
      </c>
      <c r="B3385" s="406" t="s">
        <v>12116</v>
      </c>
      <c r="C3385" s="395" t="s">
        <v>2021</v>
      </c>
      <c r="D3385" s="407">
        <f t="shared" si="104"/>
        <v>9.75</v>
      </c>
      <c r="F3385" s="680">
        <v>9.75</v>
      </c>
      <c r="G3385" s="680">
        <v>9.75</v>
      </c>
      <c r="H3385" t="b">
        <f t="shared" si="105"/>
        <v>1</v>
      </c>
    </row>
    <row r="3386" spans="1:8">
      <c r="A3386" s="396">
        <v>444</v>
      </c>
      <c r="B3386" s="401" t="s">
        <v>12117</v>
      </c>
      <c r="C3386" s="396" t="s">
        <v>2021</v>
      </c>
      <c r="D3386" s="405">
        <f t="shared" si="104"/>
        <v>39.6</v>
      </c>
      <c r="F3386" s="679">
        <v>39.6</v>
      </c>
      <c r="G3386" s="679">
        <v>39.6</v>
      </c>
      <c r="H3386" t="b">
        <f t="shared" si="105"/>
        <v>1</v>
      </c>
    </row>
    <row r="3387" spans="1:8">
      <c r="A3387" s="395">
        <v>445</v>
      </c>
      <c r="B3387" s="406" t="s">
        <v>12118</v>
      </c>
      <c r="C3387" s="395" t="s">
        <v>2021</v>
      </c>
      <c r="D3387" s="407">
        <f t="shared" si="104"/>
        <v>54.2</v>
      </c>
      <c r="F3387" s="680">
        <v>54.2</v>
      </c>
      <c r="G3387" s="680">
        <v>54.2</v>
      </c>
      <c r="H3387" t="b">
        <f t="shared" si="105"/>
        <v>1</v>
      </c>
    </row>
    <row r="3388" spans="1:8">
      <c r="A3388" s="396">
        <v>4783</v>
      </c>
      <c r="B3388" s="401" t="s">
        <v>12119</v>
      </c>
      <c r="C3388" s="396" t="s">
        <v>2020</v>
      </c>
      <c r="D3388" s="405">
        <f t="shared" si="104"/>
        <v>16.29</v>
      </c>
      <c r="F3388" s="679">
        <v>16.29</v>
      </c>
      <c r="G3388" s="679">
        <v>18.739999999999998</v>
      </c>
      <c r="H3388" t="b">
        <f t="shared" si="105"/>
        <v>0</v>
      </c>
    </row>
    <row r="3389" spans="1:8">
      <c r="A3389" s="395">
        <v>41079</v>
      </c>
      <c r="B3389" s="406" t="s">
        <v>12120</v>
      </c>
      <c r="C3389" s="395" t="s">
        <v>2027</v>
      </c>
      <c r="D3389" s="407">
        <f t="shared" si="104"/>
        <v>2871.23</v>
      </c>
      <c r="F3389" s="680">
        <v>2871.23</v>
      </c>
      <c r="G3389" s="680">
        <v>3307.49</v>
      </c>
      <c r="H3389" t="b">
        <f t="shared" si="105"/>
        <v>0</v>
      </c>
    </row>
    <row r="3390" spans="1:8">
      <c r="A3390" s="396">
        <v>12874</v>
      </c>
      <c r="B3390" s="401" t="s">
        <v>12121</v>
      </c>
      <c r="C3390" s="396" t="s">
        <v>2020</v>
      </c>
      <c r="D3390" s="405">
        <f t="shared" si="104"/>
        <v>15.8</v>
      </c>
      <c r="F3390" s="679">
        <v>15.8</v>
      </c>
      <c r="G3390" s="679">
        <v>18.18</v>
      </c>
      <c r="H3390" t="b">
        <f t="shared" si="105"/>
        <v>0</v>
      </c>
    </row>
    <row r="3391" spans="1:8">
      <c r="A3391" s="395">
        <v>41082</v>
      </c>
      <c r="B3391" s="406" t="s">
        <v>12122</v>
      </c>
      <c r="C3391" s="395" t="s">
        <v>2027</v>
      </c>
      <c r="D3391" s="407">
        <f t="shared" si="104"/>
        <v>2788.15</v>
      </c>
      <c r="F3391" s="680">
        <v>2788.15</v>
      </c>
      <c r="G3391" s="680">
        <v>3211.79</v>
      </c>
      <c r="H3391" t="b">
        <f t="shared" si="105"/>
        <v>0</v>
      </c>
    </row>
    <row r="3392" spans="1:8">
      <c r="A3392" s="396">
        <v>4785</v>
      </c>
      <c r="B3392" s="401" t="s">
        <v>12123</v>
      </c>
      <c r="C3392" s="396" t="s">
        <v>2020</v>
      </c>
      <c r="D3392" s="405">
        <f t="shared" si="104"/>
        <v>16.29</v>
      </c>
      <c r="F3392" s="679">
        <v>16.29</v>
      </c>
      <c r="G3392" s="679">
        <v>18.739999999999998</v>
      </c>
      <c r="H3392" t="b">
        <f t="shared" si="105"/>
        <v>0</v>
      </c>
    </row>
    <row r="3393" spans="1:8">
      <c r="A3393" s="395">
        <v>41081</v>
      </c>
      <c r="B3393" s="406" t="s">
        <v>12124</v>
      </c>
      <c r="C3393" s="395" t="s">
        <v>2027</v>
      </c>
      <c r="D3393" s="407">
        <f t="shared" si="104"/>
        <v>2871.23</v>
      </c>
      <c r="F3393" s="680">
        <v>2871.23</v>
      </c>
      <c r="G3393" s="680">
        <v>3307.49</v>
      </c>
      <c r="H3393" t="b">
        <f t="shared" si="105"/>
        <v>0</v>
      </c>
    </row>
    <row r="3394" spans="1:8">
      <c r="A3394" s="396">
        <v>4801</v>
      </c>
      <c r="B3394" s="401" t="s">
        <v>12125</v>
      </c>
      <c r="C3394" s="396" t="s">
        <v>2023</v>
      </c>
      <c r="D3394" s="405">
        <f t="shared" si="104"/>
        <v>107.35</v>
      </c>
      <c r="F3394" s="679">
        <v>107.35</v>
      </c>
      <c r="G3394" s="679">
        <v>107.35</v>
      </c>
      <c r="H3394" t="b">
        <f t="shared" si="105"/>
        <v>1</v>
      </c>
    </row>
    <row r="3395" spans="1:8">
      <c r="A3395" s="395">
        <v>4794</v>
      </c>
      <c r="B3395" s="406" t="s">
        <v>12126</v>
      </c>
      <c r="C3395" s="395" t="s">
        <v>2023</v>
      </c>
      <c r="D3395" s="407">
        <f t="shared" ref="D3395:D3458" si="106">IF($J$2=$F$1,F3395,G3395)</f>
        <v>488.94</v>
      </c>
      <c r="F3395" s="680">
        <v>488.94</v>
      </c>
      <c r="G3395" s="680">
        <v>488.94</v>
      </c>
      <c r="H3395" t="b">
        <f t="shared" ref="H3395:H3458" si="107">F3395=G3395</f>
        <v>1</v>
      </c>
    </row>
    <row r="3396" spans="1:8">
      <c r="A3396" s="396">
        <v>4796</v>
      </c>
      <c r="B3396" s="401" t="s">
        <v>12127</v>
      </c>
      <c r="C3396" s="396" t="s">
        <v>2023</v>
      </c>
      <c r="D3396" s="405">
        <f t="shared" si="106"/>
        <v>296.98</v>
      </c>
      <c r="F3396" s="679">
        <v>296.98</v>
      </c>
      <c r="G3396" s="679">
        <v>296.98</v>
      </c>
      <c r="H3396" t="b">
        <f t="shared" si="107"/>
        <v>1</v>
      </c>
    </row>
    <row r="3397" spans="1:8">
      <c r="A3397" s="395">
        <v>4800</v>
      </c>
      <c r="B3397" s="406" t="s">
        <v>12128</v>
      </c>
      <c r="C3397" s="395" t="s">
        <v>2023</v>
      </c>
      <c r="D3397" s="407">
        <f t="shared" si="106"/>
        <v>81.67</v>
      </c>
      <c r="F3397" s="680">
        <v>81.67</v>
      </c>
      <c r="G3397" s="680">
        <v>81.67</v>
      </c>
      <c r="H3397" t="b">
        <f t="shared" si="107"/>
        <v>1</v>
      </c>
    </row>
    <row r="3398" spans="1:8">
      <c r="A3398" s="396">
        <v>4795</v>
      </c>
      <c r="B3398" s="401" t="s">
        <v>12129</v>
      </c>
      <c r="C3398" s="396" t="s">
        <v>2023</v>
      </c>
      <c r="D3398" s="405">
        <f t="shared" si="106"/>
        <v>475.95</v>
      </c>
      <c r="F3398" s="679">
        <v>475.95</v>
      </c>
      <c r="G3398" s="679">
        <v>475.95</v>
      </c>
      <c r="H3398" t="b">
        <f t="shared" si="107"/>
        <v>1</v>
      </c>
    </row>
    <row r="3399" spans="1:8" ht="30">
      <c r="A3399" s="395">
        <v>39694</v>
      </c>
      <c r="B3399" s="406" t="s">
        <v>12130</v>
      </c>
      <c r="C3399" s="395" t="s">
        <v>2023</v>
      </c>
      <c r="D3399" s="407">
        <f t="shared" si="106"/>
        <v>460.2</v>
      </c>
      <c r="F3399" s="680">
        <v>460.2</v>
      </c>
      <c r="G3399" s="680">
        <v>460.2</v>
      </c>
      <c r="H3399" t="b">
        <f t="shared" si="107"/>
        <v>1</v>
      </c>
    </row>
    <row r="3400" spans="1:8">
      <c r="A3400" s="396">
        <v>1292</v>
      </c>
      <c r="B3400" s="401" t="s">
        <v>12131</v>
      </c>
      <c r="C3400" s="396" t="s">
        <v>2023</v>
      </c>
      <c r="D3400" s="405">
        <f t="shared" si="106"/>
        <v>78.150000000000006</v>
      </c>
      <c r="F3400" s="679">
        <v>78.150000000000006</v>
      </c>
      <c r="G3400" s="679">
        <v>78.150000000000006</v>
      </c>
      <c r="H3400" t="b">
        <f t="shared" si="107"/>
        <v>1</v>
      </c>
    </row>
    <row r="3401" spans="1:8">
      <c r="A3401" s="395">
        <v>1287</v>
      </c>
      <c r="B3401" s="406" t="s">
        <v>12132</v>
      </c>
      <c r="C3401" s="395" t="s">
        <v>2023</v>
      </c>
      <c r="D3401" s="407">
        <f t="shared" si="106"/>
        <v>38.340000000000003</v>
      </c>
      <c r="F3401" s="680">
        <v>38.340000000000003</v>
      </c>
      <c r="G3401" s="680">
        <v>38.340000000000003</v>
      </c>
      <c r="H3401" t="b">
        <f t="shared" si="107"/>
        <v>1</v>
      </c>
    </row>
    <row r="3402" spans="1:8" ht="30">
      <c r="A3402" s="396">
        <v>1297</v>
      </c>
      <c r="B3402" s="401" t="s">
        <v>12133</v>
      </c>
      <c r="C3402" s="396" t="s">
        <v>2023</v>
      </c>
      <c r="D3402" s="405">
        <f t="shared" si="106"/>
        <v>31.8</v>
      </c>
      <c r="F3402" s="679">
        <v>31.8</v>
      </c>
      <c r="G3402" s="679">
        <v>31.8</v>
      </c>
      <c r="H3402" t="b">
        <f t="shared" si="107"/>
        <v>1</v>
      </c>
    </row>
    <row r="3403" spans="1:8" ht="30">
      <c r="A3403" s="395">
        <v>4786</v>
      </c>
      <c r="B3403" s="406" t="s">
        <v>12134</v>
      </c>
      <c r="C3403" s="395" t="s">
        <v>2023</v>
      </c>
      <c r="D3403" s="407">
        <f t="shared" si="106"/>
        <v>120</v>
      </c>
      <c r="F3403" s="680">
        <v>120</v>
      </c>
      <c r="G3403" s="680">
        <v>120</v>
      </c>
      <c r="H3403" t="b">
        <f t="shared" si="107"/>
        <v>1</v>
      </c>
    </row>
    <row r="3404" spans="1:8" ht="30">
      <c r="A3404" s="396">
        <v>10840</v>
      </c>
      <c r="B3404" s="401" t="s">
        <v>12135</v>
      </c>
      <c r="C3404" s="396" t="s">
        <v>2023</v>
      </c>
      <c r="D3404" s="405">
        <f t="shared" si="106"/>
        <v>550</v>
      </c>
      <c r="F3404" s="679">
        <v>550</v>
      </c>
      <c r="G3404" s="679">
        <v>550</v>
      </c>
      <c r="H3404" t="b">
        <f t="shared" si="107"/>
        <v>1</v>
      </c>
    </row>
    <row r="3405" spans="1:8" ht="30">
      <c r="A3405" s="395">
        <v>10841</v>
      </c>
      <c r="B3405" s="406" t="s">
        <v>12136</v>
      </c>
      <c r="C3405" s="395" t="s">
        <v>2023</v>
      </c>
      <c r="D3405" s="407">
        <f t="shared" si="106"/>
        <v>415.09</v>
      </c>
      <c r="F3405" s="680">
        <v>415.09</v>
      </c>
      <c r="G3405" s="680">
        <v>415.09</v>
      </c>
      <c r="H3405" t="b">
        <f t="shared" si="107"/>
        <v>1</v>
      </c>
    </row>
    <row r="3406" spans="1:8" ht="30">
      <c r="A3406" s="396">
        <v>44540</v>
      </c>
      <c r="B3406" s="401" t="s">
        <v>12137</v>
      </c>
      <c r="C3406" s="396" t="s">
        <v>2023</v>
      </c>
      <c r="D3406" s="405">
        <f t="shared" si="106"/>
        <v>530.39</v>
      </c>
      <c r="F3406" s="679">
        <v>530.39</v>
      </c>
      <c r="G3406" s="679">
        <v>530.39</v>
      </c>
      <c r="H3406" t="b">
        <f t="shared" si="107"/>
        <v>1</v>
      </c>
    </row>
    <row r="3407" spans="1:8" ht="30">
      <c r="A3407" s="395">
        <v>10842</v>
      </c>
      <c r="B3407" s="406" t="s">
        <v>12138</v>
      </c>
      <c r="C3407" s="395" t="s">
        <v>2023</v>
      </c>
      <c r="D3407" s="407">
        <f t="shared" si="106"/>
        <v>599.58000000000004</v>
      </c>
      <c r="F3407" s="680">
        <v>599.58000000000004</v>
      </c>
      <c r="G3407" s="680">
        <v>599.58000000000004</v>
      </c>
      <c r="H3407" t="b">
        <f t="shared" si="107"/>
        <v>1</v>
      </c>
    </row>
    <row r="3408" spans="1:8">
      <c r="A3408" s="396">
        <v>21108</v>
      </c>
      <c r="B3408" s="401" t="s">
        <v>12139</v>
      </c>
      <c r="C3408" s="396" t="s">
        <v>2023</v>
      </c>
      <c r="D3408" s="405">
        <f t="shared" si="106"/>
        <v>104.17</v>
      </c>
      <c r="F3408" s="679">
        <v>104.17</v>
      </c>
      <c r="G3408" s="679">
        <v>104.17</v>
      </c>
      <c r="H3408" t="b">
        <f t="shared" si="107"/>
        <v>1</v>
      </c>
    </row>
    <row r="3409" spans="1:8">
      <c r="A3409" s="395">
        <v>38180</v>
      </c>
      <c r="B3409" s="406" t="s">
        <v>12140</v>
      </c>
      <c r="C3409" s="395" t="s">
        <v>2023</v>
      </c>
      <c r="D3409" s="407">
        <f t="shared" si="106"/>
        <v>239.1</v>
      </c>
      <c r="F3409" s="680">
        <v>239.1</v>
      </c>
      <c r="G3409" s="680">
        <v>239.1</v>
      </c>
      <c r="H3409" t="b">
        <f t="shared" si="107"/>
        <v>1</v>
      </c>
    </row>
    <row r="3410" spans="1:8">
      <c r="A3410" s="396">
        <v>40648</v>
      </c>
      <c r="B3410" s="401" t="s">
        <v>12141</v>
      </c>
      <c r="C3410" s="396" t="s">
        <v>2023</v>
      </c>
      <c r="D3410" s="405">
        <f t="shared" si="106"/>
        <v>230.4</v>
      </c>
      <c r="F3410" s="679">
        <v>230.4</v>
      </c>
      <c r="G3410" s="679">
        <v>230.4</v>
      </c>
      <c r="H3410" t="b">
        <f t="shared" si="107"/>
        <v>1</v>
      </c>
    </row>
    <row r="3411" spans="1:8">
      <c r="A3411" s="395">
        <v>40649</v>
      </c>
      <c r="B3411" s="406" t="s">
        <v>12142</v>
      </c>
      <c r="C3411" s="395" t="s">
        <v>2023</v>
      </c>
      <c r="D3411" s="407">
        <f t="shared" si="106"/>
        <v>134.19999999999999</v>
      </c>
      <c r="F3411" s="680">
        <v>134.19999999999999</v>
      </c>
      <c r="G3411" s="680">
        <v>134.19999999999999</v>
      </c>
      <c r="H3411" t="b">
        <f t="shared" si="107"/>
        <v>1</v>
      </c>
    </row>
    <row r="3412" spans="1:8">
      <c r="A3412" s="396">
        <v>40650</v>
      </c>
      <c r="B3412" s="401" t="s">
        <v>12143</v>
      </c>
      <c r="C3412" s="396" t="s">
        <v>2023</v>
      </c>
      <c r="D3412" s="405">
        <f t="shared" si="106"/>
        <v>172.8</v>
      </c>
      <c r="F3412" s="679">
        <v>172.8</v>
      </c>
      <c r="G3412" s="679">
        <v>172.8</v>
      </c>
      <c r="H3412" t="b">
        <f t="shared" si="107"/>
        <v>1</v>
      </c>
    </row>
    <row r="3413" spans="1:8">
      <c r="A3413" s="395">
        <v>40651</v>
      </c>
      <c r="B3413" s="406" t="s">
        <v>12144</v>
      </c>
      <c r="C3413" s="395" t="s">
        <v>2023</v>
      </c>
      <c r="D3413" s="407">
        <f t="shared" si="106"/>
        <v>318.72000000000003</v>
      </c>
      <c r="F3413" s="680">
        <v>318.72000000000003</v>
      </c>
      <c r="G3413" s="680">
        <v>318.72000000000003</v>
      </c>
      <c r="H3413" t="b">
        <f t="shared" si="107"/>
        <v>1</v>
      </c>
    </row>
    <row r="3414" spans="1:8">
      <c r="A3414" s="396">
        <v>40652</v>
      </c>
      <c r="B3414" s="401" t="s">
        <v>12145</v>
      </c>
      <c r="C3414" s="396" t="s">
        <v>2023</v>
      </c>
      <c r="D3414" s="405">
        <f t="shared" si="106"/>
        <v>170.88</v>
      </c>
      <c r="F3414" s="679">
        <v>170.88</v>
      </c>
      <c r="G3414" s="679">
        <v>170.88</v>
      </c>
      <c r="H3414" t="b">
        <f t="shared" si="107"/>
        <v>1</v>
      </c>
    </row>
    <row r="3415" spans="1:8" ht="30">
      <c r="A3415" s="395">
        <v>40647</v>
      </c>
      <c r="B3415" s="406" t="s">
        <v>12146</v>
      </c>
      <c r="C3415" s="395" t="s">
        <v>2023</v>
      </c>
      <c r="D3415" s="407">
        <f t="shared" si="106"/>
        <v>188.16</v>
      </c>
      <c r="F3415" s="680">
        <v>188.16</v>
      </c>
      <c r="G3415" s="680">
        <v>188.16</v>
      </c>
      <c r="H3415" t="b">
        <f t="shared" si="107"/>
        <v>1</v>
      </c>
    </row>
    <row r="3416" spans="1:8">
      <c r="A3416" s="396">
        <v>40653</v>
      </c>
      <c r="B3416" s="401" t="s">
        <v>12147</v>
      </c>
      <c r="C3416" s="396" t="s">
        <v>2023</v>
      </c>
      <c r="D3416" s="405">
        <f t="shared" si="106"/>
        <v>144</v>
      </c>
      <c r="F3416" s="679">
        <v>144</v>
      </c>
      <c r="G3416" s="679">
        <v>144</v>
      </c>
      <c r="H3416" t="b">
        <f t="shared" si="107"/>
        <v>1</v>
      </c>
    </row>
    <row r="3417" spans="1:8">
      <c r="A3417" s="395">
        <v>36178</v>
      </c>
      <c r="B3417" s="406" t="s">
        <v>12148</v>
      </c>
      <c r="C3417" s="395" t="s">
        <v>2021</v>
      </c>
      <c r="D3417" s="407">
        <f t="shared" si="106"/>
        <v>17.82</v>
      </c>
      <c r="F3417" s="680">
        <v>17.82</v>
      </c>
      <c r="G3417" s="680">
        <v>17.82</v>
      </c>
      <c r="H3417" t="b">
        <f t="shared" si="107"/>
        <v>1</v>
      </c>
    </row>
    <row r="3418" spans="1:8">
      <c r="A3418" s="396">
        <v>38195</v>
      </c>
      <c r="B3418" s="401" t="s">
        <v>12149</v>
      </c>
      <c r="C3418" s="396" t="s">
        <v>2023</v>
      </c>
      <c r="D3418" s="405">
        <f t="shared" si="106"/>
        <v>123.03</v>
      </c>
      <c r="F3418" s="679">
        <v>123.03</v>
      </c>
      <c r="G3418" s="679">
        <v>123.03</v>
      </c>
      <c r="H3418" t="b">
        <f t="shared" si="107"/>
        <v>1</v>
      </c>
    </row>
    <row r="3419" spans="1:8">
      <c r="A3419" s="395">
        <v>38181</v>
      </c>
      <c r="B3419" s="406" t="s">
        <v>12150</v>
      </c>
      <c r="C3419" s="395" t="s">
        <v>2023</v>
      </c>
      <c r="D3419" s="407">
        <f t="shared" si="106"/>
        <v>326.41000000000003</v>
      </c>
      <c r="F3419" s="680">
        <v>326.41000000000003</v>
      </c>
      <c r="G3419" s="680">
        <v>326.41000000000003</v>
      </c>
      <c r="H3419" t="b">
        <f t="shared" si="107"/>
        <v>1</v>
      </c>
    </row>
    <row r="3420" spans="1:8">
      <c r="A3420" s="396">
        <v>38182</v>
      </c>
      <c r="B3420" s="401" t="s">
        <v>12151</v>
      </c>
      <c r="C3420" s="396" t="s">
        <v>2023</v>
      </c>
      <c r="D3420" s="405">
        <f t="shared" si="106"/>
        <v>310.92</v>
      </c>
      <c r="F3420" s="679">
        <v>310.92</v>
      </c>
      <c r="G3420" s="679">
        <v>310.92</v>
      </c>
      <c r="H3420" t="b">
        <f t="shared" si="107"/>
        <v>1</v>
      </c>
    </row>
    <row r="3421" spans="1:8">
      <c r="A3421" s="395">
        <v>38186</v>
      </c>
      <c r="B3421" s="406" t="s">
        <v>12152</v>
      </c>
      <c r="C3421" s="395" t="s">
        <v>2023</v>
      </c>
      <c r="D3421" s="407">
        <f t="shared" si="106"/>
        <v>808.18</v>
      </c>
      <c r="F3421" s="680">
        <v>808.18</v>
      </c>
      <c r="G3421" s="680">
        <v>808.18</v>
      </c>
      <c r="H3421" t="b">
        <f t="shared" si="107"/>
        <v>1</v>
      </c>
    </row>
    <row r="3422" spans="1:8">
      <c r="A3422" s="396">
        <v>38185</v>
      </c>
      <c r="B3422" s="401" t="s">
        <v>12153</v>
      </c>
      <c r="C3422" s="396" t="s">
        <v>2023</v>
      </c>
      <c r="D3422" s="405">
        <f t="shared" si="106"/>
        <v>719.57</v>
      </c>
      <c r="F3422" s="679">
        <v>719.57</v>
      </c>
      <c r="G3422" s="679">
        <v>719.57</v>
      </c>
      <c r="H3422" t="b">
        <f t="shared" si="107"/>
        <v>1</v>
      </c>
    </row>
    <row r="3423" spans="1:8">
      <c r="A3423" s="395">
        <v>40654</v>
      </c>
      <c r="B3423" s="406" t="s">
        <v>12154</v>
      </c>
      <c r="C3423" s="395" t="s">
        <v>2023</v>
      </c>
      <c r="D3423" s="407">
        <f t="shared" si="106"/>
        <v>223.68</v>
      </c>
      <c r="F3423" s="680">
        <v>223.68</v>
      </c>
      <c r="G3423" s="680">
        <v>223.68</v>
      </c>
      <c r="H3423" t="b">
        <f t="shared" si="107"/>
        <v>1</v>
      </c>
    </row>
    <row r="3424" spans="1:8" ht="30">
      <c r="A3424" s="396">
        <v>44541</v>
      </c>
      <c r="B3424" s="401" t="s">
        <v>12155</v>
      </c>
      <c r="C3424" s="396" t="s">
        <v>2023</v>
      </c>
      <c r="D3424" s="405">
        <f t="shared" si="106"/>
        <v>438.15</v>
      </c>
      <c r="F3424" s="679">
        <v>438.15</v>
      </c>
      <c r="G3424" s="679">
        <v>438.15</v>
      </c>
      <c r="H3424" t="b">
        <f t="shared" si="107"/>
        <v>1</v>
      </c>
    </row>
    <row r="3425" spans="1:8">
      <c r="A3425" s="395">
        <v>4822</v>
      </c>
      <c r="B3425" s="406" t="s">
        <v>12156</v>
      </c>
      <c r="C3425" s="395" t="s">
        <v>2023</v>
      </c>
      <c r="D3425" s="407">
        <f t="shared" si="106"/>
        <v>389.16</v>
      </c>
      <c r="F3425" s="680">
        <v>389.16</v>
      </c>
      <c r="G3425" s="680">
        <v>389.16</v>
      </c>
      <c r="H3425" t="b">
        <f t="shared" si="107"/>
        <v>1</v>
      </c>
    </row>
    <row r="3426" spans="1:8">
      <c r="A3426" s="396">
        <v>4818</v>
      </c>
      <c r="B3426" s="401" t="s">
        <v>12157</v>
      </c>
      <c r="C3426" s="396" t="s">
        <v>2023</v>
      </c>
      <c r="D3426" s="405">
        <f t="shared" si="106"/>
        <v>400</v>
      </c>
      <c r="F3426" s="679">
        <v>400</v>
      </c>
      <c r="G3426" s="679">
        <v>400</v>
      </c>
      <c r="H3426" t="b">
        <f t="shared" si="107"/>
        <v>1</v>
      </c>
    </row>
    <row r="3427" spans="1:8" ht="30">
      <c r="A3427" s="395">
        <v>39567</v>
      </c>
      <c r="B3427" s="406" t="s">
        <v>12158</v>
      </c>
      <c r="C3427" s="395" t="s">
        <v>2023</v>
      </c>
      <c r="D3427" s="407">
        <f t="shared" si="106"/>
        <v>51.33</v>
      </c>
      <c r="F3427" s="680">
        <v>51.33</v>
      </c>
      <c r="G3427" s="680">
        <v>51.33</v>
      </c>
      <c r="H3427" t="b">
        <f t="shared" si="107"/>
        <v>1</v>
      </c>
    </row>
    <row r="3428" spans="1:8" ht="30">
      <c r="A3428" s="396">
        <v>39566</v>
      </c>
      <c r="B3428" s="401" t="s">
        <v>12159</v>
      </c>
      <c r="C3428" s="396" t="s">
        <v>2023</v>
      </c>
      <c r="D3428" s="405">
        <f t="shared" si="106"/>
        <v>54.33</v>
      </c>
      <c r="F3428" s="679">
        <v>54.33</v>
      </c>
      <c r="G3428" s="679">
        <v>54.33</v>
      </c>
      <c r="H3428" t="b">
        <f t="shared" si="107"/>
        <v>1</v>
      </c>
    </row>
    <row r="3429" spans="1:8">
      <c r="A3429" s="395">
        <v>39416</v>
      </c>
      <c r="B3429" s="406" t="s">
        <v>12160</v>
      </c>
      <c r="C3429" s="395" t="s">
        <v>2023</v>
      </c>
      <c r="D3429" s="407">
        <f t="shared" si="106"/>
        <v>33.11</v>
      </c>
      <c r="F3429" s="680">
        <v>33.11</v>
      </c>
      <c r="G3429" s="680">
        <v>33.11</v>
      </c>
      <c r="H3429" t="b">
        <f t="shared" si="107"/>
        <v>1</v>
      </c>
    </row>
    <row r="3430" spans="1:8">
      <c r="A3430" s="396">
        <v>39417</v>
      </c>
      <c r="B3430" s="401" t="s">
        <v>12161</v>
      </c>
      <c r="C3430" s="396" t="s">
        <v>2023</v>
      </c>
      <c r="D3430" s="405">
        <f t="shared" si="106"/>
        <v>32.299999999999997</v>
      </c>
      <c r="F3430" s="679">
        <v>32.299999999999997</v>
      </c>
      <c r="G3430" s="679">
        <v>32.299999999999997</v>
      </c>
      <c r="H3430" t="b">
        <f t="shared" si="107"/>
        <v>1</v>
      </c>
    </row>
    <row r="3431" spans="1:8">
      <c r="A3431" s="395">
        <v>43742</v>
      </c>
      <c r="B3431" s="406" t="s">
        <v>12162</v>
      </c>
      <c r="C3431" s="395" t="s">
        <v>2023</v>
      </c>
      <c r="D3431" s="407">
        <f t="shared" si="106"/>
        <v>34.840000000000003</v>
      </c>
      <c r="F3431" s="680">
        <v>34.840000000000003</v>
      </c>
      <c r="G3431" s="680">
        <v>34.840000000000003</v>
      </c>
      <c r="H3431" t="b">
        <f t="shared" si="107"/>
        <v>1</v>
      </c>
    </row>
    <row r="3432" spans="1:8">
      <c r="A3432" s="396">
        <v>39414</v>
      </c>
      <c r="B3432" s="401" t="s">
        <v>12163</v>
      </c>
      <c r="C3432" s="396" t="s">
        <v>2023</v>
      </c>
      <c r="D3432" s="405">
        <f t="shared" si="106"/>
        <v>31.36</v>
      </c>
      <c r="F3432" s="679">
        <v>31.36</v>
      </c>
      <c r="G3432" s="679">
        <v>31.36</v>
      </c>
      <c r="H3432" t="b">
        <f t="shared" si="107"/>
        <v>1</v>
      </c>
    </row>
    <row r="3433" spans="1:8">
      <c r="A3433" s="395">
        <v>39415</v>
      </c>
      <c r="B3433" s="406" t="s">
        <v>12164</v>
      </c>
      <c r="C3433" s="395" t="s">
        <v>2023</v>
      </c>
      <c r="D3433" s="407">
        <f t="shared" si="106"/>
        <v>27.03</v>
      </c>
      <c r="F3433" s="680">
        <v>27.03</v>
      </c>
      <c r="G3433" s="680">
        <v>27.03</v>
      </c>
      <c r="H3433" t="b">
        <f t="shared" si="107"/>
        <v>1</v>
      </c>
    </row>
    <row r="3434" spans="1:8">
      <c r="A3434" s="396">
        <v>43740</v>
      </c>
      <c r="B3434" s="401" t="s">
        <v>12165</v>
      </c>
      <c r="C3434" s="396" t="s">
        <v>2023</v>
      </c>
      <c r="D3434" s="405">
        <f t="shared" si="106"/>
        <v>33.01</v>
      </c>
      <c r="F3434" s="679">
        <v>33.01</v>
      </c>
      <c r="G3434" s="679">
        <v>33.01</v>
      </c>
      <c r="H3434" t="b">
        <f t="shared" si="107"/>
        <v>1</v>
      </c>
    </row>
    <row r="3435" spans="1:8">
      <c r="A3435" s="395">
        <v>39412</v>
      </c>
      <c r="B3435" s="406" t="s">
        <v>12166</v>
      </c>
      <c r="C3435" s="395" t="s">
        <v>2023</v>
      </c>
      <c r="D3435" s="407">
        <f t="shared" si="106"/>
        <v>22.64</v>
      </c>
      <c r="F3435" s="680">
        <v>22.64</v>
      </c>
      <c r="G3435" s="680">
        <v>22.64</v>
      </c>
      <c r="H3435" t="b">
        <f t="shared" si="107"/>
        <v>1</v>
      </c>
    </row>
    <row r="3436" spans="1:8">
      <c r="A3436" s="396">
        <v>39413</v>
      </c>
      <c r="B3436" s="401" t="s">
        <v>12167</v>
      </c>
      <c r="C3436" s="396" t="s">
        <v>2023</v>
      </c>
      <c r="D3436" s="405">
        <f t="shared" si="106"/>
        <v>24.48</v>
      </c>
      <c r="F3436" s="679">
        <v>24.48</v>
      </c>
      <c r="G3436" s="679">
        <v>24.48</v>
      </c>
      <c r="H3436" t="b">
        <f t="shared" si="107"/>
        <v>1</v>
      </c>
    </row>
    <row r="3437" spans="1:8">
      <c r="A3437" s="395">
        <v>43741</v>
      </c>
      <c r="B3437" s="406" t="s">
        <v>12168</v>
      </c>
      <c r="C3437" s="395" t="s">
        <v>2023</v>
      </c>
      <c r="D3437" s="407">
        <f t="shared" si="106"/>
        <v>26.1</v>
      </c>
      <c r="F3437" s="680">
        <v>26.1</v>
      </c>
      <c r="G3437" s="680">
        <v>26.1</v>
      </c>
      <c r="H3437" t="b">
        <f t="shared" si="107"/>
        <v>1</v>
      </c>
    </row>
    <row r="3438" spans="1:8">
      <c r="A3438" s="396">
        <v>11062</v>
      </c>
      <c r="B3438" s="401" t="s">
        <v>12169</v>
      </c>
      <c r="C3438" s="396" t="s">
        <v>2023</v>
      </c>
      <c r="D3438" s="405">
        <f t="shared" si="106"/>
        <v>61.47</v>
      </c>
      <c r="F3438" s="679">
        <v>61.47</v>
      </c>
      <c r="G3438" s="679">
        <v>61.47</v>
      </c>
      <c r="H3438" t="b">
        <f t="shared" si="107"/>
        <v>1</v>
      </c>
    </row>
    <row r="3439" spans="1:8">
      <c r="A3439" s="395">
        <v>11063</v>
      </c>
      <c r="B3439" s="406" t="s">
        <v>12170</v>
      </c>
      <c r="C3439" s="395" t="s">
        <v>2023</v>
      </c>
      <c r="D3439" s="407">
        <f t="shared" si="106"/>
        <v>37.619999999999997</v>
      </c>
      <c r="F3439" s="680">
        <v>37.619999999999997</v>
      </c>
      <c r="G3439" s="680">
        <v>37.619999999999997</v>
      </c>
      <c r="H3439" t="b">
        <f t="shared" si="107"/>
        <v>1</v>
      </c>
    </row>
    <row r="3440" spans="1:8">
      <c r="A3440" s="396">
        <v>13521</v>
      </c>
      <c r="B3440" s="401" t="s">
        <v>12171</v>
      </c>
      <c r="C3440" s="396" t="s">
        <v>2021</v>
      </c>
      <c r="D3440" s="405">
        <f t="shared" si="106"/>
        <v>99</v>
      </c>
      <c r="F3440" s="679">
        <v>99</v>
      </c>
      <c r="G3440" s="679">
        <v>99</v>
      </c>
      <c r="H3440" t="b">
        <f t="shared" si="107"/>
        <v>1</v>
      </c>
    </row>
    <row r="3441" spans="1:8" ht="30">
      <c r="A3441" s="395">
        <v>10851</v>
      </c>
      <c r="B3441" s="406" t="s">
        <v>12172</v>
      </c>
      <c r="C3441" s="395" t="s">
        <v>2021</v>
      </c>
      <c r="D3441" s="407">
        <f t="shared" si="106"/>
        <v>90.54</v>
      </c>
      <c r="F3441" s="680">
        <v>90.54</v>
      </c>
      <c r="G3441" s="680">
        <v>90.54</v>
      </c>
      <c r="H3441" t="b">
        <f t="shared" si="107"/>
        <v>1</v>
      </c>
    </row>
    <row r="3442" spans="1:8">
      <c r="A3442" s="396">
        <v>39515</v>
      </c>
      <c r="B3442" s="401" t="s">
        <v>12173</v>
      </c>
      <c r="C3442" s="396" t="s">
        <v>2021</v>
      </c>
      <c r="D3442" s="405">
        <f t="shared" si="106"/>
        <v>51.4</v>
      </c>
      <c r="F3442" s="679">
        <v>51.4</v>
      </c>
      <c r="G3442" s="679">
        <v>51.4</v>
      </c>
      <c r="H3442" t="b">
        <f t="shared" si="107"/>
        <v>1</v>
      </c>
    </row>
    <row r="3443" spans="1:8" ht="30">
      <c r="A3443" s="395">
        <v>39516</v>
      </c>
      <c r="B3443" s="406" t="s">
        <v>12174</v>
      </c>
      <c r="C3443" s="395" t="s">
        <v>2021</v>
      </c>
      <c r="D3443" s="407">
        <f t="shared" si="106"/>
        <v>43.33</v>
      </c>
      <c r="F3443" s="680">
        <v>43.33</v>
      </c>
      <c r="G3443" s="680">
        <v>43.33</v>
      </c>
      <c r="H3443" t="b">
        <f t="shared" si="107"/>
        <v>1</v>
      </c>
    </row>
    <row r="3444" spans="1:8">
      <c r="A3444" s="396">
        <v>39514</v>
      </c>
      <c r="B3444" s="401" t="s">
        <v>12175</v>
      </c>
      <c r="C3444" s="396" t="s">
        <v>2021</v>
      </c>
      <c r="D3444" s="405">
        <f t="shared" si="106"/>
        <v>26.96</v>
      </c>
      <c r="F3444" s="679">
        <v>26.96</v>
      </c>
      <c r="G3444" s="679">
        <v>26.96</v>
      </c>
      <c r="H3444" t="b">
        <f t="shared" si="107"/>
        <v>1</v>
      </c>
    </row>
    <row r="3445" spans="1:8">
      <c r="A3445" s="395">
        <v>4812</v>
      </c>
      <c r="B3445" s="406" t="s">
        <v>12176</v>
      </c>
      <c r="C3445" s="395" t="s">
        <v>2023</v>
      </c>
      <c r="D3445" s="407">
        <f t="shared" si="106"/>
        <v>13.58</v>
      </c>
      <c r="F3445" s="680">
        <v>13.58</v>
      </c>
      <c r="G3445" s="680">
        <v>13.58</v>
      </c>
      <c r="H3445" t="b">
        <f t="shared" si="107"/>
        <v>1</v>
      </c>
    </row>
    <row r="3446" spans="1:8">
      <c r="A3446" s="396">
        <v>10849</v>
      </c>
      <c r="B3446" s="401" t="s">
        <v>12177</v>
      </c>
      <c r="C3446" s="396" t="s">
        <v>2021</v>
      </c>
      <c r="D3446" s="405">
        <f t="shared" si="106"/>
        <v>1440.01</v>
      </c>
      <c r="F3446" s="679">
        <v>1440.01</v>
      </c>
      <c r="G3446" s="679">
        <v>1440.01</v>
      </c>
      <c r="H3446" t="b">
        <f t="shared" si="107"/>
        <v>1</v>
      </c>
    </row>
    <row r="3447" spans="1:8">
      <c r="A3447" s="395">
        <v>10848</v>
      </c>
      <c r="B3447" s="406" t="s">
        <v>12178</v>
      </c>
      <c r="C3447" s="395" t="s">
        <v>2021</v>
      </c>
      <c r="D3447" s="407">
        <f t="shared" si="106"/>
        <v>904.5</v>
      </c>
      <c r="F3447" s="680">
        <v>904.5</v>
      </c>
      <c r="G3447" s="680">
        <v>904.5</v>
      </c>
      <c r="H3447" t="b">
        <f t="shared" si="107"/>
        <v>1</v>
      </c>
    </row>
    <row r="3448" spans="1:8" ht="30">
      <c r="A3448" s="396">
        <v>4813</v>
      </c>
      <c r="B3448" s="401" t="s">
        <v>12179</v>
      </c>
      <c r="C3448" s="396" t="s">
        <v>2023</v>
      </c>
      <c r="D3448" s="405">
        <f t="shared" si="106"/>
        <v>300</v>
      </c>
      <c r="F3448" s="679">
        <v>300</v>
      </c>
      <c r="G3448" s="679">
        <v>300</v>
      </c>
      <c r="H3448" t="b">
        <f t="shared" si="107"/>
        <v>1</v>
      </c>
    </row>
    <row r="3449" spans="1:8" ht="30">
      <c r="A3449" s="395">
        <v>37560</v>
      </c>
      <c r="B3449" s="406" t="s">
        <v>12180</v>
      </c>
      <c r="C3449" s="395" t="s">
        <v>2021</v>
      </c>
      <c r="D3449" s="407">
        <f t="shared" si="106"/>
        <v>50.99</v>
      </c>
      <c r="F3449" s="680">
        <v>50.99</v>
      </c>
      <c r="G3449" s="680">
        <v>50.99</v>
      </c>
      <c r="H3449" t="b">
        <f t="shared" si="107"/>
        <v>1</v>
      </c>
    </row>
    <row r="3450" spans="1:8" ht="30">
      <c r="A3450" s="396">
        <v>37557</v>
      </c>
      <c r="B3450" s="401" t="s">
        <v>12181</v>
      </c>
      <c r="C3450" s="396" t="s">
        <v>2021</v>
      </c>
      <c r="D3450" s="405">
        <f t="shared" si="106"/>
        <v>15.48</v>
      </c>
      <c r="F3450" s="679">
        <v>15.48</v>
      </c>
      <c r="G3450" s="679">
        <v>15.48</v>
      </c>
      <c r="H3450" t="b">
        <f t="shared" si="107"/>
        <v>1</v>
      </c>
    </row>
    <row r="3451" spans="1:8" ht="30">
      <c r="A3451" s="395">
        <v>37556</v>
      </c>
      <c r="B3451" s="406" t="s">
        <v>12182</v>
      </c>
      <c r="C3451" s="395" t="s">
        <v>2021</v>
      </c>
      <c r="D3451" s="407">
        <f t="shared" si="106"/>
        <v>29.95</v>
      </c>
      <c r="F3451" s="680">
        <v>29.95</v>
      </c>
      <c r="G3451" s="680">
        <v>29.95</v>
      </c>
      <c r="H3451" t="b">
        <f t="shared" si="107"/>
        <v>1</v>
      </c>
    </row>
    <row r="3452" spans="1:8" ht="30">
      <c r="A3452" s="396">
        <v>37559</v>
      </c>
      <c r="B3452" s="401" t="s">
        <v>12183</v>
      </c>
      <c r="C3452" s="396" t="s">
        <v>2021</v>
      </c>
      <c r="D3452" s="405">
        <f t="shared" si="106"/>
        <v>36.74</v>
      </c>
      <c r="F3452" s="679">
        <v>36.74</v>
      </c>
      <c r="G3452" s="679">
        <v>36.74</v>
      </c>
      <c r="H3452" t="b">
        <f t="shared" si="107"/>
        <v>1</v>
      </c>
    </row>
    <row r="3453" spans="1:8" ht="30">
      <c r="A3453" s="395">
        <v>37539</v>
      </c>
      <c r="B3453" s="406" t="s">
        <v>12184</v>
      </c>
      <c r="C3453" s="395" t="s">
        <v>2021</v>
      </c>
      <c r="D3453" s="407">
        <f t="shared" si="106"/>
        <v>25.9</v>
      </c>
      <c r="F3453" s="680">
        <v>25.9</v>
      </c>
      <c r="G3453" s="680">
        <v>25.9</v>
      </c>
      <c r="H3453" t="b">
        <f t="shared" si="107"/>
        <v>1</v>
      </c>
    </row>
    <row r="3454" spans="1:8" ht="30">
      <c r="A3454" s="396">
        <v>37558</v>
      </c>
      <c r="B3454" s="401" t="s">
        <v>12185</v>
      </c>
      <c r="C3454" s="396" t="s">
        <v>2021</v>
      </c>
      <c r="D3454" s="405">
        <f t="shared" si="106"/>
        <v>48.29</v>
      </c>
      <c r="F3454" s="679">
        <v>48.29</v>
      </c>
      <c r="G3454" s="679">
        <v>48.29</v>
      </c>
      <c r="H3454" t="b">
        <f t="shared" si="107"/>
        <v>1</v>
      </c>
    </row>
    <row r="3455" spans="1:8">
      <c r="A3455" s="395">
        <v>34723</v>
      </c>
      <c r="B3455" s="406" t="s">
        <v>12186</v>
      </c>
      <c r="C3455" s="395" t="s">
        <v>2023</v>
      </c>
      <c r="D3455" s="407">
        <f t="shared" si="106"/>
        <v>693</v>
      </c>
      <c r="F3455" s="680">
        <v>693</v>
      </c>
      <c r="G3455" s="680">
        <v>693</v>
      </c>
      <c r="H3455" t="b">
        <f t="shared" si="107"/>
        <v>1</v>
      </c>
    </row>
    <row r="3456" spans="1:8">
      <c r="A3456" s="396">
        <v>34721</v>
      </c>
      <c r="B3456" s="401" t="s">
        <v>12187</v>
      </c>
      <c r="C3456" s="396" t="s">
        <v>2023</v>
      </c>
      <c r="D3456" s="405">
        <f t="shared" si="106"/>
        <v>864</v>
      </c>
      <c r="F3456" s="679">
        <v>864</v>
      </c>
      <c r="G3456" s="679">
        <v>864</v>
      </c>
      <c r="H3456" t="b">
        <f t="shared" si="107"/>
        <v>1</v>
      </c>
    </row>
    <row r="3457" spans="1:8">
      <c r="A3457" s="395">
        <v>4309</v>
      </c>
      <c r="B3457" s="406" t="s">
        <v>12188</v>
      </c>
      <c r="C3457" s="395" t="s">
        <v>2021</v>
      </c>
      <c r="D3457" s="407">
        <f t="shared" si="106"/>
        <v>7.11</v>
      </c>
      <c r="F3457" s="680">
        <v>7.11</v>
      </c>
      <c r="G3457" s="680">
        <v>7.11</v>
      </c>
      <c r="H3457" t="b">
        <f t="shared" si="107"/>
        <v>1</v>
      </c>
    </row>
    <row r="3458" spans="1:8">
      <c r="A3458" s="396">
        <v>4307</v>
      </c>
      <c r="B3458" s="401" t="s">
        <v>12189</v>
      </c>
      <c r="C3458" s="396" t="s">
        <v>2021</v>
      </c>
      <c r="D3458" s="405">
        <f t="shared" si="106"/>
        <v>12.17</v>
      </c>
      <c r="F3458" s="679">
        <v>12.17</v>
      </c>
      <c r="G3458" s="679">
        <v>12.17</v>
      </c>
      <c r="H3458" t="b">
        <f t="shared" si="107"/>
        <v>1</v>
      </c>
    </row>
    <row r="3459" spans="1:8">
      <c r="A3459" s="395">
        <v>10850</v>
      </c>
      <c r="B3459" s="406" t="s">
        <v>12190</v>
      </c>
      <c r="C3459" s="395" t="s">
        <v>2021</v>
      </c>
      <c r="D3459" s="407">
        <f t="shared" ref="D3459:D3522" si="108">IF($J$2=$F$1,F3459,G3459)</f>
        <v>45</v>
      </c>
      <c r="F3459" s="680">
        <v>45</v>
      </c>
      <c r="G3459" s="680">
        <v>45</v>
      </c>
      <c r="H3459" t="b">
        <f t="shared" ref="H3459:H3522" si="109">F3459=G3459</f>
        <v>1</v>
      </c>
    </row>
    <row r="3460" spans="1:8" ht="30">
      <c r="A3460" s="396">
        <v>42438</v>
      </c>
      <c r="B3460" s="401" t="s">
        <v>12191</v>
      </c>
      <c r="C3460" s="396" t="s">
        <v>2021</v>
      </c>
      <c r="D3460" s="405">
        <f t="shared" si="108"/>
        <v>2072.34</v>
      </c>
      <c r="F3460" s="679">
        <v>2072.34</v>
      </c>
      <c r="G3460" s="679">
        <v>2072.34</v>
      </c>
      <c r="H3460" t="b">
        <f t="shared" si="109"/>
        <v>1</v>
      </c>
    </row>
    <row r="3461" spans="1:8">
      <c r="A3461" s="395">
        <v>4792</v>
      </c>
      <c r="B3461" s="406" t="s">
        <v>12192</v>
      </c>
      <c r="C3461" s="395" t="s">
        <v>2023</v>
      </c>
      <c r="D3461" s="407">
        <f t="shared" si="108"/>
        <v>229.53</v>
      </c>
      <c r="F3461" s="680">
        <v>229.53</v>
      </c>
      <c r="G3461" s="680">
        <v>229.53</v>
      </c>
      <c r="H3461" t="b">
        <f t="shared" si="109"/>
        <v>1</v>
      </c>
    </row>
    <row r="3462" spans="1:8">
      <c r="A3462" s="396">
        <v>4790</v>
      </c>
      <c r="B3462" s="401" t="s">
        <v>12193</v>
      </c>
      <c r="C3462" s="396" t="s">
        <v>2023</v>
      </c>
      <c r="D3462" s="405">
        <f t="shared" si="108"/>
        <v>138</v>
      </c>
      <c r="F3462" s="679">
        <v>138</v>
      </c>
      <c r="G3462" s="679">
        <v>138</v>
      </c>
      <c r="H3462" t="b">
        <f t="shared" si="109"/>
        <v>1</v>
      </c>
    </row>
    <row r="3463" spans="1:8" ht="30">
      <c r="A3463" s="395">
        <v>40671</v>
      </c>
      <c r="B3463" s="406" t="s">
        <v>12194</v>
      </c>
      <c r="C3463" s="395" t="s">
        <v>2023</v>
      </c>
      <c r="D3463" s="407">
        <f t="shared" si="108"/>
        <v>116.99</v>
      </c>
      <c r="F3463" s="680">
        <v>116.99</v>
      </c>
      <c r="G3463" s="680">
        <v>116.99</v>
      </c>
      <c r="H3463" t="b">
        <f t="shared" si="109"/>
        <v>1</v>
      </c>
    </row>
    <row r="3464" spans="1:8">
      <c r="A3464" s="396">
        <v>7552</v>
      </c>
      <c r="B3464" s="401" t="s">
        <v>12195</v>
      </c>
      <c r="C3464" s="396" t="s">
        <v>2021</v>
      </c>
      <c r="D3464" s="405">
        <f t="shared" si="108"/>
        <v>28.75</v>
      </c>
      <c r="F3464" s="679">
        <v>28.75</v>
      </c>
      <c r="G3464" s="679">
        <v>28.75</v>
      </c>
      <c r="H3464" t="b">
        <f t="shared" si="109"/>
        <v>1</v>
      </c>
    </row>
    <row r="3465" spans="1:8">
      <c r="A3465" s="395">
        <v>4893</v>
      </c>
      <c r="B3465" s="406" t="s">
        <v>12196</v>
      </c>
      <c r="C3465" s="395" t="s">
        <v>2021</v>
      </c>
      <c r="D3465" s="407">
        <f t="shared" si="108"/>
        <v>10.24</v>
      </c>
      <c r="F3465" s="680">
        <v>10.24</v>
      </c>
      <c r="G3465" s="680">
        <v>10.24</v>
      </c>
      <c r="H3465" t="b">
        <f t="shared" si="109"/>
        <v>1</v>
      </c>
    </row>
    <row r="3466" spans="1:8">
      <c r="A3466" s="396">
        <v>4894</v>
      </c>
      <c r="B3466" s="401" t="s">
        <v>12197</v>
      </c>
      <c r="C3466" s="396" t="s">
        <v>2021</v>
      </c>
      <c r="D3466" s="405">
        <f t="shared" si="108"/>
        <v>8.7899999999999991</v>
      </c>
      <c r="F3466" s="679">
        <v>8.7899999999999991</v>
      </c>
      <c r="G3466" s="679">
        <v>8.7899999999999991</v>
      </c>
      <c r="H3466" t="b">
        <f t="shared" si="109"/>
        <v>1</v>
      </c>
    </row>
    <row r="3467" spans="1:8">
      <c r="A3467" s="395">
        <v>4888</v>
      </c>
      <c r="B3467" s="406" t="s">
        <v>12198</v>
      </c>
      <c r="C3467" s="395" t="s">
        <v>2021</v>
      </c>
      <c r="D3467" s="407">
        <f t="shared" si="108"/>
        <v>2.99</v>
      </c>
      <c r="F3467" s="680">
        <v>2.99</v>
      </c>
      <c r="G3467" s="680">
        <v>2.99</v>
      </c>
      <c r="H3467" t="b">
        <f t="shared" si="109"/>
        <v>1</v>
      </c>
    </row>
    <row r="3468" spans="1:8">
      <c r="A3468" s="396">
        <v>4890</v>
      </c>
      <c r="B3468" s="401" t="s">
        <v>12199</v>
      </c>
      <c r="C3468" s="396" t="s">
        <v>2021</v>
      </c>
      <c r="D3468" s="405">
        <f t="shared" si="108"/>
        <v>5.62</v>
      </c>
      <c r="F3468" s="679">
        <v>5.62</v>
      </c>
      <c r="G3468" s="679">
        <v>5.62</v>
      </c>
      <c r="H3468" t="b">
        <f t="shared" si="109"/>
        <v>1</v>
      </c>
    </row>
    <row r="3469" spans="1:8">
      <c r="A3469" s="395">
        <v>12411</v>
      </c>
      <c r="B3469" s="406" t="s">
        <v>12200</v>
      </c>
      <c r="C3469" s="395" t="s">
        <v>2021</v>
      </c>
      <c r="D3469" s="407">
        <f t="shared" si="108"/>
        <v>30.29</v>
      </c>
      <c r="F3469" s="680">
        <v>30.29</v>
      </c>
      <c r="G3469" s="680">
        <v>30.29</v>
      </c>
      <c r="H3469" t="b">
        <f t="shared" si="109"/>
        <v>1</v>
      </c>
    </row>
    <row r="3470" spans="1:8">
      <c r="A3470" s="396">
        <v>4891</v>
      </c>
      <c r="B3470" s="401" t="s">
        <v>12201</v>
      </c>
      <c r="C3470" s="396" t="s">
        <v>2021</v>
      </c>
      <c r="D3470" s="405">
        <f t="shared" si="108"/>
        <v>15.14</v>
      </c>
      <c r="F3470" s="679">
        <v>15.14</v>
      </c>
      <c r="G3470" s="679">
        <v>15.14</v>
      </c>
      <c r="H3470" t="b">
        <f t="shared" si="109"/>
        <v>1</v>
      </c>
    </row>
    <row r="3471" spans="1:8">
      <c r="A3471" s="395">
        <v>4889</v>
      </c>
      <c r="B3471" s="406" t="s">
        <v>12202</v>
      </c>
      <c r="C3471" s="395" t="s">
        <v>2021</v>
      </c>
      <c r="D3471" s="407">
        <f t="shared" si="108"/>
        <v>4.05</v>
      </c>
      <c r="F3471" s="680">
        <v>4.05</v>
      </c>
      <c r="G3471" s="680">
        <v>4.05</v>
      </c>
      <c r="H3471" t="b">
        <f t="shared" si="109"/>
        <v>1</v>
      </c>
    </row>
    <row r="3472" spans="1:8">
      <c r="A3472" s="396">
        <v>4892</v>
      </c>
      <c r="B3472" s="401" t="s">
        <v>12203</v>
      </c>
      <c r="C3472" s="396" t="s">
        <v>2021</v>
      </c>
      <c r="D3472" s="405">
        <f t="shared" si="108"/>
        <v>42.41</v>
      </c>
      <c r="F3472" s="679">
        <v>42.41</v>
      </c>
      <c r="G3472" s="679">
        <v>42.41</v>
      </c>
      <c r="H3472" t="b">
        <f t="shared" si="109"/>
        <v>1</v>
      </c>
    </row>
    <row r="3473" spans="1:8">
      <c r="A3473" s="395">
        <v>12412</v>
      </c>
      <c r="B3473" s="406" t="s">
        <v>12204</v>
      </c>
      <c r="C3473" s="395" t="s">
        <v>2021</v>
      </c>
      <c r="D3473" s="407">
        <f t="shared" si="108"/>
        <v>78.83</v>
      </c>
      <c r="F3473" s="680">
        <v>78.83</v>
      </c>
      <c r="G3473" s="680">
        <v>78.83</v>
      </c>
      <c r="H3473" t="b">
        <f t="shared" si="109"/>
        <v>1</v>
      </c>
    </row>
    <row r="3474" spans="1:8">
      <c r="A3474" s="396">
        <v>4907</v>
      </c>
      <c r="B3474" s="401" t="s">
        <v>12205</v>
      </c>
      <c r="C3474" s="396" t="s">
        <v>2021</v>
      </c>
      <c r="D3474" s="405">
        <f t="shared" si="108"/>
        <v>26.19</v>
      </c>
      <c r="F3474" s="679">
        <v>26.19</v>
      </c>
      <c r="G3474" s="679">
        <v>26.19</v>
      </c>
      <c r="H3474" t="b">
        <f t="shared" si="109"/>
        <v>1</v>
      </c>
    </row>
    <row r="3475" spans="1:8">
      <c r="A3475" s="395">
        <v>4902</v>
      </c>
      <c r="B3475" s="406" t="s">
        <v>12206</v>
      </c>
      <c r="C3475" s="395" t="s">
        <v>2021</v>
      </c>
      <c r="D3475" s="407">
        <f t="shared" si="108"/>
        <v>67.94</v>
      </c>
      <c r="F3475" s="680">
        <v>67.94</v>
      </c>
      <c r="G3475" s="680">
        <v>67.94</v>
      </c>
      <c r="H3475" t="b">
        <f t="shared" si="109"/>
        <v>1</v>
      </c>
    </row>
    <row r="3476" spans="1:8">
      <c r="A3476" s="396">
        <v>11096</v>
      </c>
      <c r="B3476" s="401" t="s">
        <v>12207</v>
      </c>
      <c r="C3476" s="396" t="s">
        <v>2025</v>
      </c>
      <c r="D3476" s="405">
        <f t="shared" si="108"/>
        <v>1.52</v>
      </c>
      <c r="F3476" s="679">
        <v>1.52</v>
      </c>
      <c r="G3476" s="679">
        <v>1.52</v>
      </c>
      <c r="H3476" t="b">
        <f t="shared" si="109"/>
        <v>1</v>
      </c>
    </row>
    <row r="3477" spans="1:8">
      <c r="A3477" s="395">
        <v>4741</v>
      </c>
      <c r="B3477" s="406" t="s">
        <v>12208</v>
      </c>
      <c r="C3477" s="395" t="s">
        <v>2022</v>
      </c>
      <c r="D3477" s="407">
        <f t="shared" si="108"/>
        <v>104.94</v>
      </c>
      <c r="F3477" s="680">
        <v>104.94</v>
      </c>
      <c r="G3477" s="680">
        <v>104.94</v>
      </c>
      <c r="H3477" t="b">
        <f t="shared" si="109"/>
        <v>1</v>
      </c>
    </row>
    <row r="3478" spans="1:8">
      <c r="A3478" s="396">
        <v>4752</v>
      </c>
      <c r="B3478" s="401" t="s">
        <v>12209</v>
      </c>
      <c r="C3478" s="396" t="s">
        <v>2020</v>
      </c>
      <c r="D3478" s="405">
        <f t="shared" si="108"/>
        <v>11.7</v>
      </c>
      <c r="F3478" s="679">
        <v>11.7</v>
      </c>
      <c r="G3478" s="679">
        <v>13.47</v>
      </c>
      <c r="H3478" t="b">
        <f t="shared" si="109"/>
        <v>0</v>
      </c>
    </row>
    <row r="3479" spans="1:8">
      <c r="A3479" s="395">
        <v>41091</v>
      </c>
      <c r="B3479" s="406" t="s">
        <v>12210</v>
      </c>
      <c r="C3479" s="395" t="s">
        <v>2027</v>
      </c>
      <c r="D3479" s="407">
        <f t="shared" si="108"/>
        <v>2065.3000000000002</v>
      </c>
      <c r="F3479" s="680">
        <v>2065.3000000000002</v>
      </c>
      <c r="G3479" s="680">
        <v>2379.1</v>
      </c>
      <c r="H3479" t="b">
        <f t="shared" si="109"/>
        <v>0</v>
      </c>
    </row>
    <row r="3480" spans="1:8">
      <c r="A3480" s="396">
        <v>13954</v>
      </c>
      <c r="B3480" s="401" t="s">
        <v>12211</v>
      </c>
      <c r="C3480" s="396" t="s">
        <v>2021</v>
      </c>
      <c r="D3480" s="405">
        <f t="shared" si="108"/>
        <v>7693.61</v>
      </c>
      <c r="F3480" s="679">
        <v>7693.61</v>
      </c>
      <c r="G3480" s="679">
        <v>7693.61</v>
      </c>
      <c r="H3480" t="b">
        <f t="shared" si="109"/>
        <v>1</v>
      </c>
    </row>
    <row r="3481" spans="1:8">
      <c r="A3481" s="395">
        <v>3411</v>
      </c>
      <c r="B3481" s="406" t="s">
        <v>12212</v>
      </c>
      <c r="C3481" s="395" t="s">
        <v>2025</v>
      </c>
      <c r="D3481" s="407">
        <f t="shared" si="108"/>
        <v>57.7</v>
      </c>
      <c r="F3481" s="680">
        <v>57.7</v>
      </c>
      <c r="G3481" s="680">
        <v>57.7</v>
      </c>
      <c r="H3481" t="b">
        <f t="shared" si="109"/>
        <v>1</v>
      </c>
    </row>
    <row r="3482" spans="1:8">
      <c r="A3482" s="396">
        <v>39995</v>
      </c>
      <c r="B3482" s="401" t="s">
        <v>12213</v>
      </c>
      <c r="C3482" s="396" t="s">
        <v>2022</v>
      </c>
      <c r="D3482" s="405">
        <f t="shared" si="108"/>
        <v>443.92</v>
      </c>
      <c r="F3482" s="679">
        <v>443.92</v>
      </c>
      <c r="G3482" s="679">
        <v>443.92</v>
      </c>
      <c r="H3482" t="b">
        <f t="shared" si="109"/>
        <v>1</v>
      </c>
    </row>
    <row r="3483" spans="1:8">
      <c r="A3483" s="395">
        <v>11615</v>
      </c>
      <c r="B3483" s="406" t="s">
        <v>12214</v>
      </c>
      <c r="C3483" s="395" t="s">
        <v>2023</v>
      </c>
      <c r="D3483" s="407">
        <f t="shared" si="108"/>
        <v>3.76</v>
      </c>
      <c r="F3483" s="680">
        <v>3.76</v>
      </c>
      <c r="G3483" s="680">
        <v>3.76</v>
      </c>
      <c r="H3483" t="b">
        <f t="shared" si="109"/>
        <v>1</v>
      </c>
    </row>
    <row r="3484" spans="1:8">
      <c r="A3484" s="396">
        <v>3408</v>
      </c>
      <c r="B3484" s="401" t="s">
        <v>12215</v>
      </c>
      <c r="C3484" s="396" t="s">
        <v>2023</v>
      </c>
      <c r="D3484" s="405">
        <f t="shared" si="108"/>
        <v>10</v>
      </c>
      <c r="F3484" s="679">
        <v>10</v>
      </c>
      <c r="G3484" s="679">
        <v>10</v>
      </c>
      <c r="H3484" t="b">
        <f t="shared" si="109"/>
        <v>1</v>
      </c>
    </row>
    <row r="3485" spans="1:8">
      <c r="A3485" s="395">
        <v>3409</v>
      </c>
      <c r="B3485" s="406" t="s">
        <v>12216</v>
      </c>
      <c r="C3485" s="395" t="s">
        <v>2023</v>
      </c>
      <c r="D3485" s="407">
        <f t="shared" si="108"/>
        <v>25</v>
      </c>
      <c r="F3485" s="680">
        <v>25</v>
      </c>
      <c r="G3485" s="680">
        <v>25</v>
      </c>
      <c r="H3485" t="b">
        <f t="shared" si="109"/>
        <v>1</v>
      </c>
    </row>
    <row r="3486" spans="1:8">
      <c r="A3486" s="396">
        <v>11427</v>
      </c>
      <c r="B3486" s="401" t="s">
        <v>12217</v>
      </c>
      <c r="C3486" s="396" t="s">
        <v>2025</v>
      </c>
      <c r="D3486" s="405">
        <f t="shared" si="108"/>
        <v>112.53</v>
      </c>
      <c r="F3486" s="679">
        <v>112.53</v>
      </c>
      <c r="G3486" s="679">
        <v>112.53</v>
      </c>
      <c r="H3486" t="b">
        <f t="shared" si="109"/>
        <v>1</v>
      </c>
    </row>
    <row r="3487" spans="1:8">
      <c r="A3487" s="395">
        <v>4491</v>
      </c>
      <c r="B3487" s="406" t="s">
        <v>12218</v>
      </c>
      <c r="C3487" s="395" t="s">
        <v>2024</v>
      </c>
      <c r="D3487" s="407">
        <f t="shared" si="108"/>
        <v>12.95</v>
      </c>
      <c r="F3487" s="680">
        <v>12.95</v>
      </c>
      <c r="G3487" s="680">
        <v>12.95</v>
      </c>
      <c r="H3487" t="b">
        <f t="shared" si="109"/>
        <v>1</v>
      </c>
    </row>
    <row r="3488" spans="1:8" ht="30">
      <c r="A3488" s="396">
        <v>2745</v>
      </c>
      <c r="B3488" s="401" t="s">
        <v>12219</v>
      </c>
      <c r="C3488" s="396" t="s">
        <v>2024</v>
      </c>
      <c r="D3488" s="405">
        <f t="shared" si="108"/>
        <v>4.03</v>
      </c>
      <c r="F3488" s="679">
        <v>4.03</v>
      </c>
      <c r="G3488" s="679">
        <v>4.03</v>
      </c>
      <c r="H3488" t="b">
        <f t="shared" si="109"/>
        <v>1</v>
      </c>
    </row>
    <row r="3489" spans="1:8" ht="30">
      <c r="A3489" s="395">
        <v>14439</v>
      </c>
      <c r="B3489" s="406" t="s">
        <v>12220</v>
      </c>
      <c r="C3489" s="395" t="s">
        <v>2024</v>
      </c>
      <c r="D3489" s="407">
        <f t="shared" si="108"/>
        <v>5</v>
      </c>
      <c r="F3489" s="680">
        <v>5</v>
      </c>
      <c r="G3489" s="680">
        <v>5</v>
      </c>
      <c r="H3489" t="b">
        <f t="shared" si="109"/>
        <v>1</v>
      </c>
    </row>
    <row r="3490" spans="1:8">
      <c r="A3490" s="396">
        <v>44496</v>
      </c>
      <c r="B3490" s="401" t="s">
        <v>12221</v>
      </c>
      <c r="C3490" s="396" t="s">
        <v>2021</v>
      </c>
      <c r="D3490" s="405">
        <f t="shared" si="108"/>
        <v>265.48</v>
      </c>
      <c r="F3490" s="679">
        <v>265.48</v>
      </c>
      <c r="G3490" s="679">
        <v>265.48</v>
      </c>
      <c r="H3490" t="b">
        <f t="shared" si="109"/>
        <v>1</v>
      </c>
    </row>
    <row r="3491" spans="1:8">
      <c r="A3491" s="395">
        <v>12362</v>
      </c>
      <c r="B3491" s="406" t="s">
        <v>12222</v>
      </c>
      <c r="C3491" s="395" t="s">
        <v>2021</v>
      </c>
      <c r="D3491" s="407">
        <f t="shared" si="108"/>
        <v>21.52</v>
      </c>
      <c r="F3491" s="680">
        <v>21.52</v>
      </c>
      <c r="G3491" s="680">
        <v>21.52</v>
      </c>
      <c r="H3491" t="b">
        <f t="shared" si="109"/>
        <v>1</v>
      </c>
    </row>
    <row r="3492" spans="1:8">
      <c r="A3492" s="396">
        <v>421</v>
      </c>
      <c r="B3492" s="401" t="s">
        <v>12223</v>
      </c>
      <c r="C3492" s="396" t="s">
        <v>2021</v>
      </c>
      <c r="D3492" s="405">
        <f t="shared" si="108"/>
        <v>22.02</v>
      </c>
      <c r="F3492" s="679">
        <v>22.02</v>
      </c>
      <c r="G3492" s="679">
        <v>22.02</v>
      </c>
      <c r="H3492" t="b">
        <f t="shared" si="109"/>
        <v>1</v>
      </c>
    </row>
    <row r="3493" spans="1:8">
      <c r="A3493" s="395">
        <v>14148</v>
      </c>
      <c r="B3493" s="406" t="s">
        <v>12224</v>
      </c>
      <c r="C3493" s="395" t="s">
        <v>2021</v>
      </c>
      <c r="D3493" s="407">
        <f t="shared" si="108"/>
        <v>0.93</v>
      </c>
      <c r="F3493" s="680">
        <v>0.93</v>
      </c>
      <c r="G3493" s="680">
        <v>0.93</v>
      </c>
      <c r="H3493" t="b">
        <f t="shared" si="109"/>
        <v>1</v>
      </c>
    </row>
    <row r="3494" spans="1:8">
      <c r="A3494" s="396">
        <v>4341</v>
      </c>
      <c r="B3494" s="401" t="s">
        <v>12225</v>
      </c>
      <c r="C3494" s="396" t="s">
        <v>2021</v>
      </c>
      <c r="D3494" s="405">
        <f t="shared" si="108"/>
        <v>1.07</v>
      </c>
      <c r="F3494" s="679">
        <v>1.07</v>
      </c>
      <c r="G3494" s="679">
        <v>1.07</v>
      </c>
      <c r="H3494" t="b">
        <f t="shared" si="109"/>
        <v>1</v>
      </c>
    </row>
    <row r="3495" spans="1:8">
      <c r="A3495" s="395">
        <v>4337</v>
      </c>
      <c r="B3495" s="406" t="s">
        <v>12226</v>
      </c>
      <c r="C3495" s="395" t="s">
        <v>2021</v>
      </c>
      <c r="D3495" s="407">
        <f t="shared" si="108"/>
        <v>2.72</v>
      </c>
      <c r="F3495" s="680">
        <v>2.72</v>
      </c>
      <c r="G3495" s="680">
        <v>2.72</v>
      </c>
      <c r="H3495" t="b">
        <f t="shared" si="109"/>
        <v>1</v>
      </c>
    </row>
    <row r="3496" spans="1:8">
      <c r="A3496" s="396">
        <v>4339</v>
      </c>
      <c r="B3496" s="401" t="s">
        <v>12227</v>
      </c>
      <c r="C3496" s="396" t="s">
        <v>2021</v>
      </c>
      <c r="D3496" s="405">
        <f t="shared" si="108"/>
        <v>0.56999999999999995</v>
      </c>
      <c r="F3496" s="679">
        <v>0.56999999999999995</v>
      </c>
      <c r="G3496" s="679">
        <v>0.56999999999999995</v>
      </c>
      <c r="H3496" t="b">
        <f t="shared" si="109"/>
        <v>1</v>
      </c>
    </row>
    <row r="3497" spans="1:8">
      <c r="A3497" s="395">
        <v>39997</v>
      </c>
      <c r="B3497" s="406" t="s">
        <v>12228</v>
      </c>
      <c r="C3497" s="395" t="s">
        <v>2021</v>
      </c>
      <c r="D3497" s="407">
        <f t="shared" si="108"/>
        <v>0.32</v>
      </c>
      <c r="F3497" s="680">
        <v>0.32</v>
      </c>
      <c r="G3497" s="680">
        <v>0.32</v>
      </c>
      <c r="H3497" t="b">
        <f t="shared" si="109"/>
        <v>1</v>
      </c>
    </row>
    <row r="3498" spans="1:8">
      <c r="A3498" s="396">
        <v>11971</v>
      </c>
      <c r="B3498" s="401" t="s">
        <v>12229</v>
      </c>
      <c r="C3498" s="396" t="s">
        <v>2021</v>
      </c>
      <c r="D3498" s="405">
        <f t="shared" si="108"/>
        <v>4.49</v>
      </c>
      <c r="F3498" s="679">
        <v>4.49</v>
      </c>
      <c r="G3498" s="679">
        <v>4.49</v>
      </c>
      <c r="H3498" t="b">
        <f t="shared" si="109"/>
        <v>1</v>
      </c>
    </row>
    <row r="3499" spans="1:8">
      <c r="A3499" s="395">
        <v>4342</v>
      </c>
      <c r="B3499" s="406" t="s">
        <v>12230</v>
      </c>
      <c r="C3499" s="395" t="s">
        <v>2021</v>
      </c>
      <c r="D3499" s="407">
        <f t="shared" si="108"/>
        <v>0.23</v>
      </c>
      <c r="F3499" s="680">
        <v>0.23</v>
      </c>
      <c r="G3499" s="680">
        <v>0.23</v>
      </c>
      <c r="H3499" t="b">
        <f t="shared" si="109"/>
        <v>1</v>
      </c>
    </row>
    <row r="3500" spans="1:8">
      <c r="A3500" s="396">
        <v>4330</v>
      </c>
      <c r="B3500" s="401" t="s">
        <v>12231</v>
      </c>
      <c r="C3500" s="396" t="s">
        <v>2021</v>
      </c>
      <c r="D3500" s="405">
        <f t="shared" si="108"/>
        <v>0.15</v>
      </c>
      <c r="F3500" s="679">
        <v>0.15</v>
      </c>
      <c r="G3500" s="679">
        <v>0.15</v>
      </c>
      <c r="H3500" t="b">
        <f t="shared" si="109"/>
        <v>1</v>
      </c>
    </row>
    <row r="3501" spans="1:8">
      <c r="A3501" s="395">
        <v>4340</v>
      </c>
      <c r="B3501" s="406" t="s">
        <v>12232</v>
      </c>
      <c r="C3501" s="395" t="s">
        <v>2021</v>
      </c>
      <c r="D3501" s="407">
        <f t="shared" si="108"/>
        <v>1.26</v>
      </c>
      <c r="F3501" s="680">
        <v>1.26</v>
      </c>
      <c r="G3501" s="680">
        <v>1.26</v>
      </c>
      <c r="H3501" t="b">
        <f t="shared" si="109"/>
        <v>1</v>
      </c>
    </row>
    <row r="3502" spans="1:8">
      <c r="A3502" s="396">
        <v>5088</v>
      </c>
      <c r="B3502" s="401" t="s">
        <v>12233</v>
      </c>
      <c r="C3502" s="396" t="s">
        <v>2021</v>
      </c>
      <c r="D3502" s="405">
        <f t="shared" si="108"/>
        <v>7.61</v>
      </c>
      <c r="F3502" s="679">
        <v>7.61</v>
      </c>
      <c r="G3502" s="679">
        <v>7.61</v>
      </c>
      <c r="H3502" t="b">
        <f t="shared" si="109"/>
        <v>1</v>
      </c>
    </row>
    <row r="3503" spans="1:8">
      <c r="A3503" s="395">
        <v>11154</v>
      </c>
      <c r="B3503" s="406" t="s">
        <v>12234</v>
      </c>
      <c r="C3503" s="395" t="s">
        <v>2021</v>
      </c>
      <c r="D3503" s="407">
        <f t="shared" si="108"/>
        <v>1461.12</v>
      </c>
      <c r="F3503" s="680">
        <v>1461.12</v>
      </c>
      <c r="G3503" s="680">
        <v>1461.12</v>
      </c>
      <c r="H3503" t="b">
        <f t="shared" si="109"/>
        <v>1</v>
      </c>
    </row>
    <row r="3504" spans="1:8" ht="30">
      <c r="A3504" s="396">
        <v>4989</v>
      </c>
      <c r="B3504" s="401" t="s">
        <v>12235</v>
      </c>
      <c r="C3504" s="396" t="s">
        <v>2021</v>
      </c>
      <c r="D3504" s="405">
        <f t="shared" si="108"/>
        <v>430.51</v>
      </c>
      <c r="F3504" s="679">
        <v>430.51</v>
      </c>
      <c r="G3504" s="679">
        <v>430.51</v>
      </c>
      <c r="H3504" t="b">
        <f t="shared" si="109"/>
        <v>1</v>
      </c>
    </row>
    <row r="3505" spans="1:8" ht="30">
      <c r="A3505" s="395">
        <v>4982</v>
      </c>
      <c r="B3505" s="406" t="s">
        <v>12236</v>
      </c>
      <c r="C3505" s="395" t="s">
        <v>2021</v>
      </c>
      <c r="D3505" s="407">
        <f t="shared" si="108"/>
        <v>403.8</v>
      </c>
      <c r="F3505" s="680">
        <v>403.8</v>
      </c>
      <c r="G3505" s="680">
        <v>403.8</v>
      </c>
      <c r="H3505" t="b">
        <f t="shared" si="109"/>
        <v>1</v>
      </c>
    </row>
    <row r="3506" spans="1:8" ht="30">
      <c r="A3506" s="396">
        <v>4962</v>
      </c>
      <c r="B3506" s="401" t="s">
        <v>12237</v>
      </c>
      <c r="C3506" s="396" t="s">
        <v>2021</v>
      </c>
      <c r="D3506" s="405">
        <f t="shared" si="108"/>
        <v>318.45</v>
      </c>
      <c r="F3506" s="679">
        <v>318.45</v>
      </c>
      <c r="G3506" s="679">
        <v>318.45</v>
      </c>
      <c r="H3506" t="b">
        <f t="shared" si="109"/>
        <v>1</v>
      </c>
    </row>
    <row r="3507" spans="1:8" ht="30">
      <c r="A3507" s="395">
        <v>4981</v>
      </c>
      <c r="B3507" s="406" t="s">
        <v>12238</v>
      </c>
      <c r="C3507" s="395" t="s">
        <v>2021</v>
      </c>
      <c r="D3507" s="407">
        <f t="shared" si="108"/>
        <v>283.5</v>
      </c>
      <c r="F3507" s="680">
        <v>283.5</v>
      </c>
      <c r="G3507" s="680">
        <v>283.5</v>
      </c>
      <c r="H3507" t="b">
        <f t="shared" si="109"/>
        <v>1</v>
      </c>
    </row>
    <row r="3508" spans="1:8" ht="30">
      <c r="A3508" s="396">
        <v>4964</v>
      </c>
      <c r="B3508" s="401" t="s">
        <v>12239</v>
      </c>
      <c r="C3508" s="396" t="s">
        <v>2021</v>
      </c>
      <c r="D3508" s="405">
        <f t="shared" si="108"/>
        <v>359.65</v>
      </c>
      <c r="F3508" s="679">
        <v>359.65</v>
      </c>
      <c r="G3508" s="679">
        <v>359.65</v>
      </c>
      <c r="H3508" t="b">
        <f t="shared" si="109"/>
        <v>1</v>
      </c>
    </row>
    <row r="3509" spans="1:8" ht="30">
      <c r="A3509" s="395">
        <v>4992</v>
      </c>
      <c r="B3509" s="406" t="s">
        <v>12240</v>
      </c>
      <c r="C3509" s="395" t="s">
        <v>2021</v>
      </c>
      <c r="D3509" s="407">
        <f t="shared" si="108"/>
        <v>351.32</v>
      </c>
      <c r="F3509" s="680">
        <v>351.32</v>
      </c>
      <c r="G3509" s="680">
        <v>351.32</v>
      </c>
      <c r="H3509" t="b">
        <f t="shared" si="109"/>
        <v>1</v>
      </c>
    </row>
    <row r="3510" spans="1:8" ht="30">
      <c r="A3510" s="396">
        <v>4987</v>
      </c>
      <c r="B3510" s="401" t="s">
        <v>12241</v>
      </c>
      <c r="C3510" s="396" t="s">
        <v>2021</v>
      </c>
      <c r="D3510" s="405">
        <f t="shared" si="108"/>
        <v>401.93</v>
      </c>
      <c r="F3510" s="679">
        <v>401.93</v>
      </c>
      <c r="G3510" s="679">
        <v>401.93</v>
      </c>
      <c r="H3510" t="b">
        <f t="shared" si="109"/>
        <v>1</v>
      </c>
    </row>
    <row r="3511" spans="1:8" ht="30">
      <c r="A3511" s="395">
        <v>4930</v>
      </c>
      <c r="B3511" s="406" t="s">
        <v>12242</v>
      </c>
      <c r="C3511" s="395" t="s">
        <v>2023</v>
      </c>
      <c r="D3511" s="407">
        <f t="shared" si="108"/>
        <v>618.88</v>
      </c>
      <c r="F3511" s="680">
        <v>618.88</v>
      </c>
      <c r="G3511" s="680">
        <v>618.88</v>
      </c>
      <c r="H3511" t="b">
        <f t="shared" si="109"/>
        <v>1</v>
      </c>
    </row>
    <row r="3512" spans="1:8" ht="30">
      <c r="A3512" s="396">
        <v>39021</v>
      </c>
      <c r="B3512" s="401" t="s">
        <v>12243</v>
      </c>
      <c r="C3512" s="396" t="s">
        <v>2021</v>
      </c>
      <c r="D3512" s="405">
        <f t="shared" si="108"/>
        <v>658.02</v>
      </c>
      <c r="F3512" s="679">
        <v>658.02</v>
      </c>
      <c r="G3512" s="679">
        <v>658.02</v>
      </c>
      <c r="H3512" t="b">
        <f t="shared" si="109"/>
        <v>1</v>
      </c>
    </row>
    <row r="3513" spans="1:8" ht="30">
      <c r="A3513" s="395">
        <v>39022</v>
      </c>
      <c r="B3513" s="406" t="s">
        <v>12244</v>
      </c>
      <c r="C3513" s="395" t="s">
        <v>2021</v>
      </c>
      <c r="D3513" s="407">
        <f t="shared" si="108"/>
        <v>589.41</v>
      </c>
      <c r="F3513" s="680">
        <v>589.41</v>
      </c>
      <c r="G3513" s="680">
        <v>589.41</v>
      </c>
      <c r="H3513" t="b">
        <f t="shared" si="109"/>
        <v>1</v>
      </c>
    </row>
    <row r="3514" spans="1:8" ht="30">
      <c r="A3514" s="396">
        <v>39024</v>
      </c>
      <c r="B3514" s="401" t="s">
        <v>12245</v>
      </c>
      <c r="C3514" s="396" t="s">
        <v>2021</v>
      </c>
      <c r="D3514" s="405">
        <f t="shared" si="108"/>
        <v>686.67</v>
      </c>
      <c r="F3514" s="679">
        <v>686.67</v>
      </c>
      <c r="G3514" s="679">
        <v>686.67</v>
      </c>
      <c r="H3514" t="b">
        <f t="shared" si="109"/>
        <v>1</v>
      </c>
    </row>
    <row r="3515" spans="1:8" ht="30">
      <c r="A3515" s="395">
        <v>4914</v>
      </c>
      <c r="B3515" s="406" t="s">
        <v>12246</v>
      </c>
      <c r="C3515" s="395" t="s">
        <v>2023</v>
      </c>
      <c r="D3515" s="407">
        <f t="shared" si="108"/>
        <v>556.77</v>
      </c>
      <c r="F3515" s="680">
        <v>556.77</v>
      </c>
      <c r="G3515" s="680">
        <v>556.77</v>
      </c>
      <c r="H3515" t="b">
        <f t="shared" si="109"/>
        <v>1</v>
      </c>
    </row>
    <row r="3516" spans="1:8">
      <c r="A3516" s="396">
        <v>4917</v>
      </c>
      <c r="B3516" s="401" t="s">
        <v>12247</v>
      </c>
      <c r="C3516" s="396" t="s">
        <v>2023</v>
      </c>
      <c r="D3516" s="405">
        <f t="shared" si="108"/>
        <v>384.51</v>
      </c>
      <c r="F3516" s="679">
        <v>384.51</v>
      </c>
      <c r="G3516" s="679">
        <v>384.51</v>
      </c>
      <c r="H3516" t="b">
        <f t="shared" si="109"/>
        <v>1</v>
      </c>
    </row>
    <row r="3517" spans="1:8" ht="30">
      <c r="A3517" s="395">
        <v>39025</v>
      </c>
      <c r="B3517" s="406" t="s">
        <v>12248</v>
      </c>
      <c r="C3517" s="395" t="s">
        <v>2021</v>
      </c>
      <c r="D3517" s="407">
        <f t="shared" si="108"/>
        <v>704.11</v>
      </c>
      <c r="F3517" s="680">
        <v>704.11</v>
      </c>
      <c r="G3517" s="680">
        <v>704.11</v>
      </c>
      <c r="H3517" t="b">
        <f t="shared" si="109"/>
        <v>1</v>
      </c>
    </row>
    <row r="3518" spans="1:8" ht="30">
      <c r="A3518" s="396">
        <v>4922</v>
      </c>
      <c r="B3518" s="401" t="s">
        <v>12249</v>
      </c>
      <c r="C3518" s="396" t="s">
        <v>2023</v>
      </c>
      <c r="D3518" s="405">
        <f t="shared" si="108"/>
        <v>356.67</v>
      </c>
      <c r="F3518" s="679">
        <v>356.67</v>
      </c>
      <c r="G3518" s="679">
        <v>356.67</v>
      </c>
      <c r="H3518" t="b">
        <f t="shared" si="109"/>
        <v>1</v>
      </c>
    </row>
    <row r="3519" spans="1:8" ht="30">
      <c r="A3519" s="395">
        <v>4911</v>
      </c>
      <c r="B3519" s="406" t="s">
        <v>12250</v>
      </c>
      <c r="C3519" s="395" t="s">
        <v>2023</v>
      </c>
      <c r="D3519" s="407">
        <f t="shared" si="108"/>
        <v>360.36</v>
      </c>
      <c r="F3519" s="680">
        <v>360.36</v>
      </c>
      <c r="G3519" s="680">
        <v>360.36</v>
      </c>
      <c r="H3519" t="b">
        <f t="shared" si="109"/>
        <v>1</v>
      </c>
    </row>
    <row r="3520" spans="1:8" ht="30">
      <c r="A3520" s="396">
        <v>37518</v>
      </c>
      <c r="B3520" s="401" t="s">
        <v>12251</v>
      </c>
      <c r="C3520" s="396" t="s">
        <v>2023</v>
      </c>
      <c r="D3520" s="405">
        <f t="shared" si="108"/>
        <v>585.58000000000004</v>
      </c>
      <c r="F3520" s="679">
        <v>585.58000000000004</v>
      </c>
      <c r="G3520" s="679">
        <v>585.58000000000004</v>
      </c>
      <c r="H3520" t="b">
        <f t="shared" si="109"/>
        <v>1</v>
      </c>
    </row>
    <row r="3521" spans="1:8" ht="30">
      <c r="A3521" s="395">
        <v>4910</v>
      </c>
      <c r="B3521" s="406" t="s">
        <v>12252</v>
      </c>
      <c r="C3521" s="395" t="s">
        <v>2023</v>
      </c>
      <c r="D3521" s="407">
        <f t="shared" si="108"/>
        <v>493.65</v>
      </c>
      <c r="F3521" s="680">
        <v>493.65</v>
      </c>
      <c r="G3521" s="680">
        <v>493.65</v>
      </c>
      <c r="H3521" t="b">
        <f t="shared" si="109"/>
        <v>1</v>
      </c>
    </row>
    <row r="3522" spans="1:8" ht="30">
      <c r="A3522" s="396">
        <v>4943</v>
      </c>
      <c r="B3522" s="401" t="s">
        <v>12253</v>
      </c>
      <c r="C3522" s="396" t="s">
        <v>2023</v>
      </c>
      <c r="D3522" s="405">
        <f t="shared" si="108"/>
        <v>735.42</v>
      </c>
      <c r="F3522" s="679">
        <v>735.42</v>
      </c>
      <c r="G3522" s="679">
        <v>735.42</v>
      </c>
      <c r="H3522" t="b">
        <f t="shared" si="109"/>
        <v>1</v>
      </c>
    </row>
    <row r="3523" spans="1:8">
      <c r="A3523" s="395">
        <v>5002</v>
      </c>
      <c r="B3523" s="406" t="s">
        <v>12254</v>
      </c>
      <c r="C3523" s="395" t="s">
        <v>2023</v>
      </c>
      <c r="D3523" s="407">
        <f t="shared" ref="D3523:D3586" si="110">IF($J$2=$F$1,F3523,G3523)</f>
        <v>409.73</v>
      </c>
      <c r="F3523" s="680">
        <v>409.73</v>
      </c>
      <c r="G3523" s="680">
        <v>409.73</v>
      </c>
      <c r="H3523" t="b">
        <f t="shared" ref="H3523:H3586" si="111">F3523=G3523</f>
        <v>1</v>
      </c>
    </row>
    <row r="3524" spans="1:8">
      <c r="A3524" s="396">
        <v>4977</v>
      </c>
      <c r="B3524" s="401" t="s">
        <v>12255</v>
      </c>
      <c r="C3524" s="396" t="s">
        <v>2023</v>
      </c>
      <c r="D3524" s="405">
        <f t="shared" si="110"/>
        <v>276.58</v>
      </c>
      <c r="F3524" s="679">
        <v>276.58</v>
      </c>
      <c r="G3524" s="679">
        <v>276.58</v>
      </c>
      <c r="H3524" t="b">
        <f t="shared" si="111"/>
        <v>1</v>
      </c>
    </row>
    <row r="3525" spans="1:8">
      <c r="A3525" s="395">
        <v>5028</v>
      </c>
      <c r="B3525" s="406" t="s">
        <v>12256</v>
      </c>
      <c r="C3525" s="395" t="s">
        <v>2023</v>
      </c>
      <c r="D3525" s="407">
        <f t="shared" si="110"/>
        <v>676.75</v>
      </c>
      <c r="F3525" s="680">
        <v>676.75</v>
      </c>
      <c r="G3525" s="680">
        <v>676.75</v>
      </c>
      <c r="H3525" t="b">
        <f t="shared" si="111"/>
        <v>1</v>
      </c>
    </row>
    <row r="3526" spans="1:8">
      <c r="A3526" s="396">
        <v>4998</v>
      </c>
      <c r="B3526" s="401" t="s">
        <v>12257</v>
      </c>
      <c r="C3526" s="396" t="s">
        <v>2023</v>
      </c>
      <c r="D3526" s="405">
        <f t="shared" si="110"/>
        <v>562.04999999999995</v>
      </c>
      <c r="F3526" s="679">
        <v>562.04999999999995</v>
      </c>
      <c r="G3526" s="679">
        <v>562.04999999999995</v>
      </c>
      <c r="H3526" t="b">
        <f t="shared" si="111"/>
        <v>1</v>
      </c>
    </row>
    <row r="3527" spans="1:8">
      <c r="A3527" s="395">
        <v>4969</v>
      </c>
      <c r="B3527" s="406" t="s">
        <v>12258</v>
      </c>
      <c r="C3527" s="395" t="s">
        <v>2023</v>
      </c>
      <c r="D3527" s="407">
        <f t="shared" si="110"/>
        <v>391.17</v>
      </c>
      <c r="F3527" s="680">
        <v>391.17</v>
      </c>
      <c r="G3527" s="680">
        <v>391.17</v>
      </c>
      <c r="H3527" t="b">
        <f t="shared" si="111"/>
        <v>1</v>
      </c>
    </row>
    <row r="3528" spans="1:8" ht="30">
      <c r="A3528" s="396">
        <v>11364</v>
      </c>
      <c r="B3528" s="401" t="s">
        <v>12259</v>
      </c>
      <c r="C3528" s="396" t="s">
        <v>2021</v>
      </c>
      <c r="D3528" s="405">
        <f t="shared" si="110"/>
        <v>243.55</v>
      </c>
      <c r="F3528" s="679">
        <v>243.55</v>
      </c>
      <c r="G3528" s="679">
        <v>243.55</v>
      </c>
      <c r="H3528" t="b">
        <f t="shared" si="111"/>
        <v>1</v>
      </c>
    </row>
    <row r="3529" spans="1:8" ht="30">
      <c r="A3529" s="395">
        <v>11365</v>
      </c>
      <c r="B3529" s="406" t="s">
        <v>12260</v>
      </c>
      <c r="C3529" s="395" t="s">
        <v>2021</v>
      </c>
      <c r="D3529" s="407">
        <f t="shared" si="110"/>
        <v>252.75</v>
      </c>
      <c r="F3529" s="680">
        <v>252.75</v>
      </c>
      <c r="G3529" s="680">
        <v>252.75</v>
      </c>
      <c r="H3529" t="b">
        <f t="shared" si="111"/>
        <v>1</v>
      </c>
    </row>
    <row r="3530" spans="1:8" ht="30">
      <c r="A3530" s="396">
        <v>11366</v>
      </c>
      <c r="B3530" s="401" t="s">
        <v>12261</v>
      </c>
      <c r="C3530" s="396" t="s">
        <v>2021</v>
      </c>
      <c r="D3530" s="405">
        <f t="shared" si="110"/>
        <v>268.67</v>
      </c>
      <c r="F3530" s="679">
        <v>268.67</v>
      </c>
      <c r="G3530" s="679">
        <v>268.67</v>
      </c>
      <c r="H3530" t="b">
        <f t="shared" si="111"/>
        <v>1</v>
      </c>
    </row>
    <row r="3531" spans="1:8" ht="30">
      <c r="A3531" s="395">
        <v>43777</v>
      </c>
      <c r="B3531" s="406" t="s">
        <v>12262</v>
      </c>
      <c r="C3531" s="395" t="s">
        <v>2021</v>
      </c>
      <c r="D3531" s="407">
        <f t="shared" si="110"/>
        <v>315.58999999999997</v>
      </c>
      <c r="F3531" s="680">
        <v>315.58999999999997</v>
      </c>
      <c r="G3531" s="680">
        <v>315.58999999999997</v>
      </c>
      <c r="H3531" t="b">
        <f t="shared" si="111"/>
        <v>1</v>
      </c>
    </row>
    <row r="3532" spans="1:8" ht="30">
      <c r="A3532" s="396">
        <v>20322</v>
      </c>
      <c r="B3532" s="401" t="s">
        <v>12263</v>
      </c>
      <c r="C3532" s="396" t="s">
        <v>2021</v>
      </c>
      <c r="D3532" s="405">
        <f t="shared" si="110"/>
        <v>292.95999999999998</v>
      </c>
      <c r="F3532" s="679">
        <v>292.95999999999998</v>
      </c>
      <c r="G3532" s="679">
        <v>292.95999999999998</v>
      </c>
      <c r="H3532" t="b">
        <f t="shared" si="111"/>
        <v>1</v>
      </c>
    </row>
    <row r="3533" spans="1:8" ht="30">
      <c r="A3533" s="395">
        <v>10553</v>
      </c>
      <c r="B3533" s="406" t="s">
        <v>12264</v>
      </c>
      <c r="C3533" s="395" t="s">
        <v>2021</v>
      </c>
      <c r="D3533" s="407">
        <f t="shared" si="110"/>
        <v>266.01</v>
      </c>
      <c r="F3533" s="680">
        <v>266.01</v>
      </c>
      <c r="G3533" s="680">
        <v>266.01</v>
      </c>
      <c r="H3533" t="b">
        <f t="shared" si="111"/>
        <v>1</v>
      </c>
    </row>
    <row r="3534" spans="1:8" ht="30">
      <c r="A3534" s="396">
        <v>5020</v>
      </c>
      <c r="B3534" s="401" t="s">
        <v>12265</v>
      </c>
      <c r="C3534" s="396" t="s">
        <v>2021</v>
      </c>
      <c r="D3534" s="405">
        <f t="shared" si="110"/>
        <v>280.45999999999998</v>
      </c>
      <c r="F3534" s="679">
        <v>280.45999999999998</v>
      </c>
      <c r="G3534" s="679">
        <v>280.45999999999998</v>
      </c>
      <c r="H3534" t="b">
        <f t="shared" si="111"/>
        <v>1</v>
      </c>
    </row>
    <row r="3535" spans="1:8" ht="30">
      <c r="A3535" s="395">
        <v>10554</v>
      </c>
      <c r="B3535" s="406" t="s">
        <v>12266</v>
      </c>
      <c r="C3535" s="395" t="s">
        <v>2021</v>
      </c>
      <c r="D3535" s="407">
        <f t="shared" si="110"/>
        <v>268.37</v>
      </c>
      <c r="F3535" s="680">
        <v>268.37</v>
      </c>
      <c r="G3535" s="680">
        <v>268.37</v>
      </c>
      <c r="H3535" t="b">
        <f t="shared" si="111"/>
        <v>1</v>
      </c>
    </row>
    <row r="3536" spans="1:8" ht="30">
      <c r="A3536" s="396">
        <v>10555</v>
      </c>
      <c r="B3536" s="401" t="s">
        <v>12267</v>
      </c>
      <c r="C3536" s="396" t="s">
        <v>2021</v>
      </c>
      <c r="D3536" s="405">
        <f t="shared" si="110"/>
        <v>292.67</v>
      </c>
      <c r="F3536" s="679">
        <v>292.67</v>
      </c>
      <c r="G3536" s="679">
        <v>292.67</v>
      </c>
      <c r="H3536" t="b">
        <f t="shared" si="111"/>
        <v>1</v>
      </c>
    </row>
    <row r="3537" spans="1:8" ht="30">
      <c r="A3537" s="395">
        <v>10556</v>
      </c>
      <c r="B3537" s="406" t="s">
        <v>12268</v>
      </c>
      <c r="C3537" s="395" t="s">
        <v>2021</v>
      </c>
      <c r="D3537" s="407">
        <f t="shared" si="110"/>
        <v>389.13</v>
      </c>
      <c r="F3537" s="680">
        <v>389.13</v>
      </c>
      <c r="G3537" s="680">
        <v>389.13</v>
      </c>
      <c r="H3537" t="b">
        <f t="shared" si="111"/>
        <v>1</v>
      </c>
    </row>
    <row r="3538" spans="1:8" ht="30">
      <c r="A3538" s="396">
        <v>39502</v>
      </c>
      <c r="B3538" s="401" t="s">
        <v>12269</v>
      </c>
      <c r="C3538" s="396" t="s">
        <v>2021</v>
      </c>
      <c r="D3538" s="405">
        <f t="shared" si="110"/>
        <v>546.42999999999995</v>
      </c>
      <c r="F3538" s="679">
        <v>546.42999999999995</v>
      </c>
      <c r="G3538" s="679">
        <v>546.42999999999995</v>
      </c>
      <c r="H3538" t="b">
        <f t="shared" si="111"/>
        <v>1</v>
      </c>
    </row>
    <row r="3539" spans="1:8" ht="30">
      <c r="A3539" s="395">
        <v>39504</v>
      </c>
      <c r="B3539" s="406" t="s">
        <v>12270</v>
      </c>
      <c r="C3539" s="395" t="s">
        <v>2021</v>
      </c>
      <c r="D3539" s="407">
        <f t="shared" si="110"/>
        <v>604.25</v>
      </c>
      <c r="F3539" s="680">
        <v>604.25</v>
      </c>
      <c r="G3539" s="680">
        <v>604.25</v>
      </c>
      <c r="H3539" t="b">
        <f t="shared" si="111"/>
        <v>1</v>
      </c>
    </row>
    <row r="3540" spans="1:8" ht="30">
      <c r="A3540" s="396">
        <v>39503</v>
      </c>
      <c r="B3540" s="401" t="s">
        <v>12271</v>
      </c>
      <c r="C3540" s="396" t="s">
        <v>2021</v>
      </c>
      <c r="D3540" s="405">
        <f t="shared" si="110"/>
        <v>635.95000000000005</v>
      </c>
      <c r="F3540" s="679">
        <v>635.95000000000005</v>
      </c>
      <c r="G3540" s="679">
        <v>635.95000000000005</v>
      </c>
      <c r="H3540" t="b">
        <f t="shared" si="111"/>
        <v>1</v>
      </c>
    </row>
    <row r="3541" spans="1:8" ht="30">
      <c r="A3541" s="395">
        <v>39505</v>
      </c>
      <c r="B3541" s="406" t="s">
        <v>12272</v>
      </c>
      <c r="C3541" s="395" t="s">
        <v>2021</v>
      </c>
      <c r="D3541" s="407">
        <f t="shared" si="110"/>
        <v>685.33</v>
      </c>
      <c r="F3541" s="680">
        <v>685.33</v>
      </c>
      <c r="G3541" s="680">
        <v>685.33</v>
      </c>
      <c r="H3541" t="b">
        <f t="shared" si="111"/>
        <v>1</v>
      </c>
    </row>
    <row r="3542" spans="1:8">
      <c r="A3542" s="396">
        <v>44471</v>
      </c>
      <c r="B3542" s="401" t="s">
        <v>12273</v>
      </c>
      <c r="C3542" s="396" t="s">
        <v>2021</v>
      </c>
      <c r="D3542" s="405">
        <f t="shared" si="110"/>
        <v>592.29</v>
      </c>
      <c r="F3542" s="679">
        <v>592.29</v>
      </c>
      <c r="G3542" s="679">
        <v>592.29</v>
      </c>
      <c r="H3542" t="b">
        <f t="shared" si="111"/>
        <v>1</v>
      </c>
    </row>
    <row r="3543" spans="1:8" ht="30">
      <c r="A3543" s="395">
        <v>4944</v>
      </c>
      <c r="B3543" s="406" t="s">
        <v>12274</v>
      </c>
      <c r="C3543" s="395" t="s">
        <v>2023</v>
      </c>
      <c r="D3543" s="407">
        <f t="shared" si="110"/>
        <v>1099.46</v>
      </c>
      <c r="F3543" s="680">
        <v>1099.46</v>
      </c>
      <c r="G3543" s="680">
        <v>1099.46</v>
      </c>
      <c r="H3543" t="b">
        <f t="shared" si="111"/>
        <v>1</v>
      </c>
    </row>
    <row r="3544" spans="1:8">
      <c r="A3544" s="396">
        <v>21102</v>
      </c>
      <c r="B3544" s="401" t="s">
        <v>12275</v>
      </c>
      <c r="C3544" s="396" t="s">
        <v>2021</v>
      </c>
      <c r="D3544" s="405">
        <f t="shared" si="110"/>
        <v>45.09</v>
      </c>
      <c r="F3544" s="679">
        <v>45.09</v>
      </c>
      <c r="G3544" s="679">
        <v>45.09</v>
      </c>
      <c r="H3544" t="b">
        <f t="shared" si="111"/>
        <v>1</v>
      </c>
    </row>
    <row r="3545" spans="1:8">
      <c r="A3545" s="395">
        <v>21101</v>
      </c>
      <c r="B3545" s="406" t="s">
        <v>12276</v>
      </c>
      <c r="C3545" s="395" t="s">
        <v>2021</v>
      </c>
      <c r="D3545" s="407">
        <f t="shared" si="110"/>
        <v>28.95</v>
      </c>
      <c r="F3545" s="680">
        <v>28.95</v>
      </c>
      <c r="G3545" s="680">
        <v>28.95</v>
      </c>
      <c r="H3545" t="b">
        <f t="shared" si="111"/>
        <v>1</v>
      </c>
    </row>
    <row r="3546" spans="1:8">
      <c r="A3546" s="396">
        <v>34713</v>
      </c>
      <c r="B3546" s="401" t="s">
        <v>12277</v>
      </c>
      <c r="C3546" s="396" t="s">
        <v>2023</v>
      </c>
      <c r="D3546" s="405">
        <f t="shared" si="110"/>
        <v>414.67</v>
      </c>
      <c r="F3546" s="679">
        <v>414.67</v>
      </c>
      <c r="G3546" s="679">
        <v>414.67</v>
      </c>
      <c r="H3546" t="b">
        <f t="shared" si="111"/>
        <v>1</v>
      </c>
    </row>
    <row r="3547" spans="1:8">
      <c r="A3547" s="395">
        <v>37563</v>
      </c>
      <c r="B3547" s="406" t="s">
        <v>12278</v>
      </c>
      <c r="C3547" s="395" t="s">
        <v>2023</v>
      </c>
      <c r="D3547" s="407">
        <f t="shared" si="110"/>
        <v>680.99</v>
      </c>
      <c r="F3547" s="680">
        <v>680.99</v>
      </c>
      <c r="G3547" s="680">
        <v>680.99</v>
      </c>
      <c r="H3547" t="b">
        <f t="shared" si="111"/>
        <v>1</v>
      </c>
    </row>
    <row r="3548" spans="1:8" ht="30">
      <c r="A3548" s="396">
        <v>4948</v>
      </c>
      <c r="B3548" s="401" t="s">
        <v>12279</v>
      </c>
      <c r="C3548" s="396" t="s">
        <v>2023</v>
      </c>
      <c r="D3548" s="405">
        <f t="shared" si="110"/>
        <v>592.47</v>
      </c>
      <c r="F3548" s="679">
        <v>592.47</v>
      </c>
      <c r="G3548" s="679">
        <v>592.47</v>
      </c>
      <c r="H3548" t="b">
        <f t="shared" si="111"/>
        <v>1</v>
      </c>
    </row>
    <row r="3549" spans="1:8" ht="30">
      <c r="A3549" s="395">
        <v>37561</v>
      </c>
      <c r="B3549" s="406" t="s">
        <v>12280</v>
      </c>
      <c r="C3549" s="395" t="s">
        <v>2023</v>
      </c>
      <c r="D3549" s="407">
        <f t="shared" si="110"/>
        <v>552.57000000000005</v>
      </c>
      <c r="F3549" s="680">
        <v>552.57000000000005</v>
      </c>
      <c r="G3549" s="680">
        <v>552.57000000000005</v>
      </c>
      <c r="H3549" t="b">
        <f t="shared" si="111"/>
        <v>1</v>
      </c>
    </row>
    <row r="3550" spans="1:8" ht="30">
      <c r="A3550" s="396">
        <v>37562</v>
      </c>
      <c r="B3550" s="401" t="s">
        <v>12281</v>
      </c>
      <c r="C3550" s="396" t="s">
        <v>2023</v>
      </c>
      <c r="D3550" s="405">
        <f t="shared" si="110"/>
        <v>724.48</v>
      </c>
      <c r="F3550" s="679">
        <v>724.48</v>
      </c>
      <c r="G3550" s="679">
        <v>724.48</v>
      </c>
      <c r="H3550" t="b">
        <f t="shared" si="111"/>
        <v>1</v>
      </c>
    </row>
    <row r="3551" spans="1:8">
      <c r="A3551" s="395">
        <v>14164</v>
      </c>
      <c r="B3551" s="406" t="s">
        <v>12282</v>
      </c>
      <c r="C3551" s="395" t="s">
        <v>2021</v>
      </c>
      <c r="D3551" s="407">
        <f t="shared" si="110"/>
        <v>2044.58</v>
      </c>
      <c r="F3551" s="680">
        <v>2044.58</v>
      </c>
      <c r="G3551" s="680">
        <v>2044.58</v>
      </c>
      <c r="H3551" t="b">
        <f t="shared" si="111"/>
        <v>1</v>
      </c>
    </row>
    <row r="3552" spans="1:8">
      <c r="A3552" s="396">
        <v>14163</v>
      </c>
      <c r="B3552" s="401" t="s">
        <v>12283</v>
      </c>
      <c r="C3552" s="396" t="s">
        <v>2021</v>
      </c>
      <c r="D3552" s="405">
        <f t="shared" si="110"/>
        <v>2323.8000000000002</v>
      </c>
      <c r="F3552" s="679">
        <v>2323.8000000000002</v>
      </c>
      <c r="G3552" s="679">
        <v>2323.8000000000002</v>
      </c>
      <c r="H3552" t="b">
        <f t="shared" si="111"/>
        <v>1</v>
      </c>
    </row>
    <row r="3553" spans="1:8">
      <c r="A3553" s="395">
        <v>5051</v>
      </c>
      <c r="B3553" s="406" t="s">
        <v>12284</v>
      </c>
      <c r="C3553" s="395" t="s">
        <v>2021</v>
      </c>
      <c r="D3553" s="407">
        <f t="shared" si="110"/>
        <v>1976.36</v>
      </c>
      <c r="F3553" s="680">
        <v>1976.36</v>
      </c>
      <c r="G3553" s="680">
        <v>1976.36</v>
      </c>
      <c r="H3553" t="b">
        <f t="shared" si="111"/>
        <v>1</v>
      </c>
    </row>
    <row r="3554" spans="1:8">
      <c r="A3554" s="396">
        <v>14162</v>
      </c>
      <c r="B3554" s="401" t="s">
        <v>12285</v>
      </c>
      <c r="C3554" s="396" t="s">
        <v>2021</v>
      </c>
      <c r="D3554" s="405">
        <f t="shared" si="110"/>
        <v>1973.49</v>
      </c>
      <c r="F3554" s="679">
        <v>1973.49</v>
      </c>
      <c r="G3554" s="679">
        <v>1973.49</v>
      </c>
      <c r="H3554" t="b">
        <f t="shared" si="111"/>
        <v>1</v>
      </c>
    </row>
    <row r="3555" spans="1:8">
      <c r="A3555" s="395">
        <v>5052</v>
      </c>
      <c r="B3555" s="406" t="s">
        <v>12286</v>
      </c>
      <c r="C3555" s="395" t="s">
        <v>2021</v>
      </c>
      <c r="D3555" s="407">
        <f t="shared" si="110"/>
        <v>1472.5</v>
      </c>
      <c r="F3555" s="680">
        <v>1472.5</v>
      </c>
      <c r="G3555" s="680">
        <v>1472.5</v>
      </c>
      <c r="H3555" t="b">
        <f t="shared" si="111"/>
        <v>1</v>
      </c>
    </row>
    <row r="3556" spans="1:8">
      <c r="A3556" s="396">
        <v>14166</v>
      </c>
      <c r="B3556" s="401" t="s">
        <v>12287</v>
      </c>
      <c r="C3556" s="396" t="s">
        <v>2021</v>
      </c>
      <c r="D3556" s="405">
        <f t="shared" si="110"/>
        <v>1491.2</v>
      </c>
      <c r="F3556" s="679">
        <v>1491.2</v>
      </c>
      <c r="G3556" s="679">
        <v>1491.2</v>
      </c>
      <c r="H3556" t="b">
        <f t="shared" si="111"/>
        <v>1</v>
      </c>
    </row>
    <row r="3557" spans="1:8">
      <c r="A3557" s="395">
        <v>14165</v>
      </c>
      <c r="B3557" s="406" t="s">
        <v>12288</v>
      </c>
      <c r="C3557" s="395" t="s">
        <v>2021</v>
      </c>
      <c r="D3557" s="407">
        <f t="shared" si="110"/>
        <v>2065.84</v>
      </c>
      <c r="F3557" s="680">
        <v>2065.84</v>
      </c>
      <c r="G3557" s="680">
        <v>2065.84</v>
      </c>
      <c r="H3557" t="b">
        <f t="shared" si="111"/>
        <v>1</v>
      </c>
    </row>
    <row r="3558" spans="1:8">
      <c r="A3558" s="396">
        <v>5050</v>
      </c>
      <c r="B3558" s="401" t="s">
        <v>12289</v>
      </c>
      <c r="C3558" s="396" t="s">
        <v>2021</v>
      </c>
      <c r="D3558" s="405">
        <f t="shared" si="110"/>
        <v>508.45</v>
      </c>
      <c r="F3558" s="679">
        <v>508.45</v>
      </c>
      <c r="G3558" s="679">
        <v>508.45</v>
      </c>
      <c r="H3558" t="b">
        <f t="shared" si="111"/>
        <v>1</v>
      </c>
    </row>
    <row r="3559" spans="1:8">
      <c r="A3559" s="395">
        <v>12366</v>
      </c>
      <c r="B3559" s="406" t="s">
        <v>12290</v>
      </c>
      <c r="C3559" s="395" t="s">
        <v>2021</v>
      </c>
      <c r="D3559" s="407">
        <f t="shared" si="110"/>
        <v>1026.1400000000001</v>
      </c>
      <c r="F3559" s="680">
        <v>1026.1400000000001</v>
      </c>
      <c r="G3559" s="680">
        <v>1026.1400000000001</v>
      </c>
      <c r="H3559" t="b">
        <f t="shared" si="111"/>
        <v>1</v>
      </c>
    </row>
    <row r="3560" spans="1:8">
      <c r="A3560" s="396">
        <v>5045</v>
      </c>
      <c r="B3560" s="401" t="s">
        <v>12291</v>
      </c>
      <c r="C3560" s="396" t="s">
        <v>2021</v>
      </c>
      <c r="D3560" s="405">
        <f t="shared" si="110"/>
        <v>1629.84</v>
      </c>
      <c r="F3560" s="679">
        <v>1629.84</v>
      </c>
      <c r="G3560" s="679">
        <v>1629.84</v>
      </c>
      <c r="H3560" t="b">
        <f t="shared" si="111"/>
        <v>1</v>
      </c>
    </row>
    <row r="3561" spans="1:8">
      <c r="A3561" s="395">
        <v>5035</v>
      </c>
      <c r="B3561" s="406" t="s">
        <v>12292</v>
      </c>
      <c r="C3561" s="395" t="s">
        <v>2021</v>
      </c>
      <c r="D3561" s="407">
        <f t="shared" si="110"/>
        <v>2500.48</v>
      </c>
      <c r="F3561" s="680">
        <v>2500.48</v>
      </c>
      <c r="G3561" s="680">
        <v>2500.48</v>
      </c>
      <c r="H3561" t="b">
        <f t="shared" si="111"/>
        <v>1</v>
      </c>
    </row>
    <row r="3562" spans="1:8">
      <c r="A3562" s="396">
        <v>41180</v>
      </c>
      <c r="B3562" s="401" t="s">
        <v>12293</v>
      </c>
      <c r="C3562" s="396" t="s">
        <v>2021</v>
      </c>
      <c r="D3562" s="405">
        <f t="shared" si="110"/>
        <v>3663.87</v>
      </c>
      <c r="F3562" s="679">
        <v>3663.87</v>
      </c>
      <c r="G3562" s="679">
        <v>3663.87</v>
      </c>
      <c r="H3562" t="b">
        <f t="shared" si="111"/>
        <v>1</v>
      </c>
    </row>
    <row r="3563" spans="1:8">
      <c r="A3563" s="395">
        <v>41181</v>
      </c>
      <c r="B3563" s="406" t="s">
        <v>12294</v>
      </c>
      <c r="C3563" s="395" t="s">
        <v>2021</v>
      </c>
      <c r="D3563" s="407">
        <f t="shared" si="110"/>
        <v>4850.8500000000004</v>
      </c>
      <c r="F3563" s="680">
        <v>4850.8500000000004</v>
      </c>
      <c r="G3563" s="680">
        <v>4850.8500000000004</v>
      </c>
      <c r="H3563" t="b">
        <f t="shared" si="111"/>
        <v>1</v>
      </c>
    </row>
    <row r="3564" spans="1:8">
      <c r="A3564" s="396">
        <v>41182</v>
      </c>
      <c r="B3564" s="401" t="s">
        <v>12295</v>
      </c>
      <c r="C3564" s="396" t="s">
        <v>2021</v>
      </c>
      <c r="D3564" s="405">
        <f t="shared" si="110"/>
        <v>6958.94</v>
      </c>
      <c r="F3564" s="679">
        <v>6958.94</v>
      </c>
      <c r="G3564" s="679">
        <v>6958.94</v>
      </c>
      <c r="H3564" t="b">
        <f t="shared" si="111"/>
        <v>1</v>
      </c>
    </row>
    <row r="3565" spans="1:8">
      <c r="A3565" s="395">
        <v>41183</v>
      </c>
      <c r="B3565" s="406" t="s">
        <v>12296</v>
      </c>
      <c r="C3565" s="395" t="s">
        <v>2021</v>
      </c>
      <c r="D3565" s="407">
        <f t="shared" si="110"/>
        <v>8688.3799999999992</v>
      </c>
      <c r="F3565" s="680">
        <v>8688.3799999999992</v>
      </c>
      <c r="G3565" s="680">
        <v>8688.3799999999992</v>
      </c>
      <c r="H3565" t="b">
        <f t="shared" si="111"/>
        <v>1</v>
      </c>
    </row>
    <row r="3566" spans="1:8">
      <c r="A3566" s="396">
        <v>41184</v>
      </c>
      <c r="B3566" s="401" t="s">
        <v>12297</v>
      </c>
      <c r="C3566" s="396" t="s">
        <v>2021</v>
      </c>
      <c r="D3566" s="405">
        <f t="shared" si="110"/>
        <v>13228.59</v>
      </c>
      <c r="F3566" s="679">
        <v>13228.59</v>
      </c>
      <c r="G3566" s="679">
        <v>13228.59</v>
      </c>
      <c r="H3566" t="b">
        <f t="shared" si="111"/>
        <v>1</v>
      </c>
    </row>
    <row r="3567" spans="1:8">
      <c r="A3567" s="395">
        <v>41185</v>
      </c>
      <c r="B3567" s="406" t="s">
        <v>12298</v>
      </c>
      <c r="C3567" s="395" t="s">
        <v>2021</v>
      </c>
      <c r="D3567" s="407">
        <f t="shared" si="110"/>
        <v>4905.76</v>
      </c>
      <c r="F3567" s="680">
        <v>4905.76</v>
      </c>
      <c r="G3567" s="680">
        <v>4905.76</v>
      </c>
      <c r="H3567" t="b">
        <f t="shared" si="111"/>
        <v>1</v>
      </c>
    </row>
    <row r="3568" spans="1:8">
      <c r="A3568" s="396">
        <v>41186</v>
      </c>
      <c r="B3568" s="401" t="s">
        <v>12299</v>
      </c>
      <c r="C3568" s="396" t="s">
        <v>2021</v>
      </c>
      <c r="D3568" s="405">
        <f t="shared" si="110"/>
        <v>6874.85</v>
      </c>
      <c r="F3568" s="679">
        <v>6874.85</v>
      </c>
      <c r="G3568" s="679">
        <v>6874.85</v>
      </c>
      <c r="H3568" t="b">
        <f t="shared" si="111"/>
        <v>1</v>
      </c>
    </row>
    <row r="3569" spans="1:8">
      <c r="A3569" s="395">
        <v>41187</v>
      </c>
      <c r="B3569" s="406" t="s">
        <v>12300</v>
      </c>
      <c r="C3569" s="395" t="s">
        <v>2021</v>
      </c>
      <c r="D3569" s="407">
        <f t="shared" si="110"/>
        <v>9219.74</v>
      </c>
      <c r="F3569" s="680">
        <v>9219.74</v>
      </c>
      <c r="G3569" s="680">
        <v>9219.74</v>
      </c>
      <c r="H3569" t="b">
        <f t="shared" si="111"/>
        <v>1</v>
      </c>
    </row>
    <row r="3570" spans="1:8">
      <c r="A3570" s="396">
        <v>41188</v>
      </c>
      <c r="B3570" s="401" t="s">
        <v>12301</v>
      </c>
      <c r="C3570" s="396" t="s">
        <v>2021</v>
      </c>
      <c r="D3570" s="405">
        <f t="shared" si="110"/>
        <v>11790</v>
      </c>
      <c r="F3570" s="679">
        <v>11790</v>
      </c>
      <c r="G3570" s="679">
        <v>11790</v>
      </c>
      <c r="H3570" t="b">
        <f t="shared" si="111"/>
        <v>1</v>
      </c>
    </row>
    <row r="3571" spans="1:8">
      <c r="A3571" s="395">
        <v>5036</v>
      </c>
      <c r="B3571" s="406" t="s">
        <v>12302</v>
      </c>
      <c r="C3571" s="395" t="s">
        <v>2021</v>
      </c>
      <c r="D3571" s="407">
        <f t="shared" si="110"/>
        <v>884.06</v>
      </c>
      <c r="F3571" s="680">
        <v>884.06</v>
      </c>
      <c r="G3571" s="680">
        <v>884.06</v>
      </c>
      <c r="H3571" t="b">
        <f t="shared" si="111"/>
        <v>1</v>
      </c>
    </row>
    <row r="3572" spans="1:8">
      <c r="A3572" s="396">
        <v>41189</v>
      </c>
      <c r="B3572" s="401" t="s">
        <v>12303</v>
      </c>
      <c r="C3572" s="396" t="s">
        <v>2021</v>
      </c>
      <c r="D3572" s="405">
        <f t="shared" si="110"/>
        <v>15157.28</v>
      </c>
      <c r="F3572" s="679">
        <v>15157.28</v>
      </c>
      <c r="G3572" s="679">
        <v>15157.28</v>
      </c>
      <c r="H3572" t="b">
        <f t="shared" si="111"/>
        <v>1</v>
      </c>
    </row>
    <row r="3573" spans="1:8">
      <c r="A3573" s="395">
        <v>41190</v>
      </c>
      <c r="B3573" s="406" t="s">
        <v>12304</v>
      </c>
      <c r="C3573" s="395" t="s">
        <v>2021</v>
      </c>
      <c r="D3573" s="407">
        <f t="shared" si="110"/>
        <v>5271.17</v>
      </c>
      <c r="F3573" s="680">
        <v>5271.17</v>
      </c>
      <c r="G3573" s="680">
        <v>5271.17</v>
      </c>
      <c r="H3573" t="b">
        <f t="shared" si="111"/>
        <v>1</v>
      </c>
    </row>
    <row r="3574" spans="1:8">
      <c r="A3574" s="396">
        <v>41191</v>
      </c>
      <c r="B3574" s="401" t="s">
        <v>12305</v>
      </c>
      <c r="C3574" s="396" t="s">
        <v>2021</v>
      </c>
      <c r="D3574" s="405">
        <f t="shared" si="110"/>
        <v>8083.14</v>
      </c>
      <c r="F3574" s="679">
        <v>8083.14</v>
      </c>
      <c r="G3574" s="679">
        <v>8083.14</v>
      </c>
      <c r="H3574" t="b">
        <f t="shared" si="111"/>
        <v>1</v>
      </c>
    </row>
    <row r="3575" spans="1:8">
      <c r="A3575" s="395">
        <v>41192</v>
      </c>
      <c r="B3575" s="406" t="s">
        <v>12306</v>
      </c>
      <c r="C3575" s="395" t="s">
        <v>2021</v>
      </c>
      <c r="D3575" s="407">
        <f t="shared" si="110"/>
        <v>8426.61</v>
      </c>
      <c r="F3575" s="680">
        <v>8426.61</v>
      </c>
      <c r="G3575" s="680">
        <v>8426.61</v>
      </c>
      <c r="H3575" t="b">
        <f t="shared" si="111"/>
        <v>1</v>
      </c>
    </row>
    <row r="3576" spans="1:8">
      <c r="A3576" s="396">
        <v>41193</v>
      </c>
      <c r="B3576" s="401" t="s">
        <v>12307</v>
      </c>
      <c r="C3576" s="396" t="s">
        <v>2021</v>
      </c>
      <c r="D3576" s="405">
        <f t="shared" si="110"/>
        <v>13768.81</v>
      </c>
      <c r="F3576" s="679">
        <v>13768.81</v>
      </c>
      <c r="G3576" s="679">
        <v>13768.81</v>
      </c>
      <c r="H3576" t="b">
        <f t="shared" si="111"/>
        <v>1</v>
      </c>
    </row>
    <row r="3577" spans="1:8">
      <c r="A3577" s="395">
        <v>41194</v>
      </c>
      <c r="B3577" s="406" t="s">
        <v>12308</v>
      </c>
      <c r="C3577" s="395" t="s">
        <v>2021</v>
      </c>
      <c r="D3577" s="407">
        <f t="shared" si="110"/>
        <v>16429.310000000001</v>
      </c>
      <c r="F3577" s="680">
        <v>16429.310000000001</v>
      </c>
      <c r="G3577" s="680">
        <v>16429.310000000001</v>
      </c>
      <c r="H3577" t="b">
        <f t="shared" si="111"/>
        <v>1</v>
      </c>
    </row>
    <row r="3578" spans="1:8">
      <c r="A3578" s="396">
        <v>5044</v>
      </c>
      <c r="B3578" s="401" t="s">
        <v>12309</v>
      </c>
      <c r="C3578" s="396" t="s">
        <v>2021</v>
      </c>
      <c r="D3578" s="405">
        <f t="shared" si="110"/>
        <v>1417.55</v>
      </c>
      <c r="F3578" s="679">
        <v>1417.55</v>
      </c>
      <c r="G3578" s="679">
        <v>1417.55</v>
      </c>
      <c r="H3578" t="b">
        <f t="shared" si="111"/>
        <v>1</v>
      </c>
    </row>
    <row r="3579" spans="1:8">
      <c r="A3579" s="395">
        <v>5059</v>
      </c>
      <c r="B3579" s="406" t="s">
        <v>12310</v>
      </c>
      <c r="C3579" s="395" t="s">
        <v>2021</v>
      </c>
      <c r="D3579" s="407">
        <f t="shared" si="110"/>
        <v>1057.23</v>
      </c>
      <c r="F3579" s="680">
        <v>1057.23</v>
      </c>
      <c r="G3579" s="680">
        <v>1057.23</v>
      </c>
      <c r="H3579" t="b">
        <f t="shared" si="111"/>
        <v>1</v>
      </c>
    </row>
    <row r="3580" spans="1:8">
      <c r="A3580" s="396">
        <v>41201</v>
      </c>
      <c r="B3580" s="401" t="s">
        <v>12311</v>
      </c>
      <c r="C3580" s="396" t="s">
        <v>2021</v>
      </c>
      <c r="D3580" s="405">
        <f t="shared" si="110"/>
        <v>2145.56</v>
      </c>
      <c r="F3580" s="679">
        <v>2145.56</v>
      </c>
      <c r="G3580" s="679">
        <v>2145.56</v>
      </c>
      <c r="H3580" t="b">
        <f t="shared" si="111"/>
        <v>1</v>
      </c>
    </row>
    <row r="3581" spans="1:8">
      <c r="A3581" s="395">
        <v>41199</v>
      </c>
      <c r="B3581" s="406" t="s">
        <v>12312</v>
      </c>
      <c r="C3581" s="395" t="s">
        <v>2021</v>
      </c>
      <c r="D3581" s="407">
        <f t="shared" si="110"/>
        <v>689.45</v>
      </c>
      <c r="F3581" s="680">
        <v>689.45</v>
      </c>
      <c r="G3581" s="680">
        <v>689.45</v>
      </c>
      <c r="H3581" t="b">
        <f t="shared" si="111"/>
        <v>1</v>
      </c>
    </row>
    <row r="3582" spans="1:8">
      <c r="A3582" s="396">
        <v>5057</v>
      </c>
      <c r="B3582" s="401" t="s">
        <v>12313</v>
      </c>
      <c r="C3582" s="396" t="s">
        <v>2021</v>
      </c>
      <c r="D3582" s="405">
        <f t="shared" si="110"/>
        <v>933.39</v>
      </c>
      <c r="F3582" s="679">
        <v>933.39</v>
      </c>
      <c r="G3582" s="679">
        <v>933.39</v>
      </c>
      <c r="H3582" t="b">
        <f t="shared" si="111"/>
        <v>1</v>
      </c>
    </row>
    <row r="3583" spans="1:8">
      <c r="A3583" s="395">
        <v>41200</v>
      </c>
      <c r="B3583" s="406" t="s">
        <v>12314</v>
      </c>
      <c r="C3583" s="395" t="s">
        <v>2021</v>
      </c>
      <c r="D3583" s="407">
        <f t="shared" si="110"/>
        <v>1341.91</v>
      </c>
      <c r="F3583" s="680">
        <v>1341.91</v>
      </c>
      <c r="G3583" s="680">
        <v>1341.91</v>
      </c>
      <c r="H3583" t="b">
        <f t="shared" si="111"/>
        <v>1</v>
      </c>
    </row>
    <row r="3584" spans="1:8">
      <c r="A3584" s="396">
        <v>41205</v>
      </c>
      <c r="B3584" s="401" t="s">
        <v>12315</v>
      </c>
      <c r="C3584" s="396" t="s">
        <v>2021</v>
      </c>
      <c r="D3584" s="405">
        <f t="shared" si="110"/>
        <v>2486.54</v>
      </c>
      <c r="F3584" s="679">
        <v>2486.54</v>
      </c>
      <c r="G3584" s="679">
        <v>2486.54</v>
      </c>
      <c r="H3584" t="b">
        <f t="shared" si="111"/>
        <v>1</v>
      </c>
    </row>
    <row r="3585" spans="1:8">
      <c r="A3585" s="395">
        <v>41202</v>
      </c>
      <c r="B3585" s="406" t="s">
        <v>12316</v>
      </c>
      <c r="C3585" s="395" t="s">
        <v>2021</v>
      </c>
      <c r="D3585" s="407">
        <f t="shared" si="110"/>
        <v>725.59</v>
      </c>
      <c r="F3585" s="680">
        <v>725.59</v>
      </c>
      <c r="G3585" s="680">
        <v>725.59</v>
      </c>
      <c r="H3585" t="b">
        <f t="shared" si="111"/>
        <v>1</v>
      </c>
    </row>
    <row r="3586" spans="1:8">
      <c r="A3586" s="396">
        <v>41206</v>
      </c>
      <c r="B3586" s="401" t="s">
        <v>12317</v>
      </c>
      <c r="C3586" s="396" t="s">
        <v>2021</v>
      </c>
      <c r="D3586" s="405">
        <f t="shared" si="110"/>
        <v>3278.39</v>
      </c>
      <c r="F3586" s="679">
        <v>3278.39</v>
      </c>
      <c r="G3586" s="679">
        <v>3278.39</v>
      </c>
      <c r="H3586" t="b">
        <f t="shared" si="111"/>
        <v>1</v>
      </c>
    </row>
    <row r="3587" spans="1:8">
      <c r="A3587" s="395">
        <v>12372</v>
      </c>
      <c r="B3587" s="406" t="s">
        <v>12318</v>
      </c>
      <c r="C3587" s="395" t="s">
        <v>2021</v>
      </c>
      <c r="D3587" s="407">
        <f t="shared" ref="D3587:D3650" si="112">IF($J$2=$F$1,F3587,G3587)</f>
        <v>761.87</v>
      </c>
      <c r="F3587" s="680">
        <v>761.87</v>
      </c>
      <c r="G3587" s="680">
        <v>761.87</v>
      </c>
      <c r="H3587" t="b">
        <f t="shared" ref="H3587:H3650" si="113">F3587=G3587</f>
        <v>1</v>
      </c>
    </row>
    <row r="3588" spans="1:8">
      <c r="A3588" s="396">
        <v>41207</v>
      </c>
      <c r="B3588" s="401" t="s">
        <v>12319</v>
      </c>
      <c r="C3588" s="396" t="s">
        <v>2021</v>
      </c>
      <c r="D3588" s="405">
        <f t="shared" si="112"/>
        <v>4413.37</v>
      </c>
      <c r="F3588" s="679">
        <v>4413.37</v>
      </c>
      <c r="G3588" s="679">
        <v>4413.37</v>
      </c>
      <c r="H3588" t="b">
        <f t="shared" si="113"/>
        <v>1</v>
      </c>
    </row>
    <row r="3589" spans="1:8">
      <c r="A3589" s="395">
        <v>41203</v>
      </c>
      <c r="B3589" s="406" t="s">
        <v>12320</v>
      </c>
      <c r="C3589" s="395" t="s">
        <v>2021</v>
      </c>
      <c r="D3589" s="407">
        <f t="shared" si="112"/>
        <v>1162.31</v>
      </c>
      <c r="F3589" s="680">
        <v>1162.31</v>
      </c>
      <c r="G3589" s="680">
        <v>1162.31</v>
      </c>
      <c r="H3589" t="b">
        <f t="shared" si="113"/>
        <v>1</v>
      </c>
    </row>
    <row r="3590" spans="1:8">
      <c r="A3590" s="396">
        <v>41204</v>
      </c>
      <c r="B3590" s="401" t="s">
        <v>12321</v>
      </c>
      <c r="C3590" s="396" t="s">
        <v>2021</v>
      </c>
      <c r="D3590" s="405">
        <f t="shared" si="112"/>
        <v>1643.22</v>
      </c>
      <c r="F3590" s="679">
        <v>1643.22</v>
      </c>
      <c r="G3590" s="679">
        <v>1643.22</v>
      </c>
      <c r="H3590" t="b">
        <f t="shared" si="113"/>
        <v>1</v>
      </c>
    </row>
    <row r="3591" spans="1:8">
      <c r="A3591" s="395">
        <v>41210</v>
      </c>
      <c r="B3591" s="406" t="s">
        <v>12322</v>
      </c>
      <c r="C3591" s="395" t="s">
        <v>2021</v>
      </c>
      <c r="D3591" s="407">
        <f t="shared" si="112"/>
        <v>2744.95</v>
      </c>
      <c r="F3591" s="680">
        <v>2744.95</v>
      </c>
      <c r="G3591" s="680">
        <v>2744.95</v>
      </c>
      <c r="H3591" t="b">
        <f t="shared" si="113"/>
        <v>1</v>
      </c>
    </row>
    <row r="3592" spans="1:8">
      <c r="A3592" s="396">
        <v>41208</v>
      </c>
      <c r="B3592" s="401" t="s">
        <v>12323</v>
      </c>
      <c r="C3592" s="396" t="s">
        <v>2021</v>
      </c>
      <c r="D3592" s="405">
        <f t="shared" si="112"/>
        <v>960.89</v>
      </c>
      <c r="F3592" s="679">
        <v>960.89</v>
      </c>
      <c r="G3592" s="679">
        <v>960.89</v>
      </c>
      <c r="H3592" t="b">
        <f t="shared" si="113"/>
        <v>1</v>
      </c>
    </row>
    <row r="3593" spans="1:8">
      <c r="A3593" s="395">
        <v>41211</v>
      </c>
      <c r="B3593" s="406" t="s">
        <v>12324</v>
      </c>
      <c r="C3593" s="395" t="s">
        <v>2021</v>
      </c>
      <c r="D3593" s="407">
        <f t="shared" si="112"/>
        <v>3867.6</v>
      </c>
      <c r="F3593" s="680">
        <v>3867.6</v>
      </c>
      <c r="G3593" s="680">
        <v>3867.6</v>
      </c>
      <c r="H3593" t="b">
        <f t="shared" si="113"/>
        <v>1</v>
      </c>
    </row>
    <row r="3594" spans="1:8">
      <c r="A3594" s="396">
        <v>13339</v>
      </c>
      <c r="B3594" s="401" t="s">
        <v>12325</v>
      </c>
      <c r="C3594" s="396" t="s">
        <v>2021</v>
      </c>
      <c r="D3594" s="405">
        <f t="shared" si="112"/>
        <v>1302.24</v>
      </c>
      <c r="F3594" s="679">
        <v>1302.24</v>
      </c>
      <c r="G3594" s="679">
        <v>1302.24</v>
      </c>
      <c r="H3594" t="b">
        <f t="shared" si="113"/>
        <v>1</v>
      </c>
    </row>
    <row r="3595" spans="1:8">
      <c r="A3595" s="395">
        <v>41213</v>
      </c>
      <c r="B3595" s="406" t="s">
        <v>12326</v>
      </c>
      <c r="C3595" s="395" t="s">
        <v>2021</v>
      </c>
      <c r="D3595" s="407">
        <f t="shared" si="112"/>
        <v>8016.58</v>
      </c>
      <c r="F3595" s="680">
        <v>8016.58</v>
      </c>
      <c r="G3595" s="680">
        <v>8016.58</v>
      </c>
      <c r="H3595" t="b">
        <f t="shared" si="113"/>
        <v>1</v>
      </c>
    </row>
    <row r="3596" spans="1:8">
      <c r="A3596" s="396">
        <v>41209</v>
      </c>
      <c r="B3596" s="401" t="s">
        <v>12327</v>
      </c>
      <c r="C3596" s="396" t="s">
        <v>2021</v>
      </c>
      <c r="D3596" s="405">
        <f t="shared" si="112"/>
        <v>1791.72</v>
      </c>
      <c r="F3596" s="679">
        <v>1791.72</v>
      </c>
      <c r="G3596" s="679">
        <v>1791.72</v>
      </c>
      <c r="H3596" t="b">
        <f t="shared" si="113"/>
        <v>1</v>
      </c>
    </row>
    <row r="3597" spans="1:8">
      <c r="A3597" s="395">
        <v>41216</v>
      </c>
      <c r="B3597" s="406" t="s">
        <v>12328</v>
      </c>
      <c r="C3597" s="395" t="s">
        <v>2021</v>
      </c>
      <c r="D3597" s="407">
        <f t="shared" si="112"/>
        <v>3356.13</v>
      </c>
      <c r="F3597" s="680">
        <v>3356.13</v>
      </c>
      <c r="G3597" s="680">
        <v>3356.13</v>
      </c>
      <c r="H3597" t="b">
        <f t="shared" si="113"/>
        <v>1</v>
      </c>
    </row>
    <row r="3598" spans="1:8">
      <c r="A3598" s="396">
        <v>41217</v>
      </c>
      <c r="B3598" s="401" t="s">
        <v>12329</v>
      </c>
      <c r="C3598" s="396" t="s">
        <v>2021</v>
      </c>
      <c r="D3598" s="405">
        <f t="shared" si="112"/>
        <v>5381.07</v>
      </c>
      <c r="F3598" s="679">
        <v>5381.07</v>
      </c>
      <c r="G3598" s="679">
        <v>5381.07</v>
      </c>
      <c r="H3598" t="b">
        <f t="shared" si="113"/>
        <v>1</v>
      </c>
    </row>
    <row r="3599" spans="1:8">
      <c r="A3599" s="395">
        <v>41218</v>
      </c>
      <c r="B3599" s="406" t="s">
        <v>12330</v>
      </c>
      <c r="C3599" s="395" t="s">
        <v>2021</v>
      </c>
      <c r="D3599" s="407">
        <f t="shared" si="112"/>
        <v>7216.18</v>
      </c>
      <c r="F3599" s="680">
        <v>7216.18</v>
      </c>
      <c r="G3599" s="680">
        <v>7216.18</v>
      </c>
      <c r="H3599" t="b">
        <f t="shared" si="113"/>
        <v>1</v>
      </c>
    </row>
    <row r="3600" spans="1:8">
      <c r="A3600" s="396">
        <v>41214</v>
      </c>
      <c r="B3600" s="401" t="s">
        <v>12331</v>
      </c>
      <c r="C3600" s="396" t="s">
        <v>2021</v>
      </c>
      <c r="D3600" s="405">
        <f t="shared" si="112"/>
        <v>1521.52</v>
      </c>
      <c r="F3600" s="679">
        <v>1521.52</v>
      </c>
      <c r="G3600" s="679">
        <v>1521.52</v>
      </c>
      <c r="H3600" t="b">
        <f t="shared" si="113"/>
        <v>1</v>
      </c>
    </row>
    <row r="3601" spans="1:8">
      <c r="A3601" s="395">
        <v>41215</v>
      </c>
      <c r="B3601" s="406" t="s">
        <v>12332</v>
      </c>
      <c r="C3601" s="395" t="s">
        <v>2021</v>
      </c>
      <c r="D3601" s="407">
        <f t="shared" si="112"/>
        <v>2290.85</v>
      </c>
      <c r="F3601" s="680">
        <v>2290.85</v>
      </c>
      <c r="G3601" s="680">
        <v>2290.85</v>
      </c>
      <c r="H3601" t="b">
        <f t="shared" si="113"/>
        <v>1</v>
      </c>
    </row>
    <row r="3602" spans="1:8">
      <c r="A3602" s="396">
        <v>41221</v>
      </c>
      <c r="B3602" s="401" t="s">
        <v>12333</v>
      </c>
      <c r="C3602" s="396" t="s">
        <v>2021</v>
      </c>
      <c r="D3602" s="405">
        <f t="shared" si="112"/>
        <v>6633.2</v>
      </c>
      <c r="F3602" s="679">
        <v>6633.2</v>
      </c>
      <c r="G3602" s="679">
        <v>6633.2</v>
      </c>
      <c r="H3602" t="b">
        <f t="shared" si="113"/>
        <v>1</v>
      </c>
    </row>
    <row r="3603" spans="1:8">
      <c r="A3603" s="395">
        <v>41222</v>
      </c>
      <c r="B3603" s="406" t="s">
        <v>12334</v>
      </c>
      <c r="C3603" s="395" t="s">
        <v>2021</v>
      </c>
      <c r="D3603" s="407">
        <f t="shared" si="112"/>
        <v>9492.19</v>
      </c>
      <c r="F3603" s="680">
        <v>9492.19</v>
      </c>
      <c r="G3603" s="680">
        <v>9492.19</v>
      </c>
      <c r="H3603" t="b">
        <f t="shared" si="113"/>
        <v>1</v>
      </c>
    </row>
    <row r="3604" spans="1:8">
      <c r="A3604" s="396">
        <v>41195</v>
      </c>
      <c r="B3604" s="401" t="s">
        <v>12335</v>
      </c>
      <c r="C3604" s="396" t="s">
        <v>2021</v>
      </c>
      <c r="D3604" s="405">
        <f t="shared" si="112"/>
        <v>487.87</v>
      </c>
      <c r="F3604" s="679">
        <v>487.87</v>
      </c>
      <c r="G3604" s="679">
        <v>487.87</v>
      </c>
      <c r="H3604" t="b">
        <f t="shared" si="113"/>
        <v>1</v>
      </c>
    </row>
    <row r="3605" spans="1:8">
      <c r="A3605" s="395">
        <v>41198</v>
      </c>
      <c r="B3605" s="406" t="s">
        <v>12336</v>
      </c>
      <c r="C3605" s="395" t="s">
        <v>2021</v>
      </c>
      <c r="D3605" s="407">
        <f t="shared" si="112"/>
        <v>1906.48</v>
      </c>
      <c r="F3605" s="680">
        <v>1906.48</v>
      </c>
      <c r="G3605" s="680">
        <v>1906.48</v>
      </c>
      <c r="H3605" t="b">
        <f t="shared" si="113"/>
        <v>1</v>
      </c>
    </row>
    <row r="3606" spans="1:8">
      <c r="A3606" s="396">
        <v>41196</v>
      </c>
      <c r="B3606" s="401" t="s">
        <v>12337</v>
      </c>
      <c r="C3606" s="396" t="s">
        <v>2021</v>
      </c>
      <c r="D3606" s="405">
        <f t="shared" si="112"/>
        <v>604.74</v>
      </c>
      <c r="F3606" s="679">
        <v>604.74</v>
      </c>
      <c r="G3606" s="679">
        <v>604.74</v>
      </c>
      <c r="H3606" t="b">
        <f t="shared" si="113"/>
        <v>1</v>
      </c>
    </row>
    <row r="3607" spans="1:8">
      <c r="A3607" s="395">
        <v>5033</v>
      </c>
      <c r="B3607" s="406" t="s">
        <v>12338</v>
      </c>
      <c r="C3607" s="395" t="s">
        <v>2021</v>
      </c>
      <c r="D3607" s="407">
        <f t="shared" si="112"/>
        <v>794</v>
      </c>
      <c r="F3607" s="680">
        <v>794</v>
      </c>
      <c r="G3607" s="680">
        <v>794</v>
      </c>
      <c r="H3607" t="b">
        <f t="shared" si="113"/>
        <v>1</v>
      </c>
    </row>
    <row r="3608" spans="1:8">
      <c r="A3608" s="396">
        <v>41197</v>
      </c>
      <c r="B3608" s="401" t="s">
        <v>12339</v>
      </c>
      <c r="C3608" s="396" t="s">
        <v>2021</v>
      </c>
      <c r="D3608" s="405">
        <f t="shared" si="112"/>
        <v>1179.3800000000001</v>
      </c>
      <c r="F3608" s="679">
        <v>1179.3800000000001</v>
      </c>
      <c r="G3608" s="679">
        <v>1179.3800000000001</v>
      </c>
      <c r="H3608" t="b">
        <f t="shared" si="113"/>
        <v>1</v>
      </c>
    </row>
    <row r="3609" spans="1:8">
      <c r="A3609" s="395">
        <v>12388</v>
      </c>
      <c r="B3609" s="406" t="s">
        <v>12340</v>
      </c>
      <c r="C3609" s="395" t="s">
        <v>2021</v>
      </c>
      <c r="D3609" s="407">
        <f t="shared" si="112"/>
        <v>300.95999999999998</v>
      </c>
      <c r="F3609" s="680">
        <v>300.95999999999998</v>
      </c>
      <c r="G3609" s="680">
        <v>300.95999999999998</v>
      </c>
      <c r="H3609" t="b">
        <f t="shared" si="113"/>
        <v>1</v>
      </c>
    </row>
    <row r="3610" spans="1:8">
      <c r="A3610" s="396">
        <v>2731</v>
      </c>
      <c r="B3610" s="401" t="s">
        <v>12341</v>
      </c>
      <c r="C3610" s="396" t="s">
        <v>2024</v>
      </c>
      <c r="D3610" s="405">
        <f t="shared" si="112"/>
        <v>115.17</v>
      </c>
      <c r="F3610" s="679">
        <v>115.17</v>
      </c>
      <c r="G3610" s="679">
        <v>115.17</v>
      </c>
      <c r="H3610" t="b">
        <f t="shared" si="113"/>
        <v>1</v>
      </c>
    </row>
    <row r="3611" spans="1:8">
      <c r="A3611" s="395">
        <v>41457</v>
      </c>
      <c r="B3611" s="406" t="s">
        <v>12342</v>
      </c>
      <c r="C3611" s="395" t="s">
        <v>2021</v>
      </c>
      <c r="D3611" s="407">
        <f t="shared" si="112"/>
        <v>1739.42</v>
      </c>
      <c r="F3611" s="680">
        <v>1739.42</v>
      </c>
      <c r="G3611" s="680">
        <v>1739.42</v>
      </c>
      <c r="H3611" t="b">
        <f t="shared" si="113"/>
        <v>1</v>
      </c>
    </row>
    <row r="3612" spans="1:8">
      <c r="A3612" s="396">
        <v>41458</v>
      </c>
      <c r="B3612" s="401" t="s">
        <v>12343</v>
      </c>
      <c r="C3612" s="396" t="s">
        <v>2021</v>
      </c>
      <c r="D3612" s="405">
        <f t="shared" si="112"/>
        <v>2428.3200000000002</v>
      </c>
      <c r="F3612" s="679">
        <v>2428.3200000000002</v>
      </c>
      <c r="G3612" s="679">
        <v>2428.3200000000002</v>
      </c>
      <c r="H3612" t="b">
        <f t="shared" si="113"/>
        <v>1</v>
      </c>
    </row>
    <row r="3613" spans="1:8">
      <c r="A3613" s="395">
        <v>41459</v>
      </c>
      <c r="B3613" s="406" t="s">
        <v>12344</v>
      </c>
      <c r="C3613" s="395" t="s">
        <v>2021</v>
      </c>
      <c r="D3613" s="407">
        <f t="shared" si="112"/>
        <v>3387.32</v>
      </c>
      <c r="F3613" s="680">
        <v>3387.32</v>
      </c>
      <c r="G3613" s="680">
        <v>3387.32</v>
      </c>
      <c r="H3613" t="b">
        <f t="shared" si="113"/>
        <v>1</v>
      </c>
    </row>
    <row r="3614" spans="1:8">
      <c r="A3614" s="396">
        <v>41461</v>
      </c>
      <c r="B3614" s="401" t="s">
        <v>12345</v>
      </c>
      <c r="C3614" s="396" t="s">
        <v>2021</v>
      </c>
      <c r="D3614" s="405">
        <f t="shared" si="112"/>
        <v>4618.4399999999996</v>
      </c>
      <c r="F3614" s="679">
        <v>4618.4399999999996</v>
      </c>
      <c r="G3614" s="679">
        <v>4618.4399999999996</v>
      </c>
      <c r="H3614" t="b">
        <f t="shared" si="113"/>
        <v>1</v>
      </c>
    </row>
    <row r="3615" spans="1:8">
      <c r="A3615" s="395">
        <v>44537</v>
      </c>
      <c r="B3615" s="406" t="s">
        <v>12346</v>
      </c>
      <c r="C3615" s="395" t="s">
        <v>2031</v>
      </c>
      <c r="D3615" s="407">
        <f t="shared" si="112"/>
        <v>408.6</v>
      </c>
      <c r="F3615" s="680">
        <v>408.6</v>
      </c>
      <c r="G3615" s="680">
        <v>408.6</v>
      </c>
      <c r="H3615" t="b">
        <f t="shared" si="113"/>
        <v>1</v>
      </c>
    </row>
    <row r="3616" spans="1:8">
      <c r="A3616" s="396">
        <v>11844</v>
      </c>
      <c r="B3616" s="401" t="s">
        <v>12347</v>
      </c>
      <c r="C3616" s="396" t="s">
        <v>2024</v>
      </c>
      <c r="D3616" s="405">
        <f t="shared" si="112"/>
        <v>47.03</v>
      </c>
      <c r="F3616" s="679">
        <v>47.03</v>
      </c>
      <c r="G3616" s="679">
        <v>47.03</v>
      </c>
      <c r="H3616" t="b">
        <f t="shared" si="113"/>
        <v>1</v>
      </c>
    </row>
    <row r="3617" spans="1:8">
      <c r="A3617" s="395">
        <v>4465</v>
      </c>
      <c r="B3617" s="406" t="s">
        <v>12348</v>
      </c>
      <c r="C3617" s="395" t="s">
        <v>2024</v>
      </c>
      <c r="D3617" s="407">
        <f t="shared" si="112"/>
        <v>39.08</v>
      </c>
      <c r="F3617" s="680">
        <v>39.08</v>
      </c>
      <c r="G3617" s="680">
        <v>39.08</v>
      </c>
      <c r="H3617" t="b">
        <f t="shared" si="113"/>
        <v>1</v>
      </c>
    </row>
    <row r="3618" spans="1:8">
      <c r="A3618" s="396">
        <v>35273</v>
      </c>
      <c r="B3618" s="401" t="s">
        <v>12349</v>
      </c>
      <c r="C3618" s="396" t="s">
        <v>2024</v>
      </c>
      <c r="D3618" s="405">
        <f t="shared" si="112"/>
        <v>46.87</v>
      </c>
      <c r="F3618" s="679">
        <v>46.87</v>
      </c>
      <c r="G3618" s="679">
        <v>46.87</v>
      </c>
      <c r="H3618" t="b">
        <f t="shared" si="113"/>
        <v>1</v>
      </c>
    </row>
    <row r="3619" spans="1:8">
      <c r="A3619" s="395">
        <v>4470</v>
      </c>
      <c r="B3619" s="406" t="s">
        <v>12350</v>
      </c>
      <c r="C3619" s="395" t="s">
        <v>2024</v>
      </c>
      <c r="D3619" s="407">
        <f t="shared" si="112"/>
        <v>108.17</v>
      </c>
      <c r="F3619" s="680">
        <v>108.17</v>
      </c>
      <c r="G3619" s="680">
        <v>108.17</v>
      </c>
      <c r="H3619" t="b">
        <f t="shared" si="113"/>
        <v>1</v>
      </c>
    </row>
    <row r="3620" spans="1:8">
      <c r="A3620" s="396">
        <v>20208</v>
      </c>
      <c r="B3620" s="401" t="s">
        <v>12351</v>
      </c>
      <c r="C3620" s="396" t="s">
        <v>2024</v>
      </c>
      <c r="D3620" s="405">
        <f t="shared" si="112"/>
        <v>97.35</v>
      </c>
      <c r="F3620" s="679">
        <v>97.35</v>
      </c>
      <c r="G3620" s="679">
        <v>97.35</v>
      </c>
      <c r="H3620" t="b">
        <f t="shared" si="113"/>
        <v>1</v>
      </c>
    </row>
    <row r="3621" spans="1:8">
      <c r="A3621" s="395">
        <v>20204</v>
      </c>
      <c r="B3621" s="406" t="s">
        <v>12352</v>
      </c>
      <c r="C3621" s="395" t="s">
        <v>2024</v>
      </c>
      <c r="D3621" s="407">
        <f t="shared" si="112"/>
        <v>72.11</v>
      </c>
      <c r="F3621" s="680">
        <v>72.11</v>
      </c>
      <c r="G3621" s="680">
        <v>72.11</v>
      </c>
      <c r="H3621" t="b">
        <f t="shared" si="113"/>
        <v>1</v>
      </c>
    </row>
    <row r="3622" spans="1:8">
      <c r="A3622" s="396">
        <v>4437</v>
      </c>
      <c r="B3622" s="401" t="s">
        <v>12353</v>
      </c>
      <c r="C3622" s="396" t="s">
        <v>2024</v>
      </c>
      <c r="D3622" s="405">
        <f t="shared" si="112"/>
        <v>81.13</v>
      </c>
      <c r="F3622" s="679">
        <v>81.13</v>
      </c>
      <c r="G3622" s="679">
        <v>81.13</v>
      </c>
      <c r="H3622" t="b">
        <f t="shared" si="113"/>
        <v>1</v>
      </c>
    </row>
    <row r="3623" spans="1:8">
      <c r="A3623" s="395">
        <v>14580</v>
      </c>
      <c r="B3623" s="406" t="s">
        <v>12354</v>
      </c>
      <c r="C3623" s="395" t="s">
        <v>2024</v>
      </c>
      <c r="D3623" s="407">
        <f t="shared" si="112"/>
        <v>81.13</v>
      </c>
      <c r="F3623" s="680">
        <v>81.13</v>
      </c>
      <c r="G3623" s="680">
        <v>81.13</v>
      </c>
      <c r="H3623" t="b">
        <f t="shared" si="113"/>
        <v>1</v>
      </c>
    </row>
    <row r="3624" spans="1:8">
      <c r="A3624" s="396">
        <v>40304</v>
      </c>
      <c r="B3624" s="401" t="s">
        <v>12355</v>
      </c>
      <c r="C3624" s="396" t="s">
        <v>2025</v>
      </c>
      <c r="D3624" s="405">
        <f t="shared" si="112"/>
        <v>31.36</v>
      </c>
      <c r="F3624" s="679">
        <v>31.36</v>
      </c>
      <c r="G3624" s="679">
        <v>31.36</v>
      </c>
      <c r="H3624" t="b">
        <f t="shared" si="113"/>
        <v>1</v>
      </c>
    </row>
    <row r="3625" spans="1:8">
      <c r="A3625" s="395">
        <v>5065</v>
      </c>
      <c r="B3625" s="406" t="s">
        <v>12356</v>
      </c>
      <c r="C3625" s="395" t="s">
        <v>2025</v>
      </c>
      <c r="D3625" s="407">
        <f t="shared" si="112"/>
        <v>48.34</v>
      </c>
      <c r="F3625" s="680">
        <v>48.34</v>
      </c>
      <c r="G3625" s="680">
        <v>48.34</v>
      </c>
      <c r="H3625" t="b">
        <f t="shared" si="113"/>
        <v>1</v>
      </c>
    </row>
    <row r="3626" spans="1:8">
      <c r="A3626" s="396">
        <v>5072</v>
      </c>
      <c r="B3626" s="401" t="s">
        <v>12357</v>
      </c>
      <c r="C3626" s="396" t="s">
        <v>2025</v>
      </c>
      <c r="D3626" s="405">
        <f t="shared" si="112"/>
        <v>44.71</v>
      </c>
      <c r="F3626" s="679">
        <v>44.71</v>
      </c>
      <c r="G3626" s="679">
        <v>44.71</v>
      </c>
      <c r="H3626" t="b">
        <f t="shared" si="113"/>
        <v>1</v>
      </c>
    </row>
    <row r="3627" spans="1:8">
      <c r="A3627" s="395">
        <v>5066</v>
      </c>
      <c r="B3627" s="406" t="s">
        <v>12358</v>
      </c>
      <c r="C3627" s="395" t="s">
        <v>2025</v>
      </c>
      <c r="D3627" s="407">
        <f t="shared" si="112"/>
        <v>33.479999999999997</v>
      </c>
      <c r="F3627" s="680">
        <v>33.479999999999997</v>
      </c>
      <c r="G3627" s="680">
        <v>33.479999999999997</v>
      </c>
      <c r="H3627" t="b">
        <f t="shared" si="113"/>
        <v>1</v>
      </c>
    </row>
    <row r="3628" spans="1:8">
      <c r="A3628" s="396">
        <v>5063</v>
      </c>
      <c r="B3628" s="401" t="s">
        <v>12359</v>
      </c>
      <c r="C3628" s="396" t="s">
        <v>2025</v>
      </c>
      <c r="D3628" s="405">
        <f t="shared" si="112"/>
        <v>30.32</v>
      </c>
      <c r="F3628" s="679">
        <v>30.32</v>
      </c>
      <c r="G3628" s="679">
        <v>30.32</v>
      </c>
      <c r="H3628" t="b">
        <f t="shared" si="113"/>
        <v>1</v>
      </c>
    </row>
    <row r="3629" spans="1:8">
      <c r="A3629" s="395">
        <v>20247</v>
      </c>
      <c r="B3629" s="406" t="s">
        <v>12360</v>
      </c>
      <c r="C3629" s="395" t="s">
        <v>2025</v>
      </c>
      <c r="D3629" s="407">
        <f t="shared" si="112"/>
        <v>28.14</v>
      </c>
      <c r="F3629" s="680">
        <v>28.14</v>
      </c>
      <c r="G3629" s="680">
        <v>28.14</v>
      </c>
      <c r="H3629" t="b">
        <f t="shared" si="113"/>
        <v>1</v>
      </c>
    </row>
    <row r="3630" spans="1:8">
      <c r="A3630" s="396">
        <v>5074</v>
      </c>
      <c r="B3630" s="401" t="s">
        <v>12361</v>
      </c>
      <c r="C3630" s="396" t="s">
        <v>2025</v>
      </c>
      <c r="D3630" s="405">
        <f t="shared" si="112"/>
        <v>28.47</v>
      </c>
      <c r="F3630" s="679">
        <v>28.47</v>
      </c>
      <c r="G3630" s="679">
        <v>28.47</v>
      </c>
      <c r="H3630" t="b">
        <f t="shared" si="113"/>
        <v>1</v>
      </c>
    </row>
    <row r="3631" spans="1:8">
      <c r="A3631" s="395">
        <v>5067</v>
      </c>
      <c r="B3631" s="406" t="s">
        <v>12362</v>
      </c>
      <c r="C3631" s="395" t="s">
        <v>2025</v>
      </c>
      <c r="D3631" s="407">
        <f t="shared" si="112"/>
        <v>27.08</v>
      </c>
      <c r="F3631" s="680">
        <v>27.08</v>
      </c>
      <c r="G3631" s="680">
        <v>27.08</v>
      </c>
      <c r="H3631" t="b">
        <f t="shared" si="113"/>
        <v>1</v>
      </c>
    </row>
    <row r="3632" spans="1:8">
      <c r="A3632" s="396">
        <v>5078</v>
      </c>
      <c r="B3632" s="401" t="s">
        <v>12363</v>
      </c>
      <c r="C3632" s="396" t="s">
        <v>2025</v>
      </c>
      <c r="D3632" s="405">
        <f t="shared" si="112"/>
        <v>26.77</v>
      </c>
      <c r="F3632" s="679">
        <v>26.77</v>
      </c>
      <c r="G3632" s="679">
        <v>26.77</v>
      </c>
      <c r="H3632" t="b">
        <f t="shared" si="113"/>
        <v>1</v>
      </c>
    </row>
    <row r="3633" spans="1:8">
      <c r="A3633" s="395">
        <v>5068</v>
      </c>
      <c r="B3633" s="406" t="s">
        <v>12364</v>
      </c>
      <c r="C3633" s="395" t="s">
        <v>2025</v>
      </c>
      <c r="D3633" s="407">
        <f t="shared" si="112"/>
        <v>25.41</v>
      </c>
      <c r="F3633" s="680">
        <v>25.41</v>
      </c>
      <c r="G3633" s="680">
        <v>25.41</v>
      </c>
      <c r="H3633" t="b">
        <f t="shared" si="113"/>
        <v>1</v>
      </c>
    </row>
    <row r="3634" spans="1:8">
      <c r="A3634" s="396">
        <v>5073</v>
      </c>
      <c r="B3634" s="401" t="s">
        <v>12365</v>
      </c>
      <c r="C3634" s="396" t="s">
        <v>2025</v>
      </c>
      <c r="D3634" s="405">
        <f t="shared" si="112"/>
        <v>25.9</v>
      </c>
      <c r="F3634" s="679">
        <v>25.9</v>
      </c>
      <c r="G3634" s="679">
        <v>25.9</v>
      </c>
      <c r="H3634" t="b">
        <f t="shared" si="113"/>
        <v>1</v>
      </c>
    </row>
    <row r="3635" spans="1:8">
      <c r="A3635" s="395">
        <v>5069</v>
      </c>
      <c r="B3635" s="406" t="s">
        <v>12366</v>
      </c>
      <c r="C3635" s="395" t="s">
        <v>2025</v>
      </c>
      <c r="D3635" s="407">
        <f t="shared" si="112"/>
        <v>25.9</v>
      </c>
      <c r="F3635" s="680">
        <v>25.9</v>
      </c>
      <c r="G3635" s="680">
        <v>25.9</v>
      </c>
      <c r="H3635" t="b">
        <f t="shared" si="113"/>
        <v>1</v>
      </c>
    </row>
    <row r="3636" spans="1:8">
      <c r="A3636" s="396">
        <v>5070</v>
      </c>
      <c r="B3636" s="401" t="s">
        <v>12367</v>
      </c>
      <c r="C3636" s="396" t="s">
        <v>2025</v>
      </c>
      <c r="D3636" s="405">
        <f t="shared" si="112"/>
        <v>26.18</v>
      </c>
      <c r="F3636" s="679">
        <v>26.18</v>
      </c>
      <c r="G3636" s="679">
        <v>26.18</v>
      </c>
      <c r="H3636" t="b">
        <f t="shared" si="113"/>
        <v>1</v>
      </c>
    </row>
    <row r="3637" spans="1:8">
      <c r="A3637" s="395">
        <v>5071</v>
      </c>
      <c r="B3637" s="406" t="s">
        <v>12368</v>
      </c>
      <c r="C3637" s="395" t="s">
        <v>2025</v>
      </c>
      <c r="D3637" s="407">
        <f t="shared" si="112"/>
        <v>25.41</v>
      </c>
      <c r="F3637" s="680">
        <v>25.41</v>
      </c>
      <c r="G3637" s="680">
        <v>25.41</v>
      </c>
      <c r="H3637" t="b">
        <f t="shared" si="113"/>
        <v>1</v>
      </c>
    </row>
    <row r="3638" spans="1:8">
      <c r="A3638" s="396">
        <v>5061</v>
      </c>
      <c r="B3638" s="401" t="s">
        <v>12369</v>
      </c>
      <c r="C3638" s="396" t="s">
        <v>2025</v>
      </c>
      <c r="D3638" s="405">
        <f t="shared" si="112"/>
        <v>24.98</v>
      </c>
      <c r="F3638" s="679">
        <v>24.98</v>
      </c>
      <c r="G3638" s="679">
        <v>24.98</v>
      </c>
      <c r="H3638" t="b">
        <f t="shared" si="113"/>
        <v>1</v>
      </c>
    </row>
    <row r="3639" spans="1:8">
      <c r="A3639" s="395">
        <v>5075</v>
      </c>
      <c r="B3639" s="406" t="s">
        <v>12370</v>
      </c>
      <c r="C3639" s="395" t="s">
        <v>2025</v>
      </c>
      <c r="D3639" s="407">
        <f t="shared" si="112"/>
        <v>25.41</v>
      </c>
      <c r="F3639" s="680">
        <v>25.41</v>
      </c>
      <c r="G3639" s="680">
        <v>25.41</v>
      </c>
      <c r="H3639" t="b">
        <f t="shared" si="113"/>
        <v>1</v>
      </c>
    </row>
    <row r="3640" spans="1:8">
      <c r="A3640" s="396">
        <v>39027</v>
      </c>
      <c r="B3640" s="401" t="s">
        <v>12371</v>
      </c>
      <c r="C3640" s="396" t="s">
        <v>2025</v>
      </c>
      <c r="D3640" s="405">
        <f t="shared" si="112"/>
        <v>25.39</v>
      </c>
      <c r="F3640" s="679">
        <v>25.39</v>
      </c>
      <c r="G3640" s="679">
        <v>25.39</v>
      </c>
      <c r="H3640" t="b">
        <f t="shared" si="113"/>
        <v>1</v>
      </c>
    </row>
    <row r="3641" spans="1:8">
      <c r="A3641" s="395">
        <v>5062</v>
      </c>
      <c r="B3641" s="406" t="s">
        <v>12372</v>
      </c>
      <c r="C3641" s="395" t="s">
        <v>2025</v>
      </c>
      <c r="D3641" s="407">
        <f t="shared" si="112"/>
        <v>25.75</v>
      </c>
      <c r="F3641" s="680">
        <v>25.75</v>
      </c>
      <c r="G3641" s="680">
        <v>25.75</v>
      </c>
      <c r="H3641" t="b">
        <f t="shared" si="113"/>
        <v>1</v>
      </c>
    </row>
    <row r="3642" spans="1:8">
      <c r="A3642" s="396">
        <v>40568</v>
      </c>
      <c r="B3642" s="401" t="s">
        <v>12373</v>
      </c>
      <c r="C3642" s="396" t="s">
        <v>2025</v>
      </c>
      <c r="D3642" s="405">
        <f t="shared" si="112"/>
        <v>25.6</v>
      </c>
      <c r="F3642" s="679">
        <v>25.6</v>
      </c>
      <c r="G3642" s="679">
        <v>25.6</v>
      </c>
      <c r="H3642" t="b">
        <f t="shared" si="113"/>
        <v>1</v>
      </c>
    </row>
    <row r="3643" spans="1:8">
      <c r="A3643" s="395">
        <v>39026</v>
      </c>
      <c r="B3643" s="406" t="s">
        <v>12374</v>
      </c>
      <c r="C3643" s="395" t="s">
        <v>2025</v>
      </c>
      <c r="D3643" s="407">
        <f t="shared" si="112"/>
        <v>28.57</v>
      </c>
      <c r="F3643" s="680">
        <v>28.57</v>
      </c>
      <c r="G3643" s="680">
        <v>28.57</v>
      </c>
      <c r="H3643" t="b">
        <f t="shared" si="113"/>
        <v>1</v>
      </c>
    </row>
    <row r="3644" spans="1:8" ht="30">
      <c r="A3644" s="396">
        <v>42431</v>
      </c>
      <c r="B3644" s="401" t="s">
        <v>12375</v>
      </c>
      <c r="C3644" s="396" t="s">
        <v>2021</v>
      </c>
      <c r="D3644" s="405">
        <f t="shared" si="112"/>
        <v>3922.99</v>
      </c>
      <c r="F3644" s="679">
        <v>3922.99</v>
      </c>
      <c r="G3644" s="679">
        <v>3922.99</v>
      </c>
      <c r="H3644" t="b">
        <f t="shared" si="113"/>
        <v>1</v>
      </c>
    </row>
    <row r="3645" spans="1:8">
      <c r="A3645" s="395">
        <v>44074</v>
      </c>
      <c r="B3645" s="406" t="s">
        <v>12376</v>
      </c>
      <c r="C3645" s="395" t="s">
        <v>2026</v>
      </c>
      <c r="D3645" s="407">
        <f t="shared" si="112"/>
        <v>652.66</v>
      </c>
      <c r="F3645" s="680">
        <v>652.66</v>
      </c>
      <c r="G3645" s="680">
        <v>652.66</v>
      </c>
      <c r="H3645" t="b">
        <f t="shared" si="113"/>
        <v>1</v>
      </c>
    </row>
    <row r="3646" spans="1:8">
      <c r="A3646" s="396">
        <v>44072</v>
      </c>
      <c r="B3646" s="401" t="s">
        <v>12377</v>
      </c>
      <c r="C3646" s="396" t="s">
        <v>2026</v>
      </c>
      <c r="D3646" s="405">
        <f t="shared" si="112"/>
        <v>112.17</v>
      </c>
      <c r="F3646" s="679">
        <v>112.17</v>
      </c>
      <c r="G3646" s="679">
        <v>112.17</v>
      </c>
      <c r="H3646" t="b">
        <f t="shared" si="113"/>
        <v>1</v>
      </c>
    </row>
    <row r="3647" spans="1:8">
      <c r="A3647" s="395">
        <v>511</v>
      </c>
      <c r="B3647" s="406" t="s">
        <v>12378</v>
      </c>
      <c r="C3647" s="395" t="s">
        <v>2026</v>
      </c>
      <c r="D3647" s="407">
        <f t="shared" si="112"/>
        <v>25.98</v>
      </c>
      <c r="F3647" s="680">
        <v>25.98</v>
      </c>
      <c r="G3647" s="680">
        <v>25.98</v>
      </c>
      <c r="H3647" t="b">
        <f t="shared" si="113"/>
        <v>1</v>
      </c>
    </row>
    <row r="3648" spans="1:8">
      <c r="A3648" s="396">
        <v>37540</v>
      </c>
      <c r="B3648" s="401" t="s">
        <v>12379</v>
      </c>
      <c r="C3648" s="396" t="s">
        <v>2021</v>
      </c>
      <c r="D3648" s="405">
        <f t="shared" si="112"/>
        <v>93144.25</v>
      </c>
      <c r="F3648" s="679">
        <v>93144.25</v>
      </c>
      <c r="G3648" s="679">
        <v>93144.25</v>
      </c>
      <c r="H3648" t="b">
        <f t="shared" si="113"/>
        <v>1</v>
      </c>
    </row>
    <row r="3649" spans="1:8">
      <c r="A3649" s="395">
        <v>37548</v>
      </c>
      <c r="B3649" s="406" t="s">
        <v>12380</v>
      </c>
      <c r="C3649" s="395" t="s">
        <v>2021</v>
      </c>
      <c r="D3649" s="407">
        <f t="shared" si="112"/>
        <v>123462.23</v>
      </c>
      <c r="F3649" s="680">
        <v>123462.23</v>
      </c>
      <c r="G3649" s="680">
        <v>123462.23</v>
      </c>
      <c r="H3649" t="b">
        <f t="shared" si="113"/>
        <v>1</v>
      </c>
    </row>
    <row r="3650" spans="1:8" ht="30">
      <c r="A3650" s="396">
        <v>39828</v>
      </c>
      <c r="B3650" s="401" t="s">
        <v>12381</v>
      </c>
      <c r="C3650" s="396" t="s">
        <v>2021</v>
      </c>
      <c r="D3650" s="405">
        <f t="shared" si="112"/>
        <v>740.65</v>
      </c>
      <c r="F3650" s="679">
        <v>740.65</v>
      </c>
      <c r="G3650" s="679">
        <v>740.65</v>
      </c>
      <c r="H3650" t="b">
        <f t="shared" si="113"/>
        <v>1</v>
      </c>
    </row>
    <row r="3651" spans="1:8" ht="30">
      <c r="A3651" s="395">
        <v>12273</v>
      </c>
      <c r="B3651" s="406" t="s">
        <v>12382</v>
      </c>
      <c r="C3651" s="395" t="s">
        <v>2021</v>
      </c>
      <c r="D3651" s="407">
        <f t="shared" ref="D3651:D3714" si="114">IF($J$2=$F$1,F3651,G3651)</f>
        <v>109.94</v>
      </c>
      <c r="F3651" s="680">
        <v>109.94</v>
      </c>
      <c r="G3651" s="680">
        <v>109.94</v>
      </c>
      <c r="H3651" t="b">
        <f t="shared" ref="H3651:H3714" si="115">F3651=G3651</f>
        <v>1</v>
      </c>
    </row>
    <row r="3652" spans="1:8">
      <c r="A3652" s="396">
        <v>38392</v>
      </c>
      <c r="B3652" s="401" t="s">
        <v>12383</v>
      </c>
      <c r="C3652" s="396" t="s">
        <v>2021</v>
      </c>
      <c r="D3652" s="405">
        <f t="shared" si="114"/>
        <v>69.98</v>
      </c>
      <c r="F3652" s="679">
        <v>69.98</v>
      </c>
      <c r="G3652" s="679">
        <v>69.98</v>
      </c>
      <c r="H3652" t="b">
        <f t="shared" si="115"/>
        <v>1</v>
      </c>
    </row>
    <row r="3653" spans="1:8">
      <c r="A3653" s="395">
        <v>11735</v>
      </c>
      <c r="B3653" s="406" t="s">
        <v>12384</v>
      </c>
      <c r="C3653" s="395" t="s">
        <v>2021</v>
      </c>
      <c r="D3653" s="407">
        <f t="shared" si="114"/>
        <v>11.42</v>
      </c>
      <c r="F3653" s="680">
        <v>11.42</v>
      </c>
      <c r="G3653" s="680">
        <v>11.42</v>
      </c>
      <c r="H3653" t="b">
        <f t="shared" si="115"/>
        <v>1</v>
      </c>
    </row>
    <row r="3654" spans="1:8">
      <c r="A3654" s="396">
        <v>11737</v>
      </c>
      <c r="B3654" s="401" t="s">
        <v>12385</v>
      </c>
      <c r="C3654" s="396" t="s">
        <v>2021</v>
      </c>
      <c r="D3654" s="405">
        <f t="shared" si="114"/>
        <v>16.190000000000001</v>
      </c>
      <c r="F3654" s="679">
        <v>16.190000000000001</v>
      </c>
      <c r="G3654" s="679">
        <v>16.190000000000001</v>
      </c>
      <c r="H3654" t="b">
        <f t="shared" si="115"/>
        <v>1</v>
      </c>
    </row>
    <row r="3655" spans="1:8">
      <c r="A3655" s="395">
        <v>11738</v>
      </c>
      <c r="B3655" s="406" t="s">
        <v>12386</v>
      </c>
      <c r="C3655" s="395" t="s">
        <v>2021</v>
      </c>
      <c r="D3655" s="407">
        <f t="shared" si="114"/>
        <v>20.420000000000002</v>
      </c>
      <c r="F3655" s="680">
        <v>20.420000000000002</v>
      </c>
      <c r="G3655" s="680">
        <v>20.420000000000002</v>
      </c>
      <c r="H3655" t="b">
        <f t="shared" si="115"/>
        <v>1</v>
      </c>
    </row>
    <row r="3656" spans="1:8">
      <c r="A3656" s="396">
        <v>36143</v>
      </c>
      <c r="B3656" s="401" t="s">
        <v>12387</v>
      </c>
      <c r="C3656" s="396" t="s">
        <v>2021</v>
      </c>
      <c r="D3656" s="405">
        <f t="shared" si="114"/>
        <v>32.590000000000003</v>
      </c>
      <c r="F3656" s="679">
        <v>32.590000000000003</v>
      </c>
      <c r="G3656" s="679">
        <v>32.590000000000003</v>
      </c>
      <c r="H3656" t="b">
        <f t="shared" si="115"/>
        <v>1</v>
      </c>
    </row>
    <row r="3657" spans="1:8">
      <c r="A3657" s="395">
        <v>36142</v>
      </c>
      <c r="B3657" s="406" t="s">
        <v>12388</v>
      </c>
      <c r="C3657" s="395" t="s">
        <v>2021</v>
      </c>
      <c r="D3657" s="407">
        <f t="shared" si="114"/>
        <v>2.38</v>
      </c>
      <c r="F3657" s="680">
        <v>2.38</v>
      </c>
      <c r="G3657" s="680">
        <v>2.38</v>
      </c>
      <c r="H3657" t="b">
        <f t="shared" si="115"/>
        <v>1</v>
      </c>
    </row>
    <row r="3658" spans="1:8">
      <c r="A3658" s="396">
        <v>36146</v>
      </c>
      <c r="B3658" s="401" t="s">
        <v>12389</v>
      </c>
      <c r="C3658" s="396" t="s">
        <v>2021</v>
      </c>
      <c r="D3658" s="405">
        <f t="shared" si="114"/>
        <v>270.3</v>
      </c>
      <c r="F3658" s="679">
        <v>270.3</v>
      </c>
      <c r="G3658" s="679">
        <v>270.3</v>
      </c>
      <c r="H3658" t="b">
        <f t="shared" si="115"/>
        <v>1</v>
      </c>
    </row>
    <row r="3659" spans="1:8">
      <c r="A3659" s="395">
        <v>39015</v>
      </c>
      <c r="B3659" s="406" t="s">
        <v>12390</v>
      </c>
      <c r="C3659" s="395" t="s">
        <v>2021</v>
      </c>
      <c r="D3659" s="407">
        <f t="shared" si="114"/>
        <v>0.97</v>
      </c>
      <c r="F3659" s="680">
        <v>0.97</v>
      </c>
      <c r="G3659" s="680">
        <v>0.97</v>
      </c>
      <c r="H3659" t="b">
        <f t="shared" si="115"/>
        <v>1</v>
      </c>
    </row>
    <row r="3660" spans="1:8">
      <c r="A3660" s="396">
        <v>38377</v>
      </c>
      <c r="B3660" s="401" t="s">
        <v>12391</v>
      </c>
      <c r="C3660" s="396" t="s">
        <v>2021</v>
      </c>
      <c r="D3660" s="405">
        <f t="shared" si="114"/>
        <v>49.35</v>
      </c>
      <c r="F3660" s="679">
        <v>49.35</v>
      </c>
      <c r="G3660" s="679">
        <v>49.35</v>
      </c>
      <c r="H3660" t="b">
        <f t="shared" si="115"/>
        <v>1</v>
      </c>
    </row>
    <row r="3661" spans="1:8">
      <c r="A3661" s="395">
        <v>38376</v>
      </c>
      <c r="B3661" s="406" t="s">
        <v>12392</v>
      </c>
      <c r="C3661" s="395" t="s">
        <v>2021</v>
      </c>
      <c r="D3661" s="407">
        <f t="shared" si="114"/>
        <v>56.27</v>
      </c>
      <c r="F3661" s="680">
        <v>56.27</v>
      </c>
      <c r="G3661" s="680">
        <v>56.27</v>
      </c>
      <c r="H3661" t="b">
        <f t="shared" si="115"/>
        <v>1</v>
      </c>
    </row>
    <row r="3662" spans="1:8">
      <c r="A3662" s="396">
        <v>38116</v>
      </c>
      <c r="B3662" s="401" t="s">
        <v>12393</v>
      </c>
      <c r="C3662" s="396" t="s">
        <v>2021</v>
      </c>
      <c r="D3662" s="405">
        <f t="shared" si="114"/>
        <v>5.32</v>
      </c>
      <c r="F3662" s="679">
        <v>5.32</v>
      </c>
      <c r="G3662" s="679">
        <v>5.32</v>
      </c>
      <c r="H3662" t="b">
        <f t="shared" si="115"/>
        <v>1</v>
      </c>
    </row>
    <row r="3663" spans="1:8">
      <c r="A3663" s="395">
        <v>38066</v>
      </c>
      <c r="B3663" s="406" t="s">
        <v>12394</v>
      </c>
      <c r="C3663" s="395" t="s">
        <v>2021</v>
      </c>
      <c r="D3663" s="407">
        <f t="shared" si="114"/>
        <v>8.7799999999999994</v>
      </c>
      <c r="F3663" s="680">
        <v>8.7799999999999994</v>
      </c>
      <c r="G3663" s="680">
        <v>8.7799999999999994</v>
      </c>
      <c r="H3663" t="b">
        <f t="shared" si="115"/>
        <v>1</v>
      </c>
    </row>
    <row r="3664" spans="1:8">
      <c r="A3664" s="396">
        <v>38117</v>
      </c>
      <c r="B3664" s="401" t="s">
        <v>12395</v>
      </c>
      <c r="C3664" s="396" t="s">
        <v>2021</v>
      </c>
      <c r="D3664" s="405">
        <f t="shared" si="114"/>
        <v>9.06</v>
      </c>
      <c r="F3664" s="679">
        <v>9.06</v>
      </c>
      <c r="G3664" s="679">
        <v>9.06</v>
      </c>
      <c r="H3664" t="b">
        <f t="shared" si="115"/>
        <v>1</v>
      </c>
    </row>
    <row r="3665" spans="1:8">
      <c r="A3665" s="395">
        <v>38067</v>
      </c>
      <c r="B3665" s="406" t="s">
        <v>12396</v>
      </c>
      <c r="C3665" s="395" t="s">
        <v>2021</v>
      </c>
      <c r="D3665" s="407">
        <f t="shared" si="114"/>
        <v>12.36</v>
      </c>
      <c r="F3665" s="680">
        <v>12.36</v>
      </c>
      <c r="G3665" s="680">
        <v>12.36</v>
      </c>
      <c r="H3665" t="b">
        <f t="shared" si="115"/>
        <v>1</v>
      </c>
    </row>
    <row r="3666" spans="1:8" ht="30">
      <c r="A3666" s="396">
        <v>11522</v>
      </c>
      <c r="B3666" s="401" t="s">
        <v>12397</v>
      </c>
      <c r="C3666" s="396" t="s">
        <v>2021</v>
      </c>
      <c r="D3666" s="405">
        <f t="shared" si="114"/>
        <v>14.75</v>
      </c>
      <c r="F3666" s="679">
        <v>14.75</v>
      </c>
      <c r="G3666" s="679">
        <v>14.75</v>
      </c>
      <c r="H3666" t="b">
        <f t="shared" si="115"/>
        <v>1</v>
      </c>
    </row>
    <row r="3667" spans="1:8" ht="30">
      <c r="A3667" s="395">
        <v>43600</v>
      </c>
      <c r="B3667" s="406" t="s">
        <v>12398</v>
      </c>
      <c r="C3667" s="395" t="s">
        <v>2021</v>
      </c>
      <c r="D3667" s="407">
        <f t="shared" si="114"/>
        <v>59.12</v>
      </c>
      <c r="F3667" s="680">
        <v>59.12</v>
      </c>
      <c r="G3667" s="680">
        <v>59.12</v>
      </c>
      <c r="H3667" t="b">
        <f t="shared" si="115"/>
        <v>1</v>
      </c>
    </row>
    <row r="3668" spans="1:8" ht="30">
      <c r="A3668" s="396">
        <v>5080</v>
      </c>
      <c r="B3668" s="401" t="s">
        <v>12399</v>
      </c>
      <c r="C3668" s="396" t="s">
        <v>2021</v>
      </c>
      <c r="D3668" s="405">
        <f t="shared" si="114"/>
        <v>23.05</v>
      </c>
      <c r="F3668" s="679">
        <v>23.05</v>
      </c>
      <c r="G3668" s="679">
        <v>23.05</v>
      </c>
      <c r="H3668" t="b">
        <f t="shared" si="115"/>
        <v>1</v>
      </c>
    </row>
    <row r="3669" spans="1:8">
      <c r="A3669" s="395">
        <v>38168</v>
      </c>
      <c r="B3669" s="406" t="s">
        <v>12400</v>
      </c>
      <c r="C3669" s="395" t="s">
        <v>2021</v>
      </c>
      <c r="D3669" s="407">
        <f t="shared" si="114"/>
        <v>160.94999999999999</v>
      </c>
      <c r="F3669" s="680">
        <v>160.94999999999999</v>
      </c>
      <c r="G3669" s="680">
        <v>160.94999999999999</v>
      </c>
      <c r="H3669" t="b">
        <f t="shared" si="115"/>
        <v>1</v>
      </c>
    </row>
    <row r="3670" spans="1:8">
      <c r="A3670" s="396">
        <v>43601</v>
      </c>
      <c r="B3670" s="401" t="s">
        <v>12401</v>
      </c>
      <c r="C3670" s="396" t="s">
        <v>2021</v>
      </c>
      <c r="D3670" s="405">
        <f t="shared" si="114"/>
        <v>80.47</v>
      </c>
      <c r="F3670" s="679">
        <v>80.47</v>
      </c>
      <c r="G3670" s="679">
        <v>80.47</v>
      </c>
      <c r="H3670" t="b">
        <f t="shared" si="115"/>
        <v>1</v>
      </c>
    </row>
    <row r="3671" spans="1:8" ht="30">
      <c r="A3671" s="395">
        <v>13393</v>
      </c>
      <c r="B3671" s="406" t="s">
        <v>12402</v>
      </c>
      <c r="C3671" s="395" t="s">
        <v>2021</v>
      </c>
      <c r="D3671" s="407">
        <f t="shared" si="114"/>
        <v>373.91</v>
      </c>
      <c r="F3671" s="680">
        <v>373.91</v>
      </c>
      <c r="G3671" s="680">
        <v>373.91</v>
      </c>
      <c r="H3671" t="b">
        <f t="shared" si="115"/>
        <v>1</v>
      </c>
    </row>
    <row r="3672" spans="1:8" ht="30">
      <c r="A3672" s="396">
        <v>13395</v>
      </c>
      <c r="B3672" s="401" t="s">
        <v>12403</v>
      </c>
      <c r="C3672" s="396" t="s">
        <v>2021</v>
      </c>
      <c r="D3672" s="405">
        <f t="shared" si="114"/>
        <v>523.99</v>
      </c>
      <c r="F3672" s="679">
        <v>523.99</v>
      </c>
      <c r="G3672" s="679">
        <v>523.99</v>
      </c>
      <c r="H3672" t="b">
        <f t="shared" si="115"/>
        <v>1</v>
      </c>
    </row>
    <row r="3673" spans="1:8" ht="30">
      <c r="A3673" s="395">
        <v>12039</v>
      </c>
      <c r="B3673" s="406" t="s">
        <v>12404</v>
      </c>
      <c r="C3673" s="395" t="s">
        <v>2021</v>
      </c>
      <c r="D3673" s="407">
        <f t="shared" si="114"/>
        <v>550.66</v>
      </c>
      <c r="F3673" s="680">
        <v>550.66</v>
      </c>
      <c r="G3673" s="680">
        <v>550.66</v>
      </c>
      <c r="H3673" t="b">
        <f t="shared" si="115"/>
        <v>1</v>
      </c>
    </row>
    <row r="3674" spans="1:8" ht="30">
      <c r="A3674" s="396">
        <v>13396</v>
      </c>
      <c r="B3674" s="401" t="s">
        <v>12405</v>
      </c>
      <c r="C3674" s="396" t="s">
        <v>2021</v>
      </c>
      <c r="D3674" s="405">
        <f t="shared" si="114"/>
        <v>773.36</v>
      </c>
      <c r="F3674" s="679">
        <v>773.36</v>
      </c>
      <c r="G3674" s="679">
        <v>773.36</v>
      </c>
      <c r="H3674" t="b">
        <f t="shared" si="115"/>
        <v>1</v>
      </c>
    </row>
    <row r="3675" spans="1:8" ht="30">
      <c r="A3675" s="395">
        <v>12041</v>
      </c>
      <c r="B3675" s="406" t="s">
        <v>12406</v>
      </c>
      <c r="C3675" s="395" t="s">
        <v>2021</v>
      </c>
      <c r="D3675" s="407">
        <f t="shared" si="114"/>
        <v>631.5</v>
      </c>
      <c r="F3675" s="680">
        <v>631.5</v>
      </c>
      <c r="G3675" s="680">
        <v>631.5</v>
      </c>
      <c r="H3675" t="b">
        <f t="shared" si="115"/>
        <v>1</v>
      </c>
    </row>
    <row r="3676" spans="1:8" ht="30">
      <c r="A3676" s="396">
        <v>12043</v>
      </c>
      <c r="B3676" s="401" t="s">
        <v>12407</v>
      </c>
      <c r="C3676" s="396" t="s">
        <v>2021</v>
      </c>
      <c r="D3676" s="405">
        <f t="shared" si="114"/>
        <v>1333.31</v>
      </c>
      <c r="F3676" s="679">
        <v>1333.31</v>
      </c>
      <c r="G3676" s="679">
        <v>1333.31</v>
      </c>
      <c r="H3676" t="b">
        <f t="shared" si="115"/>
        <v>1</v>
      </c>
    </row>
    <row r="3677" spans="1:8" ht="30">
      <c r="A3677" s="395">
        <v>39762</v>
      </c>
      <c r="B3677" s="406" t="s">
        <v>12408</v>
      </c>
      <c r="C3677" s="395" t="s">
        <v>2021</v>
      </c>
      <c r="D3677" s="407">
        <f t="shared" si="114"/>
        <v>634.69000000000005</v>
      </c>
      <c r="F3677" s="680">
        <v>634.69000000000005</v>
      </c>
      <c r="G3677" s="680">
        <v>634.69000000000005</v>
      </c>
      <c r="H3677" t="b">
        <f t="shared" si="115"/>
        <v>1</v>
      </c>
    </row>
    <row r="3678" spans="1:8" ht="30">
      <c r="A3678" s="396">
        <v>12042</v>
      </c>
      <c r="B3678" s="401" t="s">
        <v>12409</v>
      </c>
      <c r="C3678" s="396" t="s">
        <v>2021</v>
      </c>
      <c r="D3678" s="405">
        <f t="shared" si="114"/>
        <v>926.63</v>
      </c>
      <c r="F3678" s="679">
        <v>926.63</v>
      </c>
      <c r="G3678" s="679">
        <v>926.63</v>
      </c>
      <c r="H3678" t="b">
        <f t="shared" si="115"/>
        <v>1</v>
      </c>
    </row>
    <row r="3679" spans="1:8" ht="30">
      <c r="A3679" s="395">
        <v>39763</v>
      </c>
      <c r="B3679" s="406" t="s">
        <v>12410</v>
      </c>
      <c r="C3679" s="395" t="s">
        <v>2021</v>
      </c>
      <c r="D3679" s="407">
        <f t="shared" si="114"/>
        <v>1084.49</v>
      </c>
      <c r="F3679" s="680">
        <v>1084.49</v>
      </c>
      <c r="G3679" s="680">
        <v>1084.49</v>
      </c>
      <c r="H3679" t="b">
        <f t="shared" si="115"/>
        <v>1</v>
      </c>
    </row>
    <row r="3680" spans="1:8" ht="30">
      <c r="A3680" s="396">
        <v>39760</v>
      </c>
      <c r="B3680" s="401" t="s">
        <v>12411</v>
      </c>
      <c r="C3680" s="396" t="s">
        <v>2021</v>
      </c>
      <c r="D3680" s="405">
        <f t="shared" si="114"/>
        <v>1080.93</v>
      </c>
      <c r="F3680" s="679">
        <v>1080.93</v>
      </c>
      <c r="G3680" s="679">
        <v>1080.93</v>
      </c>
      <c r="H3680" t="b">
        <f t="shared" si="115"/>
        <v>1</v>
      </c>
    </row>
    <row r="3681" spans="1:8" ht="30">
      <c r="A3681" s="395">
        <v>39756</v>
      </c>
      <c r="B3681" s="406" t="s">
        <v>12412</v>
      </c>
      <c r="C3681" s="395" t="s">
        <v>2021</v>
      </c>
      <c r="D3681" s="407">
        <f t="shared" si="114"/>
        <v>388.12</v>
      </c>
      <c r="F3681" s="680">
        <v>388.12</v>
      </c>
      <c r="G3681" s="680">
        <v>388.12</v>
      </c>
      <c r="H3681" t="b">
        <f t="shared" si="115"/>
        <v>1</v>
      </c>
    </row>
    <row r="3682" spans="1:8" ht="30">
      <c r="A3682" s="396">
        <v>12038</v>
      </c>
      <c r="B3682" s="401" t="s">
        <v>12413</v>
      </c>
      <c r="C3682" s="396" t="s">
        <v>2021</v>
      </c>
      <c r="D3682" s="405">
        <f t="shared" si="114"/>
        <v>484.96</v>
      </c>
      <c r="F3682" s="679">
        <v>484.96</v>
      </c>
      <c r="G3682" s="679">
        <v>484.96</v>
      </c>
      <c r="H3682" t="b">
        <f t="shared" si="115"/>
        <v>1</v>
      </c>
    </row>
    <row r="3683" spans="1:8" ht="30">
      <c r="A3683" s="395">
        <v>39757</v>
      </c>
      <c r="B3683" s="406" t="s">
        <v>12414</v>
      </c>
      <c r="C3683" s="395" t="s">
        <v>2021</v>
      </c>
      <c r="D3683" s="407">
        <f t="shared" si="114"/>
        <v>448.44</v>
      </c>
      <c r="F3683" s="680">
        <v>448.44</v>
      </c>
      <c r="G3683" s="680">
        <v>448.44</v>
      </c>
      <c r="H3683" t="b">
        <f t="shared" si="115"/>
        <v>1</v>
      </c>
    </row>
    <row r="3684" spans="1:8" ht="30">
      <c r="A3684" s="396">
        <v>39758</v>
      </c>
      <c r="B3684" s="401" t="s">
        <v>12415</v>
      </c>
      <c r="C3684" s="396" t="s">
        <v>2021</v>
      </c>
      <c r="D3684" s="405">
        <f t="shared" si="114"/>
        <v>653.54</v>
      </c>
      <c r="F3684" s="679">
        <v>653.54</v>
      </c>
      <c r="G3684" s="679">
        <v>653.54</v>
      </c>
      <c r="H3684" t="b">
        <f t="shared" si="115"/>
        <v>1</v>
      </c>
    </row>
    <row r="3685" spans="1:8" ht="30">
      <c r="A3685" s="395">
        <v>39759</v>
      </c>
      <c r="B3685" s="406" t="s">
        <v>12416</v>
      </c>
      <c r="C3685" s="395" t="s">
        <v>2021</v>
      </c>
      <c r="D3685" s="407">
        <f t="shared" si="114"/>
        <v>807.13</v>
      </c>
      <c r="F3685" s="680">
        <v>807.13</v>
      </c>
      <c r="G3685" s="680">
        <v>807.13</v>
      </c>
      <c r="H3685" t="b">
        <f t="shared" si="115"/>
        <v>1</v>
      </c>
    </row>
    <row r="3686" spans="1:8" ht="30">
      <c r="A3686" s="396">
        <v>39761</v>
      </c>
      <c r="B3686" s="401" t="s">
        <v>12417</v>
      </c>
      <c r="C3686" s="396" t="s">
        <v>2021</v>
      </c>
      <c r="D3686" s="405">
        <f t="shared" si="114"/>
        <v>970.19</v>
      </c>
      <c r="F3686" s="679">
        <v>970.19</v>
      </c>
      <c r="G3686" s="679">
        <v>970.19</v>
      </c>
      <c r="H3686" t="b">
        <f t="shared" si="115"/>
        <v>1</v>
      </c>
    </row>
    <row r="3687" spans="1:8" ht="30">
      <c r="A3687" s="395">
        <v>39805</v>
      </c>
      <c r="B3687" s="406" t="s">
        <v>12418</v>
      </c>
      <c r="C3687" s="395" t="s">
        <v>2021</v>
      </c>
      <c r="D3687" s="407">
        <f t="shared" si="114"/>
        <v>167.53</v>
      </c>
      <c r="F3687" s="680">
        <v>167.53</v>
      </c>
      <c r="G3687" s="680">
        <v>167.53</v>
      </c>
      <c r="H3687" t="b">
        <f t="shared" si="115"/>
        <v>1</v>
      </c>
    </row>
    <row r="3688" spans="1:8" ht="30">
      <c r="A3688" s="396">
        <v>39806</v>
      </c>
      <c r="B3688" s="401" t="s">
        <v>12419</v>
      </c>
      <c r="C3688" s="396" t="s">
        <v>2021</v>
      </c>
      <c r="D3688" s="405">
        <f t="shared" si="114"/>
        <v>310.39</v>
      </c>
      <c r="F3688" s="679">
        <v>310.39</v>
      </c>
      <c r="G3688" s="679">
        <v>310.39</v>
      </c>
      <c r="H3688" t="b">
        <f t="shared" si="115"/>
        <v>1</v>
      </c>
    </row>
    <row r="3689" spans="1:8" ht="30">
      <c r="A3689" s="395">
        <v>39807</v>
      </c>
      <c r="B3689" s="406" t="s">
        <v>12420</v>
      </c>
      <c r="C3689" s="395" t="s">
        <v>2021</v>
      </c>
      <c r="D3689" s="407">
        <f t="shared" si="114"/>
        <v>672.7</v>
      </c>
      <c r="F3689" s="680">
        <v>672.7</v>
      </c>
      <c r="G3689" s="680">
        <v>672.7</v>
      </c>
      <c r="H3689" t="b">
        <f t="shared" si="115"/>
        <v>1</v>
      </c>
    </row>
    <row r="3690" spans="1:8">
      <c r="A3690" s="396">
        <v>43100</v>
      </c>
      <c r="B3690" s="401" t="s">
        <v>12421</v>
      </c>
      <c r="C3690" s="396" t="s">
        <v>2021</v>
      </c>
      <c r="D3690" s="405">
        <f t="shared" si="114"/>
        <v>525.91</v>
      </c>
      <c r="F3690" s="679">
        <v>525.91</v>
      </c>
      <c r="G3690" s="679">
        <v>525.91</v>
      </c>
      <c r="H3690" t="b">
        <f t="shared" si="115"/>
        <v>1</v>
      </c>
    </row>
    <row r="3691" spans="1:8" ht="30">
      <c r="A3691" s="395">
        <v>39804</v>
      </c>
      <c r="B3691" s="406" t="s">
        <v>12422</v>
      </c>
      <c r="C3691" s="395" t="s">
        <v>2021</v>
      </c>
      <c r="D3691" s="407">
        <f t="shared" si="114"/>
        <v>98.37</v>
      </c>
      <c r="F3691" s="680">
        <v>98.37</v>
      </c>
      <c r="G3691" s="680">
        <v>98.37</v>
      </c>
      <c r="H3691" t="b">
        <f t="shared" si="115"/>
        <v>1</v>
      </c>
    </row>
    <row r="3692" spans="1:8">
      <c r="A3692" s="396">
        <v>39796</v>
      </c>
      <c r="B3692" s="401" t="s">
        <v>12423</v>
      </c>
      <c r="C3692" s="396" t="s">
        <v>2021</v>
      </c>
      <c r="D3692" s="405">
        <f t="shared" si="114"/>
        <v>101.89</v>
      </c>
      <c r="F3692" s="679">
        <v>101.89</v>
      </c>
      <c r="G3692" s="679">
        <v>101.89</v>
      </c>
      <c r="H3692" t="b">
        <f t="shared" si="115"/>
        <v>1</v>
      </c>
    </row>
    <row r="3693" spans="1:8">
      <c r="A3693" s="395">
        <v>39797</v>
      </c>
      <c r="B3693" s="406" t="s">
        <v>12424</v>
      </c>
      <c r="C3693" s="395" t="s">
        <v>2021</v>
      </c>
      <c r="D3693" s="407">
        <f t="shared" si="114"/>
        <v>159.94999999999999</v>
      </c>
      <c r="F3693" s="680">
        <v>159.94999999999999</v>
      </c>
      <c r="G3693" s="680">
        <v>159.94999999999999</v>
      </c>
      <c r="H3693" t="b">
        <f t="shared" si="115"/>
        <v>1</v>
      </c>
    </row>
    <row r="3694" spans="1:8">
      <c r="A3694" s="396">
        <v>39798</v>
      </c>
      <c r="B3694" s="401" t="s">
        <v>12425</v>
      </c>
      <c r="C3694" s="396" t="s">
        <v>2021</v>
      </c>
      <c r="D3694" s="405">
        <f t="shared" si="114"/>
        <v>274.36</v>
      </c>
      <c r="F3694" s="679">
        <v>274.36</v>
      </c>
      <c r="G3694" s="679">
        <v>274.36</v>
      </c>
      <c r="H3694" t="b">
        <f t="shared" si="115"/>
        <v>1</v>
      </c>
    </row>
    <row r="3695" spans="1:8">
      <c r="A3695" s="395">
        <v>39794</v>
      </c>
      <c r="B3695" s="406" t="s">
        <v>12426</v>
      </c>
      <c r="C3695" s="395" t="s">
        <v>2021</v>
      </c>
      <c r="D3695" s="407">
        <f t="shared" si="114"/>
        <v>43.25</v>
      </c>
      <c r="F3695" s="680">
        <v>43.25</v>
      </c>
      <c r="G3695" s="680">
        <v>43.25</v>
      </c>
      <c r="H3695" t="b">
        <f t="shared" si="115"/>
        <v>1</v>
      </c>
    </row>
    <row r="3696" spans="1:8">
      <c r="A3696" s="396">
        <v>39795</v>
      </c>
      <c r="B3696" s="401" t="s">
        <v>12427</v>
      </c>
      <c r="C3696" s="396" t="s">
        <v>2021</v>
      </c>
      <c r="D3696" s="405">
        <f t="shared" si="114"/>
        <v>68.33</v>
      </c>
      <c r="F3696" s="679">
        <v>68.33</v>
      </c>
      <c r="G3696" s="679">
        <v>68.33</v>
      </c>
      <c r="H3696" t="b">
        <f t="shared" si="115"/>
        <v>1</v>
      </c>
    </row>
    <row r="3697" spans="1:8">
      <c r="A3697" s="395">
        <v>39799</v>
      </c>
      <c r="B3697" s="406" t="s">
        <v>12428</v>
      </c>
      <c r="C3697" s="395" t="s">
        <v>2021</v>
      </c>
      <c r="D3697" s="407">
        <f t="shared" si="114"/>
        <v>50.41</v>
      </c>
      <c r="F3697" s="680">
        <v>50.41</v>
      </c>
      <c r="G3697" s="680">
        <v>50.41</v>
      </c>
      <c r="H3697" t="b">
        <f t="shared" si="115"/>
        <v>1</v>
      </c>
    </row>
    <row r="3698" spans="1:8">
      <c r="A3698" s="396">
        <v>39801</v>
      </c>
      <c r="B3698" s="401" t="s">
        <v>12429</v>
      </c>
      <c r="C3698" s="396" t="s">
        <v>2021</v>
      </c>
      <c r="D3698" s="405">
        <f t="shared" si="114"/>
        <v>144.28</v>
      </c>
      <c r="F3698" s="679">
        <v>144.28</v>
      </c>
      <c r="G3698" s="679">
        <v>144.28</v>
      </c>
      <c r="H3698" t="b">
        <f t="shared" si="115"/>
        <v>1</v>
      </c>
    </row>
    <row r="3699" spans="1:8">
      <c r="A3699" s="395">
        <v>39802</v>
      </c>
      <c r="B3699" s="406" t="s">
        <v>12430</v>
      </c>
      <c r="C3699" s="395" t="s">
        <v>2021</v>
      </c>
      <c r="D3699" s="407">
        <f t="shared" si="114"/>
        <v>211.5</v>
      </c>
      <c r="F3699" s="680">
        <v>211.5</v>
      </c>
      <c r="G3699" s="680">
        <v>211.5</v>
      </c>
      <c r="H3699" t="b">
        <f t="shared" si="115"/>
        <v>1</v>
      </c>
    </row>
    <row r="3700" spans="1:8">
      <c r="A3700" s="396">
        <v>39803</v>
      </c>
      <c r="B3700" s="401" t="s">
        <v>12431</v>
      </c>
      <c r="C3700" s="396" t="s">
        <v>2021</v>
      </c>
      <c r="D3700" s="405">
        <f t="shared" si="114"/>
        <v>295.04000000000002</v>
      </c>
      <c r="F3700" s="679">
        <v>295.04000000000002</v>
      </c>
      <c r="G3700" s="679">
        <v>295.04000000000002</v>
      </c>
      <c r="H3700" t="b">
        <f t="shared" si="115"/>
        <v>1</v>
      </c>
    </row>
    <row r="3701" spans="1:8">
      <c r="A3701" s="395">
        <v>39800</v>
      </c>
      <c r="B3701" s="406" t="s">
        <v>12432</v>
      </c>
      <c r="C3701" s="395" t="s">
        <v>2021</v>
      </c>
      <c r="D3701" s="407">
        <f t="shared" si="114"/>
        <v>85.88</v>
      </c>
      <c r="F3701" s="680">
        <v>85.88</v>
      </c>
      <c r="G3701" s="680">
        <v>85.88</v>
      </c>
      <c r="H3701" t="b">
        <f t="shared" si="115"/>
        <v>1</v>
      </c>
    </row>
    <row r="3702" spans="1:8">
      <c r="A3702" s="396">
        <v>43837</v>
      </c>
      <c r="B3702" s="401" t="s">
        <v>12433</v>
      </c>
      <c r="C3702" s="396" t="s">
        <v>2021</v>
      </c>
      <c r="D3702" s="405">
        <f t="shared" si="114"/>
        <v>1147.8699999999999</v>
      </c>
      <c r="F3702" s="679">
        <v>1147.8699999999999</v>
      </c>
      <c r="G3702" s="679">
        <v>1147.8699999999999</v>
      </c>
      <c r="H3702" t="b">
        <f t="shared" si="115"/>
        <v>1</v>
      </c>
    </row>
    <row r="3703" spans="1:8">
      <c r="A3703" s="395">
        <v>43836</v>
      </c>
      <c r="B3703" s="406" t="s">
        <v>12434</v>
      </c>
      <c r="C3703" s="395" t="s">
        <v>2021</v>
      </c>
      <c r="D3703" s="407">
        <f t="shared" si="114"/>
        <v>2335.7199999999998</v>
      </c>
      <c r="F3703" s="680">
        <v>2335.7199999999998</v>
      </c>
      <c r="G3703" s="680">
        <v>2335.7199999999998</v>
      </c>
      <c r="H3703" t="b">
        <f t="shared" si="115"/>
        <v>1</v>
      </c>
    </row>
    <row r="3704" spans="1:8">
      <c r="A3704" s="396">
        <v>21059</v>
      </c>
      <c r="B3704" s="401" t="s">
        <v>12435</v>
      </c>
      <c r="C3704" s="396" t="s">
        <v>2021</v>
      </c>
      <c r="D3704" s="405">
        <f t="shared" si="114"/>
        <v>60.33</v>
      </c>
      <c r="F3704" s="679">
        <v>60.33</v>
      </c>
      <c r="G3704" s="679">
        <v>60.33</v>
      </c>
      <c r="H3704" t="b">
        <f t="shared" si="115"/>
        <v>1</v>
      </c>
    </row>
    <row r="3705" spans="1:8">
      <c r="A3705" s="395">
        <v>11234</v>
      </c>
      <c r="B3705" s="406" t="s">
        <v>12436</v>
      </c>
      <c r="C3705" s="395" t="s">
        <v>2021</v>
      </c>
      <c r="D3705" s="407">
        <f t="shared" si="114"/>
        <v>90.93</v>
      </c>
      <c r="F3705" s="680">
        <v>90.93</v>
      </c>
      <c r="G3705" s="680">
        <v>90.93</v>
      </c>
      <c r="H3705" t="b">
        <f t="shared" si="115"/>
        <v>1</v>
      </c>
    </row>
    <row r="3706" spans="1:8">
      <c r="A3706" s="396">
        <v>21060</v>
      </c>
      <c r="B3706" s="401" t="s">
        <v>12437</v>
      </c>
      <c r="C3706" s="396" t="s">
        <v>2021</v>
      </c>
      <c r="D3706" s="405">
        <f t="shared" si="114"/>
        <v>111.92</v>
      </c>
      <c r="F3706" s="679">
        <v>111.92</v>
      </c>
      <c r="G3706" s="679">
        <v>111.92</v>
      </c>
      <c r="H3706" t="b">
        <f t="shared" si="115"/>
        <v>1</v>
      </c>
    </row>
    <row r="3707" spans="1:8">
      <c r="A3707" s="395">
        <v>21061</v>
      </c>
      <c r="B3707" s="406" t="s">
        <v>12438</v>
      </c>
      <c r="C3707" s="395" t="s">
        <v>2021</v>
      </c>
      <c r="D3707" s="407">
        <f t="shared" si="114"/>
        <v>139.9</v>
      </c>
      <c r="F3707" s="680">
        <v>139.9</v>
      </c>
      <c r="G3707" s="680">
        <v>139.9</v>
      </c>
      <c r="H3707" t="b">
        <f t="shared" si="115"/>
        <v>1</v>
      </c>
    </row>
    <row r="3708" spans="1:8">
      <c r="A3708" s="396">
        <v>21062</v>
      </c>
      <c r="B3708" s="401" t="s">
        <v>12439</v>
      </c>
      <c r="C3708" s="396" t="s">
        <v>2021</v>
      </c>
      <c r="D3708" s="405">
        <f t="shared" si="114"/>
        <v>220.35</v>
      </c>
      <c r="F3708" s="679">
        <v>220.35</v>
      </c>
      <c r="G3708" s="679">
        <v>220.35</v>
      </c>
      <c r="H3708" t="b">
        <f t="shared" si="115"/>
        <v>1</v>
      </c>
    </row>
    <row r="3709" spans="1:8">
      <c r="A3709" s="395">
        <v>11708</v>
      </c>
      <c r="B3709" s="406" t="s">
        <v>12440</v>
      </c>
      <c r="C3709" s="395" t="s">
        <v>2021</v>
      </c>
      <c r="D3709" s="407">
        <f t="shared" si="114"/>
        <v>24.04</v>
      </c>
      <c r="F3709" s="680">
        <v>24.04</v>
      </c>
      <c r="G3709" s="680">
        <v>24.04</v>
      </c>
      <c r="H3709" t="b">
        <f t="shared" si="115"/>
        <v>1</v>
      </c>
    </row>
    <row r="3710" spans="1:8">
      <c r="A3710" s="396">
        <v>11709</v>
      </c>
      <c r="B3710" s="401" t="s">
        <v>12441</v>
      </c>
      <c r="C3710" s="396" t="s">
        <v>2021</v>
      </c>
      <c r="D3710" s="405">
        <f t="shared" si="114"/>
        <v>56.48</v>
      </c>
      <c r="F3710" s="679">
        <v>56.48</v>
      </c>
      <c r="G3710" s="679">
        <v>56.48</v>
      </c>
      <c r="H3710" t="b">
        <f t="shared" si="115"/>
        <v>1</v>
      </c>
    </row>
    <row r="3711" spans="1:8">
      <c r="A3711" s="395">
        <v>11710</v>
      </c>
      <c r="B3711" s="406" t="s">
        <v>12442</v>
      </c>
      <c r="C3711" s="395" t="s">
        <v>2021</v>
      </c>
      <c r="D3711" s="407">
        <f t="shared" si="114"/>
        <v>129.85</v>
      </c>
      <c r="F3711" s="680">
        <v>129.85</v>
      </c>
      <c r="G3711" s="680">
        <v>129.85</v>
      </c>
      <c r="H3711" t="b">
        <f t="shared" si="115"/>
        <v>1</v>
      </c>
    </row>
    <row r="3712" spans="1:8">
      <c r="A3712" s="396">
        <v>11707</v>
      </c>
      <c r="B3712" s="401" t="s">
        <v>12443</v>
      </c>
      <c r="C3712" s="396" t="s">
        <v>2021</v>
      </c>
      <c r="D3712" s="405">
        <f t="shared" si="114"/>
        <v>18.010000000000002</v>
      </c>
      <c r="F3712" s="679">
        <v>18.010000000000002</v>
      </c>
      <c r="G3712" s="679">
        <v>18.010000000000002</v>
      </c>
      <c r="H3712" t="b">
        <f t="shared" si="115"/>
        <v>1</v>
      </c>
    </row>
    <row r="3713" spans="1:8">
      <c r="A3713" s="395">
        <v>5102</v>
      </c>
      <c r="B3713" s="406" t="s">
        <v>12444</v>
      </c>
      <c r="C3713" s="395" t="s">
        <v>2021</v>
      </c>
      <c r="D3713" s="407">
        <f t="shared" si="114"/>
        <v>16.04</v>
      </c>
      <c r="F3713" s="680">
        <v>16.04</v>
      </c>
      <c r="G3713" s="680">
        <v>16.04</v>
      </c>
      <c r="H3713" t="b">
        <f t="shared" si="115"/>
        <v>1</v>
      </c>
    </row>
    <row r="3714" spans="1:8">
      <c r="A3714" s="396">
        <v>11739</v>
      </c>
      <c r="B3714" s="401" t="s">
        <v>12445</v>
      </c>
      <c r="C3714" s="396" t="s">
        <v>2021</v>
      </c>
      <c r="D3714" s="405">
        <f t="shared" si="114"/>
        <v>11.43</v>
      </c>
      <c r="F3714" s="679">
        <v>11.43</v>
      </c>
      <c r="G3714" s="679">
        <v>11.43</v>
      </c>
      <c r="H3714" t="b">
        <f t="shared" si="115"/>
        <v>1</v>
      </c>
    </row>
    <row r="3715" spans="1:8">
      <c r="A3715" s="395">
        <v>11711</v>
      </c>
      <c r="B3715" s="406" t="s">
        <v>12446</v>
      </c>
      <c r="C3715" s="395" t="s">
        <v>2021</v>
      </c>
      <c r="D3715" s="407">
        <f t="shared" ref="D3715:D3778" si="116">IF($J$2=$F$1,F3715,G3715)</f>
        <v>13.37</v>
      </c>
      <c r="F3715" s="680">
        <v>13.37</v>
      </c>
      <c r="G3715" s="680">
        <v>13.37</v>
      </c>
      <c r="H3715" t="b">
        <f t="shared" ref="H3715:H3778" si="117">F3715=G3715</f>
        <v>1</v>
      </c>
    </row>
    <row r="3716" spans="1:8">
      <c r="A3716" s="396">
        <v>11741</v>
      </c>
      <c r="B3716" s="401" t="s">
        <v>12447</v>
      </c>
      <c r="C3716" s="396" t="s">
        <v>2021</v>
      </c>
      <c r="D3716" s="405">
        <f t="shared" si="116"/>
        <v>14.56</v>
      </c>
      <c r="F3716" s="679">
        <v>14.56</v>
      </c>
      <c r="G3716" s="679">
        <v>14.56</v>
      </c>
      <c r="H3716" t="b">
        <f t="shared" si="117"/>
        <v>1</v>
      </c>
    </row>
    <row r="3717" spans="1:8">
      <c r="A3717" s="395">
        <v>11745</v>
      </c>
      <c r="B3717" s="406" t="s">
        <v>12448</v>
      </c>
      <c r="C3717" s="395" t="s">
        <v>2021</v>
      </c>
      <c r="D3717" s="407">
        <f t="shared" si="116"/>
        <v>19.18</v>
      </c>
      <c r="F3717" s="680">
        <v>19.18</v>
      </c>
      <c r="G3717" s="680">
        <v>19.18</v>
      </c>
      <c r="H3717" t="b">
        <f t="shared" si="117"/>
        <v>1</v>
      </c>
    </row>
    <row r="3718" spans="1:8">
      <c r="A3718" s="396">
        <v>11743</v>
      </c>
      <c r="B3718" s="401" t="s">
        <v>12449</v>
      </c>
      <c r="C3718" s="396" t="s">
        <v>2021</v>
      </c>
      <c r="D3718" s="405">
        <f t="shared" si="116"/>
        <v>12.22</v>
      </c>
      <c r="F3718" s="679">
        <v>12.22</v>
      </c>
      <c r="G3718" s="679">
        <v>12.22</v>
      </c>
      <c r="H3718" t="b">
        <f t="shared" si="117"/>
        <v>1</v>
      </c>
    </row>
    <row r="3719" spans="1:8">
      <c r="A3719" s="395">
        <v>40985</v>
      </c>
      <c r="B3719" s="406" t="s">
        <v>12450</v>
      </c>
      <c r="C3719" s="395" t="s">
        <v>2027</v>
      </c>
      <c r="D3719" s="407">
        <f t="shared" si="116"/>
        <v>1861.53</v>
      </c>
      <c r="F3719" s="680">
        <v>1861.53</v>
      </c>
      <c r="G3719" s="680">
        <v>2144.37</v>
      </c>
      <c r="H3719" t="b">
        <f t="shared" si="117"/>
        <v>0</v>
      </c>
    </row>
    <row r="3720" spans="1:8">
      <c r="A3720" s="396">
        <v>44502</v>
      </c>
      <c r="B3720" s="401" t="s">
        <v>12451</v>
      </c>
      <c r="C3720" s="396" t="s">
        <v>2020</v>
      </c>
      <c r="D3720" s="405">
        <f t="shared" si="116"/>
        <v>10.55</v>
      </c>
      <c r="F3720" s="679">
        <v>10.55</v>
      </c>
      <c r="G3720" s="679">
        <v>12.14</v>
      </c>
      <c r="H3720" t="b">
        <f t="shared" si="117"/>
        <v>0</v>
      </c>
    </row>
    <row r="3721" spans="1:8">
      <c r="A3721" s="395">
        <v>1088</v>
      </c>
      <c r="B3721" s="406" t="s">
        <v>12452</v>
      </c>
      <c r="C3721" s="395" t="s">
        <v>2021</v>
      </c>
      <c r="D3721" s="407">
        <f t="shared" si="116"/>
        <v>29.21</v>
      </c>
      <c r="F3721" s="680">
        <v>29.21</v>
      </c>
      <c r="G3721" s="680">
        <v>29.21</v>
      </c>
      <c r="H3721" t="b">
        <f t="shared" si="117"/>
        <v>1</v>
      </c>
    </row>
    <row r="3722" spans="1:8">
      <c r="A3722" s="396">
        <v>1087</v>
      </c>
      <c r="B3722" s="401" t="s">
        <v>12453</v>
      </c>
      <c r="C3722" s="396" t="s">
        <v>2021</v>
      </c>
      <c r="D3722" s="405">
        <f t="shared" si="116"/>
        <v>36.479999999999997</v>
      </c>
      <c r="F3722" s="679">
        <v>36.479999999999997</v>
      </c>
      <c r="G3722" s="679">
        <v>36.479999999999997</v>
      </c>
      <c r="H3722" t="b">
        <f t="shared" si="117"/>
        <v>1</v>
      </c>
    </row>
    <row r="3723" spans="1:8">
      <c r="A3723" s="395">
        <v>38777</v>
      </c>
      <c r="B3723" s="406" t="s">
        <v>12454</v>
      </c>
      <c r="C3723" s="395" t="s">
        <v>2021</v>
      </c>
      <c r="D3723" s="407">
        <f t="shared" si="116"/>
        <v>72.66</v>
      </c>
      <c r="F3723" s="680">
        <v>72.66</v>
      </c>
      <c r="G3723" s="680">
        <v>72.66</v>
      </c>
      <c r="H3723" t="b">
        <f t="shared" si="117"/>
        <v>1</v>
      </c>
    </row>
    <row r="3724" spans="1:8">
      <c r="A3724" s="396">
        <v>1086</v>
      </c>
      <c r="B3724" s="401" t="s">
        <v>12455</v>
      </c>
      <c r="C3724" s="396" t="s">
        <v>2021</v>
      </c>
      <c r="D3724" s="405">
        <f t="shared" si="116"/>
        <v>38.340000000000003</v>
      </c>
      <c r="F3724" s="679">
        <v>38.340000000000003</v>
      </c>
      <c r="G3724" s="679">
        <v>38.340000000000003</v>
      </c>
      <c r="H3724" t="b">
        <f t="shared" si="117"/>
        <v>1</v>
      </c>
    </row>
    <row r="3725" spans="1:8">
      <c r="A3725" s="395">
        <v>1079</v>
      </c>
      <c r="B3725" s="406" t="s">
        <v>12456</v>
      </c>
      <c r="C3725" s="395" t="s">
        <v>2021</v>
      </c>
      <c r="D3725" s="407">
        <f t="shared" si="116"/>
        <v>39.64</v>
      </c>
      <c r="F3725" s="680">
        <v>39.64</v>
      </c>
      <c r="G3725" s="680">
        <v>39.64</v>
      </c>
      <c r="H3725" t="b">
        <f t="shared" si="117"/>
        <v>1</v>
      </c>
    </row>
    <row r="3726" spans="1:8">
      <c r="A3726" s="396">
        <v>39374</v>
      </c>
      <c r="B3726" s="401" t="s">
        <v>12457</v>
      </c>
      <c r="C3726" s="396" t="s">
        <v>2021</v>
      </c>
      <c r="D3726" s="405">
        <f t="shared" si="116"/>
        <v>159.91</v>
      </c>
      <c r="F3726" s="679">
        <v>159.91</v>
      </c>
      <c r="G3726" s="679">
        <v>159.91</v>
      </c>
      <c r="H3726" t="b">
        <f t="shared" si="117"/>
        <v>1</v>
      </c>
    </row>
    <row r="3727" spans="1:8">
      <c r="A3727" s="395">
        <v>1082</v>
      </c>
      <c r="B3727" s="406" t="s">
        <v>12458</v>
      </c>
      <c r="C3727" s="395" t="s">
        <v>2021</v>
      </c>
      <c r="D3727" s="407">
        <f t="shared" si="116"/>
        <v>249.2</v>
      </c>
      <c r="F3727" s="680">
        <v>249.2</v>
      </c>
      <c r="G3727" s="680">
        <v>249.2</v>
      </c>
      <c r="H3727" t="b">
        <f t="shared" si="117"/>
        <v>1</v>
      </c>
    </row>
    <row r="3728" spans="1:8">
      <c r="A3728" s="396">
        <v>12316</v>
      </c>
      <c r="B3728" s="401" t="s">
        <v>12459</v>
      </c>
      <c r="C3728" s="396" t="s">
        <v>2021</v>
      </c>
      <c r="D3728" s="405">
        <f t="shared" si="116"/>
        <v>114.21</v>
      </c>
      <c r="F3728" s="679">
        <v>114.21</v>
      </c>
      <c r="G3728" s="679">
        <v>114.21</v>
      </c>
      <c r="H3728" t="b">
        <f t="shared" si="117"/>
        <v>1</v>
      </c>
    </row>
    <row r="3729" spans="1:8">
      <c r="A3729" s="395">
        <v>12317</v>
      </c>
      <c r="B3729" s="406" t="s">
        <v>12460</v>
      </c>
      <c r="C3729" s="395" t="s">
        <v>2021</v>
      </c>
      <c r="D3729" s="407">
        <f t="shared" si="116"/>
        <v>136.19999999999999</v>
      </c>
      <c r="F3729" s="680">
        <v>136.19999999999999</v>
      </c>
      <c r="G3729" s="680">
        <v>136.19999999999999</v>
      </c>
      <c r="H3729" t="b">
        <f t="shared" si="117"/>
        <v>1</v>
      </c>
    </row>
    <row r="3730" spans="1:8">
      <c r="A3730" s="396">
        <v>12318</v>
      </c>
      <c r="B3730" s="401" t="s">
        <v>12461</v>
      </c>
      <c r="C3730" s="396" t="s">
        <v>2021</v>
      </c>
      <c r="D3730" s="405">
        <f t="shared" si="116"/>
        <v>156.91</v>
      </c>
      <c r="F3730" s="679">
        <v>156.91</v>
      </c>
      <c r="G3730" s="679">
        <v>156.91</v>
      </c>
      <c r="H3730" t="b">
        <f t="shared" si="117"/>
        <v>1</v>
      </c>
    </row>
    <row r="3731" spans="1:8">
      <c r="A3731" s="395">
        <v>5104</v>
      </c>
      <c r="B3731" s="406" t="s">
        <v>12462</v>
      </c>
      <c r="C3731" s="395" t="s">
        <v>2025</v>
      </c>
      <c r="D3731" s="407">
        <f t="shared" si="116"/>
        <v>68.94</v>
      </c>
      <c r="F3731" s="680">
        <v>68.94</v>
      </c>
      <c r="G3731" s="680">
        <v>68.94</v>
      </c>
      <c r="H3731" t="b">
        <f t="shared" si="117"/>
        <v>1</v>
      </c>
    </row>
    <row r="3732" spans="1:8">
      <c r="A3732" s="396">
        <v>44530</v>
      </c>
      <c r="B3732" s="401" t="s">
        <v>12463</v>
      </c>
      <c r="C3732" s="396" t="s">
        <v>2021</v>
      </c>
      <c r="D3732" s="405">
        <f t="shared" si="116"/>
        <v>94.31</v>
      </c>
      <c r="F3732" s="679">
        <v>94.31</v>
      </c>
      <c r="G3732" s="679">
        <v>94.31</v>
      </c>
      <c r="H3732" t="b">
        <f t="shared" si="117"/>
        <v>1</v>
      </c>
    </row>
    <row r="3733" spans="1:8">
      <c r="A3733" s="395">
        <v>2710</v>
      </c>
      <c r="B3733" s="406" t="s">
        <v>12464</v>
      </c>
      <c r="C3733" s="395" t="s">
        <v>2021</v>
      </c>
      <c r="D3733" s="407">
        <f t="shared" si="116"/>
        <v>75.319999999999993</v>
      </c>
      <c r="F3733" s="680">
        <v>75.319999999999993</v>
      </c>
      <c r="G3733" s="680">
        <v>75.319999999999993</v>
      </c>
      <c r="H3733" t="b">
        <f t="shared" si="117"/>
        <v>1</v>
      </c>
    </row>
    <row r="3734" spans="1:8">
      <c r="A3734" s="396">
        <v>14575</v>
      </c>
      <c r="B3734" s="401" t="s">
        <v>12465</v>
      </c>
      <c r="C3734" s="396" t="s">
        <v>2021</v>
      </c>
      <c r="D3734" s="405">
        <f t="shared" si="116"/>
        <v>5982591.8200000003</v>
      </c>
      <c r="F3734" s="679">
        <v>5982591.8200000003</v>
      </c>
      <c r="G3734" s="679">
        <v>5982591.8200000003</v>
      </c>
      <c r="H3734" t="b">
        <f t="shared" si="117"/>
        <v>1</v>
      </c>
    </row>
    <row r="3735" spans="1:8">
      <c r="A3735" s="395">
        <v>20043</v>
      </c>
      <c r="B3735" s="406" t="s">
        <v>12466</v>
      </c>
      <c r="C3735" s="395" t="s">
        <v>2021</v>
      </c>
      <c r="D3735" s="407">
        <f t="shared" si="116"/>
        <v>11.03</v>
      </c>
      <c r="F3735" s="680">
        <v>11.03</v>
      </c>
      <c r="G3735" s="680">
        <v>11.03</v>
      </c>
      <c r="H3735" t="b">
        <f t="shared" si="117"/>
        <v>1</v>
      </c>
    </row>
    <row r="3736" spans="1:8">
      <c r="A3736" s="396">
        <v>20044</v>
      </c>
      <c r="B3736" s="401" t="s">
        <v>12467</v>
      </c>
      <c r="C3736" s="396" t="s">
        <v>2021</v>
      </c>
      <c r="D3736" s="405">
        <f t="shared" si="116"/>
        <v>12.79</v>
      </c>
      <c r="F3736" s="679">
        <v>12.79</v>
      </c>
      <c r="G3736" s="679">
        <v>12.79</v>
      </c>
      <c r="H3736" t="b">
        <f t="shared" si="117"/>
        <v>1</v>
      </c>
    </row>
    <row r="3737" spans="1:8">
      <c r="A3737" s="395">
        <v>20042</v>
      </c>
      <c r="B3737" s="406" t="s">
        <v>12468</v>
      </c>
      <c r="C3737" s="395" t="s">
        <v>2021</v>
      </c>
      <c r="D3737" s="407">
        <f t="shared" si="116"/>
        <v>9.57</v>
      </c>
      <c r="F3737" s="680">
        <v>9.57</v>
      </c>
      <c r="G3737" s="680">
        <v>9.57</v>
      </c>
      <c r="H3737" t="b">
        <f t="shared" si="117"/>
        <v>1</v>
      </c>
    </row>
    <row r="3738" spans="1:8">
      <c r="A3738" s="396">
        <v>20046</v>
      </c>
      <c r="B3738" s="401" t="s">
        <v>12469</v>
      </c>
      <c r="C3738" s="396" t="s">
        <v>2021</v>
      </c>
      <c r="D3738" s="405">
        <f t="shared" si="116"/>
        <v>22.65</v>
      </c>
      <c r="F3738" s="679">
        <v>22.65</v>
      </c>
      <c r="G3738" s="679">
        <v>22.65</v>
      </c>
      <c r="H3738" t="b">
        <f t="shared" si="117"/>
        <v>1</v>
      </c>
    </row>
    <row r="3739" spans="1:8">
      <c r="A3739" s="395">
        <v>20047</v>
      </c>
      <c r="B3739" s="406" t="s">
        <v>12470</v>
      </c>
      <c r="C3739" s="395" t="s">
        <v>2021</v>
      </c>
      <c r="D3739" s="407">
        <f t="shared" si="116"/>
        <v>67.92</v>
      </c>
      <c r="F3739" s="680">
        <v>67.92</v>
      </c>
      <c r="G3739" s="680">
        <v>67.92</v>
      </c>
      <c r="H3739" t="b">
        <f t="shared" si="117"/>
        <v>1</v>
      </c>
    </row>
    <row r="3740" spans="1:8">
      <c r="A3740" s="396">
        <v>20045</v>
      </c>
      <c r="B3740" s="401" t="s">
        <v>12471</v>
      </c>
      <c r="C3740" s="396" t="s">
        <v>2021</v>
      </c>
      <c r="D3740" s="405">
        <f t="shared" si="116"/>
        <v>11.46</v>
      </c>
      <c r="F3740" s="679">
        <v>11.46</v>
      </c>
      <c r="G3740" s="679">
        <v>11.46</v>
      </c>
      <c r="H3740" t="b">
        <f t="shared" si="117"/>
        <v>1</v>
      </c>
    </row>
    <row r="3741" spans="1:8">
      <c r="A3741" s="395">
        <v>20972</v>
      </c>
      <c r="B3741" s="406" t="s">
        <v>12472</v>
      </c>
      <c r="C3741" s="395" t="s">
        <v>2021</v>
      </c>
      <c r="D3741" s="407">
        <f t="shared" si="116"/>
        <v>128.57</v>
      </c>
      <c r="F3741" s="680">
        <v>128.57</v>
      </c>
      <c r="G3741" s="680">
        <v>128.57</v>
      </c>
      <c r="H3741" t="b">
        <f t="shared" si="117"/>
        <v>1</v>
      </c>
    </row>
    <row r="3742" spans="1:8">
      <c r="A3742" s="396">
        <v>11321</v>
      </c>
      <c r="B3742" s="401" t="s">
        <v>12473</v>
      </c>
      <c r="C3742" s="396" t="s">
        <v>2021</v>
      </c>
      <c r="D3742" s="405">
        <f t="shared" si="116"/>
        <v>31.09</v>
      </c>
      <c r="F3742" s="679">
        <v>31.09</v>
      </c>
      <c r="G3742" s="679">
        <v>31.09</v>
      </c>
      <c r="H3742" t="b">
        <f t="shared" si="117"/>
        <v>1</v>
      </c>
    </row>
    <row r="3743" spans="1:8">
      <c r="A3743" s="395">
        <v>11323</v>
      </c>
      <c r="B3743" s="406" t="s">
        <v>12474</v>
      </c>
      <c r="C3743" s="395" t="s">
        <v>2021</v>
      </c>
      <c r="D3743" s="407">
        <f t="shared" si="116"/>
        <v>35.76</v>
      </c>
      <c r="F3743" s="680">
        <v>35.76</v>
      </c>
      <c r="G3743" s="680">
        <v>35.76</v>
      </c>
      <c r="H3743" t="b">
        <f t="shared" si="117"/>
        <v>1</v>
      </c>
    </row>
    <row r="3744" spans="1:8">
      <c r="A3744" s="396">
        <v>20327</v>
      </c>
      <c r="B3744" s="401" t="s">
        <v>12475</v>
      </c>
      <c r="C3744" s="396" t="s">
        <v>2021</v>
      </c>
      <c r="D3744" s="405">
        <f t="shared" si="116"/>
        <v>20.29</v>
      </c>
      <c r="F3744" s="679">
        <v>20.29</v>
      </c>
      <c r="G3744" s="679">
        <v>20.29</v>
      </c>
      <c r="H3744" t="b">
        <f t="shared" si="117"/>
        <v>1</v>
      </c>
    </row>
    <row r="3745" spans="1:8" ht="30">
      <c r="A3745" s="395">
        <v>13390</v>
      </c>
      <c r="B3745" s="406" t="s">
        <v>12476</v>
      </c>
      <c r="C3745" s="395" t="s">
        <v>2021</v>
      </c>
      <c r="D3745" s="407">
        <f t="shared" si="116"/>
        <v>144.13999999999999</v>
      </c>
      <c r="F3745" s="680">
        <v>144.13999999999999</v>
      </c>
      <c r="G3745" s="680">
        <v>144.13999999999999</v>
      </c>
      <c r="H3745" t="b">
        <f t="shared" si="117"/>
        <v>1</v>
      </c>
    </row>
    <row r="3746" spans="1:8">
      <c r="A3746" s="396">
        <v>6034</v>
      </c>
      <c r="B3746" s="401" t="s">
        <v>12477</v>
      </c>
      <c r="C3746" s="396" t="s">
        <v>2021</v>
      </c>
      <c r="D3746" s="405">
        <f t="shared" si="116"/>
        <v>10.59</v>
      </c>
      <c r="F3746" s="679">
        <v>10.59</v>
      </c>
      <c r="G3746" s="679">
        <v>10.59</v>
      </c>
      <c r="H3746" t="b">
        <f t="shared" si="117"/>
        <v>1</v>
      </c>
    </row>
    <row r="3747" spans="1:8">
      <c r="A3747" s="395">
        <v>6036</v>
      </c>
      <c r="B3747" s="406" t="s">
        <v>12478</v>
      </c>
      <c r="C3747" s="395" t="s">
        <v>2021</v>
      </c>
      <c r="D3747" s="407">
        <f t="shared" si="116"/>
        <v>14.42</v>
      </c>
      <c r="F3747" s="680">
        <v>14.42</v>
      </c>
      <c r="G3747" s="680">
        <v>14.42</v>
      </c>
      <c r="H3747" t="b">
        <f t="shared" si="117"/>
        <v>1</v>
      </c>
    </row>
    <row r="3748" spans="1:8">
      <c r="A3748" s="396">
        <v>6031</v>
      </c>
      <c r="B3748" s="401" t="s">
        <v>12479</v>
      </c>
      <c r="C3748" s="396" t="s">
        <v>2021</v>
      </c>
      <c r="D3748" s="405">
        <f t="shared" si="116"/>
        <v>16.95</v>
      </c>
      <c r="F3748" s="679">
        <v>16.95</v>
      </c>
      <c r="G3748" s="679">
        <v>16.95</v>
      </c>
      <c r="H3748" t="b">
        <f t="shared" si="117"/>
        <v>1</v>
      </c>
    </row>
    <row r="3749" spans="1:8">
      <c r="A3749" s="395">
        <v>6029</v>
      </c>
      <c r="B3749" s="406" t="s">
        <v>12480</v>
      </c>
      <c r="C3749" s="395" t="s">
        <v>2021</v>
      </c>
      <c r="D3749" s="407">
        <f t="shared" si="116"/>
        <v>17.13</v>
      </c>
      <c r="F3749" s="680">
        <v>17.13</v>
      </c>
      <c r="G3749" s="680">
        <v>17.13</v>
      </c>
      <c r="H3749" t="b">
        <f t="shared" si="117"/>
        <v>1</v>
      </c>
    </row>
    <row r="3750" spans="1:8">
      <c r="A3750" s="396">
        <v>6033</v>
      </c>
      <c r="B3750" s="401" t="s">
        <v>12481</v>
      </c>
      <c r="C3750" s="396" t="s">
        <v>2021</v>
      </c>
      <c r="D3750" s="405">
        <f t="shared" si="116"/>
        <v>22.57</v>
      </c>
      <c r="F3750" s="679">
        <v>22.57</v>
      </c>
      <c r="G3750" s="679">
        <v>22.57</v>
      </c>
      <c r="H3750" t="b">
        <f t="shared" si="117"/>
        <v>1</v>
      </c>
    </row>
    <row r="3751" spans="1:8">
      <c r="A3751" s="395">
        <v>11672</v>
      </c>
      <c r="B3751" s="406" t="s">
        <v>12482</v>
      </c>
      <c r="C3751" s="395" t="s">
        <v>2021</v>
      </c>
      <c r="D3751" s="407">
        <f t="shared" si="116"/>
        <v>49.11</v>
      </c>
      <c r="F3751" s="680">
        <v>49.11</v>
      </c>
      <c r="G3751" s="680">
        <v>49.11</v>
      </c>
      <c r="H3751" t="b">
        <f t="shared" si="117"/>
        <v>1</v>
      </c>
    </row>
    <row r="3752" spans="1:8">
      <c r="A3752" s="396">
        <v>11669</v>
      </c>
      <c r="B3752" s="401" t="s">
        <v>12483</v>
      </c>
      <c r="C3752" s="396" t="s">
        <v>2021</v>
      </c>
      <c r="D3752" s="405">
        <f t="shared" si="116"/>
        <v>46.77</v>
      </c>
      <c r="F3752" s="679">
        <v>46.77</v>
      </c>
      <c r="G3752" s="679">
        <v>46.77</v>
      </c>
      <c r="H3752" t="b">
        <f t="shared" si="117"/>
        <v>1</v>
      </c>
    </row>
    <row r="3753" spans="1:8">
      <c r="A3753" s="395">
        <v>11670</v>
      </c>
      <c r="B3753" s="406" t="s">
        <v>12484</v>
      </c>
      <c r="C3753" s="395" t="s">
        <v>2021</v>
      </c>
      <c r="D3753" s="407">
        <f t="shared" si="116"/>
        <v>17.91</v>
      </c>
      <c r="F3753" s="680">
        <v>17.91</v>
      </c>
      <c r="G3753" s="680">
        <v>17.91</v>
      </c>
      <c r="H3753" t="b">
        <f t="shared" si="117"/>
        <v>1</v>
      </c>
    </row>
    <row r="3754" spans="1:8">
      <c r="A3754" s="396">
        <v>20055</v>
      </c>
      <c r="B3754" s="401" t="s">
        <v>12485</v>
      </c>
      <c r="C3754" s="396" t="s">
        <v>2021</v>
      </c>
      <c r="D3754" s="405">
        <f t="shared" si="116"/>
        <v>35.03</v>
      </c>
      <c r="F3754" s="679">
        <v>35.03</v>
      </c>
      <c r="G3754" s="679">
        <v>35.03</v>
      </c>
      <c r="H3754" t="b">
        <f t="shared" si="117"/>
        <v>1</v>
      </c>
    </row>
    <row r="3755" spans="1:8">
      <c r="A3755" s="395">
        <v>11671</v>
      </c>
      <c r="B3755" s="406" t="s">
        <v>12486</v>
      </c>
      <c r="C3755" s="395" t="s">
        <v>2021</v>
      </c>
      <c r="D3755" s="407">
        <f t="shared" si="116"/>
        <v>75.16</v>
      </c>
      <c r="F3755" s="680">
        <v>75.16</v>
      </c>
      <c r="G3755" s="680">
        <v>75.16</v>
      </c>
      <c r="H3755" t="b">
        <f t="shared" si="117"/>
        <v>1</v>
      </c>
    </row>
    <row r="3756" spans="1:8">
      <c r="A3756" s="396">
        <v>6032</v>
      </c>
      <c r="B3756" s="401" t="s">
        <v>12487</v>
      </c>
      <c r="C3756" s="396" t="s">
        <v>2021</v>
      </c>
      <c r="D3756" s="405">
        <f t="shared" si="116"/>
        <v>21.47</v>
      </c>
      <c r="F3756" s="679">
        <v>21.47</v>
      </c>
      <c r="G3756" s="679">
        <v>21.47</v>
      </c>
      <c r="H3756" t="b">
        <f t="shared" si="117"/>
        <v>1</v>
      </c>
    </row>
    <row r="3757" spans="1:8">
      <c r="A3757" s="395">
        <v>11673</v>
      </c>
      <c r="B3757" s="406" t="s">
        <v>12488</v>
      </c>
      <c r="C3757" s="395" t="s">
        <v>2021</v>
      </c>
      <c r="D3757" s="407">
        <f t="shared" si="116"/>
        <v>16.899999999999999</v>
      </c>
      <c r="F3757" s="680">
        <v>16.899999999999999</v>
      </c>
      <c r="G3757" s="680">
        <v>16.899999999999999</v>
      </c>
      <c r="H3757" t="b">
        <f t="shared" si="117"/>
        <v>1</v>
      </c>
    </row>
    <row r="3758" spans="1:8">
      <c r="A3758" s="396">
        <v>11674</v>
      </c>
      <c r="B3758" s="401" t="s">
        <v>12489</v>
      </c>
      <c r="C3758" s="396" t="s">
        <v>2021</v>
      </c>
      <c r="D3758" s="405">
        <f t="shared" si="116"/>
        <v>21.77</v>
      </c>
      <c r="F3758" s="679">
        <v>21.77</v>
      </c>
      <c r="G3758" s="679">
        <v>21.77</v>
      </c>
      <c r="H3758" t="b">
        <f t="shared" si="117"/>
        <v>1</v>
      </c>
    </row>
    <row r="3759" spans="1:8">
      <c r="A3759" s="395">
        <v>11675</v>
      </c>
      <c r="B3759" s="406" t="s">
        <v>12490</v>
      </c>
      <c r="C3759" s="395" t="s">
        <v>2021</v>
      </c>
      <c r="D3759" s="407">
        <f t="shared" si="116"/>
        <v>34.56</v>
      </c>
      <c r="F3759" s="680">
        <v>34.56</v>
      </c>
      <c r="G3759" s="680">
        <v>34.56</v>
      </c>
      <c r="H3759" t="b">
        <f t="shared" si="117"/>
        <v>1</v>
      </c>
    </row>
    <row r="3760" spans="1:8">
      <c r="A3760" s="396">
        <v>11676</v>
      </c>
      <c r="B3760" s="401" t="s">
        <v>12491</v>
      </c>
      <c r="C3760" s="396" t="s">
        <v>2021</v>
      </c>
      <c r="D3760" s="405">
        <f t="shared" si="116"/>
        <v>46.22</v>
      </c>
      <c r="F3760" s="679">
        <v>46.22</v>
      </c>
      <c r="G3760" s="679">
        <v>46.22</v>
      </c>
      <c r="H3760" t="b">
        <f t="shared" si="117"/>
        <v>1</v>
      </c>
    </row>
    <row r="3761" spans="1:8">
      <c r="A3761" s="395">
        <v>11677</v>
      </c>
      <c r="B3761" s="406" t="s">
        <v>12492</v>
      </c>
      <c r="C3761" s="395" t="s">
        <v>2021</v>
      </c>
      <c r="D3761" s="407">
        <f t="shared" si="116"/>
        <v>47.74</v>
      </c>
      <c r="F3761" s="680">
        <v>47.74</v>
      </c>
      <c r="G3761" s="680">
        <v>47.74</v>
      </c>
      <c r="H3761" t="b">
        <f t="shared" si="117"/>
        <v>1</v>
      </c>
    </row>
    <row r="3762" spans="1:8">
      <c r="A3762" s="396">
        <v>11678</v>
      </c>
      <c r="B3762" s="401" t="s">
        <v>12493</v>
      </c>
      <c r="C3762" s="396" t="s">
        <v>2021</v>
      </c>
      <c r="D3762" s="405">
        <f t="shared" si="116"/>
        <v>87.43</v>
      </c>
      <c r="F3762" s="679">
        <v>87.43</v>
      </c>
      <c r="G3762" s="679">
        <v>87.43</v>
      </c>
      <c r="H3762" t="b">
        <f t="shared" si="117"/>
        <v>1</v>
      </c>
    </row>
    <row r="3763" spans="1:8">
      <c r="A3763" s="395">
        <v>6038</v>
      </c>
      <c r="B3763" s="406" t="s">
        <v>12494</v>
      </c>
      <c r="C3763" s="395" t="s">
        <v>2021</v>
      </c>
      <c r="D3763" s="407">
        <f t="shared" si="116"/>
        <v>5.54</v>
      </c>
      <c r="F3763" s="680">
        <v>5.54</v>
      </c>
      <c r="G3763" s="680">
        <v>5.54</v>
      </c>
      <c r="H3763" t="b">
        <f t="shared" si="117"/>
        <v>1</v>
      </c>
    </row>
    <row r="3764" spans="1:8">
      <c r="A3764" s="396">
        <v>11718</v>
      </c>
      <c r="B3764" s="401" t="s">
        <v>12495</v>
      </c>
      <c r="C3764" s="396" t="s">
        <v>2021</v>
      </c>
      <c r="D3764" s="405">
        <f t="shared" si="116"/>
        <v>15.81</v>
      </c>
      <c r="F3764" s="679">
        <v>15.81</v>
      </c>
      <c r="G3764" s="679">
        <v>15.81</v>
      </c>
      <c r="H3764" t="b">
        <f t="shared" si="117"/>
        <v>1</v>
      </c>
    </row>
    <row r="3765" spans="1:8">
      <c r="A3765" s="395">
        <v>6037</v>
      </c>
      <c r="B3765" s="406" t="s">
        <v>12496</v>
      </c>
      <c r="C3765" s="395" t="s">
        <v>2021</v>
      </c>
      <c r="D3765" s="407">
        <f t="shared" si="116"/>
        <v>11.54</v>
      </c>
      <c r="F3765" s="680">
        <v>11.54</v>
      </c>
      <c r="G3765" s="680">
        <v>11.54</v>
      </c>
      <c r="H3765" t="b">
        <f t="shared" si="117"/>
        <v>1</v>
      </c>
    </row>
    <row r="3766" spans="1:8">
      <c r="A3766" s="396">
        <v>11719</v>
      </c>
      <c r="B3766" s="401" t="s">
        <v>12497</v>
      </c>
      <c r="C3766" s="396" t="s">
        <v>2021</v>
      </c>
      <c r="D3766" s="405">
        <f t="shared" si="116"/>
        <v>12.83</v>
      </c>
      <c r="F3766" s="679">
        <v>12.83</v>
      </c>
      <c r="G3766" s="679">
        <v>12.83</v>
      </c>
      <c r="H3766" t="b">
        <f t="shared" si="117"/>
        <v>1</v>
      </c>
    </row>
    <row r="3767" spans="1:8">
      <c r="A3767" s="395">
        <v>6019</v>
      </c>
      <c r="B3767" s="406" t="s">
        <v>12498</v>
      </c>
      <c r="C3767" s="395" t="s">
        <v>2021</v>
      </c>
      <c r="D3767" s="407">
        <f t="shared" si="116"/>
        <v>38.65</v>
      </c>
      <c r="F3767" s="680">
        <v>38.65</v>
      </c>
      <c r="G3767" s="680">
        <v>38.65</v>
      </c>
      <c r="H3767" t="b">
        <f t="shared" si="117"/>
        <v>1</v>
      </c>
    </row>
    <row r="3768" spans="1:8">
      <c r="A3768" s="396">
        <v>6010</v>
      </c>
      <c r="B3768" s="401" t="s">
        <v>12499</v>
      </c>
      <c r="C3768" s="396" t="s">
        <v>2021</v>
      </c>
      <c r="D3768" s="405">
        <f t="shared" si="116"/>
        <v>66.5</v>
      </c>
      <c r="F3768" s="679">
        <v>66.5</v>
      </c>
      <c r="G3768" s="679">
        <v>66.5</v>
      </c>
      <c r="H3768" t="b">
        <f t="shared" si="117"/>
        <v>1</v>
      </c>
    </row>
    <row r="3769" spans="1:8">
      <c r="A3769" s="395">
        <v>6017</v>
      </c>
      <c r="B3769" s="406" t="s">
        <v>12500</v>
      </c>
      <c r="C3769" s="395" t="s">
        <v>2021</v>
      </c>
      <c r="D3769" s="407">
        <f t="shared" si="116"/>
        <v>52.68</v>
      </c>
      <c r="F3769" s="680">
        <v>52.68</v>
      </c>
      <c r="G3769" s="680">
        <v>52.68</v>
      </c>
      <c r="H3769" t="b">
        <f t="shared" si="117"/>
        <v>1</v>
      </c>
    </row>
    <row r="3770" spans="1:8">
      <c r="A3770" s="396">
        <v>6020</v>
      </c>
      <c r="B3770" s="401" t="s">
        <v>12501</v>
      </c>
      <c r="C3770" s="396" t="s">
        <v>2021</v>
      </c>
      <c r="D3770" s="405">
        <f t="shared" si="116"/>
        <v>23.21</v>
      </c>
      <c r="F3770" s="679">
        <v>23.21</v>
      </c>
      <c r="G3770" s="679">
        <v>23.21</v>
      </c>
      <c r="H3770" t="b">
        <f t="shared" si="117"/>
        <v>1</v>
      </c>
    </row>
    <row r="3771" spans="1:8">
      <c r="A3771" s="395">
        <v>6028</v>
      </c>
      <c r="B3771" s="406" t="s">
        <v>12502</v>
      </c>
      <c r="C3771" s="395" t="s">
        <v>2021</v>
      </c>
      <c r="D3771" s="407">
        <f t="shared" si="116"/>
        <v>92.63</v>
      </c>
      <c r="F3771" s="680">
        <v>92.63</v>
      </c>
      <c r="G3771" s="680">
        <v>92.63</v>
      </c>
      <c r="H3771" t="b">
        <f t="shared" si="117"/>
        <v>1</v>
      </c>
    </row>
    <row r="3772" spans="1:8">
      <c r="A3772" s="396">
        <v>6011</v>
      </c>
      <c r="B3772" s="401" t="s">
        <v>12503</v>
      </c>
      <c r="C3772" s="396" t="s">
        <v>2021</v>
      </c>
      <c r="D3772" s="405">
        <f t="shared" si="116"/>
        <v>192.11</v>
      </c>
      <c r="F3772" s="679">
        <v>192.11</v>
      </c>
      <c r="G3772" s="679">
        <v>192.11</v>
      </c>
      <c r="H3772" t="b">
        <f t="shared" si="117"/>
        <v>1</v>
      </c>
    </row>
    <row r="3773" spans="1:8">
      <c r="A3773" s="395">
        <v>6012</v>
      </c>
      <c r="B3773" s="406" t="s">
        <v>12504</v>
      </c>
      <c r="C3773" s="395" t="s">
        <v>2021</v>
      </c>
      <c r="D3773" s="407">
        <f t="shared" si="116"/>
        <v>232.59</v>
      </c>
      <c r="F3773" s="680">
        <v>232.59</v>
      </c>
      <c r="G3773" s="680">
        <v>232.59</v>
      </c>
      <c r="H3773" t="b">
        <f t="shared" si="117"/>
        <v>1</v>
      </c>
    </row>
    <row r="3774" spans="1:8">
      <c r="A3774" s="396">
        <v>6016</v>
      </c>
      <c r="B3774" s="401" t="s">
        <v>12505</v>
      </c>
      <c r="C3774" s="396" t="s">
        <v>2021</v>
      </c>
      <c r="D3774" s="405">
        <f t="shared" si="116"/>
        <v>24.48</v>
      </c>
      <c r="F3774" s="679">
        <v>24.48</v>
      </c>
      <c r="G3774" s="679">
        <v>24.48</v>
      </c>
      <c r="H3774" t="b">
        <f t="shared" si="117"/>
        <v>1</v>
      </c>
    </row>
    <row r="3775" spans="1:8">
      <c r="A3775" s="395">
        <v>6027</v>
      </c>
      <c r="B3775" s="406" t="s">
        <v>12506</v>
      </c>
      <c r="C3775" s="395" t="s">
        <v>2021</v>
      </c>
      <c r="D3775" s="407">
        <f t="shared" si="116"/>
        <v>484.63</v>
      </c>
      <c r="F3775" s="680">
        <v>484.63</v>
      </c>
      <c r="G3775" s="680">
        <v>484.63</v>
      </c>
      <c r="H3775" t="b">
        <f t="shared" si="117"/>
        <v>1</v>
      </c>
    </row>
    <row r="3776" spans="1:8">
      <c r="A3776" s="396">
        <v>6013</v>
      </c>
      <c r="B3776" s="401" t="s">
        <v>12507</v>
      </c>
      <c r="C3776" s="396" t="s">
        <v>2021</v>
      </c>
      <c r="D3776" s="405">
        <f t="shared" si="116"/>
        <v>73.13</v>
      </c>
      <c r="F3776" s="679">
        <v>73.13</v>
      </c>
      <c r="G3776" s="679">
        <v>73.13</v>
      </c>
      <c r="H3776" t="b">
        <f t="shared" si="117"/>
        <v>1</v>
      </c>
    </row>
    <row r="3777" spans="1:8">
      <c r="A3777" s="395">
        <v>6015</v>
      </c>
      <c r="B3777" s="406" t="s">
        <v>12508</v>
      </c>
      <c r="C3777" s="395" t="s">
        <v>2021</v>
      </c>
      <c r="D3777" s="407">
        <f t="shared" si="116"/>
        <v>106.34</v>
      </c>
      <c r="F3777" s="680">
        <v>106.34</v>
      </c>
      <c r="G3777" s="680">
        <v>106.34</v>
      </c>
      <c r="H3777" t="b">
        <f t="shared" si="117"/>
        <v>1</v>
      </c>
    </row>
    <row r="3778" spans="1:8">
      <c r="A3778" s="396">
        <v>6014</v>
      </c>
      <c r="B3778" s="401" t="s">
        <v>12509</v>
      </c>
      <c r="C3778" s="396" t="s">
        <v>2021</v>
      </c>
      <c r="D3778" s="405">
        <f t="shared" si="116"/>
        <v>101.67</v>
      </c>
      <c r="F3778" s="679">
        <v>101.67</v>
      </c>
      <c r="G3778" s="679">
        <v>101.67</v>
      </c>
      <c r="H3778" t="b">
        <f t="shared" si="117"/>
        <v>1</v>
      </c>
    </row>
    <row r="3779" spans="1:8">
      <c r="A3779" s="395">
        <v>6006</v>
      </c>
      <c r="B3779" s="406" t="s">
        <v>12510</v>
      </c>
      <c r="C3779" s="395" t="s">
        <v>2021</v>
      </c>
      <c r="D3779" s="407">
        <f t="shared" ref="D3779:D3842" si="118">IF($J$2=$F$1,F3779,G3779)</f>
        <v>52.95</v>
      </c>
      <c r="F3779" s="680">
        <v>52.95</v>
      </c>
      <c r="G3779" s="680">
        <v>52.95</v>
      </c>
      <c r="H3779" t="b">
        <f t="shared" ref="H3779:H3842" si="119">F3779=G3779</f>
        <v>1</v>
      </c>
    </row>
    <row r="3780" spans="1:8">
      <c r="A3780" s="396">
        <v>6005</v>
      </c>
      <c r="B3780" s="401" t="s">
        <v>12511</v>
      </c>
      <c r="C3780" s="396" t="s">
        <v>2021</v>
      </c>
      <c r="D3780" s="405">
        <f t="shared" si="118"/>
        <v>59.74</v>
      </c>
      <c r="F3780" s="679">
        <v>59.74</v>
      </c>
      <c r="G3780" s="679">
        <v>59.74</v>
      </c>
      <c r="H3780" t="b">
        <f t="shared" si="119"/>
        <v>1</v>
      </c>
    </row>
    <row r="3781" spans="1:8">
      <c r="A3781" s="395">
        <v>11756</v>
      </c>
      <c r="B3781" s="406" t="s">
        <v>12512</v>
      </c>
      <c r="C3781" s="395" t="s">
        <v>2021</v>
      </c>
      <c r="D3781" s="407">
        <f t="shared" si="118"/>
        <v>28.53</v>
      </c>
      <c r="F3781" s="680">
        <v>28.53</v>
      </c>
      <c r="G3781" s="680">
        <v>28.53</v>
      </c>
      <c r="H3781" t="b">
        <f t="shared" si="119"/>
        <v>1</v>
      </c>
    </row>
    <row r="3782" spans="1:8" ht="30">
      <c r="A3782" s="396">
        <v>10904</v>
      </c>
      <c r="B3782" s="401" t="s">
        <v>12513</v>
      </c>
      <c r="C3782" s="396" t="s">
        <v>2021</v>
      </c>
      <c r="D3782" s="405">
        <f t="shared" si="118"/>
        <v>180</v>
      </c>
      <c r="F3782" s="679">
        <v>180</v>
      </c>
      <c r="G3782" s="679">
        <v>180</v>
      </c>
      <c r="H3782" t="b">
        <f t="shared" si="119"/>
        <v>1</v>
      </c>
    </row>
    <row r="3783" spans="1:8">
      <c r="A3783" s="395">
        <v>11752</v>
      </c>
      <c r="B3783" s="406" t="s">
        <v>12514</v>
      </c>
      <c r="C3783" s="395" t="s">
        <v>2021</v>
      </c>
      <c r="D3783" s="407">
        <f t="shared" si="118"/>
        <v>16.45</v>
      </c>
      <c r="F3783" s="680">
        <v>16.45</v>
      </c>
      <c r="G3783" s="680">
        <v>16.45</v>
      </c>
      <c r="H3783" t="b">
        <f t="shared" si="119"/>
        <v>1</v>
      </c>
    </row>
    <row r="3784" spans="1:8">
      <c r="A3784" s="396">
        <v>11753</v>
      </c>
      <c r="B3784" s="401" t="s">
        <v>12515</v>
      </c>
      <c r="C3784" s="396" t="s">
        <v>2021</v>
      </c>
      <c r="D3784" s="405">
        <f t="shared" si="118"/>
        <v>19.64</v>
      </c>
      <c r="F3784" s="679">
        <v>19.64</v>
      </c>
      <c r="G3784" s="679">
        <v>19.64</v>
      </c>
      <c r="H3784" t="b">
        <f t="shared" si="119"/>
        <v>1</v>
      </c>
    </row>
    <row r="3785" spans="1:8">
      <c r="A3785" s="395">
        <v>6021</v>
      </c>
      <c r="B3785" s="406" t="s">
        <v>12516</v>
      </c>
      <c r="C3785" s="395" t="s">
        <v>2021</v>
      </c>
      <c r="D3785" s="407">
        <f t="shared" si="118"/>
        <v>54.51</v>
      </c>
      <c r="F3785" s="680">
        <v>54.51</v>
      </c>
      <c r="G3785" s="680">
        <v>54.51</v>
      </c>
      <c r="H3785" t="b">
        <f t="shared" si="119"/>
        <v>1</v>
      </c>
    </row>
    <row r="3786" spans="1:8">
      <c r="A3786" s="396">
        <v>6024</v>
      </c>
      <c r="B3786" s="401" t="s">
        <v>12517</v>
      </c>
      <c r="C3786" s="396" t="s">
        <v>2021</v>
      </c>
      <c r="D3786" s="405">
        <f t="shared" si="118"/>
        <v>56.34</v>
      </c>
      <c r="F3786" s="679">
        <v>56.34</v>
      </c>
      <c r="G3786" s="679">
        <v>56.34</v>
      </c>
      <c r="H3786" t="b">
        <f t="shared" si="119"/>
        <v>1</v>
      </c>
    </row>
    <row r="3787" spans="1:8">
      <c r="A3787" s="395">
        <v>38379</v>
      </c>
      <c r="B3787" s="406" t="s">
        <v>12518</v>
      </c>
      <c r="C3787" s="395" t="s">
        <v>2024</v>
      </c>
      <c r="D3787" s="407">
        <f t="shared" si="118"/>
        <v>66.03</v>
      </c>
      <c r="F3787" s="680">
        <v>66.03</v>
      </c>
      <c r="G3787" s="680">
        <v>66.03</v>
      </c>
      <c r="H3787" t="b">
        <f t="shared" si="119"/>
        <v>1</v>
      </c>
    </row>
    <row r="3788" spans="1:8">
      <c r="A3788" s="396">
        <v>13897</v>
      </c>
      <c r="B3788" s="401" t="s">
        <v>12519</v>
      </c>
      <c r="C3788" s="396" t="s">
        <v>2021</v>
      </c>
      <c r="D3788" s="405">
        <f t="shared" si="118"/>
        <v>7016.57</v>
      </c>
      <c r="F3788" s="679">
        <v>7016.57</v>
      </c>
      <c r="G3788" s="679">
        <v>7016.57</v>
      </c>
      <c r="H3788" t="b">
        <f t="shared" si="119"/>
        <v>1</v>
      </c>
    </row>
    <row r="3789" spans="1:8">
      <c r="A3789" s="395">
        <v>10640</v>
      </c>
      <c r="B3789" s="406" t="s">
        <v>12520</v>
      </c>
      <c r="C3789" s="395" t="s">
        <v>2021</v>
      </c>
      <c r="D3789" s="407">
        <f t="shared" si="118"/>
        <v>15196.43</v>
      </c>
      <c r="F3789" s="680">
        <v>15196.43</v>
      </c>
      <c r="G3789" s="680">
        <v>15196.43</v>
      </c>
      <c r="H3789" t="b">
        <f t="shared" si="119"/>
        <v>1</v>
      </c>
    </row>
    <row r="3790" spans="1:8">
      <c r="A3790" s="396">
        <v>34357</v>
      </c>
      <c r="B3790" s="401" t="s">
        <v>12521</v>
      </c>
      <c r="C3790" s="396" t="s">
        <v>2025</v>
      </c>
      <c r="D3790" s="405">
        <f t="shared" si="118"/>
        <v>5.87</v>
      </c>
      <c r="F3790" s="679">
        <v>5.87</v>
      </c>
      <c r="G3790" s="679">
        <v>5.87</v>
      </c>
      <c r="H3790" t="b">
        <f t="shared" si="119"/>
        <v>1</v>
      </c>
    </row>
    <row r="3791" spans="1:8">
      <c r="A3791" s="395">
        <v>37329</v>
      </c>
      <c r="B3791" s="406" t="s">
        <v>12522</v>
      </c>
      <c r="C3791" s="395" t="s">
        <v>2025</v>
      </c>
      <c r="D3791" s="407">
        <f t="shared" si="118"/>
        <v>123.67</v>
      </c>
      <c r="F3791" s="680">
        <v>123.67</v>
      </c>
      <c r="G3791" s="680">
        <v>123.67</v>
      </c>
      <c r="H3791" t="b">
        <f t="shared" si="119"/>
        <v>1</v>
      </c>
    </row>
    <row r="3792" spans="1:8">
      <c r="A3792" s="396">
        <v>2510</v>
      </c>
      <c r="B3792" s="401" t="s">
        <v>12523</v>
      </c>
      <c r="C3792" s="396" t="s">
        <v>2021</v>
      </c>
      <c r="D3792" s="405">
        <f t="shared" si="118"/>
        <v>36.1</v>
      </c>
      <c r="F3792" s="679">
        <v>36.1</v>
      </c>
      <c r="G3792" s="679">
        <v>36.1</v>
      </c>
      <c r="H3792" t="b">
        <f t="shared" si="119"/>
        <v>1</v>
      </c>
    </row>
    <row r="3793" spans="1:8" ht="30">
      <c r="A3793" s="395">
        <v>12359</v>
      </c>
      <c r="B3793" s="406" t="s">
        <v>12524</v>
      </c>
      <c r="C3793" s="395" t="s">
        <v>2021</v>
      </c>
      <c r="D3793" s="407">
        <f t="shared" si="118"/>
        <v>88.63</v>
      </c>
      <c r="F3793" s="680">
        <v>88.63</v>
      </c>
      <c r="G3793" s="680">
        <v>88.63</v>
      </c>
      <c r="H3793" t="b">
        <f t="shared" si="119"/>
        <v>1</v>
      </c>
    </row>
    <row r="3794" spans="1:8">
      <c r="A3794" s="396">
        <v>7353</v>
      </c>
      <c r="B3794" s="401" t="s">
        <v>12525</v>
      </c>
      <c r="C3794" s="396" t="s">
        <v>2026</v>
      </c>
      <c r="D3794" s="405">
        <f t="shared" si="118"/>
        <v>29.77</v>
      </c>
      <c r="F3794" s="679">
        <v>29.77</v>
      </c>
      <c r="G3794" s="679">
        <v>29.77</v>
      </c>
      <c r="H3794" t="b">
        <f t="shared" si="119"/>
        <v>1</v>
      </c>
    </row>
    <row r="3795" spans="1:8">
      <c r="A3795" s="395">
        <v>36144</v>
      </c>
      <c r="B3795" s="406" t="s">
        <v>12526</v>
      </c>
      <c r="C3795" s="395" t="s">
        <v>2021</v>
      </c>
      <c r="D3795" s="407">
        <f t="shared" si="118"/>
        <v>1.78</v>
      </c>
      <c r="F3795" s="680">
        <v>1.78</v>
      </c>
      <c r="G3795" s="680">
        <v>1.78</v>
      </c>
      <c r="H3795" t="b">
        <f t="shared" si="119"/>
        <v>1</v>
      </c>
    </row>
    <row r="3796" spans="1:8">
      <c r="A3796" s="396">
        <v>10518</v>
      </c>
      <c r="B3796" s="401" t="s">
        <v>12527</v>
      </c>
      <c r="C3796" s="396" t="s">
        <v>2021</v>
      </c>
      <c r="D3796" s="405">
        <f t="shared" si="118"/>
        <v>132.07</v>
      </c>
      <c r="F3796" s="679">
        <v>132.07</v>
      </c>
      <c r="G3796" s="679">
        <v>132.07</v>
      </c>
      <c r="H3796" t="b">
        <f t="shared" si="119"/>
        <v>1</v>
      </c>
    </row>
    <row r="3797" spans="1:8" ht="45">
      <c r="A3797" s="395">
        <v>36530</v>
      </c>
      <c r="B3797" s="406" t="s">
        <v>12528</v>
      </c>
      <c r="C3797" s="395" t="s">
        <v>2021</v>
      </c>
      <c r="D3797" s="407">
        <f t="shared" si="118"/>
        <v>428707.3</v>
      </c>
      <c r="F3797" s="680">
        <v>428707.3</v>
      </c>
      <c r="G3797" s="680">
        <v>428707.3</v>
      </c>
      <c r="H3797" t="b">
        <f t="shared" si="119"/>
        <v>1</v>
      </c>
    </row>
    <row r="3798" spans="1:8" ht="45">
      <c r="A3798" s="396">
        <v>6046</v>
      </c>
      <c r="B3798" s="401" t="s">
        <v>12529</v>
      </c>
      <c r="C3798" s="396" t="s">
        <v>2021</v>
      </c>
      <c r="D3798" s="405">
        <f t="shared" si="118"/>
        <v>465000</v>
      </c>
      <c r="F3798" s="679">
        <v>465000</v>
      </c>
      <c r="G3798" s="679">
        <v>465000</v>
      </c>
      <c r="H3798" t="b">
        <f t="shared" si="119"/>
        <v>1</v>
      </c>
    </row>
    <row r="3799" spans="1:8" ht="45">
      <c r="A3799" s="395">
        <v>36531</v>
      </c>
      <c r="B3799" s="406" t="s">
        <v>12530</v>
      </c>
      <c r="C3799" s="395" t="s">
        <v>2021</v>
      </c>
      <c r="D3799" s="407">
        <f t="shared" si="118"/>
        <v>482012.15999999997</v>
      </c>
      <c r="F3799" s="680">
        <v>482012.15999999997</v>
      </c>
      <c r="G3799" s="680">
        <v>482012.15999999997</v>
      </c>
      <c r="H3799" t="b">
        <f t="shared" si="119"/>
        <v>1</v>
      </c>
    </row>
    <row r="3800" spans="1:8">
      <c r="A3800" s="396">
        <v>34684</v>
      </c>
      <c r="B3800" s="401" t="s">
        <v>12531</v>
      </c>
      <c r="C3800" s="396" t="s">
        <v>2023</v>
      </c>
      <c r="D3800" s="405">
        <f t="shared" si="118"/>
        <v>283.82</v>
      </c>
      <c r="F3800" s="679">
        <v>283.82</v>
      </c>
      <c r="G3800" s="679">
        <v>283.82</v>
      </c>
      <c r="H3800" t="b">
        <f t="shared" si="119"/>
        <v>1</v>
      </c>
    </row>
    <row r="3801" spans="1:8">
      <c r="A3801" s="395">
        <v>34683</v>
      </c>
      <c r="B3801" s="406" t="s">
        <v>12532</v>
      </c>
      <c r="C3801" s="395" t="s">
        <v>2023</v>
      </c>
      <c r="D3801" s="407">
        <f t="shared" si="118"/>
        <v>177.39</v>
      </c>
      <c r="F3801" s="680">
        <v>177.39</v>
      </c>
      <c r="G3801" s="680">
        <v>177.39</v>
      </c>
      <c r="H3801" t="b">
        <f t="shared" si="119"/>
        <v>1</v>
      </c>
    </row>
    <row r="3802" spans="1:8">
      <c r="A3802" s="396">
        <v>533</v>
      </c>
      <c r="B3802" s="401" t="s">
        <v>12533</v>
      </c>
      <c r="C3802" s="396" t="s">
        <v>2023</v>
      </c>
      <c r="D3802" s="405">
        <f t="shared" si="118"/>
        <v>24.66</v>
      </c>
      <c r="F3802" s="679">
        <v>24.66</v>
      </c>
      <c r="G3802" s="679">
        <v>24.66</v>
      </c>
      <c r="H3802" t="b">
        <f t="shared" si="119"/>
        <v>1</v>
      </c>
    </row>
    <row r="3803" spans="1:8">
      <c r="A3803" s="395">
        <v>10515</v>
      </c>
      <c r="B3803" s="406" t="s">
        <v>12534</v>
      </c>
      <c r="C3803" s="395" t="s">
        <v>2023</v>
      </c>
      <c r="D3803" s="407">
        <f t="shared" si="118"/>
        <v>46.53</v>
      </c>
      <c r="F3803" s="680">
        <v>46.53</v>
      </c>
      <c r="G3803" s="680">
        <v>46.53</v>
      </c>
      <c r="H3803" t="b">
        <f t="shared" si="119"/>
        <v>1</v>
      </c>
    </row>
    <row r="3804" spans="1:8">
      <c r="A3804" s="396">
        <v>536</v>
      </c>
      <c r="B3804" s="401" t="s">
        <v>12535</v>
      </c>
      <c r="C3804" s="396" t="s">
        <v>2023</v>
      </c>
      <c r="D3804" s="405">
        <f t="shared" si="118"/>
        <v>33.659999999999997</v>
      </c>
      <c r="F3804" s="679">
        <v>33.659999999999997</v>
      </c>
      <c r="G3804" s="679">
        <v>33.659999999999997</v>
      </c>
      <c r="H3804" t="b">
        <f t="shared" si="119"/>
        <v>1</v>
      </c>
    </row>
    <row r="3805" spans="1:8">
      <c r="A3805" s="395">
        <v>153</v>
      </c>
      <c r="B3805" s="406" t="s">
        <v>12536</v>
      </c>
      <c r="C3805" s="395" t="s">
        <v>2026</v>
      </c>
      <c r="D3805" s="407">
        <f t="shared" si="118"/>
        <v>113.16</v>
      </c>
      <c r="F3805" s="680">
        <v>113.16</v>
      </c>
      <c r="G3805" s="680">
        <v>113.16</v>
      </c>
      <c r="H3805" t="b">
        <f t="shared" si="119"/>
        <v>1</v>
      </c>
    </row>
    <row r="3806" spans="1:8">
      <c r="A3806" s="396">
        <v>34682</v>
      </c>
      <c r="B3806" s="401" t="s">
        <v>12537</v>
      </c>
      <c r="C3806" s="396" t="s">
        <v>2023</v>
      </c>
      <c r="D3806" s="405">
        <f t="shared" si="118"/>
        <v>135.65</v>
      </c>
      <c r="F3806" s="679">
        <v>135.65</v>
      </c>
      <c r="G3806" s="679">
        <v>135.65</v>
      </c>
      <c r="H3806" t="b">
        <f t="shared" si="119"/>
        <v>1</v>
      </c>
    </row>
    <row r="3807" spans="1:8">
      <c r="A3807" s="395">
        <v>20205</v>
      </c>
      <c r="B3807" s="406" t="s">
        <v>12538</v>
      </c>
      <c r="C3807" s="395" t="s">
        <v>2024</v>
      </c>
      <c r="D3807" s="407">
        <f t="shared" si="118"/>
        <v>3</v>
      </c>
      <c r="F3807" s="680">
        <v>3</v>
      </c>
      <c r="G3807" s="680">
        <v>3</v>
      </c>
      <c r="H3807" t="b">
        <f t="shared" si="119"/>
        <v>1</v>
      </c>
    </row>
    <row r="3808" spans="1:8">
      <c r="A3808" s="396">
        <v>4412</v>
      </c>
      <c r="B3808" s="401" t="s">
        <v>12539</v>
      </c>
      <c r="C3808" s="396" t="s">
        <v>2024</v>
      </c>
      <c r="D3808" s="405">
        <f t="shared" si="118"/>
        <v>1.8</v>
      </c>
      <c r="F3808" s="679">
        <v>1.8</v>
      </c>
      <c r="G3808" s="679">
        <v>1.8</v>
      </c>
      <c r="H3808" t="b">
        <f t="shared" si="119"/>
        <v>1</v>
      </c>
    </row>
    <row r="3809" spans="1:8">
      <c r="A3809" s="395">
        <v>4408</v>
      </c>
      <c r="B3809" s="406" t="s">
        <v>12540</v>
      </c>
      <c r="C3809" s="395" t="s">
        <v>2024</v>
      </c>
      <c r="D3809" s="407">
        <f t="shared" si="118"/>
        <v>2.2400000000000002</v>
      </c>
      <c r="F3809" s="680">
        <v>2.2400000000000002</v>
      </c>
      <c r="G3809" s="680">
        <v>2.2400000000000002</v>
      </c>
      <c r="H3809" t="b">
        <f t="shared" si="119"/>
        <v>1</v>
      </c>
    </row>
    <row r="3810" spans="1:8">
      <c r="A3810" s="396">
        <v>36250</v>
      </c>
      <c r="B3810" s="401" t="s">
        <v>12541</v>
      </c>
      <c r="C3810" s="396" t="s">
        <v>2024</v>
      </c>
      <c r="D3810" s="405">
        <f t="shared" si="118"/>
        <v>5.45</v>
      </c>
      <c r="F3810" s="679">
        <v>5.45</v>
      </c>
      <c r="G3810" s="679">
        <v>5.45</v>
      </c>
      <c r="H3810" t="b">
        <f t="shared" si="119"/>
        <v>1</v>
      </c>
    </row>
    <row r="3811" spans="1:8">
      <c r="A3811" s="395">
        <v>10857</v>
      </c>
      <c r="B3811" s="406" t="s">
        <v>12542</v>
      </c>
      <c r="C3811" s="395" t="s">
        <v>2024</v>
      </c>
      <c r="D3811" s="407">
        <f t="shared" si="118"/>
        <v>15.58</v>
      </c>
      <c r="F3811" s="680">
        <v>15.58</v>
      </c>
      <c r="G3811" s="680">
        <v>15.58</v>
      </c>
      <c r="H3811" t="b">
        <f t="shared" si="119"/>
        <v>1</v>
      </c>
    </row>
    <row r="3812" spans="1:8">
      <c r="A3812" s="396">
        <v>4803</v>
      </c>
      <c r="B3812" s="401" t="s">
        <v>12543</v>
      </c>
      <c r="C3812" s="396" t="s">
        <v>2024</v>
      </c>
      <c r="D3812" s="405">
        <f t="shared" si="118"/>
        <v>43.65</v>
      </c>
      <c r="F3812" s="679">
        <v>43.65</v>
      </c>
      <c r="G3812" s="679">
        <v>43.65</v>
      </c>
      <c r="H3812" t="b">
        <f t="shared" si="119"/>
        <v>1</v>
      </c>
    </row>
    <row r="3813" spans="1:8">
      <c r="A3813" s="395">
        <v>6186</v>
      </c>
      <c r="B3813" s="406" t="s">
        <v>12544</v>
      </c>
      <c r="C3813" s="395" t="s">
        <v>2024</v>
      </c>
      <c r="D3813" s="407">
        <f t="shared" si="118"/>
        <v>16.05</v>
      </c>
      <c r="F3813" s="680">
        <v>16.05</v>
      </c>
      <c r="G3813" s="680">
        <v>16.05</v>
      </c>
      <c r="H3813" t="b">
        <f t="shared" si="119"/>
        <v>1</v>
      </c>
    </row>
    <row r="3814" spans="1:8">
      <c r="A3814" s="396">
        <v>4829</v>
      </c>
      <c r="B3814" s="401" t="s">
        <v>12545</v>
      </c>
      <c r="C3814" s="396" t="s">
        <v>2024</v>
      </c>
      <c r="D3814" s="405">
        <f t="shared" si="118"/>
        <v>47.62</v>
      </c>
      <c r="F3814" s="679">
        <v>47.62</v>
      </c>
      <c r="G3814" s="679">
        <v>47.62</v>
      </c>
      <c r="H3814" t="b">
        <f t="shared" si="119"/>
        <v>1</v>
      </c>
    </row>
    <row r="3815" spans="1:8">
      <c r="A3815" s="395">
        <v>39829</v>
      </c>
      <c r="B3815" s="406" t="s">
        <v>12546</v>
      </c>
      <c r="C3815" s="395" t="s">
        <v>2024</v>
      </c>
      <c r="D3815" s="407">
        <f t="shared" si="118"/>
        <v>49.35</v>
      </c>
      <c r="F3815" s="680">
        <v>49.35</v>
      </c>
      <c r="G3815" s="680">
        <v>49.35</v>
      </c>
      <c r="H3815" t="b">
        <f t="shared" si="119"/>
        <v>1</v>
      </c>
    </row>
    <row r="3816" spans="1:8" ht="30">
      <c r="A3816" s="396">
        <v>20231</v>
      </c>
      <c r="B3816" s="401" t="s">
        <v>12547</v>
      </c>
      <c r="C3816" s="396" t="s">
        <v>2024</v>
      </c>
      <c r="D3816" s="405">
        <f t="shared" si="118"/>
        <v>81.86</v>
      </c>
      <c r="F3816" s="679">
        <v>81.86</v>
      </c>
      <c r="G3816" s="679">
        <v>81.86</v>
      </c>
      <c r="H3816" t="b">
        <f t="shared" si="119"/>
        <v>1</v>
      </c>
    </row>
    <row r="3817" spans="1:8">
      <c r="A3817" s="395">
        <v>4804</v>
      </c>
      <c r="B3817" s="406" t="s">
        <v>12548</v>
      </c>
      <c r="C3817" s="395" t="s">
        <v>2024</v>
      </c>
      <c r="D3817" s="407">
        <f t="shared" si="118"/>
        <v>33.51</v>
      </c>
      <c r="F3817" s="680">
        <v>33.51</v>
      </c>
      <c r="G3817" s="680">
        <v>33.51</v>
      </c>
      <c r="H3817" t="b">
        <f t="shared" si="119"/>
        <v>1</v>
      </c>
    </row>
    <row r="3818" spans="1:8">
      <c r="A3818" s="396">
        <v>34680</v>
      </c>
      <c r="B3818" s="401" t="s">
        <v>12549</v>
      </c>
      <c r="C3818" s="396" t="s">
        <v>2024</v>
      </c>
      <c r="D3818" s="405">
        <f t="shared" si="118"/>
        <v>41.73</v>
      </c>
      <c r="F3818" s="679">
        <v>41.73</v>
      </c>
      <c r="G3818" s="679">
        <v>41.73</v>
      </c>
      <c r="H3818" t="b">
        <f t="shared" si="119"/>
        <v>1</v>
      </c>
    </row>
    <row r="3819" spans="1:8">
      <c r="A3819" s="395">
        <v>11573</v>
      </c>
      <c r="B3819" s="406" t="s">
        <v>12550</v>
      </c>
      <c r="C3819" s="395" t="s">
        <v>2021</v>
      </c>
      <c r="D3819" s="407">
        <f t="shared" si="118"/>
        <v>6.6</v>
      </c>
      <c r="F3819" s="680">
        <v>6.6</v>
      </c>
      <c r="G3819" s="680">
        <v>6.6</v>
      </c>
      <c r="H3819" t="b">
        <f t="shared" si="119"/>
        <v>1</v>
      </c>
    </row>
    <row r="3820" spans="1:8">
      <c r="A3820" s="396">
        <v>38401</v>
      </c>
      <c r="B3820" s="401" t="s">
        <v>12551</v>
      </c>
      <c r="C3820" s="396" t="s">
        <v>2021</v>
      </c>
      <c r="D3820" s="405">
        <f t="shared" si="118"/>
        <v>22.4</v>
      </c>
      <c r="F3820" s="679">
        <v>22.4</v>
      </c>
      <c r="G3820" s="679">
        <v>22.4</v>
      </c>
      <c r="H3820" t="b">
        <f t="shared" si="119"/>
        <v>1</v>
      </c>
    </row>
    <row r="3821" spans="1:8" ht="30">
      <c r="A3821" s="395">
        <v>11575</v>
      </c>
      <c r="B3821" s="406" t="s">
        <v>12552</v>
      </c>
      <c r="C3821" s="395" t="s">
        <v>2021</v>
      </c>
      <c r="D3821" s="407">
        <f t="shared" si="118"/>
        <v>63.66</v>
      </c>
      <c r="F3821" s="680">
        <v>63.66</v>
      </c>
      <c r="G3821" s="680">
        <v>63.66</v>
      </c>
      <c r="H3821" t="b">
        <f t="shared" si="119"/>
        <v>1</v>
      </c>
    </row>
    <row r="3822" spans="1:8" ht="30">
      <c r="A3822" s="396">
        <v>38179</v>
      </c>
      <c r="B3822" s="401" t="s">
        <v>12553</v>
      </c>
      <c r="C3822" s="396" t="s">
        <v>2021</v>
      </c>
      <c r="D3822" s="405">
        <f t="shared" si="118"/>
        <v>52.64</v>
      </c>
      <c r="F3822" s="679">
        <v>52.64</v>
      </c>
      <c r="G3822" s="679">
        <v>52.64</v>
      </c>
      <c r="H3822" t="b">
        <f t="shared" si="119"/>
        <v>1</v>
      </c>
    </row>
    <row r="3823" spans="1:8">
      <c r="A3823" s="395">
        <v>20256</v>
      </c>
      <c r="B3823" s="406" t="s">
        <v>12554</v>
      </c>
      <c r="C3823" s="395" t="s">
        <v>2021</v>
      </c>
      <c r="D3823" s="407">
        <f t="shared" si="118"/>
        <v>0.4</v>
      </c>
      <c r="F3823" s="680">
        <v>0.4</v>
      </c>
      <c r="G3823" s="680">
        <v>0.4</v>
      </c>
      <c r="H3823" t="b">
        <f t="shared" si="119"/>
        <v>1</v>
      </c>
    </row>
    <row r="3824" spans="1:8" ht="30">
      <c r="A3824" s="396">
        <v>14511</v>
      </c>
      <c r="B3824" s="401" t="s">
        <v>12555</v>
      </c>
      <c r="C3824" s="396" t="s">
        <v>2021</v>
      </c>
      <c r="D3824" s="405">
        <f t="shared" si="118"/>
        <v>1058862.6000000001</v>
      </c>
      <c r="F3824" s="679">
        <v>1058862.6000000001</v>
      </c>
      <c r="G3824" s="679">
        <v>1058862.6000000001</v>
      </c>
      <c r="H3824" t="b">
        <f t="shared" si="119"/>
        <v>1</v>
      </c>
    </row>
    <row r="3825" spans="1:8" ht="30">
      <c r="A3825" s="395">
        <v>10642</v>
      </c>
      <c r="B3825" s="406" t="s">
        <v>12556</v>
      </c>
      <c r="C3825" s="395" t="s">
        <v>2021</v>
      </c>
      <c r="D3825" s="407">
        <f t="shared" si="118"/>
        <v>997500</v>
      </c>
      <c r="F3825" s="680">
        <v>997500</v>
      </c>
      <c r="G3825" s="680">
        <v>997500</v>
      </c>
      <c r="H3825" t="b">
        <f t="shared" si="119"/>
        <v>1</v>
      </c>
    </row>
    <row r="3826" spans="1:8" ht="30">
      <c r="A3826" s="396">
        <v>14489</v>
      </c>
      <c r="B3826" s="401" t="s">
        <v>12557</v>
      </c>
      <c r="C3826" s="396" t="s">
        <v>2021</v>
      </c>
      <c r="D3826" s="405">
        <f t="shared" si="118"/>
        <v>884763.94</v>
      </c>
      <c r="F3826" s="679">
        <v>884763.94</v>
      </c>
      <c r="G3826" s="679">
        <v>884763.94</v>
      </c>
      <c r="H3826" t="b">
        <f t="shared" si="119"/>
        <v>1</v>
      </c>
    </row>
    <row r="3827" spans="1:8" ht="30">
      <c r="A3827" s="395">
        <v>14513</v>
      </c>
      <c r="B3827" s="406" t="s">
        <v>12558</v>
      </c>
      <c r="C3827" s="395" t="s">
        <v>2021</v>
      </c>
      <c r="D3827" s="407">
        <f t="shared" si="118"/>
        <v>663593.94999999995</v>
      </c>
      <c r="F3827" s="680">
        <v>663593.94999999995</v>
      </c>
      <c r="G3827" s="680">
        <v>663593.94999999995</v>
      </c>
      <c r="H3827" t="b">
        <f t="shared" si="119"/>
        <v>1</v>
      </c>
    </row>
    <row r="3828" spans="1:8" ht="30">
      <c r="A3828" s="396">
        <v>13600</v>
      </c>
      <c r="B3828" s="401" t="s">
        <v>12559</v>
      </c>
      <c r="C3828" s="396" t="s">
        <v>2021</v>
      </c>
      <c r="D3828" s="405">
        <f t="shared" si="118"/>
        <v>856223.07</v>
      </c>
      <c r="F3828" s="679">
        <v>856223.07</v>
      </c>
      <c r="G3828" s="679">
        <v>856223.07</v>
      </c>
      <c r="H3828" t="b">
        <f t="shared" si="119"/>
        <v>1</v>
      </c>
    </row>
    <row r="3829" spans="1:8" ht="30">
      <c r="A3829" s="395">
        <v>10646</v>
      </c>
      <c r="B3829" s="406" t="s">
        <v>12560</v>
      </c>
      <c r="C3829" s="395" t="s">
        <v>2021</v>
      </c>
      <c r="D3829" s="407">
        <f t="shared" si="118"/>
        <v>638257.25</v>
      </c>
      <c r="F3829" s="680">
        <v>638257.25</v>
      </c>
      <c r="G3829" s="680">
        <v>638257.25</v>
      </c>
      <c r="H3829" t="b">
        <f t="shared" si="119"/>
        <v>1</v>
      </c>
    </row>
    <row r="3830" spans="1:8" ht="30">
      <c r="A3830" s="396">
        <v>6070</v>
      </c>
      <c r="B3830" s="401" t="s">
        <v>12561</v>
      </c>
      <c r="C3830" s="396" t="s">
        <v>2021</v>
      </c>
      <c r="D3830" s="405">
        <f t="shared" si="118"/>
        <v>872099.98</v>
      </c>
      <c r="F3830" s="679">
        <v>872099.98</v>
      </c>
      <c r="G3830" s="679">
        <v>872099.98</v>
      </c>
      <c r="H3830" t="b">
        <f t="shared" si="119"/>
        <v>1</v>
      </c>
    </row>
    <row r="3831" spans="1:8" ht="30">
      <c r="A3831" s="395">
        <v>6069</v>
      </c>
      <c r="B3831" s="406" t="s">
        <v>12562</v>
      </c>
      <c r="C3831" s="395" t="s">
        <v>2021</v>
      </c>
      <c r="D3831" s="407">
        <f t="shared" si="118"/>
        <v>192660.04</v>
      </c>
      <c r="F3831" s="680">
        <v>192660.04</v>
      </c>
      <c r="G3831" s="680">
        <v>192660.04</v>
      </c>
      <c r="H3831" t="b">
        <f t="shared" si="119"/>
        <v>1</v>
      </c>
    </row>
    <row r="3832" spans="1:8" ht="30">
      <c r="A3832" s="396">
        <v>14626</v>
      </c>
      <c r="B3832" s="401" t="s">
        <v>12563</v>
      </c>
      <c r="C3832" s="396" t="s">
        <v>2021</v>
      </c>
      <c r="D3832" s="405">
        <f t="shared" si="118"/>
        <v>954750.04</v>
      </c>
      <c r="F3832" s="679">
        <v>954750.04</v>
      </c>
      <c r="G3832" s="679">
        <v>954750.04</v>
      </c>
      <c r="H3832" t="b">
        <f t="shared" si="119"/>
        <v>1</v>
      </c>
    </row>
    <row r="3833" spans="1:8" ht="30">
      <c r="A3833" s="395">
        <v>6067</v>
      </c>
      <c r="B3833" s="406" t="s">
        <v>12564</v>
      </c>
      <c r="C3833" s="395" t="s">
        <v>2021</v>
      </c>
      <c r="D3833" s="407">
        <f t="shared" si="118"/>
        <v>783750.01</v>
      </c>
      <c r="F3833" s="680">
        <v>783750.01</v>
      </c>
      <c r="G3833" s="680">
        <v>783750.01</v>
      </c>
      <c r="H3833" t="b">
        <f t="shared" si="119"/>
        <v>1</v>
      </c>
    </row>
    <row r="3834" spans="1:8">
      <c r="A3834" s="396">
        <v>38393</v>
      </c>
      <c r="B3834" s="401" t="s">
        <v>12565</v>
      </c>
      <c r="C3834" s="396" t="s">
        <v>2021</v>
      </c>
      <c r="D3834" s="405">
        <f t="shared" si="118"/>
        <v>19.600000000000001</v>
      </c>
      <c r="F3834" s="679">
        <v>19.600000000000001</v>
      </c>
      <c r="G3834" s="679">
        <v>19.600000000000001</v>
      </c>
      <c r="H3834" t="b">
        <f t="shared" si="119"/>
        <v>1</v>
      </c>
    </row>
    <row r="3835" spans="1:8">
      <c r="A3835" s="395">
        <v>38390</v>
      </c>
      <c r="B3835" s="406" t="s">
        <v>12566</v>
      </c>
      <c r="C3835" s="395" t="s">
        <v>2021</v>
      </c>
      <c r="D3835" s="407">
        <f t="shared" si="118"/>
        <v>43.47</v>
      </c>
      <c r="F3835" s="680">
        <v>43.47</v>
      </c>
      <c r="G3835" s="680">
        <v>43.47</v>
      </c>
      <c r="H3835" t="b">
        <f t="shared" si="119"/>
        <v>1</v>
      </c>
    </row>
    <row r="3836" spans="1:8">
      <c r="A3836" s="396">
        <v>36532</v>
      </c>
      <c r="B3836" s="401" t="s">
        <v>12567</v>
      </c>
      <c r="C3836" s="396" t="s">
        <v>2021</v>
      </c>
      <c r="D3836" s="405">
        <f t="shared" si="118"/>
        <v>31892.34</v>
      </c>
      <c r="F3836" s="679">
        <v>31892.34</v>
      </c>
      <c r="G3836" s="679">
        <v>31892.34</v>
      </c>
      <c r="H3836" t="b">
        <f t="shared" si="119"/>
        <v>1</v>
      </c>
    </row>
    <row r="3837" spans="1:8" ht="30">
      <c r="A3837" s="395">
        <v>11578</v>
      </c>
      <c r="B3837" s="406" t="s">
        <v>12568</v>
      </c>
      <c r="C3837" s="395" t="s">
        <v>2021</v>
      </c>
      <c r="D3837" s="407">
        <f t="shared" si="118"/>
        <v>13.74</v>
      </c>
      <c r="F3837" s="680">
        <v>13.74</v>
      </c>
      <c r="G3837" s="680">
        <v>13.74</v>
      </c>
      <c r="H3837" t="b">
        <f t="shared" si="119"/>
        <v>1</v>
      </c>
    </row>
    <row r="3838" spans="1:8" ht="30">
      <c r="A3838" s="396">
        <v>11577</v>
      </c>
      <c r="B3838" s="401" t="s">
        <v>12569</v>
      </c>
      <c r="C3838" s="396" t="s">
        <v>2021</v>
      </c>
      <c r="D3838" s="405">
        <f t="shared" si="118"/>
        <v>13.12</v>
      </c>
      <c r="F3838" s="679">
        <v>13.12</v>
      </c>
      <c r="G3838" s="679">
        <v>13.12</v>
      </c>
      <c r="H3838" t="b">
        <f t="shared" si="119"/>
        <v>1</v>
      </c>
    </row>
    <row r="3839" spans="1:8" ht="30">
      <c r="A3839" s="395">
        <v>42432</v>
      </c>
      <c r="B3839" s="406" t="s">
        <v>12570</v>
      </c>
      <c r="C3839" s="395" t="s">
        <v>2021</v>
      </c>
      <c r="D3839" s="407">
        <f t="shared" si="118"/>
        <v>2403.2800000000002</v>
      </c>
      <c r="F3839" s="680">
        <v>2403.2800000000002</v>
      </c>
      <c r="G3839" s="680">
        <v>2403.2800000000002</v>
      </c>
      <c r="H3839" t="b">
        <f t="shared" si="119"/>
        <v>1</v>
      </c>
    </row>
    <row r="3840" spans="1:8" ht="30">
      <c r="A3840" s="396">
        <v>42437</v>
      </c>
      <c r="B3840" s="401" t="s">
        <v>12571</v>
      </c>
      <c r="C3840" s="396" t="s">
        <v>2021</v>
      </c>
      <c r="D3840" s="405">
        <f t="shared" si="118"/>
        <v>1827.13</v>
      </c>
      <c r="F3840" s="679">
        <v>1827.13</v>
      </c>
      <c r="G3840" s="679">
        <v>1827.13</v>
      </c>
      <c r="H3840" t="b">
        <f t="shared" si="119"/>
        <v>1</v>
      </c>
    </row>
    <row r="3841" spans="1:8">
      <c r="A3841" s="395">
        <v>1116</v>
      </c>
      <c r="B3841" s="406" t="s">
        <v>12572</v>
      </c>
      <c r="C3841" s="395" t="s">
        <v>2024</v>
      </c>
      <c r="D3841" s="407">
        <f t="shared" si="118"/>
        <v>21.48</v>
      </c>
      <c r="F3841" s="680">
        <v>21.48</v>
      </c>
      <c r="G3841" s="680">
        <v>21.48</v>
      </c>
      <c r="H3841" t="b">
        <f t="shared" si="119"/>
        <v>1</v>
      </c>
    </row>
    <row r="3842" spans="1:8">
      <c r="A3842" s="396">
        <v>1115</v>
      </c>
      <c r="B3842" s="401" t="s">
        <v>12573</v>
      </c>
      <c r="C3842" s="396" t="s">
        <v>2024</v>
      </c>
      <c r="D3842" s="405">
        <f t="shared" si="118"/>
        <v>25.74</v>
      </c>
      <c r="F3842" s="679">
        <v>25.74</v>
      </c>
      <c r="G3842" s="679">
        <v>25.74</v>
      </c>
      <c r="H3842" t="b">
        <f t="shared" si="119"/>
        <v>1</v>
      </c>
    </row>
    <row r="3843" spans="1:8">
      <c r="A3843" s="395">
        <v>1113</v>
      </c>
      <c r="B3843" s="406" t="s">
        <v>12574</v>
      </c>
      <c r="C3843" s="395" t="s">
        <v>2024</v>
      </c>
      <c r="D3843" s="407">
        <f t="shared" ref="D3843:D3906" si="120">IF($J$2=$F$1,F3843,G3843)</f>
        <v>30.09</v>
      </c>
      <c r="F3843" s="680">
        <v>30.09</v>
      </c>
      <c r="G3843" s="680">
        <v>30.09</v>
      </c>
      <c r="H3843" t="b">
        <f t="shared" ref="H3843:H3906" si="121">F3843=G3843</f>
        <v>1</v>
      </c>
    </row>
    <row r="3844" spans="1:8">
      <c r="A3844" s="396">
        <v>1114</v>
      </c>
      <c r="B3844" s="401" t="s">
        <v>12575</v>
      </c>
      <c r="C3844" s="396" t="s">
        <v>2024</v>
      </c>
      <c r="D3844" s="405">
        <f t="shared" si="120"/>
        <v>35.85</v>
      </c>
      <c r="F3844" s="679">
        <v>35.85</v>
      </c>
      <c r="G3844" s="679">
        <v>35.85</v>
      </c>
      <c r="H3844" t="b">
        <f t="shared" si="121"/>
        <v>1</v>
      </c>
    </row>
    <row r="3845" spans="1:8">
      <c r="A3845" s="395">
        <v>40873</v>
      </c>
      <c r="B3845" s="406" t="s">
        <v>12576</v>
      </c>
      <c r="C3845" s="395" t="s">
        <v>2024</v>
      </c>
      <c r="D3845" s="407">
        <f t="shared" si="120"/>
        <v>28.05</v>
      </c>
      <c r="F3845" s="680">
        <v>28.05</v>
      </c>
      <c r="G3845" s="680">
        <v>28.05</v>
      </c>
      <c r="H3845" t="b">
        <f t="shared" si="121"/>
        <v>1</v>
      </c>
    </row>
    <row r="3846" spans="1:8">
      <c r="A3846" s="396">
        <v>20214</v>
      </c>
      <c r="B3846" s="401" t="s">
        <v>12577</v>
      </c>
      <c r="C3846" s="396" t="s">
        <v>2021</v>
      </c>
      <c r="D3846" s="405">
        <f t="shared" si="120"/>
        <v>68.94</v>
      </c>
      <c r="F3846" s="679">
        <v>68.94</v>
      </c>
      <c r="G3846" s="679">
        <v>68.94</v>
      </c>
      <c r="H3846" t="b">
        <f t="shared" si="121"/>
        <v>1</v>
      </c>
    </row>
    <row r="3847" spans="1:8">
      <c r="A3847" s="395">
        <v>7237</v>
      </c>
      <c r="B3847" s="406" t="s">
        <v>12578</v>
      </c>
      <c r="C3847" s="395" t="s">
        <v>2021</v>
      </c>
      <c r="D3847" s="407">
        <f t="shared" si="120"/>
        <v>67.489999999999995</v>
      </c>
      <c r="F3847" s="680">
        <v>67.489999999999995</v>
      </c>
      <c r="G3847" s="680">
        <v>67.489999999999995</v>
      </c>
      <c r="H3847" t="b">
        <f t="shared" si="121"/>
        <v>1</v>
      </c>
    </row>
    <row r="3848" spans="1:8">
      <c r="A3848" s="396">
        <v>11757</v>
      </c>
      <c r="B3848" s="401" t="s">
        <v>12579</v>
      </c>
      <c r="C3848" s="396" t="s">
        <v>2021</v>
      </c>
      <c r="D3848" s="405">
        <f t="shared" si="120"/>
        <v>36.950000000000003</v>
      </c>
      <c r="F3848" s="679">
        <v>36.950000000000003</v>
      </c>
      <c r="G3848" s="679">
        <v>36.950000000000003</v>
      </c>
      <c r="H3848" t="b">
        <f t="shared" si="121"/>
        <v>1</v>
      </c>
    </row>
    <row r="3849" spans="1:8">
      <c r="A3849" s="395">
        <v>11758</v>
      </c>
      <c r="B3849" s="406" t="s">
        <v>12580</v>
      </c>
      <c r="C3849" s="395" t="s">
        <v>2021</v>
      </c>
      <c r="D3849" s="407">
        <f t="shared" si="120"/>
        <v>64.78</v>
      </c>
      <c r="F3849" s="680">
        <v>64.78</v>
      </c>
      <c r="G3849" s="680">
        <v>64.78</v>
      </c>
      <c r="H3849" t="b">
        <f t="shared" si="121"/>
        <v>1</v>
      </c>
    </row>
    <row r="3850" spans="1:8">
      <c r="A3850" s="396">
        <v>37526</v>
      </c>
      <c r="B3850" s="401" t="s">
        <v>12581</v>
      </c>
      <c r="C3850" s="396" t="s">
        <v>2021</v>
      </c>
      <c r="D3850" s="405">
        <f t="shared" si="120"/>
        <v>3.97</v>
      </c>
      <c r="F3850" s="679">
        <v>3.97</v>
      </c>
      <c r="G3850" s="679">
        <v>3.97</v>
      </c>
      <c r="H3850" t="b">
        <f t="shared" si="121"/>
        <v>1</v>
      </c>
    </row>
    <row r="3851" spans="1:8">
      <c r="A3851" s="395">
        <v>6076</v>
      </c>
      <c r="B3851" s="406" t="s">
        <v>12582</v>
      </c>
      <c r="C3851" s="395" t="s">
        <v>2022</v>
      </c>
      <c r="D3851" s="407">
        <f t="shared" si="120"/>
        <v>65</v>
      </c>
      <c r="F3851" s="680">
        <v>65</v>
      </c>
      <c r="G3851" s="680">
        <v>65</v>
      </c>
      <c r="H3851" t="b">
        <f t="shared" si="121"/>
        <v>1</v>
      </c>
    </row>
    <row r="3852" spans="1:8">
      <c r="A3852" s="396">
        <v>13109</v>
      </c>
      <c r="B3852" s="401" t="s">
        <v>12583</v>
      </c>
      <c r="C3852" s="396" t="s">
        <v>2021</v>
      </c>
      <c r="D3852" s="405">
        <f t="shared" si="120"/>
        <v>270.93</v>
      </c>
      <c r="F3852" s="679">
        <v>270.93</v>
      </c>
      <c r="G3852" s="679">
        <v>270.93</v>
      </c>
      <c r="H3852" t="b">
        <f t="shared" si="121"/>
        <v>1</v>
      </c>
    </row>
    <row r="3853" spans="1:8">
      <c r="A3853" s="395">
        <v>13110</v>
      </c>
      <c r="B3853" s="406" t="s">
        <v>12584</v>
      </c>
      <c r="C3853" s="395" t="s">
        <v>2021</v>
      </c>
      <c r="D3853" s="407">
        <f t="shared" si="120"/>
        <v>356.56</v>
      </c>
      <c r="F3853" s="680">
        <v>356.56</v>
      </c>
      <c r="G3853" s="680">
        <v>356.56</v>
      </c>
      <c r="H3853" t="b">
        <f t="shared" si="121"/>
        <v>1</v>
      </c>
    </row>
    <row r="3854" spans="1:8">
      <c r="A3854" s="396">
        <v>7581</v>
      </c>
      <c r="B3854" s="401" t="s">
        <v>12585</v>
      </c>
      <c r="C3854" s="396" t="s">
        <v>2021</v>
      </c>
      <c r="D3854" s="405">
        <f t="shared" si="120"/>
        <v>5.68</v>
      </c>
      <c r="F3854" s="679">
        <v>5.68</v>
      </c>
      <c r="G3854" s="679">
        <v>5.68</v>
      </c>
      <c r="H3854" t="b">
        <f t="shared" si="121"/>
        <v>1</v>
      </c>
    </row>
    <row r="3855" spans="1:8">
      <c r="A3855" s="395">
        <v>4509</v>
      </c>
      <c r="B3855" s="406" t="s">
        <v>12586</v>
      </c>
      <c r="C3855" s="395" t="s">
        <v>2024</v>
      </c>
      <c r="D3855" s="407">
        <f t="shared" si="120"/>
        <v>6.57</v>
      </c>
      <c r="F3855" s="680">
        <v>6.57</v>
      </c>
      <c r="G3855" s="680">
        <v>6.57</v>
      </c>
      <c r="H3855" t="b">
        <f t="shared" si="121"/>
        <v>1</v>
      </c>
    </row>
    <row r="3856" spans="1:8">
      <c r="A3856" s="396">
        <v>4512</v>
      </c>
      <c r="B3856" s="401" t="s">
        <v>12587</v>
      </c>
      <c r="C3856" s="396" t="s">
        <v>2024</v>
      </c>
      <c r="D3856" s="405">
        <f t="shared" si="120"/>
        <v>3.14</v>
      </c>
      <c r="F3856" s="679">
        <v>3.14</v>
      </c>
      <c r="G3856" s="679">
        <v>3.14</v>
      </c>
      <c r="H3856" t="b">
        <f t="shared" si="121"/>
        <v>1</v>
      </c>
    </row>
    <row r="3857" spans="1:8">
      <c r="A3857" s="395">
        <v>4517</v>
      </c>
      <c r="B3857" s="406" t="s">
        <v>12588</v>
      </c>
      <c r="C3857" s="395" t="s">
        <v>2024</v>
      </c>
      <c r="D3857" s="407">
        <f t="shared" si="120"/>
        <v>4.53</v>
      </c>
      <c r="F3857" s="680">
        <v>4.53</v>
      </c>
      <c r="G3857" s="680">
        <v>4.53</v>
      </c>
      <c r="H3857" t="b">
        <f t="shared" si="121"/>
        <v>1</v>
      </c>
    </row>
    <row r="3858" spans="1:8">
      <c r="A3858" s="396">
        <v>20206</v>
      </c>
      <c r="B3858" s="401" t="s">
        <v>12589</v>
      </c>
      <c r="C3858" s="396" t="s">
        <v>2024</v>
      </c>
      <c r="D3858" s="405">
        <f t="shared" si="120"/>
        <v>8.11</v>
      </c>
      <c r="F3858" s="679">
        <v>8.11</v>
      </c>
      <c r="G3858" s="679">
        <v>8.11</v>
      </c>
      <c r="H3858" t="b">
        <f t="shared" si="121"/>
        <v>1</v>
      </c>
    </row>
    <row r="3859" spans="1:8">
      <c r="A3859" s="395">
        <v>4460</v>
      </c>
      <c r="B3859" s="406" t="s">
        <v>12590</v>
      </c>
      <c r="C3859" s="395" t="s">
        <v>2024</v>
      </c>
      <c r="D3859" s="407">
        <f t="shared" si="120"/>
        <v>8.32</v>
      </c>
      <c r="F3859" s="680">
        <v>8.32</v>
      </c>
      <c r="G3859" s="680">
        <v>8.32</v>
      </c>
      <c r="H3859" t="b">
        <f t="shared" si="121"/>
        <v>1</v>
      </c>
    </row>
    <row r="3860" spans="1:8">
      <c r="A3860" s="396">
        <v>4417</v>
      </c>
      <c r="B3860" s="401" t="s">
        <v>12591</v>
      </c>
      <c r="C3860" s="396" t="s">
        <v>2024</v>
      </c>
      <c r="D3860" s="405">
        <f t="shared" si="120"/>
        <v>6.42</v>
      </c>
      <c r="F3860" s="679">
        <v>6.42</v>
      </c>
      <c r="G3860" s="679">
        <v>6.42</v>
      </c>
      <c r="H3860" t="b">
        <f t="shared" si="121"/>
        <v>1</v>
      </c>
    </row>
    <row r="3861" spans="1:8">
      <c r="A3861" s="395">
        <v>4415</v>
      </c>
      <c r="B3861" s="406" t="s">
        <v>12592</v>
      </c>
      <c r="C3861" s="395" t="s">
        <v>2024</v>
      </c>
      <c r="D3861" s="407">
        <f t="shared" si="120"/>
        <v>4.46</v>
      </c>
      <c r="F3861" s="680">
        <v>4.46</v>
      </c>
      <c r="G3861" s="680">
        <v>4.46</v>
      </c>
      <c r="H3861" t="b">
        <f t="shared" si="121"/>
        <v>1</v>
      </c>
    </row>
    <row r="3862" spans="1:8">
      <c r="A3862" s="396">
        <v>37373</v>
      </c>
      <c r="B3862" s="401" t="s">
        <v>12593</v>
      </c>
      <c r="C3862" s="396" t="s">
        <v>2020</v>
      </c>
      <c r="D3862" s="405">
        <f t="shared" si="120"/>
        <v>7.0000000000000007E-2</v>
      </c>
      <c r="F3862" s="679">
        <v>7.0000000000000007E-2</v>
      </c>
      <c r="G3862" s="679">
        <v>7.0000000000000007E-2</v>
      </c>
      <c r="H3862" t="b">
        <f t="shared" si="121"/>
        <v>1</v>
      </c>
    </row>
    <row r="3863" spans="1:8">
      <c r="A3863" s="395">
        <v>40864</v>
      </c>
      <c r="B3863" s="406" t="s">
        <v>12594</v>
      </c>
      <c r="C3863" s="395" t="s">
        <v>2027</v>
      </c>
      <c r="D3863" s="407">
        <f t="shared" si="120"/>
        <v>12.89</v>
      </c>
      <c r="F3863" s="680">
        <v>12.89</v>
      </c>
      <c r="G3863" s="680">
        <v>12.89</v>
      </c>
      <c r="H3863" t="b">
        <f t="shared" si="121"/>
        <v>1</v>
      </c>
    </row>
    <row r="3864" spans="1:8">
      <c r="A3864" s="396">
        <v>4734</v>
      </c>
      <c r="B3864" s="401" t="s">
        <v>12595</v>
      </c>
      <c r="C3864" s="396" t="s">
        <v>2022</v>
      </c>
      <c r="D3864" s="405">
        <f t="shared" si="120"/>
        <v>365.2</v>
      </c>
      <c r="F3864" s="679">
        <v>365.2</v>
      </c>
      <c r="G3864" s="679">
        <v>365.2</v>
      </c>
      <c r="H3864" t="b">
        <f t="shared" si="121"/>
        <v>1</v>
      </c>
    </row>
    <row r="3865" spans="1:8">
      <c r="A3865" s="395">
        <v>6085</v>
      </c>
      <c r="B3865" s="406" t="s">
        <v>12596</v>
      </c>
      <c r="C3865" s="395" t="s">
        <v>2026</v>
      </c>
      <c r="D3865" s="407">
        <f t="shared" si="120"/>
        <v>6.06</v>
      </c>
      <c r="F3865" s="680">
        <v>6.06</v>
      </c>
      <c r="G3865" s="680">
        <v>6.06</v>
      </c>
      <c r="H3865" t="b">
        <f t="shared" si="121"/>
        <v>1</v>
      </c>
    </row>
    <row r="3866" spans="1:8">
      <c r="A3866" s="396">
        <v>38396</v>
      </c>
      <c r="B3866" s="401" t="s">
        <v>12597</v>
      </c>
      <c r="C3866" s="396" t="s">
        <v>2021</v>
      </c>
      <c r="D3866" s="405">
        <f t="shared" si="120"/>
        <v>562.94000000000005</v>
      </c>
      <c r="F3866" s="679">
        <v>562.94000000000005</v>
      </c>
      <c r="G3866" s="679">
        <v>562.94000000000005</v>
      </c>
      <c r="H3866" t="b">
        <f t="shared" si="121"/>
        <v>1</v>
      </c>
    </row>
    <row r="3867" spans="1:8">
      <c r="A3867" s="395">
        <v>11622</v>
      </c>
      <c r="B3867" s="406" t="s">
        <v>12598</v>
      </c>
      <c r="C3867" s="395" t="s">
        <v>2025</v>
      </c>
      <c r="D3867" s="407">
        <f t="shared" si="120"/>
        <v>85.27</v>
      </c>
      <c r="F3867" s="680">
        <v>85.27</v>
      </c>
      <c r="G3867" s="680">
        <v>85.27</v>
      </c>
      <c r="H3867" t="b">
        <f t="shared" si="121"/>
        <v>1</v>
      </c>
    </row>
    <row r="3868" spans="1:8">
      <c r="A3868" s="396">
        <v>43143</v>
      </c>
      <c r="B3868" s="401" t="s">
        <v>12599</v>
      </c>
      <c r="C3868" s="396" t="s">
        <v>2026</v>
      </c>
      <c r="D3868" s="405">
        <f t="shared" si="120"/>
        <v>32.21</v>
      </c>
      <c r="F3868" s="679">
        <v>32.21</v>
      </c>
      <c r="G3868" s="679">
        <v>32.21</v>
      </c>
      <c r="H3868" t="b">
        <f t="shared" si="121"/>
        <v>1</v>
      </c>
    </row>
    <row r="3869" spans="1:8">
      <c r="A3869" s="395">
        <v>7317</v>
      </c>
      <c r="B3869" s="406" t="s">
        <v>12600</v>
      </c>
      <c r="C3869" s="395" t="s">
        <v>2025</v>
      </c>
      <c r="D3869" s="407">
        <f t="shared" si="120"/>
        <v>90.5</v>
      </c>
      <c r="F3869" s="680">
        <v>90.5</v>
      </c>
      <c r="G3869" s="680">
        <v>90.5</v>
      </c>
      <c r="H3869" t="b">
        <f t="shared" si="121"/>
        <v>1</v>
      </c>
    </row>
    <row r="3870" spans="1:8">
      <c r="A3870" s="396">
        <v>142</v>
      </c>
      <c r="B3870" s="401" t="s">
        <v>12601</v>
      </c>
      <c r="C3870" s="396" t="s">
        <v>2035</v>
      </c>
      <c r="D3870" s="405">
        <f t="shared" si="120"/>
        <v>40.24</v>
      </c>
      <c r="F3870" s="679">
        <v>40.24</v>
      </c>
      <c r="G3870" s="679">
        <v>40.24</v>
      </c>
      <c r="H3870" t="b">
        <f t="shared" si="121"/>
        <v>1</v>
      </c>
    </row>
    <row r="3871" spans="1:8">
      <c r="A3871" s="395">
        <v>43142</v>
      </c>
      <c r="B3871" s="406" t="s">
        <v>12602</v>
      </c>
      <c r="C3871" s="395" t="s">
        <v>2026</v>
      </c>
      <c r="D3871" s="407">
        <f t="shared" si="120"/>
        <v>182.77</v>
      </c>
      <c r="F3871" s="680">
        <v>182.77</v>
      </c>
      <c r="G3871" s="680">
        <v>182.77</v>
      </c>
      <c r="H3871" t="b">
        <f t="shared" si="121"/>
        <v>1</v>
      </c>
    </row>
    <row r="3872" spans="1:8">
      <c r="A3872" s="396">
        <v>38123</v>
      </c>
      <c r="B3872" s="401" t="s">
        <v>12603</v>
      </c>
      <c r="C3872" s="396" t="s">
        <v>2025</v>
      </c>
      <c r="D3872" s="405">
        <f t="shared" si="120"/>
        <v>38.31</v>
      </c>
      <c r="F3872" s="679">
        <v>38.31</v>
      </c>
      <c r="G3872" s="679">
        <v>38.31</v>
      </c>
      <c r="H3872" t="b">
        <f t="shared" si="121"/>
        <v>1</v>
      </c>
    </row>
    <row r="3873" spans="1:8">
      <c r="A3873" s="395">
        <v>42699</v>
      </c>
      <c r="B3873" s="406" t="s">
        <v>12604</v>
      </c>
      <c r="C3873" s="395" t="s">
        <v>2021</v>
      </c>
      <c r="D3873" s="407">
        <f t="shared" si="120"/>
        <v>39.68</v>
      </c>
      <c r="F3873" s="680">
        <v>39.68</v>
      </c>
      <c r="G3873" s="680">
        <v>39.68</v>
      </c>
      <c r="H3873" t="b">
        <f t="shared" si="121"/>
        <v>1</v>
      </c>
    </row>
    <row r="3874" spans="1:8" ht="30">
      <c r="A3874" s="396">
        <v>37743</v>
      </c>
      <c r="B3874" s="401" t="s">
        <v>12605</v>
      </c>
      <c r="C3874" s="396" t="s">
        <v>2021</v>
      </c>
      <c r="D3874" s="405">
        <f t="shared" si="120"/>
        <v>215444.05</v>
      </c>
      <c r="F3874" s="679">
        <v>215444.05</v>
      </c>
      <c r="G3874" s="679">
        <v>215444.05</v>
      </c>
      <c r="H3874" t="b">
        <f t="shared" si="121"/>
        <v>1</v>
      </c>
    </row>
    <row r="3875" spans="1:8" ht="30">
      <c r="A3875" s="395">
        <v>37744</v>
      </c>
      <c r="B3875" s="406" t="s">
        <v>12606</v>
      </c>
      <c r="C3875" s="395" t="s">
        <v>2021</v>
      </c>
      <c r="D3875" s="407">
        <f t="shared" si="120"/>
        <v>253321.67</v>
      </c>
      <c r="F3875" s="680">
        <v>253321.67</v>
      </c>
      <c r="G3875" s="680">
        <v>253321.67</v>
      </c>
      <c r="H3875" t="b">
        <f t="shared" si="121"/>
        <v>1</v>
      </c>
    </row>
    <row r="3876" spans="1:8" ht="30">
      <c r="A3876" s="396">
        <v>37741</v>
      </c>
      <c r="B3876" s="401" t="s">
        <v>12607</v>
      </c>
      <c r="C3876" s="396" t="s">
        <v>2021</v>
      </c>
      <c r="D3876" s="405">
        <f t="shared" si="120"/>
        <v>195902.09</v>
      </c>
      <c r="F3876" s="679">
        <v>195902.09</v>
      </c>
      <c r="G3876" s="679">
        <v>195902.09</v>
      </c>
      <c r="H3876" t="b">
        <f t="shared" si="121"/>
        <v>1</v>
      </c>
    </row>
    <row r="3877" spans="1:8">
      <c r="A3877" s="395">
        <v>39396</v>
      </c>
      <c r="B3877" s="406" t="s">
        <v>12608</v>
      </c>
      <c r="C3877" s="395" t="s">
        <v>2021</v>
      </c>
      <c r="D3877" s="407">
        <f t="shared" si="120"/>
        <v>70.69</v>
      </c>
      <c r="F3877" s="680">
        <v>70.69</v>
      </c>
      <c r="G3877" s="680">
        <v>70.69</v>
      </c>
      <c r="H3877" t="b">
        <f t="shared" si="121"/>
        <v>1</v>
      </c>
    </row>
    <row r="3878" spans="1:8" ht="30">
      <c r="A3878" s="396">
        <v>39392</v>
      </c>
      <c r="B3878" s="401" t="s">
        <v>12609</v>
      </c>
      <c r="C3878" s="396" t="s">
        <v>2021</v>
      </c>
      <c r="D3878" s="405">
        <f t="shared" si="120"/>
        <v>79.739999999999995</v>
      </c>
      <c r="F3878" s="679">
        <v>79.739999999999995</v>
      </c>
      <c r="G3878" s="679">
        <v>79.739999999999995</v>
      </c>
      <c r="H3878" t="b">
        <f t="shared" si="121"/>
        <v>1</v>
      </c>
    </row>
    <row r="3879" spans="1:8" ht="30">
      <c r="A3879" s="395">
        <v>39393</v>
      </c>
      <c r="B3879" s="406" t="s">
        <v>12610</v>
      </c>
      <c r="C3879" s="395" t="s">
        <v>2021</v>
      </c>
      <c r="D3879" s="407">
        <f t="shared" si="120"/>
        <v>49.31</v>
      </c>
      <c r="F3879" s="680">
        <v>49.31</v>
      </c>
      <c r="G3879" s="680">
        <v>49.31</v>
      </c>
      <c r="H3879" t="b">
        <f t="shared" si="121"/>
        <v>1</v>
      </c>
    </row>
    <row r="3880" spans="1:8" ht="30">
      <c r="A3880" s="396">
        <v>39394</v>
      </c>
      <c r="B3880" s="401" t="s">
        <v>12611</v>
      </c>
      <c r="C3880" s="396" t="s">
        <v>2021</v>
      </c>
      <c r="D3880" s="405">
        <f t="shared" si="120"/>
        <v>55.5</v>
      </c>
      <c r="F3880" s="679">
        <v>55.5</v>
      </c>
      <c r="G3880" s="679">
        <v>55.5</v>
      </c>
      <c r="H3880" t="b">
        <f t="shared" si="121"/>
        <v>1</v>
      </c>
    </row>
    <row r="3881" spans="1:8" ht="30">
      <c r="A3881" s="395">
        <v>39395</v>
      </c>
      <c r="B3881" s="406" t="s">
        <v>12612</v>
      </c>
      <c r="C3881" s="395" t="s">
        <v>2021</v>
      </c>
      <c r="D3881" s="407">
        <f t="shared" si="120"/>
        <v>51.61</v>
      </c>
      <c r="F3881" s="680">
        <v>51.61</v>
      </c>
      <c r="G3881" s="680">
        <v>51.61</v>
      </c>
      <c r="H3881" t="b">
        <f t="shared" si="121"/>
        <v>1</v>
      </c>
    </row>
    <row r="3882" spans="1:8">
      <c r="A3882" s="396">
        <v>14618</v>
      </c>
      <c r="B3882" s="401" t="s">
        <v>12613</v>
      </c>
      <c r="C3882" s="396" t="s">
        <v>2021</v>
      </c>
      <c r="D3882" s="405">
        <f t="shared" si="120"/>
        <v>1590.49</v>
      </c>
      <c r="F3882" s="679">
        <v>1590.49</v>
      </c>
      <c r="G3882" s="679">
        <v>1590.49</v>
      </c>
      <c r="H3882" t="b">
        <f t="shared" si="121"/>
        <v>1</v>
      </c>
    </row>
    <row r="3883" spans="1:8" ht="30">
      <c r="A3883" s="395">
        <v>40269</v>
      </c>
      <c r="B3883" s="406" t="s">
        <v>12614</v>
      </c>
      <c r="C3883" s="395" t="s">
        <v>2021</v>
      </c>
      <c r="D3883" s="407">
        <f t="shared" si="120"/>
        <v>6407.99</v>
      </c>
      <c r="F3883" s="680">
        <v>6407.99</v>
      </c>
      <c r="G3883" s="680">
        <v>6407.99</v>
      </c>
      <c r="H3883" t="b">
        <f t="shared" si="121"/>
        <v>1</v>
      </c>
    </row>
    <row r="3884" spans="1:8">
      <c r="A3884" s="396">
        <v>6110</v>
      </c>
      <c r="B3884" s="401" t="s">
        <v>12615</v>
      </c>
      <c r="C3884" s="396" t="s">
        <v>2020</v>
      </c>
      <c r="D3884" s="405">
        <f t="shared" si="120"/>
        <v>16.29</v>
      </c>
      <c r="F3884" s="679">
        <v>16.29</v>
      </c>
      <c r="G3884" s="679">
        <v>18.739999999999998</v>
      </c>
      <c r="H3884" t="b">
        <f t="shared" si="121"/>
        <v>0</v>
      </c>
    </row>
    <row r="3885" spans="1:8">
      <c r="A3885" s="395">
        <v>40910</v>
      </c>
      <c r="B3885" s="406" t="s">
        <v>12616</v>
      </c>
      <c r="C3885" s="395" t="s">
        <v>2027</v>
      </c>
      <c r="D3885" s="407">
        <f t="shared" si="120"/>
        <v>2871.23</v>
      </c>
      <c r="F3885" s="680">
        <v>2871.23</v>
      </c>
      <c r="G3885" s="680">
        <v>3307.49</v>
      </c>
      <c r="H3885" t="b">
        <f t="shared" si="121"/>
        <v>0</v>
      </c>
    </row>
    <row r="3886" spans="1:8">
      <c r="A3886" s="396">
        <v>6111</v>
      </c>
      <c r="B3886" s="401" t="s">
        <v>12617</v>
      </c>
      <c r="C3886" s="396" t="s">
        <v>2020</v>
      </c>
      <c r="D3886" s="405">
        <f t="shared" si="120"/>
        <v>12.14</v>
      </c>
      <c r="F3886" s="679">
        <v>12.14</v>
      </c>
      <c r="G3886" s="679">
        <v>13.97</v>
      </c>
      <c r="H3886" t="b">
        <f t="shared" si="121"/>
        <v>0</v>
      </c>
    </row>
    <row r="3887" spans="1:8">
      <c r="A3887" s="395">
        <v>41084</v>
      </c>
      <c r="B3887" s="406" t="s">
        <v>12618</v>
      </c>
      <c r="C3887" s="395" t="s">
        <v>2027</v>
      </c>
      <c r="D3887" s="407">
        <f t="shared" si="120"/>
        <v>2139.91</v>
      </c>
      <c r="F3887" s="680">
        <v>2139.91</v>
      </c>
      <c r="G3887" s="680">
        <v>2465.0500000000002</v>
      </c>
      <c r="H3887" t="b">
        <f t="shared" si="121"/>
        <v>0</v>
      </c>
    </row>
    <row r="3888" spans="1:8">
      <c r="A3888" s="396">
        <v>44535</v>
      </c>
      <c r="B3888" s="401" t="s">
        <v>12619</v>
      </c>
      <c r="C3888" s="396" t="s">
        <v>2022</v>
      </c>
      <c r="D3888" s="405">
        <f t="shared" si="120"/>
        <v>70.84</v>
      </c>
      <c r="F3888" s="679">
        <v>70.84</v>
      </c>
      <c r="G3888" s="679">
        <v>70.84</v>
      </c>
      <c r="H3888" t="b">
        <f t="shared" si="121"/>
        <v>1</v>
      </c>
    </row>
    <row r="3889" spans="1:8">
      <c r="A3889" s="395">
        <v>44945</v>
      </c>
      <c r="B3889" s="406" t="s">
        <v>12620</v>
      </c>
      <c r="C3889" s="395" t="s">
        <v>2021</v>
      </c>
      <c r="D3889" s="407">
        <f t="shared" si="120"/>
        <v>12.25</v>
      </c>
      <c r="F3889" s="680">
        <v>12.25</v>
      </c>
      <c r="G3889" s="680">
        <v>12.25</v>
      </c>
      <c r="H3889" t="b">
        <f t="shared" si="121"/>
        <v>1</v>
      </c>
    </row>
    <row r="3890" spans="1:8">
      <c r="A3890" s="396">
        <v>38637</v>
      </c>
      <c r="B3890" s="401" t="s">
        <v>12621</v>
      </c>
      <c r="C3890" s="396" t="s">
        <v>2021</v>
      </c>
      <c r="D3890" s="405">
        <f t="shared" si="120"/>
        <v>254.19</v>
      </c>
      <c r="F3890" s="679">
        <v>254.19</v>
      </c>
      <c r="G3890" s="679">
        <v>254.19</v>
      </c>
      <c r="H3890" t="b">
        <f t="shared" si="121"/>
        <v>1</v>
      </c>
    </row>
    <row r="3891" spans="1:8">
      <c r="A3891" s="395">
        <v>6150</v>
      </c>
      <c r="B3891" s="406" t="s">
        <v>12622</v>
      </c>
      <c r="C3891" s="395" t="s">
        <v>2021</v>
      </c>
      <c r="D3891" s="407">
        <f t="shared" si="120"/>
        <v>257.3</v>
      </c>
      <c r="F3891" s="680">
        <v>257.3</v>
      </c>
      <c r="G3891" s="680">
        <v>257.3</v>
      </c>
      <c r="H3891" t="b">
        <f t="shared" si="121"/>
        <v>1</v>
      </c>
    </row>
    <row r="3892" spans="1:8">
      <c r="A3892" s="396">
        <v>6136</v>
      </c>
      <c r="B3892" s="401" t="s">
        <v>12623</v>
      </c>
      <c r="C3892" s="396" t="s">
        <v>2021</v>
      </c>
      <c r="D3892" s="405">
        <f t="shared" si="120"/>
        <v>202.25</v>
      </c>
      <c r="F3892" s="679">
        <v>202.25</v>
      </c>
      <c r="G3892" s="679">
        <v>202.25</v>
      </c>
      <c r="H3892" t="b">
        <f t="shared" si="121"/>
        <v>1</v>
      </c>
    </row>
    <row r="3893" spans="1:8">
      <c r="A3893" s="395">
        <v>38638</v>
      </c>
      <c r="B3893" s="406" t="s">
        <v>12624</v>
      </c>
      <c r="C3893" s="395" t="s">
        <v>2021</v>
      </c>
      <c r="D3893" s="407">
        <f t="shared" si="120"/>
        <v>214.19</v>
      </c>
      <c r="F3893" s="680">
        <v>214.19</v>
      </c>
      <c r="G3893" s="680">
        <v>214.19</v>
      </c>
      <c r="H3893" t="b">
        <f t="shared" si="121"/>
        <v>1</v>
      </c>
    </row>
    <row r="3894" spans="1:8">
      <c r="A3894" s="396">
        <v>20262</v>
      </c>
      <c r="B3894" s="401" t="s">
        <v>12625</v>
      </c>
      <c r="C3894" s="396" t="s">
        <v>2021</v>
      </c>
      <c r="D3894" s="405">
        <f t="shared" si="120"/>
        <v>22.44</v>
      </c>
      <c r="F3894" s="679">
        <v>22.44</v>
      </c>
      <c r="G3894" s="679">
        <v>22.44</v>
      </c>
      <c r="H3894" t="b">
        <f t="shared" si="121"/>
        <v>1</v>
      </c>
    </row>
    <row r="3895" spans="1:8">
      <c r="A3895" s="395">
        <v>6145</v>
      </c>
      <c r="B3895" s="406" t="s">
        <v>12626</v>
      </c>
      <c r="C3895" s="395" t="s">
        <v>2021</v>
      </c>
      <c r="D3895" s="407">
        <f t="shared" si="120"/>
        <v>24.78</v>
      </c>
      <c r="F3895" s="680">
        <v>24.78</v>
      </c>
      <c r="G3895" s="680">
        <v>24.78</v>
      </c>
      <c r="H3895" t="b">
        <f t="shared" si="121"/>
        <v>1</v>
      </c>
    </row>
    <row r="3896" spans="1:8">
      <c r="A3896" s="396">
        <v>6149</v>
      </c>
      <c r="B3896" s="401" t="s">
        <v>12627</v>
      </c>
      <c r="C3896" s="396" t="s">
        <v>2021</v>
      </c>
      <c r="D3896" s="405">
        <f t="shared" si="120"/>
        <v>16.38</v>
      </c>
      <c r="F3896" s="679">
        <v>16.38</v>
      </c>
      <c r="G3896" s="679">
        <v>16.38</v>
      </c>
      <c r="H3896" t="b">
        <f t="shared" si="121"/>
        <v>1</v>
      </c>
    </row>
    <row r="3897" spans="1:8">
      <c r="A3897" s="395">
        <v>6146</v>
      </c>
      <c r="B3897" s="406" t="s">
        <v>12628</v>
      </c>
      <c r="C3897" s="395" t="s">
        <v>2021</v>
      </c>
      <c r="D3897" s="407">
        <f t="shared" si="120"/>
        <v>23.55</v>
      </c>
      <c r="F3897" s="680">
        <v>23.55</v>
      </c>
      <c r="G3897" s="680">
        <v>23.55</v>
      </c>
      <c r="H3897" t="b">
        <f t="shared" si="121"/>
        <v>1</v>
      </c>
    </row>
    <row r="3898" spans="1:8">
      <c r="A3898" s="396">
        <v>44536</v>
      </c>
      <c r="B3898" s="401" t="s">
        <v>12629</v>
      </c>
      <c r="C3898" s="396" t="s">
        <v>2025</v>
      </c>
      <c r="D3898" s="405">
        <f t="shared" si="120"/>
        <v>3.38</v>
      </c>
      <c r="F3898" s="679">
        <v>3.38</v>
      </c>
      <c r="G3898" s="679">
        <v>3.38</v>
      </c>
      <c r="H3898" t="b">
        <f t="shared" si="121"/>
        <v>1</v>
      </c>
    </row>
    <row r="3899" spans="1:8">
      <c r="A3899" s="395">
        <v>39961</v>
      </c>
      <c r="B3899" s="406" t="s">
        <v>12630</v>
      </c>
      <c r="C3899" s="395" t="s">
        <v>2021</v>
      </c>
      <c r="D3899" s="407">
        <f t="shared" si="120"/>
        <v>26.59</v>
      </c>
      <c r="F3899" s="680">
        <v>26.59</v>
      </c>
      <c r="G3899" s="680">
        <v>26.59</v>
      </c>
      <c r="H3899" t="b">
        <f t="shared" si="121"/>
        <v>1</v>
      </c>
    </row>
    <row r="3900" spans="1:8" ht="30">
      <c r="A3900" s="396">
        <v>42433</v>
      </c>
      <c r="B3900" s="401" t="s">
        <v>12631</v>
      </c>
      <c r="C3900" s="396" t="s">
        <v>2021</v>
      </c>
      <c r="D3900" s="405">
        <f t="shared" si="120"/>
        <v>4747</v>
      </c>
      <c r="F3900" s="679">
        <v>4747</v>
      </c>
      <c r="G3900" s="679">
        <v>4747</v>
      </c>
      <c r="H3900" t="b">
        <f t="shared" si="121"/>
        <v>1</v>
      </c>
    </row>
    <row r="3901" spans="1:8" ht="30">
      <c r="A3901" s="395">
        <v>42434</v>
      </c>
      <c r="B3901" s="406" t="s">
        <v>12632</v>
      </c>
      <c r="C3901" s="395" t="s">
        <v>2021</v>
      </c>
      <c r="D3901" s="407">
        <f t="shared" si="120"/>
        <v>5129.83</v>
      </c>
      <c r="F3901" s="680">
        <v>5129.83</v>
      </c>
      <c r="G3901" s="680">
        <v>5129.83</v>
      </c>
      <c r="H3901" t="b">
        <f t="shared" si="121"/>
        <v>1</v>
      </c>
    </row>
    <row r="3902" spans="1:8" ht="30">
      <c r="A3902" s="396">
        <v>42435</v>
      </c>
      <c r="B3902" s="401" t="s">
        <v>3522</v>
      </c>
      <c r="C3902" s="396" t="s">
        <v>2021</v>
      </c>
      <c r="D3902" s="405">
        <f t="shared" si="120"/>
        <v>2558.0500000000002</v>
      </c>
      <c r="F3902" s="679">
        <v>2558.0500000000002</v>
      </c>
      <c r="G3902" s="679">
        <v>2558.0500000000002</v>
      </c>
      <c r="H3902" t="b">
        <f t="shared" si="121"/>
        <v>1</v>
      </c>
    </row>
    <row r="3903" spans="1:8">
      <c r="A3903" s="395">
        <v>38061</v>
      </c>
      <c r="B3903" s="406" t="s">
        <v>12633</v>
      </c>
      <c r="C3903" s="395" t="s">
        <v>2021</v>
      </c>
      <c r="D3903" s="407">
        <f t="shared" si="120"/>
        <v>52.59</v>
      </c>
      <c r="F3903" s="680">
        <v>52.59</v>
      </c>
      <c r="G3903" s="680">
        <v>52.59</v>
      </c>
      <c r="H3903" t="b">
        <f t="shared" si="121"/>
        <v>1</v>
      </c>
    </row>
    <row r="3904" spans="1:8">
      <c r="A3904" s="396">
        <v>20250</v>
      </c>
      <c r="B3904" s="401" t="s">
        <v>12634</v>
      </c>
      <c r="C3904" s="396" t="s">
        <v>2025</v>
      </c>
      <c r="D3904" s="405">
        <f t="shared" si="120"/>
        <v>17.899999999999999</v>
      </c>
      <c r="F3904" s="679">
        <v>17.899999999999999</v>
      </c>
      <c r="G3904" s="679">
        <v>17.899999999999999</v>
      </c>
      <c r="H3904" t="b">
        <f t="shared" si="121"/>
        <v>1</v>
      </c>
    </row>
    <row r="3905" spans="1:8">
      <c r="A3905" s="395">
        <v>13388</v>
      </c>
      <c r="B3905" s="406" t="s">
        <v>12635</v>
      </c>
      <c r="C3905" s="395" t="s">
        <v>2025</v>
      </c>
      <c r="D3905" s="407">
        <f t="shared" si="120"/>
        <v>140.1</v>
      </c>
      <c r="F3905" s="680">
        <v>140.1</v>
      </c>
      <c r="G3905" s="680">
        <v>140.1</v>
      </c>
      <c r="H3905" t="b">
        <f t="shared" si="121"/>
        <v>1</v>
      </c>
    </row>
    <row r="3906" spans="1:8">
      <c r="A3906" s="396">
        <v>39914</v>
      </c>
      <c r="B3906" s="401" t="s">
        <v>12636</v>
      </c>
      <c r="C3906" s="396" t="s">
        <v>2025</v>
      </c>
      <c r="D3906" s="405">
        <f t="shared" si="120"/>
        <v>242.38</v>
      </c>
      <c r="F3906" s="679">
        <v>242.38</v>
      </c>
      <c r="G3906" s="679">
        <v>242.38</v>
      </c>
      <c r="H3906" t="b">
        <f t="shared" si="121"/>
        <v>1</v>
      </c>
    </row>
    <row r="3907" spans="1:8">
      <c r="A3907" s="395">
        <v>12732</v>
      </c>
      <c r="B3907" s="406" t="s">
        <v>12637</v>
      </c>
      <c r="C3907" s="395" t="s">
        <v>2021</v>
      </c>
      <c r="D3907" s="407">
        <f t="shared" ref="D3907:D3970" si="122">IF($J$2=$F$1,F3907,G3907)</f>
        <v>279.67</v>
      </c>
      <c r="F3907" s="680">
        <v>279.67</v>
      </c>
      <c r="G3907" s="680">
        <v>279.67</v>
      </c>
      <c r="H3907" t="b">
        <f t="shared" ref="H3907:H3970" si="123">F3907=G3907</f>
        <v>1</v>
      </c>
    </row>
    <row r="3908" spans="1:8">
      <c r="A3908" s="396">
        <v>6160</v>
      </c>
      <c r="B3908" s="401" t="s">
        <v>12638</v>
      </c>
      <c r="C3908" s="396" t="s">
        <v>2020</v>
      </c>
      <c r="D3908" s="405">
        <f t="shared" si="122"/>
        <v>16.29</v>
      </c>
      <c r="F3908" s="679">
        <v>16.29</v>
      </c>
      <c r="G3908" s="679">
        <v>18.739999999999998</v>
      </c>
      <c r="H3908" t="b">
        <f t="shared" si="123"/>
        <v>0</v>
      </c>
    </row>
    <row r="3909" spans="1:8">
      <c r="A3909" s="395">
        <v>41087</v>
      </c>
      <c r="B3909" s="406" t="s">
        <v>12639</v>
      </c>
      <c r="C3909" s="395" t="s">
        <v>2027</v>
      </c>
      <c r="D3909" s="407">
        <f t="shared" si="122"/>
        <v>2871.23</v>
      </c>
      <c r="F3909" s="680">
        <v>2871.23</v>
      </c>
      <c r="G3909" s="680">
        <v>3307.49</v>
      </c>
      <c r="H3909" t="b">
        <f t="shared" si="123"/>
        <v>0</v>
      </c>
    </row>
    <row r="3910" spans="1:8">
      <c r="A3910" s="396">
        <v>6166</v>
      </c>
      <c r="B3910" s="401" t="s">
        <v>12640</v>
      </c>
      <c r="C3910" s="396" t="s">
        <v>2020</v>
      </c>
      <c r="D3910" s="405">
        <f t="shared" si="122"/>
        <v>19.14</v>
      </c>
      <c r="F3910" s="679">
        <v>19.14</v>
      </c>
      <c r="G3910" s="679">
        <v>22.02</v>
      </c>
      <c r="H3910" t="b">
        <f t="shared" si="123"/>
        <v>0</v>
      </c>
    </row>
    <row r="3911" spans="1:8">
      <c r="A3911" s="395">
        <v>41088</v>
      </c>
      <c r="B3911" s="406" t="s">
        <v>12641</v>
      </c>
      <c r="C3911" s="395" t="s">
        <v>2027</v>
      </c>
      <c r="D3911" s="407">
        <f t="shared" si="122"/>
        <v>3374.05</v>
      </c>
      <c r="F3911" s="680">
        <v>3374.05</v>
      </c>
      <c r="G3911" s="680">
        <v>3886.7</v>
      </c>
      <c r="H3911" t="b">
        <f t="shared" si="123"/>
        <v>0</v>
      </c>
    </row>
    <row r="3912" spans="1:8" ht="30">
      <c r="A3912" s="396">
        <v>20232</v>
      </c>
      <c r="B3912" s="401" t="s">
        <v>12642</v>
      </c>
      <c r="C3912" s="396" t="s">
        <v>2024</v>
      </c>
      <c r="D3912" s="405">
        <f t="shared" si="122"/>
        <v>115.88</v>
      </c>
      <c r="F3912" s="679">
        <v>115.88</v>
      </c>
      <c r="G3912" s="679">
        <v>115.88</v>
      </c>
      <c r="H3912" t="b">
        <f t="shared" si="123"/>
        <v>1</v>
      </c>
    </row>
    <row r="3913" spans="1:8">
      <c r="A3913" s="395">
        <v>10856</v>
      </c>
      <c r="B3913" s="406" t="s">
        <v>12643</v>
      </c>
      <c r="C3913" s="395" t="s">
        <v>2024</v>
      </c>
      <c r="D3913" s="407">
        <f t="shared" si="122"/>
        <v>114.78</v>
      </c>
      <c r="F3913" s="680">
        <v>114.78</v>
      </c>
      <c r="G3913" s="680">
        <v>114.78</v>
      </c>
      <c r="H3913" t="b">
        <f t="shared" si="123"/>
        <v>1</v>
      </c>
    </row>
    <row r="3914" spans="1:8">
      <c r="A3914" s="396">
        <v>4828</v>
      </c>
      <c r="B3914" s="401" t="s">
        <v>12644</v>
      </c>
      <c r="C3914" s="396" t="s">
        <v>2024</v>
      </c>
      <c r="D3914" s="405">
        <f t="shared" si="122"/>
        <v>71.069999999999993</v>
      </c>
      <c r="F3914" s="679">
        <v>71.069999999999993</v>
      </c>
      <c r="G3914" s="679">
        <v>71.069999999999993</v>
      </c>
      <c r="H3914" t="b">
        <f t="shared" si="123"/>
        <v>1</v>
      </c>
    </row>
    <row r="3915" spans="1:8">
      <c r="A3915" s="395">
        <v>20249</v>
      </c>
      <c r="B3915" s="406" t="s">
        <v>12645</v>
      </c>
      <c r="C3915" s="395" t="s">
        <v>2024</v>
      </c>
      <c r="D3915" s="407">
        <f t="shared" si="122"/>
        <v>38.92</v>
      </c>
      <c r="F3915" s="680">
        <v>38.92</v>
      </c>
      <c r="G3915" s="680">
        <v>38.92</v>
      </c>
      <c r="H3915" t="b">
        <f t="shared" si="123"/>
        <v>1</v>
      </c>
    </row>
    <row r="3916" spans="1:8">
      <c r="A3916" s="396">
        <v>11609</v>
      </c>
      <c r="B3916" s="401" t="s">
        <v>12646</v>
      </c>
      <c r="C3916" s="396" t="s">
        <v>2026</v>
      </c>
      <c r="D3916" s="405">
        <f t="shared" si="122"/>
        <v>14.17</v>
      </c>
      <c r="F3916" s="679">
        <v>14.17</v>
      </c>
      <c r="G3916" s="679">
        <v>14.17</v>
      </c>
      <c r="H3916" t="b">
        <f t="shared" si="123"/>
        <v>1</v>
      </c>
    </row>
    <row r="3917" spans="1:8">
      <c r="A3917" s="395">
        <v>20083</v>
      </c>
      <c r="B3917" s="406" t="s">
        <v>12647</v>
      </c>
      <c r="C3917" s="395" t="s">
        <v>2021</v>
      </c>
      <c r="D3917" s="407">
        <f t="shared" si="122"/>
        <v>86.3</v>
      </c>
      <c r="F3917" s="680">
        <v>86.3</v>
      </c>
      <c r="G3917" s="680">
        <v>86.3</v>
      </c>
      <c r="H3917" t="b">
        <f t="shared" si="123"/>
        <v>1</v>
      </c>
    </row>
    <row r="3918" spans="1:8">
      <c r="A3918" s="396">
        <v>10691</v>
      </c>
      <c r="B3918" s="401" t="s">
        <v>12648</v>
      </c>
      <c r="C3918" s="396" t="s">
        <v>2026</v>
      </c>
      <c r="D3918" s="405">
        <f t="shared" si="122"/>
        <v>72.7</v>
      </c>
      <c r="F3918" s="679">
        <v>72.7</v>
      </c>
      <c r="G3918" s="679">
        <v>72.7</v>
      </c>
      <c r="H3918" t="b">
        <f t="shared" si="123"/>
        <v>1</v>
      </c>
    </row>
    <row r="3919" spans="1:8">
      <c r="A3919" s="395">
        <v>12295</v>
      </c>
      <c r="B3919" s="406" t="s">
        <v>12649</v>
      </c>
      <c r="C3919" s="395" t="s">
        <v>2021</v>
      </c>
      <c r="D3919" s="407">
        <f t="shared" si="122"/>
        <v>3.39</v>
      </c>
      <c r="F3919" s="680">
        <v>3.39</v>
      </c>
      <c r="G3919" s="680">
        <v>3.39</v>
      </c>
      <c r="H3919" t="b">
        <f t="shared" si="123"/>
        <v>1</v>
      </c>
    </row>
    <row r="3920" spans="1:8">
      <c r="A3920" s="396">
        <v>12296</v>
      </c>
      <c r="B3920" s="401" t="s">
        <v>12650</v>
      </c>
      <c r="C3920" s="396" t="s">
        <v>2021</v>
      </c>
      <c r="D3920" s="405">
        <f t="shared" si="122"/>
        <v>4.38</v>
      </c>
      <c r="F3920" s="679">
        <v>4.38</v>
      </c>
      <c r="G3920" s="679">
        <v>4.38</v>
      </c>
      <c r="H3920" t="b">
        <f t="shared" si="123"/>
        <v>1</v>
      </c>
    </row>
    <row r="3921" spans="1:8">
      <c r="A3921" s="395">
        <v>12294</v>
      </c>
      <c r="B3921" s="406" t="s">
        <v>12651</v>
      </c>
      <c r="C3921" s="395" t="s">
        <v>2021</v>
      </c>
      <c r="D3921" s="407">
        <f t="shared" si="122"/>
        <v>10.52</v>
      </c>
      <c r="F3921" s="680">
        <v>10.52</v>
      </c>
      <c r="G3921" s="680">
        <v>10.52</v>
      </c>
      <c r="H3921" t="b">
        <f t="shared" si="123"/>
        <v>1</v>
      </c>
    </row>
    <row r="3922" spans="1:8">
      <c r="A3922" s="396">
        <v>14543</v>
      </c>
      <c r="B3922" s="401" t="s">
        <v>12652</v>
      </c>
      <c r="C3922" s="396" t="s">
        <v>2021</v>
      </c>
      <c r="D3922" s="405">
        <f t="shared" si="122"/>
        <v>7.51</v>
      </c>
      <c r="F3922" s="679">
        <v>7.51</v>
      </c>
      <c r="G3922" s="679">
        <v>7.51</v>
      </c>
      <c r="H3922" t="b">
        <f t="shared" si="123"/>
        <v>1</v>
      </c>
    </row>
    <row r="3923" spans="1:8">
      <c r="A3923" s="395">
        <v>13329</v>
      </c>
      <c r="B3923" s="406" t="s">
        <v>12653</v>
      </c>
      <c r="C3923" s="395" t="s">
        <v>2021</v>
      </c>
      <c r="D3923" s="407">
        <f t="shared" si="122"/>
        <v>4.41</v>
      </c>
      <c r="F3923" s="680">
        <v>4.41</v>
      </c>
      <c r="G3923" s="680">
        <v>4.41</v>
      </c>
      <c r="H3923" t="b">
        <f t="shared" si="123"/>
        <v>1</v>
      </c>
    </row>
    <row r="3924" spans="1:8">
      <c r="A3924" s="396">
        <v>21047</v>
      </c>
      <c r="B3924" s="401" t="s">
        <v>12654</v>
      </c>
      <c r="C3924" s="396" t="s">
        <v>2021</v>
      </c>
      <c r="D3924" s="405">
        <f t="shared" si="122"/>
        <v>36.909999999999997</v>
      </c>
      <c r="F3924" s="679">
        <v>36.909999999999997</v>
      </c>
      <c r="G3924" s="679">
        <v>36.909999999999997</v>
      </c>
      <c r="H3924" t="b">
        <f t="shared" si="123"/>
        <v>1</v>
      </c>
    </row>
    <row r="3925" spans="1:8" ht="30">
      <c r="A3925" s="395">
        <v>21042</v>
      </c>
      <c r="B3925" s="406" t="s">
        <v>12655</v>
      </c>
      <c r="C3925" s="395" t="s">
        <v>2021</v>
      </c>
      <c r="D3925" s="407">
        <f t="shared" si="122"/>
        <v>28.45</v>
      </c>
      <c r="F3925" s="680">
        <v>28.45</v>
      </c>
      <c r="G3925" s="680">
        <v>28.45</v>
      </c>
      <c r="H3925" t="b">
        <f t="shared" si="123"/>
        <v>1</v>
      </c>
    </row>
    <row r="3926" spans="1:8">
      <c r="A3926" s="396">
        <v>21043</v>
      </c>
      <c r="B3926" s="401" t="s">
        <v>12656</v>
      </c>
      <c r="C3926" s="396" t="s">
        <v>2021</v>
      </c>
      <c r="D3926" s="405">
        <f t="shared" si="122"/>
        <v>35.94</v>
      </c>
      <c r="F3926" s="679">
        <v>35.94</v>
      </c>
      <c r="G3926" s="679">
        <v>35.94</v>
      </c>
      <c r="H3926" t="b">
        <f t="shared" si="123"/>
        <v>1</v>
      </c>
    </row>
    <row r="3927" spans="1:8">
      <c r="A3927" s="395">
        <v>21044</v>
      </c>
      <c r="B3927" s="406" t="s">
        <v>12657</v>
      </c>
      <c r="C3927" s="395" t="s">
        <v>2021</v>
      </c>
      <c r="D3927" s="407">
        <f t="shared" si="122"/>
        <v>25.03</v>
      </c>
      <c r="F3927" s="680">
        <v>25.03</v>
      </c>
      <c r="G3927" s="680">
        <v>25.03</v>
      </c>
      <c r="H3927" t="b">
        <f t="shared" si="123"/>
        <v>1</v>
      </c>
    </row>
    <row r="3928" spans="1:8">
      <c r="A3928" s="396">
        <v>21045</v>
      </c>
      <c r="B3928" s="401" t="s">
        <v>12658</v>
      </c>
      <c r="C3928" s="396" t="s">
        <v>2021</v>
      </c>
      <c r="D3928" s="405">
        <f t="shared" si="122"/>
        <v>34.29</v>
      </c>
      <c r="F3928" s="679">
        <v>34.29</v>
      </c>
      <c r="G3928" s="679">
        <v>34.29</v>
      </c>
      <c r="H3928" t="b">
        <f t="shared" si="123"/>
        <v>1</v>
      </c>
    </row>
    <row r="3929" spans="1:8">
      <c r="A3929" s="395">
        <v>21041</v>
      </c>
      <c r="B3929" s="406" t="s">
        <v>12659</v>
      </c>
      <c r="C3929" s="395" t="s">
        <v>2021</v>
      </c>
      <c r="D3929" s="407">
        <f t="shared" si="122"/>
        <v>29.57</v>
      </c>
      <c r="F3929" s="680">
        <v>29.57</v>
      </c>
      <c r="G3929" s="680">
        <v>29.57</v>
      </c>
      <c r="H3929" t="b">
        <f t="shared" si="123"/>
        <v>1</v>
      </c>
    </row>
    <row r="3930" spans="1:8">
      <c r="A3930" s="396">
        <v>21040</v>
      </c>
      <c r="B3930" s="401" t="s">
        <v>12660</v>
      </c>
      <c r="C3930" s="396" t="s">
        <v>2021</v>
      </c>
      <c r="D3930" s="405">
        <f t="shared" si="122"/>
        <v>24.5</v>
      </c>
      <c r="F3930" s="679">
        <v>24.5</v>
      </c>
      <c r="G3930" s="679">
        <v>24.5</v>
      </c>
      <c r="H3930" t="b">
        <f t="shared" si="123"/>
        <v>1</v>
      </c>
    </row>
    <row r="3931" spans="1:8">
      <c r="A3931" s="395">
        <v>14149</v>
      </c>
      <c r="B3931" s="406" t="s">
        <v>12661</v>
      </c>
      <c r="C3931" s="395" t="s">
        <v>2034</v>
      </c>
      <c r="D3931" s="407">
        <f t="shared" si="122"/>
        <v>195.98</v>
      </c>
      <c r="F3931" s="680">
        <v>195.98</v>
      </c>
      <c r="G3931" s="680">
        <v>195.98</v>
      </c>
      <c r="H3931" t="b">
        <f t="shared" si="123"/>
        <v>1</v>
      </c>
    </row>
    <row r="3932" spans="1:8" ht="30">
      <c r="A3932" s="396">
        <v>38099</v>
      </c>
      <c r="B3932" s="401" t="s">
        <v>12662</v>
      </c>
      <c r="C3932" s="396" t="s">
        <v>2021</v>
      </c>
      <c r="D3932" s="405">
        <f t="shared" si="122"/>
        <v>1.39</v>
      </c>
      <c r="F3932" s="679">
        <v>1.39</v>
      </c>
      <c r="G3932" s="679">
        <v>1.39</v>
      </c>
      <c r="H3932" t="b">
        <f t="shared" si="123"/>
        <v>1</v>
      </c>
    </row>
    <row r="3933" spans="1:8" ht="30">
      <c r="A3933" s="395">
        <v>38100</v>
      </c>
      <c r="B3933" s="406" t="s">
        <v>12663</v>
      </c>
      <c r="C3933" s="395" t="s">
        <v>2021</v>
      </c>
      <c r="D3933" s="407">
        <f t="shared" si="122"/>
        <v>2.2799999999999998</v>
      </c>
      <c r="F3933" s="680">
        <v>2.2799999999999998</v>
      </c>
      <c r="G3933" s="680">
        <v>2.2799999999999998</v>
      </c>
      <c r="H3933" t="b">
        <f t="shared" si="123"/>
        <v>1</v>
      </c>
    </row>
    <row r="3934" spans="1:8">
      <c r="A3934" s="396">
        <v>7576</v>
      </c>
      <c r="B3934" s="401" t="s">
        <v>12664</v>
      </c>
      <c r="C3934" s="396" t="s">
        <v>2021</v>
      </c>
      <c r="D3934" s="405">
        <f t="shared" si="122"/>
        <v>233.15</v>
      </c>
      <c r="F3934" s="679">
        <v>233.15</v>
      </c>
      <c r="G3934" s="679">
        <v>233.15</v>
      </c>
      <c r="H3934" t="b">
        <f t="shared" si="123"/>
        <v>1</v>
      </c>
    </row>
    <row r="3935" spans="1:8">
      <c r="A3935" s="395">
        <v>3384</v>
      </c>
      <c r="B3935" s="406" t="s">
        <v>12665</v>
      </c>
      <c r="C3935" s="395" t="s">
        <v>2021</v>
      </c>
      <c r="D3935" s="407">
        <f t="shared" si="122"/>
        <v>8.58</v>
      </c>
      <c r="F3935" s="680">
        <v>8.58</v>
      </c>
      <c r="G3935" s="680">
        <v>8.58</v>
      </c>
      <c r="H3935" t="b">
        <f t="shared" si="123"/>
        <v>1</v>
      </c>
    </row>
    <row r="3936" spans="1:8">
      <c r="A3936" s="396">
        <v>7572</v>
      </c>
      <c r="B3936" s="401" t="s">
        <v>12666</v>
      </c>
      <c r="C3936" s="396" t="s">
        <v>2021</v>
      </c>
      <c r="D3936" s="405">
        <f t="shared" si="122"/>
        <v>8.6</v>
      </c>
      <c r="F3936" s="679">
        <v>8.6</v>
      </c>
      <c r="G3936" s="679">
        <v>8.6</v>
      </c>
      <c r="H3936" t="b">
        <f t="shared" si="123"/>
        <v>1</v>
      </c>
    </row>
    <row r="3937" spans="1:8">
      <c r="A3937" s="395">
        <v>3396</v>
      </c>
      <c r="B3937" s="406" t="s">
        <v>12667</v>
      </c>
      <c r="C3937" s="395" t="s">
        <v>2021</v>
      </c>
      <c r="D3937" s="407">
        <f t="shared" si="122"/>
        <v>5.81</v>
      </c>
      <c r="F3937" s="680">
        <v>5.81</v>
      </c>
      <c r="G3937" s="680">
        <v>5.81</v>
      </c>
      <c r="H3937" t="b">
        <f t="shared" si="123"/>
        <v>1</v>
      </c>
    </row>
    <row r="3938" spans="1:8">
      <c r="A3938" s="396">
        <v>37590</v>
      </c>
      <c r="B3938" s="401" t="s">
        <v>12668</v>
      </c>
      <c r="C3938" s="396" t="s">
        <v>2021</v>
      </c>
      <c r="D3938" s="405">
        <f t="shared" si="122"/>
        <v>22.46</v>
      </c>
      <c r="F3938" s="679">
        <v>22.46</v>
      </c>
      <c r="G3938" s="679">
        <v>22.46</v>
      </c>
      <c r="H3938" t="b">
        <f t="shared" si="123"/>
        <v>1</v>
      </c>
    </row>
    <row r="3939" spans="1:8">
      <c r="A3939" s="395">
        <v>37591</v>
      </c>
      <c r="B3939" s="406" t="s">
        <v>12669</v>
      </c>
      <c r="C3939" s="395" t="s">
        <v>2021</v>
      </c>
      <c r="D3939" s="407">
        <f t="shared" si="122"/>
        <v>27</v>
      </c>
      <c r="F3939" s="680">
        <v>27</v>
      </c>
      <c r="G3939" s="680">
        <v>27</v>
      </c>
      <c r="H3939" t="b">
        <f t="shared" si="123"/>
        <v>1</v>
      </c>
    </row>
    <row r="3940" spans="1:8" ht="30">
      <c r="A3940" s="396">
        <v>12626</v>
      </c>
      <c r="B3940" s="401" t="s">
        <v>12670</v>
      </c>
      <c r="C3940" s="396" t="s">
        <v>2021</v>
      </c>
      <c r="D3940" s="405">
        <f t="shared" si="122"/>
        <v>50.2</v>
      </c>
      <c r="F3940" s="679">
        <v>50.2</v>
      </c>
      <c r="G3940" s="679">
        <v>50.2</v>
      </c>
      <c r="H3940" t="b">
        <f t="shared" si="123"/>
        <v>1</v>
      </c>
    </row>
    <row r="3941" spans="1:8">
      <c r="A3941" s="395">
        <v>11033</v>
      </c>
      <c r="B3941" s="406" t="s">
        <v>12671</v>
      </c>
      <c r="C3941" s="395" t="s">
        <v>2021</v>
      </c>
      <c r="D3941" s="407">
        <f t="shared" si="122"/>
        <v>6.8</v>
      </c>
      <c r="F3941" s="680">
        <v>6.8</v>
      </c>
      <c r="G3941" s="680">
        <v>6.8</v>
      </c>
      <c r="H3941" t="b">
        <f t="shared" si="123"/>
        <v>1</v>
      </c>
    </row>
    <row r="3942" spans="1:8">
      <c r="A3942" s="396">
        <v>390</v>
      </c>
      <c r="B3942" s="401" t="s">
        <v>12672</v>
      </c>
      <c r="C3942" s="396" t="s">
        <v>2021</v>
      </c>
      <c r="D3942" s="405">
        <f t="shared" si="122"/>
        <v>10.51</v>
      </c>
      <c r="F3942" s="679">
        <v>10.51</v>
      </c>
      <c r="G3942" s="679">
        <v>10.51</v>
      </c>
      <c r="H3942" t="b">
        <f t="shared" si="123"/>
        <v>1</v>
      </c>
    </row>
    <row r="3943" spans="1:8" ht="30">
      <c r="A3943" s="395">
        <v>42436</v>
      </c>
      <c r="B3943" s="406" t="s">
        <v>12673</v>
      </c>
      <c r="C3943" s="395" t="s">
        <v>2021</v>
      </c>
      <c r="D3943" s="407">
        <f t="shared" si="122"/>
        <v>2677.55</v>
      </c>
      <c r="F3943" s="680">
        <v>2677.55</v>
      </c>
      <c r="G3943" s="680">
        <v>2677.55</v>
      </c>
      <c r="H3943" t="b">
        <f t="shared" si="123"/>
        <v>1</v>
      </c>
    </row>
    <row r="3944" spans="1:8">
      <c r="A3944" s="396">
        <v>6193</v>
      </c>
      <c r="B3944" s="401" t="s">
        <v>12674</v>
      </c>
      <c r="C3944" s="396" t="s">
        <v>2024</v>
      </c>
      <c r="D3944" s="405">
        <f t="shared" si="122"/>
        <v>16.670000000000002</v>
      </c>
      <c r="F3944" s="679">
        <v>16.670000000000002</v>
      </c>
      <c r="G3944" s="679">
        <v>16.670000000000002</v>
      </c>
      <c r="H3944" t="b">
        <f t="shared" si="123"/>
        <v>1</v>
      </c>
    </row>
    <row r="3945" spans="1:8">
      <c r="A3945" s="395">
        <v>6194</v>
      </c>
      <c r="B3945" s="406" t="s">
        <v>12675</v>
      </c>
      <c r="C3945" s="395" t="s">
        <v>2024</v>
      </c>
      <c r="D3945" s="407">
        <f t="shared" si="122"/>
        <v>9.24</v>
      </c>
      <c r="F3945" s="680">
        <v>9.24</v>
      </c>
      <c r="G3945" s="680">
        <v>9.24</v>
      </c>
      <c r="H3945" t="b">
        <f t="shared" si="123"/>
        <v>1</v>
      </c>
    </row>
    <row r="3946" spans="1:8">
      <c r="A3946" s="396">
        <v>10567</v>
      </c>
      <c r="B3946" s="401" t="s">
        <v>12676</v>
      </c>
      <c r="C3946" s="396" t="s">
        <v>2024</v>
      </c>
      <c r="D3946" s="405">
        <f t="shared" si="122"/>
        <v>14.63</v>
      </c>
      <c r="F3946" s="679">
        <v>14.63</v>
      </c>
      <c r="G3946" s="679">
        <v>14.63</v>
      </c>
      <c r="H3946" t="b">
        <f t="shared" si="123"/>
        <v>1</v>
      </c>
    </row>
    <row r="3947" spans="1:8">
      <c r="A3947" s="395">
        <v>6212</v>
      </c>
      <c r="B3947" s="406" t="s">
        <v>12677</v>
      </c>
      <c r="C3947" s="395" t="s">
        <v>2024</v>
      </c>
      <c r="D3947" s="407">
        <f t="shared" si="122"/>
        <v>21.47</v>
      </c>
      <c r="F3947" s="680">
        <v>21.47</v>
      </c>
      <c r="G3947" s="680">
        <v>21.47</v>
      </c>
      <c r="H3947" t="b">
        <f t="shared" si="123"/>
        <v>1</v>
      </c>
    </row>
    <row r="3948" spans="1:8">
      <c r="A3948" s="396">
        <v>3993</v>
      </c>
      <c r="B3948" s="401" t="s">
        <v>12678</v>
      </c>
      <c r="C3948" s="396" t="s">
        <v>2023</v>
      </c>
      <c r="D3948" s="405">
        <f t="shared" si="122"/>
        <v>107.78</v>
      </c>
      <c r="F3948" s="679">
        <v>107.78</v>
      </c>
      <c r="G3948" s="679">
        <v>107.78</v>
      </c>
      <c r="H3948" t="b">
        <f t="shared" si="123"/>
        <v>1</v>
      </c>
    </row>
    <row r="3949" spans="1:8">
      <c r="A3949" s="395">
        <v>3990</v>
      </c>
      <c r="B3949" s="406" t="s">
        <v>12679</v>
      </c>
      <c r="C3949" s="395" t="s">
        <v>2024</v>
      </c>
      <c r="D3949" s="407">
        <f t="shared" si="122"/>
        <v>20.28</v>
      </c>
      <c r="F3949" s="680">
        <v>20.28</v>
      </c>
      <c r="G3949" s="680">
        <v>20.28</v>
      </c>
      <c r="H3949" t="b">
        <f t="shared" si="123"/>
        <v>1</v>
      </c>
    </row>
    <row r="3950" spans="1:8">
      <c r="A3950" s="396">
        <v>3992</v>
      </c>
      <c r="B3950" s="401" t="s">
        <v>12680</v>
      </c>
      <c r="C3950" s="396" t="s">
        <v>2024</v>
      </c>
      <c r="D3950" s="405">
        <f t="shared" si="122"/>
        <v>27.38</v>
      </c>
      <c r="F3950" s="679">
        <v>27.38</v>
      </c>
      <c r="G3950" s="679">
        <v>27.38</v>
      </c>
      <c r="H3950" t="b">
        <f t="shared" si="123"/>
        <v>1</v>
      </c>
    </row>
    <row r="3951" spans="1:8">
      <c r="A3951" s="395">
        <v>6178</v>
      </c>
      <c r="B3951" s="406" t="s">
        <v>12681</v>
      </c>
      <c r="C3951" s="395" t="s">
        <v>2023</v>
      </c>
      <c r="D3951" s="407">
        <f t="shared" si="122"/>
        <v>267.77</v>
      </c>
      <c r="F3951" s="680">
        <v>267.77</v>
      </c>
      <c r="G3951" s="680">
        <v>267.77</v>
      </c>
      <c r="H3951" t="b">
        <f t="shared" si="123"/>
        <v>1</v>
      </c>
    </row>
    <row r="3952" spans="1:8">
      <c r="A3952" s="396">
        <v>6180</v>
      </c>
      <c r="B3952" s="401" t="s">
        <v>12682</v>
      </c>
      <c r="C3952" s="396" t="s">
        <v>2023</v>
      </c>
      <c r="D3952" s="405">
        <f t="shared" si="122"/>
        <v>289</v>
      </c>
      <c r="F3952" s="679">
        <v>289</v>
      </c>
      <c r="G3952" s="679">
        <v>289</v>
      </c>
      <c r="H3952" t="b">
        <f t="shared" si="123"/>
        <v>1</v>
      </c>
    </row>
    <row r="3953" spans="1:8">
      <c r="A3953" s="395">
        <v>6182</v>
      </c>
      <c r="B3953" s="406" t="s">
        <v>12683</v>
      </c>
      <c r="C3953" s="395" t="s">
        <v>2023</v>
      </c>
      <c r="D3953" s="407">
        <f t="shared" si="122"/>
        <v>358.72</v>
      </c>
      <c r="F3953" s="680">
        <v>358.72</v>
      </c>
      <c r="G3953" s="680">
        <v>358.72</v>
      </c>
      <c r="H3953" t="b">
        <f t="shared" si="123"/>
        <v>1</v>
      </c>
    </row>
    <row r="3954" spans="1:8">
      <c r="A3954" s="396">
        <v>43614</v>
      </c>
      <c r="B3954" s="401" t="s">
        <v>12684</v>
      </c>
      <c r="C3954" s="396" t="s">
        <v>2024</v>
      </c>
      <c r="D3954" s="405">
        <f t="shared" si="122"/>
        <v>13.7</v>
      </c>
      <c r="F3954" s="679">
        <v>13.7</v>
      </c>
      <c r="G3954" s="679">
        <v>13.7</v>
      </c>
      <c r="H3954" t="b">
        <f t="shared" si="123"/>
        <v>1</v>
      </c>
    </row>
    <row r="3955" spans="1:8">
      <c r="A3955" s="395">
        <v>6189</v>
      </c>
      <c r="B3955" s="406" t="s">
        <v>12685</v>
      </c>
      <c r="C3955" s="395" t="s">
        <v>2024</v>
      </c>
      <c r="D3955" s="407">
        <f t="shared" si="122"/>
        <v>24.33</v>
      </c>
      <c r="F3955" s="680">
        <v>24.33</v>
      </c>
      <c r="G3955" s="680">
        <v>24.33</v>
      </c>
      <c r="H3955" t="b">
        <f t="shared" si="123"/>
        <v>1</v>
      </c>
    </row>
    <row r="3956" spans="1:8">
      <c r="A3956" s="396">
        <v>6214</v>
      </c>
      <c r="B3956" s="401" t="s">
        <v>12686</v>
      </c>
      <c r="C3956" s="396" t="s">
        <v>2023</v>
      </c>
      <c r="D3956" s="405">
        <f t="shared" si="122"/>
        <v>167.74</v>
      </c>
      <c r="F3956" s="679">
        <v>167.74</v>
      </c>
      <c r="G3956" s="679">
        <v>167.74</v>
      </c>
      <c r="H3956" t="b">
        <f t="shared" si="123"/>
        <v>1</v>
      </c>
    </row>
    <row r="3957" spans="1:8">
      <c r="A3957" s="395">
        <v>36153</v>
      </c>
      <c r="B3957" s="406" t="s">
        <v>12687</v>
      </c>
      <c r="C3957" s="395" t="s">
        <v>2021</v>
      </c>
      <c r="D3957" s="407">
        <f t="shared" si="122"/>
        <v>212.66</v>
      </c>
      <c r="F3957" s="680">
        <v>212.66</v>
      </c>
      <c r="G3957" s="680">
        <v>212.66</v>
      </c>
      <c r="H3957" t="b">
        <f t="shared" si="123"/>
        <v>1</v>
      </c>
    </row>
    <row r="3958" spans="1:8">
      <c r="A3958" s="396">
        <v>10740</v>
      </c>
      <c r="B3958" s="401" t="s">
        <v>12688</v>
      </c>
      <c r="C3958" s="396" t="s">
        <v>2021</v>
      </c>
      <c r="D3958" s="405">
        <f t="shared" si="122"/>
        <v>12194.28</v>
      </c>
      <c r="F3958" s="679">
        <v>12194.28</v>
      </c>
      <c r="G3958" s="679">
        <v>12194.28</v>
      </c>
      <c r="H3958" t="b">
        <f t="shared" si="123"/>
        <v>1</v>
      </c>
    </row>
    <row r="3959" spans="1:8">
      <c r="A3959" s="395">
        <v>13914</v>
      </c>
      <c r="B3959" s="406" t="s">
        <v>12689</v>
      </c>
      <c r="C3959" s="395" t="s">
        <v>2021</v>
      </c>
      <c r="D3959" s="407">
        <f t="shared" si="122"/>
        <v>882.3</v>
      </c>
      <c r="F3959" s="680">
        <v>882.3</v>
      </c>
      <c r="G3959" s="680">
        <v>882.3</v>
      </c>
      <c r="H3959" t="b">
        <f t="shared" si="123"/>
        <v>1</v>
      </c>
    </row>
    <row r="3960" spans="1:8">
      <c r="A3960" s="396">
        <v>10742</v>
      </c>
      <c r="B3960" s="401" t="s">
        <v>12690</v>
      </c>
      <c r="C3960" s="396" t="s">
        <v>2021</v>
      </c>
      <c r="D3960" s="405">
        <f t="shared" si="122"/>
        <v>1286.8499999999999</v>
      </c>
      <c r="F3960" s="679">
        <v>1286.8499999999999</v>
      </c>
      <c r="G3960" s="679">
        <v>1286.8499999999999</v>
      </c>
      <c r="H3960" t="b">
        <f t="shared" si="123"/>
        <v>1</v>
      </c>
    </row>
    <row r="3961" spans="1:8">
      <c r="A3961" s="395">
        <v>38465</v>
      </c>
      <c r="B3961" s="406" t="s">
        <v>12691</v>
      </c>
      <c r="C3961" s="395" t="s">
        <v>2021</v>
      </c>
      <c r="D3961" s="407">
        <f t="shared" si="122"/>
        <v>33.99</v>
      </c>
      <c r="F3961" s="680">
        <v>33.99</v>
      </c>
      <c r="G3961" s="680">
        <v>33.99</v>
      </c>
      <c r="H3961" t="b">
        <f t="shared" si="123"/>
        <v>1</v>
      </c>
    </row>
    <row r="3962" spans="1:8">
      <c r="A3962" s="396">
        <v>7543</v>
      </c>
      <c r="B3962" s="401" t="s">
        <v>12692</v>
      </c>
      <c r="C3962" s="396" t="s">
        <v>2021</v>
      </c>
      <c r="D3962" s="405">
        <f t="shared" si="122"/>
        <v>5.57</v>
      </c>
      <c r="F3962" s="679">
        <v>5.57</v>
      </c>
      <c r="G3962" s="679">
        <v>5.57</v>
      </c>
      <c r="H3962" t="b">
        <f t="shared" si="123"/>
        <v>1</v>
      </c>
    </row>
    <row r="3963" spans="1:8">
      <c r="A3963" s="395">
        <v>43427</v>
      </c>
      <c r="B3963" s="406" t="s">
        <v>12693</v>
      </c>
      <c r="C3963" s="395" t="s">
        <v>2021</v>
      </c>
      <c r="D3963" s="407">
        <f t="shared" si="122"/>
        <v>1864.15</v>
      </c>
      <c r="F3963" s="680">
        <v>1864.15</v>
      </c>
      <c r="G3963" s="680">
        <v>1864.15</v>
      </c>
      <c r="H3963" t="b">
        <f t="shared" si="123"/>
        <v>1</v>
      </c>
    </row>
    <row r="3964" spans="1:8">
      <c r="A3964" s="396">
        <v>41613</v>
      </c>
      <c r="B3964" s="401" t="s">
        <v>12694</v>
      </c>
      <c r="C3964" s="396" t="s">
        <v>2021</v>
      </c>
      <c r="D3964" s="405">
        <f t="shared" si="122"/>
        <v>119.83</v>
      </c>
      <c r="F3964" s="679">
        <v>119.83</v>
      </c>
      <c r="G3964" s="679">
        <v>119.83</v>
      </c>
      <c r="H3964" t="b">
        <f t="shared" si="123"/>
        <v>1</v>
      </c>
    </row>
    <row r="3965" spans="1:8">
      <c r="A3965" s="395">
        <v>41614</v>
      </c>
      <c r="B3965" s="406" t="s">
        <v>12695</v>
      </c>
      <c r="C3965" s="395" t="s">
        <v>2021</v>
      </c>
      <c r="D3965" s="407">
        <f t="shared" si="122"/>
        <v>152.68</v>
      </c>
      <c r="F3965" s="680">
        <v>152.68</v>
      </c>
      <c r="G3965" s="680">
        <v>152.68</v>
      </c>
      <c r="H3965" t="b">
        <f t="shared" si="123"/>
        <v>1</v>
      </c>
    </row>
    <row r="3966" spans="1:8">
      <c r="A3966" s="396">
        <v>41615</v>
      </c>
      <c r="B3966" s="401" t="s">
        <v>12696</v>
      </c>
      <c r="C3966" s="396" t="s">
        <v>2021</v>
      </c>
      <c r="D3966" s="405">
        <f t="shared" si="122"/>
        <v>235.99</v>
      </c>
      <c r="F3966" s="679">
        <v>235.99</v>
      </c>
      <c r="G3966" s="679">
        <v>235.99</v>
      </c>
      <c r="H3966" t="b">
        <f t="shared" si="123"/>
        <v>1</v>
      </c>
    </row>
    <row r="3967" spans="1:8">
      <c r="A3967" s="395">
        <v>41616</v>
      </c>
      <c r="B3967" s="406" t="s">
        <v>12697</v>
      </c>
      <c r="C3967" s="395" t="s">
        <v>2021</v>
      </c>
      <c r="D3967" s="407">
        <f t="shared" si="122"/>
        <v>352.6</v>
      </c>
      <c r="F3967" s="680">
        <v>352.6</v>
      </c>
      <c r="G3967" s="680">
        <v>352.6</v>
      </c>
      <c r="H3967" t="b">
        <f t="shared" si="123"/>
        <v>1</v>
      </c>
    </row>
    <row r="3968" spans="1:8">
      <c r="A3968" s="396">
        <v>41617</v>
      </c>
      <c r="B3968" s="401" t="s">
        <v>12698</v>
      </c>
      <c r="C3968" s="396" t="s">
        <v>2021</v>
      </c>
      <c r="D3968" s="405">
        <f t="shared" si="122"/>
        <v>701.11</v>
      </c>
      <c r="F3968" s="679">
        <v>701.11</v>
      </c>
      <c r="G3968" s="679">
        <v>701.11</v>
      </c>
      <c r="H3968" t="b">
        <f t="shared" si="123"/>
        <v>1</v>
      </c>
    </row>
    <row r="3969" spans="1:8">
      <c r="A3969" s="395">
        <v>41618</v>
      </c>
      <c r="B3969" s="406" t="s">
        <v>12699</v>
      </c>
      <c r="C3969" s="395" t="s">
        <v>2021</v>
      </c>
      <c r="D3969" s="407">
        <f t="shared" si="122"/>
        <v>1290.7</v>
      </c>
      <c r="F3969" s="680">
        <v>1290.7</v>
      </c>
      <c r="G3969" s="680">
        <v>1290.7</v>
      </c>
      <c r="H3969" t="b">
        <f t="shared" si="123"/>
        <v>1</v>
      </c>
    </row>
    <row r="3970" spans="1:8" ht="30">
      <c r="A3970" s="396">
        <v>43428</v>
      </c>
      <c r="B3970" s="401" t="s">
        <v>12700</v>
      </c>
      <c r="C3970" s="396" t="s">
        <v>2021</v>
      </c>
      <c r="D3970" s="405">
        <f t="shared" si="122"/>
        <v>2267.14</v>
      </c>
      <c r="F3970" s="679">
        <v>2267.14</v>
      </c>
      <c r="G3970" s="679">
        <v>2267.14</v>
      </c>
      <c r="H3970" t="b">
        <f t="shared" si="123"/>
        <v>1</v>
      </c>
    </row>
    <row r="3971" spans="1:8">
      <c r="A3971" s="395">
        <v>41619</v>
      </c>
      <c r="B3971" s="406" t="s">
        <v>12701</v>
      </c>
      <c r="C3971" s="395" t="s">
        <v>2021</v>
      </c>
      <c r="D3971" s="407">
        <f t="shared" ref="D3971:D4034" si="124">IF($J$2=$F$1,F3971,G3971)</f>
        <v>146.88999999999999</v>
      </c>
      <c r="F3971" s="680">
        <v>146.88999999999999</v>
      </c>
      <c r="G3971" s="680">
        <v>146.88999999999999</v>
      </c>
      <c r="H3971" t="b">
        <f t="shared" ref="H3971:H4034" si="125">F3971=G3971</f>
        <v>1</v>
      </c>
    </row>
    <row r="3972" spans="1:8">
      <c r="A3972" s="396">
        <v>41620</v>
      </c>
      <c r="B3972" s="401" t="s">
        <v>12702</v>
      </c>
      <c r="C3972" s="396" t="s">
        <v>2021</v>
      </c>
      <c r="D3972" s="405">
        <f t="shared" si="124"/>
        <v>185.54</v>
      </c>
      <c r="F3972" s="679">
        <v>185.54</v>
      </c>
      <c r="G3972" s="679">
        <v>185.54</v>
      </c>
      <c r="H3972" t="b">
        <f t="shared" si="125"/>
        <v>1</v>
      </c>
    </row>
    <row r="3973" spans="1:8">
      <c r="A3973" s="395">
        <v>41622</v>
      </c>
      <c r="B3973" s="406" t="s">
        <v>12703</v>
      </c>
      <c r="C3973" s="395" t="s">
        <v>2021</v>
      </c>
      <c r="D3973" s="407">
        <f t="shared" si="124"/>
        <v>321.8</v>
      </c>
      <c r="F3973" s="680">
        <v>321.8</v>
      </c>
      <c r="G3973" s="680">
        <v>321.8</v>
      </c>
      <c r="H3973" t="b">
        <f t="shared" si="125"/>
        <v>1</v>
      </c>
    </row>
    <row r="3974" spans="1:8">
      <c r="A3974" s="396">
        <v>41623</v>
      </c>
      <c r="B3974" s="401" t="s">
        <v>12704</v>
      </c>
      <c r="C3974" s="396" t="s">
        <v>2021</v>
      </c>
      <c r="D3974" s="405">
        <f t="shared" si="124"/>
        <v>494.78</v>
      </c>
      <c r="F3974" s="679">
        <v>494.78</v>
      </c>
      <c r="G3974" s="679">
        <v>494.78</v>
      </c>
      <c r="H3974" t="b">
        <f t="shared" si="125"/>
        <v>1</v>
      </c>
    </row>
    <row r="3975" spans="1:8">
      <c r="A3975" s="395">
        <v>41624</v>
      </c>
      <c r="B3975" s="406" t="s">
        <v>12705</v>
      </c>
      <c r="C3975" s="395" t="s">
        <v>2021</v>
      </c>
      <c r="D3975" s="407">
        <f t="shared" si="124"/>
        <v>927.73</v>
      </c>
      <c r="F3975" s="680">
        <v>927.73</v>
      </c>
      <c r="G3975" s="680">
        <v>927.73</v>
      </c>
      <c r="H3975" t="b">
        <f t="shared" si="125"/>
        <v>1</v>
      </c>
    </row>
    <row r="3976" spans="1:8">
      <c r="A3976" s="396">
        <v>41625</v>
      </c>
      <c r="B3976" s="401" t="s">
        <v>12706</v>
      </c>
      <c r="C3976" s="396" t="s">
        <v>2021</v>
      </c>
      <c r="D3976" s="405">
        <f t="shared" si="124"/>
        <v>1427.35</v>
      </c>
      <c r="F3976" s="679">
        <v>1427.35</v>
      </c>
      <c r="G3976" s="679">
        <v>1427.35</v>
      </c>
      <c r="H3976" t="b">
        <f t="shared" si="125"/>
        <v>1</v>
      </c>
    </row>
    <row r="3977" spans="1:8">
      <c r="A3977" s="395">
        <v>39352</v>
      </c>
      <c r="B3977" s="406" t="s">
        <v>12707</v>
      </c>
      <c r="C3977" s="395" t="s">
        <v>2021</v>
      </c>
      <c r="D3977" s="407">
        <f t="shared" si="124"/>
        <v>3.44</v>
      </c>
      <c r="F3977" s="680">
        <v>3.44</v>
      </c>
      <c r="G3977" s="680">
        <v>3.44</v>
      </c>
      <c r="H3977" t="b">
        <f t="shared" si="125"/>
        <v>1</v>
      </c>
    </row>
    <row r="3978" spans="1:8">
      <c r="A3978" s="396">
        <v>39346</v>
      </c>
      <c r="B3978" s="401" t="s">
        <v>12708</v>
      </c>
      <c r="C3978" s="396" t="s">
        <v>2021</v>
      </c>
      <c r="D3978" s="405">
        <f t="shared" si="124"/>
        <v>3.44</v>
      </c>
      <c r="F3978" s="679">
        <v>3.44</v>
      </c>
      <c r="G3978" s="679">
        <v>3.44</v>
      </c>
      <c r="H3978" t="b">
        <f t="shared" si="125"/>
        <v>1</v>
      </c>
    </row>
    <row r="3979" spans="1:8">
      <c r="A3979" s="395">
        <v>39350</v>
      </c>
      <c r="B3979" s="406" t="s">
        <v>12709</v>
      </c>
      <c r="C3979" s="395" t="s">
        <v>2021</v>
      </c>
      <c r="D3979" s="407">
        <f t="shared" si="124"/>
        <v>3.7</v>
      </c>
      <c r="F3979" s="680">
        <v>3.7</v>
      </c>
      <c r="G3979" s="680">
        <v>3.7</v>
      </c>
      <c r="H3979" t="b">
        <f t="shared" si="125"/>
        <v>1</v>
      </c>
    </row>
    <row r="3980" spans="1:8">
      <c r="A3980" s="396">
        <v>39351</v>
      </c>
      <c r="B3980" s="401" t="s">
        <v>12710</v>
      </c>
      <c r="C3980" s="396" t="s">
        <v>2021</v>
      </c>
      <c r="D3980" s="405">
        <f t="shared" si="124"/>
        <v>4.29</v>
      </c>
      <c r="F3980" s="679">
        <v>4.29</v>
      </c>
      <c r="G3980" s="679">
        <v>4.29</v>
      </c>
      <c r="H3980" t="b">
        <f t="shared" si="125"/>
        <v>1</v>
      </c>
    </row>
    <row r="3981" spans="1:8">
      <c r="A3981" s="395">
        <v>38837</v>
      </c>
      <c r="B3981" s="406" t="s">
        <v>12711</v>
      </c>
      <c r="C3981" s="395" t="s">
        <v>2021</v>
      </c>
      <c r="D3981" s="407">
        <f t="shared" si="124"/>
        <v>7.42</v>
      </c>
      <c r="F3981" s="680">
        <v>7.42</v>
      </c>
      <c r="G3981" s="680">
        <v>7.42</v>
      </c>
      <c r="H3981" t="b">
        <f t="shared" si="125"/>
        <v>1</v>
      </c>
    </row>
    <row r="3982" spans="1:8">
      <c r="A3982" s="396">
        <v>38836</v>
      </c>
      <c r="B3982" s="401" t="s">
        <v>12712</v>
      </c>
      <c r="C3982" s="396" t="s">
        <v>2021</v>
      </c>
      <c r="D3982" s="405">
        <f t="shared" si="124"/>
        <v>5.18</v>
      </c>
      <c r="F3982" s="679">
        <v>5.18</v>
      </c>
      <c r="G3982" s="679">
        <v>5.18</v>
      </c>
      <c r="H3982" t="b">
        <f t="shared" si="125"/>
        <v>1</v>
      </c>
    </row>
    <row r="3983" spans="1:8">
      <c r="A3983" s="395">
        <v>2666</v>
      </c>
      <c r="B3983" s="406" t="s">
        <v>12713</v>
      </c>
      <c r="C3983" s="395" t="s">
        <v>2021</v>
      </c>
      <c r="D3983" s="407">
        <f t="shared" si="124"/>
        <v>7.57</v>
      </c>
      <c r="F3983" s="680">
        <v>7.57</v>
      </c>
      <c r="G3983" s="680">
        <v>7.57</v>
      </c>
      <c r="H3983" t="b">
        <f t="shared" si="125"/>
        <v>1</v>
      </c>
    </row>
    <row r="3984" spans="1:8">
      <c r="A3984" s="396">
        <v>2668</v>
      </c>
      <c r="B3984" s="401" t="s">
        <v>12714</v>
      </c>
      <c r="C3984" s="396" t="s">
        <v>2021</v>
      </c>
      <c r="D3984" s="405">
        <f t="shared" si="124"/>
        <v>8.64</v>
      </c>
      <c r="F3984" s="679">
        <v>8.64</v>
      </c>
      <c r="G3984" s="679">
        <v>8.64</v>
      </c>
      <c r="H3984" t="b">
        <f t="shared" si="125"/>
        <v>1</v>
      </c>
    </row>
    <row r="3985" spans="1:8">
      <c r="A3985" s="395">
        <v>2664</v>
      </c>
      <c r="B3985" s="406" t="s">
        <v>12715</v>
      </c>
      <c r="C3985" s="395" t="s">
        <v>2021</v>
      </c>
      <c r="D3985" s="407">
        <f t="shared" si="124"/>
        <v>12.75</v>
      </c>
      <c r="F3985" s="680">
        <v>12.75</v>
      </c>
      <c r="G3985" s="680">
        <v>12.75</v>
      </c>
      <c r="H3985" t="b">
        <f t="shared" si="125"/>
        <v>1</v>
      </c>
    </row>
    <row r="3986" spans="1:8">
      <c r="A3986" s="396">
        <v>2662</v>
      </c>
      <c r="B3986" s="401" t="s">
        <v>12716</v>
      </c>
      <c r="C3986" s="396" t="s">
        <v>2021</v>
      </c>
      <c r="D3986" s="405">
        <f t="shared" si="124"/>
        <v>15.64</v>
      </c>
      <c r="F3986" s="679">
        <v>15.64</v>
      </c>
      <c r="G3986" s="679">
        <v>15.64</v>
      </c>
      <c r="H3986" t="b">
        <f t="shared" si="125"/>
        <v>1</v>
      </c>
    </row>
    <row r="3987" spans="1:8">
      <c r="A3987" s="395">
        <v>20964</v>
      </c>
      <c r="B3987" s="406" t="s">
        <v>12717</v>
      </c>
      <c r="C3987" s="395" t="s">
        <v>2021</v>
      </c>
      <c r="D3987" s="407">
        <f t="shared" si="124"/>
        <v>70.28</v>
      </c>
      <c r="F3987" s="680">
        <v>70.28</v>
      </c>
      <c r="G3987" s="680">
        <v>70.28</v>
      </c>
      <c r="H3987" t="b">
        <f t="shared" si="125"/>
        <v>1</v>
      </c>
    </row>
    <row r="3988" spans="1:8">
      <c r="A3988" s="396">
        <v>10905</v>
      </c>
      <c r="B3988" s="401" t="s">
        <v>12718</v>
      </c>
      <c r="C3988" s="396" t="s">
        <v>2021</v>
      </c>
      <c r="D3988" s="405">
        <f t="shared" si="124"/>
        <v>94.28</v>
      </c>
      <c r="F3988" s="679">
        <v>94.28</v>
      </c>
      <c r="G3988" s="679">
        <v>94.28</v>
      </c>
      <c r="H3988" t="b">
        <f t="shared" si="125"/>
        <v>1</v>
      </c>
    </row>
    <row r="3989" spans="1:8">
      <c r="A3989" s="395">
        <v>11289</v>
      </c>
      <c r="B3989" s="406" t="s">
        <v>12719</v>
      </c>
      <c r="C3989" s="395" t="s">
        <v>2021</v>
      </c>
      <c r="D3989" s="407">
        <f t="shared" si="124"/>
        <v>97.93</v>
      </c>
      <c r="F3989" s="680">
        <v>97.93</v>
      </c>
      <c r="G3989" s="680">
        <v>97.93</v>
      </c>
      <c r="H3989" t="b">
        <f t="shared" si="125"/>
        <v>1</v>
      </c>
    </row>
    <row r="3990" spans="1:8">
      <c r="A3990" s="396">
        <v>11241</v>
      </c>
      <c r="B3990" s="401" t="s">
        <v>12720</v>
      </c>
      <c r="C3990" s="396" t="s">
        <v>2021</v>
      </c>
      <c r="D3990" s="405">
        <f t="shared" si="124"/>
        <v>244.83</v>
      </c>
      <c r="F3990" s="679">
        <v>244.83</v>
      </c>
      <c r="G3990" s="679">
        <v>244.83</v>
      </c>
      <c r="H3990" t="b">
        <f t="shared" si="125"/>
        <v>1</v>
      </c>
    </row>
    <row r="3991" spans="1:8" ht="30">
      <c r="A3991" s="395">
        <v>11301</v>
      </c>
      <c r="B3991" s="406" t="s">
        <v>12721</v>
      </c>
      <c r="C3991" s="395" t="s">
        <v>2021</v>
      </c>
      <c r="D3991" s="407">
        <f t="shared" si="124"/>
        <v>620.83000000000004</v>
      </c>
      <c r="F3991" s="680">
        <v>620.83000000000004</v>
      </c>
      <c r="G3991" s="680">
        <v>620.83000000000004</v>
      </c>
      <c r="H3991" t="b">
        <f t="shared" si="125"/>
        <v>1</v>
      </c>
    </row>
    <row r="3992" spans="1:8" ht="30">
      <c r="A3992" s="396">
        <v>21090</v>
      </c>
      <c r="B3992" s="401" t="s">
        <v>12722</v>
      </c>
      <c r="C3992" s="396" t="s">
        <v>2021</v>
      </c>
      <c r="D3992" s="405">
        <f t="shared" si="124"/>
        <v>760.74</v>
      </c>
      <c r="F3992" s="679">
        <v>760.74</v>
      </c>
      <c r="G3992" s="679">
        <v>760.74</v>
      </c>
      <c r="H3992" t="b">
        <f t="shared" si="125"/>
        <v>1</v>
      </c>
    </row>
    <row r="3993" spans="1:8">
      <c r="A3993" s="395">
        <v>11315</v>
      </c>
      <c r="B3993" s="406" t="s">
        <v>12723</v>
      </c>
      <c r="C3993" s="395" t="s">
        <v>2021</v>
      </c>
      <c r="D3993" s="407">
        <f t="shared" si="124"/>
        <v>148.65</v>
      </c>
      <c r="F3993" s="680">
        <v>148.65</v>
      </c>
      <c r="G3993" s="680">
        <v>148.65</v>
      </c>
      <c r="H3993" t="b">
        <f t="shared" si="125"/>
        <v>1</v>
      </c>
    </row>
    <row r="3994" spans="1:8">
      <c r="A3994" s="396">
        <v>21071</v>
      </c>
      <c r="B3994" s="401" t="s">
        <v>12724</v>
      </c>
      <c r="C3994" s="396" t="s">
        <v>2021</v>
      </c>
      <c r="D3994" s="405">
        <f t="shared" si="124"/>
        <v>227.34</v>
      </c>
      <c r="F3994" s="679">
        <v>227.34</v>
      </c>
      <c r="G3994" s="679">
        <v>227.34</v>
      </c>
      <c r="H3994" t="b">
        <f t="shared" si="125"/>
        <v>1</v>
      </c>
    </row>
    <row r="3995" spans="1:8">
      <c r="A3995" s="395">
        <v>14112</v>
      </c>
      <c r="B3995" s="406" t="s">
        <v>12725</v>
      </c>
      <c r="C3995" s="395" t="s">
        <v>2021</v>
      </c>
      <c r="D3995" s="407">
        <f t="shared" si="124"/>
        <v>317.41000000000003</v>
      </c>
      <c r="F3995" s="680">
        <v>317.41000000000003</v>
      </c>
      <c r="G3995" s="680">
        <v>317.41000000000003</v>
      </c>
      <c r="H3995" t="b">
        <f t="shared" si="125"/>
        <v>1</v>
      </c>
    </row>
    <row r="3996" spans="1:8" ht="30">
      <c r="A3996" s="396">
        <v>11316</v>
      </c>
      <c r="B3996" s="401" t="s">
        <v>12726</v>
      </c>
      <c r="C3996" s="396" t="s">
        <v>2021</v>
      </c>
      <c r="D3996" s="405">
        <f t="shared" si="124"/>
        <v>489.67</v>
      </c>
      <c r="F3996" s="679">
        <v>489.67</v>
      </c>
      <c r="G3996" s="679">
        <v>489.67</v>
      </c>
      <c r="H3996" t="b">
        <f t="shared" si="125"/>
        <v>1</v>
      </c>
    </row>
    <row r="3997" spans="1:8" ht="30">
      <c r="A3997" s="395">
        <v>6243</v>
      </c>
      <c r="B3997" s="406" t="s">
        <v>12727</v>
      </c>
      <c r="C3997" s="395" t="s">
        <v>2021</v>
      </c>
      <c r="D3997" s="407">
        <f t="shared" si="124"/>
        <v>564</v>
      </c>
      <c r="F3997" s="680">
        <v>564</v>
      </c>
      <c r="G3997" s="680">
        <v>564</v>
      </c>
      <c r="H3997" t="b">
        <f t="shared" si="125"/>
        <v>1</v>
      </c>
    </row>
    <row r="3998" spans="1:8" ht="30">
      <c r="A3998" s="396">
        <v>6240</v>
      </c>
      <c r="B3998" s="401" t="s">
        <v>12728</v>
      </c>
      <c r="C3998" s="396" t="s">
        <v>2021</v>
      </c>
      <c r="D3998" s="405">
        <f t="shared" si="124"/>
        <v>746.75</v>
      </c>
      <c r="F3998" s="679">
        <v>746.75</v>
      </c>
      <c r="G3998" s="679">
        <v>746.75</v>
      </c>
      <c r="H3998" t="b">
        <f t="shared" si="125"/>
        <v>1</v>
      </c>
    </row>
    <row r="3999" spans="1:8" ht="30">
      <c r="A3999" s="395">
        <v>11296</v>
      </c>
      <c r="B3999" s="406" t="s">
        <v>12729</v>
      </c>
      <c r="C3999" s="395" t="s">
        <v>2021</v>
      </c>
      <c r="D3999" s="407">
        <f t="shared" si="124"/>
        <v>2379.29</v>
      </c>
      <c r="F3999" s="680">
        <v>2379.29</v>
      </c>
      <c r="G3999" s="680">
        <v>2379.29</v>
      </c>
      <c r="H3999" t="b">
        <f t="shared" si="125"/>
        <v>1</v>
      </c>
    </row>
    <row r="4000" spans="1:8">
      <c r="A4000" s="396">
        <v>11299</v>
      </c>
      <c r="B4000" s="401" t="s">
        <v>12730</v>
      </c>
      <c r="C4000" s="396" t="s">
        <v>2021</v>
      </c>
      <c r="D4000" s="405">
        <f t="shared" si="124"/>
        <v>805.33</v>
      </c>
      <c r="F4000" s="679">
        <v>805.33</v>
      </c>
      <c r="G4000" s="679">
        <v>805.33</v>
      </c>
      <c r="H4000" t="b">
        <f t="shared" si="125"/>
        <v>1</v>
      </c>
    </row>
    <row r="4001" spans="1:8">
      <c r="A4001" s="395">
        <v>11688</v>
      </c>
      <c r="B4001" s="406" t="s">
        <v>12731</v>
      </c>
      <c r="C4001" s="395" t="s">
        <v>2021</v>
      </c>
      <c r="D4001" s="407">
        <f t="shared" si="124"/>
        <v>605.58000000000004</v>
      </c>
      <c r="F4001" s="680">
        <v>605.58000000000004</v>
      </c>
      <c r="G4001" s="680">
        <v>605.58000000000004</v>
      </c>
      <c r="H4001" t="b">
        <f t="shared" si="125"/>
        <v>1</v>
      </c>
    </row>
    <row r="4002" spans="1:8" ht="30">
      <c r="A4002" s="396">
        <v>37736</v>
      </c>
      <c r="B4002" s="401" t="s">
        <v>12732</v>
      </c>
      <c r="C4002" s="396" t="s">
        <v>2021</v>
      </c>
      <c r="D4002" s="405">
        <f t="shared" si="124"/>
        <v>83450</v>
      </c>
      <c r="F4002" s="679">
        <v>83450</v>
      </c>
      <c r="G4002" s="679">
        <v>83450</v>
      </c>
      <c r="H4002" t="b">
        <f t="shared" si="125"/>
        <v>1</v>
      </c>
    </row>
    <row r="4003" spans="1:8">
      <c r="A4003" s="395">
        <v>37739</v>
      </c>
      <c r="B4003" s="406" t="s">
        <v>12733</v>
      </c>
      <c r="C4003" s="395" t="s">
        <v>2021</v>
      </c>
      <c r="D4003" s="407">
        <f t="shared" si="124"/>
        <v>102707.68</v>
      </c>
      <c r="F4003" s="680">
        <v>102707.68</v>
      </c>
      <c r="G4003" s="680">
        <v>102707.68</v>
      </c>
      <c r="H4003" t="b">
        <f t="shared" si="125"/>
        <v>1</v>
      </c>
    </row>
    <row r="4004" spans="1:8">
      <c r="A4004" s="396">
        <v>37740</v>
      </c>
      <c r="B4004" s="401" t="s">
        <v>12734</v>
      </c>
      <c r="C4004" s="396" t="s">
        <v>2021</v>
      </c>
      <c r="D4004" s="405">
        <f t="shared" si="124"/>
        <v>58610.36</v>
      </c>
      <c r="F4004" s="679">
        <v>58610.36</v>
      </c>
      <c r="G4004" s="679">
        <v>58610.36</v>
      </c>
      <c r="H4004" t="b">
        <f t="shared" si="125"/>
        <v>1</v>
      </c>
    </row>
    <row r="4005" spans="1:8">
      <c r="A4005" s="395">
        <v>37738</v>
      </c>
      <c r="B4005" s="406" t="s">
        <v>12735</v>
      </c>
      <c r="C4005" s="395" t="s">
        <v>2021</v>
      </c>
      <c r="D4005" s="407">
        <f t="shared" si="124"/>
        <v>69634.7</v>
      </c>
      <c r="F4005" s="680">
        <v>69634.7</v>
      </c>
      <c r="G4005" s="680">
        <v>69634.7</v>
      </c>
      <c r="H4005" t="b">
        <f t="shared" si="125"/>
        <v>1</v>
      </c>
    </row>
    <row r="4006" spans="1:8">
      <c r="A4006" s="396">
        <v>37737</v>
      </c>
      <c r="B4006" s="401" t="s">
        <v>12736</v>
      </c>
      <c r="C4006" s="396" t="s">
        <v>2021</v>
      </c>
      <c r="D4006" s="405">
        <f t="shared" si="124"/>
        <v>55400.75</v>
      </c>
      <c r="F4006" s="679">
        <v>55400.75</v>
      </c>
      <c r="G4006" s="679">
        <v>55400.75</v>
      </c>
      <c r="H4006" t="b">
        <f t="shared" si="125"/>
        <v>1</v>
      </c>
    </row>
    <row r="4007" spans="1:8">
      <c r="A4007" s="395">
        <v>25014</v>
      </c>
      <c r="B4007" s="406" t="s">
        <v>12737</v>
      </c>
      <c r="C4007" s="395" t="s">
        <v>2021</v>
      </c>
      <c r="D4007" s="407">
        <f t="shared" si="124"/>
        <v>116034.57</v>
      </c>
      <c r="F4007" s="680">
        <v>116034.57</v>
      </c>
      <c r="G4007" s="680">
        <v>116034.57</v>
      </c>
      <c r="H4007" t="b">
        <f t="shared" si="125"/>
        <v>1</v>
      </c>
    </row>
    <row r="4008" spans="1:8">
      <c r="A4008" s="396">
        <v>25013</v>
      </c>
      <c r="B4008" s="401" t="s">
        <v>12738</v>
      </c>
      <c r="C4008" s="396" t="s">
        <v>2021</v>
      </c>
      <c r="D4008" s="405">
        <f t="shared" si="124"/>
        <v>121616.51</v>
      </c>
      <c r="F4008" s="679">
        <v>121616.51</v>
      </c>
      <c r="G4008" s="679">
        <v>121616.51</v>
      </c>
      <c r="H4008" t="b">
        <f t="shared" si="125"/>
        <v>1</v>
      </c>
    </row>
    <row r="4009" spans="1:8">
      <c r="A4009" s="395">
        <v>14405</v>
      </c>
      <c r="B4009" s="406" t="s">
        <v>12739</v>
      </c>
      <c r="C4009" s="395" t="s">
        <v>2021</v>
      </c>
      <c r="D4009" s="407">
        <f t="shared" si="124"/>
        <v>142758.1</v>
      </c>
      <c r="F4009" s="680">
        <v>142758.1</v>
      </c>
      <c r="G4009" s="680">
        <v>142758.1</v>
      </c>
      <c r="H4009" t="b">
        <f t="shared" si="125"/>
        <v>1</v>
      </c>
    </row>
    <row r="4010" spans="1:8">
      <c r="A4010" s="396">
        <v>20271</v>
      </c>
      <c r="B4010" s="401" t="s">
        <v>12740</v>
      </c>
      <c r="C4010" s="396" t="s">
        <v>2021</v>
      </c>
      <c r="D4010" s="405">
        <f t="shared" si="124"/>
        <v>545.20000000000005</v>
      </c>
      <c r="F4010" s="679">
        <v>545.20000000000005</v>
      </c>
      <c r="G4010" s="679">
        <v>545.20000000000005</v>
      </c>
      <c r="H4010" t="b">
        <f t="shared" si="125"/>
        <v>1</v>
      </c>
    </row>
    <row r="4011" spans="1:8">
      <c r="A4011" s="395">
        <v>10423</v>
      </c>
      <c r="B4011" s="406" t="s">
        <v>12741</v>
      </c>
      <c r="C4011" s="395" t="s">
        <v>2021</v>
      </c>
      <c r="D4011" s="407">
        <f t="shared" si="124"/>
        <v>400.3</v>
      </c>
      <c r="F4011" s="680">
        <v>400.3</v>
      </c>
      <c r="G4011" s="680">
        <v>400.3</v>
      </c>
      <c r="H4011" t="b">
        <f t="shared" si="125"/>
        <v>1</v>
      </c>
    </row>
    <row r="4012" spans="1:8">
      <c r="A4012" s="396">
        <v>36790</v>
      </c>
      <c r="B4012" s="401" t="s">
        <v>12742</v>
      </c>
      <c r="C4012" s="396" t="s">
        <v>2021</v>
      </c>
      <c r="D4012" s="405">
        <f t="shared" si="124"/>
        <v>363.15</v>
      </c>
      <c r="F4012" s="679">
        <v>363.15</v>
      </c>
      <c r="G4012" s="679">
        <v>363.15</v>
      </c>
      <c r="H4012" t="b">
        <f t="shared" si="125"/>
        <v>1</v>
      </c>
    </row>
    <row r="4013" spans="1:8">
      <c r="A4013" s="395">
        <v>37589</v>
      </c>
      <c r="B4013" s="406" t="s">
        <v>12743</v>
      </c>
      <c r="C4013" s="395" t="s">
        <v>2021</v>
      </c>
      <c r="D4013" s="407">
        <f t="shared" si="124"/>
        <v>444.96</v>
      </c>
      <c r="F4013" s="680">
        <v>444.96</v>
      </c>
      <c r="G4013" s="680">
        <v>444.96</v>
      </c>
      <c r="H4013" t="b">
        <f t="shared" si="125"/>
        <v>1</v>
      </c>
    </row>
    <row r="4014" spans="1:8">
      <c r="A4014" s="396">
        <v>11690</v>
      </c>
      <c r="B4014" s="401" t="s">
        <v>12744</v>
      </c>
      <c r="C4014" s="396" t="s">
        <v>2021</v>
      </c>
      <c r="D4014" s="405">
        <f t="shared" si="124"/>
        <v>236.37</v>
      </c>
      <c r="F4014" s="679">
        <v>236.37</v>
      </c>
      <c r="G4014" s="679">
        <v>236.37</v>
      </c>
      <c r="H4014" t="b">
        <f t="shared" si="125"/>
        <v>1</v>
      </c>
    </row>
    <row r="4015" spans="1:8">
      <c r="A4015" s="395">
        <v>20234</v>
      </c>
      <c r="B4015" s="406" t="s">
        <v>12745</v>
      </c>
      <c r="C4015" s="395" t="s">
        <v>2021</v>
      </c>
      <c r="D4015" s="407">
        <f t="shared" si="124"/>
        <v>299.13</v>
      </c>
      <c r="F4015" s="680">
        <v>299.13</v>
      </c>
      <c r="G4015" s="680">
        <v>299.13</v>
      </c>
      <c r="H4015" t="b">
        <f t="shared" si="125"/>
        <v>1</v>
      </c>
    </row>
    <row r="4016" spans="1:8">
      <c r="A4016" s="396">
        <v>4763</v>
      </c>
      <c r="B4016" s="401" t="s">
        <v>12746</v>
      </c>
      <c r="C4016" s="396" t="s">
        <v>2020</v>
      </c>
      <c r="D4016" s="405">
        <f t="shared" si="124"/>
        <v>16.29</v>
      </c>
      <c r="F4016" s="679">
        <v>16.29</v>
      </c>
      <c r="G4016" s="679">
        <v>18.739999999999998</v>
      </c>
      <c r="H4016" t="b">
        <f t="shared" si="125"/>
        <v>0</v>
      </c>
    </row>
    <row r="4017" spans="1:8">
      <c r="A4017" s="395">
        <v>41070</v>
      </c>
      <c r="B4017" s="406" t="s">
        <v>12747</v>
      </c>
      <c r="C4017" s="395" t="s">
        <v>2027</v>
      </c>
      <c r="D4017" s="407">
        <f t="shared" si="124"/>
        <v>2871.23</v>
      </c>
      <c r="F4017" s="680">
        <v>2871.23</v>
      </c>
      <c r="G4017" s="680">
        <v>3307.49</v>
      </c>
      <c r="H4017" t="b">
        <f t="shared" si="125"/>
        <v>0</v>
      </c>
    </row>
    <row r="4018" spans="1:8">
      <c r="A4018" s="396">
        <v>44480</v>
      </c>
      <c r="B4018" s="401" t="s">
        <v>12748</v>
      </c>
      <c r="C4018" s="396" t="s">
        <v>2022</v>
      </c>
      <c r="D4018" s="405">
        <f t="shared" si="124"/>
        <v>20.239999999999998</v>
      </c>
      <c r="F4018" s="679">
        <v>20.239999999999998</v>
      </c>
      <c r="G4018" s="679">
        <v>20.239999999999998</v>
      </c>
      <c r="H4018" t="b">
        <f t="shared" si="125"/>
        <v>1</v>
      </c>
    </row>
    <row r="4019" spans="1:8">
      <c r="A4019" s="395">
        <v>11457</v>
      </c>
      <c r="B4019" s="406" t="s">
        <v>12749</v>
      </c>
      <c r="C4019" s="395" t="s">
        <v>2021</v>
      </c>
      <c r="D4019" s="407">
        <f t="shared" si="124"/>
        <v>52.04</v>
      </c>
      <c r="F4019" s="680">
        <v>52.04</v>
      </c>
      <c r="G4019" s="680">
        <v>52.04</v>
      </c>
      <c r="H4019" t="b">
        <f t="shared" si="125"/>
        <v>1</v>
      </c>
    </row>
    <row r="4020" spans="1:8">
      <c r="A4020" s="396">
        <v>44073</v>
      </c>
      <c r="B4020" s="401" t="s">
        <v>12750</v>
      </c>
      <c r="C4020" s="396" t="s">
        <v>2024</v>
      </c>
      <c r="D4020" s="405">
        <f t="shared" si="124"/>
        <v>0.63</v>
      </c>
      <c r="F4020" s="679">
        <v>0.63</v>
      </c>
      <c r="G4020" s="679">
        <v>0.63</v>
      </c>
      <c r="H4020" t="b">
        <f t="shared" si="125"/>
        <v>1</v>
      </c>
    </row>
    <row r="4021" spans="1:8">
      <c r="A4021" s="395">
        <v>44253</v>
      </c>
      <c r="B4021" s="406" t="s">
        <v>12751</v>
      </c>
      <c r="C4021" s="395" t="s">
        <v>2021</v>
      </c>
      <c r="D4021" s="407">
        <f t="shared" si="124"/>
        <v>261.02</v>
      </c>
      <c r="F4021" s="680">
        <v>261.02</v>
      </c>
      <c r="G4021" s="680">
        <v>261.02</v>
      </c>
      <c r="H4021" t="b">
        <f t="shared" si="125"/>
        <v>1</v>
      </c>
    </row>
    <row r="4022" spans="1:8">
      <c r="A4022" s="396">
        <v>21121</v>
      </c>
      <c r="B4022" s="401" t="s">
        <v>12752</v>
      </c>
      <c r="C4022" s="396" t="s">
        <v>2021</v>
      </c>
      <c r="D4022" s="405">
        <f t="shared" si="124"/>
        <v>3.74</v>
      </c>
      <c r="F4022" s="679">
        <v>3.74</v>
      </c>
      <c r="G4022" s="679">
        <v>3.74</v>
      </c>
      <c r="H4022" t="b">
        <f t="shared" si="125"/>
        <v>1</v>
      </c>
    </row>
    <row r="4023" spans="1:8">
      <c r="A4023" s="395">
        <v>38010</v>
      </c>
      <c r="B4023" s="406" t="s">
        <v>12753</v>
      </c>
      <c r="C4023" s="395" t="s">
        <v>2021</v>
      </c>
      <c r="D4023" s="407">
        <f t="shared" si="124"/>
        <v>4.66</v>
      </c>
      <c r="F4023" s="680">
        <v>4.66</v>
      </c>
      <c r="G4023" s="680">
        <v>4.66</v>
      </c>
      <c r="H4023" t="b">
        <f t="shared" si="125"/>
        <v>1</v>
      </c>
    </row>
    <row r="4024" spans="1:8">
      <c r="A4024" s="396">
        <v>38011</v>
      </c>
      <c r="B4024" s="401" t="s">
        <v>12754</v>
      </c>
      <c r="C4024" s="396" t="s">
        <v>2021</v>
      </c>
      <c r="D4024" s="405">
        <f t="shared" si="124"/>
        <v>9.34</v>
      </c>
      <c r="F4024" s="679">
        <v>9.34</v>
      </c>
      <c r="G4024" s="679">
        <v>9.34</v>
      </c>
      <c r="H4024" t="b">
        <f t="shared" si="125"/>
        <v>1</v>
      </c>
    </row>
    <row r="4025" spans="1:8">
      <c r="A4025" s="395">
        <v>38012</v>
      </c>
      <c r="B4025" s="406" t="s">
        <v>12755</v>
      </c>
      <c r="C4025" s="395" t="s">
        <v>2021</v>
      </c>
      <c r="D4025" s="407">
        <f t="shared" si="124"/>
        <v>35.630000000000003</v>
      </c>
      <c r="F4025" s="680">
        <v>35.630000000000003</v>
      </c>
      <c r="G4025" s="680">
        <v>35.630000000000003</v>
      </c>
      <c r="H4025" t="b">
        <f t="shared" si="125"/>
        <v>1</v>
      </c>
    </row>
    <row r="4026" spans="1:8">
      <c r="A4026" s="396">
        <v>38013</v>
      </c>
      <c r="B4026" s="401" t="s">
        <v>12756</v>
      </c>
      <c r="C4026" s="396" t="s">
        <v>2021</v>
      </c>
      <c r="D4026" s="405">
        <f t="shared" si="124"/>
        <v>45.77</v>
      </c>
      <c r="F4026" s="679">
        <v>45.77</v>
      </c>
      <c r="G4026" s="679">
        <v>45.77</v>
      </c>
      <c r="H4026" t="b">
        <f t="shared" si="125"/>
        <v>1</v>
      </c>
    </row>
    <row r="4027" spans="1:8">
      <c r="A4027" s="395">
        <v>38014</v>
      </c>
      <c r="B4027" s="406" t="s">
        <v>12757</v>
      </c>
      <c r="C4027" s="395" t="s">
        <v>2021</v>
      </c>
      <c r="D4027" s="407">
        <f t="shared" si="124"/>
        <v>76.44</v>
      </c>
      <c r="F4027" s="680">
        <v>76.44</v>
      </c>
      <c r="G4027" s="680">
        <v>76.44</v>
      </c>
      <c r="H4027" t="b">
        <f t="shared" si="125"/>
        <v>1</v>
      </c>
    </row>
    <row r="4028" spans="1:8">
      <c r="A4028" s="396">
        <v>38015</v>
      </c>
      <c r="B4028" s="401" t="s">
        <v>12758</v>
      </c>
      <c r="C4028" s="396" t="s">
        <v>2021</v>
      </c>
      <c r="D4028" s="405">
        <f t="shared" si="124"/>
        <v>179.71</v>
      </c>
      <c r="F4028" s="679">
        <v>179.71</v>
      </c>
      <c r="G4028" s="679">
        <v>179.71</v>
      </c>
      <c r="H4028" t="b">
        <f t="shared" si="125"/>
        <v>1</v>
      </c>
    </row>
    <row r="4029" spans="1:8">
      <c r="A4029" s="395">
        <v>38016</v>
      </c>
      <c r="B4029" s="406" t="s">
        <v>12759</v>
      </c>
      <c r="C4029" s="395" t="s">
        <v>2021</v>
      </c>
      <c r="D4029" s="407">
        <f t="shared" si="124"/>
        <v>208.98</v>
      </c>
      <c r="F4029" s="680">
        <v>208.98</v>
      </c>
      <c r="G4029" s="680">
        <v>208.98</v>
      </c>
      <c r="H4029" t="b">
        <f t="shared" si="125"/>
        <v>1</v>
      </c>
    </row>
    <row r="4030" spans="1:8">
      <c r="A4030" s="396">
        <v>12741</v>
      </c>
      <c r="B4030" s="401" t="s">
        <v>12760</v>
      </c>
      <c r="C4030" s="396" t="s">
        <v>2021</v>
      </c>
      <c r="D4030" s="405">
        <f t="shared" si="124"/>
        <v>1342.89</v>
      </c>
      <c r="F4030" s="679">
        <v>1342.89</v>
      </c>
      <c r="G4030" s="679">
        <v>1342.89</v>
      </c>
      <c r="H4030" t="b">
        <f t="shared" si="125"/>
        <v>1</v>
      </c>
    </row>
    <row r="4031" spans="1:8">
      <c r="A4031" s="395">
        <v>12733</v>
      </c>
      <c r="B4031" s="406" t="s">
        <v>12761</v>
      </c>
      <c r="C4031" s="395" t="s">
        <v>2021</v>
      </c>
      <c r="D4031" s="407">
        <f t="shared" si="124"/>
        <v>6.75</v>
      </c>
      <c r="F4031" s="680">
        <v>6.75</v>
      </c>
      <c r="G4031" s="680">
        <v>6.75</v>
      </c>
      <c r="H4031" t="b">
        <f t="shared" si="125"/>
        <v>1</v>
      </c>
    </row>
    <row r="4032" spans="1:8">
      <c r="A4032" s="396">
        <v>12734</v>
      </c>
      <c r="B4032" s="401" t="s">
        <v>12762</v>
      </c>
      <c r="C4032" s="396" t="s">
        <v>2021</v>
      </c>
      <c r="D4032" s="405">
        <f t="shared" si="124"/>
        <v>14.4</v>
      </c>
      <c r="F4032" s="679">
        <v>14.4</v>
      </c>
      <c r="G4032" s="679">
        <v>14.4</v>
      </c>
      <c r="H4032" t="b">
        <f t="shared" si="125"/>
        <v>1</v>
      </c>
    </row>
    <row r="4033" spans="1:8">
      <c r="A4033" s="395">
        <v>12735</v>
      </c>
      <c r="B4033" s="406" t="s">
        <v>12763</v>
      </c>
      <c r="C4033" s="395" t="s">
        <v>2021</v>
      </c>
      <c r="D4033" s="407">
        <f t="shared" si="124"/>
        <v>23.69</v>
      </c>
      <c r="F4033" s="680">
        <v>23.69</v>
      </c>
      <c r="G4033" s="680">
        <v>23.69</v>
      </c>
      <c r="H4033" t="b">
        <f t="shared" si="125"/>
        <v>1</v>
      </c>
    </row>
    <row r="4034" spans="1:8">
      <c r="A4034" s="396">
        <v>12736</v>
      </c>
      <c r="B4034" s="401" t="s">
        <v>12764</v>
      </c>
      <c r="C4034" s="396" t="s">
        <v>2021</v>
      </c>
      <c r="D4034" s="405">
        <f t="shared" si="124"/>
        <v>54.16</v>
      </c>
      <c r="F4034" s="679">
        <v>54.16</v>
      </c>
      <c r="G4034" s="679">
        <v>54.16</v>
      </c>
      <c r="H4034" t="b">
        <f t="shared" si="125"/>
        <v>1</v>
      </c>
    </row>
    <row r="4035" spans="1:8">
      <c r="A4035" s="395">
        <v>12737</v>
      </c>
      <c r="B4035" s="406" t="s">
        <v>12765</v>
      </c>
      <c r="C4035" s="395" t="s">
        <v>2021</v>
      </c>
      <c r="D4035" s="407">
        <f t="shared" ref="D4035:D4098" si="126">IF($J$2=$F$1,F4035,G4035)</f>
        <v>69.77</v>
      </c>
      <c r="F4035" s="680">
        <v>69.77</v>
      </c>
      <c r="G4035" s="680">
        <v>69.77</v>
      </c>
      <c r="H4035" t="b">
        <f t="shared" ref="H4035:H4098" si="127">F4035=G4035</f>
        <v>1</v>
      </c>
    </row>
    <row r="4036" spans="1:8">
      <c r="A4036" s="396">
        <v>12738</v>
      </c>
      <c r="B4036" s="401" t="s">
        <v>12766</v>
      </c>
      <c r="C4036" s="396" t="s">
        <v>2021</v>
      </c>
      <c r="D4036" s="405">
        <f t="shared" si="126"/>
        <v>137.9</v>
      </c>
      <c r="F4036" s="679">
        <v>137.9</v>
      </c>
      <c r="G4036" s="679">
        <v>137.9</v>
      </c>
      <c r="H4036" t="b">
        <f t="shared" si="127"/>
        <v>1</v>
      </c>
    </row>
    <row r="4037" spans="1:8">
      <c r="A4037" s="395">
        <v>12739</v>
      </c>
      <c r="B4037" s="406" t="s">
        <v>12767</v>
      </c>
      <c r="C4037" s="395" t="s">
        <v>2021</v>
      </c>
      <c r="D4037" s="407">
        <f t="shared" si="126"/>
        <v>392.56</v>
      </c>
      <c r="F4037" s="680">
        <v>392.56</v>
      </c>
      <c r="G4037" s="680">
        <v>392.56</v>
      </c>
      <c r="H4037" t="b">
        <f t="shared" si="127"/>
        <v>1</v>
      </c>
    </row>
    <row r="4038" spans="1:8">
      <c r="A4038" s="396">
        <v>12740</v>
      </c>
      <c r="B4038" s="401" t="s">
        <v>12768</v>
      </c>
      <c r="C4038" s="396" t="s">
        <v>2021</v>
      </c>
      <c r="D4038" s="405">
        <f t="shared" si="126"/>
        <v>614.19000000000005</v>
      </c>
      <c r="F4038" s="679">
        <v>614.19000000000005</v>
      </c>
      <c r="G4038" s="679">
        <v>614.19000000000005</v>
      </c>
      <c r="H4038" t="b">
        <f t="shared" si="127"/>
        <v>1</v>
      </c>
    </row>
    <row r="4039" spans="1:8">
      <c r="A4039" s="395">
        <v>6297</v>
      </c>
      <c r="B4039" s="406" t="s">
        <v>12769</v>
      </c>
      <c r="C4039" s="395" t="s">
        <v>2021</v>
      </c>
      <c r="D4039" s="407">
        <f t="shared" si="126"/>
        <v>30.43</v>
      </c>
      <c r="F4039" s="680">
        <v>30.43</v>
      </c>
      <c r="G4039" s="680">
        <v>30.43</v>
      </c>
      <c r="H4039" t="b">
        <f t="shared" si="127"/>
        <v>1</v>
      </c>
    </row>
    <row r="4040" spans="1:8">
      <c r="A4040" s="396">
        <v>6296</v>
      </c>
      <c r="B4040" s="401" t="s">
        <v>12770</v>
      </c>
      <c r="C4040" s="396" t="s">
        <v>2021</v>
      </c>
      <c r="D4040" s="405">
        <f t="shared" si="126"/>
        <v>24.02</v>
      </c>
      <c r="F4040" s="679">
        <v>24.02</v>
      </c>
      <c r="G4040" s="679">
        <v>24.02</v>
      </c>
      <c r="H4040" t="b">
        <f t="shared" si="127"/>
        <v>1</v>
      </c>
    </row>
    <row r="4041" spans="1:8">
      <c r="A4041" s="395">
        <v>6294</v>
      </c>
      <c r="B4041" s="406" t="s">
        <v>12771</v>
      </c>
      <c r="C4041" s="395" t="s">
        <v>2021</v>
      </c>
      <c r="D4041" s="407">
        <f t="shared" si="126"/>
        <v>6.85</v>
      </c>
      <c r="F4041" s="680">
        <v>6.85</v>
      </c>
      <c r="G4041" s="680">
        <v>6.85</v>
      </c>
      <c r="H4041" t="b">
        <f t="shared" si="127"/>
        <v>1</v>
      </c>
    </row>
    <row r="4042" spans="1:8">
      <c r="A4042" s="396">
        <v>6323</v>
      </c>
      <c r="B4042" s="401" t="s">
        <v>12772</v>
      </c>
      <c r="C4042" s="396" t="s">
        <v>2021</v>
      </c>
      <c r="D4042" s="405">
        <f t="shared" si="126"/>
        <v>15.69</v>
      </c>
      <c r="F4042" s="679">
        <v>15.69</v>
      </c>
      <c r="G4042" s="679">
        <v>15.69</v>
      </c>
      <c r="H4042" t="b">
        <f t="shared" si="127"/>
        <v>1</v>
      </c>
    </row>
    <row r="4043" spans="1:8">
      <c r="A4043" s="395">
        <v>6299</v>
      </c>
      <c r="B4043" s="406" t="s">
        <v>12773</v>
      </c>
      <c r="C4043" s="395" t="s">
        <v>2021</v>
      </c>
      <c r="D4043" s="407">
        <f t="shared" si="126"/>
        <v>91.52</v>
      </c>
      <c r="F4043" s="680">
        <v>91.52</v>
      </c>
      <c r="G4043" s="680">
        <v>91.52</v>
      </c>
      <c r="H4043" t="b">
        <f t="shared" si="127"/>
        <v>1</v>
      </c>
    </row>
    <row r="4044" spans="1:8">
      <c r="A4044" s="396">
        <v>6298</v>
      </c>
      <c r="B4044" s="401" t="s">
        <v>12774</v>
      </c>
      <c r="C4044" s="396" t="s">
        <v>2021</v>
      </c>
      <c r="D4044" s="405">
        <f t="shared" si="126"/>
        <v>48.2</v>
      </c>
      <c r="F4044" s="679">
        <v>48.2</v>
      </c>
      <c r="G4044" s="679">
        <v>48.2</v>
      </c>
      <c r="H4044" t="b">
        <f t="shared" si="127"/>
        <v>1</v>
      </c>
    </row>
    <row r="4045" spans="1:8">
      <c r="A4045" s="395">
        <v>6295</v>
      </c>
      <c r="B4045" s="406" t="s">
        <v>12775</v>
      </c>
      <c r="C4045" s="395" t="s">
        <v>2021</v>
      </c>
      <c r="D4045" s="407">
        <f t="shared" si="126"/>
        <v>9.75</v>
      </c>
      <c r="F4045" s="680">
        <v>9.75</v>
      </c>
      <c r="G4045" s="680">
        <v>9.75</v>
      </c>
      <c r="H4045" t="b">
        <f t="shared" si="127"/>
        <v>1</v>
      </c>
    </row>
    <row r="4046" spans="1:8">
      <c r="A4046" s="396">
        <v>6322</v>
      </c>
      <c r="B4046" s="401" t="s">
        <v>12776</v>
      </c>
      <c r="C4046" s="396" t="s">
        <v>2021</v>
      </c>
      <c r="D4046" s="405">
        <f t="shared" si="126"/>
        <v>122.58</v>
      </c>
      <c r="F4046" s="679">
        <v>122.58</v>
      </c>
      <c r="G4046" s="679">
        <v>122.58</v>
      </c>
      <c r="H4046" t="b">
        <f t="shared" si="127"/>
        <v>1</v>
      </c>
    </row>
    <row r="4047" spans="1:8">
      <c r="A4047" s="395">
        <v>6300</v>
      </c>
      <c r="B4047" s="406" t="s">
        <v>12777</v>
      </c>
      <c r="C4047" s="395" t="s">
        <v>2021</v>
      </c>
      <c r="D4047" s="407">
        <f t="shared" si="126"/>
        <v>225.99</v>
      </c>
      <c r="F4047" s="680">
        <v>225.99</v>
      </c>
      <c r="G4047" s="680">
        <v>225.99</v>
      </c>
      <c r="H4047" t="b">
        <f t="shared" si="127"/>
        <v>1</v>
      </c>
    </row>
    <row r="4048" spans="1:8">
      <c r="A4048" s="396">
        <v>6321</v>
      </c>
      <c r="B4048" s="401" t="s">
        <v>12778</v>
      </c>
      <c r="C4048" s="396" t="s">
        <v>2021</v>
      </c>
      <c r="D4048" s="405">
        <f t="shared" si="126"/>
        <v>322.81</v>
      </c>
      <c r="F4048" s="679">
        <v>322.81</v>
      </c>
      <c r="G4048" s="679">
        <v>322.81</v>
      </c>
      <c r="H4048" t="b">
        <f t="shared" si="127"/>
        <v>1</v>
      </c>
    </row>
    <row r="4049" spans="1:8">
      <c r="A4049" s="395">
        <v>6301</v>
      </c>
      <c r="B4049" s="406" t="s">
        <v>12779</v>
      </c>
      <c r="C4049" s="395" t="s">
        <v>2021</v>
      </c>
      <c r="D4049" s="407">
        <f t="shared" si="126"/>
        <v>756.64</v>
      </c>
      <c r="F4049" s="680">
        <v>756.64</v>
      </c>
      <c r="G4049" s="680">
        <v>756.64</v>
      </c>
      <c r="H4049" t="b">
        <f t="shared" si="127"/>
        <v>1</v>
      </c>
    </row>
    <row r="4050" spans="1:8">
      <c r="A4050" s="396">
        <v>7105</v>
      </c>
      <c r="B4050" s="401" t="s">
        <v>12780</v>
      </c>
      <c r="C4050" s="396" t="s">
        <v>2021</v>
      </c>
      <c r="D4050" s="405">
        <f t="shared" si="126"/>
        <v>50.44</v>
      </c>
      <c r="F4050" s="679">
        <v>50.44</v>
      </c>
      <c r="G4050" s="679">
        <v>50.44</v>
      </c>
      <c r="H4050" t="b">
        <f t="shared" si="127"/>
        <v>1</v>
      </c>
    </row>
    <row r="4051" spans="1:8">
      <c r="A4051" s="395">
        <v>20183</v>
      </c>
      <c r="B4051" s="406" t="s">
        <v>12781</v>
      </c>
      <c r="C4051" s="395" t="s">
        <v>2021</v>
      </c>
      <c r="D4051" s="407">
        <f t="shared" si="126"/>
        <v>62.15</v>
      </c>
      <c r="F4051" s="680">
        <v>62.15</v>
      </c>
      <c r="G4051" s="680">
        <v>62.15</v>
      </c>
      <c r="H4051" t="b">
        <f t="shared" si="127"/>
        <v>1</v>
      </c>
    </row>
    <row r="4052" spans="1:8">
      <c r="A4052" s="396">
        <v>38448</v>
      </c>
      <c r="B4052" s="401" t="s">
        <v>12782</v>
      </c>
      <c r="C4052" s="396" t="s">
        <v>2021</v>
      </c>
      <c r="D4052" s="405">
        <f t="shared" si="126"/>
        <v>282.02999999999997</v>
      </c>
      <c r="F4052" s="679">
        <v>282.02999999999997</v>
      </c>
      <c r="G4052" s="679">
        <v>282.02999999999997</v>
      </c>
      <c r="H4052" t="b">
        <f t="shared" si="127"/>
        <v>1</v>
      </c>
    </row>
    <row r="4053" spans="1:8">
      <c r="A4053" s="395">
        <v>20182</v>
      </c>
      <c r="B4053" s="406" t="s">
        <v>12783</v>
      </c>
      <c r="C4053" s="395" t="s">
        <v>2021</v>
      </c>
      <c r="D4053" s="407">
        <f t="shared" si="126"/>
        <v>36.14</v>
      </c>
      <c r="F4053" s="680">
        <v>36.14</v>
      </c>
      <c r="G4053" s="680">
        <v>36.14</v>
      </c>
      <c r="H4053" t="b">
        <f t="shared" si="127"/>
        <v>1</v>
      </c>
    </row>
    <row r="4054" spans="1:8">
      <c r="A4054" s="396">
        <v>7119</v>
      </c>
      <c r="B4054" s="401" t="s">
        <v>12784</v>
      </c>
      <c r="C4054" s="396" t="s">
        <v>2021</v>
      </c>
      <c r="D4054" s="405">
        <f t="shared" si="126"/>
        <v>14.2</v>
      </c>
      <c r="F4054" s="679">
        <v>14.2</v>
      </c>
      <c r="G4054" s="679">
        <v>14.2</v>
      </c>
      <c r="H4054" t="b">
        <f t="shared" si="127"/>
        <v>1</v>
      </c>
    </row>
    <row r="4055" spans="1:8">
      <c r="A4055" s="395">
        <v>7126</v>
      </c>
      <c r="B4055" s="406" t="s">
        <v>12785</v>
      </c>
      <c r="C4055" s="395" t="s">
        <v>2021</v>
      </c>
      <c r="D4055" s="407">
        <f t="shared" si="126"/>
        <v>28.98</v>
      </c>
      <c r="F4055" s="680">
        <v>28.98</v>
      </c>
      <c r="G4055" s="680">
        <v>28.98</v>
      </c>
      <c r="H4055" t="b">
        <f t="shared" si="127"/>
        <v>1</v>
      </c>
    </row>
    <row r="4056" spans="1:8">
      <c r="A4056" s="396">
        <v>7120</v>
      </c>
      <c r="B4056" s="401" t="s">
        <v>12786</v>
      </c>
      <c r="C4056" s="396" t="s">
        <v>2021</v>
      </c>
      <c r="D4056" s="405">
        <f t="shared" si="126"/>
        <v>10.89</v>
      </c>
      <c r="F4056" s="679">
        <v>10.89</v>
      </c>
      <c r="G4056" s="679">
        <v>10.89</v>
      </c>
      <c r="H4056" t="b">
        <f t="shared" si="127"/>
        <v>1</v>
      </c>
    </row>
    <row r="4057" spans="1:8">
      <c r="A4057" s="395">
        <v>6319</v>
      </c>
      <c r="B4057" s="406" t="s">
        <v>12787</v>
      </c>
      <c r="C4057" s="395" t="s">
        <v>2021</v>
      </c>
      <c r="D4057" s="407">
        <f t="shared" si="126"/>
        <v>35.75</v>
      </c>
      <c r="F4057" s="680">
        <v>35.75</v>
      </c>
      <c r="G4057" s="680">
        <v>35.75</v>
      </c>
      <c r="H4057" t="b">
        <f t="shared" si="127"/>
        <v>1</v>
      </c>
    </row>
    <row r="4058" spans="1:8">
      <c r="A4058" s="396">
        <v>6304</v>
      </c>
      <c r="B4058" s="401" t="s">
        <v>12788</v>
      </c>
      <c r="C4058" s="396" t="s">
        <v>2021</v>
      </c>
      <c r="D4058" s="405">
        <f t="shared" si="126"/>
        <v>35.75</v>
      </c>
      <c r="F4058" s="679">
        <v>35.75</v>
      </c>
      <c r="G4058" s="679">
        <v>35.75</v>
      </c>
      <c r="H4058" t="b">
        <f t="shared" si="127"/>
        <v>1</v>
      </c>
    </row>
    <row r="4059" spans="1:8">
      <c r="A4059" s="395">
        <v>21116</v>
      </c>
      <c r="B4059" s="406" t="s">
        <v>12789</v>
      </c>
      <c r="C4059" s="395" t="s">
        <v>2021</v>
      </c>
      <c r="D4059" s="407">
        <f t="shared" si="126"/>
        <v>27.07</v>
      </c>
      <c r="F4059" s="680">
        <v>27.07</v>
      </c>
      <c r="G4059" s="680">
        <v>27.07</v>
      </c>
      <c r="H4059" t="b">
        <f t="shared" si="127"/>
        <v>1</v>
      </c>
    </row>
    <row r="4060" spans="1:8">
      <c r="A4060" s="396">
        <v>6320</v>
      </c>
      <c r="B4060" s="401" t="s">
        <v>12790</v>
      </c>
      <c r="C4060" s="396" t="s">
        <v>2021</v>
      </c>
      <c r="D4060" s="405">
        <f t="shared" si="126"/>
        <v>18.41</v>
      </c>
      <c r="F4060" s="679">
        <v>18.41</v>
      </c>
      <c r="G4060" s="679">
        <v>18.41</v>
      </c>
      <c r="H4060" t="b">
        <f t="shared" si="127"/>
        <v>1</v>
      </c>
    </row>
    <row r="4061" spans="1:8">
      <c r="A4061" s="395">
        <v>6303</v>
      </c>
      <c r="B4061" s="406" t="s">
        <v>12791</v>
      </c>
      <c r="C4061" s="395" t="s">
        <v>2021</v>
      </c>
      <c r="D4061" s="407">
        <f t="shared" si="126"/>
        <v>18.41</v>
      </c>
      <c r="F4061" s="680">
        <v>18.41</v>
      </c>
      <c r="G4061" s="680">
        <v>18.41</v>
      </c>
      <c r="H4061" t="b">
        <f t="shared" si="127"/>
        <v>1</v>
      </c>
    </row>
    <row r="4062" spans="1:8">
      <c r="A4062" s="396">
        <v>6308</v>
      </c>
      <c r="B4062" s="401" t="s">
        <v>12792</v>
      </c>
      <c r="C4062" s="396" t="s">
        <v>2021</v>
      </c>
      <c r="D4062" s="405">
        <f t="shared" si="126"/>
        <v>98.92</v>
      </c>
      <c r="F4062" s="679">
        <v>98.92</v>
      </c>
      <c r="G4062" s="679">
        <v>98.92</v>
      </c>
      <c r="H4062" t="b">
        <f t="shared" si="127"/>
        <v>1</v>
      </c>
    </row>
    <row r="4063" spans="1:8">
      <c r="A4063" s="395">
        <v>6317</v>
      </c>
      <c r="B4063" s="406" t="s">
        <v>12793</v>
      </c>
      <c r="C4063" s="395" t="s">
        <v>2021</v>
      </c>
      <c r="D4063" s="407">
        <f t="shared" si="126"/>
        <v>98.92</v>
      </c>
      <c r="F4063" s="680">
        <v>98.92</v>
      </c>
      <c r="G4063" s="680">
        <v>98.92</v>
      </c>
      <c r="H4063" t="b">
        <f t="shared" si="127"/>
        <v>1</v>
      </c>
    </row>
    <row r="4064" spans="1:8">
      <c r="A4064" s="396">
        <v>6307</v>
      </c>
      <c r="B4064" s="401" t="s">
        <v>12794</v>
      </c>
      <c r="C4064" s="396" t="s">
        <v>2021</v>
      </c>
      <c r="D4064" s="405">
        <f t="shared" si="126"/>
        <v>98.92</v>
      </c>
      <c r="F4064" s="679">
        <v>98.92</v>
      </c>
      <c r="G4064" s="679">
        <v>98.92</v>
      </c>
      <c r="H4064" t="b">
        <f t="shared" si="127"/>
        <v>1</v>
      </c>
    </row>
    <row r="4065" spans="1:8">
      <c r="A4065" s="395">
        <v>6309</v>
      </c>
      <c r="B4065" s="406" t="s">
        <v>12795</v>
      </c>
      <c r="C4065" s="395" t="s">
        <v>2021</v>
      </c>
      <c r="D4065" s="407">
        <f t="shared" si="126"/>
        <v>101.79</v>
      </c>
      <c r="F4065" s="680">
        <v>101.79</v>
      </c>
      <c r="G4065" s="680">
        <v>101.79</v>
      </c>
      <c r="H4065" t="b">
        <f t="shared" si="127"/>
        <v>1</v>
      </c>
    </row>
    <row r="4066" spans="1:8">
      <c r="A4066" s="396">
        <v>6318</v>
      </c>
      <c r="B4066" s="401" t="s">
        <v>12796</v>
      </c>
      <c r="C4066" s="396" t="s">
        <v>2021</v>
      </c>
      <c r="D4066" s="405">
        <f t="shared" si="126"/>
        <v>53.36</v>
      </c>
      <c r="F4066" s="679">
        <v>53.36</v>
      </c>
      <c r="G4066" s="679">
        <v>53.36</v>
      </c>
      <c r="H4066" t="b">
        <f t="shared" si="127"/>
        <v>1</v>
      </c>
    </row>
    <row r="4067" spans="1:8">
      <c r="A4067" s="395">
        <v>6306</v>
      </c>
      <c r="B4067" s="406" t="s">
        <v>12797</v>
      </c>
      <c r="C4067" s="395" t="s">
        <v>2021</v>
      </c>
      <c r="D4067" s="407">
        <f t="shared" si="126"/>
        <v>53.36</v>
      </c>
      <c r="F4067" s="680">
        <v>53.36</v>
      </c>
      <c r="G4067" s="680">
        <v>53.36</v>
      </c>
      <c r="H4067" t="b">
        <f t="shared" si="127"/>
        <v>1</v>
      </c>
    </row>
    <row r="4068" spans="1:8">
      <c r="A4068" s="396">
        <v>6305</v>
      </c>
      <c r="B4068" s="401" t="s">
        <v>12798</v>
      </c>
      <c r="C4068" s="396" t="s">
        <v>2021</v>
      </c>
      <c r="D4068" s="405">
        <f t="shared" si="126"/>
        <v>53.36</v>
      </c>
      <c r="F4068" s="679">
        <v>53.36</v>
      </c>
      <c r="G4068" s="679">
        <v>53.36</v>
      </c>
      <c r="H4068" t="b">
        <f t="shared" si="127"/>
        <v>1</v>
      </c>
    </row>
    <row r="4069" spans="1:8">
      <c r="A4069" s="395">
        <v>6302</v>
      </c>
      <c r="B4069" s="406" t="s">
        <v>12799</v>
      </c>
      <c r="C4069" s="395" t="s">
        <v>2021</v>
      </c>
      <c r="D4069" s="407">
        <f t="shared" si="126"/>
        <v>11.32</v>
      </c>
      <c r="F4069" s="680">
        <v>11.32</v>
      </c>
      <c r="G4069" s="680">
        <v>11.32</v>
      </c>
      <c r="H4069" t="b">
        <f t="shared" si="127"/>
        <v>1</v>
      </c>
    </row>
    <row r="4070" spans="1:8">
      <c r="A4070" s="396">
        <v>6312</v>
      </c>
      <c r="B4070" s="401" t="s">
        <v>12800</v>
      </c>
      <c r="C4070" s="396" t="s">
        <v>2021</v>
      </c>
      <c r="D4070" s="405">
        <f t="shared" si="126"/>
        <v>142.29</v>
      </c>
      <c r="F4070" s="679">
        <v>142.29</v>
      </c>
      <c r="G4070" s="679">
        <v>142.29</v>
      </c>
      <c r="H4070" t="b">
        <f t="shared" si="127"/>
        <v>1</v>
      </c>
    </row>
    <row r="4071" spans="1:8">
      <c r="A4071" s="395">
        <v>6311</v>
      </c>
      <c r="B4071" s="406" t="s">
        <v>12801</v>
      </c>
      <c r="C4071" s="395" t="s">
        <v>2021</v>
      </c>
      <c r="D4071" s="407">
        <f t="shared" si="126"/>
        <v>142.29</v>
      </c>
      <c r="F4071" s="680">
        <v>142.29</v>
      </c>
      <c r="G4071" s="680">
        <v>142.29</v>
      </c>
      <c r="H4071" t="b">
        <f t="shared" si="127"/>
        <v>1</v>
      </c>
    </row>
    <row r="4072" spans="1:8">
      <c r="A4072" s="396">
        <v>6310</v>
      </c>
      <c r="B4072" s="401" t="s">
        <v>12802</v>
      </c>
      <c r="C4072" s="396" t="s">
        <v>2021</v>
      </c>
      <c r="D4072" s="405">
        <f t="shared" si="126"/>
        <v>142.29</v>
      </c>
      <c r="F4072" s="679">
        <v>142.29</v>
      </c>
      <c r="G4072" s="679">
        <v>142.29</v>
      </c>
      <c r="H4072" t="b">
        <f t="shared" si="127"/>
        <v>1</v>
      </c>
    </row>
    <row r="4073" spans="1:8">
      <c r="A4073" s="395">
        <v>6314</v>
      </c>
      <c r="B4073" s="406" t="s">
        <v>12803</v>
      </c>
      <c r="C4073" s="395" t="s">
        <v>2021</v>
      </c>
      <c r="D4073" s="407">
        <f t="shared" si="126"/>
        <v>142.29</v>
      </c>
      <c r="F4073" s="680">
        <v>142.29</v>
      </c>
      <c r="G4073" s="680">
        <v>142.29</v>
      </c>
      <c r="H4073" t="b">
        <f t="shared" si="127"/>
        <v>1</v>
      </c>
    </row>
    <row r="4074" spans="1:8">
      <c r="A4074" s="396">
        <v>6313</v>
      </c>
      <c r="B4074" s="401" t="s">
        <v>12804</v>
      </c>
      <c r="C4074" s="396" t="s">
        <v>2021</v>
      </c>
      <c r="D4074" s="405">
        <f t="shared" si="126"/>
        <v>142.29</v>
      </c>
      <c r="F4074" s="679">
        <v>142.29</v>
      </c>
      <c r="G4074" s="679">
        <v>142.29</v>
      </c>
      <c r="H4074" t="b">
        <f t="shared" si="127"/>
        <v>1</v>
      </c>
    </row>
    <row r="4075" spans="1:8">
      <c r="A4075" s="395">
        <v>6315</v>
      </c>
      <c r="B4075" s="406" t="s">
        <v>12805</v>
      </c>
      <c r="C4075" s="395" t="s">
        <v>2021</v>
      </c>
      <c r="D4075" s="407">
        <f t="shared" si="126"/>
        <v>269.41000000000003</v>
      </c>
      <c r="F4075" s="680">
        <v>269.41000000000003</v>
      </c>
      <c r="G4075" s="680">
        <v>269.41000000000003</v>
      </c>
      <c r="H4075" t="b">
        <f t="shared" si="127"/>
        <v>1</v>
      </c>
    </row>
    <row r="4076" spans="1:8">
      <c r="A4076" s="396">
        <v>6316</v>
      </c>
      <c r="B4076" s="401" t="s">
        <v>12806</v>
      </c>
      <c r="C4076" s="396" t="s">
        <v>2021</v>
      </c>
      <c r="D4076" s="405">
        <f t="shared" si="126"/>
        <v>269.41000000000003</v>
      </c>
      <c r="F4076" s="679">
        <v>269.41000000000003</v>
      </c>
      <c r="G4076" s="679">
        <v>269.41000000000003</v>
      </c>
      <c r="H4076" t="b">
        <f t="shared" si="127"/>
        <v>1</v>
      </c>
    </row>
    <row r="4077" spans="1:8">
      <c r="A4077" s="395">
        <v>39324</v>
      </c>
      <c r="B4077" s="406" t="s">
        <v>12807</v>
      </c>
      <c r="C4077" s="395" t="s">
        <v>2021</v>
      </c>
      <c r="D4077" s="407">
        <f t="shared" si="126"/>
        <v>4.87</v>
      </c>
      <c r="F4077" s="680">
        <v>4.87</v>
      </c>
      <c r="G4077" s="680">
        <v>4.87</v>
      </c>
      <c r="H4077" t="b">
        <f t="shared" si="127"/>
        <v>1</v>
      </c>
    </row>
    <row r="4078" spans="1:8">
      <c r="A4078" s="396">
        <v>39325</v>
      </c>
      <c r="B4078" s="401" t="s">
        <v>12808</v>
      </c>
      <c r="C4078" s="396" t="s">
        <v>2021</v>
      </c>
      <c r="D4078" s="405">
        <f t="shared" si="126"/>
        <v>7.34</v>
      </c>
      <c r="F4078" s="679">
        <v>7.34</v>
      </c>
      <c r="G4078" s="679">
        <v>7.34</v>
      </c>
      <c r="H4078" t="b">
        <f t="shared" si="127"/>
        <v>1</v>
      </c>
    </row>
    <row r="4079" spans="1:8">
      <c r="A4079" s="395">
        <v>39326</v>
      </c>
      <c r="B4079" s="406" t="s">
        <v>12809</v>
      </c>
      <c r="C4079" s="395" t="s">
        <v>2021</v>
      </c>
      <c r="D4079" s="407">
        <f t="shared" si="126"/>
        <v>26.35</v>
      </c>
      <c r="F4079" s="680">
        <v>26.35</v>
      </c>
      <c r="G4079" s="680">
        <v>26.35</v>
      </c>
      <c r="H4079" t="b">
        <f t="shared" si="127"/>
        <v>1</v>
      </c>
    </row>
    <row r="4080" spans="1:8">
      <c r="A4080" s="396">
        <v>39327</v>
      </c>
      <c r="B4080" s="401" t="s">
        <v>12810</v>
      </c>
      <c r="C4080" s="396" t="s">
        <v>2021</v>
      </c>
      <c r="D4080" s="405">
        <f t="shared" si="126"/>
        <v>39.75</v>
      </c>
      <c r="F4080" s="679">
        <v>39.75</v>
      </c>
      <c r="G4080" s="679">
        <v>39.75</v>
      </c>
      <c r="H4080" t="b">
        <f t="shared" si="127"/>
        <v>1</v>
      </c>
    </row>
    <row r="4081" spans="1:8">
      <c r="A4081" s="395">
        <v>11378</v>
      </c>
      <c r="B4081" s="406" t="s">
        <v>12811</v>
      </c>
      <c r="C4081" s="395" t="s">
        <v>2021</v>
      </c>
      <c r="D4081" s="407">
        <f t="shared" si="126"/>
        <v>97.25</v>
      </c>
      <c r="F4081" s="680">
        <v>97.25</v>
      </c>
      <c r="G4081" s="680">
        <v>97.25</v>
      </c>
      <c r="H4081" t="b">
        <f t="shared" si="127"/>
        <v>1</v>
      </c>
    </row>
    <row r="4082" spans="1:8">
      <c r="A4082" s="396">
        <v>11379</v>
      </c>
      <c r="B4082" s="401" t="s">
        <v>12812</v>
      </c>
      <c r="C4082" s="396" t="s">
        <v>2021</v>
      </c>
      <c r="D4082" s="405">
        <f t="shared" si="126"/>
        <v>82.18</v>
      </c>
      <c r="F4082" s="679">
        <v>82.18</v>
      </c>
      <c r="G4082" s="679">
        <v>82.18</v>
      </c>
      <c r="H4082" t="b">
        <f t="shared" si="127"/>
        <v>1</v>
      </c>
    </row>
    <row r="4083" spans="1:8">
      <c r="A4083" s="395">
        <v>11493</v>
      </c>
      <c r="B4083" s="406" t="s">
        <v>12813</v>
      </c>
      <c r="C4083" s="395" t="s">
        <v>2021</v>
      </c>
      <c r="D4083" s="407">
        <f t="shared" si="126"/>
        <v>47.4</v>
      </c>
      <c r="F4083" s="680">
        <v>47.4</v>
      </c>
      <c r="G4083" s="680">
        <v>47.4</v>
      </c>
      <c r="H4083" t="b">
        <f t="shared" si="127"/>
        <v>1</v>
      </c>
    </row>
    <row r="4084" spans="1:8">
      <c r="A4084" s="396">
        <v>7106</v>
      </c>
      <c r="B4084" s="401" t="s">
        <v>12814</v>
      </c>
      <c r="C4084" s="396" t="s">
        <v>2021</v>
      </c>
      <c r="D4084" s="405">
        <f t="shared" si="126"/>
        <v>179.31</v>
      </c>
      <c r="F4084" s="679">
        <v>179.31</v>
      </c>
      <c r="G4084" s="679">
        <v>179.31</v>
      </c>
      <c r="H4084" t="b">
        <f t="shared" si="127"/>
        <v>1</v>
      </c>
    </row>
    <row r="4085" spans="1:8">
      <c r="A4085" s="395">
        <v>7104</v>
      </c>
      <c r="B4085" s="406" t="s">
        <v>12815</v>
      </c>
      <c r="C4085" s="395" t="s">
        <v>2021</v>
      </c>
      <c r="D4085" s="407">
        <f t="shared" si="126"/>
        <v>4.83</v>
      </c>
      <c r="F4085" s="680">
        <v>4.83</v>
      </c>
      <c r="G4085" s="680">
        <v>4.83</v>
      </c>
      <c r="H4085" t="b">
        <f t="shared" si="127"/>
        <v>1</v>
      </c>
    </row>
    <row r="4086" spans="1:8">
      <c r="A4086" s="396">
        <v>7136</v>
      </c>
      <c r="B4086" s="401" t="s">
        <v>12816</v>
      </c>
      <c r="C4086" s="396" t="s">
        <v>2021</v>
      </c>
      <c r="D4086" s="405">
        <f t="shared" si="126"/>
        <v>8.42</v>
      </c>
      <c r="F4086" s="679">
        <v>8.42</v>
      </c>
      <c r="G4086" s="679">
        <v>8.42</v>
      </c>
      <c r="H4086" t="b">
        <f t="shared" si="127"/>
        <v>1</v>
      </c>
    </row>
    <row r="4087" spans="1:8">
      <c r="A4087" s="395">
        <v>7128</v>
      </c>
      <c r="B4087" s="406" t="s">
        <v>12817</v>
      </c>
      <c r="C4087" s="395" t="s">
        <v>2021</v>
      </c>
      <c r="D4087" s="407">
        <f t="shared" si="126"/>
        <v>10.92</v>
      </c>
      <c r="F4087" s="680">
        <v>10.92</v>
      </c>
      <c r="G4087" s="680">
        <v>10.92</v>
      </c>
      <c r="H4087" t="b">
        <f t="shared" si="127"/>
        <v>1</v>
      </c>
    </row>
    <row r="4088" spans="1:8">
      <c r="A4088" s="396">
        <v>7108</v>
      </c>
      <c r="B4088" s="401" t="s">
        <v>12818</v>
      </c>
      <c r="C4088" s="396" t="s">
        <v>2021</v>
      </c>
      <c r="D4088" s="405">
        <f t="shared" si="126"/>
        <v>10.89</v>
      </c>
      <c r="F4088" s="679">
        <v>10.89</v>
      </c>
      <c r="G4088" s="679">
        <v>10.89</v>
      </c>
      <c r="H4088" t="b">
        <f t="shared" si="127"/>
        <v>1</v>
      </c>
    </row>
    <row r="4089" spans="1:8">
      <c r="A4089" s="395">
        <v>7129</v>
      </c>
      <c r="B4089" s="406" t="s">
        <v>12819</v>
      </c>
      <c r="C4089" s="395" t="s">
        <v>2021</v>
      </c>
      <c r="D4089" s="407">
        <f t="shared" si="126"/>
        <v>12.82</v>
      </c>
      <c r="F4089" s="680">
        <v>12.82</v>
      </c>
      <c r="G4089" s="680">
        <v>12.82</v>
      </c>
      <c r="H4089" t="b">
        <f t="shared" si="127"/>
        <v>1</v>
      </c>
    </row>
    <row r="4090" spans="1:8">
      <c r="A4090" s="396">
        <v>7130</v>
      </c>
      <c r="B4090" s="401" t="s">
        <v>12820</v>
      </c>
      <c r="C4090" s="396" t="s">
        <v>2021</v>
      </c>
      <c r="D4090" s="405">
        <f t="shared" si="126"/>
        <v>18.63</v>
      </c>
      <c r="F4090" s="679">
        <v>18.63</v>
      </c>
      <c r="G4090" s="679">
        <v>18.63</v>
      </c>
      <c r="H4090" t="b">
        <f t="shared" si="127"/>
        <v>1</v>
      </c>
    </row>
    <row r="4091" spans="1:8">
      <c r="A4091" s="395">
        <v>7131</v>
      </c>
      <c r="B4091" s="406" t="s">
        <v>12821</v>
      </c>
      <c r="C4091" s="395" t="s">
        <v>2021</v>
      </c>
      <c r="D4091" s="407">
        <f t="shared" si="126"/>
        <v>22.78</v>
      </c>
      <c r="F4091" s="680">
        <v>22.78</v>
      </c>
      <c r="G4091" s="680">
        <v>22.78</v>
      </c>
      <c r="H4091" t="b">
        <f t="shared" si="127"/>
        <v>1</v>
      </c>
    </row>
    <row r="4092" spans="1:8">
      <c r="A4092" s="396">
        <v>7132</v>
      </c>
      <c r="B4092" s="401" t="s">
        <v>12822</v>
      </c>
      <c r="C4092" s="396" t="s">
        <v>2021</v>
      </c>
      <c r="D4092" s="405">
        <f t="shared" si="126"/>
        <v>53.64</v>
      </c>
      <c r="F4092" s="679">
        <v>53.64</v>
      </c>
      <c r="G4092" s="679">
        <v>53.64</v>
      </c>
      <c r="H4092" t="b">
        <f t="shared" si="127"/>
        <v>1</v>
      </c>
    </row>
    <row r="4093" spans="1:8">
      <c r="A4093" s="395">
        <v>7133</v>
      </c>
      <c r="B4093" s="406" t="s">
        <v>12823</v>
      </c>
      <c r="C4093" s="395" t="s">
        <v>2021</v>
      </c>
      <c r="D4093" s="407">
        <f t="shared" si="126"/>
        <v>123.94</v>
      </c>
      <c r="F4093" s="680">
        <v>123.94</v>
      </c>
      <c r="G4093" s="680">
        <v>123.94</v>
      </c>
      <c r="H4093" t="b">
        <f t="shared" si="127"/>
        <v>1</v>
      </c>
    </row>
    <row r="4094" spans="1:8">
      <c r="A4094" s="396">
        <v>37420</v>
      </c>
      <c r="B4094" s="401" t="s">
        <v>12824</v>
      </c>
      <c r="C4094" s="396" t="s">
        <v>2021</v>
      </c>
      <c r="D4094" s="405">
        <f t="shared" si="126"/>
        <v>44.65</v>
      </c>
      <c r="F4094" s="679">
        <v>44.65</v>
      </c>
      <c r="G4094" s="679">
        <v>44.65</v>
      </c>
      <c r="H4094" t="b">
        <f t="shared" si="127"/>
        <v>1</v>
      </c>
    </row>
    <row r="4095" spans="1:8">
      <c r="A4095" s="395">
        <v>37421</v>
      </c>
      <c r="B4095" s="406" t="s">
        <v>12825</v>
      </c>
      <c r="C4095" s="395" t="s">
        <v>2021</v>
      </c>
      <c r="D4095" s="407">
        <f t="shared" si="126"/>
        <v>61.03</v>
      </c>
      <c r="F4095" s="680">
        <v>61.03</v>
      </c>
      <c r="G4095" s="680">
        <v>61.03</v>
      </c>
      <c r="H4095" t="b">
        <f t="shared" si="127"/>
        <v>1</v>
      </c>
    </row>
    <row r="4096" spans="1:8">
      <c r="A4096" s="396">
        <v>37422</v>
      </c>
      <c r="B4096" s="401" t="s">
        <v>12826</v>
      </c>
      <c r="C4096" s="396" t="s">
        <v>2021</v>
      </c>
      <c r="D4096" s="405">
        <f t="shared" si="126"/>
        <v>57.12</v>
      </c>
      <c r="F4096" s="679">
        <v>57.12</v>
      </c>
      <c r="G4096" s="679">
        <v>57.12</v>
      </c>
      <c r="H4096" t="b">
        <f t="shared" si="127"/>
        <v>1</v>
      </c>
    </row>
    <row r="4097" spans="1:8">
      <c r="A4097" s="395">
        <v>37443</v>
      </c>
      <c r="B4097" s="406" t="s">
        <v>12827</v>
      </c>
      <c r="C4097" s="395" t="s">
        <v>2021</v>
      </c>
      <c r="D4097" s="407">
        <f t="shared" si="126"/>
        <v>208.34</v>
      </c>
      <c r="F4097" s="680">
        <v>208.34</v>
      </c>
      <c r="G4097" s="680">
        <v>208.34</v>
      </c>
      <c r="H4097" t="b">
        <f t="shared" si="127"/>
        <v>1</v>
      </c>
    </row>
    <row r="4098" spans="1:8">
      <c r="A4098" s="396">
        <v>37444</v>
      </c>
      <c r="B4098" s="401" t="s">
        <v>12828</v>
      </c>
      <c r="C4098" s="396" t="s">
        <v>2021</v>
      </c>
      <c r="D4098" s="405">
        <f t="shared" si="126"/>
        <v>211.87</v>
      </c>
      <c r="F4098" s="679">
        <v>211.87</v>
      </c>
      <c r="G4098" s="679">
        <v>211.87</v>
      </c>
      <c r="H4098" t="b">
        <f t="shared" si="127"/>
        <v>1</v>
      </c>
    </row>
    <row r="4099" spans="1:8">
      <c r="A4099" s="395">
        <v>37445</v>
      </c>
      <c r="B4099" s="406" t="s">
        <v>12829</v>
      </c>
      <c r="C4099" s="395" t="s">
        <v>2021</v>
      </c>
      <c r="D4099" s="407">
        <f t="shared" ref="D4099:D4162" si="128">IF($J$2=$F$1,F4099,G4099)</f>
        <v>321.14</v>
      </c>
      <c r="F4099" s="680">
        <v>321.14</v>
      </c>
      <c r="G4099" s="680">
        <v>321.14</v>
      </c>
      <c r="H4099" t="b">
        <f t="shared" ref="H4099:H4162" si="129">F4099=G4099</f>
        <v>1</v>
      </c>
    </row>
    <row r="4100" spans="1:8">
      <c r="A4100" s="396">
        <v>37446</v>
      </c>
      <c r="B4100" s="401" t="s">
        <v>12830</v>
      </c>
      <c r="C4100" s="396" t="s">
        <v>2021</v>
      </c>
      <c r="D4100" s="405">
        <f t="shared" si="128"/>
        <v>350.1</v>
      </c>
      <c r="F4100" s="679">
        <v>350.1</v>
      </c>
      <c r="G4100" s="679">
        <v>350.1</v>
      </c>
      <c r="H4100" t="b">
        <f t="shared" si="129"/>
        <v>1</v>
      </c>
    </row>
    <row r="4101" spans="1:8">
      <c r="A4101" s="395">
        <v>37447</v>
      </c>
      <c r="B4101" s="406" t="s">
        <v>12831</v>
      </c>
      <c r="C4101" s="395" t="s">
        <v>2021</v>
      </c>
      <c r="D4101" s="407">
        <f t="shared" si="128"/>
        <v>355.58</v>
      </c>
      <c r="F4101" s="680">
        <v>355.58</v>
      </c>
      <c r="G4101" s="680">
        <v>355.58</v>
      </c>
      <c r="H4101" t="b">
        <f t="shared" si="129"/>
        <v>1</v>
      </c>
    </row>
    <row r="4102" spans="1:8">
      <c r="A4102" s="396">
        <v>37448</v>
      </c>
      <c r="B4102" s="401" t="s">
        <v>12832</v>
      </c>
      <c r="C4102" s="396" t="s">
        <v>2021</v>
      </c>
      <c r="D4102" s="405">
        <f t="shared" si="128"/>
        <v>487.73</v>
      </c>
      <c r="F4102" s="679">
        <v>487.73</v>
      </c>
      <c r="G4102" s="679">
        <v>487.73</v>
      </c>
      <c r="H4102" t="b">
        <f t="shared" si="129"/>
        <v>1</v>
      </c>
    </row>
    <row r="4103" spans="1:8">
      <c r="A4103" s="395">
        <v>37440</v>
      </c>
      <c r="B4103" s="406" t="s">
        <v>12833</v>
      </c>
      <c r="C4103" s="395" t="s">
        <v>2021</v>
      </c>
      <c r="D4103" s="407">
        <f t="shared" si="128"/>
        <v>165.36</v>
      </c>
      <c r="F4103" s="680">
        <v>165.36</v>
      </c>
      <c r="G4103" s="680">
        <v>165.36</v>
      </c>
      <c r="H4103" t="b">
        <f t="shared" si="129"/>
        <v>1</v>
      </c>
    </row>
    <row r="4104" spans="1:8">
      <c r="A4104" s="396">
        <v>37441</v>
      </c>
      <c r="B4104" s="401" t="s">
        <v>12834</v>
      </c>
      <c r="C4104" s="396" t="s">
        <v>2021</v>
      </c>
      <c r="D4104" s="405">
        <f t="shared" si="128"/>
        <v>165.36</v>
      </c>
      <c r="F4104" s="679">
        <v>165.36</v>
      </c>
      <c r="G4104" s="679">
        <v>165.36</v>
      </c>
      <c r="H4104" t="b">
        <f t="shared" si="129"/>
        <v>1</v>
      </c>
    </row>
    <row r="4105" spans="1:8">
      <c r="A4105" s="395">
        <v>37442</v>
      </c>
      <c r="B4105" s="406" t="s">
        <v>12835</v>
      </c>
      <c r="C4105" s="395" t="s">
        <v>2021</v>
      </c>
      <c r="D4105" s="407">
        <f t="shared" si="128"/>
        <v>199.17</v>
      </c>
      <c r="F4105" s="680">
        <v>199.17</v>
      </c>
      <c r="G4105" s="680">
        <v>199.17</v>
      </c>
      <c r="H4105" t="b">
        <f t="shared" si="129"/>
        <v>1</v>
      </c>
    </row>
    <row r="4106" spans="1:8">
      <c r="A4106" s="396">
        <v>38017</v>
      </c>
      <c r="B4106" s="401" t="s">
        <v>12836</v>
      </c>
      <c r="C4106" s="396" t="s">
        <v>2021</v>
      </c>
      <c r="D4106" s="405">
        <f t="shared" si="128"/>
        <v>9.9600000000000009</v>
      </c>
      <c r="F4106" s="679">
        <v>9.9600000000000009</v>
      </c>
      <c r="G4106" s="679">
        <v>9.9600000000000009</v>
      </c>
      <c r="H4106" t="b">
        <f t="shared" si="129"/>
        <v>1</v>
      </c>
    </row>
    <row r="4107" spans="1:8">
      <c r="A4107" s="395">
        <v>38018</v>
      </c>
      <c r="B4107" s="406" t="s">
        <v>12837</v>
      </c>
      <c r="C4107" s="395" t="s">
        <v>2021</v>
      </c>
      <c r="D4107" s="407">
        <f t="shared" si="128"/>
        <v>11.2</v>
      </c>
      <c r="F4107" s="680">
        <v>11.2</v>
      </c>
      <c r="G4107" s="680">
        <v>11.2</v>
      </c>
      <c r="H4107" t="b">
        <f t="shared" si="129"/>
        <v>1</v>
      </c>
    </row>
    <row r="4108" spans="1:8">
      <c r="A4108" s="396">
        <v>39895</v>
      </c>
      <c r="B4108" s="401" t="s">
        <v>12838</v>
      </c>
      <c r="C4108" s="396" t="s">
        <v>2021</v>
      </c>
      <c r="D4108" s="405">
        <f t="shared" si="128"/>
        <v>48.78</v>
      </c>
      <c r="F4108" s="679">
        <v>48.78</v>
      </c>
      <c r="G4108" s="679">
        <v>48.78</v>
      </c>
      <c r="H4108" t="b">
        <f t="shared" si="129"/>
        <v>1</v>
      </c>
    </row>
    <row r="4109" spans="1:8">
      <c r="A4109" s="395">
        <v>39896</v>
      </c>
      <c r="B4109" s="406" t="s">
        <v>12839</v>
      </c>
      <c r="C4109" s="395" t="s">
        <v>2021</v>
      </c>
      <c r="D4109" s="407">
        <f t="shared" si="128"/>
        <v>71.5</v>
      </c>
      <c r="F4109" s="680">
        <v>71.5</v>
      </c>
      <c r="G4109" s="680">
        <v>71.5</v>
      </c>
      <c r="H4109" t="b">
        <f t="shared" si="129"/>
        <v>1</v>
      </c>
    </row>
    <row r="4110" spans="1:8">
      <c r="A4110" s="396">
        <v>38873</v>
      </c>
      <c r="B4110" s="401" t="s">
        <v>12840</v>
      </c>
      <c r="C4110" s="396" t="s">
        <v>2021</v>
      </c>
      <c r="D4110" s="405">
        <f t="shared" si="128"/>
        <v>14.13</v>
      </c>
      <c r="F4110" s="679">
        <v>14.13</v>
      </c>
      <c r="G4110" s="679">
        <v>14.13</v>
      </c>
      <c r="H4110" t="b">
        <f t="shared" si="129"/>
        <v>1</v>
      </c>
    </row>
    <row r="4111" spans="1:8">
      <c r="A4111" s="395">
        <v>38874</v>
      </c>
      <c r="B4111" s="406" t="s">
        <v>12841</v>
      </c>
      <c r="C4111" s="395" t="s">
        <v>2021</v>
      </c>
      <c r="D4111" s="407">
        <f t="shared" si="128"/>
        <v>17.89</v>
      </c>
      <c r="F4111" s="680">
        <v>17.89</v>
      </c>
      <c r="G4111" s="680">
        <v>17.89</v>
      </c>
      <c r="H4111" t="b">
        <f t="shared" si="129"/>
        <v>1</v>
      </c>
    </row>
    <row r="4112" spans="1:8">
      <c r="A4112" s="396">
        <v>38875</v>
      </c>
      <c r="B4112" s="401" t="s">
        <v>12842</v>
      </c>
      <c r="C4112" s="396" t="s">
        <v>2021</v>
      </c>
      <c r="D4112" s="405">
        <f t="shared" si="128"/>
        <v>28.35</v>
      </c>
      <c r="F4112" s="679">
        <v>28.35</v>
      </c>
      <c r="G4112" s="679">
        <v>28.35</v>
      </c>
      <c r="H4112" t="b">
        <f t="shared" si="129"/>
        <v>1</v>
      </c>
    </row>
    <row r="4113" spans="1:8">
      <c r="A4113" s="395">
        <v>38876</v>
      </c>
      <c r="B4113" s="406" t="s">
        <v>12843</v>
      </c>
      <c r="C4113" s="395" t="s">
        <v>2021</v>
      </c>
      <c r="D4113" s="407">
        <f t="shared" si="128"/>
        <v>38.1</v>
      </c>
      <c r="F4113" s="680">
        <v>38.1</v>
      </c>
      <c r="G4113" s="680">
        <v>38.1</v>
      </c>
      <c r="H4113" t="b">
        <f t="shared" si="129"/>
        <v>1</v>
      </c>
    </row>
    <row r="4114" spans="1:8">
      <c r="A4114" s="396">
        <v>39000</v>
      </c>
      <c r="B4114" s="401" t="s">
        <v>12844</v>
      </c>
      <c r="C4114" s="396" t="s">
        <v>2021</v>
      </c>
      <c r="D4114" s="405">
        <f t="shared" si="128"/>
        <v>30.95</v>
      </c>
      <c r="F4114" s="679">
        <v>30.95</v>
      </c>
      <c r="G4114" s="679">
        <v>30.95</v>
      </c>
      <c r="H4114" t="b">
        <f t="shared" si="129"/>
        <v>1</v>
      </c>
    </row>
    <row r="4115" spans="1:8">
      <c r="A4115" s="395">
        <v>38674</v>
      </c>
      <c r="B4115" s="406" t="s">
        <v>12845</v>
      </c>
      <c r="C4115" s="395" t="s">
        <v>2021</v>
      </c>
      <c r="D4115" s="407">
        <f t="shared" si="128"/>
        <v>33.520000000000003</v>
      </c>
      <c r="F4115" s="680">
        <v>33.520000000000003</v>
      </c>
      <c r="G4115" s="680">
        <v>33.520000000000003</v>
      </c>
      <c r="H4115" t="b">
        <f t="shared" si="129"/>
        <v>1</v>
      </c>
    </row>
    <row r="4116" spans="1:8">
      <c r="A4116" s="396">
        <v>38019</v>
      </c>
      <c r="B4116" s="401" t="s">
        <v>12846</v>
      </c>
      <c r="C4116" s="396" t="s">
        <v>2021</v>
      </c>
      <c r="D4116" s="405">
        <f t="shared" si="128"/>
        <v>7.09</v>
      </c>
      <c r="F4116" s="679">
        <v>7.09</v>
      </c>
      <c r="G4116" s="679">
        <v>7.09</v>
      </c>
      <c r="H4116" t="b">
        <f t="shared" si="129"/>
        <v>1</v>
      </c>
    </row>
    <row r="4117" spans="1:8">
      <c r="A4117" s="395">
        <v>38020</v>
      </c>
      <c r="B4117" s="406" t="s">
        <v>12847</v>
      </c>
      <c r="C4117" s="395" t="s">
        <v>2021</v>
      </c>
      <c r="D4117" s="407">
        <f t="shared" si="128"/>
        <v>8.73</v>
      </c>
      <c r="F4117" s="680">
        <v>8.73</v>
      </c>
      <c r="G4117" s="680">
        <v>8.73</v>
      </c>
      <c r="H4117" t="b">
        <f t="shared" si="129"/>
        <v>1</v>
      </c>
    </row>
    <row r="4118" spans="1:8">
      <c r="A4118" s="396">
        <v>38454</v>
      </c>
      <c r="B4118" s="401" t="s">
        <v>12848</v>
      </c>
      <c r="C4118" s="396" t="s">
        <v>2021</v>
      </c>
      <c r="D4118" s="405">
        <f t="shared" si="128"/>
        <v>11.61</v>
      </c>
      <c r="F4118" s="679">
        <v>11.61</v>
      </c>
      <c r="G4118" s="679">
        <v>11.61</v>
      </c>
      <c r="H4118" t="b">
        <f t="shared" si="129"/>
        <v>1</v>
      </c>
    </row>
    <row r="4119" spans="1:8">
      <c r="A4119" s="395">
        <v>38455</v>
      </c>
      <c r="B4119" s="406" t="s">
        <v>12849</v>
      </c>
      <c r="C4119" s="395" t="s">
        <v>2021</v>
      </c>
      <c r="D4119" s="407">
        <f t="shared" si="128"/>
        <v>15.54</v>
      </c>
      <c r="F4119" s="680">
        <v>15.54</v>
      </c>
      <c r="G4119" s="680">
        <v>15.54</v>
      </c>
      <c r="H4119" t="b">
        <f t="shared" si="129"/>
        <v>1</v>
      </c>
    </row>
    <row r="4120" spans="1:8">
      <c r="A4120" s="396">
        <v>38462</v>
      </c>
      <c r="B4120" s="401" t="s">
        <v>12850</v>
      </c>
      <c r="C4120" s="396" t="s">
        <v>2021</v>
      </c>
      <c r="D4120" s="405">
        <f t="shared" si="128"/>
        <v>250.52</v>
      </c>
      <c r="F4120" s="679">
        <v>250.52</v>
      </c>
      <c r="G4120" s="679">
        <v>250.52</v>
      </c>
      <c r="H4120" t="b">
        <f t="shared" si="129"/>
        <v>1</v>
      </c>
    </row>
    <row r="4121" spans="1:8">
      <c r="A4121" s="395">
        <v>36362</v>
      </c>
      <c r="B4121" s="406" t="s">
        <v>12851</v>
      </c>
      <c r="C4121" s="395" t="s">
        <v>2021</v>
      </c>
      <c r="D4121" s="407">
        <f t="shared" si="128"/>
        <v>3.46</v>
      </c>
      <c r="F4121" s="680">
        <v>3.46</v>
      </c>
      <c r="G4121" s="680">
        <v>3.46</v>
      </c>
      <c r="H4121" t="b">
        <f t="shared" si="129"/>
        <v>1</v>
      </c>
    </row>
    <row r="4122" spans="1:8">
      <c r="A4122" s="396">
        <v>36298</v>
      </c>
      <c r="B4122" s="401" t="s">
        <v>12852</v>
      </c>
      <c r="C4122" s="396" t="s">
        <v>2021</v>
      </c>
      <c r="D4122" s="405">
        <f t="shared" si="128"/>
        <v>2.97</v>
      </c>
      <c r="F4122" s="679">
        <v>2.97</v>
      </c>
      <c r="G4122" s="679">
        <v>2.97</v>
      </c>
      <c r="H4122" t="b">
        <f t="shared" si="129"/>
        <v>1</v>
      </c>
    </row>
    <row r="4123" spans="1:8">
      <c r="A4123" s="395">
        <v>38456</v>
      </c>
      <c r="B4123" s="406" t="s">
        <v>12853</v>
      </c>
      <c r="C4123" s="395" t="s">
        <v>2021</v>
      </c>
      <c r="D4123" s="407">
        <f t="shared" si="128"/>
        <v>7.41</v>
      </c>
      <c r="F4123" s="680">
        <v>7.41</v>
      </c>
      <c r="G4123" s="680">
        <v>7.41</v>
      </c>
      <c r="H4123" t="b">
        <f t="shared" si="129"/>
        <v>1</v>
      </c>
    </row>
    <row r="4124" spans="1:8">
      <c r="A4124" s="396">
        <v>38457</v>
      </c>
      <c r="B4124" s="401" t="s">
        <v>12854</v>
      </c>
      <c r="C4124" s="396" t="s">
        <v>2021</v>
      </c>
      <c r="D4124" s="405">
        <f t="shared" si="128"/>
        <v>13.5</v>
      </c>
      <c r="F4124" s="679">
        <v>13.5</v>
      </c>
      <c r="G4124" s="679">
        <v>13.5</v>
      </c>
      <c r="H4124" t="b">
        <f t="shared" si="129"/>
        <v>1</v>
      </c>
    </row>
    <row r="4125" spans="1:8">
      <c r="A4125" s="395">
        <v>38458</v>
      </c>
      <c r="B4125" s="406" t="s">
        <v>12855</v>
      </c>
      <c r="C4125" s="395" t="s">
        <v>2021</v>
      </c>
      <c r="D4125" s="407">
        <f t="shared" si="128"/>
        <v>26</v>
      </c>
      <c r="F4125" s="680">
        <v>26</v>
      </c>
      <c r="G4125" s="680">
        <v>26</v>
      </c>
      <c r="H4125" t="b">
        <f t="shared" si="129"/>
        <v>1</v>
      </c>
    </row>
    <row r="4126" spans="1:8">
      <c r="A4126" s="396">
        <v>38459</v>
      </c>
      <c r="B4126" s="401" t="s">
        <v>12856</v>
      </c>
      <c r="C4126" s="396" t="s">
        <v>2021</v>
      </c>
      <c r="D4126" s="405">
        <f t="shared" si="128"/>
        <v>40.880000000000003</v>
      </c>
      <c r="F4126" s="679">
        <v>40.880000000000003</v>
      </c>
      <c r="G4126" s="679">
        <v>40.880000000000003</v>
      </c>
      <c r="H4126" t="b">
        <f t="shared" si="129"/>
        <v>1</v>
      </c>
    </row>
    <row r="4127" spans="1:8">
      <c r="A4127" s="395">
        <v>38460</v>
      </c>
      <c r="B4127" s="406" t="s">
        <v>12857</v>
      </c>
      <c r="C4127" s="395" t="s">
        <v>2021</v>
      </c>
      <c r="D4127" s="407">
        <f t="shared" si="128"/>
        <v>87.69</v>
      </c>
      <c r="F4127" s="680">
        <v>87.69</v>
      </c>
      <c r="G4127" s="680">
        <v>87.69</v>
      </c>
      <c r="H4127" t="b">
        <f t="shared" si="129"/>
        <v>1</v>
      </c>
    </row>
    <row r="4128" spans="1:8">
      <c r="A4128" s="396">
        <v>38461</v>
      </c>
      <c r="B4128" s="401" t="s">
        <v>12858</v>
      </c>
      <c r="C4128" s="396" t="s">
        <v>2021</v>
      </c>
      <c r="D4128" s="405">
        <f t="shared" si="128"/>
        <v>117.68</v>
      </c>
      <c r="F4128" s="679">
        <v>117.68</v>
      </c>
      <c r="G4128" s="679">
        <v>117.68</v>
      </c>
      <c r="H4128" t="b">
        <f t="shared" si="129"/>
        <v>1</v>
      </c>
    </row>
    <row r="4129" spans="1:8">
      <c r="A4129" s="395">
        <v>7094</v>
      </c>
      <c r="B4129" s="406" t="s">
        <v>12859</v>
      </c>
      <c r="C4129" s="395" t="s">
        <v>2021</v>
      </c>
      <c r="D4129" s="407">
        <f t="shared" si="128"/>
        <v>15.78</v>
      </c>
      <c r="F4129" s="680">
        <v>15.78</v>
      </c>
      <c r="G4129" s="680">
        <v>15.78</v>
      </c>
      <c r="H4129" t="b">
        <f t="shared" si="129"/>
        <v>1</v>
      </c>
    </row>
    <row r="4130" spans="1:8">
      <c r="A4130" s="396">
        <v>7116</v>
      </c>
      <c r="B4130" s="401" t="s">
        <v>12860</v>
      </c>
      <c r="C4130" s="396" t="s">
        <v>2021</v>
      </c>
      <c r="D4130" s="405">
        <f t="shared" si="128"/>
        <v>4.5199999999999996</v>
      </c>
      <c r="F4130" s="679">
        <v>4.5199999999999996</v>
      </c>
      <c r="G4130" s="679">
        <v>4.5199999999999996</v>
      </c>
      <c r="H4130" t="b">
        <f t="shared" si="129"/>
        <v>1</v>
      </c>
    </row>
    <row r="4131" spans="1:8">
      <c r="A4131" s="395">
        <v>7118</v>
      </c>
      <c r="B4131" s="406" t="s">
        <v>12861</v>
      </c>
      <c r="C4131" s="395" t="s">
        <v>2021</v>
      </c>
      <c r="D4131" s="407">
        <f t="shared" si="128"/>
        <v>32.450000000000003</v>
      </c>
      <c r="F4131" s="680">
        <v>32.450000000000003</v>
      </c>
      <c r="G4131" s="680">
        <v>32.450000000000003</v>
      </c>
      <c r="H4131" t="b">
        <f t="shared" si="129"/>
        <v>1</v>
      </c>
    </row>
    <row r="4132" spans="1:8">
      <c r="A4132" s="396">
        <v>7098</v>
      </c>
      <c r="B4132" s="401" t="s">
        <v>12862</v>
      </c>
      <c r="C4132" s="396" t="s">
        <v>2021</v>
      </c>
      <c r="D4132" s="405">
        <f t="shared" si="128"/>
        <v>4.82</v>
      </c>
      <c r="F4132" s="679">
        <v>4.82</v>
      </c>
      <c r="G4132" s="679">
        <v>4.82</v>
      </c>
      <c r="H4132" t="b">
        <f t="shared" si="129"/>
        <v>1</v>
      </c>
    </row>
    <row r="4133" spans="1:8">
      <c r="A4133" s="395">
        <v>7110</v>
      </c>
      <c r="B4133" s="406" t="s">
        <v>12863</v>
      </c>
      <c r="C4133" s="395" t="s">
        <v>2021</v>
      </c>
      <c r="D4133" s="407">
        <f t="shared" si="128"/>
        <v>61.69</v>
      </c>
      <c r="F4133" s="680">
        <v>61.69</v>
      </c>
      <c r="G4133" s="680">
        <v>61.69</v>
      </c>
      <c r="H4133" t="b">
        <f t="shared" si="129"/>
        <v>1</v>
      </c>
    </row>
    <row r="4134" spans="1:8">
      <c r="A4134" s="396">
        <v>7123</v>
      </c>
      <c r="B4134" s="401" t="s">
        <v>12864</v>
      </c>
      <c r="C4134" s="396" t="s">
        <v>2021</v>
      </c>
      <c r="D4134" s="405">
        <f t="shared" si="128"/>
        <v>5.83</v>
      </c>
      <c r="F4134" s="679">
        <v>5.83</v>
      </c>
      <c r="G4134" s="679">
        <v>5.83</v>
      </c>
      <c r="H4134" t="b">
        <f t="shared" si="129"/>
        <v>1</v>
      </c>
    </row>
    <row r="4135" spans="1:8">
      <c r="A4135" s="395">
        <v>7121</v>
      </c>
      <c r="B4135" s="406" t="s">
        <v>12865</v>
      </c>
      <c r="C4135" s="395" t="s">
        <v>2021</v>
      </c>
      <c r="D4135" s="407">
        <f t="shared" si="128"/>
        <v>11.54</v>
      </c>
      <c r="F4135" s="680">
        <v>11.54</v>
      </c>
      <c r="G4135" s="680">
        <v>11.54</v>
      </c>
      <c r="H4135" t="b">
        <f t="shared" si="129"/>
        <v>1</v>
      </c>
    </row>
    <row r="4136" spans="1:8">
      <c r="A4136" s="396">
        <v>7137</v>
      </c>
      <c r="B4136" s="401" t="s">
        <v>12866</v>
      </c>
      <c r="C4136" s="396" t="s">
        <v>2021</v>
      </c>
      <c r="D4136" s="405">
        <f t="shared" si="128"/>
        <v>12.6</v>
      </c>
      <c r="F4136" s="679">
        <v>12.6</v>
      </c>
      <c r="G4136" s="679">
        <v>12.6</v>
      </c>
      <c r="H4136" t="b">
        <f t="shared" si="129"/>
        <v>1</v>
      </c>
    </row>
    <row r="4137" spans="1:8">
      <c r="A4137" s="395">
        <v>7122</v>
      </c>
      <c r="B4137" s="406" t="s">
        <v>12867</v>
      </c>
      <c r="C4137" s="395" t="s">
        <v>2021</v>
      </c>
      <c r="D4137" s="407">
        <f t="shared" si="128"/>
        <v>13.87</v>
      </c>
      <c r="F4137" s="680">
        <v>13.87</v>
      </c>
      <c r="G4137" s="680">
        <v>13.87</v>
      </c>
      <c r="H4137" t="b">
        <f t="shared" si="129"/>
        <v>1</v>
      </c>
    </row>
    <row r="4138" spans="1:8">
      <c r="A4138" s="396">
        <v>7114</v>
      </c>
      <c r="B4138" s="401" t="s">
        <v>12868</v>
      </c>
      <c r="C4138" s="396" t="s">
        <v>2021</v>
      </c>
      <c r="D4138" s="405">
        <f t="shared" si="128"/>
        <v>16.13</v>
      </c>
      <c r="F4138" s="679">
        <v>16.13</v>
      </c>
      <c r="G4138" s="679">
        <v>16.13</v>
      </c>
      <c r="H4138" t="b">
        <f t="shared" si="129"/>
        <v>1</v>
      </c>
    </row>
    <row r="4139" spans="1:8">
      <c r="A4139" s="395">
        <v>7109</v>
      </c>
      <c r="B4139" s="406" t="s">
        <v>12869</v>
      </c>
      <c r="C4139" s="395" t="s">
        <v>2021</v>
      </c>
      <c r="D4139" s="407">
        <f t="shared" si="128"/>
        <v>3.2</v>
      </c>
      <c r="F4139" s="680">
        <v>3.2</v>
      </c>
      <c r="G4139" s="680">
        <v>3.2</v>
      </c>
      <c r="H4139" t="b">
        <f t="shared" si="129"/>
        <v>1</v>
      </c>
    </row>
    <row r="4140" spans="1:8">
      <c r="A4140" s="396">
        <v>7135</v>
      </c>
      <c r="B4140" s="401" t="s">
        <v>12870</v>
      </c>
      <c r="C4140" s="396" t="s">
        <v>2021</v>
      </c>
      <c r="D4140" s="405">
        <f t="shared" si="128"/>
        <v>6.55</v>
      </c>
      <c r="F4140" s="679">
        <v>6.55</v>
      </c>
      <c r="G4140" s="679">
        <v>6.55</v>
      </c>
      <c r="H4140" t="b">
        <f t="shared" si="129"/>
        <v>1</v>
      </c>
    </row>
    <row r="4141" spans="1:8">
      <c r="A4141" s="395">
        <v>37947</v>
      </c>
      <c r="B4141" s="406" t="s">
        <v>12871</v>
      </c>
      <c r="C4141" s="395" t="s">
        <v>2021</v>
      </c>
      <c r="D4141" s="407">
        <f t="shared" si="128"/>
        <v>5.32</v>
      </c>
      <c r="F4141" s="680">
        <v>5.32</v>
      </c>
      <c r="G4141" s="680">
        <v>5.32</v>
      </c>
      <c r="H4141" t="b">
        <f t="shared" si="129"/>
        <v>1</v>
      </c>
    </row>
    <row r="4142" spans="1:8">
      <c r="A4142" s="396">
        <v>7103</v>
      </c>
      <c r="B4142" s="401" t="s">
        <v>12872</v>
      </c>
      <c r="C4142" s="396" t="s">
        <v>2021</v>
      </c>
      <c r="D4142" s="405">
        <f t="shared" si="128"/>
        <v>17.350000000000001</v>
      </c>
      <c r="F4142" s="679">
        <v>17.350000000000001</v>
      </c>
      <c r="G4142" s="679">
        <v>17.350000000000001</v>
      </c>
      <c r="H4142" t="b">
        <f t="shared" si="129"/>
        <v>1</v>
      </c>
    </row>
    <row r="4143" spans="1:8">
      <c r="A4143" s="395">
        <v>40419</v>
      </c>
      <c r="B4143" s="406" t="s">
        <v>12873</v>
      </c>
      <c r="C4143" s="395" t="s">
        <v>2021</v>
      </c>
      <c r="D4143" s="407">
        <f t="shared" si="128"/>
        <v>41.62</v>
      </c>
      <c r="F4143" s="680">
        <v>41.62</v>
      </c>
      <c r="G4143" s="680">
        <v>41.62</v>
      </c>
      <c r="H4143" t="b">
        <f t="shared" si="129"/>
        <v>1</v>
      </c>
    </row>
    <row r="4144" spans="1:8">
      <c r="A4144" s="396">
        <v>40420</v>
      </c>
      <c r="B4144" s="401" t="s">
        <v>12874</v>
      </c>
      <c r="C4144" s="396" t="s">
        <v>2021</v>
      </c>
      <c r="D4144" s="405">
        <f t="shared" si="128"/>
        <v>60.72</v>
      </c>
      <c r="F4144" s="679">
        <v>60.72</v>
      </c>
      <c r="G4144" s="679">
        <v>60.72</v>
      </c>
      <c r="H4144" t="b">
        <f t="shared" si="129"/>
        <v>1</v>
      </c>
    </row>
    <row r="4145" spans="1:8">
      <c r="A4145" s="395">
        <v>40421</v>
      </c>
      <c r="B4145" s="406" t="s">
        <v>12875</v>
      </c>
      <c r="C4145" s="395" t="s">
        <v>2021</v>
      </c>
      <c r="D4145" s="407">
        <f t="shared" si="128"/>
        <v>64.64</v>
      </c>
      <c r="F4145" s="680">
        <v>64.64</v>
      </c>
      <c r="G4145" s="680">
        <v>64.64</v>
      </c>
      <c r="H4145" t="b">
        <f t="shared" si="129"/>
        <v>1</v>
      </c>
    </row>
    <row r="4146" spans="1:8" ht="30">
      <c r="A4146" s="396">
        <v>38905</v>
      </c>
      <c r="B4146" s="401" t="s">
        <v>12876</v>
      </c>
      <c r="C4146" s="396" t="s">
        <v>2021</v>
      </c>
      <c r="D4146" s="405">
        <f t="shared" si="128"/>
        <v>18.28</v>
      </c>
      <c r="F4146" s="679">
        <v>18.28</v>
      </c>
      <c r="G4146" s="679">
        <v>18.28</v>
      </c>
      <c r="H4146" t="b">
        <f t="shared" si="129"/>
        <v>1</v>
      </c>
    </row>
    <row r="4147" spans="1:8" ht="30">
      <c r="A4147" s="395">
        <v>38907</v>
      </c>
      <c r="B4147" s="406" t="s">
        <v>12877</v>
      </c>
      <c r="C4147" s="395" t="s">
        <v>2021</v>
      </c>
      <c r="D4147" s="407">
        <f t="shared" si="128"/>
        <v>17.62</v>
      </c>
      <c r="F4147" s="680">
        <v>17.62</v>
      </c>
      <c r="G4147" s="680">
        <v>17.62</v>
      </c>
      <c r="H4147" t="b">
        <f t="shared" si="129"/>
        <v>1</v>
      </c>
    </row>
    <row r="4148" spans="1:8" ht="30">
      <c r="A4148" s="396">
        <v>38910</v>
      </c>
      <c r="B4148" s="401" t="s">
        <v>12878</v>
      </c>
      <c r="C4148" s="396" t="s">
        <v>2021</v>
      </c>
      <c r="D4148" s="405">
        <f t="shared" si="128"/>
        <v>20.61</v>
      </c>
      <c r="F4148" s="679">
        <v>20.61</v>
      </c>
      <c r="G4148" s="679">
        <v>20.61</v>
      </c>
      <c r="H4148" t="b">
        <f t="shared" si="129"/>
        <v>1</v>
      </c>
    </row>
    <row r="4149" spans="1:8">
      <c r="A4149" s="395">
        <v>11655</v>
      </c>
      <c r="B4149" s="406" t="s">
        <v>12879</v>
      </c>
      <c r="C4149" s="395" t="s">
        <v>2021</v>
      </c>
      <c r="D4149" s="407">
        <f t="shared" si="128"/>
        <v>20.91</v>
      </c>
      <c r="F4149" s="680">
        <v>20.91</v>
      </c>
      <c r="G4149" s="680">
        <v>20.91</v>
      </c>
      <c r="H4149" t="b">
        <f t="shared" si="129"/>
        <v>1</v>
      </c>
    </row>
    <row r="4150" spans="1:8">
      <c r="A4150" s="396">
        <v>11656</v>
      </c>
      <c r="B4150" s="401" t="s">
        <v>12880</v>
      </c>
      <c r="C4150" s="396" t="s">
        <v>2021</v>
      </c>
      <c r="D4150" s="405">
        <f t="shared" si="128"/>
        <v>24</v>
      </c>
      <c r="F4150" s="679">
        <v>24</v>
      </c>
      <c r="G4150" s="679">
        <v>24</v>
      </c>
      <c r="H4150" t="b">
        <f t="shared" si="129"/>
        <v>1</v>
      </c>
    </row>
    <row r="4151" spans="1:8">
      <c r="A4151" s="395">
        <v>7091</v>
      </c>
      <c r="B4151" s="406" t="s">
        <v>12881</v>
      </c>
      <c r="C4151" s="395" t="s">
        <v>2021</v>
      </c>
      <c r="D4151" s="407">
        <f t="shared" si="128"/>
        <v>19.66</v>
      </c>
      <c r="F4151" s="680">
        <v>19.66</v>
      </c>
      <c r="G4151" s="680">
        <v>19.66</v>
      </c>
      <c r="H4151" t="b">
        <f t="shared" si="129"/>
        <v>1</v>
      </c>
    </row>
    <row r="4152" spans="1:8">
      <c r="A4152" s="396">
        <v>37948</v>
      </c>
      <c r="B4152" s="401" t="s">
        <v>12882</v>
      </c>
      <c r="C4152" s="396" t="s">
        <v>2021</v>
      </c>
      <c r="D4152" s="405">
        <f t="shared" si="128"/>
        <v>4.55</v>
      </c>
      <c r="F4152" s="679">
        <v>4.55</v>
      </c>
      <c r="G4152" s="679">
        <v>4.55</v>
      </c>
      <c r="H4152" t="b">
        <f t="shared" si="129"/>
        <v>1</v>
      </c>
    </row>
    <row r="4153" spans="1:8">
      <c r="A4153" s="395">
        <v>7097</v>
      </c>
      <c r="B4153" s="406" t="s">
        <v>12883</v>
      </c>
      <c r="C4153" s="395" t="s">
        <v>2021</v>
      </c>
      <c r="D4153" s="407">
        <f t="shared" si="128"/>
        <v>9.24</v>
      </c>
      <c r="F4153" s="680">
        <v>9.24</v>
      </c>
      <c r="G4153" s="680">
        <v>9.24</v>
      </c>
      <c r="H4153" t="b">
        <f t="shared" si="129"/>
        <v>1</v>
      </c>
    </row>
    <row r="4154" spans="1:8">
      <c r="A4154" s="396">
        <v>11658</v>
      </c>
      <c r="B4154" s="401" t="s">
        <v>12884</v>
      </c>
      <c r="C4154" s="396" t="s">
        <v>2021</v>
      </c>
      <c r="D4154" s="405">
        <f t="shared" si="128"/>
        <v>20.41</v>
      </c>
      <c r="F4154" s="679">
        <v>20.41</v>
      </c>
      <c r="G4154" s="679">
        <v>20.41</v>
      </c>
      <c r="H4154" t="b">
        <f t="shared" si="129"/>
        <v>1</v>
      </c>
    </row>
    <row r="4155" spans="1:8">
      <c r="A4155" s="395">
        <v>7146</v>
      </c>
      <c r="B4155" s="406" t="s">
        <v>12885</v>
      </c>
      <c r="C4155" s="395" t="s">
        <v>2021</v>
      </c>
      <c r="D4155" s="407">
        <f t="shared" si="128"/>
        <v>211.15</v>
      </c>
      <c r="F4155" s="680">
        <v>211.15</v>
      </c>
      <c r="G4155" s="680">
        <v>211.15</v>
      </c>
      <c r="H4155" t="b">
        <f t="shared" si="129"/>
        <v>1</v>
      </c>
    </row>
    <row r="4156" spans="1:8">
      <c r="A4156" s="396">
        <v>7138</v>
      </c>
      <c r="B4156" s="401" t="s">
        <v>12886</v>
      </c>
      <c r="C4156" s="396" t="s">
        <v>2021</v>
      </c>
      <c r="D4156" s="405">
        <f t="shared" si="128"/>
        <v>1.34</v>
      </c>
      <c r="F4156" s="679">
        <v>1.34</v>
      </c>
      <c r="G4156" s="679">
        <v>1.34</v>
      </c>
      <c r="H4156" t="b">
        <f t="shared" si="129"/>
        <v>1</v>
      </c>
    </row>
    <row r="4157" spans="1:8">
      <c r="A4157" s="395">
        <v>7139</v>
      </c>
      <c r="B4157" s="406" t="s">
        <v>12887</v>
      </c>
      <c r="C4157" s="395" t="s">
        <v>2021</v>
      </c>
      <c r="D4157" s="407">
        <f t="shared" si="128"/>
        <v>1.51</v>
      </c>
      <c r="F4157" s="680">
        <v>1.51</v>
      </c>
      <c r="G4157" s="680">
        <v>1.51</v>
      </c>
      <c r="H4157" t="b">
        <f t="shared" si="129"/>
        <v>1</v>
      </c>
    </row>
    <row r="4158" spans="1:8">
      <c r="A4158" s="396">
        <v>7140</v>
      </c>
      <c r="B4158" s="401" t="s">
        <v>12888</v>
      </c>
      <c r="C4158" s="396" t="s">
        <v>2021</v>
      </c>
      <c r="D4158" s="405">
        <f t="shared" si="128"/>
        <v>4.75</v>
      </c>
      <c r="F4158" s="679">
        <v>4.75</v>
      </c>
      <c r="G4158" s="679">
        <v>4.75</v>
      </c>
      <c r="H4158" t="b">
        <f t="shared" si="129"/>
        <v>1</v>
      </c>
    </row>
    <row r="4159" spans="1:8">
      <c r="A4159" s="395">
        <v>7141</v>
      </c>
      <c r="B4159" s="406" t="s">
        <v>12889</v>
      </c>
      <c r="C4159" s="395" t="s">
        <v>2021</v>
      </c>
      <c r="D4159" s="407">
        <f t="shared" si="128"/>
        <v>11.62</v>
      </c>
      <c r="F4159" s="680">
        <v>11.62</v>
      </c>
      <c r="G4159" s="680">
        <v>11.62</v>
      </c>
      <c r="H4159" t="b">
        <f t="shared" si="129"/>
        <v>1</v>
      </c>
    </row>
    <row r="4160" spans="1:8">
      <c r="A4160" s="396">
        <v>7143</v>
      </c>
      <c r="B4160" s="401" t="s">
        <v>12890</v>
      </c>
      <c r="C4160" s="396" t="s">
        <v>2021</v>
      </c>
      <c r="D4160" s="405">
        <f t="shared" si="128"/>
        <v>38.979999999999997</v>
      </c>
      <c r="F4160" s="679">
        <v>38.979999999999997</v>
      </c>
      <c r="G4160" s="679">
        <v>38.979999999999997</v>
      </c>
      <c r="H4160" t="b">
        <f t="shared" si="129"/>
        <v>1</v>
      </c>
    </row>
    <row r="4161" spans="1:8">
      <c r="A4161" s="395">
        <v>7144</v>
      </c>
      <c r="B4161" s="406" t="s">
        <v>12891</v>
      </c>
      <c r="C4161" s="395" t="s">
        <v>2021</v>
      </c>
      <c r="D4161" s="407">
        <f t="shared" si="128"/>
        <v>72.319999999999993</v>
      </c>
      <c r="F4161" s="680">
        <v>72.319999999999993</v>
      </c>
      <c r="G4161" s="680">
        <v>72.319999999999993</v>
      </c>
      <c r="H4161" t="b">
        <f t="shared" si="129"/>
        <v>1</v>
      </c>
    </row>
    <row r="4162" spans="1:8">
      <c r="A4162" s="396">
        <v>7145</v>
      </c>
      <c r="B4162" s="401" t="s">
        <v>12892</v>
      </c>
      <c r="C4162" s="396" t="s">
        <v>2021</v>
      </c>
      <c r="D4162" s="405">
        <f t="shared" si="128"/>
        <v>98.34</v>
      </c>
      <c r="F4162" s="679">
        <v>98.34</v>
      </c>
      <c r="G4162" s="679">
        <v>98.34</v>
      </c>
      <c r="H4162" t="b">
        <f t="shared" si="129"/>
        <v>1</v>
      </c>
    </row>
    <row r="4163" spans="1:8">
      <c r="A4163" s="395">
        <v>7142</v>
      </c>
      <c r="B4163" s="406" t="s">
        <v>12893</v>
      </c>
      <c r="C4163" s="395" t="s">
        <v>2021</v>
      </c>
      <c r="D4163" s="407">
        <f t="shared" ref="D4163:D4226" si="130">IF($J$2=$F$1,F4163,G4163)</f>
        <v>12.14</v>
      </c>
      <c r="F4163" s="680">
        <v>12.14</v>
      </c>
      <c r="G4163" s="680">
        <v>12.14</v>
      </c>
      <c r="H4163" t="b">
        <f t="shared" ref="H4163:H4226" si="131">F4163=G4163</f>
        <v>1</v>
      </c>
    </row>
    <row r="4164" spans="1:8">
      <c r="A4164" s="396">
        <v>3593</v>
      </c>
      <c r="B4164" s="401" t="s">
        <v>12894</v>
      </c>
      <c r="C4164" s="396" t="s">
        <v>2021</v>
      </c>
      <c r="D4164" s="405">
        <f t="shared" si="130"/>
        <v>66.040000000000006</v>
      </c>
      <c r="F4164" s="679">
        <v>66.040000000000006</v>
      </c>
      <c r="G4164" s="679">
        <v>66.040000000000006</v>
      </c>
      <c r="H4164" t="b">
        <f t="shared" si="131"/>
        <v>1</v>
      </c>
    </row>
    <row r="4165" spans="1:8">
      <c r="A4165" s="395">
        <v>3588</v>
      </c>
      <c r="B4165" s="406" t="s">
        <v>12895</v>
      </c>
      <c r="C4165" s="395" t="s">
        <v>2021</v>
      </c>
      <c r="D4165" s="407">
        <f t="shared" si="130"/>
        <v>50.9</v>
      </c>
      <c r="F4165" s="680">
        <v>50.9</v>
      </c>
      <c r="G4165" s="680">
        <v>50.9</v>
      </c>
      <c r="H4165" t="b">
        <f t="shared" si="131"/>
        <v>1</v>
      </c>
    </row>
    <row r="4166" spans="1:8">
      <c r="A4166" s="396">
        <v>3585</v>
      </c>
      <c r="B4166" s="401" t="s">
        <v>12896</v>
      </c>
      <c r="C4166" s="396" t="s">
        <v>2021</v>
      </c>
      <c r="D4166" s="405">
        <f t="shared" si="130"/>
        <v>15.72</v>
      </c>
      <c r="F4166" s="679">
        <v>15.72</v>
      </c>
      <c r="G4166" s="679">
        <v>15.72</v>
      </c>
      <c r="H4166" t="b">
        <f t="shared" si="131"/>
        <v>1</v>
      </c>
    </row>
    <row r="4167" spans="1:8">
      <c r="A4167" s="395">
        <v>3587</v>
      </c>
      <c r="B4167" s="406" t="s">
        <v>12897</v>
      </c>
      <c r="C4167" s="395" t="s">
        <v>2021</v>
      </c>
      <c r="D4167" s="407">
        <f t="shared" si="130"/>
        <v>31.59</v>
      </c>
      <c r="F4167" s="680">
        <v>31.59</v>
      </c>
      <c r="G4167" s="680">
        <v>31.59</v>
      </c>
      <c r="H4167" t="b">
        <f t="shared" si="131"/>
        <v>1</v>
      </c>
    </row>
    <row r="4168" spans="1:8">
      <c r="A4168" s="396">
        <v>3590</v>
      </c>
      <c r="B4168" s="401" t="s">
        <v>12898</v>
      </c>
      <c r="C4168" s="396" t="s">
        <v>2021</v>
      </c>
      <c r="D4168" s="405">
        <f t="shared" si="130"/>
        <v>187.51</v>
      </c>
      <c r="F4168" s="679">
        <v>187.51</v>
      </c>
      <c r="G4168" s="679">
        <v>187.51</v>
      </c>
      <c r="H4168" t="b">
        <f t="shared" si="131"/>
        <v>1</v>
      </c>
    </row>
    <row r="4169" spans="1:8">
      <c r="A4169" s="395">
        <v>3589</v>
      </c>
      <c r="B4169" s="406" t="s">
        <v>12899</v>
      </c>
      <c r="C4169" s="395" t="s">
        <v>2021</v>
      </c>
      <c r="D4169" s="407">
        <f t="shared" si="130"/>
        <v>100.65</v>
      </c>
      <c r="F4169" s="680">
        <v>100.65</v>
      </c>
      <c r="G4169" s="680">
        <v>100.65</v>
      </c>
      <c r="H4169" t="b">
        <f t="shared" si="131"/>
        <v>1</v>
      </c>
    </row>
    <row r="4170" spans="1:8">
      <c r="A4170" s="396">
        <v>3586</v>
      </c>
      <c r="B4170" s="401" t="s">
        <v>12900</v>
      </c>
      <c r="C4170" s="396" t="s">
        <v>2021</v>
      </c>
      <c r="D4170" s="405">
        <f t="shared" si="130"/>
        <v>20.59</v>
      </c>
      <c r="F4170" s="679">
        <v>20.59</v>
      </c>
      <c r="G4170" s="679">
        <v>20.59</v>
      </c>
      <c r="H4170" t="b">
        <f t="shared" si="131"/>
        <v>1</v>
      </c>
    </row>
    <row r="4171" spans="1:8">
      <c r="A4171" s="395">
        <v>3592</v>
      </c>
      <c r="B4171" s="406" t="s">
        <v>12901</v>
      </c>
      <c r="C4171" s="395" t="s">
        <v>2021</v>
      </c>
      <c r="D4171" s="407">
        <f t="shared" si="130"/>
        <v>296.39999999999998</v>
      </c>
      <c r="F4171" s="680">
        <v>296.39999999999998</v>
      </c>
      <c r="G4171" s="680">
        <v>296.39999999999998</v>
      </c>
      <c r="H4171" t="b">
        <f t="shared" si="131"/>
        <v>1</v>
      </c>
    </row>
    <row r="4172" spans="1:8">
      <c r="A4172" s="396">
        <v>3591</v>
      </c>
      <c r="B4172" s="401" t="s">
        <v>12902</v>
      </c>
      <c r="C4172" s="396" t="s">
        <v>2021</v>
      </c>
      <c r="D4172" s="405">
        <f t="shared" si="130"/>
        <v>475.15</v>
      </c>
      <c r="F4172" s="679">
        <v>475.15</v>
      </c>
      <c r="G4172" s="679">
        <v>475.15</v>
      </c>
      <c r="H4172" t="b">
        <f t="shared" si="131"/>
        <v>1</v>
      </c>
    </row>
    <row r="4173" spans="1:8">
      <c r="A4173" s="395">
        <v>40396</v>
      </c>
      <c r="B4173" s="406" t="s">
        <v>12903</v>
      </c>
      <c r="C4173" s="395" t="s">
        <v>2021</v>
      </c>
      <c r="D4173" s="407">
        <f t="shared" si="130"/>
        <v>145.65</v>
      </c>
      <c r="F4173" s="680">
        <v>145.65</v>
      </c>
      <c r="G4173" s="680">
        <v>145.65</v>
      </c>
      <c r="H4173" t="b">
        <f t="shared" si="131"/>
        <v>1</v>
      </c>
    </row>
    <row r="4174" spans="1:8">
      <c r="A4174" s="396">
        <v>40395</v>
      </c>
      <c r="B4174" s="401" t="s">
        <v>12904</v>
      </c>
      <c r="C4174" s="396" t="s">
        <v>2021</v>
      </c>
      <c r="D4174" s="405">
        <f t="shared" si="130"/>
        <v>111.78</v>
      </c>
      <c r="F4174" s="679">
        <v>111.78</v>
      </c>
      <c r="G4174" s="679">
        <v>111.78</v>
      </c>
      <c r="H4174" t="b">
        <f t="shared" si="131"/>
        <v>1</v>
      </c>
    </row>
    <row r="4175" spans="1:8">
      <c r="A4175" s="395">
        <v>40392</v>
      </c>
      <c r="B4175" s="406" t="s">
        <v>12905</v>
      </c>
      <c r="C4175" s="395" t="s">
        <v>2021</v>
      </c>
      <c r="D4175" s="407">
        <f t="shared" si="130"/>
        <v>35.97</v>
      </c>
      <c r="F4175" s="680">
        <v>35.97</v>
      </c>
      <c r="G4175" s="680">
        <v>35.97</v>
      </c>
      <c r="H4175" t="b">
        <f t="shared" si="131"/>
        <v>1</v>
      </c>
    </row>
    <row r="4176" spans="1:8">
      <c r="A4176" s="396">
        <v>40394</v>
      </c>
      <c r="B4176" s="401" t="s">
        <v>12906</v>
      </c>
      <c r="C4176" s="396" t="s">
        <v>2021</v>
      </c>
      <c r="D4176" s="405">
        <f t="shared" si="130"/>
        <v>72.77</v>
      </c>
      <c r="F4176" s="679">
        <v>72.77</v>
      </c>
      <c r="G4176" s="679">
        <v>72.77</v>
      </c>
      <c r="H4176" t="b">
        <f t="shared" si="131"/>
        <v>1</v>
      </c>
    </row>
    <row r="4177" spans="1:8">
      <c r="A4177" s="395">
        <v>40398</v>
      </c>
      <c r="B4177" s="406" t="s">
        <v>12907</v>
      </c>
      <c r="C4177" s="395" t="s">
        <v>2021</v>
      </c>
      <c r="D4177" s="407">
        <f t="shared" si="130"/>
        <v>467.29</v>
      </c>
      <c r="F4177" s="680">
        <v>467.29</v>
      </c>
      <c r="G4177" s="680">
        <v>467.29</v>
      </c>
      <c r="H4177" t="b">
        <f t="shared" si="131"/>
        <v>1</v>
      </c>
    </row>
    <row r="4178" spans="1:8">
      <c r="A4178" s="396">
        <v>40397</v>
      </c>
      <c r="B4178" s="401" t="s">
        <v>12908</v>
      </c>
      <c r="C4178" s="396" t="s">
        <v>2021</v>
      </c>
      <c r="D4178" s="405">
        <f t="shared" si="130"/>
        <v>239.3</v>
      </c>
      <c r="F4178" s="679">
        <v>239.3</v>
      </c>
      <c r="G4178" s="679">
        <v>239.3</v>
      </c>
      <c r="H4178" t="b">
        <f t="shared" si="131"/>
        <v>1</v>
      </c>
    </row>
    <row r="4179" spans="1:8">
      <c r="A4179" s="395">
        <v>40393</v>
      </c>
      <c r="B4179" s="406" t="s">
        <v>12909</v>
      </c>
      <c r="C4179" s="395" t="s">
        <v>2021</v>
      </c>
      <c r="D4179" s="407">
        <f t="shared" si="130"/>
        <v>46.33</v>
      </c>
      <c r="F4179" s="680">
        <v>46.33</v>
      </c>
      <c r="G4179" s="680">
        <v>46.33</v>
      </c>
      <c r="H4179" t="b">
        <f t="shared" si="131"/>
        <v>1</v>
      </c>
    </row>
    <row r="4180" spans="1:8">
      <c r="A4180" s="396">
        <v>40399</v>
      </c>
      <c r="B4180" s="401" t="s">
        <v>12910</v>
      </c>
      <c r="C4180" s="396" t="s">
        <v>2021</v>
      </c>
      <c r="D4180" s="405">
        <f t="shared" si="130"/>
        <v>764.47</v>
      </c>
      <c r="F4180" s="679">
        <v>764.47</v>
      </c>
      <c r="G4180" s="679">
        <v>764.47</v>
      </c>
      <c r="H4180" t="b">
        <f t="shared" si="131"/>
        <v>1</v>
      </c>
    </row>
    <row r="4181" spans="1:8">
      <c r="A4181" s="395">
        <v>39322</v>
      </c>
      <c r="B4181" s="406" t="s">
        <v>12911</v>
      </c>
      <c r="C4181" s="395" t="s">
        <v>2021</v>
      </c>
      <c r="D4181" s="407">
        <f t="shared" si="130"/>
        <v>18.91</v>
      </c>
      <c r="F4181" s="680">
        <v>18.91</v>
      </c>
      <c r="G4181" s="680">
        <v>18.91</v>
      </c>
      <c r="H4181" t="b">
        <f t="shared" si="131"/>
        <v>1</v>
      </c>
    </row>
    <row r="4182" spans="1:8">
      <c r="A4182" s="396">
        <v>39289</v>
      </c>
      <c r="B4182" s="401" t="s">
        <v>12912</v>
      </c>
      <c r="C4182" s="396" t="s">
        <v>2021</v>
      </c>
      <c r="D4182" s="405">
        <f t="shared" si="130"/>
        <v>16.21</v>
      </c>
      <c r="F4182" s="679">
        <v>16.21</v>
      </c>
      <c r="G4182" s="679">
        <v>16.21</v>
      </c>
      <c r="H4182" t="b">
        <f t="shared" si="131"/>
        <v>1</v>
      </c>
    </row>
    <row r="4183" spans="1:8">
      <c r="A4183" s="395">
        <v>39290</v>
      </c>
      <c r="B4183" s="406" t="s">
        <v>12913</v>
      </c>
      <c r="C4183" s="395" t="s">
        <v>2021</v>
      </c>
      <c r="D4183" s="407">
        <f t="shared" si="130"/>
        <v>27.37</v>
      </c>
      <c r="F4183" s="680">
        <v>27.37</v>
      </c>
      <c r="G4183" s="680">
        <v>27.37</v>
      </c>
      <c r="H4183" t="b">
        <f t="shared" si="131"/>
        <v>1</v>
      </c>
    </row>
    <row r="4184" spans="1:8">
      <c r="A4184" s="396">
        <v>39291</v>
      </c>
      <c r="B4184" s="401" t="s">
        <v>12914</v>
      </c>
      <c r="C4184" s="396" t="s">
        <v>2021</v>
      </c>
      <c r="D4184" s="405">
        <f t="shared" si="130"/>
        <v>30.27</v>
      </c>
      <c r="F4184" s="679">
        <v>30.27</v>
      </c>
      <c r="G4184" s="679">
        <v>30.27</v>
      </c>
      <c r="H4184" t="b">
        <f t="shared" si="131"/>
        <v>1</v>
      </c>
    </row>
    <row r="4185" spans="1:8">
      <c r="A4185" s="395">
        <v>41892</v>
      </c>
      <c r="B4185" s="406" t="s">
        <v>12915</v>
      </c>
      <c r="C4185" s="395" t="s">
        <v>2021</v>
      </c>
      <c r="D4185" s="407">
        <f t="shared" si="130"/>
        <v>122.38</v>
      </c>
      <c r="F4185" s="680">
        <v>122.38</v>
      </c>
      <c r="G4185" s="680">
        <v>122.38</v>
      </c>
      <c r="H4185" t="b">
        <f t="shared" si="131"/>
        <v>1</v>
      </c>
    </row>
    <row r="4186" spans="1:8">
      <c r="A4186" s="396">
        <v>7048</v>
      </c>
      <c r="B4186" s="401" t="s">
        <v>12916</v>
      </c>
      <c r="C4186" s="396" t="s">
        <v>2021</v>
      </c>
      <c r="D4186" s="405">
        <f t="shared" si="130"/>
        <v>26.41</v>
      </c>
      <c r="F4186" s="679">
        <v>26.41</v>
      </c>
      <c r="G4186" s="679">
        <v>26.41</v>
      </c>
      <c r="H4186" t="b">
        <f t="shared" si="131"/>
        <v>1</v>
      </c>
    </row>
    <row r="4187" spans="1:8">
      <c r="A4187" s="395">
        <v>7088</v>
      </c>
      <c r="B4187" s="406" t="s">
        <v>12917</v>
      </c>
      <c r="C4187" s="395" t="s">
        <v>2021</v>
      </c>
      <c r="D4187" s="407">
        <f t="shared" si="130"/>
        <v>57.76</v>
      </c>
      <c r="F4187" s="680">
        <v>57.76</v>
      </c>
      <c r="G4187" s="680">
        <v>57.76</v>
      </c>
      <c r="H4187" t="b">
        <f t="shared" si="131"/>
        <v>1</v>
      </c>
    </row>
    <row r="4188" spans="1:8">
      <c r="A4188" s="396">
        <v>20179</v>
      </c>
      <c r="B4188" s="401" t="s">
        <v>12918</v>
      </c>
      <c r="C4188" s="396" t="s">
        <v>2021</v>
      </c>
      <c r="D4188" s="405">
        <f t="shared" si="130"/>
        <v>53.81</v>
      </c>
      <c r="F4188" s="679">
        <v>53.81</v>
      </c>
      <c r="G4188" s="679">
        <v>53.81</v>
      </c>
      <c r="H4188" t="b">
        <f t="shared" si="131"/>
        <v>1</v>
      </c>
    </row>
    <row r="4189" spans="1:8">
      <c r="A4189" s="395">
        <v>20178</v>
      </c>
      <c r="B4189" s="406" t="s">
        <v>12919</v>
      </c>
      <c r="C4189" s="395" t="s">
        <v>2021</v>
      </c>
      <c r="D4189" s="407">
        <f t="shared" si="130"/>
        <v>64.489999999999995</v>
      </c>
      <c r="F4189" s="680">
        <v>64.489999999999995</v>
      </c>
      <c r="G4189" s="680">
        <v>64.489999999999995</v>
      </c>
      <c r="H4189" t="b">
        <f t="shared" si="131"/>
        <v>1</v>
      </c>
    </row>
    <row r="4190" spans="1:8">
      <c r="A4190" s="396">
        <v>20180</v>
      </c>
      <c r="B4190" s="401" t="s">
        <v>12920</v>
      </c>
      <c r="C4190" s="396" t="s">
        <v>2021</v>
      </c>
      <c r="D4190" s="405">
        <f t="shared" si="130"/>
        <v>106.44</v>
      </c>
      <c r="F4190" s="679">
        <v>106.44</v>
      </c>
      <c r="G4190" s="679">
        <v>106.44</v>
      </c>
      <c r="H4190" t="b">
        <f t="shared" si="131"/>
        <v>1</v>
      </c>
    </row>
    <row r="4191" spans="1:8">
      <c r="A4191" s="395">
        <v>20181</v>
      </c>
      <c r="B4191" s="406" t="s">
        <v>12921</v>
      </c>
      <c r="C4191" s="395" t="s">
        <v>2021</v>
      </c>
      <c r="D4191" s="407">
        <f t="shared" si="130"/>
        <v>142.52000000000001</v>
      </c>
      <c r="F4191" s="680">
        <v>142.52000000000001</v>
      </c>
      <c r="G4191" s="680">
        <v>142.52000000000001</v>
      </c>
      <c r="H4191" t="b">
        <f t="shared" si="131"/>
        <v>1</v>
      </c>
    </row>
    <row r="4192" spans="1:8">
      <c r="A4192" s="396">
        <v>20177</v>
      </c>
      <c r="B4192" s="401" t="s">
        <v>12922</v>
      </c>
      <c r="C4192" s="396" t="s">
        <v>2021</v>
      </c>
      <c r="D4192" s="405">
        <f t="shared" si="130"/>
        <v>35.25</v>
      </c>
      <c r="F4192" s="679">
        <v>35.25</v>
      </c>
      <c r="G4192" s="679">
        <v>35.25</v>
      </c>
      <c r="H4192" t="b">
        <f t="shared" si="131"/>
        <v>1</v>
      </c>
    </row>
    <row r="4193" spans="1:8">
      <c r="A4193" s="395">
        <v>7070</v>
      </c>
      <c r="B4193" s="406" t="s">
        <v>12923</v>
      </c>
      <c r="C4193" s="395" t="s">
        <v>2021</v>
      </c>
      <c r="D4193" s="407">
        <f t="shared" si="130"/>
        <v>252.97</v>
      </c>
      <c r="F4193" s="680">
        <v>252.97</v>
      </c>
      <c r="G4193" s="680">
        <v>252.97</v>
      </c>
      <c r="H4193" t="b">
        <f t="shared" si="131"/>
        <v>1</v>
      </c>
    </row>
    <row r="4194" spans="1:8">
      <c r="A4194" s="396">
        <v>40945</v>
      </c>
      <c r="B4194" s="401" t="s">
        <v>12924</v>
      </c>
      <c r="C4194" s="396" t="s">
        <v>2020</v>
      </c>
      <c r="D4194" s="405">
        <f t="shared" si="130"/>
        <v>12.86</v>
      </c>
      <c r="F4194" s="679">
        <v>12.86</v>
      </c>
      <c r="G4194" s="679">
        <v>14.8</v>
      </c>
      <c r="H4194" t="b">
        <f t="shared" si="131"/>
        <v>0</v>
      </c>
    </row>
    <row r="4195" spans="1:8">
      <c r="A4195" s="395">
        <v>40946</v>
      </c>
      <c r="B4195" s="406" t="s">
        <v>12925</v>
      </c>
      <c r="C4195" s="395" t="s">
        <v>2027</v>
      </c>
      <c r="D4195" s="407">
        <f t="shared" si="130"/>
        <v>2268.62</v>
      </c>
      <c r="F4195" s="680">
        <v>2268.62</v>
      </c>
      <c r="G4195" s="680">
        <v>2613.3200000000002</v>
      </c>
      <c r="H4195" t="b">
        <f t="shared" si="131"/>
        <v>0</v>
      </c>
    </row>
    <row r="4196" spans="1:8">
      <c r="A4196" s="396">
        <v>7153</v>
      </c>
      <c r="B4196" s="401" t="s">
        <v>12926</v>
      </c>
      <c r="C4196" s="396" t="s">
        <v>2020</v>
      </c>
      <c r="D4196" s="405">
        <f t="shared" si="130"/>
        <v>22.39</v>
      </c>
      <c r="F4196" s="679">
        <v>22.39</v>
      </c>
      <c r="G4196" s="679">
        <v>25.76</v>
      </c>
      <c r="H4196" t="b">
        <f t="shared" si="131"/>
        <v>0</v>
      </c>
    </row>
    <row r="4197" spans="1:8">
      <c r="A4197" s="395">
        <v>41089</v>
      </c>
      <c r="B4197" s="406" t="s">
        <v>12927</v>
      </c>
      <c r="C4197" s="395" t="s">
        <v>2027</v>
      </c>
      <c r="D4197" s="407">
        <f t="shared" si="130"/>
        <v>3947.93</v>
      </c>
      <c r="F4197" s="680">
        <v>3947.93</v>
      </c>
      <c r="G4197" s="680">
        <v>4547.79</v>
      </c>
      <c r="H4197" t="b">
        <f t="shared" si="131"/>
        <v>0</v>
      </c>
    </row>
    <row r="4198" spans="1:8">
      <c r="A4198" s="396">
        <v>40943</v>
      </c>
      <c r="B4198" s="401" t="s">
        <v>12928</v>
      </c>
      <c r="C4198" s="396" t="s">
        <v>2020</v>
      </c>
      <c r="D4198" s="405">
        <f t="shared" si="130"/>
        <v>22.17</v>
      </c>
      <c r="F4198" s="679">
        <v>22.17</v>
      </c>
      <c r="G4198" s="679">
        <v>25.51</v>
      </c>
      <c r="H4198" t="b">
        <f t="shared" si="131"/>
        <v>0</v>
      </c>
    </row>
    <row r="4199" spans="1:8">
      <c r="A4199" s="395">
        <v>40944</v>
      </c>
      <c r="B4199" s="406" t="s">
        <v>12929</v>
      </c>
      <c r="C4199" s="395" t="s">
        <v>2027</v>
      </c>
      <c r="D4199" s="407">
        <f t="shared" si="130"/>
        <v>3909.21</v>
      </c>
      <c r="F4199" s="680">
        <v>3909.21</v>
      </c>
      <c r="G4199" s="680">
        <v>4503.18</v>
      </c>
      <c r="H4199" t="b">
        <f t="shared" si="131"/>
        <v>0</v>
      </c>
    </row>
    <row r="4200" spans="1:8">
      <c r="A4200" s="396">
        <v>6175</v>
      </c>
      <c r="B4200" s="401" t="s">
        <v>12930</v>
      </c>
      <c r="C4200" s="396" t="s">
        <v>2020</v>
      </c>
      <c r="D4200" s="405">
        <f t="shared" si="130"/>
        <v>21.59</v>
      </c>
      <c r="F4200" s="679">
        <v>21.59</v>
      </c>
      <c r="G4200" s="679">
        <v>24.84</v>
      </c>
      <c r="H4200" t="b">
        <f t="shared" si="131"/>
        <v>0</v>
      </c>
    </row>
    <row r="4201" spans="1:8">
      <c r="A4201" s="395">
        <v>41092</v>
      </c>
      <c r="B4201" s="406" t="s">
        <v>12931</v>
      </c>
      <c r="C4201" s="395" t="s">
        <v>2027</v>
      </c>
      <c r="D4201" s="407">
        <f t="shared" si="130"/>
        <v>3808.04</v>
      </c>
      <c r="F4201" s="680">
        <v>3808.04</v>
      </c>
      <c r="G4201" s="680">
        <v>4386.6400000000003</v>
      </c>
      <c r="H4201" t="b">
        <f t="shared" si="131"/>
        <v>0</v>
      </c>
    </row>
    <row r="4202" spans="1:8" ht="30">
      <c r="A4202" s="396">
        <v>37712</v>
      </c>
      <c r="B4202" s="401" t="s">
        <v>12932</v>
      </c>
      <c r="C4202" s="396" t="s">
        <v>2023</v>
      </c>
      <c r="D4202" s="405">
        <f t="shared" si="130"/>
        <v>76.31</v>
      </c>
      <c r="F4202" s="679">
        <v>76.31</v>
      </c>
      <c r="G4202" s="679">
        <v>76.31</v>
      </c>
      <c r="H4202" t="b">
        <f t="shared" si="131"/>
        <v>1</v>
      </c>
    </row>
    <row r="4203" spans="1:8" ht="30">
      <c r="A4203" s="395">
        <v>34547</v>
      </c>
      <c r="B4203" s="406" t="s">
        <v>12933</v>
      </c>
      <c r="C4203" s="395" t="s">
        <v>2024</v>
      </c>
      <c r="D4203" s="407">
        <f t="shared" si="130"/>
        <v>5.93</v>
      </c>
      <c r="F4203" s="680">
        <v>5.93</v>
      </c>
      <c r="G4203" s="680">
        <v>5.93</v>
      </c>
      <c r="H4203" t="b">
        <f t="shared" si="131"/>
        <v>1</v>
      </c>
    </row>
    <row r="4204" spans="1:8" ht="30">
      <c r="A4204" s="396">
        <v>34548</v>
      </c>
      <c r="B4204" s="401" t="s">
        <v>12934</v>
      </c>
      <c r="C4204" s="396" t="s">
        <v>2024</v>
      </c>
      <c r="D4204" s="405">
        <f t="shared" si="130"/>
        <v>9.7200000000000006</v>
      </c>
      <c r="F4204" s="679">
        <v>9.7200000000000006</v>
      </c>
      <c r="G4204" s="679">
        <v>9.7200000000000006</v>
      </c>
      <c r="H4204" t="b">
        <f t="shared" si="131"/>
        <v>1</v>
      </c>
    </row>
    <row r="4205" spans="1:8" ht="30">
      <c r="A4205" s="395">
        <v>34558</v>
      </c>
      <c r="B4205" s="406" t="s">
        <v>12935</v>
      </c>
      <c r="C4205" s="395" t="s">
        <v>2024</v>
      </c>
      <c r="D4205" s="407">
        <f t="shared" si="130"/>
        <v>4.82</v>
      </c>
      <c r="F4205" s="680">
        <v>4.82</v>
      </c>
      <c r="G4205" s="680">
        <v>4.82</v>
      </c>
      <c r="H4205" t="b">
        <f t="shared" si="131"/>
        <v>1</v>
      </c>
    </row>
    <row r="4206" spans="1:8">
      <c r="A4206" s="396">
        <v>34550</v>
      </c>
      <c r="B4206" s="401" t="s">
        <v>12936</v>
      </c>
      <c r="C4206" s="396" t="s">
        <v>2024</v>
      </c>
      <c r="D4206" s="405">
        <f t="shared" si="130"/>
        <v>2.56</v>
      </c>
      <c r="F4206" s="679">
        <v>2.56</v>
      </c>
      <c r="G4206" s="679">
        <v>2.56</v>
      </c>
      <c r="H4206" t="b">
        <f t="shared" si="131"/>
        <v>1</v>
      </c>
    </row>
    <row r="4207" spans="1:8" ht="30">
      <c r="A4207" s="395">
        <v>34557</v>
      </c>
      <c r="B4207" s="406" t="s">
        <v>12937</v>
      </c>
      <c r="C4207" s="395" t="s">
        <v>2024</v>
      </c>
      <c r="D4207" s="407">
        <f t="shared" si="130"/>
        <v>3.75</v>
      </c>
      <c r="F4207" s="680">
        <v>3.75</v>
      </c>
      <c r="G4207" s="680">
        <v>3.75</v>
      </c>
      <c r="H4207" t="b">
        <f t="shared" si="131"/>
        <v>1</v>
      </c>
    </row>
    <row r="4208" spans="1:8">
      <c r="A4208" s="396">
        <v>37411</v>
      </c>
      <c r="B4208" s="401" t="s">
        <v>12938</v>
      </c>
      <c r="C4208" s="396" t="s">
        <v>2023</v>
      </c>
      <c r="D4208" s="405">
        <f t="shared" si="130"/>
        <v>27.45</v>
      </c>
      <c r="F4208" s="679">
        <v>27.45</v>
      </c>
      <c r="G4208" s="679">
        <v>27.45</v>
      </c>
      <c r="H4208" t="b">
        <f t="shared" si="131"/>
        <v>1</v>
      </c>
    </row>
    <row r="4209" spans="1:8" ht="30">
      <c r="A4209" s="395">
        <v>39508</v>
      </c>
      <c r="B4209" s="406" t="s">
        <v>12939</v>
      </c>
      <c r="C4209" s="395" t="s">
        <v>2023</v>
      </c>
      <c r="D4209" s="407">
        <f t="shared" si="130"/>
        <v>15.42</v>
      </c>
      <c r="F4209" s="680">
        <v>15.42</v>
      </c>
      <c r="G4209" s="680">
        <v>15.42</v>
      </c>
      <c r="H4209" t="b">
        <f t="shared" si="131"/>
        <v>1</v>
      </c>
    </row>
    <row r="4210" spans="1:8" ht="30">
      <c r="A4210" s="396">
        <v>39507</v>
      </c>
      <c r="B4210" s="401" t="s">
        <v>12940</v>
      </c>
      <c r="C4210" s="396" t="s">
        <v>2023</v>
      </c>
      <c r="D4210" s="405">
        <f t="shared" si="130"/>
        <v>23</v>
      </c>
      <c r="F4210" s="679">
        <v>23</v>
      </c>
      <c r="G4210" s="679">
        <v>23</v>
      </c>
      <c r="H4210" t="b">
        <f t="shared" si="131"/>
        <v>1</v>
      </c>
    </row>
    <row r="4211" spans="1:8" ht="30">
      <c r="A4211" s="395">
        <v>7155</v>
      </c>
      <c r="B4211" s="406" t="s">
        <v>12941</v>
      </c>
      <c r="C4211" s="395" t="s">
        <v>2023</v>
      </c>
      <c r="D4211" s="407">
        <f t="shared" si="130"/>
        <v>29.53</v>
      </c>
      <c r="F4211" s="680">
        <v>29.53</v>
      </c>
      <c r="G4211" s="680">
        <v>29.53</v>
      </c>
      <c r="H4211" t="b">
        <f t="shared" si="131"/>
        <v>1</v>
      </c>
    </row>
    <row r="4212" spans="1:8" ht="30">
      <c r="A4212" s="396">
        <v>42406</v>
      </c>
      <c r="B4212" s="401" t="s">
        <v>12942</v>
      </c>
      <c r="C4212" s="396" t="s">
        <v>2023</v>
      </c>
      <c r="D4212" s="405">
        <f t="shared" si="130"/>
        <v>33.85</v>
      </c>
      <c r="F4212" s="679">
        <v>33.85</v>
      </c>
      <c r="G4212" s="679">
        <v>33.85</v>
      </c>
      <c r="H4212" t="b">
        <f t="shared" si="131"/>
        <v>1</v>
      </c>
    </row>
    <row r="4213" spans="1:8" ht="30">
      <c r="A4213" s="395">
        <v>7156</v>
      </c>
      <c r="B4213" s="406" t="s">
        <v>12943</v>
      </c>
      <c r="C4213" s="395" t="s">
        <v>2023</v>
      </c>
      <c r="D4213" s="407">
        <f t="shared" si="130"/>
        <v>42.36</v>
      </c>
      <c r="F4213" s="680">
        <v>42.36</v>
      </c>
      <c r="G4213" s="680">
        <v>42.36</v>
      </c>
      <c r="H4213" t="b">
        <f t="shared" si="131"/>
        <v>1</v>
      </c>
    </row>
    <row r="4214" spans="1:8" ht="30">
      <c r="A4214" s="396">
        <v>43127</v>
      </c>
      <c r="B4214" s="401" t="s">
        <v>12944</v>
      </c>
      <c r="C4214" s="396" t="s">
        <v>2023</v>
      </c>
      <c r="D4214" s="405">
        <f t="shared" si="130"/>
        <v>60.62</v>
      </c>
      <c r="F4214" s="679">
        <v>60.62</v>
      </c>
      <c r="G4214" s="679">
        <v>60.62</v>
      </c>
      <c r="H4214" t="b">
        <f t="shared" si="131"/>
        <v>1</v>
      </c>
    </row>
    <row r="4215" spans="1:8" ht="30">
      <c r="A4215" s="395">
        <v>10917</v>
      </c>
      <c r="B4215" s="406" t="s">
        <v>12945</v>
      </c>
      <c r="C4215" s="395" t="s">
        <v>2023</v>
      </c>
      <c r="D4215" s="407">
        <f t="shared" si="130"/>
        <v>12.79</v>
      </c>
      <c r="F4215" s="680">
        <v>12.79</v>
      </c>
      <c r="G4215" s="680">
        <v>12.79</v>
      </c>
      <c r="H4215" t="b">
        <f t="shared" si="131"/>
        <v>1</v>
      </c>
    </row>
    <row r="4216" spans="1:8" ht="30">
      <c r="A4216" s="396">
        <v>21141</v>
      </c>
      <c r="B4216" s="401" t="s">
        <v>12946</v>
      </c>
      <c r="C4216" s="396" t="s">
        <v>2023</v>
      </c>
      <c r="D4216" s="405">
        <f t="shared" si="130"/>
        <v>19.809999999999999</v>
      </c>
      <c r="F4216" s="679">
        <v>19.809999999999999</v>
      </c>
      <c r="G4216" s="679">
        <v>19.809999999999999</v>
      </c>
      <c r="H4216" t="b">
        <f t="shared" si="131"/>
        <v>1</v>
      </c>
    </row>
    <row r="4217" spans="1:8" ht="30">
      <c r="A4217" s="395">
        <v>39509</v>
      </c>
      <c r="B4217" s="406" t="s">
        <v>12947</v>
      </c>
      <c r="C4217" s="395" t="s">
        <v>2023</v>
      </c>
      <c r="D4217" s="407">
        <f t="shared" si="130"/>
        <v>19.059999999999999</v>
      </c>
      <c r="F4217" s="680">
        <v>19.059999999999999</v>
      </c>
      <c r="G4217" s="680">
        <v>19.059999999999999</v>
      </c>
      <c r="H4217" t="b">
        <f t="shared" si="131"/>
        <v>1</v>
      </c>
    </row>
    <row r="4218" spans="1:8">
      <c r="A4218" s="396">
        <v>44529</v>
      </c>
      <c r="B4218" s="401" t="s">
        <v>12948</v>
      </c>
      <c r="C4218" s="396" t="s">
        <v>2023</v>
      </c>
      <c r="D4218" s="405">
        <f t="shared" si="130"/>
        <v>16.07</v>
      </c>
      <c r="F4218" s="679">
        <v>16.07</v>
      </c>
      <c r="G4218" s="679">
        <v>16.07</v>
      </c>
      <c r="H4218" t="b">
        <f t="shared" si="131"/>
        <v>1</v>
      </c>
    </row>
    <row r="4219" spans="1:8">
      <c r="A4219" s="395">
        <v>7167</v>
      </c>
      <c r="B4219" s="406" t="s">
        <v>12949</v>
      </c>
      <c r="C4219" s="395" t="s">
        <v>2023</v>
      </c>
      <c r="D4219" s="407">
        <f t="shared" si="130"/>
        <v>38.68</v>
      </c>
      <c r="F4219" s="680">
        <v>38.68</v>
      </c>
      <c r="G4219" s="680">
        <v>38.68</v>
      </c>
      <c r="H4219" t="b">
        <f t="shared" si="131"/>
        <v>1</v>
      </c>
    </row>
    <row r="4220" spans="1:8">
      <c r="A4220" s="396">
        <v>10928</v>
      </c>
      <c r="B4220" s="401" t="s">
        <v>12950</v>
      </c>
      <c r="C4220" s="396" t="s">
        <v>2023</v>
      </c>
      <c r="D4220" s="405">
        <f t="shared" si="130"/>
        <v>22.22</v>
      </c>
      <c r="F4220" s="679">
        <v>22.22</v>
      </c>
      <c r="G4220" s="679">
        <v>22.22</v>
      </c>
      <c r="H4220" t="b">
        <f t="shared" si="131"/>
        <v>1</v>
      </c>
    </row>
    <row r="4221" spans="1:8">
      <c r="A4221" s="395">
        <v>10933</v>
      </c>
      <c r="B4221" s="406" t="s">
        <v>12951</v>
      </c>
      <c r="C4221" s="395" t="s">
        <v>2023</v>
      </c>
      <c r="D4221" s="407">
        <f t="shared" si="130"/>
        <v>33.520000000000003</v>
      </c>
      <c r="F4221" s="680">
        <v>33.520000000000003</v>
      </c>
      <c r="G4221" s="680">
        <v>33.520000000000003</v>
      </c>
      <c r="H4221" t="b">
        <f t="shared" si="131"/>
        <v>1</v>
      </c>
    </row>
    <row r="4222" spans="1:8">
      <c r="A4222" s="396">
        <v>7158</v>
      </c>
      <c r="B4222" s="401" t="s">
        <v>12952</v>
      </c>
      <c r="C4222" s="396" t="s">
        <v>2023</v>
      </c>
      <c r="D4222" s="405">
        <f t="shared" si="130"/>
        <v>56.85</v>
      </c>
      <c r="F4222" s="679">
        <v>56.85</v>
      </c>
      <c r="G4222" s="679">
        <v>56.85</v>
      </c>
      <c r="H4222" t="b">
        <f t="shared" si="131"/>
        <v>1</v>
      </c>
    </row>
    <row r="4223" spans="1:8">
      <c r="A4223" s="395">
        <v>10927</v>
      </c>
      <c r="B4223" s="406" t="s">
        <v>12953</v>
      </c>
      <c r="C4223" s="395" t="s">
        <v>2023</v>
      </c>
      <c r="D4223" s="407">
        <f t="shared" si="130"/>
        <v>36.36</v>
      </c>
      <c r="F4223" s="680">
        <v>36.36</v>
      </c>
      <c r="G4223" s="680">
        <v>36.36</v>
      </c>
      <c r="H4223" t="b">
        <f t="shared" si="131"/>
        <v>1</v>
      </c>
    </row>
    <row r="4224" spans="1:8">
      <c r="A4224" s="396">
        <v>7162</v>
      </c>
      <c r="B4224" s="401" t="s">
        <v>12954</v>
      </c>
      <c r="C4224" s="396" t="s">
        <v>2023</v>
      </c>
      <c r="D4224" s="405">
        <f t="shared" si="130"/>
        <v>88.96</v>
      </c>
      <c r="F4224" s="679">
        <v>88.96</v>
      </c>
      <c r="G4224" s="679">
        <v>88.96</v>
      </c>
      <c r="H4224" t="b">
        <f t="shared" si="131"/>
        <v>1</v>
      </c>
    </row>
    <row r="4225" spans="1:8">
      <c r="A4225" s="395">
        <v>10932</v>
      </c>
      <c r="B4225" s="406" t="s">
        <v>12955</v>
      </c>
      <c r="C4225" s="395" t="s">
        <v>2023</v>
      </c>
      <c r="D4225" s="407">
        <f t="shared" si="130"/>
        <v>154.74</v>
      </c>
      <c r="F4225" s="680">
        <v>154.74</v>
      </c>
      <c r="G4225" s="680">
        <v>154.74</v>
      </c>
      <c r="H4225" t="b">
        <f t="shared" si="131"/>
        <v>1</v>
      </c>
    </row>
    <row r="4226" spans="1:8" ht="30">
      <c r="A4226" s="396">
        <v>10937</v>
      </c>
      <c r="B4226" s="401" t="s">
        <v>12956</v>
      </c>
      <c r="C4226" s="396" t="s">
        <v>2023</v>
      </c>
      <c r="D4226" s="405">
        <f t="shared" si="130"/>
        <v>39.770000000000003</v>
      </c>
      <c r="F4226" s="679">
        <v>39.770000000000003</v>
      </c>
      <c r="G4226" s="679">
        <v>39.770000000000003</v>
      </c>
      <c r="H4226" t="b">
        <f t="shared" si="131"/>
        <v>1</v>
      </c>
    </row>
    <row r="4227" spans="1:8" ht="30">
      <c r="A4227" s="395">
        <v>10935</v>
      </c>
      <c r="B4227" s="406" t="s">
        <v>12957</v>
      </c>
      <c r="C4227" s="395" t="s">
        <v>2023</v>
      </c>
      <c r="D4227" s="407">
        <f t="shared" ref="D4227:D4290" si="132">IF($J$2=$F$1,F4227,G4227)</f>
        <v>68.98</v>
      </c>
      <c r="F4227" s="680">
        <v>68.98</v>
      </c>
      <c r="G4227" s="680">
        <v>68.98</v>
      </c>
      <c r="H4227" t="b">
        <f t="shared" ref="H4227:H4290" si="133">F4227=G4227</f>
        <v>1</v>
      </c>
    </row>
    <row r="4228" spans="1:8">
      <c r="A4228" s="396">
        <v>10931</v>
      </c>
      <c r="B4228" s="401" t="s">
        <v>12958</v>
      </c>
      <c r="C4228" s="396" t="s">
        <v>2023</v>
      </c>
      <c r="D4228" s="405">
        <f t="shared" si="132"/>
        <v>19.399999999999999</v>
      </c>
      <c r="F4228" s="679">
        <v>19.399999999999999</v>
      </c>
      <c r="G4228" s="679">
        <v>19.399999999999999</v>
      </c>
      <c r="H4228" t="b">
        <f t="shared" si="133"/>
        <v>1</v>
      </c>
    </row>
    <row r="4229" spans="1:8">
      <c r="A4229" s="395">
        <v>7164</v>
      </c>
      <c r="B4229" s="406" t="s">
        <v>12959</v>
      </c>
      <c r="C4229" s="395" t="s">
        <v>2023</v>
      </c>
      <c r="D4229" s="407">
        <f t="shared" si="132"/>
        <v>64.209999999999994</v>
      </c>
      <c r="F4229" s="680">
        <v>64.209999999999994</v>
      </c>
      <c r="G4229" s="680">
        <v>64.209999999999994</v>
      </c>
      <c r="H4229" t="b">
        <f t="shared" si="133"/>
        <v>1</v>
      </c>
    </row>
    <row r="4230" spans="1:8">
      <c r="A4230" s="396">
        <v>36887</v>
      </c>
      <c r="B4230" s="401" t="s">
        <v>12960</v>
      </c>
      <c r="C4230" s="396" t="s">
        <v>2023</v>
      </c>
      <c r="D4230" s="405">
        <f t="shared" si="132"/>
        <v>12.68</v>
      </c>
      <c r="F4230" s="679">
        <v>12.68</v>
      </c>
      <c r="G4230" s="679">
        <v>12.68</v>
      </c>
      <c r="H4230" t="b">
        <f t="shared" si="133"/>
        <v>1</v>
      </c>
    </row>
    <row r="4231" spans="1:8" ht="30">
      <c r="A4231" s="395">
        <v>34630</v>
      </c>
      <c r="B4231" s="406" t="s">
        <v>12961</v>
      </c>
      <c r="C4231" s="395" t="s">
        <v>2021</v>
      </c>
      <c r="D4231" s="407">
        <f t="shared" si="132"/>
        <v>1240.21</v>
      </c>
      <c r="F4231" s="680">
        <v>1240.21</v>
      </c>
      <c r="G4231" s="680">
        <v>1240.21</v>
      </c>
      <c r="H4231" t="b">
        <f t="shared" si="133"/>
        <v>1</v>
      </c>
    </row>
    <row r="4232" spans="1:8">
      <c r="A4232" s="396">
        <v>7161</v>
      </c>
      <c r="B4232" s="401" t="s">
        <v>12962</v>
      </c>
      <c r="C4232" s="396" t="s">
        <v>2023</v>
      </c>
      <c r="D4232" s="405">
        <f t="shared" si="132"/>
        <v>7.99</v>
      </c>
      <c r="F4232" s="679">
        <v>7.99</v>
      </c>
      <c r="G4232" s="679">
        <v>7.99</v>
      </c>
      <c r="H4232" t="b">
        <f t="shared" si="133"/>
        <v>1</v>
      </c>
    </row>
    <row r="4233" spans="1:8">
      <c r="A4233" s="395">
        <v>7170</v>
      </c>
      <c r="B4233" s="406" t="s">
        <v>12963</v>
      </c>
      <c r="C4233" s="395" t="s">
        <v>2023</v>
      </c>
      <c r="D4233" s="407">
        <f t="shared" si="132"/>
        <v>3.06</v>
      </c>
      <c r="F4233" s="680">
        <v>3.06</v>
      </c>
      <c r="G4233" s="680">
        <v>3.06</v>
      </c>
      <c r="H4233" t="b">
        <f t="shared" si="133"/>
        <v>1</v>
      </c>
    </row>
    <row r="4234" spans="1:8">
      <c r="A4234" s="396">
        <v>37524</v>
      </c>
      <c r="B4234" s="401" t="s">
        <v>12964</v>
      </c>
      <c r="C4234" s="396" t="s">
        <v>2024</v>
      </c>
      <c r="D4234" s="405">
        <f t="shared" si="132"/>
        <v>2.8</v>
      </c>
      <c r="F4234" s="679">
        <v>2.8</v>
      </c>
      <c r="G4234" s="679">
        <v>2.8</v>
      </c>
      <c r="H4234" t="b">
        <f t="shared" si="133"/>
        <v>1</v>
      </c>
    </row>
    <row r="4235" spans="1:8" ht="30">
      <c r="A4235" s="395">
        <v>37525</v>
      </c>
      <c r="B4235" s="406" t="s">
        <v>12965</v>
      </c>
      <c r="C4235" s="395" t="s">
        <v>2024</v>
      </c>
      <c r="D4235" s="407">
        <f t="shared" si="132"/>
        <v>3.83</v>
      </c>
      <c r="F4235" s="680">
        <v>3.83</v>
      </c>
      <c r="G4235" s="680">
        <v>3.83</v>
      </c>
      <c r="H4235" t="b">
        <f t="shared" si="133"/>
        <v>1</v>
      </c>
    </row>
    <row r="4236" spans="1:8">
      <c r="A4236" s="396">
        <v>36789</v>
      </c>
      <c r="B4236" s="401" t="s">
        <v>12966</v>
      </c>
      <c r="C4236" s="396" t="s">
        <v>2021</v>
      </c>
      <c r="D4236" s="405">
        <f t="shared" si="132"/>
        <v>3.25</v>
      </c>
      <c r="F4236" s="679">
        <v>3.25</v>
      </c>
      <c r="G4236" s="679">
        <v>3.25</v>
      </c>
      <c r="H4236" t="b">
        <f t="shared" si="133"/>
        <v>1</v>
      </c>
    </row>
    <row r="4237" spans="1:8" ht="30">
      <c r="A4237" s="395">
        <v>7173</v>
      </c>
      <c r="B4237" s="406" t="s">
        <v>12967</v>
      </c>
      <c r="C4237" s="395" t="s">
        <v>2030</v>
      </c>
      <c r="D4237" s="407">
        <f t="shared" si="132"/>
        <v>2099.5</v>
      </c>
      <c r="F4237" s="680">
        <v>2099.5</v>
      </c>
      <c r="G4237" s="680">
        <v>2099.5</v>
      </c>
      <c r="H4237" t="b">
        <f t="shared" si="133"/>
        <v>1</v>
      </c>
    </row>
    <row r="4238" spans="1:8" ht="30">
      <c r="A4238" s="396">
        <v>7175</v>
      </c>
      <c r="B4238" s="401" t="s">
        <v>12968</v>
      </c>
      <c r="C4238" s="396" t="s">
        <v>2021</v>
      </c>
      <c r="D4238" s="405">
        <f t="shared" si="132"/>
        <v>2.37</v>
      </c>
      <c r="F4238" s="679">
        <v>2.37</v>
      </c>
      <c r="G4238" s="679">
        <v>2.37</v>
      </c>
      <c r="H4238" t="b">
        <f t="shared" si="133"/>
        <v>1</v>
      </c>
    </row>
    <row r="4239" spans="1:8">
      <c r="A4239" s="395">
        <v>40741</v>
      </c>
      <c r="B4239" s="406" t="s">
        <v>12969</v>
      </c>
      <c r="C4239" s="395" t="s">
        <v>2021</v>
      </c>
      <c r="D4239" s="407">
        <f t="shared" si="132"/>
        <v>3.38</v>
      </c>
      <c r="F4239" s="680">
        <v>3.38</v>
      </c>
      <c r="G4239" s="680">
        <v>3.38</v>
      </c>
      <c r="H4239" t="b">
        <f t="shared" si="133"/>
        <v>1</v>
      </c>
    </row>
    <row r="4240" spans="1:8">
      <c r="A4240" s="396">
        <v>7184</v>
      </c>
      <c r="B4240" s="401" t="s">
        <v>12970</v>
      </c>
      <c r="C4240" s="396" t="s">
        <v>2023</v>
      </c>
      <c r="D4240" s="405">
        <f t="shared" si="132"/>
        <v>57.62</v>
      </c>
      <c r="F4240" s="679">
        <v>57.62</v>
      </c>
      <c r="G4240" s="679">
        <v>57.62</v>
      </c>
      <c r="H4240" t="b">
        <f t="shared" si="133"/>
        <v>1</v>
      </c>
    </row>
    <row r="4241" spans="1:8">
      <c r="A4241" s="395">
        <v>34458</v>
      </c>
      <c r="B4241" s="406" t="s">
        <v>12971</v>
      </c>
      <c r="C4241" s="395" t="s">
        <v>2021</v>
      </c>
      <c r="D4241" s="407">
        <f t="shared" si="132"/>
        <v>188.29</v>
      </c>
      <c r="F4241" s="680">
        <v>188.29</v>
      </c>
      <c r="G4241" s="680">
        <v>188.29</v>
      </c>
      <c r="H4241" t="b">
        <f t="shared" si="133"/>
        <v>1</v>
      </c>
    </row>
    <row r="4242" spans="1:8">
      <c r="A4242" s="396">
        <v>34464</v>
      </c>
      <c r="B4242" s="401" t="s">
        <v>12972</v>
      </c>
      <c r="C4242" s="396" t="s">
        <v>2021</v>
      </c>
      <c r="D4242" s="405">
        <f t="shared" si="132"/>
        <v>280.27999999999997</v>
      </c>
      <c r="F4242" s="679">
        <v>280.27999999999997</v>
      </c>
      <c r="G4242" s="679">
        <v>280.27999999999997</v>
      </c>
      <c r="H4242" t="b">
        <f t="shared" si="133"/>
        <v>1</v>
      </c>
    </row>
    <row r="4243" spans="1:8">
      <c r="A4243" s="395">
        <v>34468</v>
      </c>
      <c r="B4243" s="406" t="s">
        <v>12973</v>
      </c>
      <c r="C4243" s="395" t="s">
        <v>2021</v>
      </c>
      <c r="D4243" s="407">
        <f t="shared" si="132"/>
        <v>353.36</v>
      </c>
      <c r="F4243" s="680">
        <v>353.36</v>
      </c>
      <c r="G4243" s="680">
        <v>353.36</v>
      </c>
      <c r="H4243" t="b">
        <f t="shared" si="133"/>
        <v>1</v>
      </c>
    </row>
    <row r="4244" spans="1:8">
      <c r="A4244" s="396">
        <v>34473</v>
      </c>
      <c r="B4244" s="401" t="s">
        <v>12974</v>
      </c>
      <c r="C4244" s="396" t="s">
        <v>2021</v>
      </c>
      <c r="D4244" s="405">
        <f t="shared" si="132"/>
        <v>214.36</v>
      </c>
      <c r="F4244" s="679">
        <v>214.36</v>
      </c>
      <c r="G4244" s="679">
        <v>214.36</v>
      </c>
      <c r="H4244" t="b">
        <f t="shared" si="133"/>
        <v>1</v>
      </c>
    </row>
    <row r="4245" spans="1:8">
      <c r="A4245" s="395">
        <v>34480</v>
      </c>
      <c r="B4245" s="406" t="s">
        <v>12975</v>
      </c>
      <c r="C4245" s="395" t="s">
        <v>2021</v>
      </c>
      <c r="D4245" s="407">
        <f t="shared" si="132"/>
        <v>396.14</v>
      </c>
      <c r="F4245" s="680">
        <v>396.14</v>
      </c>
      <c r="G4245" s="680">
        <v>396.14</v>
      </c>
      <c r="H4245" t="b">
        <f t="shared" si="133"/>
        <v>1</v>
      </c>
    </row>
    <row r="4246" spans="1:8">
      <c r="A4246" s="396">
        <v>34486</v>
      </c>
      <c r="B4246" s="401" t="s">
        <v>12976</v>
      </c>
      <c r="C4246" s="396" t="s">
        <v>2021</v>
      </c>
      <c r="D4246" s="405">
        <f t="shared" si="132"/>
        <v>469.02</v>
      </c>
      <c r="F4246" s="679">
        <v>469.02</v>
      </c>
      <c r="G4246" s="679">
        <v>469.02</v>
      </c>
      <c r="H4246" t="b">
        <f t="shared" si="133"/>
        <v>1</v>
      </c>
    </row>
    <row r="4247" spans="1:8">
      <c r="A4247" s="395">
        <v>7190</v>
      </c>
      <c r="B4247" s="406" t="s">
        <v>12977</v>
      </c>
      <c r="C4247" s="395" t="s">
        <v>2021</v>
      </c>
      <c r="D4247" s="407">
        <f t="shared" si="132"/>
        <v>15.66</v>
      </c>
      <c r="F4247" s="680">
        <v>15.66</v>
      </c>
      <c r="G4247" s="680">
        <v>15.66</v>
      </c>
      <c r="H4247" t="b">
        <f t="shared" si="133"/>
        <v>1</v>
      </c>
    </row>
    <row r="4248" spans="1:8">
      <c r="A4248" s="396">
        <v>34417</v>
      </c>
      <c r="B4248" s="401" t="s">
        <v>12978</v>
      </c>
      <c r="C4248" s="396" t="s">
        <v>2021</v>
      </c>
      <c r="D4248" s="405">
        <f t="shared" si="132"/>
        <v>25.06</v>
      </c>
      <c r="F4248" s="679">
        <v>25.06</v>
      </c>
      <c r="G4248" s="679">
        <v>25.06</v>
      </c>
      <c r="H4248" t="b">
        <f t="shared" si="133"/>
        <v>1</v>
      </c>
    </row>
    <row r="4249" spans="1:8">
      <c r="A4249" s="395">
        <v>7213</v>
      </c>
      <c r="B4249" s="406" t="s">
        <v>12979</v>
      </c>
      <c r="C4249" s="395" t="s">
        <v>2023</v>
      </c>
      <c r="D4249" s="407">
        <f t="shared" si="132"/>
        <v>22.98</v>
      </c>
      <c r="F4249" s="680">
        <v>22.98</v>
      </c>
      <c r="G4249" s="680">
        <v>22.98</v>
      </c>
      <c r="H4249" t="b">
        <f t="shared" si="133"/>
        <v>1</v>
      </c>
    </row>
    <row r="4250" spans="1:8">
      <c r="A4250" s="396">
        <v>7195</v>
      </c>
      <c r="B4250" s="401" t="s">
        <v>12980</v>
      </c>
      <c r="C4250" s="396" t="s">
        <v>2021</v>
      </c>
      <c r="D4250" s="405">
        <f t="shared" si="132"/>
        <v>67.47</v>
      </c>
      <c r="F4250" s="679">
        <v>67.47</v>
      </c>
      <c r="G4250" s="679">
        <v>67.47</v>
      </c>
      <c r="H4250" t="b">
        <f t="shared" si="133"/>
        <v>1</v>
      </c>
    </row>
    <row r="4251" spans="1:8">
      <c r="A4251" s="395">
        <v>7186</v>
      </c>
      <c r="B4251" s="406" t="s">
        <v>12981</v>
      </c>
      <c r="C4251" s="395" t="s">
        <v>2021</v>
      </c>
      <c r="D4251" s="407">
        <f t="shared" si="132"/>
        <v>73.5</v>
      </c>
      <c r="F4251" s="680">
        <v>73.5</v>
      </c>
      <c r="G4251" s="680">
        <v>73.5</v>
      </c>
      <c r="H4251" t="b">
        <f t="shared" si="133"/>
        <v>1</v>
      </c>
    </row>
    <row r="4252" spans="1:8">
      <c r="A4252" s="396">
        <v>7194</v>
      </c>
      <c r="B4252" s="401" t="s">
        <v>12982</v>
      </c>
      <c r="C4252" s="396" t="s">
        <v>2023</v>
      </c>
      <c r="D4252" s="405">
        <f t="shared" si="132"/>
        <v>33.89</v>
      </c>
      <c r="F4252" s="679">
        <v>33.89</v>
      </c>
      <c r="G4252" s="679">
        <v>33.89</v>
      </c>
      <c r="H4252" t="b">
        <f t="shared" si="133"/>
        <v>1</v>
      </c>
    </row>
    <row r="4253" spans="1:8">
      <c r="A4253" s="395">
        <v>7197</v>
      </c>
      <c r="B4253" s="406" t="s">
        <v>12983</v>
      </c>
      <c r="C4253" s="395" t="s">
        <v>2021</v>
      </c>
      <c r="D4253" s="407">
        <f t="shared" si="132"/>
        <v>143.03</v>
      </c>
      <c r="F4253" s="680">
        <v>143.03</v>
      </c>
      <c r="G4253" s="680">
        <v>143.03</v>
      </c>
      <c r="H4253" t="b">
        <f t="shared" si="133"/>
        <v>1</v>
      </c>
    </row>
    <row r="4254" spans="1:8">
      <c r="A4254" s="396">
        <v>7192</v>
      </c>
      <c r="B4254" s="401" t="s">
        <v>12984</v>
      </c>
      <c r="C4254" s="396" t="s">
        <v>2021</v>
      </c>
      <c r="D4254" s="405">
        <f t="shared" si="132"/>
        <v>128.13999999999999</v>
      </c>
      <c r="F4254" s="679">
        <v>128.13999999999999</v>
      </c>
      <c r="G4254" s="679">
        <v>128.13999999999999</v>
      </c>
      <c r="H4254" t="b">
        <f t="shared" si="133"/>
        <v>1</v>
      </c>
    </row>
    <row r="4255" spans="1:8">
      <c r="A4255" s="395">
        <v>7193</v>
      </c>
      <c r="B4255" s="406" t="s">
        <v>12985</v>
      </c>
      <c r="C4255" s="395" t="s">
        <v>2021</v>
      </c>
      <c r="D4255" s="407">
        <f t="shared" si="132"/>
        <v>144.27000000000001</v>
      </c>
      <c r="F4255" s="680">
        <v>144.27000000000001</v>
      </c>
      <c r="G4255" s="680">
        <v>144.27000000000001</v>
      </c>
      <c r="H4255" t="b">
        <f t="shared" si="133"/>
        <v>1</v>
      </c>
    </row>
    <row r="4256" spans="1:8">
      <c r="A4256" s="396">
        <v>7189</v>
      </c>
      <c r="B4256" s="401" t="s">
        <v>12986</v>
      </c>
      <c r="C4256" s="396" t="s">
        <v>2021</v>
      </c>
      <c r="D4256" s="405">
        <f t="shared" si="132"/>
        <v>167.66</v>
      </c>
      <c r="F4256" s="679">
        <v>167.66</v>
      </c>
      <c r="G4256" s="679">
        <v>167.66</v>
      </c>
      <c r="H4256" t="b">
        <f t="shared" si="133"/>
        <v>1</v>
      </c>
    </row>
    <row r="4257" spans="1:8">
      <c r="A4257" s="395">
        <v>34402</v>
      </c>
      <c r="B4257" s="406" t="s">
        <v>12987</v>
      </c>
      <c r="C4257" s="395" t="s">
        <v>2021</v>
      </c>
      <c r="D4257" s="407">
        <f t="shared" si="132"/>
        <v>236.7</v>
      </c>
      <c r="F4257" s="680">
        <v>236.7</v>
      </c>
      <c r="G4257" s="680">
        <v>236.7</v>
      </c>
      <c r="H4257" t="b">
        <f t="shared" si="133"/>
        <v>1</v>
      </c>
    </row>
    <row r="4258" spans="1:8">
      <c r="A4258" s="396">
        <v>7245</v>
      </c>
      <c r="B4258" s="401" t="s">
        <v>12988</v>
      </c>
      <c r="C4258" s="396" t="s">
        <v>2021</v>
      </c>
      <c r="D4258" s="405">
        <f t="shared" si="132"/>
        <v>47.07</v>
      </c>
      <c r="F4258" s="679">
        <v>47.07</v>
      </c>
      <c r="G4258" s="679">
        <v>47.07</v>
      </c>
      <c r="H4258" t="b">
        <f t="shared" si="133"/>
        <v>1</v>
      </c>
    </row>
    <row r="4259" spans="1:8">
      <c r="A4259" s="395">
        <v>34425</v>
      </c>
      <c r="B4259" s="406" t="s">
        <v>12989</v>
      </c>
      <c r="C4259" s="395" t="s">
        <v>2021</v>
      </c>
      <c r="D4259" s="407">
        <f t="shared" si="132"/>
        <v>152.05000000000001</v>
      </c>
      <c r="F4259" s="680">
        <v>152.05000000000001</v>
      </c>
      <c r="G4259" s="680">
        <v>152.05000000000001</v>
      </c>
      <c r="H4259" t="b">
        <f t="shared" si="133"/>
        <v>1</v>
      </c>
    </row>
    <row r="4260" spans="1:8">
      <c r="A4260" s="396">
        <v>7223</v>
      </c>
      <c r="B4260" s="401" t="s">
        <v>12990</v>
      </c>
      <c r="C4260" s="396" t="s">
        <v>2021</v>
      </c>
      <c r="D4260" s="405">
        <f t="shared" si="132"/>
        <v>169.45</v>
      </c>
      <c r="F4260" s="679">
        <v>169.45</v>
      </c>
      <c r="G4260" s="679">
        <v>169.45</v>
      </c>
      <c r="H4260" t="b">
        <f t="shared" si="133"/>
        <v>1</v>
      </c>
    </row>
    <row r="4261" spans="1:8">
      <c r="A4261" s="395">
        <v>7234</v>
      </c>
      <c r="B4261" s="406" t="s">
        <v>12991</v>
      </c>
      <c r="C4261" s="395" t="s">
        <v>2021</v>
      </c>
      <c r="D4261" s="407">
        <f t="shared" si="132"/>
        <v>255.7</v>
      </c>
      <c r="F4261" s="680">
        <v>255.7</v>
      </c>
      <c r="G4261" s="680">
        <v>255.7</v>
      </c>
      <c r="H4261" t="b">
        <f t="shared" si="133"/>
        <v>1</v>
      </c>
    </row>
    <row r="4262" spans="1:8">
      <c r="A4262" s="396">
        <v>7224</v>
      </c>
      <c r="B4262" s="401" t="s">
        <v>12992</v>
      </c>
      <c r="C4262" s="396" t="s">
        <v>2021</v>
      </c>
      <c r="D4262" s="405">
        <f t="shared" si="132"/>
        <v>311.51</v>
      </c>
      <c r="F4262" s="679">
        <v>311.51</v>
      </c>
      <c r="G4262" s="679">
        <v>311.51</v>
      </c>
      <c r="H4262" t="b">
        <f t="shared" si="133"/>
        <v>1</v>
      </c>
    </row>
    <row r="4263" spans="1:8">
      <c r="A4263" s="395">
        <v>7225</v>
      </c>
      <c r="B4263" s="406" t="s">
        <v>12993</v>
      </c>
      <c r="C4263" s="395" t="s">
        <v>2021</v>
      </c>
      <c r="D4263" s="407">
        <f t="shared" si="132"/>
        <v>334.02</v>
      </c>
      <c r="F4263" s="680">
        <v>334.02</v>
      </c>
      <c r="G4263" s="680">
        <v>334.02</v>
      </c>
      <c r="H4263" t="b">
        <f t="shared" si="133"/>
        <v>1</v>
      </c>
    </row>
    <row r="4264" spans="1:8">
      <c r="A4264" s="396">
        <v>7226</v>
      </c>
      <c r="B4264" s="401" t="s">
        <v>12994</v>
      </c>
      <c r="C4264" s="396" t="s">
        <v>2021</v>
      </c>
      <c r="D4264" s="405">
        <f t="shared" si="132"/>
        <v>356.44</v>
      </c>
      <c r="F4264" s="679">
        <v>356.44</v>
      </c>
      <c r="G4264" s="679">
        <v>356.44</v>
      </c>
      <c r="H4264" t="b">
        <f t="shared" si="133"/>
        <v>1</v>
      </c>
    </row>
    <row r="4265" spans="1:8">
      <c r="A4265" s="395">
        <v>7227</v>
      </c>
      <c r="B4265" s="406" t="s">
        <v>12995</v>
      </c>
      <c r="C4265" s="395" t="s">
        <v>2021</v>
      </c>
      <c r="D4265" s="407">
        <f t="shared" si="132"/>
        <v>405.73</v>
      </c>
      <c r="F4265" s="680">
        <v>405.73</v>
      </c>
      <c r="G4265" s="680">
        <v>405.73</v>
      </c>
      <c r="H4265" t="b">
        <f t="shared" si="133"/>
        <v>1</v>
      </c>
    </row>
    <row r="4266" spans="1:8">
      <c r="A4266" s="396">
        <v>7212</v>
      </c>
      <c r="B4266" s="401" t="s">
        <v>12996</v>
      </c>
      <c r="C4266" s="396" t="s">
        <v>2021</v>
      </c>
      <c r="D4266" s="405">
        <f t="shared" si="132"/>
        <v>445.79</v>
      </c>
      <c r="F4266" s="679">
        <v>445.79</v>
      </c>
      <c r="G4266" s="679">
        <v>445.79</v>
      </c>
      <c r="H4266" t="b">
        <f t="shared" si="133"/>
        <v>1</v>
      </c>
    </row>
    <row r="4267" spans="1:8">
      <c r="A4267" s="395">
        <v>7229</v>
      </c>
      <c r="B4267" s="406" t="s">
        <v>12997</v>
      </c>
      <c r="C4267" s="395" t="s">
        <v>2021</v>
      </c>
      <c r="D4267" s="407">
        <f t="shared" si="132"/>
        <v>282.57</v>
      </c>
      <c r="F4267" s="680">
        <v>282.57</v>
      </c>
      <c r="G4267" s="680">
        <v>282.57</v>
      </c>
      <c r="H4267" t="b">
        <f t="shared" si="133"/>
        <v>1</v>
      </c>
    </row>
    <row r="4268" spans="1:8">
      <c r="A4268" s="396">
        <v>7230</v>
      </c>
      <c r="B4268" s="401" t="s">
        <v>12998</v>
      </c>
      <c r="C4268" s="396" t="s">
        <v>2021</v>
      </c>
      <c r="D4268" s="405">
        <f t="shared" si="132"/>
        <v>470.43</v>
      </c>
      <c r="F4268" s="679">
        <v>470.43</v>
      </c>
      <c r="G4268" s="679">
        <v>470.43</v>
      </c>
      <c r="H4268" t="b">
        <f t="shared" si="133"/>
        <v>1</v>
      </c>
    </row>
    <row r="4269" spans="1:8">
      <c r="A4269" s="395">
        <v>7231</v>
      </c>
      <c r="B4269" s="406" t="s">
        <v>12999</v>
      </c>
      <c r="C4269" s="395" t="s">
        <v>2021</v>
      </c>
      <c r="D4269" s="407">
        <f t="shared" si="132"/>
        <v>667.34</v>
      </c>
      <c r="F4269" s="680">
        <v>667.34</v>
      </c>
      <c r="G4269" s="680">
        <v>667.34</v>
      </c>
      <c r="H4269" t="b">
        <f t="shared" si="133"/>
        <v>1</v>
      </c>
    </row>
    <row r="4270" spans="1:8">
      <c r="A4270" s="396">
        <v>7220</v>
      </c>
      <c r="B4270" s="401" t="s">
        <v>13000</v>
      </c>
      <c r="C4270" s="396" t="s">
        <v>2021</v>
      </c>
      <c r="D4270" s="405">
        <f t="shared" si="132"/>
        <v>823.77</v>
      </c>
      <c r="F4270" s="679">
        <v>823.77</v>
      </c>
      <c r="G4270" s="679">
        <v>823.77</v>
      </c>
      <c r="H4270" t="b">
        <f t="shared" si="133"/>
        <v>1</v>
      </c>
    </row>
    <row r="4271" spans="1:8">
      <c r="A4271" s="395">
        <v>34447</v>
      </c>
      <c r="B4271" s="406" t="s">
        <v>13001</v>
      </c>
      <c r="C4271" s="395" t="s">
        <v>2021</v>
      </c>
      <c r="D4271" s="407">
        <f t="shared" si="132"/>
        <v>921.09</v>
      </c>
      <c r="F4271" s="680">
        <v>921.09</v>
      </c>
      <c r="G4271" s="680">
        <v>921.09</v>
      </c>
      <c r="H4271" t="b">
        <f t="shared" si="133"/>
        <v>1</v>
      </c>
    </row>
    <row r="4272" spans="1:8">
      <c r="A4272" s="396">
        <v>7233</v>
      </c>
      <c r="B4272" s="401" t="s">
        <v>13002</v>
      </c>
      <c r="C4272" s="396" t="s">
        <v>2021</v>
      </c>
      <c r="D4272" s="405">
        <f t="shared" si="132"/>
        <v>1056.6400000000001</v>
      </c>
      <c r="F4272" s="679">
        <v>1056.6400000000001</v>
      </c>
      <c r="G4272" s="679">
        <v>1056.6400000000001</v>
      </c>
      <c r="H4272" t="b">
        <f t="shared" si="133"/>
        <v>1</v>
      </c>
    </row>
    <row r="4273" spans="1:8" ht="45">
      <c r="A4273" s="395">
        <v>40740</v>
      </c>
      <c r="B4273" s="406" t="s">
        <v>13003</v>
      </c>
      <c r="C4273" s="395" t="s">
        <v>2023</v>
      </c>
      <c r="D4273" s="407">
        <f t="shared" si="132"/>
        <v>160.41</v>
      </c>
      <c r="F4273" s="680">
        <v>160.41</v>
      </c>
      <c r="G4273" s="680">
        <v>160.41</v>
      </c>
      <c r="H4273" t="b">
        <f t="shared" si="133"/>
        <v>1</v>
      </c>
    </row>
    <row r="4274" spans="1:8" ht="30">
      <c r="A4274" s="396">
        <v>25007</v>
      </c>
      <c r="B4274" s="401" t="s">
        <v>13004</v>
      </c>
      <c r="C4274" s="396" t="s">
        <v>2023</v>
      </c>
      <c r="D4274" s="405">
        <f t="shared" si="132"/>
        <v>45.9</v>
      </c>
      <c r="F4274" s="679">
        <v>45.9</v>
      </c>
      <c r="G4274" s="679">
        <v>45.9</v>
      </c>
      <c r="H4274" t="b">
        <f t="shared" si="133"/>
        <v>1</v>
      </c>
    </row>
    <row r="4275" spans="1:8" ht="45">
      <c r="A4275" s="395">
        <v>43071</v>
      </c>
      <c r="B4275" s="406" t="s">
        <v>13005</v>
      </c>
      <c r="C4275" s="395" t="s">
        <v>2023</v>
      </c>
      <c r="D4275" s="407">
        <f t="shared" si="132"/>
        <v>180.62</v>
      </c>
      <c r="F4275" s="680">
        <v>180.62</v>
      </c>
      <c r="G4275" s="680">
        <v>180.62</v>
      </c>
      <c r="H4275" t="b">
        <f t="shared" si="133"/>
        <v>1</v>
      </c>
    </row>
    <row r="4276" spans="1:8" ht="45">
      <c r="A4276" s="396">
        <v>39520</v>
      </c>
      <c r="B4276" s="401" t="s">
        <v>13006</v>
      </c>
      <c r="C4276" s="396" t="s">
        <v>2023</v>
      </c>
      <c r="D4276" s="405">
        <f t="shared" si="132"/>
        <v>147.35</v>
      </c>
      <c r="F4276" s="679">
        <v>147.35</v>
      </c>
      <c r="G4276" s="679">
        <v>147.35</v>
      </c>
      <c r="H4276" t="b">
        <f t="shared" si="133"/>
        <v>1</v>
      </c>
    </row>
    <row r="4277" spans="1:8" ht="45">
      <c r="A4277" s="395">
        <v>39521</v>
      </c>
      <c r="B4277" s="406" t="s">
        <v>13007</v>
      </c>
      <c r="C4277" s="395" t="s">
        <v>2023</v>
      </c>
      <c r="D4277" s="407">
        <f t="shared" si="132"/>
        <v>152.16999999999999</v>
      </c>
      <c r="F4277" s="680">
        <v>152.16999999999999</v>
      </c>
      <c r="G4277" s="680">
        <v>152.16999999999999</v>
      </c>
      <c r="H4277" t="b">
        <f t="shared" si="133"/>
        <v>1</v>
      </c>
    </row>
    <row r="4278" spans="1:8" ht="45">
      <c r="A4278" s="396">
        <v>39522</v>
      </c>
      <c r="B4278" s="401" t="s">
        <v>13008</v>
      </c>
      <c r="C4278" s="396" t="s">
        <v>2023</v>
      </c>
      <c r="D4278" s="405">
        <f t="shared" si="132"/>
        <v>157.13</v>
      </c>
      <c r="F4278" s="679">
        <v>157.13</v>
      </c>
      <c r="G4278" s="679">
        <v>157.13</v>
      </c>
      <c r="H4278" t="b">
        <f t="shared" si="133"/>
        <v>1</v>
      </c>
    </row>
    <row r="4279" spans="1:8" ht="30">
      <c r="A4279" s="395">
        <v>7243</v>
      </c>
      <c r="B4279" s="406" t="s">
        <v>13009</v>
      </c>
      <c r="C4279" s="395" t="s">
        <v>2023</v>
      </c>
      <c r="D4279" s="407">
        <f t="shared" si="132"/>
        <v>47.96</v>
      </c>
      <c r="F4279" s="680">
        <v>47.96</v>
      </c>
      <c r="G4279" s="680">
        <v>47.96</v>
      </c>
      <c r="H4279" t="b">
        <f t="shared" si="133"/>
        <v>1</v>
      </c>
    </row>
    <row r="4280" spans="1:8" ht="30">
      <c r="A4280" s="396">
        <v>11067</v>
      </c>
      <c r="B4280" s="401" t="s">
        <v>13010</v>
      </c>
      <c r="C4280" s="396" t="s">
        <v>2021</v>
      </c>
      <c r="D4280" s="405">
        <f t="shared" si="132"/>
        <v>382.57</v>
      </c>
      <c r="F4280" s="679">
        <v>382.57</v>
      </c>
      <c r="G4280" s="679">
        <v>382.57</v>
      </c>
      <c r="H4280" t="b">
        <f t="shared" si="133"/>
        <v>1</v>
      </c>
    </row>
    <row r="4281" spans="1:8" ht="30">
      <c r="A4281" s="395">
        <v>11068</v>
      </c>
      <c r="B4281" s="406" t="s">
        <v>13011</v>
      </c>
      <c r="C4281" s="395" t="s">
        <v>2021</v>
      </c>
      <c r="D4281" s="407">
        <f t="shared" si="132"/>
        <v>483.32</v>
      </c>
      <c r="F4281" s="680">
        <v>483.32</v>
      </c>
      <c r="G4281" s="680">
        <v>483.32</v>
      </c>
      <c r="H4281" t="b">
        <f t="shared" si="133"/>
        <v>1</v>
      </c>
    </row>
    <row r="4282" spans="1:8">
      <c r="A4282" s="396">
        <v>7246</v>
      </c>
      <c r="B4282" s="401" t="s">
        <v>13012</v>
      </c>
      <c r="C4282" s="396" t="s">
        <v>2021</v>
      </c>
      <c r="D4282" s="405">
        <f t="shared" si="132"/>
        <v>51.98</v>
      </c>
      <c r="F4282" s="679">
        <v>51.98</v>
      </c>
      <c r="G4282" s="679">
        <v>51.98</v>
      </c>
      <c r="H4282" t="b">
        <f t="shared" si="133"/>
        <v>1</v>
      </c>
    </row>
    <row r="4283" spans="1:8">
      <c r="A4283" s="395">
        <v>41097</v>
      </c>
      <c r="B4283" s="406" t="s">
        <v>13013</v>
      </c>
      <c r="C4283" s="395" t="s">
        <v>2027</v>
      </c>
      <c r="D4283" s="407">
        <f t="shared" si="132"/>
        <v>2837.09</v>
      </c>
      <c r="F4283" s="680">
        <v>2837.09</v>
      </c>
      <c r="G4283" s="680">
        <v>3268.16</v>
      </c>
      <c r="H4283" t="b">
        <f t="shared" si="133"/>
        <v>0</v>
      </c>
    </row>
    <row r="4284" spans="1:8">
      <c r="A4284" s="396">
        <v>12869</v>
      </c>
      <c r="B4284" s="401" t="s">
        <v>13014</v>
      </c>
      <c r="C4284" s="396" t="s">
        <v>2020</v>
      </c>
      <c r="D4284" s="405">
        <f t="shared" si="132"/>
        <v>16.09</v>
      </c>
      <c r="F4284" s="679">
        <v>16.09</v>
      </c>
      <c r="G4284" s="679">
        <v>18.510000000000002</v>
      </c>
      <c r="H4284" t="b">
        <f t="shared" si="133"/>
        <v>0</v>
      </c>
    </row>
    <row r="4285" spans="1:8">
      <c r="A4285" s="395">
        <v>1574</v>
      </c>
      <c r="B4285" s="406" t="s">
        <v>13015</v>
      </c>
      <c r="C4285" s="395" t="s">
        <v>2021</v>
      </c>
      <c r="D4285" s="407">
        <f t="shared" si="132"/>
        <v>1.62</v>
      </c>
      <c r="F4285" s="680">
        <v>1.62</v>
      </c>
      <c r="G4285" s="680">
        <v>1.62</v>
      </c>
      <c r="H4285" t="b">
        <f t="shared" si="133"/>
        <v>1</v>
      </c>
    </row>
    <row r="4286" spans="1:8" ht="30">
      <c r="A4286" s="396">
        <v>1581</v>
      </c>
      <c r="B4286" s="401" t="s">
        <v>13016</v>
      </c>
      <c r="C4286" s="396" t="s">
        <v>2021</v>
      </c>
      <c r="D4286" s="405">
        <f t="shared" si="132"/>
        <v>11.26</v>
      </c>
      <c r="F4286" s="679">
        <v>11.26</v>
      </c>
      <c r="G4286" s="679">
        <v>11.26</v>
      </c>
      <c r="H4286" t="b">
        <f t="shared" si="133"/>
        <v>1</v>
      </c>
    </row>
    <row r="4287" spans="1:8">
      <c r="A4287" s="395">
        <v>1575</v>
      </c>
      <c r="B4287" s="406" t="s">
        <v>13017</v>
      </c>
      <c r="C4287" s="395" t="s">
        <v>2021</v>
      </c>
      <c r="D4287" s="407">
        <f t="shared" si="132"/>
        <v>1.92</v>
      </c>
      <c r="F4287" s="680">
        <v>1.92</v>
      </c>
      <c r="G4287" s="680">
        <v>1.92</v>
      </c>
      <c r="H4287" t="b">
        <f t="shared" si="133"/>
        <v>1</v>
      </c>
    </row>
    <row r="4288" spans="1:8">
      <c r="A4288" s="396">
        <v>1570</v>
      </c>
      <c r="B4288" s="401" t="s">
        <v>13018</v>
      </c>
      <c r="C4288" s="396" t="s">
        <v>2021</v>
      </c>
      <c r="D4288" s="405">
        <f t="shared" si="132"/>
        <v>0.97</v>
      </c>
      <c r="F4288" s="679">
        <v>0.97</v>
      </c>
      <c r="G4288" s="679">
        <v>0.97</v>
      </c>
      <c r="H4288" t="b">
        <f t="shared" si="133"/>
        <v>1</v>
      </c>
    </row>
    <row r="4289" spans="1:8">
      <c r="A4289" s="395">
        <v>1576</v>
      </c>
      <c r="B4289" s="406" t="s">
        <v>13019</v>
      </c>
      <c r="C4289" s="395" t="s">
        <v>2021</v>
      </c>
      <c r="D4289" s="407">
        <f t="shared" si="132"/>
        <v>2.67</v>
      </c>
      <c r="F4289" s="680">
        <v>2.67</v>
      </c>
      <c r="G4289" s="680">
        <v>2.67</v>
      </c>
      <c r="H4289" t="b">
        <f t="shared" si="133"/>
        <v>1</v>
      </c>
    </row>
    <row r="4290" spans="1:8">
      <c r="A4290" s="396">
        <v>1577</v>
      </c>
      <c r="B4290" s="401" t="s">
        <v>13020</v>
      </c>
      <c r="C4290" s="396" t="s">
        <v>2021</v>
      </c>
      <c r="D4290" s="405">
        <f t="shared" si="132"/>
        <v>3.01</v>
      </c>
      <c r="F4290" s="679">
        <v>3.01</v>
      </c>
      <c r="G4290" s="679">
        <v>3.01</v>
      </c>
      <c r="H4290" t="b">
        <f t="shared" si="133"/>
        <v>1</v>
      </c>
    </row>
    <row r="4291" spans="1:8">
      <c r="A4291" s="395">
        <v>1571</v>
      </c>
      <c r="B4291" s="406" t="s">
        <v>13021</v>
      </c>
      <c r="C4291" s="395" t="s">
        <v>2021</v>
      </c>
      <c r="D4291" s="407">
        <f t="shared" ref="D4291:D4354" si="134">IF($J$2=$F$1,F4291,G4291)</f>
        <v>1.26</v>
      </c>
      <c r="F4291" s="680">
        <v>1.26</v>
      </c>
      <c r="G4291" s="680">
        <v>1.26</v>
      </c>
      <c r="H4291" t="b">
        <f t="shared" ref="H4291:H4354" si="135">F4291=G4291</f>
        <v>1</v>
      </c>
    </row>
    <row r="4292" spans="1:8">
      <c r="A4292" s="396">
        <v>1578</v>
      </c>
      <c r="B4292" s="401" t="s">
        <v>13022</v>
      </c>
      <c r="C4292" s="396" t="s">
        <v>2021</v>
      </c>
      <c r="D4292" s="405">
        <f t="shared" si="134"/>
        <v>5.21</v>
      </c>
      <c r="F4292" s="679">
        <v>5.21</v>
      </c>
      <c r="G4292" s="679">
        <v>5.21</v>
      </c>
      <c r="H4292" t="b">
        <f t="shared" si="135"/>
        <v>1</v>
      </c>
    </row>
    <row r="4293" spans="1:8">
      <c r="A4293" s="395">
        <v>1573</v>
      </c>
      <c r="B4293" s="406" t="s">
        <v>13023</v>
      </c>
      <c r="C4293" s="395" t="s">
        <v>2021</v>
      </c>
      <c r="D4293" s="407">
        <f t="shared" si="134"/>
        <v>1.5</v>
      </c>
      <c r="F4293" s="680">
        <v>1.5</v>
      </c>
      <c r="G4293" s="680">
        <v>1.5</v>
      </c>
      <c r="H4293" t="b">
        <f t="shared" si="135"/>
        <v>1</v>
      </c>
    </row>
    <row r="4294" spans="1:8" ht="30">
      <c r="A4294" s="396">
        <v>1579</v>
      </c>
      <c r="B4294" s="401" t="s">
        <v>13024</v>
      </c>
      <c r="C4294" s="396" t="s">
        <v>2021</v>
      </c>
      <c r="D4294" s="405">
        <f t="shared" si="134"/>
        <v>6.5</v>
      </c>
      <c r="F4294" s="679">
        <v>6.5</v>
      </c>
      <c r="G4294" s="679">
        <v>6.5</v>
      </c>
      <c r="H4294" t="b">
        <f t="shared" si="135"/>
        <v>1</v>
      </c>
    </row>
    <row r="4295" spans="1:8" ht="30">
      <c r="A4295" s="395">
        <v>1580</v>
      </c>
      <c r="B4295" s="406" t="s">
        <v>13025</v>
      </c>
      <c r="C4295" s="395" t="s">
        <v>2021</v>
      </c>
      <c r="D4295" s="407">
        <f t="shared" si="134"/>
        <v>8.01</v>
      </c>
      <c r="F4295" s="680">
        <v>8.01</v>
      </c>
      <c r="G4295" s="680">
        <v>8.01</v>
      </c>
      <c r="H4295" t="b">
        <f t="shared" si="135"/>
        <v>1</v>
      </c>
    </row>
    <row r="4296" spans="1:8">
      <c r="A4296" s="396">
        <v>39321</v>
      </c>
      <c r="B4296" s="401" t="s">
        <v>13026</v>
      </c>
      <c r="C4296" s="396" t="s">
        <v>2021</v>
      </c>
      <c r="D4296" s="405">
        <f t="shared" si="134"/>
        <v>26.96</v>
      </c>
      <c r="F4296" s="679">
        <v>26.96</v>
      </c>
      <c r="G4296" s="679">
        <v>26.96</v>
      </c>
      <c r="H4296" t="b">
        <f t="shared" si="135"/>
        <v>1</v>
      </c>
    </row>
    <row r="4297" spans="1:8">
      <c r="A4297" s="395">
        <v>39319</v>
      </c>
      <c r="B4297" s="406" t="s">
        <v>13027</v>
      </c>
      <c r="C4297" s="395" t="s">
        <v>2021</v>
      </c>
      <c r="D4297" s="407">
        <f t="shared" si="134"/>
        <v>11.22</v>
      </c>
      <c r="F4297" s="680">
        <v>11.22</v>
      </c>
      <c r="G4297" s="680">
        <v>11.22</v>
      </c>
      <c r="H4297" t="b">
        <f t="shared" si="135"/>
        <v>1</v>
      </c>
    </row>
    <row r="4298" spans="1:8">
      <c r="A4298" s="396">
        <v>39320</v>
      </c>
      <c r="B4298" s="401" t="s">
        <v>13028</v>
      </c>
      <c r="C4298" s="396" t="s">
        <v>2021</v>
      </c>
      <c r="D4298" s="405">
        <f t="shared" si="134"/>
        <v>21.57</v>
      </c>
      <c r="F4298" s="679">
        <v>21.57</v>
      </c>
      <c r="G4298" s="679">
        <v>21.57</v>
      </c>
      <c r="H4298" t="b">
        <f t="shared" si="135"/>
        <v>1</v>
      </c>
    </row>
    <row r="4299" spans="1:8">
      <c r="A4299" s="395">
        <v>1591</v>
      </c>
      <c r="B4299" s="406" t="s">
        <v>13029</v>
      </c>
      <c r="C4299" s="395" t="s">
        <v>2021</v>
      </c>
      <c r="D4299" s="407">
        <f t="shared" si="134"/>
        <v>24.83</v>
      </c>
      <c r="F4299" s="680">
        <v>24.83</v>
      </c>
      <c r="G4299" s="680">
        <v>24.83</v>
      </c>
      <c r="H4299" t="b">
        <f t="shared" si="135"/>
        <v>1</v>
      </c>
    </row>
    <row r="4300" spans="1:8">
      <c r="A4300" s="396">
        <v>1547</v>
      </c>
      <c r="B4300" s="401" t="s">
        <v>13030</v>
      </c>
      <c r="C4300" s="396" t="s">
        <v>2021</v>
      </c>
      <c r="D4300" s="405">
        <f t="shared" si="134"/>
        <v>130.11000000000001</v>
      </c>
      <c r="F4300" s="679">
        <v>130.11000000000001</v>
      </c>
      <c r="G4300" s="679">
        <v>130.11000000000001</v>
      </c>
      <c r="H4300" t="b">
        <f t="shared" si="135"/>
        <v>1</v>
      </c>
    </row>
    <row r="4301" spans="1:8">
      <c r="A4301" s="395">
        <v>38196</v>
      </c>
      <c r="B4301" s="406" t="s">
        <v>13031</v>
      </c>
      <c r="C4301" s="395" t="s">
        <v>2021</v>
      </c>
      <c r="D4301" s="407">
        <f t="shared" si="134"/>
        <v>25.34</v>
      </c>
      <c r="F4301" s="680">
        <v>25.34</v>
      </c>
      <c r="G4301" s="680">
        <v>25.34</v>
      </c>
      <c r="H4301" t="b">
        <f t="shared" si="135"/>
        <v>1</v>
      </c>
    </row>
    <row r="4302" spans="1:8">
      <c r="A4302" s="396">
        <v>1543</v>
      </c>
      <c r="B4302" s="401" t="s">
        <v>13032</v>
      </c>
      <c r="C4302" s="396" t="s">
        <v>2021</v>
      </c>
      <c r="D4302" s="405">
        <f t="shared" si="134"/>
        <v>26.93</v>
      </c>
      <c r="F4302" s="679">
        <v>26.93</v>
      </c>
      <c r="G4302" s="679">
        <v>26.93</v>
      </c>
      <c r="H4302" t="b">
        <f t="shared" si="135"/>
        <v>1</v>
      </c>
    </row>
    <row r="4303" spans="1:8">
      <c r="A4303" s="395">
        <v>1585</v>
      </c>
      <c r="B4303" s="406" t="s">
        <v>13033</v>
      </c>
      <c r="C4303" s="395" t="s">
        <v>2021</v>
      </c>
      <c r="D4303" s="407">
        <f t="shared" si="134"/>
        <v>5.21</v>
      </c>
      <c r="F4303" s="680">
        <v>5.21</v>
      </c>
      <c r="G4303" s="680">
        <v>5.21</v>
      </c>
      <c r="H4303" t="b">
        <f t="shared" si="135"/>
        <v>1</v>
      </c>
    </row>
    <row r="4304" spans="1:8">
      <c r="A4304" s="396">
        <v>1593</v>
      </c>
      <c r="B4304" s="401" t="s">
        <v>13034</v>
      </c>
      <c r="C4304" s="396" t="s">
        <v>2021</v>
      </c>
      <c r="D4304" s="405">
        <f t="shared" si="134"/>
        <v>27.69</v>
      </c>
      <c r="F4304" s="679">
        <v>27.69</v>
      </c>
      <c r="G4304" s="679">
        <v>27.69</v>
      </c>
      <c r="H4304" t="b">
        <f t="shared" si="135"/>
        <v>1</v>
      </c>
    </row>
    <row r="4305" spans="1:8">
      <c r="A4305" s="395">
        <v>11838</v>
      </c>
      <c r="B4305" s="406" t="s">
        <v>13035</v>
      </c>
      <c r="C4305" s="395" t="s">
        <v>2021</v>
      </c>
      <c r="D4305" s="407">
        <f t="shared" si="134"/>
        <v>36.54</v>
      </c>
      <c r="F4305" s="680">
        <v>36.54</v>
      </c>
      <c r="G4305" s="680">
        <v>36.54</v>
      </c>
      <c r="H4305" t="b">
        <f t="shared" si="135"/>
        <v>1</v>
      </c>
    </row>
    <row r="4306" spans="1:8">
      <c r="A4306" s="396">
        <v>1594</v>
      </c>
      <c r="B4306" s="401" t="s">
        <v>13036</v>
      </c>
      <c r="C4306" s="396" t="s">
        <v>2021</v>
      </c>
      <c r="D4306" s="405">
        <f t="shared" si="134"/>
        <v>36.94</v>
      </c>
      <c r="F4306" s="679">
        <v>36.94</v>
      </c>
      <c r="G4306" s="679">
        <v>36.94</v>
      </c>
      <c r="H4306" t="b">
        <f t="shared" si="135"/>
        <v>1</v>
      </c>
    </row>
    <row r="4307" spans="1:8">
      <c r="A4307" s="395">
        <v>1586</v>
      </c>
      <c r="B4307" s="406" t="s">
        <v>13037</v>
      </c>
      <c r="C4307" s="395" t="s">
        <v>2021</v>
      </c>
      <c r="D4307" s="407">
        <f t="shared" si="134"/>
        <v>6.6</v>
      </c>
      <c r="F4307" s="680">
        <v>6.6</v>
      </c>
      <c r="G4307" s="680">
        <v>6.6</v>
      </c>
      <c r="H4307" t="b">
        <f t="shared" si="135"/>
        <v>1</v>
      </c>
    </row>
    <row r="4308" spans="1:8">
      <c r="A4308" s="396">
        <v>11839</v>
      </c>
      <c r="B4308" s="401" t="s">
        <v>13038</v>
      </c>
      <c r="C4308" s="396" t="s">
        <v>2021</v>
      </c>
      <c r="D4308" s="405">
        <f t="shared" si="134"/>
        <v>53.17</v>
      </c>
      <c r="F4308" s="679">
        <v>53.17</v>
      </c>
      <c r="G4308" s="679">
        <v>53.17</v>
      </c>
      <c r="H4308" t="b">
        <f t="shared" si="135"/>
        <v>1</v>
      </c>
    </row>
    <row r="4309" spans="1:8">
      <c r="A4309" s="395">
        <v>1587</v>
      </c>
      <c r="B4309" s="406" t="s">
        <v>13039</v>
      </c>
      <c r="C4309" s="395" t="s">
        <v>2021</v>
      </c>
      <c r="D4309" s="407">
        <f t="shared" si="134"/>
        <v>6.72</v>
      </c>
      <c r="F4309" s="680">
        <v>6.72</v>
      </c>
      <c r="G4309" s="680">
        <v>6.72</v>
      </c>
      <c r="H4309" t="b">
        <f t="shared" si="135"/>
        <v>1</v>
      </c>
    </row>
    <row r="4310" spans="1:8">
      <c r="A4310" s="396">
        <v>1545</v>
      </c>
      <c r="B4310" s="401" t="s">
        <v>13040</v>
      </c>
      <c r="C4310" s="396" t="s">
        <v>2021</v>
      </c>
      <c r="D4310" s="405">
        <f t="shared" si="134"/>
        <v>63.8</v>
      </c>
      <c r="F4310" s="679">
        <v>63.8</v>
      </c>
      <c r="G4310" s="679">
        <v>63.8</v>
      </c>
      <c r="H4310" t="b">
        <f t="shared" si="135"/>
        <v>1</v>
      </c>
    </row>
    <row r="4311" spans="1:8">
      <c r="A4311" s="395">
        <v>1588</v>
      </c>
      <c r="B4311" s="406" t="s">
        <v>13041</v>
      </c>
      <c r="C4311" s="395" t="s">
        <v>2021</v>
      </c>
      <c r="D4311" s="407">
        <f t="shared" si="134"/>
        <v>9.2200000000000006</v>
      </c>
      <c r="F4311" s="680">
        <v>9.2200000000000006</v>
      </c>
      <c r="G4311" s="680">
        <v>9.2200000000000006</v>
      </c>
      <c r="H4311" t="b">
        <f t="shared" si="135"/>
        <v>1</v>
      </c>
    </row>
    <row r="4312" spans="1:8">
      <c r="A4312" s="396">
        <v>1535</v>
      </c>
      <c r="B4312" s="401" t="s">
        <v>13042</v>
      </c>
      <c r="C4312" s="396" t="s">
        <v>2021</v>
      </c>
      <c r="D4312" s="405">
        <f t="shared" si="134"/>
        <v>5.31</v>
      </c>
      <c r="F4312" s="679">
        <v>5.31</v>
      </c>
      <c r="G4312" s="679">
        <v>5.31</v>
      </c>
      <c r="H4312" t="b">
        <f t="shared" si="135"/>
        <v>1</v>
      </c>
    </row>
    <row r="4313" spans="1:8">
      <c r="A4313" s="395">
        <v>1589</v>
      </c>
      <c r="B4313" s="406" t="s">
        <v>13043</v>
      </c>
      <c r="C4313" s="395" t="s">
        <v>2021</v>
      </c>
      <c r="D4313" s="407">
        <f t="shared" si="134"/>
        <v>9.51</v>
      </c>
      <c r="F4313" s="680">
        <v>9.51</v>
      </c>
      <c r="G4313" s="680">
        <v>9.51</v>
      </c>
      <c r="H4313" t="b">
        <f t="shared" si="135"/>
        <v>1</v>
      </c>
    </row>
    <row r="4314" spans="1:8">
      <c r="A4314" s="396">
        <v>1546</v>
      </c>
      <c r="B4314" s="401" t="s">
        <v>13044</v>
      </c>
      <c r="C4314" s="396" t="s">
        <v>2021</v>
      </c>
      <c r="D4314" s="405">
        <f t="shared" si="134"/>
        <v>107.67</v>
      </c>
      <c r="F4314" s="679">
        <v>107.67</v>
      </c>
      <c r="G4314" s="679">
        <v>107.67</v>
      </c>
      <c r="H4314" t="b">
        <f t="shared" si="135"/>
        <v>1</v>
      </c>
    </row>
    <row r="4315" spans="1:8">
      <c r="A4315" s="395">
        <v>1590</v>
      </c>
      <c r="B4315" s="406" t="s">
        <v>13045</v>
      </c>
      <c r="C4315" s="395" t="s">
        <v>2021</v>
      </c>
      <c r="D4315" s="407">
        <f t="shared" si="134"/>
        <v>16.739999999999998</v>
      </c>
      <c r="F4315" s="680">
        <v>16.739999999999998</v>
      </c>
      <c r="G4315" s="680">
        <v>16.739999999999998</v>
      </c>
      <c r="H4315" t="b">
        <f t="shared" si="135"/>
        <v>1</v>
      </c>
    </row>
    <row r="4316" spans="1:8">
      <c r="A4316" s="396">
        <v>1542</v>
      </c>
      <c r="B4316" s="401" t="s">
        <v>13046</v>
      </c>
      <c r="C4316" s="396" t="s">
        <v>2021</v>
      </c>
      <c r="D4316" s="405">
        <f t="shared" si="134"/>
        <v>22.18</v>
      </c>
      <c r="F4316" s="679">
        <v>22.18</v>
      </c>
      <c r="G4316" s="679">
        <v>22.18</v>
      </c>
      <c r="H4316" t="b">
        <f t="shared" si="135"/>
        <v>1</v>
      </c>
    </row>
    <row r="4317" spans="1:8">
      <c r="A4317" s="395">
        <v>38415</v>
      </c>
      <c r="B4317" s="406" t="s">
        <v>13047</v>
      </c>
      <c r="C4317" s="395" t="s">
        <v>2021</v>
      </c>
      <c r="D4317" s="407">
        <f t="shared" si="134"/>
        <v>1179.42</v>
      </c>
      <c r="F4317" s="680">
        <v>1179.42</v>
      </c>
      <c r="G4317" s="680">
        <v>1179.42</v>
      </c>
      <c r="H4317" t="b">
        <f t="shared" si="135"/>
        <v>1</v>
      </c>
    </row>
    <row r="4318" spans="1:8">
      <c r="A4318" s="396">
        <v>38414</v>
      </c>
      <c r="B4318" s="401" t="s">
        <v>13048</v>
      </c>
      <c r="C4318" s="396" t="s">
        <v>2021</v>
      </c>
      <c r="D4318" s="405">
        <f t="shared" si="134"/>
        <v>1655.33</v>
      </c>
      <c r="F4318" s="679">
        <v>1655.33</v>
      </c>
      <c r="G4318" s="679">
        <v>1655.33</v>
      </c>
      <c r="H4318" t="b">
        <f t="shared" si="135"/>
        <v>1</v>
      </c>
    </row>
    <row r="4319" spans="1:8">
      <c r="A4319" s="395">
        <v>38128</v>
      </c>
      <c r="B4319" s="406" t="s">
        <v>13049</v>
      </c>
      <c r="C4319" s="395" t="s">
        <v>2025</v>
      </c>
      <c r="D4319" s="407">
        <f t="shared" si="134"/>
        <v>0.6</v>
      </c>
      <c r="F4319" s="680">
        <v>0.6</v>
      </c>
      <c r="G4319" s="680">
        <v>0.6</v>
      </c>
      <c r="H4319" t="b">
        <f t="shared" si="135"/>
        <v>1</v>
      </c>
    </row>
    <row r="4320" spans="1:8">
      <c r="A4320" s="396">
        <v>7253</v>
      </c>
      <c r="B4320" s="401" t="s">
        <v>13050</v>
      </c>
      <c r="C4320" s="396" t="s">
        <v>2022</v>
      </c>
      <c r="D4320" s="405">
        <f t="shared" si="134"/>
        <v>128.57</v>
      </c>
      <c r="F4320" s="679">
        <v>128.57</v>
      </c>
      <c r="G4320" s="679">
        <v>128.57</v>
      </c>
      <c r="H4320" t="b">
        <f t="shared" si="135"/>
        <v>1</v>
      </c>
    </row>
    <row r="4321" spans="1:8">
      <c r="A4321" s="395">
        <v>4806</v>
      </c>
      <c r="B4321" s="406" t="s">
        <v>13051</v>
      </c>
      <c r="C4321" s="395" t="s">
        <v>2024</v>
      </c>
      <c r="D4321" s="407">
        <f t="shared" si="134"/>
        <v>25.34</v>
      </c>
      <c r="F4321" s="680">
        <v>25.34</v>
      </c>
      <c r="G4321" s="680">
        <v>25.34</v>
      </c>
      <c r="H4321" t="b">
        <f t="shared" si="135"/>
        <v>1</v>
      </c>
    </row>
    <row r="4322" spans="1:8">
      <c r="A4322" s="396">
        <v>34401</v>
      </c>
      <c r="B4322" s="401" t="s">
        <v>13052</v>
      </c>
      <c r="C4322" s="396" t="s">
        <v>2021</v>
      </c>
      <c r="D4322" s="405">
        <f t="shared" si="134"/>
        <v>2.58</v>
      </c>
      <c r="F4322" s="679">
        <v>2.58</v>
      </c>
      <c r="G4322" s="679">
        <v>2.58</v>
      </c>
      <c r="H4322" t="b">
        <f t="shared" si="135"/>
        <v>1</v>
      </c>
    </row>
    <row r="4323" spans="1:8">
      <c r="A4323" s="395">
        <v>7260</v>
      </c>
      <c r="B4323" s="406" t="s">
        <v>13053</v>
      </c>
      <c r="C4323" s="395" t="s">
        <v>2021</v>
      </c>
      <c r="D4323" s="407">
        <f t="shared" si="134"/>
        <v>2.2799999999999998</v>
      </c>
      <c r="F4323" s="680">
        <v>2.2799999999999998</v>
      </c>
      <c r="G4323" s="680">
        <v>2.2799999999999998</v>
      </c>
      <c r="H4323" t="b">
        <f t="shared" si="135"/>
        <v>1</v>
      </c>
    </row>
    <row r="4324" spans="1:8">
      <c r="A4324" s="396">
        <v>7256</v>
      </c>
      <c r="B4324" s="401" t="s">
        <v>13054</v>
      </c>
      <c r="C4324" s="396" t="s">
        <v>2021</v>
      </c>
      <c r="D4324" s="405">
        <f t="shared" si="134"/>
        <v>2.2599999999999998</v>
      </c>
      <c r="F4324" s="679">
        <v>2.2599999999999998</v>
      </c>
      <c r="G4324" s="679">
        <v>2.2599999999999998</v>
      </c>
      <c r="H4324" t="b">
        <f t="shared" si="135"/>
        <v>1</v>
      </c>
    </row>
    <row r="4325" spans="1:8">
      <c r="A4325" s="395">
        <v>7258</v>
      </c>
      <c r="B4325" s="406" t="s">
        <v>13055</v>
      </c>
      <c r="C4325" s="395" t="s">
        <v>2021</v>
      </c>
      <c r="D4325" s="407">
        <f t="shared" si="134"/>
        <v>0.92</v>
      </c>
      <c r="F4325" s="680">
        <v>0.92</v>
      </c>
      <c r="G4325" s="680">
        <v>0.92</v>
      </c>
      <c r="H4325" t="b">
        <f t="shared" si="135"/>
        <v>1</v>
      </c>
    </row>
    <row r="4326" spans="1:8">
      <c r="A4326" s="396">
        <v>34400</v>
      </c>
      <c r="B4326" s="401" t="s">
        <v>13056</v>
      </c>
      <c r="C4326" s="396" t="s">
        <v>2021</v>
      </c>
      <c r="D4326" s="405">
        <f t="shared" si="134"/>
        <v>3.97</v>
      </c>
      <c r="F4326" s="679">
        <v>3.97</v>
      </c>
      <c r="G4326" s="679">
        <v>3.97</v>
      </c>
      <c r="H4326" t="b">
        <f t="shared" si="135"/>
        <v>1</v>
      </c>
    </row>
    <row r="4327" spans="1:8">
      <c r="A4327" s="395">
        <v>10617</v>
      </c>
      <c r="B4327" s="406" t="s">
        <v>13057</v>
      </c>
      <c r="C4327" s="395" t="s">
        <v>2021</v>
      </c>
      <c r="D4327" s="407">
        <f t="shared" si="134"/>
        <v>7.59</v>
      </c>
      <c r="F4327" s="680">
        <v>7.59</v>
      </c>
      <c r="G4327" s="680">
        <v>7.59</v>
      </c>
      <c r="H4327" t="b">
        <f t="shared" si="135"/>
        <v>1</v>
      </c>
    </row>
    <row r="4328" spans="1:8">
      <c r="A4328" s="396">
        <v>44261</v>
      </c>
      <c r="B4328" s="401" t="s">
        <v>13058</v>
      </c>
      <c r="C4328" s="396" t="s">
        <v>2021</v>
      </c>
      <c r="D4328" s="405">
        <f t="shared" si="134"/>
        <v>179.11</v>
      </c>
      <c r="F4328" s="679">
        <v>179.11</v>
      </c>
      <c r="G4328" s="679">
        <v>179.11</v>
      </c>
      <c r="H4328" t="b">
        <f t="shared" si="135"/>
        <v>1</v>
      </c>
    </row>
    <row r="4329" spans="1:8">
      <c r="A4329" s="395">
        <v>7274</v>
      </c>
      <c r="B4329" s="406" t="s">
        <v>13059</v>
      </c>
      <c r="C4329" s="395" t="s">
        <v>2021</v>
      </c>
      <c r="D4329" s="407">
        <f t="shared" si="134"/>
        <v>86.71</v>
      </c>
      <c r="F4329" s="680">
        <v>86.71</v>
      </c>
      <c r="G4329" s="680">
        <v>86.71</v>
      </c>
      <c r="H4329" t="b">
        <f t="shared" si="135"/>
        <v>1</v>
      </c>
    </row>
    <row r="4330" spans="1:8">
      <c r="A4330" s="396">
        <v>44326</v>
      </c>
      <c r="B4330" s="401" t="s">
        <v>13060</v>
      </c>
      <c r="C4330" s="396" t="s">
        <v>2021</v>
      </c>
      <c r="D4330" s="405">
        <f t="shared" si="134"/>
        <v>1872.74</v>
      </c>
      <c r="F4330" s="679">
        <v>1872.74</v>
      </c>
      <c r="G4330" s="679">
        <v>1872.74</v>
      </c>
      <c r="H4330" t="b">
        <f t="shared" si="135"/>
        <v>1</v>
      </c>
    </row>
    <row r="4331" spans="1:8">
      <c r="A4331" s="395">
        <v>154</v>
      </c>
      <c r="B4331" s="406" t="s">
        <v>13061</v>
      </c>
      <c r="C4331" s="395" t="s">
        <v>2026</v>
      </c>
      <c r="D4331" s="407">
        <f t="shared" si="134"/>
        <v>85.07</v>
      </c>
      <c r="F4331" s="680">
        <v>85.07</v>
      </c>
      <c r="G4331" s="680">
        <v>85.07</v>
      </c>
      <c r="H4331" t="b">
        <f t="shared" si="135"/>
        <v>1</v>
      </c>
    </row>
    <row r="4332" spans="1:8">
      <c r="A4332" s="396">
        <v>38121</v>
      </c>
      <c r="B4332" s="401" t="s">
        <v>13062</v>
      </c>
      <c r="C4332" s="396" t="s">
        <v>2026</v>
      </c>
      <c r="D4332" s="405">
        <f t="shared" si="134"/>
        <v>11.19</v>
      </c>
      <c r="F4332" s="679">
        <v>11.19</v>
      </c>
      <c r="G4332" s="679">
        <v>11.19</v>
      </c>
      <c r="H4332" t="b">
        <f t="shared" si="135"/>
        <v>1</v>
      </c>
    </row>
    <row r="4333" spans="1:8">
      <c r="A4333" s="395">
        <v>43776</v>
      </c>
      <c r="B4333" s="406" t="s">
        <v>13063</v>
      </c>
      <c r="C4333" s="395" t="s">
        <v>2026</v>
      </c>
      <c r="D4333" s="407">
        <f t="shared" si="134"/>
        <v>25.14</v>
      </c>
      <c r="F4333" s="680">
        <v>25.14</v>
      </c>
      <c r="G4333" s="680">
        <v>25.14</v>
      </c>
      <c r="H4333" t="b">
        <f t="shared" si="135"/>
        <v>1</v>
      </c>
    </row>
    <row r="4334" spans="1:8">
      <c r="A4334" s="396">
        <v>7343</v>
      </c>
      <c r="B4334" s="401" t="s">
        <v>13064</v>
      </c>
      <c r="C4334" s="396" t="s">
        <v>2026</v>
      </c>
      <c r="D4334" s="405">
        <f t="shared" si="134"/>
        <v>9.9</v>
      </c>
      <c r="F4334" s="679">
        <v>9.9</v>
      </c>
      <c r="G4334" s="679">
        <v>9.9</v>
      </c>
      <c r="H4334" t="b">
        <f t="shared" si="135"/>
        <v>1</v>
      </c>
    </row>
    <row r="4335" spans="1:8">
      <c r="A4335" s="395">
        <v>7348</v>
      </c>
      <c r="B4335" s="406" t="s">
        <v>13065</v>
      </c>
      <c r="C4335" s="395" t="s">
        <v>2026</v>
      </c>
      <c r="D4335" s="407">
        <f t="shared" si="134"/>
        <v>18.02</v>
      </c>
      <c r="F4335" s="680">
        <v>18.02</v>
      </c>
      <c r="G4335" s="680">
        <v>18.02</v>
      </c>
      <c r="H4335" t="b">
        <f t="shared" si="135"/>
        <v>1</v>
      </c>
    </row>
    <row r="4336" spans="1:8">
      <c r="A4336" s="396">
        <v>7313</v>
      </c>
      <c r="B4336" s="401" t="s">
        <v>13066</v>
      </c>
      <c r="C4336" s="396" t="s">
        <v>2026</v>
      </c>
      <c r="D4336" s="405">
        <f t="shared" si="134"/>
        <v>47.8</v>
      </c>
      <c r="F4336" s="679">
        <v>47.8</v>
      </c>
      <c r="G4336" s="679">
        <v>47.8</v>
      </c>
      <c r="H4336" t="b">
        <f t="shared" si="135"/>
        <v>1</v>
      </c>
    </row>
    <row r="4337" spans="1:8">
      <c r="A4337" s="395">
        <v>7319</v>
      </c>
      <c r="B4337" s="406" t="s">
        <v>13067</v>
      </c>
      <c r="C4337" s="395" t="s">
        <v>2026</v>
      </c>
      <c r="D4337" s="407">
        <f t="shared" si="134"/>
        <v>27.35</v>
      </c>
      <c r="F4337" s="680">
        <v>27.35</v>
      </c>
      <c r="G4337" s="680">
        <v>27.35</v>
      </c>
      <c r="H4337" t="b">
        <f t="shared" si="135"/>
        <v>1</v>
      </c>
    </row>
    <row r="4338" spans="1:8">
      <c r="A4338" s="396">
        <v>7314</v>
      </c>
      <c r="B4338" s="401" t="s">
        <v>13068</v>
      </c>
      <c r="C4338" s="396" t="s">
        <v>2026</v>
      </c>
      <c r="D4338" s="405">
        <f t="shared" si="134"/>
        <v>44.31</v>
      </c>
      <c r="F4338" s="679">
        <v>44.31</v>
      </c>
      <c r="G4338" s="679">
        <v>44.31</v>
      </c>
      <c r="H4338" t="b">
        <f t="shared" si="135"/>
        <v>1</v>
      </c>
    </row>
    <row r="4339" spans="1:8">
      <c r="A4339" s="395">
        <v>7304</v>
      </c>
      <c r="B4339" s="406" t="s">
        <v>13069</v>
      </c>
      <c r="C4339" s="395" t="s">
        <v>2026</v>
      </c>
      <c r="D4339" s="407">
        <f t="shared" si="134"/>
        <v>74.5</v>
      </c>
      <c r="F4339" s="680">
        <v>74.5</v>
      </c>
      <c r="G4339" s="680">
        <v>74.5</v>
      </c>
      <c r="H4339" t="b">
        <f t="shared" si="135"/>
        <v>1</v>
      </c>
    </row>
    <row r="4340" spans="1:8">
      <c r="A4340" s="396">
        <v>43649</v>
      </c>
      <c r="B4340" s="401" t="s">
        <v>13070</v>
      </c>
      <c r="C4340" s="396" t="s">
        <v>2026</v>
      </c>
      <c r="D4340" s="405">
        <f t="shared" si="134"/>
        <v>38.53</v>
      </c>
      <c r="F4340" s="679">
        <v>38.53</v>
      </c>
      <c r="G4340" s="679">
        <v>38.53</v>
      </c>
      <c r="H4340" t="b">
        <f t="shared" si="135"/>
        <v>1</v>
      </c>
    </row>
    <row r="4341" spans="1:8">
      <c r="A4341" s="395">
        <v>43650</v>
      </c>
      <c r="B4341" s="406" t="s">
        <v>13071</v>
      </c>
      <c r="C4341" s="395" t="s">
        <v>2026</v>
      </c>
      <c r="D4341" s="407">
        <f t="shared" si="134"/>
        <v>36.409999999999997</v>
      </c>
      <c r="F4341" s="680">
        <v>36.409999999999997</v>
      </c>
      <c r="G4341" s="680">
        <v>36.409999999999997</v>
      </c>
      <c r="H4341" t="b">
        <f t="shared" si="135"/>
        <v>1</v>
      </c>
    </row>
    <row r="4342" spans="1:8">
      <c r="A4342" s="396">
        <v>7311</v>
      </c>
      <c r="B4342" s="401" t="s">
        <v>13072</v>
      </c>
      <c r="C4342" s="396" t="s">
        <v>2026</v>
      </c>
      <c r="D4342" s="405">
        <f t="shared" si="134"/>
        <v>37.299999999999997</v>
      </c>
      <c r="F4342" s="679">
        <v>37.299999999999997</v>
      </c>
      <c r="G4342" s="679">
        <v>37.299999999999997</v>
      </c>
      <c r="H4342" t="b">
        <f t="shared" si="135"/>
        <v>1</v>
      </c>
    </row>
    <row r="4343" spans="1:8">
      <c r="A4343" s="395">
        <v>7292</v>
      </c>
      <c r="B4343" s="406" t="s">
        <v>13073</v>
      </c>
      <c r="C4343" s="395" t="s">
        <v>2026</v>
      </c>
      <c r="D4343" s="407">
        <f t="shared" si="134"/>
        <v>36.11</v>
      </c>
      <c r="F4343" s="680">
        <v>36.11</v>
      </c>
      <c r="G4343" s="680">
        <v>36.11</v>
      </c>
      <c r="H4343" t="b">
        <f t="shared" si="135"/>
        <v>1</v>
      </c>
    </row>
    <row r="4344" spans="1:8">
      <c r="A4344" s="396">
        <v>7293</v>
      </c>
      <c r="B4344" s="401" t="s">
        <v>13074</v>
      </c>
      <c r="C4344" s="396" t="s">
        <v>2026</v>
      </c>
      <c r="D4344" s="405">
        <f t="shared" si="134"/>
        <v>39.950000000000003</v>
      </c>
      <c r="F4344" s="679">
        <v>39.950000000000003</v>
      </c>
      <c r="G4344" s="679">
        <v>39.950000000000003</v>
      </c>
      <c r="H4344" t="b">
        <f t="shared" si="135"/>
        <v>1</v>
      </c>
    </row>
    <row r="4345" spans="1:8">
      <c r="A4345" s="395">
        <v>7306</v>
      </c>
      <c r="B4345" s="406" t="s">
        <v>13075</v>
      </c>
      <c r="C4345" s="395" t="s">
        <v>2026</v>
      </c>
      <c r="D4345" s="407">
        <f t="shared" si="134"/>
        <v>44.09</v>
      </c>
      <c r="F4345" s="680">
        <v>44.09</v>
      </c>
      <c r="G4345" s="680">
        <v>44.09</v>
      </c>
      <c r="H4345" t="b">
        <f t="shared" si="135"/>
        <v>1</v>
      </c>
    </row>
    <row r="4346" spans="1:8">
      <c r="A4346" s="396">
        <v>7288</v>
      </c>
      <c r="B4346" s="401" t="s">
        <v>13076</v>
      </c>
      <c r="C4346" s="396" t="s">
        <v>2026</v>
      </c>
      <c r="D4346" s="405">
        <f t="shared" si="134"/>
        <v>36.6</v>
      </c>
      <c r="F4346" s="679">
        <v>36.6</v>
      </c>
      <c r="G4346" s="679">
        <v>36.6</v>
      </c>
      <c r="H4346" t="b">
        <f t="shared" si="135"/>
        <v>1</v>
      </c>
    </row>
    <row r="4347" spans="1:8">
      <c r="A4347" s="395">
        <v>43625</v>
      </c>
      <c r="B4347" s="406" t="s">
        <v>13077</v>
      </c>
      <c r="C4347" s="395" t="s">
        <v>2026</v>
      </c>
      <c r="D4347" s="407">
        <f t="shared" si="134"/>
        <v>29.56</v>
      </c>
      <c r="F4347" s="680">
        <v>29.56</v>
      </c>
      <c r="G4347" s="680">
        <v>29.56</v>
      </c>
      <c r="H4347" t="b">
        <f t="shared" si="135"/>
        <v>1</v>
      </c>
    </row>
    <row r="4348" spans="1:8">
      <c r="A4348" s="396">
        <v>43647</v>
      </c>
      <c r="B4348" s="401" t="s">
        <v>13078</v>
      </c>
      <c r="C4348" s="396" t="s">
        <v>2026</v>
      </c>
      <c r="D4348" s="405">
        <f t="shared" si="134"/>
        <v>26.85</v>
      </c>
      <c r="F4348" s="679">
        <v>26.85</v>
      </c>
      <c r="G4348" s="679">
        <v>26.85</v>
      </c>
      <c r="H4348" t="b">
        <f t="shared" si="135"/>
        <v>1</v>
      </c>
    </row>
    <row r="4349" spans="1:8">
      <c r="A4349" s="395">
        <v>43648</v>
      </c>
      <c r="B4349" s="406" t="s">
        <v>13079</v>
      </c>
      <c r="C4349" s="395" t="s">
        <v>2026</v>
      </c>
      <c r="D4349" s="407">
        <f t="shared" si="134"/>
        <v>25.91</v>
      </c>
      <c r="F4349" s="680">
        <v>25.91</v>
      </c>
      <c r="G4349" s="680">
        <v>25.91</v>
      </c>
      <c r="H4349" t="b">
        <f t="shared" si="135"/>
        <v>1</v>
      </c>
    </row>
    <row r="4350" spans="1:8">
      <c r="A4350" s="396">
        <v>35693</v>
      </c>
      <c r="B4350" s="401" t="s">
        <v>13080</v>
      </c>
      <c r="C4350" s="396" t="s">
        <v>2026</v>
      </c>
      <c r="D4350" s="405">
        <f t="shared" si="134"/>
        <v>11.21</v>
      </c>
      <c r="F4350" s="679">
        <v>11.21</v>
      </c>
      <c r="G4350" s="679">
        <v>11.21</v>
      </c>
      <c r="H4350" t="b">
        <f t="shared" si="135"/>
        <v>1</v>
      </c>
    </row>
    <row r="4351" spans="1:8">
      <c r="A4351" s="395">
        <v>7356</v>
      </c>
      <c r="B4351" s="406" t="s">
        <v>13081</v>
      </c>
      <c r="C4351" s="395" t="s">
        <v>2026</v>
      </c>
      <c r="D4351" s="407">
        <f t="shared" si="134"/>
        <v>26.87</v>
      </c>
      <c r="F4351" s="680">
        <v>26.87</v>
      </c>
      <c r="G4351" s="680">
        <v>26.87</v>
      </c>
      <c r="H4351" t="b">
        <f t="shared" si="135"/>
        <v>1</v>
      </c>
    </row>
    <row r="4352" spans="1:8">
      <c r="A4352" s="396">
        <v>35692</v>
      </c>
      <c r="B4352" s="401" t="s">
        <v>13082</v>
      </c>
      <c r="C4352" s="396" t="s">
        <v>2026</v>
      </c>
      <c r="D4352" s="405">
        <f t="shared" si="134"/>
        <v>17.59</v>
      </c>
      <c r="F4352" s="679">
        <v>17.59</v>
      </c>
      <c r="G4352" s="679">
        <v>17.59</v>
      </c>
      <c r="H4352" t="b">
        <f t="shared" si="135"/>
        <v>1</v>
      </c>
    </row>
    <row r="4353" spans="1:8">
      <c r="A4353" s="395">
        <v>43624</v>
      </c>
      <c r="B4353" s="406" t="s">
        <v>13083</v>
      </c>
      <c r="C4353" s="395" t="s">
        <v>2026</v>
      </c>
      <c r="D4353" s="407">
        <f t="shared" si="134"/>
        <v>32.75</v>
      </c>
      <c r="F4353" s="680">
        <v>32.75</v>
      </c>
      <c r="G4353" s="680">
        <v>32.75</v>
      </c>
      <c r="H4353" t="b">
        <f t="shared" si="135"/>
        <v>1</v>
      </c>
    </row>
    <row r="4354" spans="1:8">
      <c r="A4354" s="396">
        <v>7342</v>
      </c>
      <c r="B4354" s="401" t="s">
        <v>13084</v>
      </c>
      <c r="C4354" s="396" t="s">
        <v>2025</v>
      </c>
      <c r="D4354" s="405">
        <f t="shared" si="134"/>
        <v>5.24</v>
      </c>
      <c r="F4354" s="679">
        <v>5.24</v>
      </c>
      <c r="G4354" s="679">
        <v>5.24</v>
      </c>
      <c r="H4354" t="b">
        <f t="shared" si="135"/>
        <v>1</v>
      </c>
    </row>
    <row r="4355" spans="1:8">
      <c r="A4355" s="395">
        <v>7350</v>
      </c>
      <c r="B4355" s="406" t="s">
        <v>13085</v>
      </c>
      <c r="C4355" s="395" t="s">
        <v>2026</v>
      </c>
      <c r="D4355" s="407">
        <f t="shared" ref="D4355:D4418" si="136">IF($J$2=$F$1,F4355,G4355)</f>
        <v>38.78</v>
      </c>
      <c r="F4355" s="680">
        <v>38.78</v>
      </c>
      <c r="G4355" s="680">
        <v>38.78</v>
      </c>
      <c r="H4355" t="b">
        <f t="shared" ref="H4355:H4418" si="137">F4355=G4355</f>
        <v>1</v>
      </c>
    </row>
    <row r="4356" spans="1:8" ht="30">
      <c r="A4356" s="396">
        <v>39574</v>
      </c>
      <c r="B4356" s="401" t="s">
        <v>13086</v>
      </c>
      <c r="C4356" s="396" t="s">
        <v>2021</v>
      </c>
      <c r="D4356" s="405">
        <f t="shared" si="136"/>
        <v>6.11</v>
      </c>
      <c r="F4356" s="679">
        <v>6.11</v>
      </c>
      <c r="G4356" s="679">
        <v>6.11</v>
      </c>
      <c r="H4356" t="b">
        <f t="shared" si="137"/>
        <v>1</v>
      </c>
    </row>
    <row r="4357" spans="1:8">
      <c r="A4357" s="395">
        <v>11060</v>
      </c>
      <c r="B4357" s="406" t="s">
        <v>13087</v>
      </c>
      <c r="C4357" s="395" t="s">
        <v>2021</v>
      </c>
      <c r="D4357" s="407">
        <f t="shared" si="136"/>
        <v>40.340000000000003</v>
      </c>
      <c r="F4357" s="680">
        <v>40.340000000000003</v>
      </c>
      <c r="G4357" s="680">
        <v>40.340000000000003</v>
      </c>
      <c r="H4357" t="b">
        <f t="shared" si="137"/>
        <v>1</v>
      </c>
    </row>
    <row r="4358" spans="1:8">
      <c r="A4358" s="396">
        <v>37401</v>
      </c>
      <c r="B4358" s="401" t="s">
        <v>13088</v>
      </c>
      <c r="C4358" s="396" t="s">
        <v>2021</v>
      </c>
      <c r="D4358" s="405">
        <f t="shared" si="136"/>
        <v>67.44</v>
      </c>
      <c r="F4358" s="679">
        <v>67.44</v>
      </c>
      <c r="G4358" s="679">
        <v>67.44</v>
      </c>
      <c r="H4358" t="b">
        <f t="shared" si="137"/>
        <v>1</v>
      </c>
    </row>
    <row r="4359" spans="1:8">
      <c r="A4359" s="395">
        <v>7525</v>
      </c>
      <c r="B4359" s="406" t="s">
        <v>13089</v>
      </c>
      <c r="C4359" s="395" t="s">
        <v>2021</v>
      </c>
      <c r="D4359" s="407">
        <f t="shared" si="136"/>
        <v>41.8</v>
      </c>
      <c r="F4359" s="680">
        <v>41.8</v>
      </c>
      <c r="G4359" s="680">
        <v>41.8</v>
      </c>
      <c r="H4359" t="b">
        <f t="shared" si="137"/>
        <v>1</v>
      </c>
    </row>
    <row r="4360" spans="1:8">
      <c r="A4360" s="396">
        <v>7524</v>
      </c>
      <c r="B4360" s="401" t="s">
        <v>13090</v>
      </c>
      <c r="C4360" s="396" t="s">
        <v>2021</v>
      </c>
      <c r="D4360" s="405">
        <f t="shared" si="136"/>
        <v>39.39</v>
      </c>
      <c r="F4360" s="679">
        <v>39.39</v>
      </c>
      <c r="G4360" s="679">
        <v>39.39</v>
      </c>
      <c r="H4360" t="b">
        <f t="shared" si="137"/>
        <v>1</v>
      </c>
    </row>
    <row r="4361" spans="1:8">
      <c r="A4361" s="395">
        <v>38105</v>
      </c>
      <c r="B4361" s="406" t="s">
        <v>13091</v>
      </c>
      <c r="C4361" s="395" t="s">
        <v>2021</v>
      </c>
      <c r="D4361" s="407">
        <f t="shared" si="136"/>
        <v>10.119999999999999</v>
      </c>
      <c r="F4361" s="680">
        <v>10.119999999999999</v>
      </c>
      <c r="G4361" s="680">
        <v>10.119999999999999</v>
      </c>
      <c r="H4361" t="b">
        <f t="shared" si="137"/>
        <v>1</v>
      </c>
    </row>
    <row r="4362" spans="1:8" ht="30">
      <c r="A4362" s="396">
        <v>38084</v>
      </c>
      <c r="B4362" s="401" t="s">
        <v>13092</v>
      </c>
      <c r="C4362" s="396" t="s">
        <v>2021</v>
      </c>
      <c r="D4362" s="405">
        <f t="shared" si="136"/>
        <v>14.37</v>
      </c>
      <c r="F4362" s="679">
        <v>14.37</v>
      </c>
      <c r="G4362" s="679">
        <v>14.37</v>
      </c>
      <c r="H4362" t="b">
        <f t="shared" si="137"/>
        <v>1</v>
      </c>
    </row>
    <row r="4363" spans="1:8">
      <c r="A4363" s="395">
        <v>38103</v>
      </c>
      <c r="B4363" s="406" t="s">
        <v>13093</v>
      </c>
      <c r="C4363" s="395" t="s">
        <v>2021</v>
      </c>
      <c r="D4363" s="407">
        <f t="shared" si="136"/>
        <v>15.19</v>
      </c>
      <c r="F4363" s="680">
        <v>15.19</v>
      </c>
      <c r="G4363" s="680">
        <v>15.19</v>
      </c>
      <c r="H4363" t="b">
        <f t="shared" si="137"/>
        <v>1</v>
      </c>
    </row>
    <row r="4364" spans="1:8">
      <c r="A4364" s="396">
        <v>38082</v>
      </c>
      <c r="B4364" s="401" t="s">
        <v>13094</v>
      </c>
      <c r="C4364" s="396" t="s">
        <v>2021</v>
      </c>
      <c r="D4364" s="405">
        <f t="shared" si="136"/>
        <v>18.71</v>
      </c>
      <c r="F4364" s="679">
        <v>18.71</v>
      </c>
      <c r="G4364" s="679">
        <v>18.71</v>
      </c>
      <c r="H4364" t="b">
        <f t="shared" si="137"/>
        <v>1</v>
      </c>
    </row>
    <row r="4365" spans="1:8">
      <c r="A4365" s="395">
        <v>38104</v>
      </c>
      <c r="B4365" s="406" t="s">
        <v>13095</v>
      </c>
      <c r="C4365" s="395" t="s">
        <v>2021</v>
      </c>
      <c r="D4365" s="407">
        <f t="shared" si="136"/>
        <v>29.74</v>
      </c>
      <c r="F4365" s="680">
        <v>29.74</v>
      </c>
      <c r="G4365" s="680">
        <v>29.74</v>
      </c>
      <c r="H4365" t="b">
        <f t="shared" si="137"/>
        <v>1</v>
      </c>
    </row>
    <row r="4366" spans="1:8">
      <c r="A4366" s="396">
        <v>38083</v>
      </c>
      <c r="B4366" s="401" t="s">
        <v>13096</v>
      </c>
      <c r="C4366" s="396" t="s">
        <v>2021</v>
      </c>
      <c r="D4366" s="405">
        <f t="shared" si="136"/>
        <v>33.020000000000003</v>
      </c>
      <c r="F4366" s="679">
        <v>33.020000000000003</v>
      </c>
      <c r="G4366" s="679">
        <v>33.020000000000003</v>
      </c>
      <c r="H4366" t="b">
        <f t="shared" si="137"/>
        <v>1</v>
      </c>
    </row>
    <row r="4367" spans="1:8">
      <c r="A4367" s="395">
        <v>38101</v>
      </c>
      <c r="B4367" s="406" t="s">
        <v>13097</v>
      </c>
      <c r="C4367" s="395" t="s">
        <v>2021</v>
      </c>
      <c r="D4367" s="407">
        <f t="shared" si="136"/>
        <v>7.22</v>
      </c>
      <c r="F4367" s="680">
        <v>7.22</v>
      </c>
      <c r="G4367" s="680">
        <v>7.22</v>
      </c>
      <c r="H4367" t="b">
        <f t="shared" si="137"/>
        <v>1</v>
      </c>
    </row>
    <row r="4368" spans="1:8">
      <c r="A4368" s="396">
        <v>7528</v>
      </c>
      <c r="B4368" s="401" t="s">
        <v>13098</v>
      </c>
      <c r="C4368" s="396" t="s">
        <v>2021</v>
      </c>
      <c r="D4368" s="405">
        <f t="shared" si="136"/>
        <v>8.49</v>
      </c>
      <c r="F4368" s="679">
        <v>8.49</v>
      </c>
      <c r="G4368" s="679">
        <v>8.49</v>
      </c>
      <c r="H4368" t="b">
        <f t="shared" si="137"/>
        <v>1</v>
      </c>
    </row>
    <row r="4369" spans="1:8">
      <c r="A4369" s="395">
        <v>12147</v>
      </c>
      <c r="B4369" s="406" t="s">
        <v>13099</v>
      </c>
      <c r="C4369" s="395" t="s">
        <v>2021</v>
      </c>
      <c r="D4369" s="407">
        <f t="shared" si="136"/>
        <v>12.94</v>
      </c>
      <c r="F4369" s="680">
        <v>12.94</v>
      </c>
      <c r="G4369" s="680">
        <v>12.94</v>
      </c>
      <c r="H4369" t="b">
        <f t="shared" si="137"/>
        <v>1</v>
      </c>
    </row>
    <row r="4370" spans="1:8">
      <c r="A4370" s="396">
        <v>38075</v>
      </c>
      <c r="B4370" s="401" t="s">
        <v>13100</v>
      </c>
      <c r="C4370" s="396" t="s">
        <v>2021</v>
      </c>
      <c r="D4370" s="405">
        <f t="shared" si="136"/>
        <v>14.7</v>
      </c>
      <c r="F4370" s="679">
        <v>14.7</v>
      </c>
      <c r="G4370" s="679">
        <v>14.7</v>
      </c>
      <c r="H4370" t="b">
        <f t="shared" si="137"/>
        <v>1</v>
      </c>
    </row>
    <row r="4371" spans="1:8">
      <c r="A4371" s="395">
        <v>38102</v>
      </c>
      <c r="B4371" s="406" t="s">
        <v>13101</v>
      </c>
      <c r="C4371" s="395" t="s">
        <v>2021</v>
      </c>
      <c r="D4371" s="407">
        <f t="shared" si="136"/>
        <v>9.24</v>
      </c>
      <c r="F4371" s="680">
        <v>9.24</v>
      </c>
      <c r="G4371" s="680">
        <v>9.24</v>
      </c>
      <c r="H4371" t="b">
        <f t="shared" si="137"/>
        <v>1</v>
      </c>
    </row>
    <row r="4372" spans="1:8">
      <c r="A4372" s="396">
        <v>38076</v>
      </c>
      <c r="B4372" s="401" t="s">
        <v>13102</v>
      </c>
      <c r="C4372" s="396" t="s">
        <v>2021</v>
      </c>
      <c r="D4372" s="405">
        <f t="shared" si="136"/>
        <v>16.48</v>
      </c>
      <c r="F4372" s="679">
        <v>16.48</v>
      </c>
      <c r="G4372" s="679">
        <v>16.48</v>
      </c>
      <c r="H4372" t="b">
        <f t="shared" si="137"/>
        <v>1</v>
      </c>
    </row>
    <row r="4373" spans="1:8">
      <c r="A4373" s="395">
        <v>7592</v>
      </c>
      <c r="B4373" s="406" t="s">
        <v>13103</v>
      </c>
      <c r="C4373" s="395" t="s">
        <v>2020</v>
      </c>
      <c r="D4373" s="407">
        <f t="shared" si="136"/>
        <v>16.29</v>
      </c>
      <c r="F4373" s="680">
        <v>16.29</v>
      </c>
      <c r="G4373" s="680">
        <v>18.739999999999998</v>
      </c>
      <c r="H4373" t="b">
        <f t="shared" si="137"/>
        <v>0</v>
      </c>
    </row>
    <row r="4374" spans="1:8">
      <c r="A4374" s="396">
        <v>40820</v>
      </c>
      <c r="B4374" s="401" t="s">
        <v>13104</v>
      </c>
      <c r="C4374" s="396" t="s">
        <v>2027</v>
      </c>
      <c r="D4374" s="405">
        <f t="shared" si="136"/>
        <v>2871.23</v>
      </c>
      <c r="F4374" s="679">
        <v>2871.23</v>
      </c>
      <c r="G4374" s="679">
        <v>3307.49</v>
      </c>
      <c r="H4374" t="b">
        <f t="shared" si="137"/>
        <v>0</v>
      </c>
    </row>
    <row r="4375" spans="1:8" ht="30">
      <c r="A4375" s="395">
        <v>11826</v>
      </c>
      <c r="B4375" s="406" t="s">
        <v>13105</v>
      </c>
      <c r="C4375" s="395" t="s">
        <v>2021</v>
      </c>
      <c r="D4375" s="407">
        <f t="shared" si="136"/>
        <v>66.959999999999994</v>
      </c>
      <c r="F4375" s="680">
        <v>66.959999999999994</v>
      </c>
      <c r="G4375" s="680">
        <v>66.959999999999994</v>
      </c>
      <c r="H4375" t="b">
        <f t="shared" si="137"/>
        <v>1</v>
      </c>
    </row>
    <row r="4376" spans="1:8" ht="30">
      <c r="A4376" s="396">
        <v>7606</v>
      </c>
      <c r="B4376" s="401" t="s">
        <v>13106</v>
      </c>
      <c r="C4376" s="396" t="s">
        <v>2021</v>
      </c>
      <c r="D4376" s="405">
        <f t="shared" si="136"/>
        <v>80.52</v>
      </c>
      <c r="F4376" s="679">
        <v>80.52</v>
      </c>
      <c r="G4376" s="679">
        <v>80.52</v>
      </c>
      <c r="H4376" t="b">
        <f t="shared" si="137"/>
        <v>1</v>
      </c>
    </row>
    <row r="4377" spans="1:8">
      <c r="A4377" s="395">
        <v>11763</v>
      </c>
      <c r="B4377" s="406" t="s">
        <v>13107</v>
      </c>
      <c r="C4377" s="395" t="s">
        <v>2021</v>
      </c>
      <c r="D4377" s="407">
        <f t="shared" si="136"/>
        <v>175.84</v>
      </c>
      <c r="F4377" s="680">
        <v>175.84</v>
      </c>
      <c r="G4377" s="680">
        <v>175.84</v>
      </c>
      <c r="H4377" t="b">
        <f t="shared" si="137"/>
        <v>1</v>
      </c>
    </row>
    <row r="4378" spans="1:8">
      <c r="A4378" s="396">
        <v>11764</v>
      </c>
      <c r="B4378" s="401" t="s">
        <v>13108</v>
      </c>
      <c r="C4378" s="396" t="s">
        <v>2021</v>
      </c>
      <c r="D4378" s="405">
        <f t="shared" si="136"/>
        <v>144.27000000000001</v>
      </c>
      <c r="F4378" s="679">
        <v>144.27000000000001</v>
      </c>
      <c r="G4378" s="679">
        <v>144.27000000000001</v>
      </c>
      <c r="H4378" t="b">
        <f t="shared" si="137"/>
        <v>1</v>
      </c>
    </row>
    <row r="4379" spans="1:8">
      <c r="A4379" s="395">
        <v>11829</v>
      </c>
      <c r="B4379" s="406" t="s">
        <v>13109</v>
      </c>
      <c r="C4379" s="395" t="s">
        <v>2021</v>
      </c>
      <c r="D4379" s="407">
        <f t="shared" si="136"/>
        <v>34.869999999999997</v>
      </c>
      <c r="F4379" s="680">
        <v>34.869999999999997</v>
      </c>
      <c r="G4379" s="680">
        <v>34.869999999999997</v>
      </c>
      <c r="H4379" t="b">
        <f t="shared" si="137"/>
        <v>1</v>
      </c>
    </row>
    <row r="4380" spans="1:8">
      <c r="A4380" s="396">
        <v>11830</v>
      </c>
      <c r="B4380" s="401" t="s">
        <v>13110</v>
      </c>
      <c r="C4380" s="396" t="s">
        <v>2021</v>
      </c>
      <c r="D4380" s="405">
        <f t="shared" si="136"/>
        <v>37.65</v>
      </c>
      <c r="F4380" s="679">
        <v>37.65</v>
      </c>
      <c r="G4380" s="679">
        <v>37.65</v>
      </c>
      <c r="H4380" t="b">
        <f t="shared" si="137"/>
        <v>1</v>
      </c>
    </row>
    <row r="4381" spans="1:8">
      <c r="A4381" s="395">
        <v>11825</v>
      </c>
      <c r="B4381" s="406" t="s">
        <v>13111</v>
      </c>
      <c r="C4381" s="395" t="s">
        <v>2021</v>
      </c>
      <c r="D4381" s="407">
        <f t="shared" si="136"/>
        <v>84.7</v>
      </c>
      <c r="F4381" s="680">
        <v>84.7</v>
      </c>
      <c r="G4381" s="680">
        <v>84.7</v>
      </c>
      <c r="H4381" t="b">
        <f t="shared" si="137"/>
        <v>1</v>
      </c>
    </row>
    <row r="4382" spans="1:8">
      <c r="A4382" s="396">
        <v>11767</v>
      </c>
      <c r="B4382" s="401" t="s">
        <v>13112</v>
      </c>
      <c r="C4382" s="396" t="s">
        <v>2021</v>
      </c>
      <c r="D4382" s="405">
        <f t="shared" si="136"/>
        <v>225.61</v>
      </c>
      <c r="F4382" s="679">
        <v>225.61</v>
      </c>
      <c r="G4382" s="679">
        <v>225.61</v>
      </c>
      <c r="H4382" t="b">
        <f t="shared" si="137"/>
        <v>1</v>
      </c>
    </row>
    <row r="4383" spans="1:8" ht="30">
      <c r="A4383" s="395">
        <v>11766</v>
      </c>
      <c r="B4383" s="406" t="s">
        <v>13113</v>
      </c>
      <c r="C4383" s="395" t="s">
        <v>2021</v>
      </c>
      <c r="D4383" s="407">
        <f t="shared" si="136"/>
        <v>52.59</v>
      </c>
      <c r="F4383" s="680">
        <v>52.59</v>
      </c>
      <c r="G4383" s="680">
        <v>52.59</v>
      </c>
      <c r="H4383" t="b">
        <f t="shared" si="137"/>
        <v>1</v>
      </c>
    </row>
    <row r="4384" spans="1:8" ht="30">
      <c r="A4384" s="396">
        <v>11765</v>
      </c>
      <c r="B4384" s="401" t="s">
        <v>13114</v>
      </c>
      <c r="C4384" s="396" t="s">
        <v>2021</v>
      </c>
      <c r="D4384" s="405">
        <f t="shared" si="136"/>
        <v>96.15</v>
      </c>
      <c r="F4384" s="679">
        <v>96.15</v>
      </c>
      <c r="G4384" s="679">
        <v>96.15</v>
      </c>
      <c r="H4384" t="b">
        <f t="shared" si="137"/>
        <v>1</v>
      </c>
    </row>
    <row r="4385" spans="1:8" ht="30">
      <c r="A4385" s="395">
        <v>11824</v>
      </c>
      <c r="B4385" s="406" t="s">
        <v>13115</v>
      </c>
      <c r="C4385" s="395" t="s">
        <v>2021</v>
      </c>
      <c r="D4385" s="407">
        <f t="shared" si="136"/>
        <v>61.86</v>
      </c>
      <c r="F4385" s="680">
        <v>61.86</v>
      </c>
      <c r="G4385" s="680">
        <v>61.86</v>
      </c>
      <c r="H4385" t="b">
        <f t="shared" si="137"/>
        <v>1</v>
      </c>
    </row>
    <row r="4386" spans="1:8">
      <c r="A4386" s="396">
        <v>44045</v>
      </c>
      <c r="B4386" s="401" t="s">
        <v>13116</v>
      </c>
      <c r="C4386" s="396" t="s">
        <v>2021</v>
      </c>
      <c r="D4386" s="405">
        <f t="shared" si="136"/>
        <v>336.86</v>
      </c>
      <c r="F4386" s="679">
        <v>336.86</v>
      </c>
      <c r="G4386" s="679">
        <v>336.86</v>
      </c>
      <c r="H4386" t="b">
        <f t="shared" si="137"/>
        <v>1</v>
      </c>
    </row>
    <row r="4387" spans="1:8">
      <c r="A4387" s="395">
        <v>39702</v>
      </c>
      <c r="B4387" s="406" t="s">
        <v>13117</v>
      </c>
      <c r="C4387" s="395" t="s">
        <v>2021</v>
      </c>
      <c r="D4387" s="407">
        <f t="shared" si="136"/>
        <v>2237.23</v>
      </c>
      <c r="F4387" s="680">
        <v>2237.23</v>
      </c>
      <c r="G4387" s="680">
        <v>2237.23</v>
      </c>
      <c r="H4387" t="b">
        <f t="shared" si="137"/>
        <v>1</v>
      </c>
    </row>
    <row r="4388" spans="1:8">
      <c r="A4388" s="396">
        <v>13415</v>
      </c>
      <c r="B4388" s="401" t="s">
        <v>13118</v>
      </c>
      <c r="C4388" s="396" t="s">
        <v>2021</v>
      </c>
      <c r="D4388" s="405">
        <f t="shared" si="136"/>
        <v>73.45</v>
      </c>
      <c r="F4388" s="679">
        <v>73.45</v>
      </c>
      <c r="G4388" s="679">
        <v>73.45</v>
      </c>
      <c r="H4388" t="b">
        <f t="shared" si="137"/>
        <v>1</v>
      </c>
    </row>
    <row r="4389" spans="1:8" ht="30">
      <c r="A4389" s="395">
        <v>7602</v>
      </c>
      <c r="B4389" s="406" t="s">
        <v>13119</v>
      </c>
      <c r="C4389" s="395" t="s">
        <v>2021</v>
      </c>
      <c r="D4389" s="407">
        <f t="shared" si="136"/>
        <v>46.87</v>
      </c>
      <c r="F4389" s="680">
        <v>46.87</v>
      </c>
      <c r="G4389" s="680">
        <v>46.87</v>
      </c>
      <c r="H4389" t="b">
        <f t="shared" si="137"/>
        <v>1</v>
      </c>
    </row>
    <row r="4390" spans="1:8" ht="30">
      <c r="A4390" s="396">
        <v>7603</v>
      </c>
      <c r="B4390" s="401" t="s">
        <v>13120</v>
      </c>
      <c r="C4390" s="396" t="s">
        <v>2021</v>
      </c>
      <c r="D4390" s="405">
        <f t="shared" si="136"/>
        <v>39.76</v>
      </c>
      <c r="F4390" s="679">
        <v>39.76</v>
      </c>
      <c r="G4390" s="679">
        <v>39.76</v>
      </c>
      <c r="H4390" t="b">
        <f t="shared" si="137"/>
        <v>1</v>
      </c>
    </row>
    <row r="4391" spans="1:8">
      <c r="A4391" s="395">
        <v>11777</v>
      </c>
      <c r="B4391" s="406" t="s">
        <v>13121</v>
      </c>
      <c r="C4391" s="395" t="s">
        <v>2021</v>
      </c>
      <c r="D4391" s="407">
        <f t="shared" si="136"/>
        <v>180.41</v>
      </c>
      <c r="F4391" s="680">
        <v>180.41</v>
      </c>
      <c r="G4391" s="680">
        <v>180.41</v>
      </c>
      <c r="H4391" t="b">
        <f t="shared" si="137"/>
        <v>1</v>
      </c>
    </row>
    <row r="4392" spans="1:8" ht="30">
      <c r="A4392" s="396">
        <v>13417</v>
      </c>
      <c r="B4392" s="401" t="s">
        <v>13122</v>
      </c>
      <c r="C4392" s="396" t="s">
        <v>2021</v>
      </c>
      <c r="D4392" s="405">
        <f t="shared" si="136"/>
        <v>95.66</v>
      </c>
      <c r="F4392" s="679">
        <v>95.66</v>
      </c>
      <c r="G4392" s="679">
        <v>95.66</v>
      </c>
      <c r="H4392" t="b">
        <f t="shared" si="137"/>
        <v>1</v>
      </c>
    </row>
    <row r="4393" spans="1:8">
      <c r="A4393" s="395">
        <v>36791</v>
      </c>
      <c r="B4393" s="406" t="s">
        <v>13123</v>
      </c>
      <c r="C4393" s="395" t="s">
        <v>2021</v>
      </c>
      <c r="D4393" s="407">
        <f t="shared" si="136"/>
        <v>143.57</v>
      </c>
      <c r="F4393" s="680">
        <v>143.57</v>
      </c>
      <c r="G4393" s="680">
        <v>143.57</v>
      </c>
      <c r="H4393" t="b">
        <f t="shared" si="137"/>
        <v>1</v>
      </c>
    </row>
    <row r="4394" spans="1:8">
      <c r="A4394" s="396">
        <v>36795</v>
      </c>
      <c r="B4394" s="401" t="s">
        <v>13124</v>
      </c>
      <c r="C4394" s="396" t="s">
        <v>2021</v>
      </c>
      <c r="D4394" s="405">
        <f t="shared" si="136"/>
        <v>1815.31</v>
      </c>
      <c r="F4394" s="679">
        <v>1815.31</v>
      </c>
      <c r="G4394" s="679">
        <v>1815.31</v>
      </c>
      <c r="H4394" t="b">
        <f t="shared" si="137"/>
        <v>1</v>
      </c>
    </row>
    <row r="4395" spans="1:8">
      <c r="A4395" s="395">
        <v>36796</v>
      </c>
      <c r="B4395" s="406" t="s">
        <v>13125</v>
      </c>
      <c r="C4395" s="395" t="s">
        <v>2021</v>
      </c>
      <c r="D4395" s="407">
        <f t="shared" si="136"/>
        <v>150.85</v>
      </c>
      <c r="F4395" s="680">
        <v>150.85</v>
      </c>
      <c r="G4395" s="680">
        <v>150.85</v>
      </c>
      <c r="H4395" t="b">
        <f t="shared" si="137"/>
        <v>1</v>
      </c>
    </row>
    <row r="4396" spans="1:8" ht="30">
      <c r="A4396" s="396">
        <v>36792</v>
      </c>
      <c r="B4396" s="401" t="s">
        <v>13126</v>
      </c>
      <c r="C4396" s="396" t="s">
        <v>2021</v>
      </c>
      <c r="D4396" s="405">
        <f t="shared" si="136"/>
        <v>191.09</v>
      </c>
      <c r="F4396" s="679">
        <v>191.09</v>
      </c>
      <c r="G4396" s="679">
        <v>191.09</v>
      </c>
      <c r="H4396" t="b">
        <f t="shared" si="137"/>
        <v>1</v>
      </c>
    </row>
    <row r="4397" spans="1:8">
      <c r="A4397" s="395">
        <v>11773</v>
      </c>
      <c r="B4397" s="406" t="s">
        <v>13127</v>
      </c>
      <c r="C4397" s="395" t="s">
        <v>2021</v>
      </c>
      <c r="D4397" s="407">
        <f t="shared" si="136"/>
        <v>127.2</v>
      </c>
      <c r="F4397" s="680">
        <v>127.2</v>
      </c>
      <c r="G4397" s="680">
        <v>127.2</v>
      </c>
      <c r="H4397" t="b">
        <f t="shared" si="137"/>
        <v>1</v>
      </c>
    </row>
    <row r="4398" spans="1:8" ht="30">
      <c r="A4398" s="396">
        <v>11762</v>
      </c>
      <c r="B4398" s="401" t="s">
        <v>13128</v>
      </c>
      <c r="C4398" s="396" t="s">
        <v>2021</v>
      </c>
      <c r="D4398" s="405">
        <f t="shared" si="136"/>
        <v>60.33</v>
      </c>
      <c r="F4398" s="679">
        <v>60.33</v>
      </c>
      <c r="G4398" s="679">
        <v>60.33</v>
      </c>
      <c r="H4398" t="b">
        <f t="shared" si="137"/>
        <v>1</v>
      </c>
    </row>
    <row r="4399" spans="1:8" ht="30">
      <c r="A4399" s="395">
        <v>7604</v>
      </c>
      <c r="B4399" s="406" t="s">
        <v>13129</v>
      </c>
      <c r="C4399" s="395" t="s">
        <v>2021</v>
      </c>
      <c r="D4399" s="407">
        <f t="shared" si="136"/>
        <v>51.09</v>
      </c>
      <c r="F4399" s="680">
        <v>51.09</v>
      </c>
      <c r="G4399" s="680">
        <v>51.09</v>
      </c>
      <c r="H4399" t="b">
        <f t="shared" si="137"/>
        <v>1</v>
      </c>
    </row>
    <row r="4400" spans="1:8" ht="30">
      <c r="A4400" s="396">
        <v>13984</v>
      </c>
      <c r="B4400" s="401" t="s">
        <v>13130</v>
      </c>
      <c r="C4400" s="396" t="s">
        <v>2021</v>
      </c>
      <c r="D4400" s="405">
        <f t="shared" si="136"/>
        <v>74.239999999999995</v>
      </c>
      <c r="F4400" s="679">
        <v>74.239999999999995</v>
      </c>
      <c r="G4400" s="679">
        <v>74.239999999999995</v>
      </c>
      <c r="H4400" t="b">
        <f t="shared" si="137"/>
        <v>1</v>
      </c>
    </row>
    <row r="4401" spans="1:8">
      <c r="A4401" s="395">
        <v>11772</v>
      </c>
      <c r="B4401" s="406" t="s">
        <v>13131</v>
      </c>
      <c r="C4401" s="395" t="s">
        <v>2021</v>
      </c>
      <c r="D4401" s="407">
        <f t="shared" si="136"/>
        <v>127.6</v>
      </c>
      <c r="F4401" s="680">
        <v>127.6</v>
      </c>
      <c r="G4401" s="680">
        <v>127.6</v>
      </c>
      <c r="H4401" t="b">
        <f t="shared" si="137"/>
        <v>1</v>
      </c>
    </row>
    <row r="4402" spans="1:8" ht="30">
      <c r="A4402" s="396">
        <v>13983</v>
      </c>
      <c r="B4402" s="401" t="s">
        <v>13132</v>
      </c>
      <c r="C4402" s="396" t="s">
        <v>2021</v>
      </c>
      <c r="D4402" s="405">
        <f t="shared" si="136"/>
        <v>96.63</v>
      </c>
      <c r="F4402" s="679">
        <v>96.63</v>
      </c>
      <c r="G4402" s="679">
        <v>96.63</v>
      </c>
      <c r="H4402" t="b">
        <f t="shared" si="137"/>
        <v>1</v>
      </c>
    </row>
    <row r="4403" spans="1:8" ht="30">
      <c r="A4403" s="395">
        <v>13416</v>
      </c>
      <c r="B4403" s="406" t="s">
        <v>13133</v>
      </c>
      <c r="C4403" s="395" t="s">
        <v>2021</v>
      </c>
      <c r="D4403" s="407">
        <f t="shared" si="136"/>
        <v>85.83</v>
      </c>
      <c r="F4403" s="680">
        <v>85.83</v>
      </c>
      <c r="G4403" s="680">
        <v>85.83</v>
      </c>
      <c r="H4403" t="b">
        <f t="shared" si="137"/>
        <v>1</v>
      </c>
    </row>
    <row r="4404" spans="1:8" ht="30">
      <c r="A4404" s="396">
        <v>40329</v>
      </c>
      <c r="B4404" s="401" t="s">
        <v>13134</v>
      </c>
      <c r="C4404" s="396" t="s">
        <v>2021</v>
      </c>
      <c r="D4404" s="405">
        <f t="shared" si="136"/>
        <v>21.85</v>
      </c>
      <c r="F4404" s="679">
        <v>21.85</v>
      </c>
      <c r="G4404" s="679">
        <v>21.85</v>
      </c>
      <c r="H4404" t="b">
        <f t="shared" si="137"/>
        <v>1</v>
      </c>
    </row>
    <row r="4405" spans="1:8">
      <c r="A4405" s="395">
        <v>11823</v>
      </c>
      <c r="B4405" s="406" t="s">
        <v>13135</v>
      </c>
      <c r="C4405" s="395" t="s">
        <v>2021</v>
      </c>
      <c r="D4405" s="407">
        <f t="shared" si="136"/>
        <v>9.1999999999999993</v>
      </c>
      <c r="F4405" s="680">
        <v>9.1999999999999993</v>
      </c>
      <c r="G4405" s="680">
        <v>9.1999999999999993</v>
      </c>
      <c r="H4405" t="b">
        <f t="shared" si="137"/>
        <v>1</v>
      </c>
    </row>
    <row r="4406" spans="1:8">
      <c r="A4406" s="396">
        <v>11822</v>
      </c>
      <c r="B4406" s="401" t="s">
        <v>13136</v>
      </c>
      <c r="C4406" s="396" t="s">
        <v>2021</v>
      </c>
      <c r="D4406" s="405">
        <f t="shared" si="136"/>
        <v>38.950000000000003</v>
      </c>
      <c r="F4406" s="679">
        <v>38.950000000000003</v>
      </c>
      <c r="G4406" s="679">
        <v>38.950000000000003</v>
      </c>
      <c r="H4406" t="b">
        <f t="shared" si="137"/>
        <v>1</v>
      </c>
    </row>
    <row r="4407" spans="1:8">
      <c r="A4407" s="395">
        <v>11831</v>
      </c>
      <c r="B4407" s="406" t="s">
        <v>13137</v>
      </c>
      <c r="C4407" s="395" t="s">
        <v>2021</v>
      </c>
      <c r="D4407" s="407">
        <f t="shared" si="136"/>
        <v>23.44</v>
      </c>
      <c r="F4407" s="680">
        <v>23.44</v>
      </c>
      <c r="G4407" s="680">
        <v>23.44</v>
      </c>
      <c r="H4407" t="b">
        <f t="shared" si="137"/>
        <v>1</v>
      </c>
    </row>
    <row r="4408" spans="1:8" ht="30">
      <c r="A4408" s="396">
        <v>7613</v>
      </c>
      <c r="B4408" s="401" t="s">
        <v>13138</v>
      </c>
      <c r="C4408" s="396" t="s">
        <v>2021</v>
      </c>
      <c r="D4408" s="405">
        <f t="shared" si="136"/>
        <v>216067.62</v>
      </c>
      <c r="F4408" s="679">
        <v>216067.62</v>
      </c>
      <c r="G4408" s="679">
        <v>216067.62</v>
      </c>
      <c r="H4408" t="b">
        <f t="shared" si="137"/>
        <v>1</v>
      </c>
    </row>
    <row r="4409" spans="1:8" ht="30">
      <c r="A4409" s="395">
        <v>7619</v>
      </c>
      <c r="B4409" s="406" t="s">
        <v>13139</v>
      </c>
      <c r="C4409" s="395" t="s">
        <v>2021</v>
      </c>
      <c r="D4409" s="407">
        <f t="shared" si="136"/>
        <v>33399.43</v>
      </c>
      <c r="F4409" s="680">
        <v>33399.43</v>
      </c>
      <c r="G4409" s="680">
        <v>33399.43</v>
      </c>
      <c r="H4409" t="b">
        <f t="shared" si="137"/>
        <v>1</v>
      </c>
    </row>
    <row r="4410" spans="1:8" ht="30">
      <c r="A4410" s="396">
        <v>12076</v>
      </c>
      <c r="B4410" s="401" t="s">
        <v>13140</v>
      </c>
      <c r="C4410" s="396" t="s">
        <v>2021</v>
      </c>
      <c r="D4410" s="405">
        <f t="shared" si="136"/>
        <v>15320.83</v>
      </c>
      <c r="F4410" s="679">
        <v>15320.83</v>
      </c>
      <c r="G4410" s="679">
        <v>15320.83</v>
      </c>
      <c r="H4410" t="b">
        <f t="shared" si="137"/>
        <v>1</v>
      </c>
    </row>
    <row r="4411" spans="1:8" ht="30">
      <c r="A4411" s="395">
        <v>7614</v>
      </c>
      <c r="B4411" s="406" t="s">
        <v>13141</v>
      </c>
      <c r="C4411" s="395" t="s">
        <v>2021</v>
      </c>
      <c r="D4411" s="407">
        <f t="shared" si="136"/>
        <v>42124.639999999999</v>
      </c>
      <c r="F4411" s="680">
        <v>42124.639999999999</v>
      </c>
      <c r="G4411" s="680">
        <v>42124.639999999999</v>
      </c>
      <c r="H4411" t="b">
        <f t="shared" si="137"/>
        <v>1</v>
      </c>
    </row>
    <row r="4412" spans="1:8" ht="30">
      <c r="A4412" s="396">
        <v>7618</v>
      </c>
      <c r="B4412" s="401" t="s">
        <v>13142</v>
      </c>
      <c r="C4412" s="396" t="s">
        <v>2021</v>
      </c>
      <c r="D4412" s="405">
        <f t="shared" si="136"/>
        <v>273209.98</v>
      </c>
      <c r="F4412" s="679">
        <v>273209.98</v>
      </c>
      <c r="G4412" s="679">
        <v>273209.98</v>
      </c>
      <c r="H4412" t="b">
        <f t="shared" si="137"/>
        <v>1</v>
      </c>
    </row>
    <row r="4413" spans="1:8" ht="30">
      <c r="A4413" s="395">
        <v>7620</v>
      </c>
      <c r="B4413" s="406" t="s">
        <v>13143</v>
      </c>
      <c r="C4413" s="395" t="s">
        <v>2021</v>
      </c>
      <c r="D4413" s="407">
        <f t="shared" si="136"/>
        <v>59094.66</v>
      </c>
      <c r="F4413" s="680">
        <v>59094.66</v>
      </c>
      <c r="G4413" s="680">
        <v>59094.66</v>
      </c>
      <c r="H4413" t="b">
        <f t="shared" si="137"/>
        <v>1</v>
      </c>
    </row>
    <row r="4414" spans="1:8" ht="30">
      <c r="A4414" s="396">
        <v>7610</v>
      </c>
      <c r="B4414" s="401" t="s">
        <v>13144</v>
      </c>
      <c r="C4414" s="396" t="s">
        <v>2021</v>
      </c>
      <c r="D4414" s="405">
        <f t="shared" si="136"/>
        <v>18713.3</v>
      </c>
      <c r="F4414" s="679">
        <v>18713.3</v>
      </c>
      <c r="G4414" s="679">
        <v>18713.3</v>
      </c>
      <c r="H4414" t="b">
        <f t="shared" si="137"/>
        <v>1</v>
      </c>
    </row>
    <row r="4415" spans="1:8" ht="30">
      <c r="A4415" s="395">
        <v>7615</v>
      </c>
      <c r="B4415" s="406" t="s">
        <v>13145</v>
      </c>
      <c r="C4415" s="395" t="s">
        <v>2021</v>
      </c>
      <c r="D4415" s="407">
        <f t="shared" si="136"/>
        <v>68943.77</v>
      </c>
      <c r="F4415" s="680">
        <v>68943.77</v>
      </c>
      <c r="G4415" s="680">
        <v>68943.77</v>
      </c>
      <c r="H4415" t="b">
        <f t="shared" si="137"/>
        <v>1</v>
      </c>
    </row>
    <row r="4416" spans="1:8" ht="30">
      <c r="A4416" s="396">
        <v>7617</v>
      </c>
      <c r="B4416" s="401" t="s">
        <v>13146</v>
      </c>
      <c r="C4416" s="396" t="s">
        <v>2021</v>
      </c>
      <c r="D4416" s="405">
        <f t="shared" si="136"/>
        <v>20902</v>
      </c>
      <c r="F4416" s="679">
        <v>20902</v>
      </c>
      <c r="G4416" s="679">
        <v>20902</v>
      </c>
      <c r="H4416" t="b">
        <f t="shared" si="137"/>
        <v>1</v>
      </c>
    </row>
    <row r="4417" spans="1:8" ht="30">
      <c r="A4417" s="395">
        <v>7616</v>
      </c>
      <c r="B4417" s="406" t="s">
        <v>13147</v>
      </c>
      <c r="C4417" s="395" t="s">
        <v>2021</v>
      </c>
      <c r="D4417" s="407">
        <f t="shared" si="136"/>
        <v>112505.3</v>
      </c>
      <c r="F4417" s="680">
        <v>112505.3</v>
      </c>
      <c r="G4417" s="680">
        <v>112505.3</v>
      </c>
      <c r="H4417" t="b">
        <f t="shared" si="137"/>
        <v>1</v>
      </c>
    </row>
    <row r="4418" spans="1:8" ht="30">
      <c r="A4418" s="396">
        <v>7611</v>
      </c>
      <c r="B4418" s="401" t="s">
        <v>13148</v>
      </c>
      <c r="C4418" s="396" t="s">
        <v>2021</v>
      </c>
      <c r="D4418" s="405">
        <f t="shared" si="136"/>
        <v>27030.34</v>
      </c>
      <c r="F4418" s="679">
        <v>27030.34</v>
      </c>
      <c r="G4418" s="679">
        <v>27030.34</v>
      </c>
      <c r="H4418" t="b">
        <f t="shared" si="137"/>
        <v>1</v>
      </c>
    </row>
    <row r="4419" spans="1:8" ht="30">
      <c r="A4419" s="395">
        <v>7612</v>
      </c>
      <c r="B4419" s="406" t="s">
        <v>13149</v>
      </c>
      <c r="C4419" s="395" t="s">
        <v>2021</v>
      </c>
      <c r="D4419" s="407">
        <f t="shared" ref="D4419:D4482" si="138">IF($J$2=$F$1,F4419,G4419)</f>
        <v>154320.25</v>
      </c>
      <c r="F4419" s="680">
        <v>154320.25</v>
      </c>
      <c r="G4419" s="680">
        <v>154320.25</v>
      </c>
      <c r="H4419" t="b">
        <f t="shared" ref="H4419:H4482" si="139">F4419=G4419</f>
        <v>1</v>
      </c>
    </row>
    <row r="4420" spans="1:8">
      <c r="A4420" s="396">
        <v>37371</v>
      </c>
      <c r="B4420" s="401" t="s">
        <v>13150</v>
      </c>
      <c r="C4420" s="396" t="s">
        <v>2020</v>
      </c>
      <c r="D4420" s="405">
        <f t="shared" si="138"/>
        <v>0.87</v>
      </c>
      <c r="F4420" s="679">
        <v>0.87</v>
      </c>
      <c r="G4420" s="679">
        <v>0.87</v>
      </c>
      <c r="H4420" t="b">
        <f t="shared" si="139"/>
        <v>1</v>
      </c>
    </row>
    <row r="4421" spans="1:8">
      <c r="A4421" s="395">
        <v>40862</v>
      </c>
      <c r="B4421" s="406" t="s">
        <v>13897</v>
      </c>
      <c r="C4421" s="395" t="s">
        <v>2027</v>
      </c>
      <c r="D4421" s="407">
        <f t="shared" si="138"/>
        <v>205.81</v>
      </c>
      <c r="F4421" s="680">
        <v>205.81</v>
      </c>
      <c r="G4421" s="680">
        <v>205.81</v>
      </c>
      <c r="H4421" t="b">
        <f t="shared" si="139"/>
        <v>1</v>
      </c>
    </row>
    <row r="4422" spans="1:8">
      <c r="A4422" s="396">
        <v>36510</v>
      </c>
      <c r="B4422" s="401" t="s">
        <v>13151</v>
      </c>
      <c r="C4422" s="396" t="s">
        <v>2021</v>
      </c>
      <c r="D4422" s="405">
        <f t="shared" si="138"/>
        <v>1025688.03</v>
      </c>
      <c r="F4422" s="679">
        <v>1025688.03</v>
      </c>
      <c r="G4422" s="679">
        <v>1025688.03</v>
      </c>
      <c r="H4422" t="b">
        <f t="shared" si="139"/>
        <v>1</v>
      </c>
    </row>
    <row r="4423" spans="1:8" ht="30">
      <c r="A4423" s="395">
        <v>25020</v>
      </c>
      <c r="B4423" s="406" t="s">
        <v>13152</v>
      </c>
      <c r="C4423" s="395" t="s">
        <v>2021</v>
      </c>
      <c r="D4423" s="407">
        <f t="shared" si="138"/>
        <v>4225473.8099999996</v>
      </c>
      <c r="F4423" s="680">
        <v>4225473.8099999996</v>
      </c>
      <c r="G4423" s="680">
        <v>4225473.8099999996</v>
      </c>
      <c r="H4423" t="b">
        <f t="shared" si="139"/>
        <v>1</v>
      </c>
    </row>
    <row r="4424" spans="1:8">
      <c r="A4424" s="396">
        <v>7622</v>
      </c>
      <c r="B4424" s="401" t="s">
        <v>13153</v>
      </c>
      <c r="C4424" s="396" t="s">
        <v>2021</v>
      </c>
      <c r="D4424" s="405">
        <f t="shared" si="138"/>
        <v>995067.3</v>
      </c>
      <c r="F4424" s="679">
        <v>995067.3</v>
      </c>
      <c r="G4424" s="679">
        <v>995067.3</v>
      </c>
      <c r="H4424" t="b">
        <f t="shared" si="139"/>
        <v>1</v>
      </c>
    </row>
    <row r="4425" spans="1:8" ht="30">
      <c r="A4425" s="395">
        <v>7624</v>
      </c>
      <c r="B4425" s="406" t="s">
        <v>13154</v>
      </c>
      <c r="C4425" s="395" t="s">
        <v>2021</v>
      </c>
      <c r="D4425" s="407">
        <f t="shared" si="138"/>
        <v>1290000</v>
      </c>
      <c r="F4425" s="680">
        <v>1290000</v>
      </c>
      <c r="G4425" s="680">
        <v>1290000</v>
      </c>
      <c r="H4425" t="b">
        <f t="shared" si="139"/>
        <v>1</v>
      </c>
    </row>
    <row r="4426" spans="1:8">
      <c r="A4426" s="396">
        <v>7625</v>
      </c>
      <c r="B4426" s="401" t="s">
        <v>13155</v>
      </c>
      <c r="C4426" s="396" t="s">
        <v>2021</v>
      </c>
      <c r="D4426" s="405">
        <f t="shared" si="138"/>
        <v>1282109.97</v>
      </c>
      <c r="F4426" s="679">
        <v>1282109.97</v>
      </c>
      <c r="G4426" s="679">
        <v>1282109.97</v>
      </c>
      <c r="H4426" t="b">
        <f t="shared" si="139"/>
        <v>1</v>
      </c>
    </row>
    <row r="4427" spans="1:8">
      <c r="A4427" s="395">
        <v>7623</v>
      </c>
      <c r="B4427" s="406" t="s">
        <v>13156</v>
      </c>
      <c r="C4427" s="395" t="s">
        <v>2021</v>
      </c>
      <c r="D4427" s="407">
        <f t="shared" si="138"/>
        <v>4225473.8099999996</v>
      </c>
      <c r="F4427" s="680">
        <v>4225473.8099999996</v>
      </c>
      <c r="G4427" s="680">
        <v>4225473.8099999996</v>
      </c>
      <c r="H4427" t="b">
        <f t="shared" si="139"/>
        <v>1</v>
      </c>
    </row>
    <row r="4428" spans="1:8" ht="30">
      <c r="A4428" s="396">
        <v>36508</v>
      </c>
      <c r="B4428" s="401" t="s">
        <v>13157</v>
      </c>
      <c r="C4428" s="396" t="s">
        <v>2021</v>
      </c>
      <c r="D4428" s="405">
        <f t="shared" si="138"/>
        <v>1900363.24</v>
      </c>
      <c r="F4428" s="679">
        <v>1900363.24</v>
      </c>
      <c r="G4428" s="679">
        <v>1900363.24</v>
      </c>
      <c r="H4428" t="b">
        <f t="shared" si="139"/>
        <v>1</v>
      </c>
    </row>
    <row r="4429" spans="1:8">
      <c r="A4429" s="395">
        <v>36509</v>
      </c>
      <c r="B4429" s="406" t="s">
        <v>13158</v>
      </c>
      <c r="C4429" s="395" t="s">
        <v>2021</v>
      </c>
      <c r="D4429" s="407">
        <f t="shared" si="138"/>
        <v>1041467.82</v>
      </c>
      <c r="F4429" s="680">
        <v>1041467.82</v>
      </c>
      <c r="G4429" s="680">
        <v>1041467.82</v>
      </c>
      <c r="H4429" t="b">
        <f t="shared" si="139"/>
        <v>1</v>
      </c>
    </row>
    <row r="4430" spans="1:8">
      <c r="A4430" s="396">
        <v>13238</v>
      </c>
      <c r="B4430" s="401" t="s">
        <v>13159</v>
      </c>
      <c r="C4430" s="396" t="s">
        <v>2021</v>
      </c>
      <c r="D4430" s="405">
        <f t="shared" si="138"/>
        <v>317943.90000000002</v>
      </c>
      <c r="F4430" s="679">
        <v>317943.90000000002</v>
      </c>
      <c r="G4430" s="679">
        <v>317943.90000000002</v>
      </c>
      <c r="H4430" t="b">
        <f t="shared" si="139"/>
        <v>1</v>
      </c>
    </row>
    <row r="4431" spans="1:8">
      <c r="A4431" s="395">
        <v>36511</v>
      </c>
      <c r="B4431" s="406" t="s">
        <v>13160</v>
      </c>
      <c r="C4431" s="395" t="s">
        <v>2021</v>
      </c>
      <c r="D4431" s="407">
        <f t="shared" si="138"/>
        <v>368411.19</v>
      </c>
      <c r="F4431" s="680">
        <v>368411.19</v>
      </c>
      <c r="G4431" s="680">
        <v>368411.19</v>
      </c>
      <c r="H4431" t="b">
        <f t="shared" si="139"/>
        <v>1</v>
      </c>
    </row>
    <row r="4432" spans="1:8">
      <c r="A4432" s="396">
        <v>36515</v>
      </c>
      <c r="B4432" s="401" t="s">
        <v>13161</v>
      </c>
      <c r="C4432" s="396" t="s">
        <v>2021</v>
      </c>
      <c r="D4432" s="405">
        <f t="shared" si="138"/>
        <v>108504.65</v>
      </c>
      <c r="F4432" s="679">
        <v>108504.65</v>
      </c>
      <c r="G4432" s="679">
        <v>108504.65</v>
      </c>
      <c r="H4432" t="b">
        <f t="shared" si="139"/>
        <v>1</v>
      </c>
    </row>
    <row r="4433" spans="1:8">
      <c r="A4433" s="395">
        <v>10598</v>
      </c>
      <c r="B4433" s="406" t="s">
        <v>13162</v>
      </c>
      <c r="C4433" s="395" t="s">
        <v>2021</v>
      </c>
      <c r="D4433" s="407">
        <f t="shared" si="138"/>
        <v>175956.7</v>
      </c>
      <c r="F4433" s="680">
        <v>175956.7</v>
      </c>
      <c r="G4433" s="680">
        <v>175956.7</v>
      </c>
      <c r="H4433" t="b">
        <f t="shared" si="139"/>
        <v>1</v>
      </c>
    </row>
    <row r="4434" spans="1:8">
      <c r="A4434" s="396">
        <v>7640</v>
      </c>
      <c r="B4434" s="401" t="s">
        <v>13163</v>
      </c>
      <c r="C4434" s="396" t="s">
        <v>2021</v>
      </c>
      <c r="D4434" s="405">
        <f t="shared" si="138"/>
        <v>270000</v>
      </c>
      <c r="F4434" s="679">
        <v>270000</v>
      </c>
      <c r="G4434" s="679">
        <v>270000</v>
      </c>
      <c r="H4434" t="b">
        <f t="shared" si="139"/>
        <v>1</v>
      </c>
    </row>
    <row r="4435" spans="1:8">
      <c r="A4435" s="395">
        <v>36513</v>
      </c>
      <c r="B4435" s="406" t="s">
        <v>13164</v>
      </c>
      <c r="C4435" s="395" t="s">
        <v>2021</v>
      </c>
      <c r="D4435" s="407">
        <f t="shared" si="138"/>
        <v>260095.77</v>
      </c>
      <c r="F4435" s="680">
        <v>260095.77</v>
      </c>
      <c r="G4435" s="680">
        <v>260095.77</v>
      </c>
      <c r="H4435" t="b">
        <f t="shared" si="139"/>
        <v>1</v>
      </c>
    </row>
    <row r="4436" spans="1:8">
      <c r="A4436" s="396">
        <v>36514</v>
      </c>
      <c r="B4436" s="401" t="s">
        <v>13165</v>
      </c>
      <c r="C4436" s="396" t="s">
        <v>2021</v>
      </c>
      <c r="D4436" s="405">
        <f t="shared" si="138"/>
        <v>290186.90000000002</v>
      </c>
      <c r="F4436" s="679">
        <v>290186.90000000002</v>
      </c>
      <c r="G4436" s="679">
        <v>290186.90000000002</v>
      </c>
      <c r="H4436" t="b">
        <f t="shared" si="139"/>
        <v>1</v>
      </c>
    </row>
    <row r="4437" spans="1:8">
      <c r="A4437" s="395">
        <v>11572</v>
      </c>
      <c r="B4437" s="406" t="s">
        <v>13166</v>
      </c>
      <c r="C4437" s="395" t="s">
        <v>2021</v>
      </c>
      <c r="D4437" s="407">
        <f t="shared" si="138"/>
        <v>35.380000000000003</v>
      </c>
      <c r="F4437" s="680">
        <v>35.380000000000003</v>
      </c>
      <c r="G4437" s="680">
        <v>35.380000000000003</v>
      </c>
      <c r="H4437" t="b">
        <f t="shared" si="139"/>
        <v>1</v>
      </c>
    </row>
    <row r="4438" spans="1:8">
      <c r="A4438" s="396">
        <v>36149</v>
      </c>
      <c r="B4438" s="401" t="s">
        <v>13167</v>
      </c>
      <c r="C4438" s="396" t="s">
        <v>2021</v>
      </c>
      <c r="D4438" s="405">
        <f t="shared" si="138"/>
        <v>186.82</v>
      </c>
      <c r="F4438" s="679">
        <v>186.82</v>
      </c>
      <c r="G4438" s="679">
        <v>186.82</v>
      </c>
      <c r="H4438" t="b">
        <f t="shared" si="139"/>
        <v>1</v>
      </c>
    </row>
    <row r="4439" spans="1:8" ht="30">
      <c r="A4439" s="395">
        <v>42407</v>
      </c>
      <c r="B4439" s="406" t="s">
        <v>13168</v>
      </c>
      <c r="C4439" s="395" t="s">
        <v>2024</v>
      </c>
      <c r="D4439" s="407">
        <f t="shared" si="138"/>
        <v>9.67</v>
      </c>
      <c r="F4439" s="680">
        <v>9.67</v>
      </c>
      <c r="G4439" s="680">
        <v>9.67</v>
      </c>
      <c r="H4439" t="b">
        <f t="shared" si="139"/>
        <v>1</v>
      </c>
    </row>
    <row r="4440" spans="1:8" ht="30">
      <c r="A4440" s="396">
        <v>11581</v>
      </c>
      <c r="B4440" s="401" t="s">
        <v>13169</v>
      </c>
      <c r="C4440" s="396" t="s">
        <v>2024</v>
      </c>
      <c r="D4440" s="405">
        <f t="shared" si="138"/>
        <v>23.35</v>
      </c>
      <c r="F4440" s="679">
        <v>23.35</v>
      </c>
      <c r="G4440" s="679">
        <v>23.35</v>
      </c>
      <c r="H4440" t="b">
        <f t="shared" si="139"/>
        <v>1</v>
      </c>
    </row>
    <row r="4441" spans="1:8">
      <c r="A4441" s="395">
        <v>43605</v>
      </c>
      <c r="B4441" s="406" t="s">
        <v>13170</v>
      </c>
      <c r="C4441" s="395" t="s">
        <v>2024</v>
      </c>
      <c r="D4441" s="407">
        <f t="shared" si="138"/>
        <v>47.78</v>
      </c>
      <c r="F4441" s="680">
        <v>47.78</v>
      </c>
      <c r="G4441" s="680">
        <v>47.78</v>
      </c>
      <c r="H4441" t="b">
        <f t="shared" si="139"/>
        <v>1</v>
      </c>
    </row>
    <row r="4442" spans="1:8">
      <c r="A4442" s="396">
        <v>11580</v>
      </c>
      <c r="B4442" s="401" t="s">
        <v>13171</v>
      </c>
      <c r="C4442" s="396" t="s">
        <v>2024</v>
      </c>
      <c r="D4442" s="405">
        <f t="shared" si="138"/>
        <v>9.3699999999999992</v>
      </c>
      <c r="F4442" s="679">
        <v>9.3699999999999992</v>
      </c>
      <c r="G4442" s="679">
        <v>9.3699999999999992</v>
      </c>
      <c r="H4442" t="b">
        <f t="shared" si="139"/>
        <v>1</v>
      </c>
    </row>
    <row r="4443" spans="1:8">
      <c r="A4443" s="395">
        <v>10743</v>
      </c>
      <c r="B4443" s="406" t="s">
        <v>13172</v>
      </c>
      <c r="C4443" s="395" t="s">
        <v>2021</v>
      </c>
      <c r="D4443" s="407">
        <f t="shared" si="138"/>
        <v>712.41</v>
      </c>
      <c r="F4443" s="680">
        <v>712.41</v>
      </c>
      <c r="G4443" s="680">
        <v>712.41</v>
      </c>
      <c r="H4443" t="b">
        <f t="shared" si="139"/>
        <v>1</v>
      </c>
    </row>
    <row r="4444" spans="1:8" ht="30">
      <c r="A4444" s="396">
        <v>39848</v>
      </c>
      <c r="B4444" s="401" t="s">
        <v>13173</v>
      </c>
      <c r="C4444" s="396" t="s">
        <v>2024</v>
      </c>
      <c r="D4444" s="405">
        <f t="shared" si="138"/>
        <v>1.98</v>
      </c>
      <c r="F4444" s="679">
        <v>1.98</v>
      </c>
      <c r="G4444" s="679">
        <v>1.98</v>
      </c>
      <c r="H4444" t="b">
        <f t="shared" si="139"/>
        <v>1</v>
      </c>
    </row>
    <row r="4445" spans="1:8">
      <c r="A4445" s="395">
        <v>20999</v>
      </c>
      <c r="B4445" s="406" t="s">
        <v>13174</v>
      </c>
      <c r="C4445" s="395" t="s">
        <v>2024</v>
      </c>
      <c r="D4445" s="407">
        <f t="shared" si="138"/>
        <v>14.29</v>
      </c>
      <c r="F4445" s="680">
        <v>14.29</v>
      </c>
      <c r="G4445" s="680">
        <v>14.29</v>
      </c>
      <c r="H4445" t="b">
        <f t="shared" si="139"/>
        <v>1</v>
      </c>
    </row>
    <row r="4446" spans="1:8">
      <c r="A4446" s="396">
        <v>21001</v>
      </c>
      <c r="B4446" s="401" t="s">
        <v>13175</v>
      </c>
      <c r="C4446" s="396" t="s">
        <v>2024</v>
      </c>
      <c r="D4446" s="405">
        <f t="shared" si="138"/>
        <v>26.67</v>
      </c>
      <c r="F4446" s="679">
        <v>26.67</v>
      </c>
      <c r="G4446" s="679">
        <v>26.67</v>
      </c>
      <c r="H4446" t="b">
        <f t="shared" si="139"/>
        <v>1</v>
      </c>
    </row>
    <row r="4447" spans="1:8">
      <c r="A4447" s="395">
        <v>21003</v>
      </c>
      <c r="B4447" s="406" t="s">
        <v>13176</v>
      </c>
      <c r="C4447" s="395" t="s">
        <v>2024</v>
      </c>
      <c r="D4447" s="407">
        <f t="shared" si="138"/>
        <v>43.83</v>
      </c>
      <c r="F4447" s="680">
        <v>43.83</v>
      </c>
      <c r="G4447" s="680">
        <v>43.83</v>
      </c>
      <c r="H4447" t="b">
        <f t="shared" si="139"/>
        <v>1</v>
      </c>
    </row>
    <row r="4448" spans="1:8">
      <c r="A4448" s="396">
        <v>21006</v>
      </c>
      <c r="B4448" s="401" t="s">
        <v>13177</v>
      </c>
      <c r="C4448" s="396" t="s">
        <v>2024</v>
      </c>
      <c r="D4448" s="405">
        <f t="shared" si="138"/>
        <v>93.01</v>
      </c>
      <c r="F4448" s="679">
        <v>93.01</v>
      </c>
      <c r="G4448" s="679">
        <v>93.01</v>
      </c>
      <c r="H4448" t="b">
        <f t="shared" si="139"/>
        <v>1</v>
      </c>
    </row>
    <row r="4449" spans="1:8">
      <c r="A4449" s="395">
        <v>21019</v>
      </c>
      <c r="B4449" s="406" t="s">
        <v>13178</v>
      </c>
      <c r="C4449" s="395" t="s">
        <v>2024</v>
      </c>
      <c r="D4449" s="407">
        <f t="shared" si="138"/>
        <v>32.33</v>
      </c>
      <c r="F4449" s="680">
        <v>32.33</v>
      </c>
      <c r="G4449" s="680">
        <v>32.33</v>
      </c>
      <c r="H4449" t="b">
        <f t="shared" si="139"/>
        <v>1</v>
      </c>
    </row>
    <row r="4450" spans="1:8">
      <c r="A4450" s="396">
        <v>21021</v>
      </c>
      <c r="B4450" s="401" t="s">
        <v>13179</v>
      </c>
      <c r="C4450" s="396" t="s">
        <v>2024</v>
      </c>
      <c r="D4450" s="405">
        <f t="shared" si="138"/>
        <v>51.11</v>
      </c>
      <c r="F4450" s="679">
        <v>51.11</v>
      </c>
      <c r="G4450" s="679">
        <v>51.11</v>
      </c>
      <c r="H4450" t="b">
        <f t="shared" si="139"/>
        <v>1</v>
      </c>
    </row>
    <row r="4451" spans="1:8">
      <c r="A4451" s="395">
        <v>21024</v>
      </c>
      <c r="B4451" s="406" t="s">
        <v>13180</v>
      </c>
      <c r="C4451" s="395" t="s">
        <v>2024</v>
      </c>
      <c r="D4451" s="407">
        <f t="shared" si="138"/>
        <v>109.5</v>
      </c>
      <c r="F4451" s="680">
        <v>109.5</v>
      </c>
      <c r="G4451" s="680">
        <v>109.5</v>
      </c>
      <c r="H4451" t="b">
        <f t="shared" si="139"/>
        <v>1</v>
      </c>
    </row>
    <row r="4452" spans="1:8">
      <c r="A4452" s="396">
        <v>40624</v>
      </c>
      <c r="B4452" s="401" t="s">
        <v>13181</v>
      </c>
      <c r="C4452" s="396" t="s">
        <v>2024</v>
      </c>
      <c r="D4452" s="405">
        <f t="shared" si="138"/>
        <v>93.72</v>
      </c>
      <c r="F4452" s="679">
        <v>93.72</v>
      </c>
      <c r="G4452" s="679">
        <v>93.72</v>
      </c>
      <c r="H4452" t="b">
        <f t="shared" si="139"/>
        <v>1</v>
      </c>
    </row>
    <row r="4453" spans="1:8">
      <c r="A4453" s="395">
        <v>42575</v>
      </c>
      <c r="B4453" s="406" t="s">
        <v>13182</v>
      </c>
      <c r="C4453" s="395" t="s">
        <v>2024</v>
      </c>
      <c r="D4453" s="407">
        <f t="shared" si="138"/>
        <v>86</v>
      </c>
      <c r="F4453" s="680">
        <v>86</v>
      </c>
      <c r="G4453" s="680">
        <v>86</v>
      </c>
      <c r="H4453" t="b">
        <f t="shared" si="139"/>
        <v>1</v>
      </c>
    </row>
    <row r="4454" spans="1:8">
      <c r="A4454" s="396">
        <v>13127</v>
      </c>
      <c r="B4454" s="401" t="s">
        <v>13183</v>
      </c>
      <c r="C4454" s="396" t="s">
        <v>2024</v>
      </c>
      <c r="D4454" s="405">
        <f t="shared" si="138"/>
        <v>41.8</v>
      </c>
      <c r="F4454" s="679">
        <v>41.8</v>
      </c>
      <c r="G4454" s="679">
        <v>41.8</v>
      </c>
      <c r="H4454" t="b">
        <f t="shared" si="139"/>
        <v>1</v>
      </c>
    </row>
    <row r="4455" spans="1:8">
      <c r="A4455" s="395">
        <v>13137</v>
      </c>
      <c r="B4455" s="406" t="s">
        <v>13184</v>
      </c>
      <c r="C4455" s="395" t="s">
        <v>2024</v>
      </c>
      <c r="D4455" s="407">
        <f t="shared" si="138"/>
        <v>55.47</v>
      </c>
      <c r="F4455" s="680">
        <v>55.47</v>
      </c>
      <c r="G4455" s="680">
        <v>55.47</v>
      </c>
      <c r="H4455" t="b">
        <f t="shared" si="139"/>
        <v>1</v>
      </c>
    </row>
    <row r="4456" spans="1:8">
      <c r="A4456" s="396">
        <v>42574</v>
      </c>
      <c r="B4456" s="401" t="s">
        <v>13185</v>
      </c>
      <c r="C4456" s="396" t="s">
        <v>2024</v>
      </c>
      <c r="D4456" s="405">
        <f t="shared" si="138"/>
        <v>64.180000000000007</v>
      </c>
      <c r="F4456" s="679">
        <v>64.180000000000007</v>
      </c>
      <c r="G4456" s="679">
        <v>64.180000000000007</v>
      </c>
      <c r="H4456" t="b">
        <f t="shared" si="139"/>
        <v>1</v>
      </c>
    </row>
    <row r="4457" spans="1:8">
      <c r="A4457" s="395">
        <v>20989</v>
      </c>
      <c r="B4457" s="406" t="s">
        <v>13186</v>
      </c>
      <c r="C4457" s="395" t="s">
        <v>2024</v>
      </c>
      <c r="D4457" s="407">
        <f t="shared" si="138"/>
        <v>1987.4</v>
      </c>
      <c r="F4457" s="680">
        <v>1987.4</v>
      </c>
      <c r="G4457" s="680">
        <v>1987.4</v>
      </c>
      <c r="H4457" t="b">
        <f t="shared" si="139"/>
        <v>1</v>
      </c>
    </row>
    <row r="4458" spans="1:8">
      <c r="A4458" s="396">
        <v>21147</v>
      </c>
      <c r="B4458" s="401" t="s">
        <v>13187</v>
      </c>
      <c r="C4458" s="396" t="s">
        <v>2024</v>
      </c>
      <c r="D4458" s="405">
        <f t="shared" si="138"/>
        <v>186.34</v>
      </c>
      <c r="F4458" s="679">
        <v>186.34</v>
      </c>
      <c r="G4458" s="679">
        <v>186.34</v>
      </c>
      <c r="H4458" t="b">
        <f t="shared" si="139"/>
        <v>1</v>
      </c>
    </row>
    <row r="4459" spans="1:8">
      <c r="A4459" s="395">
        <v>21148</v>
      </c>
      <c r="B4459" s="406" t="s">
        <v>13188</v>
      </c>
      <c r="C4459" s="395" t="s">
        <v>2024</v>
      </c>
      <c r="D4459" s="407">
        <f t="shared" si="138"/>
        <v>115.01</v>
      </c>
      <c r="F4459" s="680">
        <v>115.01</v>
      </c>
      <c r="G4459" s="680">
        <v>115.01</v>
      </c>
      <c r="H4459" t="b">
        <f t="shared" si="139"/>
        <v>1</v>
      </c>
    </row>
    <row r="4460" spans="1:8">
      <c r="A4460" s="396">
        <v>20984</v>
      </c>
      <c r="B4460" s="401" t="s">
        <v>13189</v>
      </c>
      <c r="C4460" s="396" t="s">
        <v>2024</v>
      </c>
      <c r="D4460" s="405">
        <f t="shared" si="138"/>
        <v>3813.43</v>
      </c>
      <c r="F4460" s="679">
        <v>3813.43</v>
      </c>
      <c r="G4460" s="679">
        <v>3813.43</v>
      </c>
      <c r="H4460" t="b">
        <f t="shared" si="139"/>
        <v>1</v>
      </c>
    </row>
    <row r="4461" spans="1:8">
      <c r="A4461" s="395">
        <v>13042</v>
      </c>
      <c r="B4461" s="406" t="s">
        <v>13190</v>
      </c>
      <c r="C4461" s="395" t="s">
        <v>2024</v>
      </c>
      <c r="D4461" s="407">
        <f t="shared" si="138"/>
        <v>2113.21</v>
      </c>
      <c r="F4461" s="680">
        <v>2113.21</v>
      </c>
      <c r="G4461" s="680">
        <v>2113.21</v>
      </c>
      <c r="H4461" t="b">
        <f t="shared" si="139"/>
        <v>1</v>
      </c>
    </row>
    <row r="4462" spans="1:8">
      <c r="A4462" s="396">
        <v>21150</v>
      </c>
      <c r="B4462" s="401" t="s">
        <v>13191</v>
      </c>
      <c r="C4462" s="396" t="s">
        <v>2024</v>
      </c>
      <c r="D4462" s="405">
        <f t="shared" si="138"/>
        <v>57.03</v>
      </c>
      <c r="F4462" s="679">
        <v>57.03</v>
      </c>
      <c r="G4462" s="679">
        <v>57.03</v>
      </c>
      <c r="H4462" t="b">
        <f t="shared" si="139"/>
        <v>1</v>
      </c>
    </row>
    <row r="4463" spans="1:8">
      <c r="A4463" s="395">
        <v>13141</v>
      </c>
      <c r="B4463" s="406" t="s">
        <v>13192</v>
      </c>
      <c r="C4463" s="395" t="s">
        <v>2024</v>
      </c>
      <c r="D4463" s="407">
        <f t="shared" si="138"/>
        <v>71.849999999999994</v>
      </c>
      <c r="F4463" s="680">
        <v>71.849999999999994</v>
      </c>
      <c r="G4463" s="680">
        <v>71.849999999999994</v>
      </c>
      <c r="H4463" t="b">
        <f t="shared" si="139"/>
        <v>1</v>
      </c>
    </row>
    <row r="4464" spans="1:8">
      <c r="A4464" s="396">
        <v>42576</v>
      </c>
      <c r="B4464" s="401" t="s">
        <v>13193</v>
      </c>
      <c r="C4464" s="396" t="s">
        <v>2024</v>
      </c>
      <c r="D4464" s="405">
        <f t="shared" si="138"/>
        <v>234.6</v>
      </c>
      <c r="F4464" s="679">
        <v>234.6</v>
      </c>
      <c r="G4464" s="679">
        <v>234.6</v>
      </c>
      <c r="H4464" t="b">
        <f t="shared" si="139"/>
        <v>1</v>
      </c>
    </row>
    <row r="4465" spans="1:8">
      <c r="A4465" s="395">
        <v>21151</v>
      </c>
      <c r="B4465" s="406" t="s">
        <v>13194</v>
      </c>
      <c r="C4465" s="395" t="s">
        <v>2024</v>
      </c>
      <c r="D4465" s="407">
        <f t="shared" si="138"/>
        <v>341.35</v>
      </c>
      <c r="F4465" s="680">
        <v>341.35</v>
      </c>
      <c r="G4465" s="680">
        <v>341.35</v>
      </c>
      <c r="H4465" t="b">
        <f t="shared" si="139"/>
        <v>1</v>
      </c>
    </row>
    <row r="4466" spans="1:8">
      <c r="A4466" s="396">
        <v>13142</v>
      </c>
      <c r="B4466" s="401" t="s">
        <v>13195</v>
      </c>
      <c r="C4466" s="396" t="s">
        <v>2024</v>
      </c>
      <c r="D4466" s="405">
        <f t="shared" si="138"/>
        <v>487.98</v>
      </c>
      <c r="F4466" s="679">
        <v>487.98</v>
      </c>
      <c r="G4466" s="679">
        <v>487.98</v>
      </c>
      <c r="H4466" t="b">
        <f t="shared" si="139"/>
        <v>1</v>
      </c>
    </row>
    <row r="4467" spans="1:8">
      <c r="A4467" s="395">
        <v>42577</v>
      </c>
      <c r="B4467" s="406" t="s">
        <v>13196</v>
      </c>
      <c r="C4467" s="395" t="s">
        <v>2024</v>
      </c>
      <c r="D4467" s="407">
        <f t="shared" si="138"/>
        <v>535.45000000000005</v>
      </c>
      <c r="F4467" s="680">
        <v>535.45000000000005</v>
      </c>
      <c r="G4467" s="680">
        <v>535.45000000000005</v>
      </c>
      <c r="H4467" t="b">
        <f t="shared" si="139"/>
        <v>1</v>
      </c>
    </row>
    <row r="4468" spans="1:8">
      <c r="A4468" s="396">
        <v>20994</v>
      </c>
      <c r="B4468" s="401" t="s">
        <v>13197</v>
      </c>
      <c r="C4468" s="396" t="s">
        <v>2024</v>
      </c>
      <c r="D4468" s="405">
        <f t="shared" si="138"/>
        <v>920.06</v>
      </c>
      <c r="F4468" s="679">
        <v>920.06</v>
      </c>
      <c r="G4468" s="679">
        <v>920.06</v>
      </c>
      <c r="H4468" t="b">
        <f t="shared" si="139"/>
        <v>1</v>
      </c>
    </row>
    <row r="4469" spans="1:8">
      <c r="A4469" s="395">
        <v>7672</v>
      </c>
      <c r="B4469" s="406" t="s">
        <v>13198</v>
      </c>
      <c r="C4469" s="395" t="s">
        <v>2024</v>
      </c>
      <c r="D4469" s="407">
        <f t="shared" si="138"/>
        <v>602.74</v>
      </c>
      <c r="F4469" s="680">
        <v>602.74</v>
      </c>
      <c r="G4469" s="680">
        <v>602.74</v>
      </c>
      <c r="H4469" t="b">
        <f t="shared" si="139"/>
        <v>1</v>
      </c>
    </row>
    <row r="4470" spans="1:8">
      <c r="A4470" s="396">
        <v>20995</v>
      </c>
      <c r="B4470" s="401" t="s">
        <v>13199</v>
      </c>
      <c r="C4470" s="396" t="s">
        <v>2024</v>
      </c>
      <c r="D4470" s="405">
        <f t="shared" si="138"/>
        <v>1209.1400000000001</v>
      </c>
      <c r="F4470" s="679">
        <v>1209.1400000000001</v>
      </c>
      <c r="G4470" s="679">
        <v>1209.1400000000001</v>
      </c>
      <c r="H4470" t="b">
        <f t="shared" si="139"/>
        <v>1</v>
      </c>
    </row>
    <row r="4471" spans="1:8">
      <c r="A4471" s="395">
        <v>7690</v>
      </c>
      <c r="B4471" s="406" t="s">
        <v>13200</v>
      </c>
      <c r="C4471" s="395" t="s">
        <v>2024</v>
      </c>
      <c r="D4471" s="407">
        <f t="shared" si="138"/>
        <v>699.32</v>
      </c>
      <c r="F4471" s="680">
        <v>699.32</v>
      </c>
      <c r="G4471" s="680">
        <v>699.32</v>
      </c>
      <c r="H4471" t="b">
        <f t="shared" si="139"/>
        <v>1</v>
      </c>
    </row>
    <row r="4472" spans="1:8">
      <c r="A4472" s="396">
        <v>20980</v>
      </c>
      <c r="B4472" s="401" t="s">
        <v>13201</v>
      </c>
      <c r="C4472" s="396" t="s">
        <v>2024</v>
      </c>
      <c r="D4472" s="405">
        <f t="shared" si="138"/>
        <v>762.9</v>
      </c>
      <c r="F4472" s="679">
        <v>762.9</v>
      </c>
      <c r="G4472" s="679">
        <v>762.9</v>
      </c>
      <c r="H4472" t="b">
        <f t="shared" si="139"/>
        <v>1</v>
      </c>
    </row>
    <row r="4473" spans="1:8">
      <c r="A4473" s="395">
        <v>7661</v>
      </c>
      <c r="B4473" s="406" t="s">
        <v>13202</v>
      </c>
      <c r="C4473" s="395" t="s">
        <v>2024</v>
      </c>
      <c r="D4473" s="407">
        <f t="shared" si="138"/>
        <v>907.53</v>
      </c>
      <c r="F4473" s="680">
        <v>907.53</v>
      </c>
      <c r="G4473" s="680">
        <v>907.53</v>
      </c>
      <c r="H4473" t="b">
        <f t="shared" si="139"/>
        <v>1</v>
      </c>
    </row>
    <row r="4474" spans="1:8">
      <c r="A4474" s="396">
        <v>21016</v>
      </c>
      <c r="B4474" s="401" t="s">
        <v>13203</v>
      </c>
      <c r="C4474" s="396" t="s">
        <v>2024</v>
      </c>
      <c r="D4474" s="405">
        <f t="shared" si="138"/>
        <v>175.15</v>
      </c>
      <c r="F4474" s="679">
        <v>175.15</v>
      </c>
      <c r="G4474" s="679">
        <v>175.15</v>
      </c>
      <c r="H4474" t="b">
        <f t="shared" si="139"/>
        <v>1</v>
      </c>
    </row>
    <row r="4475" spans="1:8">
      <c r="A4475" s="395">
        <v>21008</v>
      </c>
      <c r="B4475" s="406" t="s">
        <v>13204</v>
      </c>
      <c r="C4475" s="395" t="s">
        <v>2024</v>
      </c>
      <c r="D4475" s="407">
        <f t="shared" si="138"/>
        <v>20.46</v>
      </c>
      <c r="F4475" s="680">
        <v>20.46</v>
      </c>
      <c r="G4475" s="680">
        <v>20.46</v>
      </c>
      <c r="H4475" t="b">
        <f t="shared" si="139"/>
        <v>1</v>
      </c>
    </row>
    <row r="4476" spans="1:8">
      <c r="A4476" s="396">
        <v>21009</v>
      </c>
      <c r="B4476" s="401" t="s">
        <v>13205</v>
      </c>
      <c r="C4476" s="396" t="s">
        <v>2024</v>
      </c>
      <c r="D4476" s="405">
        <f t="shared" si="138"/>
        <v>26.64</v>
      </c>
      <c r="F4476" s="679">
        <v>26.64</v>
      </c>
      <c r="G4476" s="679">
        <v>26.64</v>
      </c>
      <c r="H4476" t="b">
        <f t="shared" si="139"/>
        <v>1</v>
      </c>
    </row>
    <row r="4477" spans="1:8">
      <c r="A4477" s="395">
        <v>21010</v>
      </c>
      <c r="B4477" s="406" t="s">
        <v>13206</v>
      </c>
      <c r="C4477" s="395" t="s">
        <v>2024</v>
      </c>
      <c r="D4477" s="407">
        <f t="shared" si="138"/>
        <v>35.770000000000003</v>
      </c>
      <c r="F4477" s="680">
        <v>35.770000000000003</v>
      </c>
      <c r="G4477" s="680">
        <v>35.770000000000003</v>
      </c>
      <c r="H4477" t="b">
        <f t="shared" si="139"/>
        <v>1</v>
      </c>
    </row>
    <row r="4478" spans="1:8">
      <c r="A4478" s="396">
        <v>21011</v>
      </c>
      <c r="B4478" s="401" t="s">
        <v>13207</v>
      </c>
      <c r="C4478" s="396" t="s">
        <v>2024</v>
      </c>
      <c r="D4478" s="405">
        <f t="shared" si="138"/>
        <v>52.13</v>
      </c>
      <c r="F4478" s="679">
        <v>52.13</v>
      </c>
      <c r="G4478" s="679">
        <v>52.13</v>
      </c>
      <c r="H4478" t="b">
        <f t="shared" si="139"/>
        <v>1</v>
      </c>
    </row>
    <row r="4479" spans="1:8">
      <c r="A4479" s="395">
        <v>21012</v>
      </c>
      <c r="B4479" s="406" t="s">
        <v>13208</v>
      </c>
      <c r="C4479" s="395" t="s">
        <v>2024</v>
      </c>
      <c r="D4479" s="407">
        <f t="shared" si="138"/>
        <v>57.61</v>
      </c>
      <c r="F4479" s="680">
        <v>57.61</v>
      </c>
      <c r="G4479" s="680">
        <v>57.61</v>
      </c>
      <c r="H4479" t="b">
        <f t="shared" si="139"/>
        <v>1</v>
      </c>
    </row>
    <row r="4480" spans="1:8">
      <c r="A4480" s="396">
        <v>21013</v>
      </c>
      <c r="B4480" s="401" t="s">
        <v>13209</v>
      </c>
      <c r="C4480" s="396" t="s">
        <v>2024</v>
      </c>
      <c r="D4480" s="405">
        <f t="shared" si="138"/>
        <v>75.180000000000007</v>
      </c>
      <c r="F4480" s="679">
        <v>75.180000000000007</v>
      </c>
      <c r="G4480" s="679">
        <v>75.180000000000007</v>
      </c>
      <c r="H4480" t="b">
        <f t="shared" si="139"/>
        <v>1</v>
      </c>
    </row>
    <row r="4481" spans="1:8">
      <c r="A4481" s="395">
        <v>21014</v>
      </c>
      <c r="B4481" s="406" t="s">
        <v>13210</v>
      </c>
      <c r="C4481" s="395" t="s">
        <v>2024</v>
      </c>
      <c r="D4481" s="407">
        <f t="shared" si="138"/>
        <v>105.19</v>
      </c>
      <c r="F4481" s="680">
        <v>105.19</v>
      </c>
      <c r="G4481" s="680">
        <v>105.19</v>
      </c>
      <c r="H4481" t="b">
        <f t="shared" si="139"/>
        <v>1</v>
      </c>
    </row>
    <row r="4482" spans="1:8">
      <c r="A4482" s="396">
        <v>21015</v>
      </c>
      <c r="B4482" s="401" t="s">
        <v>13211</v>
      </c>
      <c r="C4482" s="396" t="s">
        <v>2024</v>
      </c>
      <c r="D4482" s="405">
        <f t="shared" si="138"/>
        <v>120.85</v>
      </c>
      <c r="F4482" s="679">
        <v>120.85</v>
      </c>
      <c r="G4482" s="679">
        <v>120.85</v>
      </c>
      <c r="H4482" t="b">
        <f t="shared" si="139"/>
        <v>1</v>
      </c>
    </row>
    <row r="4483" spans="1:8">
      <c r="A4483" s="395">
        <v>7697</v>
      </c>
      <c r="B4483" s="406" t="s">
        <v>13212</v>
      </c>
      <c r="C4483" s="395" t="s">
        <v>2024</v>
      </c>
      <c r="D4483" s="407">
        <f t="shared" ref="D4483:D4546" si="140">IF($J$2=$F$1,F4483,G4483)</f>
        <v>57.67</v>
      </c>
      <c r="F4483" s="680">
        <v>57.67</v>
      </c>
      <c r="G4483" s="680">
        <v>57.67</v>
      </c>
      <c r="H4483" t="b">
        <f t="shared" ref="H4483:H4546" si="141">F4483=G4483</f>
        <v>1</v>
      </c>
    </row>
    <row r="4484" spans="1:8">
      <c r="A4484" s="396">
        <v>7698</v>
      </c>
      <c r="B4484" s="401" t="s">
        <v>13213</v>
      </c>
      <c r="C4484" s="396" t="s">
        <v>2024</v>
      </c>
      <c r="D4484" s="405">
        <f t="shared" si="140"/>
        <v>49.64</v>
      </c>
      <c r="F4484" s="679">
        <v>49.64</v>
      </c>
      <c r="G4484" s="679">
        <v>49.64</v>
      </c>
      <c r="H4484" t="b">
        <f t="shared" si="141"/>
        <v>1</v>
      </c>
    </row>
    <row r="4485" spans="1:8">
      <c r="A4485" s="395">
        <v>7691</v>
      </c>
      <c r="B4485" s="406" t="s">
        <v>13214</v>
      </c>
      <c r="C4485" s="395" t="s">
        <v>2024</v>
      </c>
      <c r="D4485" s="407">
        <f t="shared" si="140"/>
        <v>20.97</v>
      </c>
      <c r="F4485" s="680">
        <v>20.97</v>
      </c>
      <c r="G4485" s="680">
        <v>20.97</v>
      </c>
      <c r="H4485" t="b">
        <f t="shared" si="141"/>
        <v>1</v>
      </c>
    </row>
    <row r="4486" spans="1:8">
      <c r="A4486" s="396">
        <v>40626</v>
      </c>
      <c r="B4486" s="401" t="s">
        <v>13215</v>
      </c>
      <c r="C4486" s="396" t="s">
        <v>2024</v>
      </c>
      <c r="D4486" s="405">
        <f t="shared" si="140"/>
        <v>39.36</v>
      </c>
      <c r="F4486" s="679">
        <v>39.36</v>
      </c>
      <c r="G4486" s="679">
        <v>39.36</v>
      </c>
      <c r="H4486" t="b">
        <f t="shared" si="141"/>
        <v>1</v>
      </c>
    </row>
    <row r="4487" spans="1:8">
      <c r="A4487" s="395">
        <v>7701</v>
      </c>
      <c r="B4487" s="406" t="s">
        <v>13216</v>
      </c>
      <c r="C4487" s="395" t="s">
        <v>2024</v>
      </c>
      <c r="D4487" s="407">
        <f t="shared" si="140"/>
        <v>103.2</v>
      </c>
      <c r="F4487" s="680">
        <v>103.2</v>
      </c>
      <c r="G4487" s="680">
        <v>103.2</v>
      </c>
      <c r="H4487" t="b">
        <f t="shared" si="141"/>
        <v>1</v>
      </c>
    </row>
    <row r="4488" spans="1:8">
      <c r="A4488" s="396">
        <v>7696</v>
      </c>
      <c r="B4488" s="401" t="s">
        <v>13217</v>
      </c>
      <c r="C4488" s="396" t="s">
        <v>2024</v>
      </c>
      <c r="D4488" s="405">
        <f t="shared" si="140"/>
        <v>83.16</v>
      </c>
      <c r="F4488" s="679">
        <v>83.16</v>
      </c>
      <c r="G4488" s="679">
        <v>83.16</v>
      </c>
      <c r="H4488" t="b">
        <f t="shared" si="141"/>
        <v>1</v>
      </c>
    </row>
    <row r="4489" spans="1:8">
      <c r="A4489" s="395">
        <v>7700</v>
      </c>
      <c r="B4489" s="406" t="s">
        <v>13218</v>
      </c>
      <c r="C4489" s="395" t="s">
        <v>2024</v>
      </c>
      <c r="D4489" s="407">
        <f t="shared" si="140"/>
        <v>26.53</v>
      </c>
      <c r="F4489" s="680">
        <v>26.53</v>
      </c>
      <c r="G4489" s="680">
        <v>26.53</v>
      </c>
      <c r="H4489" t="b">
        <f t="shared" si="141"/>
        <v>1</v>
      </c>
    </row>
    <row r="4490" spans="1:8">
      <c r="A4490" s="396">
        <v>7694</v>
      </c>
      <c r="B4490" s="401" t="s">
        <v>13219</v>
      </c>
      <c r="C4490" s="396" t="s">
        <v>2024</v>
      </c>
      <c r="D4490" s="405">
        <f t="shared" si="140"/>
        <v>138.88</v>
      </c>
      <c r="F4490" s="679">
        <v>138.88</v>
      </c>
      <c r="G4490" s="679">
        <v>138.88</v>
      </c>
      <c r="H4490" t="b">
        <f t="shared" si="141"/>
        <v>1</v>
      </c>
    </row>
    <row r="4491" spans="1:8">
      <c r="A4491" s="395">
        <v>7693</v>
      </c>
      <c r="B4491" s="406" t="s">
        <v>13220</v>
      </c>
      <c r="C4491" s="395" t="s">
        <v>2024</v>
      </c>
      <c r="D4491" s="407">
        <f t="shared" si="140"/>
        <v>191.26</v>
      </c>
      <c r="F4491" s="680">
        <v>191.26</v>
      </c>
      <c r="G4491" s="680">
        <v>191.26</v>
      </c>
      <c r="H4491" t="b">
        <f t="shared" si="141"/>
        <v>1</v>
      </c>
    </row>
    <row r="4492" spans="1:8">
      <c r="A4492" s="396">
        <v>7692</v>
      </c>
      <c r="B4492" s="401" t="s">
        <v>13221</v>
      </c>
      <c r="C4492" s="396" t="s">
        <v>2024</v>
      </c>
      <c r="D4492" s="405">
        <f t="shared" si="140"/>
        <v>286.36</v>
      </c>
      <c r="F4492" s="679">
        <v>286.36</v>
      </c>
      <c r="G4492" s="679">
        <v>286.36</v>
      </c>
      <c r="H4492" t="b">
        <f t="shared" si="141"/>
        <v>1</v>
      </c>
    </row>
    <row r="4493" spans="1:8">
      <c r="A4493" s="395">
        <v>7695</v>
      </c>
      <c r="B4493" s="406" t="s">
        <v>13222</v>
      </c>
      <c r="C4493" s="395" t="s">
        <v>2024</v>
      </c>
      <c r="D4493" s="407">
        <f t="shared" si="140"/>
        <v>310.56</v>
      </c>
      <c r="F4493" s="680">
        <v>310.56</v>
      </c>
      <c r="G4493" s="680">
        <v>310.56</v>
      </c>
      <c r="H4493" t="b">
        <f t="shared" si="141"/>
        <v>1</v>
      </c>
    </row>
    <row r="4494" spans="1:8">
      <c r="A4494" s="396">
        <v>13356</v>
      </c>
      <c r="B4494" s="401" t="s">
        <v>13223</v>
      </c>
      <c r="C4494" s="396" t="s">
        <v>2024</v>
      </c>
      <c r="D4494" s="405">
        <f t="shared" si="140"/>
        <v>22.52</v>
      </c>
      <c r="F4494" s="679">
        <v>22.52</v>
      </c>
      <c r="G4494" s="679">
        <v>22.52</v>
      </c>
      <c r="H4494" t="b">
        <f t="shared" si="141"/>
        <v>1</v>
      </c>
    </row>
    <row r="4495" spans="1:8">
      <c r="A4495" s="395">
        <v>36365</v>
      </c>
      <c r="B4495" s="406" t="s">
        <v>13224</v>
      </c>
      <c r="C4495" s="395" t="s">
        <v>2024</v>
      </c>
      <c r="D4495" s="407">
        <f t="shared" si="140"/>
        <v>49.34</v>
      </c>
      <c r="F4495" s="680">
        <v>49.34</v>
      </c>
      <c r="G4495" s="680">
        <v>49.34</v>
      </c>
      <c r="H4495" t="b">
        <f t="shared" si="141"/>
        <v>1</v>
      </c>
    </row>
    <row r="4496" spans="1:8">
      <c r="A4496" s="396">
        <v>41930</v>
      </c>
      <c r="B4496" s="401" t="s">
        <v>13225</v>
      </c>
      <c r="C4496" s="396" t="s">
        <v>2024</v>
      </c>
      <c r="D4496" s="405">
        <f t="shared" si="140"/>
        <v>164.33</v>
      </c>
      <c r="F4496" s="679">
        <v>164.33</v>
      </c>
      <c r="G4496" s="679">
        <v>164.33</v>
      </c>
      <c r="H4496" t="b">
        <f t="shared" si="141"/>
        <v>1</v>
      </c>
    </row>
    <row r="4497" spans="1:8">
      <c r="A4497" s="395">
        <v>41931</v>
      </c>
      <c r="B4497" s="406" t="s">
        <v>13226</v>
      </c>
      <c r="C4497" s="395" t="s">
        <v>2024</v>
      </c>
      <c r="D4497" s="407">
        <f t="shared" si="140"/>
        <v>257.38</v>
      </c>
      <c r="F4497" s="680">
        <v>257.38</v>
      </c>
      <c r="G4497" s="680">
        <v>257.38</v>
      </c>
      <c r="H4497" t="b">
        <f t="shared" si="141"/>
        <v>1</v>
      </c>
    </row>
    <row r="4498" spans="1:8">
      <c r="A4498" s="396">
        <v>41932</v>
      </c>
      <c r="B4498" s="401" t="s">
        <v>13227</v>
      </c>
      <c r="C4498" s="396" t="s">
        <v>2024</v>
      </c>
      <c r="D4498" s="405">
        <f t="shared" si="140"/>
        <v>396.16</v>
      </c>
      <c r="F4498" s="679">
        <v>396.16</v>
      </c>
      <c r="G4498" s="679">
        <v>396.16</v>
      </c>
      <c r="H4498" t="b">
        <f t="shared" si="141"/>
        <v>1</v>
      </c>
    </row>
    <row r="4499" spans="1:8">
      <c r="A4499" s="395">
        <v>41933</v>
      </c>
      <c r="B4499" s="406" t="s">
        <v>13228</v>
      </c>
      <c r="C4499" s="395" t="s">
        <v>2024</v>
      </c>
      <c r="D4499" s="407">
        <f t="shared" si="140"/>
        <v>559.87</v>
      </c>
      <c r="F4499" s="680">
        <v>559.87</v>
      </c>
      <c r="G4499" s="680">
        <v>559.87</v>
      </c>
      <c r="H4499" t="b">
        <f t="shared" si="141"/>
        <v>1</v>
      </c>
    </row>
    <row r="4500" spans="1:8">
      <c r="A4500" s="396">
        <v>41934</v>
      </c>
      <c r="B4500" s="401" t="s">
        <v>13229</v>
      </c>
      <c r="C4500" s="396" t="s">
        <v>2024</v>
      </c>
      <c r="D4500" s="405">
        <f t="shared" si="140"/>
        <v>652.04</v>
      </c>
      <c r="F4500" s="679">
        <v>652.04</v>
      </c>
      <c r="G4500" s="679">
        <v>652.04</v>
      </c>
      <c r="H4500" t="b">
        <f t="shared" si="141"/>
        <v>1</v>
      </c>
    </row>
    <row r="4501" spans="1:8">
      <c r="A4501" s="395">
        <v>41936</v>
      </c>
      <c r="B4501" s="406" t="s">
        <v>13230</v>
      </c>
      <c r="C4501" s="395" t="s">
        <v>2024</v>
      </c>
      <c r="D4501" s="407">
        <f t="shared" si="140"/>
        <v>96.77</v>
      </c>
      <c r="F4501" s="680">
        <v>96.77</v>
      </c>
      <c r="G4501" s="680">
        <v>96.77</v>
      </c>
      <c r="H4501" t="b">
        <f t="shared" si="141"/>
        <v>1</v>
      </c>
    </row>
    <row r="4502" spans="1:8">
      <c r="A4502" s="396">
        <v>44812</v>
      </c>
      <c r="B4502" s="401" t="s">
        <v>13231</v>
      </c>
      <c r="C4502" s="396" t="s">
        <v>2024</v>
      </c>
      <c r="D4502" s="405">
        <f t="shared" si="140"/>
        <v>522.91999999999996</v>
      </c>
      <c r="F4502" s="679">
        <v>522.91999999999996</v>
      </c>
      <c r="G4502" s="679">
        <v>522.91999999999996</v>
      </c>
      <c r="H4502" t="b">
        <f t="shared" si="141"/>
        <v>1</v>
      </c>
    </row>
    <row r="4503" spans="1:8">
      <c r="A4503" s="395">
        <v>41785</v>
      </c>
      <c r="B4503" s="406" t="s">
        <v>13232</v>
      </c>
      <c r="C4503" s="395" t="s">
        <v>2024</v>
      </c>
      <c r="D4503" s="407">
        <f t="shared" si="140"/>
        <v>1937.91</v>
      </c>
      <c r="F4503" s="680">
        <v>1937.91</v>
      </c>
      <c r="G4503" s="680">
        <v>1937.91</v>
      </c>
      <c r="H4503" t="b">
        <f t="shared" si="141"/>
        <v>1</v>
      </c>
    </row>
    <row r="4504" spans="1:8">
      <c r="A4504" s="396">
        <v>41781</v>
      </c>
      <c r="B4504" s="401" t="s">
        <v>13233</v>
      </c>
      <c r="C4504" s="396" t="s">
        <v>2024</v>
      </c>
      <c r="D4504" s="405">
        <f t="shared" si="140"/>
        <v>349.92</v>
      </c>
      <c r="F4504" s="679">
        <v>349.92</v>
      </c>
      <c r="G4504" s="679">
        <v>349.92</v>
      </c>
      <c r="H4504" t="b">
        <f t="shared" si="141"/>
        <v>1</v>
      </c>
    </row>
    <row r="4505" spans="1:8">
      <c r="A4505" s="395">
        <v>41783</v>
      </c>
      <c r="B4505" s="406" t="s">
        <v>13234</v>
      </c>
      <c r="C4505" s="395" t="s">
        <v>2024</v>
      </c>
      <c r="D4505" s="407">
        <f t="shared" si="140"/>
        <v>1257.99</v>
      </c>
      <c r="F4505" s="680">
        <v>1257.99</v>
      </c>
      <c r="G4505" s="680">
        <v>1257.99</v>
      </c>
      <c r="H4505" t="b">
        <f t="shared" si="141"/>
        <v>1</v>
      </c>
    </row>
    <row r="4506" spans="1:8">
      <c r="A4506" s="396">
        <v>41786</v>
      </c>
      <c r="B4506" s="401" t="s">
        <v>13235</v>
      </c>
      <c r="C4506" s="396" t="s">
        <v>2024</v>
      </c>
      <c r="D4506" s="405">
        <f t="shared" si="140"/>
        <v>2678.31</v>
      </c>
      <c r="F4506" s="679">
        <v>2678.31</v>
      </c>
      <c r="G4506" s="679">
        <v>2678.31</v>
      </c>
      <c r="H4506" t="b">
        <f t="shared" si="141"/>
        <v>1</v>
      </c>
    </row>
    <row r="4507" spans="1:8">
      <c r="A4507" s="395">
        <v>41779</v>
      </c>
      <c r="B4507" s="406" t="s">
        <v>13236</v>
      </c>
      <c r="C4507" s="395" t="s">
        <v>2024</v>
      </c>
      <c r="D4507" s="407">
        <f t="shared" si="140"/>
        <v>137.81</v>
      </c>
      <c r="F4507" s="680">
        <v>137.81</v>
      </c>
      <c r="G4507" s="680">
        <v>137.81</v>
      </c>
      <c r="H4507" t="b">
        <f t="shared" si="141"/>
        <v>1</v>
      </c>
    </row>
    <row r="4508" spans="1:8">
      <c r="A4508" s="396">
        <v>41780</v>
      </c>
      <c r="B4508" s="401" t="s">
        <v>13237</v>
      </c>
      <c r="C4508" s="396" t="s">
        <v>2024</v>
      </c>
      <c r="D4508" s="405">
        <f t="shared" si="140"/>
        <v>215.91</v>
      </c>
      <c r="F4508" s="679">
        <v>215.91</v>
      </c>
      <c r="G4508" s="679">
        <v>215.91</v>
      </c>
      <c r="H4508" t="b">
        <f t="shared" si="141"/>
        <v>1</v>
      </c>
    </row>
    <row r="4509" spans="1:8">
      <c r="A4509" s="395">
        <v>41782</v>
      </c>
      <c r="B4509" s="406" t="s">
        <v>13238</v>
      </c>
      <c r="C4509" s="395" t="s">
        <v>2024</v>
      </c>
      <c r="D4509" s="407">
        <f t="shared" si="140"/>
        <v>773.42</v>
      </c>
      <c r="F4509" s="680">
        <v>773.42</v>
      </c>
      <c r="G4509" s="680">
        <v>773.42</v>
      </c>
      <c r="H4509" t="b">
        <f t="shared" si="141"/>
        <v>1</v>
      </c>
    </row>
    <row r="4510" spans="1:8">
      <c r="A4510" s="396">
        <v>38130</v>
      </c>
      <c r="B4510" s="401" t="s">
        <v>13239</v>
      </c>
      <c r="C4510" s="396" t="s">
        <v>2024</v>
      </c>
      <c r="D4510" s="405">
        <f t="shared" si="140"/>
        <v>40.6</v>
      </c>
      <c r="F4510" s="679">
        <v>40.6</v>
      </c>
      <c r="G4510" s="679">
        <v>40.6</v>
      </c>
      <c r="H4510" t="b">
        <f t="shared" si="141"/>
        <v>1</v>
      </c>
    </row>
    <row r="4511" spans="1:8">
      <c r="A4511" s="395">
        <v>44260</v>
      </c>
      <c r="B4511" s="406" t="s">
        <v>13240</v>
      </c>
      <c r="C4511" s="395" t="s">
        <v>2024</v>
      </c>
      <c r="D4511" s="407">
        <f t="shared" si="140"/>
        <v>384.32</v>
      </c>
      <c r="F4511" s="680">
        <v>384.32</v>
      </c>
      <c r="G4511" s="680">
        <v>384.32</v>
      </c>
      <c r="H4511" t="b">
        <f t="shared" si="141"/>
        <v>1</v>
      </c>
    </row>
    <row r="4512" spans="1:8">
      <c r="A4512" s="396">
        <v>21123</v>
      </c>
      <c r="B4512" s="401" t="s">
        <v>13241</v>
      </c>
      <c r="C4512" s="396" t="s">
        <v>2024</v>
      </c>
      <c r="D4512" s="405">
        <f t="shared" si="140"/>
        <v>11.3</v>
      </c>
      <c r="F4512" s="679">
        <v>11.3</v>
      </c>
      <c r="G4512" s="679">
        <v>11.3</v>
      </c>
      <c r="H4512" t="b">
        <f t="shared" si="141"/>
        <v>1</v>
      </c>
    </row>
    <row r="4513" spans="1:8">
      <c r="A4513" s="395">
        <v>21124</v>
      </c>
      <c r="B4513" s="406" t="s">
        <v>13242</v>
      </c>
      <c r="C4513" s="395" t="s">
        <v>2024</v>
      </c>
      <c r="D4513" s="407">
        <f t="shared" si="140"/>
        <v>18.05</v>
      </c>
      <c r="F4513" s="680">
        <v>18.05</v>
      </c>
      <c r="G4513" s="680">
        <v>18.05</v>
      </c>
      <c r="H4513" t="b">
        <f t="shared" si="141"/>
        <v>1</v>
      </c>
    </row>
    <row r="4514" spans="1:8">
      <c r="A4514" s="396">
        <v>21125</v>
      </c>
      <c r="B4514" s="401" t="s">
        <v>13243</v>
      </c>
      <c r="C4514" s="396" t="s">
        <v>2024</v>
      </c>
      <c r="D4514" s="405">
        <f t="shared" si="140"/>
        <v>31.09</v>
      </c>
      <c r="F4514" s="679">
        <v>31.09</v>
      </c>
      <c r="G4514" s="679">
        <v>31.09</v>
      </c>
      <c r="H4514" t="b">
        <f t="shared" si="141"/>
        <v>1</v>
      </c>
    </row>
    <row r="4515" spans="1:8">
      <c r="A4515" s="395">
        <v>38028</v>
      </c>
      <c r="B4515" s="406" t="s">
        <v>13244</v>
      </c>
      <c r="C4515" s="395" t="s">
        <v>2024</v>
      </c>
      <c r="D4515" s="407">
        <f t="shared" si="140"/>
        <v>54.36</v>
      </c>
      <c r="F4515" s="680">
        <v>54.36</v>
      </c>
      <c r="G4515" s="680">
        <v>54.36</v>
      </c>
      <c r="H4515" t="b">
        <f t="shared" si="141"/>
        <v>1</v>
      </c>
    </row>
    <row r="4516" spans="1:8">
      <c r="A4516" s="396">
        <v>38029</v>
      </c>
      <c r="B4516" s="401" t="s">
        <v>13245</v>
      </c>
      <c r="C4516" s="396" t="s">
        <v>2024</v>
      </c>
      <c r="D4516" s="405">
        <f t="shared" si="140"/>
        <v>79.56</v>
      </c>
      <c r="F4516" s="679">
        <v>79.56</v>
      </c>
      <c r="G4516" s="679">
        <v>79.56</v>
      </c>
      <c r="H4516" t="b">
        <f t="shared" si="141"/>
        <v>1</v>
      </c>
    </row>
    <row r="4517" spans="1:8">
      <c r="A4517" s="395">
        <v>38030</v>
      </c>
      <c r="B4517" s="406" t="s">
        <v>13246</v>
      </c>
      <c r="C4517" s="395" t="s">
        <v>2024</v>
      </c>
      <c r="D4517" s="407">
        <f t="shared" si="140"/>
        <v>128.66</v>
      </c>
      <c r="F4517" s="680">
        <v>128.66</v>
      </c>
      <c r="G4517" s="680">
        <v>128.66</v>
      </c>
      <c r="H4517" t="b">
        <f t="shared" si="141"/>
        <v>1</v>
      </c>
    </row>
    <row r="4518" spans="1:8">
      <c r="A4518" s="396">
        <v>38031</v>
      </c>
      <c r="B4518" s="401" t="s">
        <v>13247</v>
      </c>
      <c r="C4518" s="396" t="s">
        <v>2024</v>
      </c>
      <c r="D4518" s="405">
        <f t="shared" si="140"/>
        <v>201.94</v>
      </c>
      <c r="F4518" s="679">
        <v>201.94</v>
      </c>
      <c r="G4518" s="679">
        <v>201.94</v>
      </c>
      <c r="H4518" t="b">
        <f t="shared" si="141"/>
        <v>1</v>
      </c>
    </row>
    <row r="4519" spans="1:8" ht="30">
      <c r="A4519" s="395">
        <v>39735</v>
      </c>
      <c r="B4519" s="406" t="s">
        <v>13248</v>
      </c>
      <c r="C4519" s="395" t="s">
        <v>2024</v>
      </c>
      <c r="D4519" s="407">
        <f t="shared" si="140"/>
        <v>127.69</v>
      </c>
      <c r="F4519" s="680">
        <v>127.69</v>
      </c>
      <c r="G4519" s="680">
        <v>127.69</v>
      </c>
      <c r="H4519" t="b">
        <f t="shared" si="141"/>
        <v>1</v>
      </c>
    </row>
    <row r="4520" spans="1:8" ht="30">
      <c r="A4520" s="396">
        <v>39734</v>
      </c>
      <c r="B4520" s="401" t="s">
        <v>13249</v>
      </c>
      <c r="C4520" s="396" t="s">
        <v>2024</v>
      </c>
      <c r="D4520" s="405">
        <f t="shared" si="140"/>
        <v>151.46</v>
      </c>
      <c r="F4520" s="679">
        <v>151.46</v>
      </c>
      <c r="G4520" s="679">
        <v>151.46</v>
      </c>
      <c r="H4520" t="b">
        <f t="shared" si="141"/>
        <v>1</v>
      </c>
    </row>
    <row r="4521" spans="1:8" ht="30">
      <c r="A4521" s="395">
        <v>39736</v>
      </c>
      <c r="B4521" s="406" t="s">
        <v>13250</v>
      </c>
      <c r="C4521" s="395" t="s">
        <v>2024</v>
      </c>
      <c r="D4521" s="407">
        <f t="shared" si="140"/>
        <v>172.86</v>
      </c>
      <c r="F4521" s="680">
        <v>172.86</v>
      </c>
      <c r="G4521" s="680">
        <v>172.86</v>
      </c>
      <c r="H4521" t="b">
        <f t="shared" si="141"/>
        <v>1</v>
      </c>
    </row>
    <row r="4522" spans="1:8" ht="30">
      <c r="A4522" s="396">
        <v>39737</v>
      </c>
      <c r="B4522" s="401" t="s">
        <v>13251</v>
      </c>
      <c r="C4522" s="396" t="s">
        <v>2024</v>
      </c>
      <c r="D4522" s="405">
        <f t="shared" si="140"/>
        <v>23.25</v>
      </c>
      <c r="F4522" s="679">
        <v>23.25</v>
      </c>
      <c r="G4522" s="679">
        <v>23.25</v>
      </c>
      <c r="H4522" t="b">
        <f t="shared" si="141"/>
        <v>1</v>
      </c>
    </row>
    <row r="4523" spans="1:8" ht="30">
      <c r="A4523" s="395">
        <v>39738</v>
      </c>
      <c r="B4523" s="406" t="s">
        <v>13252</v>
      </c>
      <c r="C4523" s="395" t="s">
        <v>2024</v>
      </c>
      <c r="D4523" s="407">
        <f t="shared" si="140"/>
        <v>8.41</v>
      </c>
      <c r="F4523" s="680">
        <v>8.41</v>
      </c>
      <c r="G4523" s="680">
        <v>8.41</v>
      </c>
      <c r="H4523" t="b">
        <f t="shared" si="141"/>
        <v>1</v>
      </c>
    </row>
    <row r="4524" spans="1:8" ht="30">
      <c r="A4524" s="396">
        <v>39739</v>
      </c>
      <c r="B4524" s="401" t="s">
        <v>13253</v>
      </c>
      <c r="C4524" s="396" t="s">
        <v>2024</v>
      </c>
      <c r="D4524" s="405">
        <f t="shared" si="140"/>
        <v>119.54</v>
      </c>
      <c r="F4524" s="679">
        <v>119.54</v>
      </c>
      <c r="G4524" s="679">
        <v>119.54</v>
      </c>
      <c r="H4524" t="b">
        <f t="shared" si="141"/>
        <v>1</v>
      </c>
    </row>
    <row r="4525" spans="1:8" ht="30">
      <c r="A4525" s="395">
        <v>39733</v>
      </c>
      <c r="B4525" s="406" t="s">
        <v>13254</v>
      </c>
      <c r="C4525" s="395" t="s">
        <v>2024</v>
      </c>
      <c r="D4525" s="407">
        <f t="shared" si="140"/>
        <v>206.86</v>
      </c>
      <c r="F4525" s="680">
        <v>206.86</v>
      </c>
      <c r="G4525" s="680">
        <v>206.86</v>
      </c>
      <c r="H4525" t="b">
        <f t="shared" si="141"/>
        <v>1</v>
      </c>
    </row>
    <row r="4526" spans="1:8" ht="30">
      <c r="A4526" s="396">
        <v>39854</v>
      </c>
      <c r="B4526" s="401" t="s">
        <v>13255</v>
      </c>
      <c r="C4526" s="396" t="s">
        <v>2024</v>
      </c>
      <c r="D4526" s="405">
        <f t="shared" si="140"/>
        <v>209.79</v>
      </c>
      <c r="F4526" s="679">
        <v>209.79</v>
      </c>
      <c r="G4526" s="679">
        <v>209.79</v>
      </c>
      <c r="H4526" t="b">
        <f t="shared" si="141"/>
        <v>1</v>
      </c>
    </row>
    <row r="4527" spans="1:8" ht="30">
      <c r="A4527" s="395">
        <v>39740</v>
      </c>
      <c r="B4527" s="406" t="s">
        <v>13256</v>
      </c>
      <c r="C4527" s="395" t="s">
        <v>2024</v>
      </c>
      <c r="D4527" s="407">
        <f t="shared" si="140"/>
        <v>114.79</v>
      </c>
      <c r="F4527" s="680">
        <v>114.79</v>
      </c>
      <c r="G4527" s="680">
        <v>114.79</v>
      </c>
      <c r="H4527" t="b">
        <f t="shared" si="141"/>
        <v>1</v>
      </c>
    </row>
    <row r="4528" spans="1:8" ht="30">
      <c r="A4528" s="396">
        <v>39741</v>
      </c>
      <c r="B4528" s="401" t="s">
        <v>13257</v>
      </c>
      <c r="C4528" s="396" t="s">
        <v>2024</v>
      </c>
      <c r="D4528" s="405">
        <f t="shared" si="140"/>
        <v>21.15</v>
      </c>
      <c r="F4528" s="679">
        <v>21.15</v>
      </c>
      <c r="G4528" s="679">
        <v>21.15</v>
      </c>
      <c r="H4528" t="b">
        <f t="shared" si="141"/>
        <v>1</v>
      </c>
    </row>
    <row r="4529" spans="1:8" ht="30">
      <c r="A4529" s="395">
        <v>39853</v>
      </c>
      <c r="B4529" s="406" t="s">
        <v>13258</v>
      </c>
      <c r="C4529" s="395" t="s">
        <v>2024</v>
      </c>
      <c r="D4529" s="407">
        <f t="shared" si="140"/>
        <v>27.78</v>
      </c>
      <c r="F4529" s="680">
        <v>27.78</v>
      </c>
      <c r="G4529" s="680">
        <v>27.78</v>
      </c>
      <c r="H4529" t="b">
        <f t="shared" si="141"/>
        <v>1</v>
      </c>
    </row>
    <row r="4530" spans="1:8" ht="30">
      <c r="A4530" s="396">
        <v>39742</v>
      </c>
      <c r="B4530" s="401" t="s">
        <v>13259</v>
      </c>
      <c r="C4530" s="396" t="s">
        <v>2024</v>
      </c>
      <c r="D4530" s="405">
        <f t="shared" si="140"/>
        <v>92.26</v>
      </c>
      <c r="F4530" s="679">
        <v>92.26</v>
      </c>
      <c r="G4530" s="679">
        <v>92.26</v>
      </c>
      <c r="H4530" t="b">
        <f t="shared" si="141"/>
        <v>1</v>
      </c>
    </row>
    <row r="4531" spans="1:8">
      <c r="A4531" s="395">
        <v>39749</v>
      </c>
      <c r="B4531" s="406" t="s">
        <v>13260</v>
      </c>
      <c r="C4531" s="395" t="s">
        <v>2024</v>
      </c>
      <c r="D4531" s="407">
        <f t="shared" si="140"/>
        <v>94.27</v>
      </c>
      <c r="F4531" s="680">
        <v>94.27</v>
      </c>
      <c r="G4531" s="680">
        <v>94.27</v>
      </c>
      <c r="H4531" t="b">
        <f t="shared" si="141"/>
        <v>1</v>
      </c>
    </row>
    <row r="4532" spans="1:8">
      <c r="A4532" s="396">
        <v>39751</v>
      </c>
      <c r="B4532" s="401" t="s">
        <v>13261</v>
      </c>
      <c r="C4532" s="396" t="s">
        <v>2024</v>
      </c>
      <c r="D4532" s="405">
        <f t="shared" si="140"/>
        <v>171.3</v>
      </c>
      <c r="F4532" s="679">
        <v>171.3</v>
      </c>
      <c r="G4532" s="679">
        <v>171.3</v>
      </c>
      <c r="H4532" t="b">
        <f t="shared" si="141"/>
        <v>1</v>
      </c>
    </row>
    <row r="4533" spans="1:8">
      <c r="A4533" s="395">
        <v>39750</v>
      </c>
      <c r="B4533" s="406" t="s">
        <v>13262</v>
      </c>
      <c r="C4533" s="395" t="s">
        <v>2024</v>
      </c>
      <c r="D4533" s="407">
        <f t="shared" si="140"/>
        <v>142.38</v>
      </c>
      <c r="F4533" s="680">
        <v>142.38</v>
      </c>
      <c r="G4533" s="680">
        <v>142.38</v>
      </c>
      <c r="H4533" t="b">
        <f t="shared" si="141"/>
        <v>1</v>
      </c>
    </row>
    <row r="4534" spans="1:8">
      <c r="A4534" s="396">
        <v>39747</v>
      </c>
      <c r="B4534" s="401" t="s">
        <v>13263</v>
      </c>
      <c r="C4534" s="396" t="s">
        <v>2024</v>
      </c>
      <c r="D4534" s="405">
        <f t="shared" si="140"/>
        <v>45.8</v>
      </c>
      <c r="F4534" s="679">
        <v>45.8</v>
      </c>
      <c r="G4534" s="679">
        <v>45.8</v>
      </c>
      <c r="H4534" t="b">
        <f t="shared" si="141"/>
        <v>1</v>
      </c>
    </row>
    <row r="4535" spans="1:8">
      <c r="A4535" s="395">
        <v>39753</v>
      </c>
      <c r="B4535" s="406" t="s">
        <v>13264</v>
      </c>
      <c r="C4535" s="395" t="s">
        <v>2024</v>
      </c>
      <c r="D4535" s="407">
        <f t="shared" si="140"/>
        <v>315.32</v>
      </c>
      <c r="F4535" s="680">
        <v>315.32</v>
      </c>
      <c r="G4535" s="680">
        <v>315.32</v>
      </c>
      <c r="H4535" t="b">
        <f t="shared" si="141"/>
        <v>1</v>
      </c>
    </row>
    <row r="4536" spans="1:8">
      <c r="A4536" s="396">
        <v>39754</v>
      </c>
      <c r="B4536" s="401" t="s">
        <v>13265</v>
      </c>
      <c r="C4536" s="396" t="s">
        <v>2024</v>
      </c>
      <c r="D4536" s="405">
        <f t="shared" si="140"/>
        <v>464.55</v>
      </c>
      <c r="F4536" s="679">
        <v>464.55</v>
      </c>
      <c r="G4536" s="679">
        <v>464.55</v>
      </c>
      <c r="H4536" t="b">
        <f t="shared" si="141"/>
        <v>1</v>
      </c>
    </row>
    <row r="4537" spans="1:8">
      <c r="A4537" s="395">
        <v>39748</v>
      </c>
      <c r="B4537" s="406" t="s">
        <v>13266</v>
      </c>
      <c r="C4537" s="395" t="s">
        <v>2024</v>
      </c>
      <c r="D4537" s="407">
        <f t="shared" si="140"/>
        <v>74.099999999999994</v>
      </c>
      <c r="F4537" s="680">
        <v>74.099999999999994</v>
      </c>
      <c r="G4537" s="680">
        <v>74.099999999999994</v>
      </c>
      <c r="H4537" t="b">
        <f t="shared" si="141"/>
        <v>1</v>
      </c>
    </row>
    <row r="4538" spans="1:8">
      <c r="A4538" s="396">
        <v>39755</v>
      </c>
      <c r="B4538" s="401" t="s">
        <v>13267</v>
      </c>
      <c r="C4538" s="396" t="s">
        <v>2024</v>
      </c>
      <c r="D4538" s="405">
        <f t="shared" si="140"/>
        <v>704.36</v>
      </c>
      <c r="F4538" s="679">
        <v>704.36</v>
      </c>
      <c r="G4538" s="679">
        <v>704.36</v>
      </c>
      <c r="H4538" t="b">
        <f t="shared" si="141"/>
        <v>1</v>
      </c>
    </row>
    <row r="4539" spans="1:8">
      <c r="A4539" s="395">
        <v>12742</v>
      </c>
      <c r="B4539" s="406" t="s">
        <v>13268</v>
      </c>
      <c r="C4539" s="395" t="s">
        <v>2024</v>
      </c>
      <c r="D4539" s="407">
        <f t="shared" si="140"/>
        <v>557.73</v>
      </c>
      <c r="F4539" s="680">
        <v>557.73</v>
      </c>
      <c r="G4539" s="680">
        <v>557.73</v>
      </c>
      <c r="H4539" t="b">
        <f t="shared" si="141"/>
        <v>1</v>
      </c>
    </row>
    <row r="4540" spans="1:8">
      <c r="A4540" s="396">
        <v>12713</v>
      </c>
      <c r="B4540" s="401" t="s">
        <v>13269</v>
      </c>
      <c r="C4540" s="396" t="s">
        <v>2024</v>
      </c>
      <c r="D4540" s="405">
        <f t="shared" si="140"/>
        <v>29.58</v>
      </c>
      <c r="F4540" s="679">
        <v>29.58</v>
      </c>
      <c r="G4540" s="679">
        <v>29.58</v>
      </c>
      <c r="H4540" t="b">
        <f t="shared" si="141"/>
        <v>1</v>
      </c>
    </row>
    <row r="4541" spans="1:8">
      <c r="A4541" s="395">
        <v>12743</v>
      </c>
      <c r="B4541" s="406" t="s">
        <v>13270</v>
      </c>
      <c r="C4541" s="395" t="s">
        <v>2024</v>
      </c>
      <c r="D4541" s="407">
        <f t="shared" si="140"/>
        <v>50.88</v>
      </c>
      <c r="F4541" s="680">
        <v>50.88</v>
      </c>
      <c r="G4541" s="680">
        <v>50.88</v>
      </c>
      <c r="H4541" t="b">
        <f t="shared" si="141"/>
        <v>1</v>
      </c>
    </row>
    <row r="4542" spans="1:8">
      <c r="A4542" s="396">
        <v>12744</v>
      </c>
      <c r="B4542" s="401" t="s">
        <v>13271</v>
      </c>
      <c r="C4542" s="396" t="s">
        <v>2024</v>
      </c>
      <c r="D4542" s="405">
        <f t="shared" si="140"/>
        <v>64.58</v>
      </c>
      <c r="F4542" s="679">
        <v>64.58</v>
      </c>
      <c r="G4542" s="679">
        <v>64.58</v>
      </c>
      <c r="H4542" t="b">
        <f t="shared" si="141"/>
        <v>1</v>
      </c>
    </row>
    <row r="4543" spans="1:8">
      <c r="A4543" s="395">
        <v>12745</v>
      </c>
      <c r="B4543" s="406" t="s">
        <v>13272</v>
      </c>
      <c r="C4543" s="395" t="s">
        <v>2024</v>
      </c>
      <c r="D4543" s="407">
        <f t="shared" si="140"/>
        <v>93.78</v>
      </c>
      <c r="F4543" s="680">
        <v>93.78</v>
      </c>
      <c r="G4543" s="680">
        <v>93.78</v>
      </c>
      <c r="H4543" t="b">
        <f t="shared" si="141"/>
        <v>1</v>
      </c>
    </row>
    <row r="4544" spans="1:8">
      <c r="A4544" s="396">
        <v>12746</v>
      </c>
      <c r="B4544" s="401" t="s">
        <v>13273</v>
      </c>
      <c r="C4544" s="396" t="s">
        <v>2024</v>
      </c>
      <c r="D4544" s="405">
        <f t="shared" si="140"/>
        <v>126.64</v>
      </c>
      <c r="F4544" s="679">
        <v>126.64</v>
      </c>
      <c r="G4544" s="679">
        <v>126.64</v>
      </c>
      <c r="H4544" t="b">
        <f t="shared" si="141"/>
        <v>1</v>
      </c>
    </row>
    <row r="4545" spans="1:8">
      <c r="A4545" s="395">
        <v>12747</v>
      </c>
      <c r="B4545" s="406" t="s">
        <v>13274</v>
      </c>
      <c r="C4545" s="395" t="s">
        <v>2024</v>
      </c>
      <c r="D4545" s="407">
        <f t="shared" si="140"/>
        <v>183.66</v>
      </c>
      <c r="F4545" s="680">
        <v>183.66</v>
      </c>
      <c r="G4545" s="680">
        <v>183.66</v>
      </c>
      <c r="H4545" t="b">
        <f t="shared" si="141"/>
        <v>1</v>
      </c>
    </row>
    <row r="4546" spans="1:8">
      <c r="A4546" s="396">
        <v>12748</v>
      </c>
      <c r="B4546" s="401" t="s">
        <v>13275</v>
      </c>
      <c r="C4546" s="396" t="s">
        <v>2024</v>
      </c>
      <c r="D4546" s="405">
        <f t="shared" si="140"/>
        <v>258.74</v>
      </c>
      <c r="F4546" s="679">
        <v>258.74</v>
      </c>
      <c r="G4546" s="679">
        <v>258.74</v>
      </c>
      <c r="H4546" t="b">
        <f t="shared" si="141"/>
        <v>1</v>
      </c>
    </row>
    <row r="4547" spans="1:8">
      <c r="A4547" s="395">
        <v>12749</v>
      </c>
      <c r="B4547" s="406" t="s">
        <v>13276</v>
      </c>
      <c r="C4547" s="395" t="s">
        <v>2024</v>
      </c>
      <c r="D4547" s="407">
        <f t="shared" ref="D4547:D4610" si="142">IF($J$2=$F$1,F4547,G4547)</f>
        <v>378.24</v>
      </c>
      <c r="F4547" s="680">
        <v>378.24</v>
      </c>
      <c r="G4547" s="680">
        <v>378.24</v>
      </c>
      <c r="H4547" t="b">
        <f t="shared" ref="H4547:H4610" si="143">F4547=G4547</f>
        <v>1</v>
      </c>
    </row>
    <row r="4548" spans="1:8">
      <c r="A4548" s="396">
        <v>39726</v>
      </c>
      <c r="B4548" s="401" t="s">
        <v>13277</v>
      </c>
      <c r="C4548" s="396" t="s">
        <v>2024</v>
      </c>
      <c r="D4548" s="405">
        <f t="shared" si="142"/>
        <v>124.23</v>
      </c>
      <c r="F4548" s="679">
        <v>124.23</v>
      </c>
      <c r="G4548" s="679">
        <v>124.23</v>
      </c>
      <c r="H4548" t="b">
        <f t="shared" si="143"/>
        <v>1</v>
      </c>
    </row>
    <row r="4549" spans="1:8">
      <c r="A4549" s="395">
        <v>39728</v>
      </c>
      <c r="B4549" s="406" t="s">
        <v>13278</v>
      </c>
      <c r="C4549" s="395" t="s">
        <v>2024</v>
      </c>
      <c r="D4549" s="407">
        <f t="shared" si="142"/>
        <v>218.34</v>
      </c>
      <c r="F4549" s="680">
        <v>218.34</v>
      </c>
      <c r="G4549" s="680">
        <v>218.34</v>
      </c>
      <c r="H4549" t="b">
        <f t="shared" si="143"/>
        <v>1</v>
      </c>
    </row>
    <row r="4550" spans="1:8">
      <c r="A4550" s="396">
        <v>39727</v>
      </c>
      <c r="B4550" s="401" t="s">
        <v>13279</v>
      </c>
      <c r="C4550" s="396" t="s">
        <v>2024</v>
      </c>
      <c r="D4550" s="405">
        <f t="shared" si="142"/>
        <v>179.68</v>
      </c>
      <c r="F4550" s="679">
        <v>179.68</v>
      </c>
      <c r="G4550" s="679">
        <v>179.68</v>
      </c>
      <c r="H4550" t="b">
        <f t="shared" si="143"/>
        <v>1</v>
      </c>
    </row>
    <row r="4551" spans="1:8">
      <c r="A4551" s="395">
        <v>39724</v>
      </c>
      <c r="B4551" s="406" t="s">
        <v>13280</v>
      </c>
      <c r="C4551" s="395" t="s">
        <v>2024</v>
      </c>
      <c r="D4551" s="407">
        <f t="shared" si="142"/>
        <v>55.01</v>
      </c>
      <c r="F4551" s="680">
        <v>55.01</v>
      </c>
      <c r="G4551" s="680">
        <v>55.01</v>
      </c>
      <c r="H4551" t="b">
        <f t="shared" si="143"/>
        <v>1</v>
      </c>
    </row>
    <row r="4552" spans="1:8">
      <c r="A4552" s="396">
        <v>39729</v>
      </c>
      <c r="B4552" s="401" t="s">
        <v>13281</v>
      </c>
      <c r="C4552" s="396" t="s">
        <v>2024</v>
      </c>
      <c r="D4552" s="405">
        <f t="shared" si="142"/>
        <v>302.37</v>
      </c>
      <c r="F4552" s="679">
        <v>302.37</v>
      </c>
      <c r="G4552" s="679">
        <v>302.37</v>
      </c>
      <c r="H4552" t="b">
        <f t="shared" si="143"/>
        <v>1</v>
      </c>
    </row>
    <row r="4553" spans="1:8">
      <c r="A4553" s="395">
        <v>39730</v>
      </c>
      <c r="B4553" s="406" t="s">
        <v>13282</v>
      </c>
      <c r="C4553" s="395" t="s">
        <v>2024</v>
      </c>
      <c r="D4553" s="407">
        <f t="shared" si="142"/>
        <v>392.31</v>
      </c>
      <c r="F4553" s="680">
        <v>392.31</v>
      </c>
      <c r="G4553" s="680">
        <v>392.31</v>
      </c>
      <c r="H4553" t="b">
        <f t="shared" si="143"/>
        <v>1</v>
      </c>
    </row>
    <row r="4554" spans="1:8">
      <c r="A4554" s="396">
        <v>39731</v>
      </c>
      <c r="B4554" s="401" t="s">
        <v>13283</v>
      </c>
      <c r="C4554" s="396" t="s">
        <v>2024</v>
      </c>
      <c r="D4554" s="405">
        <f t="shared" si="142"/>
        <v>581.04</v>
      </c>
      <c r="F4554" s="679">
        <v>581.04</v>
      </c>
      <c r="G4554" s="679">
        <v>581.04</v>
      </c>
      <c r="H4554" t="b">
        <f t="shared" si="143"/>
        <v>1</v>
      </c>
    </row>
    <row r="4555" spans="1:8">
      <c r="A4555" s="395">
        <v>39725</v>
      </c>
      <c r="B4555" s="406" t="s">
        <v>13284</v>
      </c>
      <c r="C4555" s="395" t="s">
        <v>2024</v>
      </c>
      <c r="D4555" s="407">
        <f t="shared" si="142"/>
        <v>89.67</v>
      </c>
      <c r="F4555" s="680">
        <v>89.67</v>
      </c>
      <c r="G4555" s="680">
        <v>89.67</v>
      </c>
      <c r="H4555" t="b">
        <f t="shared" si="143"/>
        <v>1</v>
      </c>
    </row>
    <row r="4556" spans="1:8">
      <c r="A4556" s="396">
        <v>39732</v>
      </c>
      <c r="B4556" s="401" t="s">
        <v>13285</v>
      </c>
      <c r="C4556" s="396" t="s">
        <v>2024</v>
      </c>
      <c r="D4556" s="405">
        <f t="shared" si="142"/>
        <v>855.26</v>
      </c>
      <c r="F4556" s="679">
        <v>855.26</v>
      </c>
      <c r="G4556" s="679">
        <v>855.26</v>
      </c>
      <c r="H4556" t="b">
        <f t="shared" si="143"/>
        <v>1</v>
      </c>
    </row>
    <row r="4557" spans="1:8">
      <c r="A4557" s="395">
        <v>39660</v>
      </c>
      <c r="B4557" s="406" t="s">
        <v>13286</v>
      </c>
      <c r="C4557" s="395" t="s">
        <v>2024</v>
      </c>
      <c r="D4557" s="407">
        <f t="shared" si="142"/>
        <v>38.97</v>
      </c>
      <c r="F4557" s="680">
        <v>38.97</v>
      </c>
      <c r="G4557" s="680">
        <v>38.97</v>
      </c>
      <c r="H4557" t="b">
        <f t="shared" si="143"/>
        <v>1</v>
      </c>
    </row>
    <row r="4558" spans="1:8">
      <c r="A4558" s="396">
        <v>39662</v>
      </c>
      <c r="B4558" s="401" t="s">
        <v>13287</v>
      </c>
      <c r="C4558" s="396" t="s">
        <v>2024</v>
      </c>
      <c r="D4558" s="405">
        <f t="shared" si="142"/>
        <v>18.68</v>
      </c>
      <c r="F4558" s="679">
        <v>18.68</v>
      </c>
      <c r="G4558" s="679">
        <v>18.68</v>
      </c>
      <c r="H4558" t="b">
        <f t="shared" si="143"/>
        <v>1</v>
      </c>
    </row>
    <row r="4559" spans="1:8">
      <c r="A4559" s="395">
        <v>39661</v>
      </c>
      <c r="B4559" s="406" t="s">
        <v>13288</v>
      </c>
      <c r="C4559" s="395" t="s">
        <v>2024</v>
      </c>
      <c r="D4559" s="407">
        <f t="shared" si="142"/>
        <v>12.74</v>
      </c>
      <c r="F4559" s="680">
        <v>12.74</v>
      </c>
      <c r="G4559" s="680">
        <v>12.74</v>
      </c>
      <c r="H4559" t="b">
        <f t="shared" si="143"/>
        <v>1</v>
      </c>
    </row>
    <row r="4560" spans="1:8">
      <c r="A4560" s="396">
        <v>39666</v>
      </c>
      <c r="B4560" s="401" t="s">
        <v>13289</v>
      </c>
      <c r="C4560" s="396" t="s">
        <v>2024</v>
      </c>
      <c r="D4560" s="405">
        <f t="shared" si="142"/>
        <v>58.63</v>
      </c>
      <c r="F4560" s="679">
        <v>58.63</v>
      </c>
      <c r="G4560" s="679">
        <v>58.63</v>
      </c>
      <c r="H4560" t="b">
        <f t="shared" si="143"/>
        <v>1</v>
      </c>
    </row>
    <row r="4561" spans="1:8">
      <c r="A4561" s="395">
        <v>39664</v>
      </c>
      <c r="B4561" s="406" t="s">
        <v>13290</v>
      </c>
      <c r="C4561" s="395" t="s">
        <v>2024</v>
      </c>
      <c r="D4561" s="407">
        <f t="shared" si="142"/>
        <v>28.73</v>
      </c>
      <c r="F4561" s="680">
        <v>28.73</v>
      </c>
      <c r="G4561" s="680">
        <v>28.73</v>
      </c>
      <c r="H4561" t="b">
        <f t="shared" si="143"/>
        <v>1</v>
      </c>
    </row>
    <row r="4562" spans="1:8">
      <c r="A4562" s="396">
        <v>39663</v>
      </c>
      <c r="B4562" s="401" t="s">
        <v>13291</v>
      </c>
      <c r="C4562" s="396" t="s">
        <v>2024</v>
      </c>
      <c r="D4562" s="405">
        <f t="shared" si="142"/>
        <v>22.97</v>
      </c>
      <c r="F4562" s="679">
        <v>22.97</v>
      </c>
      <c r="G4562" s="679">
        <v>22.97</v>
      </c>
      <c r="H4562" t="b">
        <f t="shared" si="143"/>
        <v>1</v>
      </c>
    </row>
    <row r="4563" spans="1:8">
      <c r="A4563" s="395">
        <v>39665</v>
      </c>
      <c r="B4563" s="406" t="s">
        <v>13292</v>
      </c>
      <c r="C4563" s="395" t="s">
        <v>2024</v>
      </c>
      <c r="D4563" s="407">
        <f t="shared" si="142"/>
        <v>48.47</v>
      </c>
      <c r="F4563" s="680">
        <v>48.47</v>
      </c>
      <c r="G4563" s="680">
        <v>48.47</v>
      </c>
      <c r="H4563" t="b">
        <f t="shared" si="143"/>
        <v>1</v>
      </c>
    </row>
    <row r="4564" spans="1:8">
      <c r="A4564" s="396">
        <v>39752</v>
      </c>
      <c r="B4564" s="401" t="s">
        <v>13293</v>
      </c>
      <c r="C4564" s="396" t="s">
        <v>2024</v>
      </c>
      <c r="D4564" s="405">
        <f t="shared" si="142"/>
        <v>243.74</v>
      </c>
      <c r="F4564" s="679">
        <v>243.74</v>
      </c>
      <c r="G4564" s="679">
        <v>243.74</v>
      </c>
      <c r="H4564" t="b">
        <f t="shared" si="143"/>
        <v>1</v>
      </c>
    </row>
    <row r="4565" spans="1:8" ht="30">
      <c r="A4565" s="395">
        <v>7725</v>
      </c>
      <c r="B4565" s="406" t="s">
        <v>13294</v>
      </c>
      <c r="C4565" s="395" t="s">
        <v>2024</v>
      </c>
      <c r="D4565" s="407">
        <f t="shared" si="142"/>
        <v>230</v>
      </c>
      <c r="F4565" s="680">
        <v>230</v>
      </c>
      <c r="G4565" s="680">
        <v>230</v>
      </c>
      <c r="H4565" t="b">
        <f t="shared" si="143"/>
        <v>1</v>
      </c>
    </row>
    <row r="4566" spans="1:8" ht="30">
      <c r="A4566" s="396">
        <v>7753</v>
      </c>
      <c r="B4566" s="401" t="s">
        <v>13295</v>
      </c>
      <c r="C4566" s="396" t="s">
        <v>2024</v>
      </c>
      <c r="D4566" s="405">
        <f t="shared" si="142"/>
        <v>448.4</v>
      </c>
      <c r="F4566" s="679">
        <v>448.4</v>
      </c>
      <c r="G4566" s="679">
        <v>448.4</v>
      </c>
      <c r="H4566" t="b">
        <f t="shared" si="143"/>
        <v>1</v>
      </c>
    </row>
    <row r="4567" spans="1:8" ht="30">
      <c r="A4567" s="395">
        <v>13256</v>
      </c>
      <c r="B4567" s="406" t="s">
        <v>13296</v>
      </c>
      <c r="C4567" s="395" t="s">
        <v>2024</v>
      </c>
      <c r="D4567" s="407">
        <f t="shared" si="142"/>
        <v>628.15</v>
      </c>
      <c r="F4567" s="680">
        <v>628.15</v>
      </c>
      <c r="G4567" s="680">
        <v>628.15</v>
      </c>
      <c r="H4567" t="b">
        <f t="shared" si="143"/>
        <v>1</v>
      </c>
    </row>
    <row r="4568" spans="1:8" ht="30">
      <c r="A4568" s="396">
        <v>7757</v>
      </c>
      <c r="B4568" s="401" t="s">
        <v>13297</v>
      </c>
      <c r="C4568" s="396" t="s">
        <v>2024</v>
      </c>
      <c r="D4568" s="405">
        <f t="shared" si="142"/>
        <v>669.7</v>
      </c>
      <c r="F4568" s="679">
        <v>669.7</v>
      </c>
      <c r="G4568" s="679">
        <v>669.7</v>
      </c>
      <c r="H4568" t="b">
        <f t="shared" si="143"/>
        <v>1</v>
      </c>
    </row>
    <row r="4569" spans="1:8" ht="30">
      <c r="A4569" s="395">
        <v>7758</v>
      </c>
      <c r="B4569" s="406" t="s">
        <v>13298</v>
      </c>
      <c r="C4569" s="395" t="s">
        <v>2024</v>
      </c>
      <c r="D4569" s="407">
        <f t="shared" si="142"/>
        <v>970.25</v>
      </c>
      <c r="F4569" s="680">
        <v>970.25</v>
      </c>
      <c r="G4569" s="680">
        <v>970.25</v>
      </c>
      <c r="H4569" t="b">
        <f t="shared" si="143"/>
        <v>1</v>
      </c>
    </row>
    <row r="4570" spans="1:8" ht="30">
      <c r="A4570" s="396">
        <v>7759</v>
      </c>
      <c r="B4570" s="401" t="s">
        <v>13299</v>
      </c>
      <c r="C4570" s="396" t="s">
        <v>2024</v>
      </c>
      <c r="D4570" s="405">
        <f t="shared" si="142"/>
        <v>2688.56</v>
      </c>
      <c r="F4570" s="679">
        <v>2688.56</v>
      </c>
      <c r="G4570" s="679">
        <v>2688.56</v>
      </c>
      <c r="H4570" t="b">
        <f t="shared" si="143"/>
        <v>1</v>
      </c>
    </row>
    <row r="4571" spans="1:8">
      <c r="A4571" s="395">
        <v>40334</v>
      </c>
      <c r="B4571" s="406" t="s">
        <v>13300</v>
      </c>
      <c r="C4571" s="395" t="s">
        <v>2024</v>
      </c>
      <c r="D4571" s="407">
        <f t="shared" si="142"/>
        <v>105.33</v>
      </c>
      <c r="F4571" s="680">
        <v>105.33</v>
      </c>
      <c r="G4571" s="680">
        <v>105.33</v>
      </c>
      <c r="H4571" t="b">
        <f t="shared" si="143"/>
        <v>1</v>
      </c>
    </row>
    <row r="4572" spans="1:8">
      <c r="A4572" s="396">
        <v>7745</v>
      </c>
      <c r="B4572" s="401" t="s">
        <v>13301</v>
      </c>
      <c r="C4572" s="396" t="s">
        <v>2024</v>
      </c>
      <c r="D4572" s="405">
        <f t="shared" si="142"/>
        <v>118.86</v>
      </c>
      <c r="F4572" s="679">
        <v>118.86</v>
      </c>
      <c r="G4572" s="679">
        <v>118.86</v>
      </c>
      <c r="H4572" t="b">
        <f t="shared" si="143"/>
        <v>1</v>
      </c>
    </row>
    <row r="4573" spans="1:8">
      <c r="A4573" s="395">
        <v>7714</v>
      </c>
      <c r="B4573" s="406" t="s">
        <v>13302</v>
      </c>
      <c r="C4573" s="395" t="s">
        <v>2024</v>
      </c>
      <c r="D4573" s="407">
        <f t="shared" si="142"/>
        <v>142.05000000000001</v>
      </c>
      <c r="F4573" s="680">
        <v>142.05000000000001</v>
      </c>
      <c r="G4573" s="680">
        <v>142.05000000000001</v>
      </c>
      <c r="H4573" t="b">
        <f t="shared" si="143"/>
        <v>1</v>
      </c>
    </row>
    <row r="4574" spans="1:8">
      <c r="A4574" s="396">
        <v>7742</v>
      </c>
      <c r="B4574" s="401" t="s">
        <v>13303</v>
      </c>
      <c r="C4574" s="396" t="s">
        <v>2024</v>
      </c>
      <c r="D4574" s="405">
        <f t="shared" si="142"/>
        <v>313.49</v>
      </c>
      <c r="F4574" s="679">
        <v>313.49</v>
      </c>
      <c r="G4574" s="679">
        <v>313.49</v>
      </c>
      <c r="H4574" t="b">
        <f t="shared" si="143"/>
        <v>1</v>
      </c>
    </row>
    <row r="4575" spans="1:8">
      <c r="A4575" s="395">
        <v>7750</v>
      </c>
      <c r="B4575" s="406" t="s">
        <v>13304</v>
      </c>
      <c r="C4575" s="395" t="s">
        <v>2024</v>
      </c>
      <c r="D4575" s="407">
        <f t="shared" si="142"/>
        <v>382.68</v>
      </c>
      <c r="F4575" s="680">
        <v>382.68</v>
      </c>
      <c r="G4575" s="680">
        <v>382.68</v>
      </c>
      <c r="H4575" t="b">
        <f t="shared" si="143"/>
        <v>1</v>
      </c>
    </row>
    <row r="4576" spans="1:8">
      <c r="A4576" s="396">
        <v>7756</v>
      </c>
      <c r="B4576" s="401" t="s">
        <v>13305</v>
      </c>
      <c r="C4576" s="396" t="s">
        <v>2024</v>
      </c>
      <c r="D4576" s="405">
        <f t="shared" si="142"/>
        <v>439.7</v>
      </c>
      <c r="F4576" s="679">
        <v>439.7</v>
      </c>
      <c r="G4576" s="679">
        <v>439.7</v>
      </c>
      <c r="H4576" t="b">
        <f t="shared" si="143"/>
        <v>1</v>
      </c>
    </row>
    <row r="4577" spans="1:8" ht="30">
      <c r="A4577" s="395">
        <v>7765</v>
      </c>
      <c r="B4577" s="406" t="s">
        <v>13306</v>
      </c>
      <c r="C4577" s="395" t="s">
        <v>2024</v>
      </c>
      <c r="D4577" s="407">
        <f t="shared" si="142"/>
        <v>492.85</v>
      </c>
      <c r="F4577" s="680">
        <v>492.85</v>
      </c>
      <c r="G4577" s="680">
        <v>492.85</v>
      </c>
      <c r="H4577" t="b">
        <f t="shared" si="143"/>
        <v>1</v>
      </c>
    </row>
    <row r="4578" spans="1:8" ht="30">
      <c r="A4578" s="396">
        <v>12569</v>
      </c>
      <c r="B4578" s="401" t="s">
        <v>13307</v>
      </c>
      <c r="C4578" s="396" t="s">
        <v>2024</v>
      </c>
      <c r="D4578" s="405">
        <f t="shared" si="142"/>
        <v>680.33</v>
      </c>
      <c r="F4578" s="679">
        <v>680.33</v>
      </c>
      <c r="G4578" s="679">
        <v>680.33</v>
      </c>
      <c r="H4578" t="b">
        <f t="shared" si="143"/>
        <v>1</v>
      </c>
    </row>
    <row r="4579" spans="1:8" ht="30">
      <c r="A4579" s="395">
        <v>7766</v>
      </c>
      <c r="B4579" s="406" t="s">
        <v>13308</v>
      </c>
      <c r="C4579" s="395" t="s">
        <v>2024</v>
      </c>
      <c r="D4579" s="407">
        <f t="shared" si="142"/>
        <v>722.85</v>
      </c>
      <c r="F4579" s="680">
        <v>722.85</v>
      </c>
      <c r="G4579" s="680">
        <v>722.85</v>
      </c>
      <c r="H4579" t="b">
        <f t="shared" si="143"/>
        <v>1</v>
      </c>
    </row>
    <row r="4580" spans="1:8" ht="30">
      <c r="A4580" s="396">
        <v>7767</v>
      </c>
      <c r="B4580" s="401" t="s">
        <v>13309</v>
      </c>
      <c r="C4580" s="396" t="s">
        <v>2024</v>
      </c>
      <c r="D4580" s="405">
        <f t="shared" si="142"/>
        <v>1037.8900000000001</v>
      </c>
      <c r="F4580" s="679">
        <v>1037.8900000000001</v>
      </c>
      <c r="G4580" s="679">
        <v>1037.8900000000001</v>
      </c>
      <c r="H4580" t="b">
        <f t="shared" si="143"/>
        <v>1</v>
      </c>
    </row>
    <row r="4581" spans="1:8" ht="30">
      <c r="A4581" s="395">
        <v>7727</v>
      </c>
      <c r="B4581" s="406" t="s">
        <v>13310</v>
      </c>
      <c r="C4581" s="395" t="s">
        <v>2024</v>
      </c>
      <c r="D4581" s="407">
        <f t="shared" si="142"/>
        <v>3015.12</v>
      </c>
      <c r="F4581" s="680">
        <v>3015.12</v>
      </c>
      <c r="G4581" s="680">
        <v>3015.12</v>
      </c>
      <c r="H4581" t="b">
        <f t="shared" si="143"/>
        <v>1</v>
      </c>
    </row>
    <row r="4582" spans="1:8">
      <c r="A4582" s="396">
        <v>7760</v>
      </c>
      <c r="B4582" s="401" t="s">
        <v>13311</v>
      </c>
      <c r="C4582" s="396" t="s">
        <v>2024</v>
      </c>
      <c r="D4582" s="405">
        <f t="shared" si="142"/>
        <v>119.83</v>
      </c>
      <c r="F4582" s="679">
        <v>119.83</v>
      </c>
      <c r="G4582" s="679">
        <v>119.83</v>
      </c>
      <c r="H4582" t="b">
        <f t="shared" si="143"/>
        <v>1</v>
      </c>
    </row>
    <row r="4583" spans="1:8">
      <c r="A4583" s="395">
        <v>7761</v>
      </c>
      <c r="B4583" s="406" t="s">
        <v>13312</v>
      </c>
      <c r="C4583" s="395" t="s">
        <v>2024</v>
      </c>
      <c r="D4583" s="407">
        <f t="shared" si="142"/>
        <v>125.63</v>
      </c>
      <c r="F4583" s="680">
        <v>125.63</v>
      </c>
      <c r="G4583" s="680">
        <v>125.63</v>
      </c>
      <c r="H4583" t="b">
        <f t="shared" si="143"/>
        <v>1</v>
      </c>
    </row>
    <row r="4584" spans="1:8">
      <c r="A4584" s="396">
        <v>7752</v>
      </c>
      <c r="B4584" s="401" t="s">
        <v>13313</v>
      </c>
      <c r="C4584" s="396" t="s">
        <v>2024</v>
      </c>
      <c r="D4584" s="405">
        <f t="shared" si="142"/>
        <v>152.68</v>
      </c>
      <c r="F4584" s="679">
        <v>152.68</v>
      </c>
      <c r="G4584" s="679">
        <v>152.68</v>
      </c>
      <c r="H4584" t="b">
        <f t="shared" si="143"/>
        <v>1</v>
      </c>
    </row>
    <row r="4585" spans="1:8">
      <c r="A4585" s="395">
        <v>7762</v>
      </c>
      <c r="B4585" s="406" t="s">
        <v>13314</v>
      </c>
      <c r="C4585" s="395" t="s">
        <v>2024</v>
      </c>
      <c r="D4585" s="407">
        <f t="shared" si="142"/>
        <v>199.55</v>
      </c>
      <c r="F4585" s="680">
        <v>199.55</v>
      </c>
      <c r="G4585" s="680">
        <v>199.55</v>
      </c>
      <c r="H4585" t="b">
        <f t="shared" si="143"/>
        <v>1</v>
      </c>
    </row>
    <row r="4586" spans="1:8">
      <c r="A4586" s="396">
        <v>7722</v>
      </c>
      <c r="B4586" s="401" t="s">
        <v>13315</v>
      </c>
      <c r="C4586" s="396" t="s">
        <v>2024</v>
      </c>
      <c r="D4586" s="405">
        <f t="shared" si="142"/>
        <v>305.37</v>
      </c>
      <c r="F4586" s="679">
        <v>305.37</v>
      </c>
      <c r="G4586" s="679">
        <v>305.37</v>
      </c>
      <c r="H4586" t="b">
        <f t="shared" si="143"/>
        <v>1</v>
      </c>
    </row>
    <row r="4587" spans="1:8">
      <c r="A4587" s="395">
        <v>7763</v>
      </c>
      <c r="B4587" s="406" t="s">
        <v>13316</v>
      </c>
      <c r="C4587" s="395" t="s">
        <v>2024</v>
      </c>
      <c r="D4587" s="407">
        <f t="shared" si="142"/>
        <v>372.05</v>
      </c>
      <c r="F4587" s="680">
        <v>372.05</v>
      </c>
      <c r="G4587" s="680">
        <v>372.05</v>
      </c>
      <c r="H4587" t="b">
        <f t="shared" si="143"/>
        <v>1</v>
      </c>
    </row>
    <row r="4588" spans="1:8">
      <c r="A4588" s="396">
        <v>7764</v>
      </c>
      <c r="B4588" s="401" t="s">
        <v>13317</v>
      </c>
      <c r="C4588" s="396" t="s">
        <v>2024</v>
      </c>
      <c r="D4588" s="405">
        <f t="shared" si="142"/>
        <v>444.53</v>
      </c>
      <c r="F4588" s="679">
        <v>444.53</v>
      </c>
      <c r="G4588" s="679">
        <v>444.53</v>
      </c>
      <c r="H4588" t="b">
        <f t="shared" si="143"/>
        <v>1</v>
      </c>
    </row>
    <row r="4589" spans="1:8" ht="30">
      <c r="A4589" s="395">
        <v>12572</v>
      </c>
      <c r="B4589" s="406" t="s">
        <v>13318</v>
      </c>
      <c r="C4589" s="395" t="s">
        <v>2024</v>
      </c>
      <c r="D4589" s="407">
        <f t="shared" si="142"/>
        <v>628.15</v>
      </c>
      <c r="F4589" s="680">
        <v>628.15</v>
      </c>
      <c r="G4589" s="680">
        <v>628.15</v>
      </c>
      <c r="H4589" t="b">
        <f t="shared" si="143"/>
        <v>1</v>
      </c>
    </row>
    <row r="4590" spans="1:8" ht="30">
      <c r="A4590" s="396">
        <v>12573</v>
      </c>
      <c r="B4590" s="401" t="s">
        <v>13319</v>
      </c>
      <c r="C4590" s="396" t="s">
        <v>2024</v>
      </c>
      <c r="D4590" s="405">
        <f t="shared" si="142"/>
        <v>826.26</v>
      </c>
      <c r="F4590" s="679">
        <v>826.26</v>
      </c>
      <c r="G4590" s="679">
        <v>826.26</v>
      </c>
      <c r="H4590" t="b">
        <f t="shared" si="143"/>
        <v>1</v>
      </c>
    </row>
    <row r="4591" spans="1:8" ht="30">
      <c r="A4591" s="395">
        <v>12574</v>
      </c>
      <c r="B4591" s="406" t="s">
        <v>13320</v>
      </c>
      <c r="C4591" s="395" t="s">
        <v>2024</v>
      </c>
      <c r="D4591" s="407">
        <f t="shared" si="142"/>
        <v>999.05</v>
      </c>
      <c r="F4591" s="680">
        <v>999.05</v>
      </c>
      <c r="G4591" s="680">
        <v>999.05</v>
      </c>
      <c r="H4591" t="b">
        <f t="shared" si="143"/>
        <v>1</v>
      </c>
    </row>
    <row r="4592" spans="1:8" ht="30">
      <c r="A4592" s="396">
        <v>12575</v>
      </c>
      <c r="B4592" s="401" t="s">
        <v>13321</v>
      </c>
      <c r="C4592" s="396" t="s">
        <v>2024</v>
      </c>
      <c r="D4592" s="405">
        <f t="shared" si="142"/>
        <v>1517.22</v>
      </c>
      <c r="F4592" s="679">
        <v>1517.22</v>
      </c>
      <c r="G4592" s="679">
        <v>1517.22</v>
      </c>
      <c r="H4592" t="b">
        <f t="shared" si="143"/>
        <v>1</v>
      </c>
    </row>
    <row r="4593" spans="1:8">
      <c r="A4593" s="395">
        <v>12576</v>
      </c>
      <c r="B4593" s="406" t="s">
        <v>13322</v>
      </c>
      <c r="C4593" s="395" t="s">
        <v>2024</v>
      </c>
      <c r="D4593" s="407">
        <f t="shared" si="142"/>
        <v>183.61</v>
      </c>
      <c r="F4593" s="680">
        <v>183.61</v>
      </c>
      <c r="G4593" s="680">
        <v>183.61</v>
      </c>
      <c r="H4593" t="b">
        <f t="shared" si="143"/>
        <v>1</v>
      </c>
    </row>
    <row r="4594" spans="1:8">
      <c r="A4594" s="396">
        <v>12577</v>
      </c>
      <c r="B4594" s="401" t="s">
        <v>13323</v>
      </c>
      <c r="C4594" s="396" t="s">
        <v>2024</v>
      </c>
      <c r="D4594" s="405">
        <f t="shared" si="142"/>
        <v>247.39</v>
      </c>
      <c r="F4594" s="679">
        <v>247.39</v>
      </c>
      <c r="G4594" s="679">
        <v>247.39</v>
      </c>
      <c r="H4594" t="b">
        <f t="shared" si="143"/>
        <v>1</v>
      </c>
    </row>
    <row r="4595" spans="1:8">
      <c r="A4595" s="395">
        <v>12578</v>
      </c>
      <c r="B4595" s="406" t="s">
        <v>13324</v>
      </c>
      <c r="C4595" s="395" t="s">
        <v>2024</v>
      </c>
      <c r="D4595" s="407">
        <f t="shared" si="142"/>
        <v>299.57</v>
      </c>
      <c r="F4595" s="680">
        <v>299.57</v>
      </c>
      <c r="G4595" s="680">
        <v>299.57</v>
      </c>
      <c r="H4595" t="b">
        <f t="shared" si="143"/>
        <v>1</v>
      </c>
    </row>
    <row r="4596" spans="1:8">
      <c r="A4596" s="396">
        <v>12579</v>
      </c>
      <c r="B4596" s="401" t="s">
        <v>13325</v>
      </c>
      <c r="C4596" s="396" t="s">
        <v>2024</v>
      </c>
      <c r="D4596" s="405">
        <f t="shared" si="142"/>
        <v>516.04999999999995</v>
      </c>
      <c r="F4596" s="679">
        <v>516.04999999999995</v>
      </c>
      <c r="G4596" s="679">
        <v>516.04999999999995</v>
      </c>
      <c r="H4596" t="b">
        <f t="shared" si="143"/>
        <v>1</v>
      </c>
    </row>
    <row r="4597" spans="1:8">
      <c r="A4597" s="395">
        <v>12580</v>
      </c>
      <c r="B4597" s="406" t="s">
        <v>13326</v>
      </c>
      <c r="C4597" s="395" t="s">
        <v>2024</v>
      </c>
      <c r="D4597" s="407">
        <f t="shared" si="142"/>
        <v>537.69000000000005</v>
      </c>
      <c r="F4597" s="680">
        <v>537.69000000000005</v>
      </c>
      <c r="G4597" s="680">
        <v>537.69000000000005</v>
      </c>
      <c r="H4597" t="b">
        <f t="shared" si="143"/>
        <v>1</v>
      </c>
    </row>
    <row r="4598" spans="1:8">
      <c r="A4598" s="396">
        <v>12581</v>
      </c>
      <c r="B4598" s="401" t="s">
        <v>13327</v>
      </c>
      <c r="C4598" s="396" t="s">
        <v>2024</v>
      </c>
      <c r="D4598" s="405">
        <f t="shared" si="142"/>
        <v>575.96</v>
      </c>
      <c r="F4598" s="679">
        <v>575.96</v>
      </c>
      <c r="G4598" s="679">
        <v>575.96</v>
      </c>
      <c r="H4598" t="b">
        <f t="shared" si="143"/>
        <v>1</v>
      </c>
    </row>
    <row r="4599" spans="1:8" ht="30">
      <c r="A4599" s="395">
        <v>7720</v>
      </c>
      <c r="B4599" s="406" t="s">
        <v>13328</v>
      </c>
      <c r="C4599" s="395" t="s">
        <v>2024</v>
      </c>
      <c r="D4599" s="407">
        <f t="shared" si="142"/>
        <v>900.67</v>
      </c>
      <c r="F4599" s="680">
        <v>900.67</v>
      </c>
      <c r="G4599" s="680">
        <v>900.67</v>
      </c>
      <c r="H4599" t="b">
        <f t="shared" si="143"/>
        <v>1</v>
      </c>
    </row>
    <row r="4600" spans="1:8" ht="30">
      <c r="A4600" s="396">
        <v>40335</v>
      </c>
      <c r="B4600" s="401" t="s">
        <v>13329</v>
      </c>
      <c r="C4600" s="396" t="s">
        <v>2024</v>
      </c>
      <c r="D4600" s="405">
        <f t="shared" si="142"/>
        <v>188.44</v>
      </c>
      <c r="F4600" s="679">
        <v>188.44</v>
      </c>
      <c r="G4600" s="679">
        <v>188.44</v>
      </c>
      <c r="H4600" t="b">
        <f t="shared" si="143"/>
        <v>1</v>
      </c>
    </row>
    <row r="4601" spans="1:8" ht="30">
      <c r="A4601" s="395">
        <v>7740</v>
      </c>
      <c r="B4601" s="406" t="s">
        <v>13330</v>
      </c>
      <c r="C4601" s="395" t="s">
        <v>2024</v>
      </c>
      <c r="D4601" s="407">
        <f t="shared" si="142"/>
        <v>193.27</v>
      </c>
      <c r="F4601" s="680">
        <v>193.27</v>
      </c>
      <c r="G4601" s="680">
        <v>193.27</v>
      </c>
      <c r="H4601" t="b">
        <f t="shared" si="143"/>
        <v>1</v>
      </c>
    </row>
    <row r="4602" spans="1:8" ht="30">
      <c r="A4602" s="396">
        <v>7741</v>
      </c>
      <c r="B4602" s="401" t="s">
        <v>13331</v>
      </c>
      <c r="C4602" s="396" t="s">
        <v>2024</v>
      </c>
      <c r="D4602" s="405">
        <f t="shared" si="142"/>
        <v>357.56</v>
      </c>
      <c r="F4602" s="679">
        <v>357.56</v>
      </c>
      <c r="G4602" s="679">
        <v>357.56</v>
      </c>
      <c r="H4602" t="b">
        <f t="shared" si="143"/>
        <v>1</v>
      </c>
    </row>
    <row r="4603" spans="1:8" ht="30">
      <c r="A4603" s="395">
        <v>7774</v>
      </c>
      <c r="B4603" s="406" t="s">
        <v>13332</v>
      </c>
      <c r="C4603" s="395" t="s">
        <v>2024</v>
      </c>
      <c r="D4603" s="407">
        <f t="shared" si="142"/>
        <v>438.73</v>
      </c>
      <c r="F4603" s="680">
        <v>438.73</v>
      </c>
      <c r="G4603" s="680">
        <v>438.73</v>
      </c>
      <c r="H4603" t="b">
        <f t="shared" si="143"/>
        <v>1</v>
      </c>
    </row>
    <row r="4604" spans="1:8" ht="30">
      <c r="A4604" s="396">
        <v>7744</v>
      </c>
      <c r="B4604" s="401" t="s">
        <v>13333</v>
      </c>
      <c r="C4604" s="396" t="s">
        <v>2024</v>
      </c>
      <c r="D4604" s="405">
        <f t="shared" si="142"/>
        <v>573.05999999999995</v>
      </c>
      <c r="F4604" s="679">
        <v>573.05999999999995</v>
      </c>
      <c r="G4604" s="679">
        <v>573.05999999999995</v>
      </c>
      <c r="H4604" t="b">
        <f t="shared" si="143"/>
        <v>1</v>
      </c>
    </row>
    <row r="4605" spans="1:8" ht="30">
      <c r="A4605" s="395">
        <v>7773</v>
      </c>
      <c r="B4605" s="406" t="s">
        <v>13334</v>
      </c>
      <c r="C4605" s="395" t="s">
        <v>2024</v>
      </c>
      <c r="D4605" s="407">
        <f t="shared" si="142"/>
        <v>585.72</v>
      </c>
      <c r="F4605" s="680">
        <v>585.72</v>
      </c>
      <c r="G4605" s="680">
        <v>585.72</v>
      </c>
      <c r="H4605" t="b">
        <f t="shared" si="143"/>
        <v>1</v>
      </c>
    </row>
    <row r="4606" spans="1:8" ht="30">
      <c r="A4606" s="396">
        <v>7754</v>
      </c>
      <c r="B4606" s="401" t="s">
        <v>13335</v>
      </c>
      <c r="C4606" s="396" t="s">
        <v>2024</v>
      </c>
      <c r="D4606" s="405">
        <f t="shared" si="142"/>
        <v>888.1</v>
      </c>
      <c r="F4606" s="679">
        <v>888.1</v>
      </c>
      <c r="G4606" s="679">
        <v>888.1</v>
      </c>
      <c r="H4606" t="b">
        <f t="shared" si="143"/>
        <v>1</v>
      </c>
    </row>
    <row r="4607" spans="1:8" ht="30">
      <c r="A4607" s="395">
        <v>7735</v>
      </c>
      <c r="B4607" s="406" t="s">
        <v>13336</v>
      </c>
      <c r="C4607" s="395" t="s">
        <v>2024</v>
      </c>
      <c r="D4607" s="407">
        <f t="shared" si="142"/>
        <v>1150</v>
      </c>
      <c r="F4607" s="680">
        <v>1150</v>
      </c>
      <c r="G4607" s="680">
        <v>1150</v>
      </c>
      <c r="H4607" t="b">
        <f t="shared" si="143"/>
        <v>1</v>
      </c>
    </row>
    <row r="4608" spans="1:8" ht="30">
      <c r="A4608" s="396">
        <v>7755</v>
      </c>
      <c r="B4608" s="401" t="s">
        <v>13337</v>
      </c>
      <c r="C4608" s="396" t="s">
        <v>2024</v>
      </c>
      <c r="D4608" s="405">
        <f t="shared" si="142"/>
        <v>228.06</v>
      </c>
      <c r="F4608" s="679">
        <v>228.06</v>
      </c>
      <c r="G4608" s="679">
        <v>228.06</v>
      </c>
      <c r="H4608" t="b">
        <f t="shared" si="143"/>
        <v>1</v>
      </c>
    </row>
    <row r="4609" spans="1:8" ht="30">
      <c r="A4609" s="395">
        <v>7776</v>
      </c>
      <c r="B4609" s="406" t="s">
        <v>13338</v>
      </c>
      <c r="C4609" s="395" t="s">
        <v>2024</v>
      </c>
      <c r="D4609" s="407">
        <f t="shared" si="142"/>
        <v>475.46</v>
      </c>
      <c r="F4609" s="680">
        <v>475.46</v>
      </c>
      <c r="G4609" s="680">
        <v>475.46</v>
      </c>
      <c r="H4609" t="b">
        <f t="shared" si="143"/>
        <v>1</v>
      </c>
    </row>
    <row r="4610" spans="1:8" ht="30">
      <c r="A4610" s="396">
        <v>7743</v>
      </c>
      <c r="B4610" s="401" t="s">
        <v>13339</v>
      </c>
      <c r="C4610" s="396" t="s">
        <v>2024</v>
      </c>
      <c r="D4610" s="405">
        <f t="shared" si="142"/>
        <v>503.48</v>
      </c>
      <c r="F4610" s="679">
        <v>503.48</v>
      </c>
      <c r="G4610" s="679">
        <v>503.48</v>
      </c>
      <c r="H4610" t="b">
        <f t="shared" si="143"/>
        <v>1</v>
      </c>
    </row>
    <row r="4611" spans="1:8" ht="30">
      <c r="A4611" s="395">
        <v>7733</v>
      </c>
      <c r="B4611" s="406" t="s">
        <v>13340</v>
      </c>
      <c r="C4611" s="395" t="s">
        <v>2024</v>
      </c>
      <c r="D4611" s="407">
        <f t="shared" ref="D4611:D4674" si="144">IF($J$2=$F$1,F4611,G4611)</f>
        <v>657.14</v>
      </c>
      <c r="F4611" s="680">
        <v>657.14</v>
      </c>
      <c r="G4611" s="680">
        <v>657.14</v>
      </c>
      <c r="H4611" t="b">
        <f t="shared" ref="H4611:H4674" si="145">F4611=G4611</f>
        <v>1</v>
      </c>
    </row>
    <row r="4612" spans="1:8" ht="30">
      <c r="A4612" s="396">
        <v>7775</v>
      </c>
      <c r="B4612" s="401" t="s">
        <v>13341</v>
      </c>
      <c r="C4612" s="396" t="s">
        <v>2024</v>
      </c>
      <c r="D4612" s="405">
        <f t="shared" si="144"/>
        <v>719.95</v>
      </c>
      <c r="F4612" s="679">
        <v>719.95</v>
      </c>
      <c r="G4612" s="679">
        <v>719.95</v>
      </c>
      <c r="H4612" t="b">
        <f t="shared" si="145"/>
        <v>1</v>
      </c>
    </row>
    <row r="4613" spans="1:8" ht="30">
      <c r="A4613" s="395">
        <v>7734</v>
      </c>
      <c r="B4613" s="406" t="s">
        <v>13342</v>
      </c>
      <c r="C4613" s="395" t="s">
        <v>2024</v>
      </c>
      <c r="D4613" s="407">
        <f t="shared" si="144"/>
        <v>1019.53</v>
      </c>
      <c r="F4613" s="680">
        <v>1019.53</v>
      </c>
      <c r="G4613" s="680">
        <v>1019.53</v>
      </c>
      <c r="H4613" t="b">
        <f t="shared" si="145"/>
        <v>1</v>
      </c>
    </row>
    <row r="4614" spans="1:8">
      <c r="A4614" s="396">
        <v>37449</v>
      </c>
      <c r="B4614" s="401" t="s">
        <v>13343</v>
      </c>
      <c r="C4614" s="396" t="s">
        <v>2024</v>
      </c>
      <c r="D4614" s="405">
        <f t="shared" si="144"/>
        <v>35.67</v>
      </c>
      <c r="F4614" s="679">
        <v>35.67</v>
      </c>
      <c r="G4614" s="679">
        <v>35.67</v>
      </c>
      <c r="H4614" t="b">
        <f t="shared" si="145"/>
        <v>1</v>
      </c>
    </row>
    <row r="4615" spans="1:8">
      <c r="A4615" s="395">
        <v>37450</v>
      </c>
      <c r="B4615" s="406" t="s">
        <v>13344</v>
      </c>
      <c r="C4615" s="395" t="s">
        <v>2024</v>
      </c>
      <c r="D4615" s="407">
        <f t="shared" si="144"/>
        <v>49.94</v>
      </c>
      <c r="F4615" s="680">
        <v>49.94</v>
      </c>
      <c r="G4615" s="680">
        <v>49.94</v>
      </c>
      <c r="H4615" t="b">
        <f t="shared" si="145"/>
        <v>1</v>
      </c>
    </row>
    <row r="4616" spans="1:8">
      <c r="A4616" s="396">
        <v>37451</v>
      </c>
      <c r="B4616" s="401" t="s">
        <v>13345</v>
      </c>
      <c r="C4616" s="396" t="s">
        <v>2024</v>
      </c>
      <c r="D4616" s="405">
        <f t="shared" si="144"/>
        <v>69.72</v>
      </c>
      <c r="F4616" s="679">
        <v>69.72</v>
      </c>
      <c r="G4616" s="679">
        <v>69.72</v>
      </c>
      <c r="H4616" t="b">
        <f t="shared" si="145"/>
        <v>1</v>
      </c>
    </row>
    <row r="4617" spans="1:8">
      <c r="A4617" s="395">
        <v>37452</v>
      </c>
      <c r="B4617" s="406" t="s">
        <v>13346</v>
      </c>
      <c r="C4617" s="395" t="s">
        <v>2024</v>
      </c>
      <c r="D4617" s="407">
        <f t="shared" si="144"/>
        <v>101.35</v>
      </c>
      <c r="F4617" s="680">
        <v>101.35</v>
      </c>
      <c r="G4617" s="680">
        <v>101.35</v>
      </c>
      <c r="H4617" t="b">
        <f t="shared" si="145"/>
        <v>1</v>
      </c>
    </row>
    <row r="4618" spans="1:8">
      <c r="A4618" s="396">
        <v>37453</v>
      </c>
      <c r="B4618" s="401" t="s">
        <v>13347</v>
      </c>
      <c r="C4618" s="396" t="s">
        <v>2024</v>
      </c>
      <c r="D4618" s="405">
        <f t="shared" si="144"/>
        <v>116.71</v>
      </c>
      <c r="F4618" s="679">
        <v>116.71</v>
      </c>
      <c r="G4618" s="679">
        <v>116.71</v>
      </c>
      <c r="H4618" t="b">
        <f t="shared" si="145"/>
        <v>1</v>
      </c>
    </row>
    <row r="4619" spans="1:8">
      <c r="A4619" s="395">
        <v>7778</v>
      </c>
      <c r="B4619" s="406" t="s">
        <v>13348</v>
      </c>
      <c r="C4619" s="395" t="s">
        <v>2024</v>
      </c>
      <c r="D4619" s="407">
        <f t="shared" si="144"/>
        <v>43.78</v>
      </c>
      <c r="F4619" s="680">
        <v>43.78</v>
      </c>
      <c r="G4619" s="680">
        <v>43.78</v>
      </c>
      <c r="H4619" t="b">
        <f t="shared" si="145"/>
        <v>1</v>
      </c>
    </row>
    <row r="4620" spans="1:8">
      <c r="A4620" s="396">
        <v>7796</v>
      </c>
      <c r="B4620" s="401" t="s">
        <v>13349</v>
      </c>
      <c r="C4620" s="396" t="s">
        <v>2024</v>
      </c>
      <c r="D4620" s="405">
        <f t="shared" si="144"/>
        <v>60</v>
      </c>
      <c r="F4620" s="679">
        <v>60</v>
      </c>
      <c r="G4620" s="679">
        <v>60</v>
      </c>
      <c r="H4620" t="b">
        <f t="shared" si="145"/>
        <v>1</v>
      </c>
    </row>
    <row r="4621" spans="1:8">
      <c r="A4621" s="395">
        <v>7781</v>
      </c>
      <c r="B4621" s="406" t="s">
        <v>13350</v>
      </c>
      <c r="C4621" s="395" t="s">
        <v>2024</v>
      </c>
      <c r="D4621" s="407">
        <f t="shared" si="144"/>
        <v>70.900000000000006</v>
      </c>
      <c r="F4621" s="680">
        <v>70.900000000000006</v>
      </c>
      <c r="G4621" s="680">
        <v>70.900000000000006</v>
      </c>
      <c r="H4621" t="b">
        <f t="shared" si="145"/>
        <v>1</v>
      </c>
    </row>
    <row r="4622" spans="1:8">
      <c r="A4622" s="396">
        <v>7795</v>
      </c>
      <c r="B4622" s="401" t="s">
        <v>13351</v>
      </c>
      <c r="C4622" s="396" t="s">
        <v>2024</v>
      </c>
      <c r="D4622" s="405">
        <f t="shared" si="144"/>
        <v>105.52</v>
      </c>
      <c r="F4622" s="679">
        <v>105.52</v>
      </c>
      <c r="G4622" s="679">
        <v>105.52</v>
      </c>
      <c r="H4622" t="b">
        <f t="shared" si="145"/>
        <v>1</v>
      </c>
    </row>
    <row r="4623" spans="1:8">
      <c r="A4623" s="395">
        <v>7791</v>
      </c>
      <c r="B4623" s="406" t="s">
        <v>13352</v>
      </c>
      <c r="C4623" s="395" t="s">
        <v>2024</v>
      </c>
      <c r="D4623" s="407">
        <f t="shared" si="144"/>
        <v>126.32</v>
      </c>
      <c r="F4623" s="680">
        <v>126.32</v>
      </c>
      <c r="G4623" s="680">
        <v>126.32</v>
      </c>
      <c r="H4623" t="b">
        <f t="shared" si="145"/>
        <v>1</v>
      </c>
    </row>
    <row r="4624" spans="1:8">
      <c r="A4624" s="396">
        <v>7783</v>
      </c>
      <c r="B4624" s="401" t="s">
        <v>13353</v>
      </c>
      <c r="C4624" s="396" t="s">
        <v>2024</v>
      </c>
      <c r="D4624" s="405">
        <f t="shared" si="144"/>
        <v>44.76</v>
      </c>
      <c r="F4624" s="679">
        <v>44.76</v>
      </c>
      <c r="G4624" s="679">
        <v>44.76</v>
      </c>
      <c r="H4624" t="b">
        <f t="shared" si="145"/>
        <v>1</v>
      </c>
    </row>
    <row r="4625" spans="1:8">
      <c r="A4625" s="395">
        <v>7790</v>
      </c>
      <c r="B4625" s="406" t="s">
        <v>13354</v>
      </c>
      <c r="C4625" s="395" t="s">
        <v>2024</v>
      </c>
      <c r="D4625" s="407">
        <f t="shared" si="144"/>
        <v>70.540000000000006</v>
      </c>
      <c r="F4625" s="680">
        <v>70.540000000000006</v>
      </c>
      <c r="G4625" s="680">
        <v>70.540000000000006</v>
      </c>
      <c r="H4625" t="b">
        <f t="shared" si="145"/>
        <v>1</v>
      </c>
    </row>
    <row r="4626" spans="1:8">
      <c r="A4626" s="396">
        <v>7785</v>
      </c>
      <c r="B4626" s="401" t="s">
        <v>13355</v>
      </c>
      <c r="C4626" s="396" t="s">
        <v>2024</v>
      </c>
      <c r="D4626" s="405">
        <f t="shared" si="144"/>
        <v>77.83</v>
      </c>
      <c r="F4626" s="679">
        <v>77.83</v>
      </c>
      <c r="G4626" s="679">
        <v>77.83</v>
      </c>
      <c r="H4626" t="b">
        <f t="shared" si="145"/>
        <v>1</v>
      </c>
    </row>
    <row r="4627" spans="1:8">
      <c r="A4627" s="395">
        <v>7792</v>
      </c>
      <c r="B4627" s="406" t="s">
        <v>13356</v>
      </c>
      <c r="C4627" s="395" t="s">
        <v>2024</v>
      </c>
      <c r="D4627" s="407">
        <f t="shared" si="144"/>
        <v>110.39</v>
      </c>
      <c r="F4627" s="680">
        <v>110.39</v>
      </c>
      <c r="G4627" s="680">
        <v>110.39</v>
      </c>
      <c r="H4627" t="b">
        <f t="shared" si="145"/>
        <v>1</v>
      </c>
    </row>
    <row r="4628" spans="1:8">
      <c r="A4628" s="396">
        <v>7793</v>
      </c>
      <c r="B4628" s="401" t="s">
        <v>13357</v>
      </c>
      <c r="C4628" s="396" t="s">
        <v>2024</v>
      </c>
      <c r="D4628" s="405">
        <f t="shared" si="144"/>
        <v>130.37</v>
      </c>
      <c r="F4628" s="679">
        <v>130.37</v>
      </c>
      <c r="G4628" s="679">
        <v>130.37</v>
      </c>
      <c r="H4628" t="b">
        <f t="shared" si="145"/>
        <v>1</v>
      </c>
    </row>
    <row r="4629" spans="1:8" ht="30">
      <c r="A4629" s="395">
        <v>13159</v>
      </c>
      <c r="B4629" s="406" t="s">
        <v>13358</v>
      </c>
      <c r="C4629" s="395" t="s">
        <v>2024</v>
      </c>
      <c r="D4629" s="407">
        <f t="shared" si="144"/>
        <v>113.51</v>
      </c>
      <c r="F4629" s="680">
        <v>113.51</v>
      </c>
      <c r="G4629" s="680">
        <v>113.51</v>
      </c>
      <c r="H4629" t="b">
        <f t="shared" si="145"/>
        <v>1</v>
      </c>
    </row>
    <row r="4630" spans="1:8" ht="30">
      <c r="A4630" s="396">
        <v>13168</v>
      </c>
      <c r="B4630" s="401" t="s">
        <v>13359</v>
      </c>
      <c r="C4630" s="396" t="s">
        <v>2024</v>
      </c>
      <c r="D4630" s="405">
        <f t="shared" si="144"/>
        <v>137.83000000000001</v>
      </c>
      <c r="F4630" s="679">
        <v>137.83000000000001</v>
      </c>
      <c r="G4630" s="679">
        <v>137.83000000000001</v>
      </c>
      <c r="H4630" t="b">
        <f t="shared" si="145"/>
        <v>1</v>
      </c>
    </row>
    <row r="4631" spans="1:8" ht="30">
      <c r="A4631" s="395">
        <v>13173</v>
      </c>
      <c r="B4631" s="406" t="s">
        <v>13360</v>
      </c>
      <c r="C4631" s="395" t="s">
        <v>2024</v>
      </c>
      <c r="D4631" s="407">
        <f t="shared" si="144"/>
        <v>186.48</v>
      </c>
      <c r="F4631" s="680">
        <v>186.48</v>
      </c>
      <c r="G4631" s="680">
        <v>186.48</v>
      </c>
      <c r="H4631" t="b">
        <f t="shared" si="145"/>
        <v>1</v>
      </c>
    </row>
    <row r="4632" spans="1:8" ht="30">
      <c r="A4632" s="396">
        <v>12583</v>
      </c>
      <c r="B4632" s="401" t="s">
        <v>13361</v>
      </c>
      <c r="C4632" s="396" t="s">
        <v>2024</v>
      </c>
      <c r="D4632" s="405">
        <f t="shared" si="144"/>
        <v>37.29</v>
      </c>
      <c r="F4632" s="679">
        <v>37.29</v>
      </c>
      <c r="G4632" s="679">
        <v>37.29</v>
      </c>
      <c r="H4632" t="b">
        <f t="shared" si="145"/>
        <v>1</v>
      </c>
    </row>
    <row r="4633" spans="1:8" ht="30">
      <c r="A4633" s="395">
        <v>12584</v>
      </c>
      <c r="B4633" s="406" t="s">
        <v>13362</v>
      </c>
      <c r="C4633" s="395" t="s">
        <v>2024</v>
      </c>
      <c r="D4633" s="407">
        <f t="shared" si="144"/>
        <v>48.64</v>
      </c>
      <c r="F4633" s="680">
        <v>48.64</v>
      </c>
      <c r="G4633" s="680">
        <v>48.64</v>
      </c>
      <c r="H4633" t="b">
        <f t="shared" si="145"/>
        <v>1</v>
      </c>
    </row>
    <row r="4634" spans="1:8">
      <c r="A4634" s="396">
        <v>12613</v>
      </c>
      <c r="B4634" s="401" t="s">
        <v>13363</v>
      </c>
      <c r="C4634" s="396" t="s">
        <v>2021</v>
      </c>
      <c r="D4634" s="405">
        <f t="shared" si="144"/>
        <v>24.4</v>
      </c>
      <c r="F4634" s="679">
        <v>24.4</v>
      </c>
      <c r="G4634" s="679">
        <v>24.4</v>
      </c>
      <c r="H4634" t="b">
        <f t="shared" si="145"/>
        <v>1</v>
      </c>
    </row>
    <row r="4635" spans="1:8">
      <c r="A4635" s="395">
        <v>1031</v>
      </c>
      <c r="B4635" s="406" t="s">
        <v>13364</v>
      </c>
      <c r="C4635" s="395" t="s">
        <v>2021</v>
      </c>
      <c r="D4635" s="407">
        <f t="shared" si="144"/>
        <v>14.46</v>
      </c>
      <c r="F4635" s="680">
        <v>14.46</v>
      </c>
      <c r="G4635" s="680">
        <v>14.46</v>
      </c>
      <c r="H4635" t="b">
        <f t="shared" si="145"/>
        <v>1</v>
      </c>
    </row>
    <row r="4636" spans="1:8" ht="30">
      <c r="A4636" s="396">
        <v>39707</v>
      </c>
      <c r="B4636" s="401" t="s">
        <v>13365</v>
      </c>
      <c r="C4636" s="396" t="s">
        <v>2024</v>
      </c>
      <c r="D4636" s="405">
        <f t="shared" si="144"/>
        <v>5.0999999999999996</v>
      </c>
      <c r="F4636" s="679">
        <v>5.0999999999999996</v>
      </c>
      <c r="G4636" s="679">
        <v>5.0999999999999996</v>
      </c>
      <c r="H4636" t="b">
        <f t="shared" si="145"/>
        <v>1</v>
      </c>
    </row>
    <row r="4637" spans="1:8" ht="30">
      <c r="A4637" s="395">
        <v>39708</v>
      </c>
      <c r="B4637" s="406" t="s">
        <v>13366</v>
      </c>
      <c r="C4637" s="395" t="s">
        <v>2024</v>
      </c>
      <c r="D4637" s="407">
        <f t="shared" si="144"/>
        <v>4.9400000000000004</v>
      </c>
      <c r="F4637" s="680">
        <v>4.9400000000000004</v>
      </c>
      <c r="G4637" s="680">
        <v>4.9400000000000004</v>
      </c>
      <c r="H4637" t="b">
        <f t="shared" si="145"/>
        <v>1</v>
      </c>
    </row>
    <row r="4638" spans="1:8" ht="30">
      <c r="A4638" s="396">
        <v>39710</v>
      </c>
      <c r="B4638" s="401" t="s">
        <v>13367</v>
      </c>
      <c r="C4638" s="396" t="s">
        <v>2024</v>
      </c>
      <c r="D4638" s="405">
        <f t="shared" si="144"/>
        <v>3.48</v>
      </c>
      <c r="F4638" s="679">
        <v>3.48</v>
      </c>
      <c r="G4638" s="679">
        <v>3.48</v>
      </c>
      <c r="H4638" t="b">
        <f t="shared" si="145"/>
        <v>1</v>
      </c>
    </row>
    <row r="4639" spans="1:8" ht="30">
      <c r="A4639" s="395">
        <v>39709</v>
      </c>
      <c r="B4639" s="406" t="s">
        <v>13368</v>
      </c>
      <c r="C4639" s="395" t="s">
        <v>2024</v>
      </c>
      <c r="D4639" s="407">
        <f t="shared" si="144"/>
        <v>4.82</v>
      </c>
      <c r="F4639" s="680">
        <v>4.82</v>
      </c>
      <c r="G4639" s="680">
        <v>4.82</v>
      </c>
      <c r="H4639" t="b">
        <f t="shared" si="145"/>
        <v>1</v>
      </c>
    </row>
    <row r="4640" spans="1:8" ht="30">
      <c r="A4640" s="396">
        <v>39711</v>
      </c>
      <c r="B4640" s="401" t="s">
        <v>13369</v>
      </c>
      <c r="C4640" s="396" t="s">
        <v>2024</v>
      </c>
      <c r="D4640" s="405">
        <f t="shared" si="144"/>
        <v>5.42</v>
      </c>
      <c r="F4640" s="679">
        <v>5.42</v>
      </c>
      <c r="G4640" s="679">
        <v>5.42</v>
      </c>
      <c r="H4640" t="b">
        <f t="shared" si="145"/>
        <v>1</v>
      </c>
    </row>
    <row r="4641" spans="1:8" ht="30">
      <c r="A4641" s="395">
        <v>39712</v>
      </c>
      <c r="B4641" s="406" t="s">
        <v>13370</v>
      </c>
      <c r="C4641" s="395" t="s">
        <v>2024</v>
      </c>
      <c r="D4641" s="407">
        <f t="shared" si="144"/>
        <v>1.9</v>
      </c>
      <c r="F4641" s="680">
        <v>1.9</v>
      </c>
      <c r="G4641" s="680">
        <v>1.9</v>
      </c>
      <c r="H4641" t="b">
        <f t="shared" si="145"/>
        <v>1</v>
      </c>
    </row>
    <row r="4642" spans="1:8" ht="30">
      <c r="A4642" s="396">
        <v>39713</v>
      </c>
      <c r="B4642" s="401" t="s">
        <v>13371</v>
      </c>
      <c r="C4642" s="396" t="s">
        <v>2024</v>
      </c>
      <c r="D4642" s="405">
        <f t="shared" si="144"/>
        <v>1.5</v>
      </c>
      <c r="F4642" s="679">
        <v>1.5</v>
      </c>
      <c r="G4642" s="679">
        <v>1.5</v>
      </c>
      <c r="H4642" t="b">
        <f t="shared" si="145"/>
        <v>1</v>
      </c>
    </row>
    <row r="4643" spans="1:8" ht="30">
      <c r="A4643" s="395">
        <v>39714</v>
      </c>
      <c r="B4643" s="406" t="s">
        <v>13372</v>
      </c>
      <c r="C4643" s="395" t="s">
        <v>2024</v>
      </c>
      <c r="D4643" s="407">
        <f t="shared" si="144"/>
        <v>3.44</v>
      </c>
      <c r="F4643" s="680">
        <v>3.44</v>
      </c>
      <c r="G4643" s="680">
        <v>3.44</v>
      </c>
      <c r="H4643" t="b">
        <f t="shared" si="145"/>
        <v>1</v>
      </c>
    </row>
    <row r="4644" spans="1:8" ht="30">
      <c r="A4644" s="396">
        <v>39715</v>
      </c>
      <c r="B4644" s="401" t="s">
        <v>13373</v>
      </c>
      <c r="C4644" s="396" t="s">
        <v>2024</v>
      </c>
      <c r="D4644" s="405">
        <f t="shared" si="144"/>
        <v>2.4500000000000002</v>
      </c>
      <c r="F4644" s="679">
        <v>2.4500000000000002</v>
      </c>
      <c r="G4644" s="679">
        <v>2.4500000000000002</v>
      </c>
      <c r="H4644" t="b">
        <f t="shared" si="145"/>
        <v>1</v>
      </c>
    </row>
    <row r="4645" spans="1:8" ht="30">
      <c r="A4645" s="395">
        <v>39716</v>
      </c>
      <c r="B4645" s="406" t="s">
        <v>13374</v>
      </c>
      <c r="C4645" s="395" t="s">
        <v>2024</v>
      </c>
      <c r="D4645" s="407">
        <f t="shared" si="144"/>
        <v>1.86</v>
      </c>
      <c r="F4645" s="680">
        <v>1.86</v>
      </c>
      <c r="G4645" s="680">
        <v>1.86</v>
      </c>
      <c r="H4645" t="b">
        <f t="shared" si="145"/>
        <v>1</v>
      </c>
    </row>
    <row r="4646" spans="1:8" ht="30">
      <c r="A4646" s="396">
        <v>39718</v>
      </c>
      <c r="B4646" s="401" t="s">
        <v>13375</v>
      </c>
      <c r="C4646" s="396" t="s">
        <v>2024</v>
      </c>
      <c r="D4646" s="405">
        <f t="shared" si="144"/>
        <v>3.16</v>
      </c>
      <c r="F4646" s="679">
        <v>3.16</v>
      </c>
      <c r="G4646" s="679">
        <v>3.16</v>
      </c>
      <c r="H4646" t="b">
        <f t="shared" si="145"/>
        <v>1</v>
      </c>
    </row>
    <row r="4647" spans="1:8" ht="30">
      <c r="A4647" s="395">
        <v>9813</v>
      </c>
      <c r="B4647" s="406" t="s">
        <v>13376</v>
      </c>
      <c r="C4647" s="395" t="s">
        <v>2024</v>
      </c>
      <c r="D4647" s="407">
        <f t="shared" si="144"/>
        <v>5.66</v>
      </c>
      <c r="F4647" s="680">
        <v>5.66</v>
      </c>
      <c r="G4647" s="680">
        <v>5.66</v>
      </c>
      <c r="H4647" t="b">
        <f t="shared" si="145"/>
        <v>1</v>
      </c>
    </row>
    <row r="4648" spans="1:8" ht="30">
      <c r="A4648" s="396">
        <v>9815</v>
      </c>
      <c r="B4648" s="401" t="s">
        <v>13377</v>
      </c>
      <c r="C4648" s="396" t="s">
        <v>2024</v>
      </c>
      <c r="D4648" s="405">
        <f t="shared" si="144"/>
        <v>11.17</v>
      </c>
      <c r="F4648" s="679">
        <v>11.17</v>
      </c>
      <c r="G4648" s="679">
        <v>11.17</v>
      </c>
      <c r="H4648" t="b">
        <f t="shared" si="145"/>
        <v>1</v>
      </c>
    </row>
    <row r="4649" spans="1:8" ht="30">
      <c r="A4649" s="395">
        <v>44543</v>
      </c>
      <c r="B4649" s="406" t="s">
        <v>13378</v>
      </c>
      <c r="C4649" s="395" t="s">
        <v>2024</v>
      </c>
      <c r="D4649" s="407">
        <f t="shared" si="144"/>
        <v>5561.89</v>
      </c>
      <c r="F4649" s="680">
        <v>5561.89</v>
      </c>
      <c r="G4649" s="680">
        <v>5561.89</v>
      </c>
      <c r="H4649" t="b">
        <f t="shared" si="145"/>
        <v>1</v>
      </c>
    </row>
    <row r="4650" spans="1:8" ht="30">
      <c r="A4650" s="396">
        <v>44526</v>
      </c>
      <c r="B4650" s="401" t="s">
        <v>13379</v>
      </c>
      <c r="C4650" s="396" t="s">
        <v>2024</v>
      </c>
      <c r="D4650" s="405">
        <f t="shared" si="144"/>
        <v>136.31</v>
      </c>
      <c r="F4650" s="679">
        <v>136.31</v>
      </c>
      <c r="G4650" s="679">
        <v>136.31</v>
      </c>
      <c r="H4650" t="b">
        <f t="shared" si="145"/>
        <v>1</v>
      </c>
    </row>
    <row r="4651" spans="1:8" ht="30">
      <c r="A4651" s="395">
        <v>44518</v>
      </c>
      <c r="B4651" s="406" t="s">
        <v>13380</v>
      </c>
      <c r="C4651" s="395" t="s">
        <v>2024</v>
      </c>
      <c r="D4651" s="407">
        <f t="shared" si="144"/>
        <v>4094.72</v>
      </c>
      <c r="F4651" s="680">
        <v>4094.72</v>
      </c>
      <c r="G4651" s="680">
        <v>4094.72</v>
      </c>
      <c r="H4651" t="b">
        <f t="shared" si="145"/>
        <v>1</v>
      </c>
    </row>
    <row r="4652" spans="1:8" ht="30">
      <c r="A4652" s="396">
        <v>44544</v>
      </c>
      <c r="B4652" s="401" t="s">
        <v>13381</v>
      </c>
      <c r="C4652" s="396" t="s">
        <v>2024</v>
      </c>
      <c r="D4652" s="405">
        <f t="shared" si="144"/>
        <v>1990.68</v>
      </c>
      <c r="F4652" s="679">
        <v>1990.68</v>
      </c>
      <c r="G4652" s="679">
        <v>1990.68</v>
      </c>
      <c r="H4652" t="b">
        <f t="shared" si="145"/>
        <v>1</v>
      </c>
    </row>
    <row r="4653" spans="1:8" ht="30">
      <c r="A4653" s="395">
        <v>44545</v>
      </c>
      <c r="B4653" s="406" t="s">
        <v>13382</v>
      </c>
      <c r="C4653" s="395" t="s">
        <v>2024</v>
      </c>
      <c r="D4653" s="407">
        <f t="shared" si="144"/>
        <v>292.60000000000002</v>
      </c>
      <c r="F4653" s="680">
        <v>292.60000000000002</v>
      </c>
      <c r="G4653" s="680">
        <v>292.60000000000002</v>
      </c>
      <c r="H4653" t="b">
        <f t="shared" si="145"/>
        <v>1</v>
      </c>
    </row>
    <row r="4654" spans="1:8" ht="30">
      <c r="A4654" s="396">
        <v>44546</v>
      </c>
      <c r="B4654" s="401" t="s">
        <v>13383</v>
      </c>
      <c r="C4654" s="396" t="s">
        <v>2024</v>
      </c>
      <c r="D4654" s="405">
        <f t="shared" si="144"/>
        <v>1306.77</v>
      </c>
      <c r="F4654" s="679">
        <v>1306.77</v>
      </c>
      <c r="G4654" s="679">
        <v>1306.77</v>
      </c>
      <c r="H4654" t="b">
        <f t="shared" si="145"/>
        <v>1</v>
      </c>
    </row>
    <row r="4655" spans="1:8" ht="30">
      <c r="A4655" s="395">
        <v>44525</v>
      </c>
      <c r="B4655" s="406" t="s">
        <v>13384</v>
      </c>
      <c r="C4655" s="395" t="s">
        <v>2024</v>
      </c>
      <c r="D4655" s="407">
        <f t="shared" si="144"/>
        <v>5044.6000000000004</v>
      </c>
      <c r="F4655" s="680">
        <v>5044.6000000000004</v>
      </c>
      <c r="G4655" s="680">
        <v>5044.6000000000004</v>
      </c>
      <c r="H4655" t="b">
        <f t="shared" si="145"/>
        <v>1</v>
      </c>
    </row>
    <row r="4656" spans="1:8" ht="30">
      <c r="A4656" s="396">
        <v>44547</v>
      </c>
      <c r="B4656" s="401" t="s">
        <v>13385</v>
      </c>
      <c r="C4656" s="396" t="s">
        <v>2024</v>
      </c>
      <c r="D4656" s="405">
        <f t="shared" si="144"/>
        <v>456.13</v>
      </c>
      <c r="F4656" s="679">
        <v>456.13</v>
      </c>
      <c r="G4656" s="679">
        <v>456.13</v>
      </c>
      <c r="H4656" t="b">
        <f t="shared" si="145"/>
        <v>1</v>
      </c>
    </row>
    <row r="4657" spans="1:8" ht="30">
      <c r="A4657" s="395">
        <v>44519</v>
      </c>
      <c r="B4657" s="406" t="s">
        <v>13386</v>
      </c>
      <c r="C4657" s="395" t="s">
        <v>2024</v>
      </c>
      <c r="D4657" s="407">
        <f t="shared" si="144"/>
        <v>1117.6300000000001</v>
      </c>
      <c r="F4657" s="680">
        <v>1117.6300000000001</v>
      </c>
      <c r="G4657" s="680">
        <v>1117.6300000000001</v>
      </c>
      <c r="H4657" t="b">
        <f t="shared" si="145"/>
        <v>1</v>
      </c>
    </row>
    <row r="4658" spans="1:8" ht="30">
      <c r="A4658" s="396">
        <v>44520</v>
      </c>
      <c r="B4658" s="401" t="s">
        <v>13387</v>
      </c>
      <c r="C4658" s="396" t="s">
        <v>2024</v>
      </c>
      <c r="D4658" s="405">
        <f t="shared" si="144"/>
        <v>1800.1</v>
      </c>
      <c r="F4658" s="679">
        <v>1800.1</v>
      </c>
      <c r="G4658" s="679">
        <v>1800.1</v>
      </c>
      <c r="H4658" t="b">
        <f t="shared" si="145"/>
        <v>1</v>
      </c>
    </row>
    <row r="4659" spans="1:8" ht="30">
      <c r="A4659" s="395">
        <v>44521</v>
      </c>
      <c r="B4659" s="406" t="s">
        <v>13388</v>
      </c>
      <c r="C4659" s="395" t="s">
        <v>2024</v>
      </c>
      <c r="D4659" s="407">
        <f t="shared" si="144"/>
        <v>29.04</v>
      </c>
      <c r="F4659" s="680">
        <v>29.04</v>
      </c>
      <c r="G4659" s="680">
        <v>29.04</v>
      </c>
      <c r="H4659" t="b">
        <f t="shared" si="145"/>
        <v>1</v>
      </c>
    </row>
    <row r="4660" spans="1:8" ht="30">
      <c r="A4660" s="396">
        <v>44522</v>
      </c>
      <c r="B4660" s="401" t="s">
        <v>13389</v>
      </c>
      <c r="C4660" s="396" t="s">
        <v>2024</v>
      </c>
      <c r="D4660" s="405">
        <f t="shared" si="144"/>
        <v>3160.3</v>
      </c>
      <c r="F4660" s="679">
        <v>3160.3</v>
      </c>
      <c r="G4660" s="679">
        <v>3160.3</v>
      </c>
      <c r="H4660" t="b">
        <f t="shared" si="145"/>
        <v>1</v>
      </c>
    </row>
    <row r="4661" spans="1:8" ht="30">
      <c r="A4661" s="395">
        <v>44523</v>
      </c>
      <c r="B4661" s="406" t="s">
        <v>13390</v>
      </c>
      <c r="C4661" s="395" t="s">
        <v>2024</v>
      </c>
      <c r="D4661" s="407">
        <f t="shared" si="144"/>
        <v>4700.26</v>
      </c>
      <c r="F4661" s="680">
        <v>4700.26</v>
      </c>
      <c r="G4661" s="680">
        <v>4700.26</v>
      </c>
      <c r="H4661" t="b">
        <f t="shared" si="145"/>
        <v>1</v>
      </c>
    </row>
    <row r="4662" spans="1:8" ht="30">
      <c r="A4662" s="396">
        <v>44527</v>
      </c>
      <c r="B4662" s="401" t="s">
        <v>13391</v>
      </c>
      <c r="C4662" s="396" t="s">
        <v>2024</v>
      </c>
      <c r="D4662" s="405">
        <f t="shared" si="144"/>
        <v>2357.06</v>
      </c>
      <c r="F4662" s="679">
        <v>2357.06</v>
      </c>
      <c r="G4662" s="679">
        <v>2357.06</v>
      </c>
      <c r="H4662" t="b">
        <f t="shared" si="145"/>
        <v>1</v>
      </c>
    </row>
    <row r="4663" spans="1:8" ht="30">
      <c r="A4663" s="395">
        <v>44524</v>
      </c>
      <c r="B4663" s="406" t="s">
        <v>13392</v>
      </c>
      <c r="C4663" s="395" t="s">
        <v>2024</v>
      </c>
      <c r="D4663" s="407">
        <f t="shared" si="144"/>
        <v>64.94</v>
      </c>
      <c r="F4663" s="680">
        <v>64.94</v>
      </c>
      <c r="G4663" s="680">
        <v>64.94</v>
      </c>
      <c r="H4663" t="b">
        <f t="shared" si="145"/>
        <v>1</v>
      </c>
    </row>
    <row r="4664" spans="1:8" ht="30">
      <c r="A4664" s="396">
        <v>44542</v>
      </c>
      <c r="B4664" s="401" t="s">
        <v>13393</v>
      </c>
      <c r="C4664" s="396" t="s">
        <v>2024</v>
      </c>
      <c r="D4664" s="405">
        <f t="shared" si="144"/>
        <v>3075.17</v>
      </c>
      <c r="F4664" s="679">
        <v>3075.17</v>
      </c>
      <c r="G4664" s="679">
        <v>3075.17</v>
      </c>
      <c r="H4664" t="b">
        <f t="shared" si="145"/>
        <v>1</v>
      </c>
    </row>
    <row r="4665" spans="1:8">
      <c r="A4665" s="395">
        <v>9877</v>
      </c>
      <c r="B4665" s="406" t="s">
        <v>13394</v>
      </c>
      <c r="C4665" s="395" t="s">
        <v>2024</v>
      </c>
      <c r="D4665" s="407">
        <f t="shared" si="144"/>
        <v>152.01</v>
      </c>
      <c r="F4665" s="680">
        <v>152.01</v>
      </c>
      <c r="G4665" s="680">
        <v>152.01</v>
      </c>
      <c r="H4665" t="b">
        <f t="shared" si="145"/>
        <v>1</v>
      </c>
    </row>
    <row r="4666" spans="1:8">
      <c r="A4666" s="396">
        <v>9878</v>
      </c>
      <c r="B4666" s="401" t="s">
        <v>13395</v>
      </c>
      <c r="C4666" s="396" t="s">
        <v>2024</v>
      </c>
      <c r="D4666" s="405">
        <f t="shared" si="144"/>
        <v>187.14</v>
      </c>
      <c r="F4666" s="679">
        <v>187.14</v>
      </c>
      <c r="G4666" s="679">
        <v>187.14</v>
      </c>
      <c r="H4666" t="b">
        <f t="shared" si="145"/>
        <v>1</v>
      </c>
    </row>
    <row r="4667" spans="1:8" ht="30">
      <c r="A4667" s="395">
        <v>41986</v>
      </c>
      <c r="B4667" s="406" t="s">
        <v>13396</v>
      </c>
      <c r="C4667" s="395" t="s">
        <v>2024</v>
      </c>
      <c r="D4667" s="407">
        <f t="shared" si="144"/>
        <v>3596.9</v>
      </c>
      <c r="F4667" s="680">
        <v>3596.9</v>
      </c>
      <c r="G4667" s="680">
        <v>3596.9</v>
      </c>
      <c r="H4667" t="b">
        <f t="shared" si="145"/>
        <v>1</v>
      </c>
    </row>
    <row r="4668" spans="1:8" ht="30">
      <c r="A4668" s="396">
        <v>43422</v>
      </c>
      <c r="B4668" s="401" t="s">
        <v>13397</v>
      </c>
      <c r="C4668" s="396" t="s">
        <v>2024</v>
      </c>
      <c r="D4668" s="405">
        <f t="shared" si="144"/>
        <v>4411.25</v>
      </c>
      <c r="F4668" s="679">
        <v>4411.25</v>
      </c>
      <c r="G4668" s="679">
        <v>4411.25</v>
      </c>
      <c r="H4668" t="b">
        <f t="shared" si="145"/>
        <v>1</v>
      </c>
    </row>
    <row r="4669" spans="1:8" ht="30">
      <c r="A4669" s="395">
        <v>41987</v>
      </c>
      <c r="B4669" s="406" t="s">
        <v>13398</v>
      </c>
      <c r="C4669" s="395" t="s">
        <v>2024</v>
      </c>
      <c r="D4669" s="407">
        <f t="shared" si="144"/>
        <v>5113</v>
      </c>
      <c r="F4669" s="680">
        <v>5113</v>
      </c>
      <c r="G4669" s="680">
        <v>5113</v>
      </c>
      <c r="H4669" t="b">
        <f t="shared" si="145"/>
        <v>1</v>
      </c>
    </row>
    <row r="4670" spans="1:8" ht="30">
      <c r="A4670" s="396">
        <v>41988</v>
      </c>
      <c r="B4670" s="401" t="s">
        <v>13399</v>
      </c>
      <c r="C4670" s="396" t="s">
        <v>2024</v>
      </c>
      <c r="D4670" s="405">
        <f t="shared" si="144"/>
        <v>6753.55</v>
      </c>
      <c r="F4670" s="679">
        <v>6753.55</v>
      </c>
      <c r="G4670" s="679">
        <v>6753.55</v>
      </c>
      <c r="H4670" t="b">
        <f t="shared" si="145"/>
        <v>1</v>
      </c>
    </row>
    <row r="4671" spans="1:8" ht="30">
      <c r="A4671" s="395">
        <v>41697</v>
      </c>
      <c r="B4671" s="406" t="s">
        <v>13400</v>
      </c>
      <c r="C4671" s="395" t="s">
        <v>2024</v>
      </c>
      <c r="D4671" s="407">
        <f t="shared" si="144"/>
        <v>1197.04</v>
      </c>
      <c r="F4671" s="680">
        <v>1197.04</v>
      </c>
      <c r="G4671" s="680">
        <v>1197.04</v>
      </c>
      <c r="H4671" t="b">
        <f t="shared" si="145"/>
        <v>1</v>
      </c>
    </row>
    <row r="4672" spans="1:8" ht="30">
      <c r="A4672" s="396">
        <v>41985</v>
      </c>
      <c r="B4672" s="401" t="s">
        <v>13401</v>
      </c>
      <c r="C4672" s="396" t="s">
        <v>2024</v>
      </c>
      <c r="D4672" s="405">
        <f t="shared" si="144"/>
        <v>1667.16</v>
      </c>
      <c r="F4672" s="679">
        <v>1667.16</v>
      </c>
      <c r="G4672" s="679">
        <v>1667.16</v>
      </c>
      <c r="H4672" t="b">
        <f t="shared" si="145"/>
        <v>1</v>
      </c>
    </row>
    <row r="4673" spans="1:8" ht="30">
      <c r="A4673" s="395">
        <v>41699</v>
      </c>
      <c r="B4673" s="406" t="s">
        <v>13402</v>
      </c>
      <c r="C4673" s="395" t="s">
        <v>2024</v>
      </c>
      <c r="D4673" s="407">
        <f t="shared" si="144"/>
        <v>2373.96</v>
      </c>
      <c r="F4673" s="680">
        <v>2373.96</v>
      </c>
      <c r="G4673" s="680">
        <v>2373.96</v>
      </c>
      <c r="H4673" t="b">
        <f t="shared" si="145"/>
        <v>1</v>
      </c>
    </row>
    <row r="4674" spans="1:8" ht="30">
      <c r="A4674" s="396">
        <v>38053</v>
      </c>
      <c r="B4674" s="401" t="s">
        <v>13403</v>
      </c>
      <c r="C4674" s="396" t="s">
        <v>2024</v>
      </c>
      <c r="D4674" s="405">
        <f t="shared" si="144"/>
        <v>23.38</v>
      </c>
      <c r="F4674" s="679">
        <v>23.38</v>
      </c>
      <c r="G4674" s="679">
        <v>23.38</v>
      </c>
      <c r="H4674" t="b">
        <f t="shared" si="145"/>
        <v>1</v>
      </c>
    </row>
    <row r="4675" spans="1:8" ht="30">
      <c r="A4675" s="395">
        <v>38054</v>
      </c>
      <c r="B4675" s="406" t="s">
        <v>13404</v>
      </c>
      <c r="C4675" s="395" t="s">
        <v>2024</v>
      </c>
      <c r="D4675" s="407">
        <f t="shared" ref="D4675:D4738" si="146">IF($J$2=$F$1,F4675,G4675)</f>
        <v>40.19</v>
      </c>
      <c r="F4675" s="680">
        <v>40.19</v>
      </c>
      <c r="G4675" s="680">
        <v>40.19</v>
      </c>
      <c r="H4675" t="b">
        <f t="shared" ref="H4675:H4738" si="147">F4675=G4675</f>
        <v>1</v>
      </c>
    </row>
    <row r="4676" spans="1:8" ht="30">
      <c r="A4676" s="396">
        <v>38052</v>
      </c>
      <c r="B4676" s="401" t="s">
        <v>13405</v>
      </c>
      <c r="C4676" s="396" t="s">
        <v>2024</v>
      </c>
      <c r="D4676" s="405">
        <f t="shared" si="146"/>
        <v>11.32</v>
      </c>
      <c r="F4676" s="679">
        <v>11.32</v>
      </c>
      <c r="G4676" s="679">
        <v>11.32</v>
      </c>
      <c r="H4676" t="b">
        <f t="shared" si="147"/>
        <v>1</v>
      </c>
    </row>
    <row r="4677" spans="1:8" ht="30">
      <c r="A4677" s="395">
        <v>38051</v>
      </c>
      <c r="B4677" s="406" t="s">
        <v>13406</v>
      </c>
      <c r="C4677" s="395" t="s">
        <v>2024</v>
      </c>
      <c r="D4677" s="407">
        <f t="shared" si="146"/>
        <v>7.06</v>
      </c>
      <c r="F4677" s="680">
        <v>7.06</v>
      </c>
      <c r="G4677" s="680">
        <v>7.06</v>
      </c>
      <c r="H4677" t="b">
        <f t="shared" si="147"/>
        <v>1</v>
      </c>
    </row>
    <row r="4678" spans="1:8">
      <c r="A4678" s="396">
        <v>38787</v>
      </c>
      <c r="B4678" s="401" t="s">
        <v>13407</v>
      </c>
      <c r="C4678" s="396" t="s">
        <v>2024</v>
      </c>
      <c r="D4678" s="405">
        <f t="shared" si="146"/>
        <v>5.69</v>
      </c>
      <c r="F4678" s="679">
        <v>5.69</v>
      </c>
      <c r="G4678" s="679">
        <v>5.69</v>
      </c>
      <c r="H4678" t="b">
        <f t="shared" si="147"/>
        <v>1</v>
      </c>
    </row>
    <row r="4679" spans="1:8">
      <c r="A4679" s="395">
        <v>38825</v>
      </c>
      <c r="B4679" s="406" t="s">
        <v>13408</v>
      </c>
      <c r="C4679" s="395" t="s">
        <v>2024</v>
      </c>
      <c r="D4679" s="407">
        <f t="shared" si="146"/>
        <v>7.35</v>
      </c>
      <c r="F4679" s="680">
        <v>7.35</v>
      </c>
      <c r="G4679" s="680">
        <v>7.35</v>
      </c>
      <c r="H4679" t="b">
        <f t="shared" si="147"/>
        <v>1</v>
      </c>
    </row>
    <row r="4680" spans="1:8">
      <c r="A4680" s="396">
        <v>38826</v>
      </c>
      <c r="B4680" s="401" t="s">
        <v>13409</v>
      </c>
      <c r="C4680" s="396" t="s">
        <v>2024</v>
      </c>
      <c r="D4680" s="405">
        <f t="shared" si="146"/>
        <v>10.46</v>
      </c>
      <c r="F4680" s="679">
        <v>10.46</v>
      </c>
      <c r="G4680" s="679">
        <v>10.46</v>
      </c>
      <c r="H4680" t="b">
        <f t="shared" si="147"/>
        <v>1</v>
      </c>
    </row>
    <row r="4681" spans="1:8">
      <c r="A4681" s="395">
        <v>38827</v>
      </c>
      <c r="B4681" s="406" t="s">
        <v>13410</v>
      </c>
      <c r="C4681" s="395" t="s">
        <v>2024</v>
      </c>
      <c r="D4681" s="407">
        <f t="shared" si="146"/>
        <v>17.11</v>
      </c>
      <c r="F4681" s="680">
        <v>17.11</v>
      </c>
      <c r="G4681" s="680">
        <v>17.11</v>
      </c>
      <c r="H4681" t="b">
        <f t="shared" si="147"/>
        <v>1</v>
      </c>
    </row>
    <row r="4682" spans="1:8">
      <c r="A4682" s="396">
        <v>38830</v>
      </c>
      <c r="B4682" s="401" t="s">
        <v>13411</v>
      </c>
      <c r="C4682" s="396" t="s">
        <v>2024</v>
      </c>
      <c r="D4682" s="405">
        <f t="shared" si="146"/>
        <v>24.85</v>
      </c>
      <c r="F4682" s="679">
        <v>24.85</v>
      </c>
      <c r="G4682" s="679">
        <v>24.85</v>
      </c>
      <c r="H4682" t="b">
        <f t="shared" si="147"/>
        <v>1</v>
      </c>
    </row>
    <row r="4683" spans="1:8">
      <c r="A4683" s="395">
        <v>38828</v>
      </c>
      <c r="B4683" s="406" t="s">
        <v>13412</v>
      </c>
      <c r="C4683" s="395" t="s">
        <v>2024</v>
      </c>
      <c r="D4683" s="407">
        <f t="shared" si="146"/>
        <v>10.96</v>
      </c>
      <c r="F4683" s="680">
        <v>10.96</v>
      </c>
      <c r="G4683" s="680">
        <v>10.96</v>
      </c>
      <c r="H4683" t="b">
        <f t="shared" si="147"/>
        <v>1</v>
      </c>
    </row>
    <row r="4684" spans="1:8">
      <c r="A4684" s="396">
        <v>38829</v>
      </c>
      <c r="B4684" s="401" t="s">
        <v>13413</v>
      </c>
      <c r="C4684" s="396" t="s">
        <v>2024</v>
      </c>
      <c r="D4684" s="405">
        <f t="shared" si="146"/>
        <v>17.95</v>
      </c>
      <c r="F4684" s="679">
        <v>17.95</v>
      </c>
      <c r="G4684" s="679">
        <v>17.95</v>
      </c>
      <c r="H4684" t="b">
        <f t="shared" si="147"/>
        <v>1</v>
      </c>
    </row>
    <row r="4685" spans="1:8">
      <c r="A4685" s="395">
        <v>38831</v>
      </c>
      <c r="B4685" s="406" t="s">
        <v>13414</v>
      </c>
      <c r="C4685" s="395" t="s">
        <v>2024</v>
      </c>
      <c r="D4685" s="407">
        <f t="shared" si="146"/>
        <v>34.659999999999997</v>
      </c>
      <c r="F4685" s="680">
        <v>34.659999999999997</v>
      </c>
      <c r="G4685" s="680">
        <v>34.659999999999997</v>
      </c>
      <c r="H4685" t="b">
        <f t="shared" si="147"/>
        <v>1</v>
      </c>
    </row>
    <row r="4686" spans="1:8">
      <c r="A4686" s="396">
        <v>36274</v>
      </c>
      <c r="B4686" s="401" t="s">
        <v>13415</v>
      </c>
      <c r="C4686" s="396" t="s">
        <v>2024</v>
      </c>
      <c r="D4686" s="405">
        <f t="shared" si="146"/>
        <v>9.2899999999999991</v>
      </c>
      <c r="F4686" s="679">
        <v>9.2899999999999991</v>
      </c>
      <c r="G4686" s="679">
        <v>9.2899999999999991</v>
      </c>
      <c r="H4686" t="b">
        <f t="shared" si="147"/>
        <v>1</v>
      </c>
    </row>
    <row r="4687" spans="1:8">
      <c r="A4687" s="395">
        <v>36278</v>
      </c>
      <c r="B4687" s="406" t="s">
        <v>13416</v>
      </c>
      <c r="C4687" s="395" t="s">
        <v>2024</v>
      </c>
      <c r="D4687" s="407">
        <f t="shared" si="146"/>
        <v>12.6</v>
      </c>
      <c r="F4687" s="680">
        <v>12.6</v>
      </c>
      <c r="G4687" s="680">
        <v>12.6</v>
      </c>
      <c r="H4687" t="b">
        <f t="shared" si="147"/>
        <v>1</v>
      </c>
    </row>
    <row r="4688" spans="1:8">
      <c r="A4688" s="396">
        <v>38977</v>
      </c>
      <c r="B4688" s="401" t="s">
        <v>13417</v>
      </c>
      <c r="C4688" s="396" t="s">
        <v>2024</v>
      </c>
      <c r="D4688" s="405">
        <f t="shared" si="146"/>
        <v>123.24</v>
      </c>
      <c r="F4688" s="679">
        <v>123.24</v>
      </c>
      <c r="G4688" s="679">
        <v>123.24</v>
      </c>
      <c r="H4688" t="b">
        <f t="shared" si="147"/>
        <v>1</v>
      </c>
    </row>
    <row r="4689" spans="1:8">
      <c r="A4689" s="395">
        <v>38971</v>
      </c>
      <c r="B4689" s="406" t="s">
        <v>13418</v>
      </c>
      <c r="C4689" s="395" t="s">
        <v>2024</v>
      </c>
      <c r="D4689" s="407">
        <f t="shared" si="146"/>
        <v>10.34</v>
      </c>
      <c r="F4689" s="680">
        <v>10.34</v>
      </c>
      <c r="G4689" s="680">
        <v>10.34</v>
      </c>
      <c r="H4689" t="b">
        <f t="shared" si="147"/>
        <v>1</v>
      </c>
    </row>
    <row r="4690" spans="1:8">
      <c r="A4690" s="396">
        <v>38972</v>
      </c>
      <c r="B4690" s="401" t="s">
        <v>13419</v>
      </c>
      <c r="C4690" s="396" t="s">
        <v>2024</v>
      </c>
      <c r="D4690" s="405">
        <f t="shared" si="146"/>
        <v>13.94</v>
      </c>
      <c r="F4690" s="679">
        <v>13.94</v>
      </c>
      <c r="G4690" s="679">
        <v>13.94</v>
      </c>
      <c r="H4690" t="b">
        <f t="shared" si="147"/>
        <v>1</v>
      </c>
    </row>
    <row r="4691" spans="1:8">
      <c r="A4691" s="395">
        <v>38973</v>
      </c>
      <c r="B4691" s="406" t="s">
        <v>13420</v>
      </c>
      <c r="C4691" s="395" t="s">
        <v>2024</v>
      </c>
      <c r="D4691" s="407">
        <f t="shared" si="146"/>
        <v>23.04</v>
      </c>
      <c r="F4691" s="680">
        <v>23.04</v>
      </c>
      <c r="G4691" s="680">
        <v>23.04</v>
      </c>
      <c r="H4691" t="b">
        <f t="shared" si="147"/>
        <v>1</v>
      </c>
    </row>
    <row r="4692" spans="1:8">
      <c r="A4692" s="396">
        <v>38974</v>
      </c>
      <c r="B4692" s="401" t="s">
        <v>13421</v>
      </c>
      <c r="C4692" s="396" t="s">
        <v>2024</v>
      </c>
      <c r="D4692" s="405">
        <f t="shared" si="146"/>
        <v>37.42</v>
      </c>
      <c r="F4692" s="679">
        <v>37.42</v>
      </c>
      <c r="G4692" s="679">
        <v>37.42</v>
      </c>
      <c r="H4692" t="b">
        <f t="shared" si="147"/>
        <v>1</v>
      </c>
    </row>
    <row r="4693" spans="1:8">
      <c r="A4693" s="395">
        <v>38975</v>
      </c>
      <c r="B4693" s="406" t="s">
        <v>13422</v>
      </c>
      <c r="C4693" s="395" t="s">
        <v>2024</v>
      </c>
      <c r="D4693" s="407">
        <f t="shared" si="146"/>
        <v>47.98</v>
      </c>
      <c r="F4693" s="680">
        <v>47.98</v>
      </c>
      <c r="G4693" s="680">
        <v>47.98</v>
      </c>
      <c r="H4693" t="b">
        <f t="shared" si="147"/>
        <v>1</v>
      </c>
    </row>
    <row r="4694" spans="1:8">
      <c r="A4694" s="396">
        <v>38976</v>
      </c>
      <c r="B4694" s="401" t="s">
        <v>13423</v>
      </c>
      <c r="C4694" s="396" t="s">
        <v>2024</v>
      </c>
      <c r="D4694" s="405">
        <f t="shared" si="146"/>
        <v>82.49</v>
      </c>
      <c r="F4694" s="679">
        <v>82.49</v>
      </c>
      <c r="G4694" s="679">
        <v>82.49</v>
      </c>
      <c r="H4694" t="b">
        <f t="shared" si="147"/>
        <v>1</v>
      </c>
    </row>
    <row r="4695" spans="1:8">
      <c r="A4695" s="395">
        <v>44176</v>
      </c>
      <c r="B4695" s="406" t="s">
        <v>13424</v>
      </c>
      <c r="C4695" s="395" t="s">
        <v>2024</v>
      </c>
      <c r="D4695" s="407">
        <f t="shared" si="146"/>
        <v>18.96</v>
      </c>
      <c r="F4695" s="680">
        <v>18.96</v>
      </c>
      <c r="G4695" s="680">
        <v>18.96</v>
      </c>
      <c r="H4695" t="b">
        <f t="shared" si="147"/>
        <v>1</v>
      </c>
    </row>
    <row r="4696" spans="1:8">
      <c r="A4696" s="396">
        <v>38986</v>
      </c>
      <c r="B4696" s="401" t="s">
        <v>13425</v>
      </c>
      <c r="C4696" s="396" t="s">
        <v>2024</v>
      </c>
      <c r="D4696" s="405">
        <f t="shared" si="146"/>
        <v>249</v>
      </c>
      <c r="F4696" s="679">
        <v>249</v>
      </c>
      <c r="G4696" s="679">
        <v>249</v>
      </c>
      <c r="H4696" t="b">
        <f t="shared" si="147"/>
        <v>1</v>
      </c>
    </row>
    <row r="4697" spans="1:8">
      <c r="A4697" s="395">
        <v>38978</v>
      </c>
      <c r="B4697" s="406" t="s">
        <v>13426</v>
      </c>
      <c r="C4697" s="395" t="s">
        <v>2024</v>
      </c>
      <c r="D4697" s="407">
        <f t="shared" si="146"/>
        <v>10.210000000000001</v>
      </c>
      <c r="F4697" s="680">
        <v>10.210000000000001</v>
      </c>
      <c r="G4697" s="680">
        <v>10.210000000000001</v>
      </c>
      <c r="H4697" t="b">
        <f t="shared" si="147"/>
        <v>1</v>
      </c>
    </row>
    <row r="4698" spans="1:8">
      <c r="A4698" s="396">
        <v>38979</v>
      </c>
      <c r="B4698" s="401" t="s">
        <v>13427</v>
      </c>
      <c r="C4698" s="396" t="s">
        <v>2024</v>
      </c>
      <c r="D4698" s="405">
        <f t="shared" si="146"/>
        <v>14.12</v>
      </c>
      <c r="F4698" s="679">
        <v>14.12</v>
      </c>
      <c r="G4698" s="679">
        <v>14.12</v>
      </c>
      <c r="H4698" t="b">
        <f t="shared" si="147"/>
        <v>1</v>
      </c>
    </row>
    <row r="4699" spans="1:8">
      <c r="A4699" s="395">
        <v>38980</v>
      </c>
      <c r="B4699" s="406" t="s">
        <v>13428</v>
      </c>
      <c r="C4699" s="395" t="s">
        <v>2024</v>
      </c>
      <c r="D4699" s="407">
        <f t="shared" si="146"/>
        <v>18.899999999999999</v>
      </c>
      <c r="F4699" s="680">
        <v>18.899999999999999</v>
      </c>
      <c r="G4699" s="680">
        <v>18.899999999999999</v>
      </c>
      <c r="H4699" t="b">
        <f t="shared" si="147"/>
        <v>1</v>
      </c>
    </row>
    <row r="4700" spans="1:8">
      <c r="A4700" s="396">
        <v>38981</v>
      </c>
      <c r="B4700" s="401" t="s">
        <v>13429</v>
      </c>
      <c r="C4700" s="396" t="s">
        <v>2024</v>
      </c>
      <c r="D4700" s="405">
        <f t="shared" si="146"/>
        <v>27.27</v>
      </c>
      <c r="F4700" s="679">
        <v>27.27</v>
      </c>
      <c r="G4700" s="679">
        <v>27.27</v>
      </c>
      <c r="H4700" t="b">
        <f t="shared" si="147"/>
        <v>1</v>
      </c>
    </row>
    <row r="4701" spans="1:8">
      <c r="A4701" s="395">
        <v>38982</v>
      </c>
      <c r="B4701" s="406" t="s">
        <v>13430</v>
      </c>
      <c r="C4701" s="395" t="s">
        <v>2024</v>
      </c>
      <c r="D4701" s="407">
        <f t="shared" si="146"/>
        <v>43.09</v>
      </c>
      <c r="F4701" s="680">
        <v>43.09</v>
      </c>
      <c r="G4701" s="680">
        <v>43.09</v>
      </c>
      <c r="H4701" t="b">
        <f t="shared" si="147"/>
        <v>1</v>
      </c>
    </row>
    <row r="4702" spans="1:8">
      <c r="A4702" s="396">
        <v>38983</v>
      </c>
      <c r="B4702" s="401" t="s">
        <v>13431</v>
      </c>
      <c r="C4702" s="396" t="s">
        <v>2024</v>
      </c>
      <c r="D4702" s="405">
        <f t="shared" si="146"/>
        <v>75.819999999999993</v>
      </c>
      <c r="F4702" s="679">
        <v>75.819999999999993</v>
      </c>
      <c r="G4702" s="679">
        <v>75.819999999999993</v>
      </c>
      <c r="H4702" t="b">
        <f t="shared" si="147"/>
        <v>1</v>
      </c>
    </row>
    <row r="4703" spans="1:8">
      <c r="A4703" s="395">
        <v>38984</v>
      </c>
      <c r="B4703" s="406" t="s">
        <v>13432</v>
      </c>
      <c r="C4703" s="395" t="s">
        <v>2024</v>
      </c>
      <c r="D4703" s="407">
        <f t="shared" si="146"/>
        <v>104.22</v>
      </c>
      <c r="F4703" s="680">
        <v>104.22</v>
      </c>
      <c r="G4703" s="680">
        <v>104.22</v>
      </c>
      <c r="H4703" t="b">
        <f t="shared" si="147"/>
        <v>1</v>
      </c>
    </row>
    <row r="4704" spans="1:8">
      <c r="A4704" s="396">
        <v>38985</v>
      </c>
      <c r="B4704" s="401" t="s">
        <v>13433</v>
      </c>
      <c r="C4704" s="396" t="s">
        <v>2024</v>
      </c>
      <c r="D4704" s="405">
        <f t="shared" si="146"/>
        <v>179.19</v>
      </c>
      <c r="F4704" s="679">
        <v>179.19</v>
      </c>
      <c r="G4704" s="679">
        <v>179.19</v>
      </c>
      <c r="H4704" t="b">
        <f t="shared" si="147"/>
        <v>1</v>
      </c>
    </row>
    <row r="4705" spans="1:8">
      <c r="A4705" s="395">
        <v>9836</v>
      </c>
      <c r="B4705" s="406" t="s">
        <v>13434</v>
      </c>
      <c r="C4705" s="395" t="s">
        <v>2024</v>
      </c>
      <c r="D4705" s="407">
        <f t="shared" si="146"/>
        <v>18.32</v>
      </c>
      <c r="F4705" s="680">
        <v>18.32</v>
      </c>
      <c r="G4705" s="680">
        <v>18.32</v>
      </c>
      <c r="H4705" t="b">
        <f t="shared" si="147"/>
        <v>1</v>
      </c>
    </row>
    <row r="4706" spans="1:8">
      <c r="A4706" s="396">
        <v>20065</v>
      </c>
      <c r="B4706" s="401" t="s">
        <v>13435</v>
      </c>
      <c r="C4706" s="396" t="s">
        <v>2024</v>
      </c>
      <c r="D4706" s="405">
        <f t="shared" si="146"/>
        <v>47.89</v>
      </c>
      <c r="F4706" s="679">
        <v>47.89</v>
      </c>
      <c r="G4706" s="679">
        <v>47.89</v>
      </c>
      <c r="H4706" t="b">
        <f t="shared" si="147"/>
        <v>1</v>
      </c>
    </row>
    <row r="4707" spans="1:8">
      <c r="A4707" s="395">
        <v>9835</v>
      </c>
      <c r="B4707" s="406" t="s">
        <v>13436</v>
      </c>
      <c r="C4707" s="395" t="s">
        <v>2024</v>
      </c>
      <c r="D4707" s="407">
        <f t="shared" si="146"/>
        <v>8</v>
      </c>
      <c r="F4707" s="680">
        <v>8</v>
      </c>
      <c r="G4707" s="680">
        <v>8</v>
      </c>
      <c r="H4707" t="b">
        <f t="shared" si="147"/>
        <v>1</v>
      </c>
    </row>
    <row r="4708" spans="1:8">
      <c r="A4708" s="396">
        <v>38032</v>
      </c>
      <c r="B4708" s="401" t="s">
        <v>13437</v>
      </c>
      <c r="C4708" s="396" t="s">
        <v>2024</v>
      </c>
      <c r="D4708" s="405">
        <f t="shared" si="146"/>
        <v>72.39</v>
      </c>
      <c r="F4708" s="679">
        <v>72.39</v>
      </c>
      <c r="G4708" s="679">
        <v>72.39</v>
      </c>
      <c r="H4708" t="b">
        <f t="shared" si="147"/>
        <v>1</v>
      </c>
    </row>
    <row r="4709" spans="1:8">
      <c r="A4709" s="395">
        <v>38033</v>
      </c>
      <c r="B4709" s="406" t="s">
        <v>13438</v>
      </c>
      <c r="C4709" s="395" t="s">
        <v>2024</v>
      </c>
      <c r="D4709" s="407">
        <f t="shared" si="146"/>
        <v>123.05</v>
      </c>
      <c r="F4709" s="680">
        <v>123.05</v>
      </c>
      <c r="G4709" s="680">
        <v>123.05</v>
      </c>
      <c r="H4709" t="b">
        <f t="shared" si="147"/>
        <v>1</v>
      </c>
    </row>
    <row r="4710" spans="1:8">
      <c r="A4710" s="396">
        <v>38034</v>
      </c>
      <c r="B4710" s="401" t="s">
        <v>13439</v>
      </c>
      <c r="C4710" s="396" t="s">
        <v>2024</v>
      </c>
      <c r="D4710" s="405">
        <f t="shared" si="146"/>
        <v>192.76</v>
      </c>
      <c r="F4710" s="679">
        <v>192.76</v>
      </c>
      <c r="G4710" s="679">
        <v>192.76</v>
      </c>
      <c r="H4710" t="b">
        <f t="shared" si="147"/>
        <v>1</v>
      </c>
    </row>
    <row r="4711" spans="1:8">
      <c r="A4711" s="395">
        <v>38035</v>
      </c>
      <c r="B4711" s="406" t="s">
        <v>13440</v>
      </c>
      <c r="C4711" s="395" t="s">
        <v>2024</v>
      </c>
      <c r="D4711" s="407">
        <f t="shared" si="146"/>
        <v>283.58</v>
      </c>
      <c r="F4711" s="680">
        <v>283.58</v>
      </c>
      <c r="G4711" s="680">
        <v>283.58</v>
      </c>
      <c r="H4711" t="b">
        <f t="shared" si="147"/>
        <v>1</v>
      </c>
    </row>
    <row r="4712" spans="1:8">
      <c r="A4712" s="396">
        <v>38036</v>
      </c>
      <c r="B4712" s="401" t="s">
        <v>13441</v>
      </c>
      <c r="C4712" s="396" t="s">
        <v>2024</v>
      </c>
      <c r="D4712" s="405">
        <f t="shared" si="146"/>
        <v>382.02</v>
      </c>
      <c r="F4712" s="679">
        <v>382.02</v>
      </c>
      <c r="G4712" s="679">
        <v>382.02</v>
      </c>
      <c r="H4712" t="b">
        <f t="shared" si="147"/>
        <v>1</v>
      </c>
    </row>
    <row r="4713" spans="1:8">
      <c r="A4713" s="395">
        <v>38037</v>
      </c>
      <c r="B4713" s="406" t="s">
        <v>13442</v>
      </c>
      <c r="C4713" s="395" t="s">
        <v>2024</v>
      </c>
      <c r="D4713" s="407">
        <f t="shared" si="146"/>
        <v>504.6</v>
      </c>
      <c r="F4713" s="680">
        <v>504.6</v>
      </c>
      <c r="G4713" s="680">
        <v>504.6</v>
      </c>
      <c r="H4713" t="b">
        <f t="shared" si="147"/>
        <v>1</v>
      </c>
    </row>
    <row r="4714" spans="1:8">
      <c r="A4714" s="396">
        <v>9850</v>
      </c>
      <c r="B4714" s="401" t="s">
        <v>13443</v>
      </c>
      <c r="C4714" s="396" t="s">
        <v>2024</v>
      </c>
      <c r="D4714" s="405">
        <f t="shared" si="146"/>
        <v>147.75</v>
      </c>
      <c r="F4714" s="679">
        <v>147.75</v>
      </c>
      <c r="G4714" s="679">
        <v>147.75</v>
      </c>
      <c r="H4714" t="b">
        <f t="shared" si="147"/>
        <v>1</v>
      </c>
    </row>
    <row r="4715" spans="1:8">
      <c r="A4715" s="395">
        <v>9853</v>
      </c>
      <c r="B4715" s="406" t="s">
        <v>13444</v>
      </c>
      <c r="C4715" s="395" t="s">
        <v>2024</v>
      </c>
      <c r="D4715" s="407">
        <f t="shared" si="146"/>
        <v>262.74</v>
      </c>
      <c r="F4715" s="680">
        <v>262.74</v>
      </c>
      <c r="G4715" s="680">
        <v>262.74</v>
      </c>
      <c r="H4715" t="b">
        <f t="shared" si="147"/>
        <v>1</v>
      </c>
    </row>
    <row r="4716" spans="1:8">
      <c r="A4716" s="396">
        <v>9854</v>
      </c>
      <c r="B4716" s="401" t="s">
        <v>13445</v>
      </c>
      <c r="C4716" s="396" t="s">
        <v>2024</v>
      </c>
      <c r="D4716" s="405">
        <f t="shared" si="146"/>
        <v>115.12</v>
      </c>
      <c r="F4716" s="679">
        <v>115.12</v>
      </c>
      <c r="G4716" s="679">
        <v>115.12</v>
      </c>
      <c r="H4716" t="b">
        <f t="shared" si="147"/>
        <v>1</v>
      </c>
    </row>
    <row r="4717" spans="1:8">
      <c r="A4717" s="395">
        <v>9851</v>
      </c>
      <c r="B4717" s="406" t="s">
        <v>13446</v>
      </c>
      <c r="C4717" s="395" t="s">
        <v>2024</v>
      </c>
      <c r="D4717" s="407">
        <f t="shared" si="146"/>
        <v>199.62</v>
      </c>
      <c r="F4717" s="680">
        <v>199.62</v>
      </c>
      <c r="G4717" s="680">
        <v>199.62</v>
      </c>
      <c r="H4717" t="b">
        <f t="shared" si="147"/>
        <v>1</v>
      </c>
    </row>
    <row r="4718" spans="1:8">
      <c r="A4718" s="396">
        <v>9855</v>
      </c>
      <c r="B4718" s="401" t="s">
        <v>13447</v>
      </c>
      <c r="C4718" s="396" t="s">
        <v>2024</v>
      </c>
      <c r="D4718" s="405">
        <f t="shared" si="146"/>
        <v>333.89</v>
      </c>
      <c r="F4718" s="679">
        <v>333.89</v>
      </c>
      <c r="G4718" s="679">
        <v>333.89</v>
      </c>
      <c r="H4718" t="b">
        <f t="shared" si="147"/>
        <v>1</v>
      </c>
    </row>
    <row r="4719" spans="1:8">
      <c r="A4719" s="395">
        <v>9825</v>
      </c>
      <c r="B4719" s="406" t="s">
        <v>13448</v>
      </c>
      <c r="C4719" s="395" t="s">
        <v>2024</v>
      </c>
      <c r="D4719" s="407">
        <f t="shared" si="146"/>
        <v>49.6</v>
      </c>
      <c r="F4719" s="680">
        <v>49.6</v>
      </c>
      <c r="G4719" s="680">
        <v>49.6</v>
      </c>
      <c r="H4719" t="b">
        <f t="shared" si="147"/>
        <v>1</v>
      </c>
    </row>
    <row r="4720" spans="1:8">
      <c r="A4720" s="396">
        <v>9828</v>
      </c>
      <c r="B4720" s="401" t="s">
        <v>13449</v>
      </c>
      <c r="C4720" s="396" t="s">
        <v>2024</v>
      </c>
      <c r="D4720" s="405">
        <f t="shared" si="146"/>
        <v>133.47</v>
      </c>
      <c r="F4720" s="679">
        <v>133.47</v>
      </c>
      <c r="G4720" s="679">
        <v>133.47</v>
      </c>
      <c r="H4720" t="b">
        <f t="shared" si="147"/>
        <v>1</v>
      </c>
    </row>
    <row r="4721" spans="1:8">
      <c r="A4721" s="395">
        <v>9829</v>
      </c>
      <c r="B4721" s="406" t="s">
        <v>13450</v>
      </c>
      <c r="C4721" s="395" t="s">
        <v>2024</v>
      </c>
      <c r="D4721" s="407">
        <f t="shared" si="146"/>
        <v>226.2</v>
      </c>
      <c r="F4721" s="680">
        <v>226.2</v>
      </c>
      <c r="G4721" s="680">
        <v>226.2</v>
      </c>
      <c r="H4721" t="b">
        <f t="shared" si="147"/>
        <v>1</v>
      </c>
    </row>
    <row r="4722" spans="1:8">
      <c r="A4722" s="396">
        <v>9826</v>
      </c>
      <c r="B4722" s="401" t="s">
        <v>13451</v>
      </c>
      <c r="C4722" s="396" t="s">
        <v>2024</v>
      </c>
      <c r="D4722" s="405">
        <f t="shared" si="146"/>
        <v>344.36</v>
      </c>
      <c r="F4722" s="679">
        <v>344.36</v>
      </c>
      <c r="G4722" s="679">
        <v>344.36</v>
      </c>
      <c r="H4722" t="b">
        <f t="shared" si="147"/>
        <v>1</v>
      </c>
    </row>
    <row r="4723" spans="1:8">
      <c r="A4723" s="395">
        <v>9827</v>
      </c>
      <c r="B4723" s="406" t="s">
        <v>13452</v>
      </c>
      <c r="C4723" s="395" t="s">
        <v>2024</v>
      </c>
      <c r="D4723" s="407">
        <f t="shared" si="146"/>
        <v>488.99</v>
      </c>
      <c r="F4723" s="680">
        <v>488.99</v>
      </c>
      <c r="G4723" s="680">
        <v>488.99</v>
      </c>
      <c r="H4723" t="b">
        <f t="shared" si="147"/>
        <v>1</v>
      </c>
    </row>
    <row r="4724" spans="1:8">
      <c r="A4724" s="396">
        <v>36374</v>
      </c>
      <c r="B4724" s="401" t="s">
        <v>13453</v>
      </c>
      <c r="C4724" s="396" t="s">
        <v>2024</v>
      </c>
      <c r="D4724" s="405">
        <f t="shared" si="146"/>
        <v>59.44</v>
      </c>
      <c r="F4724" s="679">
        <v>59.44</v>
      </c>
      <c r="G4724" s="679">
        <v>59.44</v>
      </c>
      <c r="H4724" t="b">
        <f t="shared" si="147"/>
        <v>1</v>
      </c>
    </row>
    <row r="4725" spans="1:8">
      <c r="A4725" s="395">
        <v>36084</v>
      </c>
      <c r="B4725" s="406" t="s">
        <v>13454</v>
      </c>
      <c r="C4725" s="395" t="s">
        <v>2024</v>
      </c>
      <c r="D4725" s="407">
        <f t="shared" si="146"/>
        <v>17.61</v>
      </c>
      <c r="F4725" s="680">
        <v>17.61</v>
      </c>
      <c r="G4725" s="680">
        <v>17.61</v>
      </c>
      <c r="H4725" t="b">
        <f t="shared" si="147"/>
        <v>1</v>
      </c>
    </row>
    <row r="4726" spans="1:8">
      <c r="A4726" s="396">
        <v>36373</v>
      </c>
      <c r="B4726" s="401" t="s">
        <v>13455</v>
      </c>
      <c r="C4726" s="396" t="s">
        <v>2024</v>
      </c>
      <c r="D4726" s="405">
        <f t="shared" si="146"/>
        <v>36.57</v>
      </c>
      <c r="F4726" s="679">
        <v>36.57</v>
      </c>
      <c r="G4726" s="679">
        <v>36.57</v>
      </c>
      <c r="H4726" t="b">
        <f t="shared" si="147"/>
        <v>1</v>
      </c>
    </row>
    <row r="4727" spans="1:8">
      <c r="A4727" s="395">
        <v>36377</v>
      </c>
      <c r="B4727" s="406" t="s">
        <v>13456</v>
      </c>
      <c r="C4727" s="395" t="s">
        <v>2024</v>
      </c>
      <c r="D4727" s="407">
        <f t="shared" si="146"/>
        <v>71.3</v>
      </c>
      <c r="F4727" s="680">
        <v>71.3</v>
      </c>
      <c r="G4727" s="680">
        <v>71.3</v>
      </c>
      <c r="H4727" t="b">
        <f t="shared" si="147"/>
        <v>1</v>
      </c>
    </row>
    <row r="4728" spans="1:8">
      <c r="A4728" s="396">
        <v>36375</v>
      </c>
      <c r="B4728" s="401" t="s">
        <v>13457</v>
      </c>
      <c r="C4728" s="396" t="s">
        <v>2024</v>
      </c>
      <c r="D4728" s="405">
        <f t="shared" si="146"/>
        <v>21.73</v>
      </c>
      <c r="F4728" s="679">
        <v>21.73</v>
      </c>
      <c r="G4728" s="679">
        <v>21.73</v>
      </c>
      <c r="H4728" t="b">
        <f t="shared" si="147"/>
        <v>1</v>
      </c>
    </row>
    <row r="4729" spans="1:8">
      <c r="A4729" s="395">
        <v>36376</v>
      </c>
      <c r="B4729" s="406" t="s">
        <v>13458</v>
      </c>
      <c r="C4729" s="395" t="s">
        <v>2024</v>
      </c>
      <c r="D4729" s="407">
        <f t="shared" si="146"/>
        <v>42.68</v>
      </c>
      <c r="F4729" s="680">
        <v>42.68</v>
      </c>
      <c r="G4729" s="680">
        <v>42.68</v>
      </c>
      <c r="H4729" t="b">
        <f t="shared" si="147"/>
        <v>1</v>
      </c>
    </row>
    <row r="4730" spans="1:8">
      <c r="A4730" s="396">
        <v>36380</v>
      </c>
      <c r="B4730" s="401" t="s">
        <v>13459</v>
      </c>
      <c r="C4730" s="396" t="s">
        <v>2024</v>
      </c>
      <c r="D4730" s="405">
        <f t="shared" si="146"/>
        <v>89.16</v>
      </c>
      <c r="F4730" s="679">
        <v>89.16</v>
      </c>
      <c r="G4730" s="679">
        <v>89.16</v>
      </c>
      <c r="H4730" t="b">
        <f t="shared" si="147"/>
        <v>1</v>
      </c>
    </row>
    <row r="4731" spans="1:8">
      <c r="A4731" s="395">
        <v>36378</v>
      </c>
      <c r="B4731" s="406" t="s">
        <v>13460</v>
      </c>
      <c r="C4731" s="395" t="s">
        <v>2024</v>
      </c>
      <c r="D4731" s="407">
        <f t="shared" si="146"/>
        <v>26.71</v>
      </c>
      <c r="F4731" s="680">
        <v>26.71</v>
      </c>
      <c r="G4731" s="680">
        <v>26.71</v>
      </c>
      <c r="H4731" t="b">
        <f t="shared" si="147"/>
        <v>1</v>
      </c>
    </row>
    <row r="4732" spans="1:8">
      <c r="A4732" s="396">
        <v>36379</v>
      </c>
      <c r="B4732" s="401" t="s">
        <v>13461</v>
      </c>
      <c r="C4732" s="396" t="s">
        <v>2024</v>
      </c>
      <c r="D4732" s="405">
        <f t="shared" si="146"/>
        <v>53.85</v>
      </c>
      <c r="F4732" s="679">
        <v>53.85</v>
      </c>
      <c r="G4732" s="679">
        <v>53.85</v>
      </c>
      <c r="H4732" t="b">
        <f t="shared" si="147"/>
        <v>1</v>
      </c>
    </row>
    <row r="4733" spans="1:8">
      <c r="A4733" s="395">
        <v>9859</v>
      </c>
      <c r="B4733" s="406" t="s">
        <v>13462</v>
      </c>
      <c r="C4733" s="395" t="s">
        <v>2024</v>
      </c>
      <c r="D4733" s="407">
        <f t="shared" si="146"/>
        <v>12.8</v>
      </c>
      <c r="F4733" s="680">
        <v>12.8</v>
      </c>
      <c r="G4733" s="680">
        <v>12.8</v>
      </c>
      <c r="H4733" t="b">
        <f t="shared" si="147"/>
        <v>1</v>
      </c>
    </row>
    <row r="4734" spans="1:8">
      <c r="A4734" s="396">
        <v>9838</v>
      </c>
      <c r="B4734" s="401" t="s">
        <v>13463</v>
      </c>
      <c r="C4734" s="396" t="s">
        <v>2024</v>
      </c>
      <c r="D4734" s="405">
        <f t="shared" si="146"/>
        <v>13.22</v>
      </c>
      <c r="F4734" s="679">
        <v>13.22</v>
      </c>
      <c r="G4734" s="679">
        <v>13.22</v>
      </c>
      <c r="H4734" t="b">
        <f t="shared" si="147"/>
        <v>1</v>
      </c>
    </row>
    <row r="4735" spans="1:8">
      <c r="A4735" s="395">
        <v>9837</v>
      </c>
      <c r="B4735" s="406" t="s">
        <v>13464</v>
      </c>
      <c r="C4735" s="395" t="s">
        <v>2024</v>
      </c>
      <c r="D4735" s="407">
        <f t="shared" si="146"/>
        <v>17.34</v>
      </c>
      <c r="F4735" s="680">
        <v>17.34</v>
      </c>
      <c r="G4735" s="680">
        <v>17.34</v>
      </c>
      <c r="H4735" t="b">
        <f t="shared" si="147"/>
        <v>1</v>
      </c>
    </row>
    <row r="4736" spans="1:8">
      <c r="A4736" s="396">
        <v>44315</v>
      </c>
      <c r="B4736" s="401" t="s">
        <v>13465</v>
      </c>
      <c r="C4736" s="396" t="s">
        <v>2024</v>
      </c>
      <c r="D4736" s="405">
        <f t="shared" si="146"/>
        <v>71.73</v>
      </c>
      <c r="F4736" s="679">
        <v>71.73</v>
      </c>
      <c r="G4736" s="679">
        <v>71.73</v>
      </c>
      <c r="H4736" t="b">
        <f t="shared" si="147"/>
        <v>1</v>
      </c>
    </row>
    <row r="4737" spans="1:8">
      <c r="A4737" s="395">
        <v>9863</v>
      </c>
      <c r="B4737" s="406" t="s">
        <v>13466</v>
      </c>
      <c r="C4737" s="395" t="s">
        <v>2024</v>
      </c>
      <c r="D4737" s="407">
        <f t="shared" si="146"/>
        <v>77.36</v>
      </c>
      <c r="F4737" s="680">
        <v>77.36</v>
      </c>
      <c r="G4737" s="680">
        <v>77.36</v>
      </c>
      <c r="H4737" t="b">
        <f t="shared" si="147"/>
        <v>1</v>
      </c>
    </row>
    <row r="4738" spans="1:8">
      <c r="A4738" s="396">
        <v>9860</v>
      </c>
      <c r="B4738" s="401" t="s">
        <v>13467</v>
      </c>
      <c r="C4738" s="396" t="s">
        <v>2024</v>
      </c>
      <c r="D4738" s="405">
        <f t="shared" si="146"/>
        <v>56.47</v>
      </c>
      <c r="F4738" s="679">
        <v>56.47</v>
      </c>
      <c r="G4738" s="679">
        <v>56.47</v>
      </c>
      <c r="H4738" t="b">
        <f t="shared" si="147"/>
        <v>1</v>
      </c>
    </row>
    <row r="4739" spans="1:8">
      <c r="A4739" s="395">
        <v>9862</v>
      </c>
      <c r="B4739" s="406" t="s">
        <v>13468</v>
      </c>
      <c r="C4739" s="395" t="s">
        <v>2024</v>
      </c>
      <c r="D4739" s="407">
        <f t="shared" ref="D4739:D4802" si="148">IF($J$2=$F$1,F4739,G4739)</f>
        <v>39.46</v>
      </c>
      <c r="F4739" s="680">
        <v>39.46</v>
      </c>
      <c r="G4739" s="680">
        <v>39.46</v>
      </c>
      <c r="H4739" t="b">
        <f t="shared" ref="H4739:H4802" si="149">F4739=G4739</f>
        <v>1</v>
      </c>
    </row>
    <row r="4740" spans="1:8">
      <c r="A4740" s="396">
        <v>9861</v>
      </c>
      <c r="B4740" s="401" t="s">
        <v>13469</v>
      </c>
      <c r="C4740" s="396" t="s">
        <v>2024</v>
      </c>
      <c r="D4740" s="405">
        <f t="shared" si="148"/>
        <v>30.99</v>
      </c>
      <c r="F4740" s="679">
        <v>30.99</v>
      </c>
      <c r="G4740" s="679">
        <v>30.99</v>
      </c>
      <c r="H4740" t="b">
        <f t="shared" si="149"/>
        <v>1</v>
      </c>
    </row>
    <row r="4741" spans="1:8">
      <c r="A4741" s="395">
        <v>9856</v>
      </c>
      <c r="B4741" s="406" t="s">
        <v>13470</v>
      </c>
      <c r="C4741" s="395" t="s">
        <v>2024</v>
      </c>
      <c r="D4741" s="407">
        <f t="shared" si="148"/>
        <v>9.99</v>
      </c>
      <c r="F4741" s="680">
        <v>9.99</v>
      </c>
      <c r="G4741" s="680">
        <v>9.99</v>
      </c>
      <c r="H4741" t="b">
        <f t="shared" si="149"/>
        <v>1</v>
      </c>
    </row>
    <row r="4742" spans="1:8">
      <c r="A4742" s="396">
        <v>9866</v>
      </c>
      <c r="B4742" s="401" t="s">
        <v>13471</v>
      </c>
      <c r="C4742" s="396" t="s">
        <v>2024</v>
      </c>
      <c r="D4742" s="405">
        <f t="shared" si="148"/>
        <v>26.74</v>
      </c>
      <c r="F4742" s="679">
        <v>26.74</v>
      </c>
      <c r="G4742" s="679">
        <v>26.74</v>
      </c>
      <c r="H4742" t="b">
        <f t="shared" si="149"/>
        <v>1</v>
      </c>
    </row>
    <row r="4743" spans="1:8">
      <c r="A4743" s="395">
        <v>9841</v>
      </c>
      <c r="B4743" s="406" t="s">
        <v>13472</v>
      </c>
      <c r="C4743" s="395" t="s">
        <v>2024</v>
      </c>
      <c r="D4743" s="407">
        <f t="shared" si="148"/>
        <v>34.5</v>
      </c>
      <c r="F4743" s="680">
        <v>34.5</v>
      </c>
      <c r="G4743" s="680">
        <v>34.5</v>
      </c>
      <c r="H4743" t="b">
        <f t="shared" si="149"/>
        <v>1</v>
      </c>
    </row>
    <row r="4744" spans="1:8">
      <c r="A4744" s="396">
        <v>9840</v>
      </c>
      <c r="B4744" s="401" t="s">
        <v>13473</v>
      </c>
      <c r="C4744" s="396" t="s">
        <v>2024</v>
      </c>
      <c r="D4744" s="405">
        <f t="shared" si="148"/>
        <v>72.88</v>
      </c>
      <c r="F4744" s="679">
        <v>72.88</v>
      </c>
      <c r="G4744" s="679">
        <v>72.88</v>
      </c>
      <c r="H4744" t="b">
        <f t="shared" si="149"/>
        <v>1</v>
      </c>
    </row>
    <row r="4745" spans="1:8">
      <c r="A4745" s="395">
        <v>20067</v>
      </c>
      <c r="B4745" s="406" t="s">
        <v>13474</v>
      </c>
      <c r="C4745" s="395" t="s">
        <v>2024</v>
      </c>
      <c r="D4745" s="407">
        <f t="shared" si="148"/>
        <v>11.19</v>
      </c>
      <c r="F4745" s="680">
        <v>11.19</v>
      </c>
      <c r="G4745" s="680">
        <v>11.19</v>
      </c>
      <c r="H4745" t="b">
        <f t="shared" si="149"/>
        <v>1</v>
      </c>
    </row>
    <row r="4746" spans="1:8">
      <c r="A4746" s="396">
        <v>20068</v>
      </c>
      <c r="B4746" s="401" t="s">
        <v>13475</v>
      </c>
      <c r="C4746" s="396" t="s">
        <v>2024</v>
      </c>
      <c r="D4746" s="405">
        <f t="shared" si="148"/>
        <v>15.76</v>
      </c>
      <c r="F4746" s="679">
        <v>15.76</v>
      </c>
      <c r="G4746" s="679">
        <v>15.76</v>
      </c>
      <c r="H4746" t="b">
        <f t="shared" si="149"/>
        <v>1</v>
      </c>
    </row>
    <row r="4747" spans="1:8">
      <c r="A4747" s="395">
        <v>9839</v>
      </c>
      <c r="B4747" s="406" t="s">
        <v>13476</v>
      </c>
      <c r="C4747" s="395" t="s">
        <v>2024</v>
      </c>
      <c r="D4747" s="407">
        <f t="shared" si="148"/>
        <v>28.58</v>
      </c>
      <c r="F4747" s="680">
        <v>28.58</v>
      </c>
      <c r="G4747" s="680">
        <v>28.58</v>
      </c>
      <c r="H4747" t="b">
        <f t="shared" si="149"/>
        <v>1</v>
      </c>
    </row>
    <row r="4748" spans="1:8">
      <c r="A4748" s="396">
        <v>9870</v>
      </c>
      <c r="B4748" s="401" t="s">
        <v>13477</v>
      </c>
      <c r="C4748" s="396" t="s">
        <v>2024</v>
      </c>
      <c r="D4748" s="405">
        <f t="shared" si="148"/>
        <v>115.38</v>
      </c>
      <c r="F4748" s="679">
        <v>115.38</v>
      </c>
      <c r="G4748" s="679">
        <v>115.38</v>
      </c>
      <c r="H4748" t="b">
        <f t="shared" si="149"/>
        <v>1</v>
      </c>
    </row>
    <row r="4749" spans="1:8">
      <c r="A4749" s="395">
        <v>9867</v>
      </c>
      <c r="B4749" s="406" t="s">
        <v>13478</v>
      </c>
      <c r="C4749" s="395" t="s">
        <v>2024</v>
      </c>
      <c r="D4749" s="407">
        <f t="shared" si="148"/>
        <v>4.63</v>
      </c>
      <c r="F4749" s="680">
        <v>4.63</v>
      </c>
      <c r="G4749" s="680">
        <v>4.63</v>
      </c>
      <c r="H4749" t="b">
        <f t="shared" si="149"/>
        <v>1</v>
      </c>
    </row>
    <row r="4750" spans="1:8">
      <c r="A4750" s="396">
        <v>9868</v>
      </c>
      <c r="B4750" s="401" t="s">
        <v>13479</v>
      </c>
      <c r="C4750" s="396" t="s">
        <v>2024</v>
      </c>
      <c r="D4750" s="405">
        <f t="shared" si="148"/>
        <v>5.23</v>
      </c>
      <c r="F4750" s="679">
        <v>5.23</v>
      </c>
      <c r="G4750" s="679">
        <v>5.23</v>
      </c>
      <c r="H4750" t="b">
        <f t="shared" si="149"/>
        <v>1</v>
      </c>
    </row>
    <row r="4751" spans="1:8">
      <c r="A4751" s="395">
        <v>9869</v>
      </c>
      <c r="B4751" s="406" t="s">
        <v>13480</v>
      </c>
      <c r="C4751" s="395" t="s">
        <v>2024</v>
      </c>
      <c r="D4751" s="407">
        <f t="shared" si="148"/>
        <v>11.29</v>
      </c>
      <c r="F4751" s="680">
        <v>11.29</v>
      </c>
      <c r="G4751" s="680">
        <v>11.29</v>
      </c>
      <c r="H4751" t="b">
        <f t="shared" si="149"/>
        <v>1</v>
      </c>
    </row>
    <row r="4752" spans="1:8">
      <c r="A4752" s="396">
        <v>9874</v>
      </c>
      <c r="B4752" s="401" t="s">
        <v>13481</v>
      </c>
      <c r="C4752" s="396" t="s">
        <v>2024</v>
      </c>
      <c r="D4752" s="405">
        <f t="shared" si="148"/>
        <v>17.72</v>
      </c>
      <c r="F4752" s="679">
        <v>17.72</v>
      </c>
      <c r="G4752" s="679">
        <v>17.72</v>
      </c>
      <c r="H4752" t="b">
        <f t="shared" si="149"/>
        <v>1</v>
      </c>
    </row>
    <row r="4753" spans="1:8">
      <c r="A4753" s="395">
        <v>9875</v>
      </c>
      <c r="B4753" s="406" t="s">
        <v>13482</v>
      </c>
      <c r="C4753" s="395" t="s">
        <v>2024</v>
      </c>
      <c r="D4753" s="407">
        <f t="shared" si="148"/>
        <v>19.440000000000001</v>
      </c>
      <c r="F4753" s="680">
        <v>19.440000000000001</v>
      </c>
      <c r="G4753" s="680">
        <v>19.440000000000001</v>
      </c>
      <c r="H4753" t="b">
        <f t="shared" si="149"/>
        <v>1</v>
      </c>
    </row>
    <row r="4754" spans="1:8">
      <c r="A4754" s="396">
        <v>9873</v>
      </c>
      <c r="B4754" s="401" t="s">
        <v>13483</v>
      </c>
      <c r="C4754" s="396" t="s">
        <v>2024</v>
      </c>
      <c r="D4754" s="405">
        <f t="shared" si="148"/>
        <v>31.98</v>
      </c>
      <c r="F4754" s="679">
        <v>31.98</v>
      </c>
      <c r="G4754" s="679">
        <v>31.98</v>
      </c>
      <c r="H4754" t="b">
        <f t="shared" si="149"/>
        <v>1</v>
      </c>
    </row>
    <row r="4755" spans="1:8">
      <c r="A4755" s="395">
        <v>9871</v>
      </c>
      <c r="B4755" s="406" t="s">
        <v>13484</v>
      </c>
      <c r="C4755" s="395" t="s">
        <v>2024</v>
      </c>
      <c r="D4755" s="407">
        <f t="shared" si="148"/>
        <v>53</v>
      </c>
      <c r="F4755" s="680">
        <v>53</v>
      </c>
      <c r="G4755" s="680">
        <v>53</v>
      </c>
      <c r="H4755" t="b">
        <f t="shared" si="149"/>
        <v>1</v>
      </c>
    </row>
    <row r="4756" spans="1:8">
      <c r="A4756" s="396">
        <v>9872</v>
      </c>
      <c r="B4756" s="401" t="s">
        <v>13485</v>
      </c>
      <c r="C4756" s="396" t="s">
        <v>2024</v>
      </c>
      <c r="D4756" s="405">
        <f t="shared" si="148"/>
        <v>73.73</v>
      </c>
      <c r="F4756" s="679">
        <v>73.73</v>
      </c>
      <c r="G4756" s="679">
        <v>73.73</v>
      </c>
      <c r="H4756" t="b">
        <f t="shared" si="149"/>
        <v>1</v>
      </c>
    </row>
    <row r="4757" spans="1:8">
      <c r="A4757" s="395">
        <v>7667</v>
      </c>
      <c r="B4757" s="406" t="s">
        <v>13486</v>
      </c>
      <c r="C4757" s="395" t="s">
        <v>2024</v>
      </c>
      <c r="D4757" s="407">
        <f t="shared" si="148"/>
        <v>3394.79</v>
      </c>
      <c r="F4757" s="680">
        <v>3394.79</v>
      </c>
      <c r="G4757" s="680">
        <v>3394.79</v>
      </c>
      <c r="H4757" t="b">
        <f t="shared" si="149"/>
        <v>1</v>
      </c>
    </row>
    <row r="4758" spans="1:8">
      <c r="A4758" s="396">
        <v>7660</v>
      </c>
      <c r="B4758" s="401" t="s">
        <v>13487</v>
      </c>
      <c r="C4758" s="396" t="s">
        <v>2024</v>
      </c>
      <c r="D4758" s="405">
        <f t="shared" si="148"/>
        <v>4327.55</v>
      </c>
      <c r="F4758" s="679">
        <v>4327.55</v>
      </c>
      <c r="G4758" s="679">
        <v>4327.55</v>
      </c>
      <c r="H4758" t="b">
        <f t="shared" si="149"/>
        <v>1</v>
      </c>
    </row>
    <row r="4759" spans="1:8">
      <c r="A4759" s="395">
        <v>7676</v>
      </c>
      <c r="B4759" s="406" t="s">
        <v>13488</v>
      </c>
      <c r="C4759" s="395" t="s">
        <v>2024</v>
      </c>
      <c r="D4759" s="407">
        <f t="shared" si="148"/>
        <v>4377.01</v>
      </c>
      <c r="F4759" s="680">
        <v>4377.01</v>
      </c>
      <c r="G4759" s="680">
        <v>4377.01</v>
      </c>
      <c r="H4759" t="b">
        <f t="shared" si="149"/>
        <v>1</v>
      </c>
    </row>
    <row r="4760" spans="1:8">
      <c r="A4760" s="396">
        <v>12426</v>
      </c>
      <c r="B4760" s="401" t="s">
        <v>13489</v>
      </c>
      <c r="C4760" s="396" t="s">
        <v>2021</v>
      </c>
      <c r="D4760" s="405">
        <f t="shared" si="148"/>
        <v>32.99</v>
      </c>
      <c r="F4760" s="679">
        <v>32.99</v>
      </c>
      <c r="G4760" s="679">
        <v>32.99</v>
      </c>
      <c r="H4760" t="b">
        <f t="shared" si="149"/>
        <v>1</v>
      </c>
    </row>
    <row r="4761" spans="1:8">
      <c r="A4761" s="395">
        <v>12425</v>
      </c>
      <c r="B4761" s="406" t="s">
        <v>13490</v>
      </c>
      <c r="C4761" s="395" t="s">
        <v>2021</v>
      </c>
      <c r="D4761" s="407">
        <f t="shared" si="148"/>
        <v>45.33</v>
      </c>
      <c r="F4761" s="680">
        <v>45.33</v>
      </c>
      <c r="G4761" s="680">
        <v>45.33</v>
      </c>
      <c r="H4761" t="b">
        <f t="shared" si="149"/>
        <v>1</v>
      </c>
    </row>
    <row r="4762" spans="1:8">
      <c r="A4762" s="396">
        <v>12427</v>
      </c>
      <c r="B4762" s="401" t="s">
        <v>13491</v>
      </c>
      <c r="C4762" s="396" t="s">
        <v>2021</v>
      </c>
      <c r="D4762" s="405">
        <f t="shared" si="148"/>
        <v>188.17</v>
      </c>
      <c r="F4762" s="679">
        <v>188.17</v>
      </c>
      <c r="G4762" s="679">
        <v>188.17</v>
      </c>
      <c r="H4762" t="b">
        <f t="shared" si="149"/>
        <v>1</v>
      </c>
    </row>
    <row r="4763" spans="1:8">
      <c r="A4763" s="395">
        <v>12428</v>
      </c>
      <c r="B4763" s="406" t="s">
        <v>13492</v>
      </c>
      <c r="C4763" s="395" t="s">
        <v>2021</v>
      </c>
      <c r="D4763" s="407">
        <f t="shared" si="148"/>
        <v>120.78</v>
      </c>
      <c r="F4763" s="680">
        <v>120.78</v>
      </c>
      <c r="G4763" s="680">
        <v>120.78</v>
      </c>
      <c r="H4763" t="b">
        <f t="shared" si="149"/>
        <v>1</v>
      </c>
    </row>
    <row r="4764" spans="1:8">
      <c r="A4764" s="396">
        <v>12430</v>
      </c>
      <c r="B4764" s="401" t="s">
        <v>13493</v>
      </c>
      <c r="C4764" s="396" t="s">
        <v>2021</v>
      </c>
      <c r="D4764" s="405">
        <f t="shared" si="148"/>
        <v>40.450000000000003</v>
      </c>
      <c r="F4764" s="679">
        <v>40.450000000000003</v>
      </c>
      <c r="G4764" s="679">
        <v>40.450000000000003</v>
      </c>
      <c r="H4764" t="b">
        <f t="shared" si="149"/>
        <v>1</v>
      </c>
    </row>
    <row r="4765" spans="1:8">
      <c r="A4765" s="395">
        <v>12429</v>
      </c>
      <c r="B4765" s="406" t="s">
        <v>13494</v>
      </c>
      <c r="C4765" s="395" t="s">
        <v>2021</v>
      </c>
      <c r="D4765" s="407">
        <f t="shared" si="148"/>
        <v>304.27</v>
      </c>
      <c r="F4765" s="680">
        <v>304.27</v>
      </c>
      <c r="G4765" s="680">
        <v>304.27</v>
      </c>
      <c r="H4765" t="b">
        <f t="shared" si="149"/>
        <v>1</v>
      </c>
    </row>
    <row r="4766" spans="1:8">
      <c r="A4766" s="396">
        <v>12431</v>
      </c>
      <c r="B4766" s="401" t="s">
        <v>13495</v>
      </c>
      <c r="C4766" s="396" t="s">
        <v>2021</v>
      </c>
      <c r="D4766" s="405">
        <f t="shared" si="148"/>
        <v>517.82000000000005</v>
      </c>
      <c r="F4766" s="679">
        <v>517.82000000000005</v>
      </c>
      <c r="G4766" s="679">
        <v>517.82000000000005</v>
      </c>
      <c r="H4766" t="b">
        <f t="shared" si="149"/>
        <v>1</v>
      </c>
    </row>
    <row r="4767" spans="1:8">
      <c r="A4767" s="395">
        <v>12432</v>
      </c>
      <c r="B4767" s="406" t="s">
        <v>13496</v>
      </c>
      <c r="C4767" s="395" t="s">
        <v>2021</v>
      </c>
      <c r="D4767" s="407">
        <f t="shared" si="148"/>
        <v>106.5</v>
      </c>
      <c r="F4767" s="680">
        <v>106.5</v>
      </c>
      <c r="G4767" s="680">
        <v>106.5</v>
      </c>
      <c r="H4767" t="b">
        <f t="shared" si="149"/>
        <v>1</v>
      </c>
    </row>
    <row r="4768" spans="1:8">
      <c r="A4768" s="396">
        <v>12434</v>
      </c>
      <c r="B4768" s="401" t="s">
        <v>13497</v>
      </c>
      <c r="C4768" s="396" t="s">
        <v>2021</v>
      </c>
      <c r="D4768" s="405">
        <f t="shared" si="148"/>
        <v>34.700000000000003</v>
      </c>
      <c r="F4768" s="679">
        <v>34.700000000000003</v>
      </c>
      <c r="G4768" s="679">
        <v>34.700000000000003</v>
      </c>
      <c r="H4768" t="b">
        <f t="shared" si="149"/>
        <v>1</v>
      </c>
    </row>
    <row r="4769" spans="1:8">
      <c r="A4769" s="395">
        <v>12433</v>
      </c>
      <c r="B4769" s="406" t="s">
        <v>13498</v>
      </c>
      <c r="C4769" s="395" t="s">
        <v>2021</v>
      </c>
      <c r="D4769" s="407">
        <f t="shared" si="148"/>
        <v>67.8</v>
      </c>
      <c r="F4769" s="680">
        <v>67.8</v>
      </c>
      <c r="G4769" s="680">
        <v>67.8</v>
      </c>
      <c r="H4769" t="b">
        <f t="shared" si="149"/>
        <v>1</v>
      </c>
    </row>
    <row r="4770" spans="1:8">
      <c r="A4770" s="396">
        <v>12435</v>
      </c>
      <c r="B4770" s="401" t="s">
        <v>13499</v>
      </c>
      <c r="C4770" s="396" t="s">
        <v>2021</v>
      </c>
      <c r="D4770" s="405">
        <f t="shared" si="148"/>
        <v>209.82</v>
      </c>
      <c r="F4770" s="679">
        <v>209.82</v>
      </c>
      <c r="G4770" s="679">
        <v>209.82</v>
      </c>
      <c r="H4770" t="b">
        <f t="shared" si="149"/>
        <v>1</v>
      </c>
    </row>
    <row r="4771" spans="1:8">
      <c r="A4771" s="395">
        <v>12437</v>
      </c>
      <c r="B4771" s="406" t="s">
        <v>13500</v>
      </c>
      <c r="C4771" s="395" t="s">
        <v>2021</v>
      </c>
      <c r="D4771" s="407">
        <f t="shared" si="148"/>
        <v>169.45</v>
      </c>
      <c r="F4771" s="680">
        <v>169.45</v>
      </c>
      <c r="G4771" s="680">
        <v>169.45</v>
      </c>
      <c r="H4771" t="b">
        <f t="shared" si="149"/>
        <v>1</v>
      </c>
    </row>
    <row r="4772" spans="1:8">
      <c r="A4772" s="396">
        <v>12439</v>
      </c>
      <c r="B4772" s="401" t="s">
        <v>13501</v>
      </c>
      <c r="C4772" s="396" t="s">
        <v>2021</v>
      </c>
      <c r="D4772" s="405">
        <f t="shared" si="148"/>
        <v>54.38</v>
      </c>
      <c r="F4772" s="679">
        <v>54.38</v>
      </c>
      <c r="G4772" s="679">
        <v>54.38</v>
      </c>
      <c r="H4772" t="b">
        <f t="shared" si="149"/>
        <v>1</v>
      </c>
    </row>
    <row r="4773" spans="1:8">
      <c r="A4773" s="395">
        <v>12438</v>
      </c>
      <c r="B4773" s="406" t="s">
        <v>13502</v>
      </c>
      <c r="C4773" s="395" t="s">
        <v>2021</v>
      </c>
      <c r="D4773" s="407">
        <f t="shared" si="148"/>
        <v>306.66000000000003</v>
      </c>
      <c r="F4773" s="680">
        <v>306.66000000000003</v>
      </c>
      <c r="G4773" s="680">
        <v>306.66000000000003</v>
      </c>
      <c r="H4773" t="b">
        <f t="shared" si="149"/>
        <v>1</v>
      </c>
    </row>
    <row r="4774" spans="1:8">
      <c r="A4774" s="396">
        <v>12436</v>
      </c>
      <c r="B4774" s="401" t="s">
        <v>13503</v>
      </c>
      <c r="C4774" s="396" t="s">
        <v>2021</v>
      </c>
      <c r="D4774" s="405">
        <f t="shared" si="148"/>
        <v>387.38</v>
      </c>
      <c r="F4774" s="679">
        <v>387.38</v>
      </c>
      <c r="G4774" s="679">
        <v>387.38</v>
      </c>
      <c r="H4774" t="b">
        <f t="shared" si="149"/>
        <v>1</v>
      </c>
    </row>
    <row r="4775" spans="1:8">
      <c r="A4775" s="395">
        <v>36357</v>
      </c>
      <c r="B4775" s="406" t="s">
        <v>13504</v>
      </c>
      <c r="C4775" s="395" t="s">
        <v>2021</v>
      </c>
      <c r="D4775" s="407">
        <f t="shared" si="148"/>
        <v>137.51</v>
      </c>
      <c r="F4775" s="680">
        <v>137.51</v>
      </c>
      <c r="G4775" s="680">
        <v>137.51</v>
      </c>
      <c r="H4775" t="b">
        <f t="shared" si="149"/>
        <v>1</v>
      </c>
    </row>
    <row r="4776" spans="1:8">
      <c r="A4776" s="396">
        <v>12424</v>
      </c>
      <c r="B4776" s="401" t="s">
        <v>13505</v>
      </c>
      <c r="C4776" s="396" t="s">
        <v>2021</v>
      </c>
      <c r="D4776" s="405">
        <f t="shared" si="148"/>
        <v>69.8</v>
      </c>
      <c r="F4776" s="679">
        <v>69.8</v>
      </c>
      <c r="G4776" s="679">
        <v>69.8</v>
      </c>
      <c r="H4776" t="b">
        <f t="shared" si="149"/>
        <v>1</v>
      </c>
    </row>
    <row r="4777" spans="1:8">
      <c r="A4777" s="395">
        <v>12440</v>
      </c>
      <c r="B4777" s="406" t="s">
        <v>13506</v>
      </c>
      <c r="C4777" s="395" t="s">
        <v>2021</v>
      </c>
      <c r="D4777" s="407">
        <f t="shared" si="148"/>
        <v>67.47</v>
      </c>
      <c r="F4777" s="680">
        <v>67.47</v>
      </c>
      <c r="G4777" s="680">
        <v>67.47</v>
      </c>
      <c r="H4777" t="b">
        <f t="shared" si="149"/>
        <v>1</v>
      </c>
    </row>
    <row r="4778" spans="1:8">
      <c r="A4778" s="396">
        <v>9884</v>
      </c>
      <c r="B4778" s="401" t="s">
        <v>13507</v>
      </c>
      <c r="C4778" s="396" t="s">
        <v>2021</v>
      </c>
      <c r="D4778" s="405">
        <f t="shared" si="148"/>
        <v>50.33</v>
      </c>
      <c r="F4778" s="679">
        <v>50.33</v>
      </c>
      <c r="G4778" s="679">
        <v>50.33</v>
      </c>
      <c r="H4778" t="b">
        <f t="shared" si="149"/>
        <v>1</v>
      </c>
    </row>
    <row r="4779" spans="1:8">
      <c r="A4779" s="395">
        <v>9888</v>
      </c>
      <c r="B4779" s="406" t="s">
        <v>13508</v>
      </c>
      <c r="C4779" s="395" t="s">
        <v>2021</v>
      </c>
      <c r="D4779" s="407">
        <f t="shared" si="148"/>
        <v>40.43</v>
      </c>
      <c r="F4779" s="680">
        <v>40.43</v>
      </c>
      <c r="G4779" s="680">
        <v>40.43</v>
      </c>
      <c r="H4779" t="b">
        <f t="shared" si="149"/>
        <v>1</v>
      </c>
    </row>
    <row r="4780" spans="1:8">
      <c r="A4780" s="396">
        <v>9883</v>
      </c>
      <c r="B4780" s="401" t="s">
        <v>13509</v>
      </c>
      <c r="C4780" s="396" t="s">
        <v>2021</v>
      </c>
      <c r="D4780" s="405">
        <f t="shared" si="148"/>
        <v>17.64</v>
      </c>
      <c r="F4780" s="679">
        <v>17.64</v>
      </c>
      <c r="G4780" s="679">
        <v>17.64</v>
      </c>
      <c r="H4780" t="b">
        <f t="shared" si="149"/>
        <v>1</v>
      </c>
    </row>
    <row r="4781" spans="1:8">
      <c r="A4781" s="395">
        <v>9886</v>
      </c>
      <c r="B4781" s="406" t="s">
        <v>13510</v>
      </c>
      <c r="C4781" s="395" t="s">
        <v>2021</v>
      </c>
      <c r="D4781" s="407">
        <f t="shared" si="148"/>
        <v>24.17</v>
      </c>
      <c r="F4781" s="680">
        <v>24.17</v>
      </c>
      <c r="G4781" s="680">
        <v>24.17</v>
      </c>
      <c r="H4781" t="b">
        <f t="shared" si="149"/>
        <v>1</v>
      </c>
    </row>
    <row r="4782" spans="1:8">
      <c r="A4782" s="396">
        <v>9889</v>
      </c>
      <c r="B4782" s="401" t="s">
        <v>13511</v>
      </c>
      <c r="C4782" s="396" t="s">
        <v>2021</v>
      </c>
      <c r="D4782" s="405">
        <f t="shared" si="148"/>
        <v>122.44</v>
      </c>
      <c r="F4782" s="679">
        <v>122.44</v>
      </c>
      <c r="G4782" s="679">
        <v>122.44</v>
      </c>
      <c r="H4782" t="b">
        <f t="shared" si="149"/>
        <v>1</v>
      </c>
    </row>
    <row r="4783" spans="1:8">
      <c r="A4783" s="395">
        <v>9887</v>
      </c>
      <c r="B4783" s="406" t="s">
        <v>13512</v>
      </c>
      <c r="C4783" s="395" t="s">
        <v>2021</v>
      </c>
      <c r="D4783" s="407">
        <f t="shared" si="148"/>
        <v>74</v>
      </c>
      <c r="F4783" s="680">
        <v>74</v>
      </c>
      <c r="G4783" s="680">
        <v>74</v>
      </c>
      <c r="H4783" t="b">
        <f t="shared" si="149"/>
        <v>1</v>
      </c>
    </row>
    <row r="4784" spans="1:8">
      <c r="A4784" s="396">
        <v>9885</v>
      </c>
      <c r="B4784" s="401" t="s">
        <v>13513</v>
      </c>
      <c r="C4784" s="396" t="s">
        <v>2021</v>
      </c>
      <c r="D4784" s="405">
        <f t="shared" si="148"/>
        <v>23.36</v>
      </c>
      <c r="F4784" s="679">
        <v>23.36</v>
      </c>
      <c r="G4784" s="679">
        <v>23.36</v>
      </c>
      <c r="H4784" t="b">
        <f t="shared" si="149"/>
        <v>1</v>
      </c>
    </row>
    <row r="4785" spans="1:8">
      <c r="A4785" s="395">
        <v>9890</v>
      </c>
      <c r="B4785" s="406" t="s">
        <v>13514</v>
      </c>
      <c r="C4785" s="395" t="s">
        <v>2021</v>
      </c>
      <c r="D4785" s="407">
        <f t="shared" si="148"/>
        <v>189.69</v>
      </c>
      <c r="F4785" s="680">
        <v>189.69</v>
      </c>
      <c r="G4785" s="680">
        <v>189.69</v>
      </c>
      <c r="H4785" t="b">
        <f t="shared" si="149"/>
        <v>1</v>
      </c>
    </row>
    <row r="4786" spans="1:8">
      <c r="A4786" s="396">
        <v>9891</v>
      </c>
      <c r="B4786" s="401" t="s">
        <v>13515</v>
      </c>
      <c r="C4786" s="396" t="s">
        <v>2021</v>
      </c>
      <c r="D4786" s="405">
        <f t="shared" si="148"/>
        <v>266.29000000000002</v>
      </c>
      <c r="F4786" s="679">
        <v>266.29000000000002</v>
      </c>
      <c r="G4786" s="679">
        <v>266.29000000000002</v>
      </c>
      <c r="H4786" t="b">
        <f t="shared" si="149"/>
        <v>1</v>
      </c>
    </row>
    <row r="4787" spans="1:8">
      <c r="A4787" s="395">
        <v>36313</v>
      </c>
      <c r="B4787" s="406" t="s">
        <v>13516</v>
      </c>
      <c r="C4787" s="395" t="s">
        <v>2021</v>
      </c>
      <c r="D4787" s="407">
        <f t="shared" si="148"/>
        <v>14.39</v>
      </c>
      <c r="F4787" s="680">
        <v>14.39</v>
      </c>
      <c r="G4787" s="680">
        <v>14.39</v>
      </c>
      <c r="H4787" t="b">
        <f t="shared" si="149"/>
        <v>1</v>
      </c>
    </row>
    <row r="4788" spans="1:8">
      <c r="A4788" s="396">
        <v>36316</v>
      </c>
      <c r="B4788" s="401" t="s">
        <v>13517</v>
      </c>
      <c r="C4788" s="396" t="s">
        <v>2021</v>
      </c>
      <c r="D4788" s="405">
        <f t="shared" si="148"/>
        <v>22.41</v>
      </c>
      <c r="F4788" s="679">
        <v>22.41</v>
      </c>
      <c r="G4788" s="679">
        <v>22.41</v>
      </c>
      <c r="H4788" t="b">
        <f t="shared" si="149"/>
        <v>1</v>
      </c>
    </row>
    <row r="4789" spans="1:8">
      <c r="A4789" s="395">
        <v>64</v>
      </c>
      <c r="B4789" s="406" t="s">
        <v>13518</v>
      </c>
      <c r="C4789" s="395" t="s">
        <v>2021</v>
      </c>
      <c r="D4789" s="407">
        <f t="shared" si="148"/>
        <v>5.31</v>
      </c>
      <c r="F4789" s="680">
        <v>5.31</v>
      </c>
      <c r="G4789" s="680">
        <v>5.31</v>
      </c>
      <c r="H4789" t="b">
        <f t="shared" si="149"/>
        <v>1</v>
      </c>
    </row>
    <row r="4790" spans="1:8">
      <c r="A4790" s="396">
        <v>37423</v>
      </c>
      <c r="B4790" s="401" t="s">
        <v>13519</v>
      </c>
      <c r="C4790" s="396" t="s">
        <v>2021</v>
      </c>
      <c r="D4790" s="405">
        <f t="shared" si="148"/>
        <v>13.11</v>
      </c>
      <c r="F4790" s="679">
        <v>13.11</v>
      </c>
      <c r="G4790" s="679">
        <v>13.11</v>
      </c>
      <c r="H4790" t="b">
        <f t="shared" si="149"/>
        <v>1</v>
      </c>
    </row>
    <row r="4791" spans="1:8">
      <c r="A4791" s="395">
        <v>9892</v>
      </c>
      <c r="B4791" s="406" t="s">
        <v>13520</v>
      </c>
      <c r="C4791" s="395" t="s">
        <v>2021</v>
      </c>
      <c r="D4791" s="407">
        <f t="shared" si="148"/>
        <v>8.49</v>
      </c>
      <c r="F4791" s="680">
        <v>8.49</v>
      </c>
      <c r="G4791" s="680">
        <v>8.49</v>
      </c>
      <c r="H4791" t="b">
        <f t="shared" si="149"/>
        <v>1</v>
      </c>
    </row>
    <row r="4792" spans="1:8">
      <c r="A4792" s="396">
        <v>9901</v>
      </c>
      <c r="B4792" s="401" t="s">
        <v>13521</v>
      </c>
      <c r="C4792" s="396" t="s">
        <v>2021</v>
      </c>
      <c r="D4792" s="405">
        <f t="shared" si="148"/>
        <v>41.07</v>
      </c>
      <c r="F4792" s="679">
        <v>41.07</v>
      </c>
      <c r="G4792" s="679">
        <v>41.07</v>
      </c>
      <c r="H4792" t="b">
        <f t="shared" si="149"/>
        <v>1</v>
      </c>
    </row>
    <row r="4793" spans="1:8">
      <c r="A4793" s="395">
        <v>9900</v>
      </c>
      <c r="B4793" s="406" t="s">
        <v>13522</v>
      </c>
      <c r="C4793" s="395" t="s">
        <v>2021</v>
      </c>
      <c r="D4793" s="407">
        <f t="shared" si="148"/>
        <v>23.79</v>
      </c>
      <c r="F4793" s="680">
        <v>23.79</v>
      </c>
      <c r="G4793" s="680">
        <v>23.79</v>
      </c>
      <c r="H4793" t="b">
        <f t="shared" si="149"/>
        <v>1</v>
      </c>
    </row>
    <row r="4794" spans="1:8">
      <c r="A4794" s="396">
        <v>9899</v>
      </c>
      <c r="B4794" s="401" t="s">
        <v>13523</v>
      </c>
      <c r="C4794" s="396" t="s">
        <v>2021</v>
      </c>
      <c r="D4794" s="405">
        <f t="shared" si="148"/>
        <v>10.67</v>
      </c>
      <c r="F4794" s="679">
        <v>10.67</v>
      </c>
      <c r="G4794" s="679">
        <v>10.67</v>
      </c>
      <c r="H4794" t="b">
        <f t="shared" si="149"/>
        <v>1</v>
      </c>
    </row>
    <row r="4795" spans="1:8">
      <c r="A4795" s="395">
        <v>9908</v>
      </c>
      <c r="B4795" s="406" t="s">
        <v>13524</v>
      </c>
      <c r="C4795" s="395" t="s">
        <v>2021</v>
      </c>
      <c r="D4795" s="407">
        <f t="shared" si="148"/>
        <v>479.67</v>
      </c>
      <c r="F4795" s="680">
        <v>479.67</v>
      </c>
      <c r="G4795" s="680">
        <v>479.67</v>
      </c>
      <c r="H4795" t="b">
        <f t="shared" si="149"/>
        <v>1</v>
      </c>
    </row>
    <row r="4796" spans="1:8">
      <c r="A4796" s="396">
        <v>9905</v>
      </c>
      <c r="B4796" s="401" t="s">
        <v>13525</v>
      </c>
      <c r="C4796" s="396" t="s">
        <v>2021</v>
      </c>
      <c r="D4796" s="405">
        <f t="shared" si="148"/>
        <v>8.35</v>
      </c>
      <c r="F4796" s="679">
        <v>8.35</v>
      </c>
      <c r="G4796" s="679">
        <v>8.35</v>
      </c>
      <c r="H4796" t="b">
        <f t="shared" si="149"/>
        <v>1</v>
      </c>
    </row>
    <row r="4797" spans="1:8">
      <c r="A4797" s="395">
        <v>9906</v>
      </c>
      <c r="B4797" s="406" t="s">
        <v>13526</v>
      </c>
      <c r="C4797" s="395" t="s">
        <v>2021</v>
      </c>
      <c r="D4797" s="407">
        <f t="shared" si="148"/>
        <v>10.06</v>
      </c>
      <c r="F4797" s="680">
        <v>10.06</v>
      </c>
      <c r="G4797" s="680">
        <v>10.06</v>
      </c>
      <c r="H4797" t="b">
        <f t="shared" si="149"/>
        <v>1</v>
      </c>
    </row>
    <row r="4798" spans="1:8">
      <c r="A4798" s="396">
        <v>9895</v>
      </c>
      <c r="B4798" s="401" t="s">
        <v>13527</v>
      </c>
      <c r="C4798" s="396" t="s">
        <v>2021</v>
      </c>
      <c r="D4798" s="405">
        <f t="shared" si="148"/>
        <v>16.95</v>
      </c>
      <c r="F4798" s="679">
        <v>16.95</v>
      </c>
      <c r="G4798" s="679">
        <v>16.95</v>
      </c>
      <c r="H4798" t="b">
        <f t="shared" si="149"/>
        <v>1</v>
      </c>
    </row>
    <row r="4799" spans="1:8">
      <c r="A4799" s="395">
        <v>9894</v>
      </c>
      <c r="B4799" s="406" t="s">
        <v>13528</v>
      </c>
      <c r="C4799" s="395" t="s">
        <v>2021</v>
      </c>
      <c r="D4799" s="407">
        <f t="shared" si="148"/>
        <v>32.590000000000003</v>
      </c>
      <c r="F4799" s="680">
        <v>32.590000000000003</v>
      </c>
      <c r="G4799" s="680">
        <v>32.590000000000003</v>
      </c>
      <c r="H4799" t="b">
        <f t="shared" si="149"/>
        <v>1</v>
      </c>
    </row>
    <row r="4800" spans="1:8">
      <c r="A4800" s="396">
        <v>9897</v>
      </c>
      <c r="B4800" s="401" t="s">
        <v>13529</v>
      </c>
      <c r="C4800" s="396" t="s">
        <v>2021</v>
      </c>
      <c r="D4800" s="405">
        <f t="shared" si="148"/>
        <v>34.799999999999997</v>
      </c>
      <c r="F4800" s="679">
        <v>34.799999999999997</v>
      </c>
      <c r="G4800" s="679">
        <v>34.799999999999997</v>
      </c>
      <c r="H4800" t="b">
        <f t="shared" si="149"/>
        <v>1</v>
      </c>
    </row>
    <row r="4801" spans="1:8">
      <c r="A4801" s="395">
        <v>9910</v>
      </c>
      <c r="B4801" s="406" t="s">
        <v>13530</v>
      </c>
      <c r="C4801" s="395" t="s">
        <v>2021</v>
      </c>
      <c r="D4801" s="407">
        <f t="shared" si="148"/>
        <v>90.54</v>
      </c>
      <c r="F4801" s="680">
        <v>90.54</v>
      </c>
      <c r="G4801" s="680">
        <v>90.54</v>
      </c>
      <c r="H4801" t="b">
        <f t="shared" si="149"/>
        <v>1</v>
      </c>
    </row>
    <row r="4802" spans="1:8">
      <c r="A4802" s="396">
        <v>9909</v>
      </c>
      <c r="B4802" s="401" t="s">
        <v>13531</v>
      </c>
      <c r="C4802" s="396" t="s">
        <v>2021</v>
      </c>
      <c r="D4802" s="405">
        <f t="shared" si="148"/>
        <v>184.39</v>
      </c>
      <c r="F4802" s="679">
        <v>184.39</v>
      </c>
      <c r="G4802" s="679">
        <v>184.39</v>
      </c>
      <c r="H4802" t="b">
        <f t="shared" si="149"/>
        <v>1</v>
      </c>
    </row>
    <row r="4803" spans="1:8">
      <c r="A4803" s="395">
        <v>9907</v>
      </c>
      <c r="B4803" s="406" t="s">
        <v>13532</v>
      </c>
      <c r="C4803" s="395" t="s">
        <v>2021</v>
      </c>
      <c r="D4803" s="407">
        <f t="shared" ref="D4803:D4866" si="150">IF($J$2=$F$1,F4803,G4803)</f>
        <v>217.71</v>
      </c>
      <c r="F4803" s="680">
        <v>217.71</v>
      </c>
      <c r="G4803" s="680">
        <v>217.71</v>
      </c>
      <c r="H4803" t="b">
        <f t="shared" ref="H4803:H4866" si="151">F4803=G4803</f>
        <v>1</v>
      </c>
    </row>
    <row r="4804" spans="1:8" ht="30">
      <c r="A4804" s="396">
        <v>20973</v>
      </c>
      <c r="B4804" s="401" t="s">
        <v>13533</v>
      </c>
      <c r="C4804" s="396" t="s">
        <v>2021</v>
      </c>
      <c r="D4804" s="405">
        <f t="shared" si="150"/>
        <v>110.23</v>
      </c>
      <c r="F4804" s="679">
        <v>110.23</v>
      </c>
      <c r="G4804" s="679">
        <v>110.23</v>
      </c>
      <c r="H4804" t="b">
        <f t="shared" si="151"/>
        <v>1</v>
      </c>
    </row>
    <row r="4805" spans="1:8" ht="30">
      <c r="A4805" s="395">
        <v>20974</v>
      </c>
      <c r="B4805" s="406" t="s">
        <v>13534</v>
      </c>
      <c r="C4805" s="395" t="s">
        <v>2021</v>
      </c>
      <c r="D4805" s="407">
        <f t="shared" si="150"/>
        <v>157.71</v>
      </c>
      <c r="F4805" s="680">
        <v>157.71</v>
      </c>
      <c r="G4805" s="680">
        <v>157.71</v>
      </c>
      <c r="H4805" t="b">
        <f t="shared" si="151"/>
        <v>1</v>
      </c>
    </row>
    <row r="4806" spans="1:8">
      <c r="A4806" s="396">
        <v>37989</v>
      </c>
      <c r="B4806" s="401" t="s">
        <v>13535</v>
      </c>
      <c r="C4806" s="396" t="s">
        <v>2021</v>
      </c>
      <c r="D4806" s="405">
        <f t="shared" si="150"/>
        <v>14.15</v>
      </c>
      <c r="F4806" s="679">
        <v>14.15</v>
      </c>
      <c r="G4806" s="679">
        <v>14.15</v>
      </c>
      <c r="H4806" t="b">
        <f t="shared" si="151"/>
        <v>1</v>
      </c>
    </row>
    <row r="4807" spans="1:8">
      <c r="A4807" s="395">
        <v>37990</v>
      </c>
      <c r="B4807" s="406" t="s">
        <v>13536</v>
      </c>
      <c r="C4807" s="395" t="s">
        <v>2021</v>
      </c>
      <c r="D4807" s="407">
        <f t="shared" si="150"/>
        <v>15.61</v>
      </c>
      <c r="F4807" s="680">
        <v>15.61</v>
      </c>
      <c r="G4807" s="680">
        <v>15.61</v>
      </c>
      <c r="H4807" t="b">
        <f t="shared" si="151"/>
        <v>1</v>
      </c>
    </row>
    <row r="4808" spans="1:8">
      <c r="A4808" s="396">
        <v>37991</v>
      </c>
      <c r="B4808" s="401" t="s">
        <v>13537</v>
      </c>
      <c r="C4808" s="396" t="s">
        <v>2021</v>
      </c>
      <c r="D4808" s="405">
        <f t="shared" si="150"/>
        <v>20.77</v>
      </c>
      <c r="F4808" s="679">
        <v>20.77</v>
      </c>
      <c r="G4808" s="679">
        <v>20.77</v>
      </c>
      <c r="H4808" t="b">
        <f t="shared" si="151"/>
        <v>1</v>
      </c>
    </row>
    <row r="4809" spans="1:8">
      <c r="A4809" s="395">
        <v>37992</v>
      </c>
      <c r="B4809" s="406" t="s">
        <v>13538</v>
      </c>
      <c r="C4809" s="395" t="s">
        <v>2021</v>
      </c>
      <c r="D4809" s="407">
        <f t="shared" si="150"/>
        <v>32.229999999999997</v>
      </c>
      <c r="F4809" s="680">
        <v>32.229999999999997</v>
      </c>
      <c r="G4809" s="680">
        <v>32.229999999999997</v>
      </c>
      <c r="H4809" t="b">
        <f t="shared" si="151"/>
        <v>1</v>
      </c>
    </row>
    <row r="4810" spans="1:8">
      <c r="A4810" s="396">
        <v>37993</v>
      </c>
      <c r="B4810" s="401" t="s">
        <v>13539</v>
      </c>
      <c r="C4810" s="396" t="s">
        <v>2021</v>
      </c>
      <c r="D4810" s="405">
        <f t="shared" si="150"/>
        <v>48.91</v>
      </c>
      <c r="F4810" s="679">
        <v>48.91</v>
      </c>
      <c r="G4810" s="679">
        <v>48.91</v>
      </c>
      <c r="H4810" t="b">
        <f t="shared" si="151"/>
        <v>1</v>
      </c>
    </row>
    <row r="4811" spans="1:8">
      <c r="A4811" s="395">
        <v>37994</v>
      </c>
      <c r="B4811" s="406" t="s">
        <v>13540</v>
      </c>
      <c r="C4811" s="395" t="s">
        <v>2021</v>
      </c>
      <c r="D4811" s="407">
        <f t="shared" si="150"/>
        <v>116.47</v>
      </c>
      <c r="F4811" s="680">
        <v>116.47</v>
      </c>
      <c r="G4811" s="680">
        <v>116.47</v>
      </c>
      <c r="H4811" t="b">
        <f t="shared" si="151"/>
        <v>1</v>
      </c>
    </row>
    <row r="4812" spans="1:8">
      <c r="A4812" s="396">
        <v>37995</v>
      </c>
      <c r="B4812" s="401" t="s">
        <v>13541</v>
      </c>
      <c r="C4812" s="396" t="s">
        <v>2021</v>
      </c>
      <c r="D4812" s="405">
        <f t="shared" si="150"/>
        <v>151.81</v>
      </c>
      <c r="F4812" s="679">
        <v>151.81</v>
      </c>
      <c r="G4812" s="679">
        <v>151.81</v>
      </c>
      <c r="H4812" t="b">
        <f t="shared" si="151"/>
        <v>1</v>
      </c>
    </row>
    <row r="4813" spans="1:8">
      <c r="A4813" s="395">
        <v>37996</v>
      </c>
      <c r="B4813" s="406" t="s">
        <v>13542</v>
      </c>
      <c r="C4813" s="395" t="s">
        <v>2021</v>
      </c>
      <c r="D4813" s="407">
        <f t="shared" si="150"/>
        <v>231.17</v>
      </c>
      <c r="F4813" s="680">
        <v>231.17</v>
      </c>
      <c r="G4813" s="680">
        <v>231.17</v>
      </c>
      <c r="H4813" t="b">
        <f t="shared" si="151"/>
        <v>1</v>
      </c>
    </row>
    <row r="4814" spans="1:8">
      <c r="A4814" s="396">
        <v>13883</v>
      </c>
      <c r="B4814" s="401" t="s">
        <v>13543</v>
      </c>
      <c r="C4814" s="396" t="s">
        <v>2021</v>
      </c>
      <c r="D4814" s="405">
        <f t="shared" si="150"/>
        <v>124216.22</v>
      </c>
      <c r="F4814" s="679">
        <v>124216.22</v>
      </c>
      <c r="G4814" s="679">
        <v>124216.22</v>
      </c>
      <c r="H4814" t="b">
        <f t="shared" si="151"/>
        <v>1</v>
      </c>
    </row>
    <row r="4815" spans="1:8">
      <c r="A4815" s="395">
        <v>38604</v>
      </c>
      <c r="B4815" s="406" t="s">
        <v>13544</v>
      </c>
      <c r="C4815" s="395" t="s">
        <v>2021</v>
      </c>
      <c r="D4815" s="407">
        <f t="shared" si="150"/>
        <v>154709.66</v>
      </c>
      <c r="F4815" s="680">
        <v>154709.66</v>
      </c>
      <c r="G4815" s="680">
        <v>154709.66</v>
      </c>
      <c r="H4815" t="b">
        <f t="shared" si="151"/>
        <v>1</v>
      </c>
    </row>
    <row r="4816" spans="1:8" ht="30">
      <c r="A4816" s="396">
        <v>10601</v>
      </c>
      <c r="B4816" s="401" t="s">
        <v>13545</v>
      </c>
      <c r="C4816" s="396" t="s">
        <v>2021</v>
      </c>
      <c r="D4816" s="405">
        <f t="shared" si="150"/>
        <v>3009411.44</v>
      </c>
      <c r="F4816" s="679">
        <v>3009411.44</v>
      </c>
      <c r="G4816" s="679">
        <v>3009411.44</v>
      </c>
      <c r="H4816" t="b">
        <f t="shared" si="151"/>
        <v>1</v>
      </c>
    </row>
    <row r="4817" spans="1:8">
      <c r="A4817" s="395">
        <v>44469</v>
      </c>
      <c r="B4817" s="406" t="s">
        <v>13546</v>
      </c>
      <c r="C4817" s="395" t="s">
        <v>2021</v>
      </c>
      <c r="D4817" s="407">
        <f t="shared" si="150"/>
        <v>7923674.1100000003</v>
      </c>
      <c r="F4817" s="680">
        <v>7923674.1100000003</v>
      </c>
      <c r="G4817" s="680">
        <v>7923674.1100000003</v>
      </c>
      <c r="H4817" t="b">
        <f t="shared" si="151"/>
        <v>1</v>
      </c>
    </row>
    <row r="4818" spans="1:8">
      <c r="A4818" s="396">
        <v>13894</v>
      </c>
      <c r="B4818" s="401" t="s">
        <v>13547</v>
      </c>
      <c r="C4818" s="396" t="s">
        <v>2021</v>
      </c>
      <c r="D4818" s="405">
        <f t="shared" si="150"/>
        <v>392649.25</v>
      </c>
      <c r="F4818" s="679">
        <v>392649.25</v>
      </c>
      <c r="G4818" s="679">
        <v>392649.25</v>
      </c>
      <c r="H4818" t="b">
        <f t="shared" si="151"/>
        <v>1</v>
      </c>
    </row>
    <row r="4819" spans="1:8">
      <c r="A4819" s="395">
        <v>13895</v>
      </c>
      <c r="B4819" s="406" t="s">
        <v>13548</v>
      </c>
      <c r="C4819" s="395" t="s">
        <v>2021</v>
      </c>
      <c r="D4819" s="407">
        <f t="shared" si="150"/>
        <v>527982.35</v>
      </c>
      <c r="F4819" s="680">
        <v>527982.35</v>
      </c>
      <c r="G4819" s="680">
        <v>527982.35</v>
      </c>
      <c r="H4819" t="b">
        <f t="shared" si="151"/>
        <v>1</v>
      </c>
    </row>
    <row r="4820" spans="1:8">
      <c r="A4820" s="396">
        <v>13892</v>
      </c>
      <c r="B4820" s="401" t="s">
        <v>13549</v>
      </c>
      <c r="C4820" s="396" t="s">
        <v>2021</v>
      </c>
      <c r="D4820" s="405">
        <f t="shared" si="150"/>
        <v>647029.46</v>
      </c>
      <c r="F4820" s="679">
        <v>647029.46</v>
      </c>
      <c r="G4820" s="679">
        <v>647029.46</v>
      </c>
      <c r="H4820" t="b">
        <f t="shared" si="151"/>
        <v>1</v>
      </c>
    </row>
    <row r="4821" spans="1:8">
      <c r="A4821" s="395">
        <v>9914</v>
      </c>
      <c r="B4821" s="406" t="s">
        <v>13550</v>
      </c>
      <c r="C4821" s="395" t="s">
        <v>2021</v>
      </c>
      <c r="D4821" s="407">
        <f t="shared" si="150"/>
        <v>700000</v>
      </c>
      <c r="F4821" s="680">
        <v>700000</v>
      </c>
      <c r="G4821" s="680">
        <v>700000</v>
      </c>
      <c r="H4821" t="b">
        <f t="shared" si="151"/>
        <v>1</v>
      </c>
    </row>
    <row r="4822" spans="1:8" ht="30">
      <c r="A4822" s="396">
        <v>36485</v>
      </c>
      <c r="B4822" s="401" t="s">
        <v>13551</v>
      </c>
      <c r="C4822" s="396" t="s">
        <v>2021</v>
      </c>
      <c r="D4822" s="405">
        <f t="shared" si="150"/>
        <v>608840.39</v>
      </c>
      <c r="F4822" s="679">
        <v>608840.39</v>
      </c>
      <c r="G4822" s="679">
        <v>608840.39</v>
      </c>
      <c r="H4822" t="b">
        <f t="shared" si="151"/>
        <v>1</v>
      </c>
    </row>
    <row r="4823" spans="1:8">
      <c r="A4823" s="395">
        <v>9912</v>
      </c>
      <c r="B4823" s="406" t="s">
        <v>13552</v>
      </c>
      <c r="C4823" s="395" t="s">
        <v>2021</v>
      </c>
      <c r="D4823" s="407">
        <f t="shared" si="150"/>
        <v>2450000</v>
      </c>
      <c r="F4823" s="680">
        <v>2450000</v>
      </c>
      <c r="G4823" s="680">
        <v>2450000</v>
      </c>
      <c r="H4823" t="b">
        <f t="shared" si="151"/>
        <v>1</v>
      </c>
    </row>
    <row r="4824" spans="1:8">
      <c r="A4824" s="396">
        <v>9921</v>
      </c>
      <c r="B4824" s="401" t="s">
        <v>13553</v>
      </c>
      <c r="C4824" s="396" t="s">
        <v>2021</v>
      </c>
      <c r="D4824" s="405">
        <f t="shared" si="150"/>
        <v>1263825.8799999999</v>
      </c>
      <c r="F4824" s="679">
        <v>1263825.8799999999</v>
      </c>
      <c r="G4824" s="679">
        <v>1263825.8799999999</v>
      </c>
      <c r="H4824" t="b">
        <f t="shared" si="151"/>
        <v>1</v>
      </c>
    </row>
    <row r="4825" spans="1:8">
      <c r="A4825" s="395">
        <v>21112</v>
      </c>
      <c r="B4825" s="406" t="s">
        <v>13554</v>
      </c>
      <c r="C4825" s="395" t="s">
        <v>2021</v>
      </c>
      <c r="D4825" s="407">
        <f t="shared" si="150"/>
        <v>146.54</v>
      </c>
      <c r="F4825" s="680">
        <v>146.54</v>
      </c>
      <c r="G4825" s="680">
        <v>146.54</v>
      </c>
      <c r="H4825" t="b">
        <f t="shared" si="151"/>
        <v>1</v>
      </c>
    </row>
    <row r="4826" spans="1:8">
      <c r="A4826" s="396">
        <v>10228</v>
      </c>
      <c r="B4826" s="401" t="s">
        <v>13555</v>
      </c>
      <c r="C4826" s="396" t="s">
        <v>2021</v>
      </c>
      <c r="D4826" s="405">
        <f t="shared" si="150"/>
        <v>170.24</v>
      </c>
      <c r="F4826" s="679">
        <v>170.24</v>
      </c>
      <c r="G4826" s="679">
        <v>170.24</v>
      </c>
      <c r="H4826" t="b">
        <f t="shared" si="151"/>
        <v>1</v>
      </c>
    </row>
    <row r="4827" spans="1:8">
      <c r="A4827" s="395">
        <v>11781</v>
      </c>
      <c r="B4827" s="406" t="s">
        <v>13556</v>
      </c>
      <c r="C4827" s="395" t="s">
        <v>2021</v>
      </c>
      <c r="D4827" s="407">
        <f t="shared" si="150"/>
        <v>137.91</v>
      </c>
      <c r="F4827" s="680">
        <v>137.91</v>
      </c>
      <c r="G4827" s="680">
        <v>137.91</v>
      </c>
      <c r="H4827" t="b">
        <f t="shared" si="151"/>
        <v>1</v>
      </c>
    </row>
    <row r="4828" spans="1:8">
      <c r="A4828" s="396">
        <v>37588</v>
      </c>
      <c r="B4828" s="401" t="s">
        <v>13557</v>
      </c>
      <c r="C4828" s="396" t="s">
        <v>2021</v>
      </c>
      <c r="D4828" s="405">
        <f t="shared" si="150"/>
        <v>63.62</v>
      </c>
      <c r="F4828" s="679">
        <v>63.62</v>
      </c>
      <c r="G4828" s="679">
        <v>63.62</v>
      </c>
      <c r="H4828" t="b">
        <f t="shared" si="151"/>
        <v>1</v>
      </c>
    </row>
    <row r="4829" spans="1:8">
      <c r="A4829" s="395">
        <v>11746</v>
      </c>
      <c r="B4829" s="406" t="s">
        <v>13558</v>
      </c>
      <c r="C4829" s="395" t="s">
        <v>2021</v>
      </c>
      <c r="D4829" s="407">
        <f t="shared" si="150"/>
        <v>54.23</v>
      </c>
      <c r="F4829" s="680">
        <v>54.23</v>
      </c>
      <c r="G4829" s="680">
        <v>54.23</v>
      </c>
      <c r="H4829" t="b">
        <f t="shared" si="151"/>
        <v>1</v>
      </c>
    </row>
    <row r="4830" spans="1:8">
      <c r="A4830" s="396">
        <v>11751</v>
      </c>
      <c r="B4830" s="401" t="s">
        <v>13559</v>
      </c>
      <c r="C4830" s="396" t="s">
        <v>2021</v>
      </c>
      <c r="D4830" s="405">
        <f t="shared" si="150"/>
        <v>97.4</v>
      </c>
      <c r="F4830" s="679">
        <v>97.4</v>
      </c>
      <c r="G4830" s="679">
        <v>97.4</v>
      </c>
      <c r="H4830" t="b">
        <f t="shared" si="151"/>
        <v>1</v>
      </c>
    </row>
    <row r="4831" spans="1:8">
      <c r="A4831" s="395">
        <v>11750</v>
      </c>
      <c r="B4831" s="406" t="s">
        <v>13560</v>
      </c>
      <c r="C4831" s="395" t="s">
        <v>2021</v>
      </c>
      <c r="D4831" s="407">
        <f t="shared" si="150"/>
        <v>80.83</v>
      </c>
      <c r="F4831" s="680">
        <v>80.83</v>
      </c>
      <c r="G4831" s="680">
        <v>80.83</v>
      </c>
      <c r="H4831" t="b">
        <f t="shared" si="151"/>
        <v>1</v>
      </c>
    </row>
    <row r="4832" spans="1:8">
      <c r="A4832" s="396">
        <v>11748</v>
      </c>
      <c r="B4832" s="401" t="s">
        <v>13561</v>
      </c>
      <c r="C4832" s="396" t="s">
        <v>2021</v>
      </c>
      <c r="D4832" s="405">
        <f t="shared" si="150"/>
        <v>34.799999999999997</v>
      </c>
      <c r="F4832" s="679">
        <v>34.799999999999997</v>
      </c>
      <c r="G4832" s="679">
        <v>34.799999999999997</v>
      </c>
      <c r="H4832" t="b">
        <f t="shared" si="151"/>
        <v>1</v>
      </c>
    </row>
    <row r="4833" spans="1:8">
      <c r="A4833" s="395">
        <v>11747</v>
      </c>
      <c r="B4833" s="406" t="s">
        <v>13562</v>
      </c>
      <c r="C4833" s="395" t="s">
        <v>2021</v>
      </c>
      <c r="D4833" s="407">
        <f t="shared" si="150"/>
        <v>150.19</v>
      </c>
      <c r="F4833" s="680">
        <v>150.19</v>
      </c>
      <c r="G4833" s="680">
        <v>150.19</v>
      </c>
      <c r="H4833" t="b">
        <f t="shared" si="151"/>
        <v>1</v>
      </c>
    </row>
    <row r="4834" spans="1:8">
      <c r="A4834" s="396">
        <v>11749</v>
      </c>
      <c r="B4834" s="401" t="s">
        <v>13563</v>
      </c>
      <c r="C4834" s="396" t="s">
        <v>2021</v>
      </c>
      <c r="D4834" s="405">
        <f t="shared" si="150"/>
        <v>40.17</v>
      </c>
      <c r="F4834" s="679">
        <v>40.17</v>
      </c>
      <c r="G4834" s="679">
        <v>40.17</v>
      </c>
      <c r="H4834" t="b">
        <f t="shared" si="151"/>
        <v>1</v>
      </c>
    </row>
    <row r="4835" spans="1:8">
      <c r="A4835" s="395">
        <v>10236</v>
      </c>
      <c r="B4835" s="406" t="s">
        <v>13564</v>
      </c>
      <c r="C4835" s="395" t="s">
        <v>2021</v>
      </c>
      <c r="D4835" s="407">
        <f t="shared" si="150"/>
        <v>100.64</v>
      </c>
      <c r="F4835" s="680">
        <v>100.64</v>
      </c>
      <c r="G4835" s="680">
        <v>100.64</v>
      </c>
      <c r="H4835" t="b">
        <f t="shared" si="151"/>
        <v>1</v>
      </c>
    </row>
    <row r="4836" spans="1:8">
      <c r="A4836" s="396">
        <v>10233</v>
      </c>
      <c r="B4836" s="401" t="s">
        <v>13565</v>
      </c>
      <c r="C4836" s="396" t="s">
        <v>2021</v>
      </c>
      <c r="D4836" s="405">
        <f t="shared" si="150"/>
        <v>94.31</v>
      </c>
      <c r="F4836" s="679">
        <v>94.31</v>
      </c>
      <c r="G4836" s="679">
        <v>94.31</v>
      </c>
      <c r="H4836" t="b">
        <f t="shared" si="151"/>
        <v>1</v>
      </c>
    </row>
    <row r="4837" spans="1:8">
      <c r="A4837" s="395">
        <v>10234</v>
      </c>
      <c r="B4837" s="406" t="s">
        <v>13566</v>
      </c>
      <c r="C4837" s="395" t="s">
        <v>2021</v>
      </c>
      <c r="D4837" s="407">
        <f t="shared" si="150"/>
        <v>59.41</v>
      </c>
      <c r="F4837" s="680">
        <v>59.41</v>
      </c>
      <c r="G4837" s="680">
        <v>59.41</v>
      </c>
      <c r="H4837" t="b">
        <f t="shared" si="151"/>
        <v>1</v>
      </c>
    </row>
    <row r="4838" spans="1:8">
      <c r="A4838" s="396">
        <v>10231</v>
      </c>
      <c r="B4838" s="401" t="s">
        <v>13567</v>
      </c>
      <c r="C4838" s="396" t="s">
        <v>2021</v>
      </c>
      <c r="D4838" s="405">
        <f t="shared" si="150"/>
        <v>272.44</v>
      </c>
      <c r="F4838" s="679">
        <v>272.44</v>
      </c>
      <c r="G4838" s="679">
        <v>272.44</v>
      </c>
      <c r="H4838" t="b">
        <f t="shared" si="151"/>
        <v>1</v>
      </c>
    </row>
    <row r="4839" spans="1:8">
      <c r="A4839" s="395">
        <v>10232</v>
      </c>
      <c r="B4839" s="406" t="s">
        <v>13568</v>
      </c>
      <c r="C4839" s="395" t="s">
        <v>2021</v>
      </c>
      <c r="D4839" s="407">
        <f t="shared" si="150"/>
        <v>152.44999999999999</v>
      </c>
      <c r="F4839" s="680">
        <v>152.44999999999999</v>
      </c>
      <c r="G4839" s="680">
        <v>152.44999999999999</v>
      </c>
      <c r="H4839" t="b">
        <f t="shared" si="151"/>
        <v>1</v>
      </c>
    </row>
    <row r="4840" spans="1:8">
      <c r="A4840" s="396">
        <v>10229</v>
      </c>
      <c r="B4840" s="401" t="s">
        <v>13569</v>
      </c>
      <c r="C4840" s="396" t="s">
        <v>2021</v>
      </c>
      <c r="D4840" s="405">
        <f t="shared" si="150"/>
        <v>53.73</v>
      </c>
      <c r="F4840" s="679">
        <v>53.73</v>
      </c>
      <c r="G4840" s="679">
        <v>53.73</v>
      </c>
      <c r="H4840" t="b">
        <f t="shared" si="151"/>
        <v>1</v>
      </c>
    </row>
    <row r="4841" spans="1:8">
      <c r="A4841" s="395">
        <v>10235</v>
      </c>
      <c r="B4841" s="406" t="s">
        <v>13570</v>
      </c>
      <c r="C4841" s="395" t="s">
        <v>2021</v>
      </c>
      <c r="D4841" s="407">
        <f t="shared" si="150"/>
        <v>373.49</v>
      </c>
      <c r="F4841" s="680">
        <v>373.49</v>
      </c>
      <c r="G4841" s="680">
        <v>373.49</v>
      </c>
      <c r="H4841" t="b">
        <f t="shared" si="151"/>
        <v>1</v>
      </c>
    </row>
    <row r="4842" spans="1:8">
      <c r="A4842" s="396">
        <v>10230</v>
      </c>
      <c r="B4842" s="401" t="s">
        <v>13571</v>
      </c>
      <c r="C4842" s="396" t="s">
        <v>2021</v>
      </c>
      <c r="D4842" s="405">
        <f t="shared" si="150"/>
        <v>657.3</v>
      </c>
      <c r="F4842" s="679">
        <v>657.3</v>
      </c>
      <c r="G4842" s="679">
        <v>657.3</v>
      </c>
      <c r="H4842" t="b">
        <f t="shared" si="151"/>
        <v>1</v>
      </c>
    </row>
    <row r="4843" spans="1:8">
      <c r="A4843" s="395">
        <v>10409</v>
      </c>
      <c r="B4843" s="406" t="s">
        <v>13572</v>
      </c>
      <c r="C4843" s="395" t="s">
        <v>2021</v>
      </c>
      <c r="D4843" s="407">
        <f t="shared" si="150"/>
        <v>195.28</v>
      </c>
      <c r="F4843" s="680">
        <v>195.28</v>
      </c>
      <c r="G4843" s="680">
        <v>195.28</v>
      </c>
      <c r="H4843" t="b">
        <f t="shared" si="151"/>
        <v>1</v>
      </c>
    </row>
    <row r="4844" spans="1:8">
      <c r="A4844" s="396">
        <v>10411</v>
      </c>
      <c r="B4844" s="401" t="s">
        <v>13573</v>
      </c>
      <c r="C4844" s="396" t="s">
        <v>2021</v>
      </c>
      <c r="D4844" s="405">
        <f t="shared" si="150"/>
        <v>174.73</v>
      </c>
      <c r="F4844" s="679">
        <v>174.73</v>
      </c>
      <c r="G4844" s="679">
        <v>174.73</v>
      </c>
      <c r="H4844" t="b">
        <f t="shared" si="151"/>
        <v>1</v>
      </c>
    </row>
    <row r="4845" spans="1:8">
      <c r="A4845" s="395">
        <v>10404</v>
      </c>
      <c r="B4845" s="406" t="s">
        <v>13574</v>
      </c>
      <c r="C4845" s="395" t="s">
        <v>2021</v>
      </c>
      <c r="D4845" s="407">
        <f t="shared" si="150"/>
        <v>70.86</v>
      </c>
      <c r="F4845" s="680">
        <v>70.86</v>
      </c>
      <c r="G4845" s="680">
        <v>70.86</v>
      </c>
      <c r="H4845" t="b">
        <f t="shared" si="151"/>
        <v>1</v>
      </c>
    </row>
    <row r="4846" spans="1:8">
      <c r="A4846" s="396">
        <v>10410</v>
      </c>
      <c r="B4846" s="401" t="s">
        <v>13575</v>
      </c>
      <c r="C4846" s="396" t="s">
        <v>2021</v>
      </c>
      <c r="D4846" s="405">
        <f t="shared" si="150"/>
        <v>116.72</v>
      </c>
      <c r="F4846" s="679">
        <v>116.72</v>
      </c>
      <c r="G4846" s="679">
        <v>116.72</v>
      </c>
      <c r="H4846" t="b">
        <f t="shared" si="151"/>
        <v>1</v>
      </c>
    </row>
    <row r="4847" spans="1:8">
      <c r="A4847" s="395">
        <v>10405</v>
      </c>
      <c r="B4847" s="406" t="s">
        <v>13576</v>
      </c>
      <c r="C4847" s="395" t="s">
        <v>2021</v>
      </c>
      <c r="D4847" s="407">
        <f t="shared" si="150"/>
        <v>391.24</v>
      </c>
      <c r="F4847" s="680">
        <v>391.24</v>
      </c>
      <c r="G4847" s="680">
        <v>391.24</v>
      </c>
      <c r="H4847" t="b">
        <f t="shared" si="151"/>
        <v>1</v>
      </c>
    </row>
    <row r="4848" spans="1:8">
      <c r="A4848" s="396">
        <v>10408</v>
      </c>
      <c r="B4848" s="401" t="s">
        <v>13577</v>
      </c>
      <c r="C4848" s="396" t="s">
        <v>2021</v>
      </c>
      <c r="D4848" s="405">
        <f t="shared" si="150"/>
        <v>273.58</v>
      </c>
      <c r="F4848" s="679">
        <v>273.58</v>
      </c>
      <c r="G4848" s="679">
        <v>273.58</v>
      </c>
      <c r="H4848" t="b">
        <f t="shared" si="151"/>
        <v>1</v>
      </c>
    </row>
    <row r="4849" spans="1:8">
      <c r="A4849" s="395">
        <v>10412</v>
      </c>
      <c r="B4849" s="406" t="s">
        <v>13578</v>
      </c>
      <c r="C4849" s="395" t="s">
        <v>2021</v>
      </c>
      <c r="D4849" s="407">
        <f t="shared" si="150"/>
        <v>85.88</v>
      </c>
      <c r="F4849" s="680">
        <v>85.88</v>
      </c>
      <c r="G4849" s="680">
        <v>85.88</v>
      </c>
      <c r="H4849" t="b">
        <f t="shared" si="151"/>
        <v>1</v>
      </c>
    </row>
    <row r="4850" spans="1:8">
      <c r="A4850" s="396">
        <v>10406</v>
      </c>
      <c r="B4850" s="401" t="s">
        <v>13579</v>
      </c>
      <c r="C4850" s="396" t="s">
        <v>2021</v>
      </c>
      <c r="D4850" s="405">
        <f t="shared" si="150"/>
        <v>540.38</v>
      </c>
      <c r="F4850" s="679">
        <v>540.38</v>
      </c>
      <c r="G4850" s="679">
        <v>540.38</v>
      </c>
      <c r="H4850" t="b">
        <f t="shared" si="151"/>
        <v>1</v>
      </c>
    </row>
    <row r="4851" spans="1:8">
      <c r="A4851" s="395">
        <v>10407</v>
      </c>
      <c r="B4851" s="406" t="s">
        <v>13580</v>
      </c>
      <c r="C4851" s="395" t="s">
        <v>2021</v>
      </c>
      <c r="D4851" s="407">
        <f t="shared" si="150"/>
        <v>838.13</v>
      </c>
      <c r="F4851" s="680">
        <v>838.13</v>
      </c>
      <c r="G4851" s="680">
        <v>838.13</v>
      </c>
      <c r="H4851" t="b">
        <f t="shared" si="151"/>
        <v>1</v>
      </c>
    </row>
    <row r="4852" spans="1:8">
      <c r="A4852" s="396">
        <v>10416</v>
      </c>
      <c r="B4852" s="401" t="s">
        <v>13581</v>
      </c>
      <c r="C4852" s="396" t="s">
        <v>2021</v>
      </c>
      <c r="D4852" s="405">
        <f t="shared" si="150"/>
        <v>103.96</v>
      </c>
      <c r="F4852" s="679">
        <v>103.96</v>
      </c>
      <c r="G4852" s="679">
        <v>103.96</v>
      </c>
      <c r="H4852" t="b">
        <f t="shared" si="151"/>
        <v>1</v>
      </c>
    </row>
    <row r="4853" spans="1:8">
      <c r="A4853" s="395">
        <v>10419</v>
      </c>
      <c r="B4853" s="406" t="s">
        <v>13582</v>
      </c>
      <c r="C4853" s="395" t="s">
        <v>2021</v>
      </c>
      <c r="D4853" s="407">
        <f t="shared" si="150"/>
        <v>90.24</v>
      </c>
      <c r="F4853" s="680">
        <v>90.24</v>
      </c>
      <c r="G4853" s="680">
        <v>90.24</v>
      </c>
      <c r="H4853" t="b">
        <f t="shared" si="151"/>
        <v>1</v>
      </c>
    </row>
    <row r="4854" spans="1:8">
      <c r="A4854" s="396">
        <v>21092</v>
      </c>
      <c r="B4854" s="401" t="s">
        <v>13583</v>
      </c>
      <c r="C4854" s="396" t="s">
        <v>2021</v>
      </c>
      <c r="D4854" s="405">
        <f t="shared" si="150"/>
        <v>51.59</v>
      </c>
      <c r="F4854" s="679">
        <v>51.59</v>
      </c>
      <c r="G4854" s="679">
        <v>51.59</v>
      </c>
      <c r="H4854" t="b">
        <f t="shared" si="151"/>
        <v>1</v>
      </c>
    </row>
    <row r="4855" spans="1:8">
      <c r="A4855" s="395">
        <v>10418</v>
      </c>
      <c r="B4855" s="406" t="s">
        <v>13584</v>
      </c>
      <c r="C4855" s="395" t="s">
        <v>2021</v>
      </c>
      <c r="D4855" s="407">
        <f t="shared" si="150"/>
        <v>60.15</v>
      </c>
      <c r="F4855" s="680">
        <v>60.15</v>
      </c>
      <c r="G4855" s="680">
        <v>60.15</v>
      </c>
      <c r="H4855" t="b">
        <f t="shared" si="151"/>
        <v>1</v>
      </c>
    </row>
    <row r="4856" spans="1:8">
      <c r="A4856" s="396">
        <v>12657</v>
      </c>
      <c r="B4856" s="401" t="s">
        <v>13585</v>
      </c>
      <c r="C4856" s="396" t="s">
        <v>2021</v>
      </c>
      <c r="D4856" s="405">
        <f t="shared" si="150"/>
        <v>242.72</v>
      </c>
      <c r="F4856" s="679">
        <v>242.72</v>
      </c>
      <c r="G4856" s="679">
        <v>242.72</v>
      </c>
      <c r="H4856" t="b">
        <f t="shared" si="151"/>
        <v>1</v>
      </c>
    </row>
    <row r="4857" spans="1:8">
      <c r="A4857" s="395">
        <v>10417</v>
      </c>
      <c r="B4857" s="406" t="s">
        <v>13586</v>
      </c>
      <c r="C4857" s="395" t="s">
        <v>2021</v>
      </c>
      <c r="D4857" s="407">
        <f t="shared" si="150"/>
        <v>151.47</v>
      </c>
      <c r="F4857" s="680">
        <v>151.47</v>
      </c>
      <c r="G4857" s="680">
        <v>151.47</v>
      </c>
      <c r="H4857" t="b">
        <f t="shared" si="151"/>
        <v>1</v>
      </c>
    </row>
    <row r="4858" spans="1:8">
      <c r="A4858" s="396">
        <v>10413</v>
      </c>
      <c r="B4858" s="401" t="s">
        <v>13587</v>
      </c>
      <c r="C4858" s="396" t="s">
        <v>2021</v>
      </c>
      <c r="D4858" s="405">
        <f t="shared" si="150"/>
        <v>55.05</v>
      </c>
      <c r="F4858" s="679">
        <v>55.05</v>
      </c>
      <c r="G4858" s="679">
        <v>55.05</v>
      </c>
      <c r="H4858" t="b">
        <f t="shared" si="151"/>
        <v>1</v>
      </c>
    </row>
    <row r="4859" spans="1:8">
      <c r="A4859" s="395">
        <v>10414</v>
      </c>
      <c r="B4859" s="406" t="s">
        <v>13588</v>
      </c>
      <c r="C4859" s="395" t="s">
        <v>2021</v>
      </c>
      <c r="D4859" s="407">
        <f t="shared" si="150"/>
        <v>331.46</v>
      </c>
      <c r="F4859" s="680">
        <v>331.46</v>
      </c>
      <c r="G4859" s="680">
        <v>331.46</v>
      </c>
      <c r="H4859" t="b">
        <f t="shared" si="151"/>
        <v>1</v>
      </c>
    </row>
    <row r="4860" spans="1:8">
      <c r="A4860" s="396">
        <v>10415</v>
      </c>
      <c r="B4860" s="401" t="s">
        <v>13589</v>
      </c>
      <c r="C4860" s="396" t="s">
        <v>2021</v>
      </c>
      <c r="D4860" s="405">
        <f t="shared" si="150"/>
        <v>575.26</v>
      </c>
      <c r="F4860" s="679">
        <v>575.26</v>
      </c>
      <c r="G4860" s="679">
        <v>575.26</v>
      </c>
      <c r="H4860" t="b">
        <f t="shared" si="151"/>
        <v>1</v>
      </c>
    </row>
    <row r="4861" spans="1:8">
      <c r="A4861" s="395">
        <v>38643</v>
      </c>
      <c r="B4861" s="406" t="s">
        <v>13590</v>
      </c>
      <c r="C4861" s="395" t="s">
        <v>2021</v>
      </c>
      <c r="D4861" s="407">
        <f t="shared" si="150"/>
        <v>50.56</v>
      </c>
      <c r="F4861" s="680">
        <v>50.56</v>
      </c>
      <c r="G4861" s="680">
        <v>50.56</v>
      </c>
      <c r="H4861" t="b">
        <f t="shared" si="151"/>
        <v>1</v>
      </c>
    </row>
    <row r="4862" spans="1:8">
      <c r="A4862" s="396">
        <v>6157</v>
      </c>
      <c r="B4862" s="401" t="s">
        <v>13591</v>
      </c>
      <c r="C4862" s="396" t="s">
        <v>2021</v>
      </c>
      <c r="D4862" s="405">
        <f t="shared" si="150"/>
        <v>69.069999999999993</v>
      </c>
      <c r="F4862" s="679">
        <v>69.069999999999993</v>
      </c>
      <c r="G4862" s="679">
        <v>69.069999999999993</v>
      </c>
      <c r="H4862" t="b">
        <f t="shared" si="151"/>
        <v>1</v>
      </c>
    </row>
    <row r="4863" spans="1:8">
      <c r="A4863" s="395">
        <v>6158</v>
      </c>
      <c r="B4863" s="406" t="s">
        <v>13592</v>
      </c>
      <c r="C4863" s="395" t="s">
        <v>2021</v>
      </c>
      <c r="D4863" s="407">
        <f t="shared" si="150"/>
        <v>10.46</v>
      </c>
      <c r="F4863" s="680">
        <v>10.46</v>
      </c>
      <c r="G4863" s="680">
        <v>10.46</v>
      </c>
      <c r="H4863" t="b">
        <f t="shared" si="151"/>
        <v>1</v>
      </c>
    </row>
    <row r="4864" spans="1:8">
      <c r="A4864" s="396">
        <v>6153</v>
      </c>
      <c r="B4864" s="401" t="s">
        <v>13593</v>
      </c>
      <c r="C4864" s="396" t="s">
        <v>2021</v>
      </c>
      <c r="D4864" s="405">
        <f t="shared" si="150"/>
        <v>7.2</v>
      </c>
      <c r="F4864" s="679">
        <v>7.2</v>
      </c>
      <c r="G4864" s="679">
        <v>7.2</v>
      </c>
      <c r="H4864" t="b">
        <f t="shared" si="151"/>
        <v>1</v>
      </c>
    </row>
    <row r="4865" spans="1:8">
      <c r="A4865" s="395">
        <v>6156</v>
      </c>
      <c r="B4865" s="406" t="s">
        <v>13594</v>
      </c>
      <c r="C4865" s="395" t="s">
        <v>2021</v>
      </c>
      <c r="D4865" s="407">
        <f t="shared" si="150"/>
        <v>8.98</v>
      </c>
      <c r="F4865" s="680">
        <v>8.98</v>
      </c>
      <c r="G4865" s="680">
        <v>8.98</v>
      </c>
      <c r="H4865" t="b">
        <f t="shared" si="151"/>
        <v>1</v>
      </c>
    </row>
    <row r="4866" spans="1:8">
      <c r="A4866" s="396">
        <v>6154</v>
      </c>
      <c r="B4866" s="401" t="s">
        <v>13595</v>
      </c>
      <c r="C4866" s="396" t="s">
        <v>2021</v>
      </c>
      <c r="D4866" s="405">
        <f t="shared" si="150"/>
        <v>12.8</v>
      </c>
      <c r="F4866" s="679">
        <v>12.8</v>
      </c>
      <c r="G4866" s="679">
        <v>12.8</v>
      </c>
      <c r="H4866" t="b">
        <f t="shared" si="151"/>
        <v>1</v>
      </c>
    </row>
    <row r="4867" spans="1:8">
      <c r="A4867" s="395">
        <v>6155</v>
      </c>
      <c r="B4867" s="406" t="s">
        <v>13596</v>
      </c>
      <c r="C4867" s="395" t="s">
        <v>2021</v>
      </c>
      <c r="D4867" s="407">
        <f t="shared" ref="D4867:D4930" si="152">IF($J$2=$F$1,F4867,G4867)</f>
        <v>29.47</v>
      </c>
      <c r="F4867" s="680">
        <v>29.47</v>
      </c>
      <c r="G4867" s="680">
        <v>29.47</v>
      </c>
      <c r="H4867" t="b">
        <f t="shared" ref="H4867:H4930" si="153">F4867=G4867</f>
        <v>1</v>
      </c>
    </row>
    <row r="4868" spans="1:8">
      <c r="A4868" s="396">
        <v>43595</v>
      </c>
      <c r="B4868" s="401" t="s">
        <v>13597</v>
      </c>
      <c r="C4868" s="396" t="s">
        <v>2021</v>
      </c>
      <c r="D4868" s="405">
        <f t="shared" si="152"/>
        <v>21.16</v>
      </c>
      <c r="F4868" s="679">
        <v>21.16</v>
      </c>
      <c r="G4868" s="679">
        <v>21.16</v>
      </c>
      <c r="H4868" t="b">
        <f t="shared" si="153"/>
        <v>1</v>
      </c>
    </row>
    <row r="4869" spans="1:8">
      <c r="A4869" s="395">
        <v>43596</v>
      </c>
      <c r="B4869" s="406" t="s">
        <v>13598</v>
      </c>
      <c r="C4869" s="395" t="s">
        <v>2021</v>
      </c>
      <c r="D4869" s="407">
        <f t="shared" si="152"/>
        <v>24.45</v>
      </c>
      <c r="F4869" s="680">
        <v>24.45</v>
      </c>
      <c r="G4869" s="680">
        <v>24.45</v>
      </c>
      <c r="H4869" t="b">
        <f t="shared" si="153"/>
        <v>1</v>
      </c>
    </row>
    <row r="4870" spans="1:8">
      <c r="A4870" s="396">
        <v>38108</v>
      </c>
      <c r="B4870" s="401" t="s">
        <v>13599</v>
      </c>
      <c r="C4870" s="396" t="s">
        <v>2021</v>
      </c>
      <c r="D4870" s="405">
        <f t="shared" si="152"/>
        <v>44.21</v>
      </c>
      <c r="F4870" s="679">
        <v>44.21</v>
      </c>
      <c r="G4870" s="679">
        <v>44.21</v>
      </c>
      <c r="H4870" t="b">
        <f t="shared" si="153"/>
        <v>1</v>
      </c>
    </row>
    <row r="4871" spans="1:8" ht="30">
      <c r="A4871" s="395">
        <v>38087</v>
      </c>
      <c r="B4871" s="406" t="s">
        <v>13600</v>
      </c>
      <c r="C4871" s="395" t="s">
        <v>2021</v>
      </c>
      <c r="D4871" s="407">
        <f t="shared" si="152"/>
        <v>56.87</v>
      </c>
      <c r="F4871" s="680">
        <v>56.87</v>
      </c>
      <c r="G4871" s="680">
        <v>56.87</v>
      </c>
      <c r="H4871" t="b">
        <f t="shared" si="153"/>
        <v>1</v>
      </c>
    </row>
    <row r="4872" spans="1:8">
      <c r="A4872" s="396">
        <v>38109</v>
      </c>
      <c r="B4872" s="401" t="s">
        <v>13601</v>
      </c>
      <c r="C4872" s="396" t="s">
        <v>2021</v>
      </c>
      <c r="D4872" s="405">
        <f t="shared" si="152"/>
        <v>70.66</v>
      </c>
      <c r="F4872" s="679">
        <v>70.66</v>
      </c>
      <c r="G4872" s="679">
        <v>70.66</v>
      </c>
      <c r="H4872" t="b">
        <f t="shared" si="153"/>
        <v>1</v>
      </c>
    </row>
    <row r="4873" spans="1:8" ht="30">
      <c r="A4873" s="395">
        <v>38088</v>
      </c>
      <c r="B4873" s="406" t="s">
        <v>13602</v>
      </c>
      <c r="C4873" s="395" t="s">
        <v>2021</v>
      </c>
      <c r="D4873" s="407">
        <f t="shared" si="152"/>
        <v>74.3</v>
      </c>
      <c r="F4873" s="680">
        <v>74.3</v>
      </c>
      <c r="G4873" s="680">
        <v>74.3</v>
      </c>
      <c r="H4873" t="b">
        <f t="shared" si="153"/>
        <v>1</v>
      </c>
    </row>
    <row r="4874" spans="1:8">
      <c r="A4874" s="396">
        <v>38110</v>
      </c>
      <c r="B4874" s="401" t="s">
        <v>13603</v>
      </c>
      <c r="C4874" s="396" t="s">
        <v>2021</v>
      </c>
      <c r="D4874" s="405">
        <f t="shared" si="152"/>
        <v>27.18</v>
      </c>
      <c r="F4874" s="679">
        <v>27.18</v>
      </c>
      <c r="G4874" s="679">
        <v>27.18</v>
      </c>
      <c r="H4874" t="b">
        <f t="shared" si="153"/>
        <v>1</v>
      </c>
    </row>
    <row r="4875" spans="1:8" ht="30">
      <c r="A4875" s="395">
        <v>38089</v>
      </c>
      <c r="B4875" s="406" t="s">
        <v>13604</v>
      </c>
      <c r="C4875" s="395" t="s">
        <v>2021</v>
      </c>
      <c r="D4875" s="407">
        <f t="shared" si="152"/>
        <v>47.37</v>
      </c>
      <c r="F4875" s="680">
        <v>47.37</v>
      </c>
      <c r="G4875" s="680">
        <v>47.37</v>
      </c>
      <c r="H4875" t="b">
        <f t="shared" si="153"/>
        <v>1</v>
      </c>
    </row>
    <row r="4876" spans="1:8">
      <c r="A4876" s="396">
        <v>38111</v>
      </c>
      <c r="B4876" s="401" t="s">
        <v>13605</v>
      </c>
      <c r="C4876" s="396" t="s">
        <v>2021</v>
      </c>
      <c r="D4876" s="405">
        <f t="shared" si="152"/>
        <v>30.4</v>
      </c>
      <c r="F4876" s="679">
        <v>30.4</v>
      </c>
      <c r="G4876" s="679">
        <v>30.4</v>
      </c>
      <c r="H4876" t="b">
        <f t="shared" si="153"/>
        <v>1</v>
      </c>
    </row>
    <row r="4877" spans="1:8" ht="30">
      <c r="A4877" s="395">
        <v>38090</v>
      </c>
      <c r="B4877" s="406" t="s">
        <v>13606</v>
      </c>
      <c r="C4877" s="395" t="s">
        <v>2021</v>
      </c>
      <c r="D4877" s="407">
        <f t="shared" si="152"/>
        <v>48.96</v>
      </c>
      <c r="F4877" s="680">
        <v>48.96</v>
      </c>
      <c r="G4877" s="680">
        <v>48.96</v>
      </c>
      <c r="H4877" t="b">
        <f t="shared" si="153"/>
        <v>1</v>
      </c>
    </row>
    <row r="4878" spans="1:8">
      <c r="A4878" s="396">
        <v>13726</v>
      </c>
      <c r="B4878" s="401" t="s">
        <v>13607</v>
      </c>
      <c r="C4878" s="396" t="s">
        <v>2021</v>
      </c>
      <c r="D4878" s="405">
        <f t="shared" si="152"/>
        <v>84756.03</v>
      </c>
      <c r="F4878" s="679">
        <v>84756.03</v>
      </c>
      <c r="G4878" s="679">
        <v>84756.03</v>
      </c>
      <c r="H4878" t="b">
        <f t="shared" si="153"/>
        <v>1</v>
      </c>
    </row>
    <row r="4879" spans="1:8">
      <c r="A4879" s="395">
        <v>38400</v>
      </c>
      <c r="B4879" s="406" t="s">
        <v>13608</v>
      </c>
      <c r="C4879" s="395" t="s">
        <v>2021</v>
      </c>
      <c r="D4879" s="407">
        <f t="shared" si="152"/>
        <v>31.34</v>
      </c>
      <c r="F4879" s="680">
        <v>31.34</v>
      </c>
      <c r="G4879" s="680">
        <v>31.34</v>
      </c>
      <c r="H4879" t="b">
        <f t="shared" si="153"/>
        <v>1</v>
      </c>
    </row>
    <row r="4880" spans="1:8">
      <c r="A4880" s="396">
        <v>12627</v>
      </c>
      <c r="B4880" s="401" t="s">
        <v>13609</v>
      </c>
      <c r="C4880" s="396" t="s">
        <v>2021</v>
      </c>
      <c r="D4880" s="405">
        <f t="shared" si="152"/>
        <v>1.58</v>
      </c>
      <c r="F4880" s="679">
        <v>1.58</v>
      </c>
      <c r="G4880" s="679">
        <v>1.58</v>
      </c>
      <c r="H4880" t="b">
        <f t="shared" si="153"/>
        <v>1</v>
      </c>
    </row>
    <row r="4881" spans="1:8">
      <c r="A4881" s="395">
        <v>39996</v>
      </c>
      <c r="B4881" s="406" t="s">
        <v>13610</v>
      </c>
      <c r="C4881" s="395" t="s">
        <v>2024</v>
      </c>
      <c r="D4881" s="407">
        <f t="shared" si="152"/>
        <v>4.59</v>
      </c>
      <c r="F4881" s="680">
        <v>4.59</v>
      </c>
      <c r="G4881" s="680">
        <v>4.59</v>
      </c>
      <c r="H4881" t="b">
        <f t="shared" si="153"/>
        <v>1</v>
      </c>
    </row>
    <row r="4882" spans="1:8">
      <c r="A4882" s="396">
        <v>10478</v>
      </c>
      <c r="B4882" s="401" t="s">
        <v>13611</v>
      </c>
      <c r="C4882" s="396" t="s">
        <v>2026</v>
      </c>
      <c r="D4882" s="405">
        <f t="shared" si="152"/>
        <v>33.74</v>
      </c>
      <c r="F4882" s="679">
        <v>33.74</v>
      </c>
      <c r="G4882" s="679">
        <v>33.74</v>
      </c>
      <c r="H4882" t="b">
        <f t="shared" si="153"/>
        <v>1</v>
      </c>
    </row>
    <row r="4883" spans="1:8">
      <c r="A4883" s="395">
        <v>10481</v>
      </c>
      <c r="B4883" s="406" t="s">
        <v>13612</v>
      </c>
      <c r="C4883" s="395" t="s">
        <v>2026</v>
      </c>
      <c r="D4883" s="407">
        <f t="shared" si="152"/>
        <v>30</v>
      </c>
      <c r="F4883" s="680">
        <v>30</v>
      </c>
      <c r="G4883" s="680">
        <v>30</v>
      </c>
      <c r="H4883" t="b">
        <f t="shared" si="153"/>
        <v>1</v>
      </c>
    </row>
    <row r="4884" spans="1:8">
      <c r="A4884" s="396">
        <v>10475</v>
      </c>
      <c r="B4884" s="401" t="s">
        <v>13613</v>
      </c>
      <c r="C4884" s="396" t="s">
        <v>2026</v>
      </c>
      <c r="D4884" s="405">
        <f t="shared" si="152"/>
        <v>29.03</v>
      </c>
      <c r="F4884" s="679">
        <v>29.03</v>
      </c>
      <c r="G4884" s="679">
        <v>29.03</v>
      </c>
      <c r="H4884" t="b">
        <f t="shared" si="153"/>
        <v>1</v>
      </c>
    </row>
    <row r="4885" spans="1:8">
      <c r="A4885" s="395">
        <v>4031</v>
      </c>
      <c r="B4885" s="406" t="s">
        <v>13614</v>
      </c>
      <c r="C4885" s="395" t="s">
        <v>2023</v>
      </c>
      <c r="D4885" s="407">
        <f t="shared" si="152"/>
        <v>36.99</v>
      </c>
      <c r="F4885" s="680">
        <v>36.99</v>
      </c>
      <c r="G4885" s="680">
        <v>36.99</v>
      </c>
      <c r="H4885" t="b">
        <f t="shared" si="153"/>
        <v>1</v>
      </c>
    </row>
    <row r="4886" spans="1:8">
      <c r="A4886" s="396">
        <v>4030</v>
      </c>
      <c r="B4886" s="401" t="s">
        <v>13615</v>
      </c>
      <c r="C4886" s="396" t="s">
        <v>2023</v>
      </c>
      <c r="D4886" s="405">
        <f t="shared" si="152"/>
        <v>7.87</v>
      </c>
      <c r="F4886" s="679">
        <v>7.87</v>
      </c>
      <c r="G4886" s="679">
        <v>7.87</v>
      </c>
      <c r="H4886" t="b">
        <f t="shared" si="153"/>
        <v>1</v>
      </c>
    </row>
    <row r="4887" spans="1:8">
      <c r="A4887" s="395">
        <v>39399</v>
      </c>
      <c r="B4887" s="406" t="s">
        <v>13616</v>
      </c>
      <c r="C4887" s="395" t="s">
        <v>2021</v>
      </c>
      <c r="D4887" s="407">
        <f t="shared" si="152"/>
        <v>1486.74</v>
      </c>
      <c r="F4887" s="680">
        <v>1486.74</v>
      </c>
      <c r="G4887" s="680">
        <v>1486.74</v>
      </c>
      <c r="H4887" t="b">
        <f t="shared" si="153"/>
        <v>1</v>
      </c>
    </row>
    <row r="4888" spans="1:8">
      <c r="A4888" s="396">
        <v>39400</v>
      </c>
      <c r="B4888" s="401" t="s">
        <v>13617</v>
      </c>
      <c r="C4888" s="396" t="s">
        <v>2021</v>
      </c>
      <c r="D4888" s="405">
        <f t="shared" si="152"/>
        <v>1616.02</v>
      </c>
      <c r="F4888" s="679">
        <v>1616.02</v>
      </c>
      <c r="G4888" s="679">
        <v>1616.02</v>
      </c>
      <c r="H4888" t="b">
        <f t="shared" si="153"/>
        <v>1</v>
      </c>
    </row>
    <row r="4889" spans="1:8">
      <c r="A4889" s="395">
        <v>39401</v>
      </c>
      <c r="B4889" s="406" t="s">
        <v>13618</v>
      </c>
      <c r="C4889" s="395" t="s">
        <v>2021</v>
      </c>
      <c r="D4889" s="407">
        <f t="shared" si="152"/>
        <v>1812.78</v>
      </c>
      <c r="F4889" s="680">
        <v>1812.78</v>
      </c>
      <c r="G4889" s="680">
        <v>1812.78</v>
      </c>
      <c r="H4889" t="b">
        <f t="shared" si="153"/>
        <v>1</v>
      </c>
    </row>
    <row r="4890" spans="1:8">
      <c r="A4890" s="396">
        <v>11652</v>
      </c>
      <c r="B4890" s="401" t="s">
        <v>13619</v>
      </c>
      <c r="C4890" s="396" t="s">
        <v>2021</v>
      </c>
      <c r="D4890" s="405">
        <f t="shared" si="152"/>
        <v>3900</v>
      </c>
      <c r="F4890" s="679">
        <v>3900</v>
      </c>
      <c r="G4890" s="679">
        <v>3900</v>
      </c>
      <c r="H4890" t="b">
        <f t="shared" si="153"/>
        <v>1</v>
      </c>
    </row>
    <row r="4891" spans="1:8">
      <c r="A4891" s="395">
        <v>13896</v>
      </c>
      <c r="B4891" s="406" t="s">
        <v>13620</v>
      </c>
      <c r="C4891" s="395" t="s">
        <v>2021</v>
      </c>
      <c r="D4891" s="407">
        <f t="shared" si="152"/>
        <v>3498.64</v>
      </c>
      <c r="F4891" s="680">
        <v>3498.64</v>
      </c>
      <c r="G4891" s="680">
        <v>3498.64</v>
      </c>
      <c r="H4891" t="b">
        <f t="shared" si="153"/>
        <v>1</v>
      </c>
    </row>
    <row r="4892" spans="1:8">
      <c r="A4892" s="396">
        <v>13475</v>
      </c>
      <c r="B4892" s="401" t="s">
        <v>13621</v>
      </c>
      <c r="C4892" s="396" t="s">
        <v>2021</v>
      </c>
      <c r="D4892" s="405">
        <f t="shared" si="152"/>
        <v>4261.76</v>
      </c>
      <c r="F4892" s="679">
        <v>4261.76</v>
      </c>
      <c r="G4892" s="679">
        <v>4261.76</v>
      </c>
      <c r="H4892" t="b">
        <f t="shared" si="153"/>
        <v>1</v>
      </c>
    </row>
    <row r="4893" spans="1:8">
      <c r="A4893" s="395">
        <v>44491</v>
      </c>
      <c r="B4893" s="406" t="s">
        <v>13622</v>
      </c>
      <c r="C4893" s="395" t="s">
        <v>2021</v>
      </c>
      <c r="D4893" s="407">
        <f t="shared" si="152"/>
        <v>4801894.26</v>
      </c>
      <c r="F4893" s="680">
        <v>4801894.26</v>
      </c>
      <c r="G4893" s="680">
        <v>4801894.26</v>
      </c>
      <c r="H4893" t="b">
        <f t="shared" si="153"/>
        <v>1</v>
      </c>
    </row>
    <row r="4894" spans="1:8">
      <c r="A4894" s="396">
        <v>44470</v>
      </c>
      <c r="B4894" s="401" t="s">
        <v>13623</v>
      </c>
      <c r="C4894" s="396" t="s">
        <v>2021</v>
      </c>
      <c r="D4894" s="405">
        <f t="shared" si="152"/>
        <v>2021541.75</v>
      </c>
      <c r="F4894" s="679">
        <v>2021541.75</v>
      </c>
      <c r="G4894" s="679">
        <v>2021541.75</v>
      </c>
      <c r="H4894" t="b">
        <f t="shared" si="153"/>
        <v>1</v>
      </c>
    </row>
    <row r="4895" spans="1:8">
      <c r="A4895" s="395">
        <v>13476</v>
      </c>
      <c r="B4895" s="406" t="s">
        <v>13624</v>
      </c>
      <c r="C4895" s="395" t="s">
        <v>2021</v>
      </c>
      <c r="D4895" s="407">
        <f t="shared" si="152"/>
        <v>2036190.75</v>
      </c>
      <c r="F4895" s="680">
        <v>2036190.75</v>
      </c>
      <c r="G4895" s="680">
        <v>2036190.75</v>
      </c>
      <c r="H4895" t="b">
        <f t="shared" si="153"/>
        <v>1</v>
      </c>
    </row>
    <row r="4896" spans="1:8">
      <c r="A4896" s="396">
        <v>10488</v>
      </c>
      <c r="B4896" s="401" t="s">
        <v>13625</v>
      </c>
      <c r="C4896" s="396" t="s">
        <v>2021</v>
      </c>
      <c r="D4896" s="405">
        <f t="shared" si="152"/>
        <v>2466867</v>
      </c>
      <c r="F4896" s="679">
        <v>2466867</v>
      </c>
      <c r="G4896" s="679">
        <v>2466867</v>
      </c>
      <c r="H4896" t="b">
        <f t="shared" si="153"/>
        <v>1</v>
      </c>
    </row>
    <row r="4897" spans="1:8" ht="30">
      <c r="A4897" s="395">
        <v>13606</v>
      </c>
      <c r="B4897" s="406" t="s">
        <v>13626</v>
      </c>
      <c r="C4897" s="395" t="s">
        <v>2021</v>
      </c>
      <c r="D4897" s="407">
        <f t="shared" si="152"/>
        <v>2185608.88</v>
      </c>
      <c r="F4897" s="680">
        <v>2185608.88</v>
      </c>
      <c r="G4897" s="680">
        <v>2185608.88</v>
      </c>
      <c r="H4897" t="b">
        <f t="shared" si="153"/>
        <v>1</v>
      </c>
    </row>
    <row r="4898" spans="1:8">
      <c r="A4898" s="396">
        <v>10489</v>
      </c>
      <c r="B4898" s="401" t="s">
        <v>13627</v>
      </c>
      <c r="C4898" s="396" t="s">
        <v>2020</v>
      </c>
      <c r="D4898" s="405">
        <f t="shared" si="152"/>
        <v>14.03</v>
      </c>
      <c r="F4898" s="679">
        <v>14.03</v>
      </c>
      <c r="G4898" s="679">
        <v>16.14</v>
      </c>
      <c r="H4898" t="b">
        <f t="shared" si="153"/>
        <v>0</v>
      </c>
    </row>
    <row r="4899" spans="1:8">
      <c r="A4899" s="395">
        <v>41073</v>
      </c>
      <c r="B4899" s="406" t="s">
        <v>13628</v>
      </c>
      <c r="C4899" s="395" t="s">
        <v>2027</v>
      </c>
      <c r="D4899" s="407">
        <f t="shared" si="152"/>
        <v>2475.79</v>
      </c>
      <c r="F4899" s="680">
        <v>2475.79</v>
      </c>
      <c r="G4899" s="680">
        <v>2851.97</v>
      </c>
      <c r="H4899" t="b">
        <f t="shared" si="153"/>
        <v>0</v>
      </c>
    </row>
    <row r="4900" spans="1:8">
      <c r="A4900" s="396">
        <v>34391</v>
      </c>
      <c r="B4900" s="401" t="s">
        <v>13629</v>
      </c>
      <c r="C4900" s="396" t="s">
        <v>2023</v>
      </c>
      <c r="D4900" s="405">
        <f t="shared" si="152"/>
        <v>837.81</v>
      </c>
      <c r="F4900" s="679">
        <v>837.81</v>
      </c>
      <c r="G4900" s="679">
        <v>837.81</v>
      </c>
      <c r="H4900" t="b">
        <f t="shared" si="153"/>
        <v>1</v>
      </c>
    </row>
    <row r="4901" spans="1:8">
      <c r="A4901" s="395">
        <v>10496</v>
      </c>
      <c r="B4901" s="406" t="s">
        <v>13630</v>
      </c>
      <c r="C4901" s="395" t="s">
        <v>2023</v>
      </c>
      <c r="D4901" s="407">
        <f t="shared" si="152"/>
        <v>729.16</v>
      </c>
      <c r="F4901" s="680">
        <v>729.16</v>
      </c>
      <c r="G4901" s="680">
        <v>729.16</v>
      </c>
      <c r="H4901" t="b">
        <f t="shared" si="153"/>
        <v>1</v>
      </c>
    </row>
    <row r="4902" spans="1:8">
      <c r="A4902" s="396">
        <v>10497</v>
      </c>
      <c r="B4902" s="401" t="s">
        <v>13631</v>
      </c>
      <c r="C4902" s="396" t="s">
        <v>2023</v>
      </c>
      <c r="D4902" s="405">
        <f t="shared" si="152"/>
        <v>1895.83</v>
      </c>
      <c r="F4902" s="679">
        <v>1895.83</v>
      </c>
      <c r="G4902" s="679">
        <v>1895.83</v>
      </c>
      <c r="H4902" t="b">
        <f t="shared" si="153"/>
        <v>1</v>
      </c>
    </row>
    <row r="4903" spans="1:8">
      <c r="A4903" s="395">
        <v>10504</v>
      </c>
      <c r="B4903" s="406" t="s">
        <v>13632</v>
      </c>
      <c r="C4903" s="395" t="s">
        <v>2023</v>
      </c>
      <c r="D4903" s="407">
        <f t="shared" si="152"/>
        <v>2216.66</v>
      </c>
      <c r="F4903" s="680">
        <v>2216.66</v>
      </c>
      <c r="G4903" s="680">
        <v>2216.66</v>
      </c>
      <c r="H4903" t="b">
        <f t="shared" si="153"/>
        <v>1</v>
      </c>
    </row>
    <row r="4904" spans="1:8">
      <c r="A4904" s="396">
        <v>34390</v>
      </c>
      <c r="B4904" s="401" t="s">
        <v>13633</v>
      </c>
      <c r="C4904" s="396" t="s">
        <v>2023</v>
      </c>
      <c r="D4904" s="405">
        <f t="shared" si="152"/>
        <v>653.33000000000004</v>
      </c>
      <c r="F4904" s="679">
        <v>653.33000000000004</v>
      </c>
      <c r="G4904" s="679">
        <v>653.33000000000004</v>
      </c>
      <c r="H4904" t="b">
        <f t="shared" si="153"/>
        <v>1</v>
      </c>
    </row>
    <row r="4905" spans="1:8">
      <c r="A4905" s="395">
        <v>34389</v>
      </c>
      <c r="B4905" s="406" t="s">
        <v>13634</v>
      </c>
      <c r="C4905" s="395" t="s">
        <v>2023</v>
      </c>
      <c r="D4905" s="407">
        <f t="shared" si="152"/>
        <v>204.16</v>
      </c>
      <c r="F4905" s="680">
        <v>204.16</v>
      </c>
      <c r="G4905" s="680">
        <v>204.16</v>
      </c>
      <c r="H4905" t="b">
        <f t="shared" si="153"/>
        <v>1</v>
      </c>
    </row>
    <row r="4906" spans="1:8">
      <c r="A4906" s="396">
        <v>34388</v>
      </c>
      <c r="B4906" s="401" t="s">
        <v>13635</v>
      </c>
      <c r="C4906" s="396" t="s">
        <v>2023</v>
      </c>
      <c r="D4906" s="405">
        <f t="shared" si="152"/>
        <v>290.17</v>
      </c>
      <c r="F4906" s="679">
        <v>290.17</v>
      </c>
      <c r="G4906" s="679">
        <v>290.17</v>
      </c>
      <c r="H4906" t="b">
        <f t="shared" si="153"/>
        <v>1</v>
      </c>
    </row>
    <row r="4907" spans="1:8">
      <c r="A4907" s="395">
        <v>34387</v>
      </c>
      <c r="B4907" s="406" t="s">
        <v>13636</v>
      </c>
      <c r="C4907" s="395" t="s">
        <v>2023</v>
      </c>
      <c r="D4907" s="407">
        <f t="shared" si="152"/>
        <v>471.04</v>
      </c>
      <c r="F4907" s="680">
        <v>471.04</v>
      </c>
      <c r="G4907" s="680">
        <v>471.04</v>
      </c>
      <c r="H4907" t="b">
        <f t="shared" si="153"/>
        <v>1</v>
      </c>
    </row>
    <row r="4908" spans="1:8">
      <c r="A4908" s="396">
        <v>11188</v>
      </c>
      <c r="B4908" s="401" t="s">
        <v>13637</v>
      </c>
      <c r="C4908" s="396" t="s">
        <v>2023</v>
      </c>
      <c r="D4908" s="405">
        <f t="shared" si="152"/>
        <v>233.33</v>
      </c>
      <c r="F4908" s="679">
        <v>233.33</v>
      </c>
      <c r="G4908" s="679">
        <v>233.33</v>
      </c>
      <c r="H4908" t="b">
        <f t="shared" si="153"/>
        <v>1</v>
      </c>
    </row>
    <row r="4909" spans="1:8">
      <c r="A4909" s="395">
        <v>11189</v>
      </c>
      <c r="B4909" s="406" t="s">
        <v>13638</v>
      </c>
      <c r="C4909" s="395" t="s">
        <v>2023</v>
      </c>
      <c r="D4909" s="407">
        <f t="shared" si="152"/>
        <v>350</v>
      </c>
      <c r="F4909" s="680">
        <v>350</v>
      </c>
      <c r="G4909" s="680">
        <v>350</v>
      </c>
      <c r="H4909" t="b">
        <f t="shared" si="153"/>
        <v>1</v>
      </c>
    </row>
    <row r="4910" spans="1:8">
      <c r="A4910" s="396">
        <v>21107</v>
      </c>
      <c r="B4910" s="401" t="s">
        <v>13639</v>
      </c>
      <c r="C4910" s="396" t="s">
        <v>2023</v>
      </c>
      <c r="D4910" s="405">
        <f t="shared" si="152"/>
        <v>251.88</v>
      </c>
      <c r="F4910" s="679">
        <v>251.88</v>
      </c>
      <c r="G4910" s="679">
        <v>251.88</v>
      </c>
      <c r="H4910" t="b">
        <f t="shared" si="153"/>
        <v>1</v>
      </c>
    </row>
    <row r="4911" spans="1:8">
      <c r="A4911" s="395">
        <v>34386</v>
      </c>
      <c r="B4911" s="406" t="s">
        <v>13640</v>
      </c>
      <c r="C4911" s="395" t="s">
        <v>2023</v>
      </c>
      <c r="D4911" s="407">
        <f t="shared" si="152"/>
        <v>437.5</v>
      </c>
      <c r="F4911" s="680">
        <v>437.5</v>
      </c>
      <c r="G4911" s="680">
        <v>437.5</v>
      </c>
      <c r="H4911" t="b">
        <f t="shared" si="153"/>
        <v>1</v>
      </c>
    </row>
    <row r="4912" spans="1:8">
      <c r="A4912" s="396">
        <v>10490</v>
      </c>
      <c r="B4912" s="401" t="s">
        <v>13641</v>
      </c>
      <c r="C4912" s="396" t="s">
        <v>2023</v>
      </c>
      <c r="D4912" s="405">
        <f t="shared" si="152"/>
        <v>153.12</v>
      </c>
      <c r="F4912" s="679">
        <v>153.12</v>
      </c>
      <c r="G4912" s="679">
        <v>153.12</v>
      </c>
      <c r="H4912" t="b">
        <f t="shared" si="153"/>
        <v>1</v>
      </c>
    </row>
    <row r="4913" spans="1:8">
      <c r="A4913" s="395">
        <v>10492</v>
      </c>
      <c r="B4913" s="406" t="s">
        <v>13642</v>
      </c>
      <c r="C4913" s="395" t="s">
        <v>2023</v>
      </c>
      <c r="D4913" s="407">
        <f t="shared" si="152"/>
        <v>175</v>
      </c>
      <c r="F4913" s="680">
        <v>175</v>
      </c>
      <c r="G4913" s="680">
        <v>175</v>
      </c>
      <c r="H4913" t="b">
        <f t="shared" si="153"/>
        <v>1</v>
      </c>
    </row>
    <row r="4914" spans="1:8">
      <c r="A4914" s="396">
        <v>10493</v>
      </c>
      <c r="B4914" s="401" t="s">
        <v>13643</v>
      </c>
      <c r="C4914" s="396" t="s">
        <v>2023</v>
      </c>
      <c r="D4914" s="405">
        <f t="shared" si="152"/>
        <v>204.16</v>
      </c>
      <c r="F4914" s="679">
        <v>204.16</v>
      </c>
      <c r="G4914" s="679">
        <v>204.16</v>
      </c>
      <c r="H4914" t="b">
        <f t="shared" si="153"/>
        <v>1</v>
      </c>
    </row>
    <row r="4915" spans="1:8">
      <c r="A4915" s="395">
        <v>10491</v>
      </c>
      <c r="B4915" s="406" t="s">
        <v>13644</v>
      </c>
      <c r="C4915" s="395" t="s">
        <v>2023</v>
      </c>
      <c r="D4915" s="407">
        <f t="shared" si="152"/>
        <v>247.91</v>
      </c>
      <c r="F4915" s="680">
        <v>247.91</v>
      </c>
      <c r="G4915" s="680">
        <v>247.91</v>
      </c>
      <c r="H4915" t="b">
        <f t="shared" si="153"/>
        <v>1</v>
      </c>
    </row>
    <row r="4916" spans="1:8">
      <c r="A4916" s="396">
        <v>34385</v>
      </c>
      <c r="B4916" s="401" t="s">
        <v>13645</v>
      </c>
      <c r="C4916" s="396" t="s">
        <v>2023</v>
      </c>
      <c r="D4916" s="405">
        <f t="shared" si="152"/>
        <v>361.66</v>
      </c>
      <c r="F4916" s="679">
        <v>361.66</v>
      </c>
      <c r="G4916" s="679">
        <v>361.66</v>
      </c>
      <c r="H4916" t="b">
        <f t="shared" si="153"/>
        <v>1</v>
      </c>
    </row>
    <row r="4917" spans="1:8">
      <c r="A4917" s="395">
        <v>10499</v>
      </c>
      <c r="B4917" s="406" t="s">
        <v>13646</v>
      </c>
      <c r="C4917" s="395" t="s">
        <v>2023</v>
      </c>
      <c r="D4917" s="407">
        <f t="shared" si="152"/>
        <v>145.83000000000001</v>
      </c>
      <c r="F4917" s="680">
        <v>145.83000000000001</v>
      </c>
      <c r="G4917" s="680">
        <v>145.83000000000001</v>
      </c>
      <c r="H4917" t="b">
        <f t="shared" si="153"/>
        <v>1</v>
      </c>
    </row>
    <row r="4918" spans="1:8">
      <c r="A4918" s="396">
        <v>34384</v>
      </c>
      <c r="B4918" s="401" t="s">
        <v>13647</v>
      </c>
      <c r="C4918" s="396" t="s">
        <v>2023</v>
      </c>
      <c r="D4918" s="405">
        <f t="shared" si="152"/>
        <v>437.5</v>
      </c>
      <c r="F4918" s="679">
        <v>437.5</v>
      </c>
      <c r="G4918" s="679">
        <v>437.5</v>
      </c>
      <c r="H4918" t="b">
        <f t="shared" si="153"/>
        <v>1</v>
      </c>
    </row>
    <row r="4919" spans="1:8">
      <c r="A4919" s="395">
        <v>11185</v>
      </c>
      <c r="B4919" s="406" t="s">
        <v>13648</v>
      </c>
      <c r="C4919" s="395" t="s">
        <v>2023</v>
      </c>
      <c r="D4919" s="407">
        <f t="shared" si="152"/>
        <v>452.08</v>
      </c>
      <c r="F4919" s="680">
        <v>452.08</v>
      </c>
      <c r="G4919" s="680">
        <v>452.08</v>
      </c>
      <c r="H4919" t="b">
        <f t="shared" si="153"/>
        <v>1</v>
      </c>
    </row>
    <row r="4920" spans="1:8">
      <c r="A4920" s="396">
        <v>10507</v>
      </c>
      <c r="B4920" s="401" t="s">
        <v>13649</v>
      </c>
      <c r="C4920" s="396" t="s">
        <v>2023</v>
      </c>
      <c r="D4920" s="405">
        <f t="shared" si="152"/>
        <v>404.41</v>
      </c>
      <c r="F4920" s="679">
        <v>404.41</v>
      </c>
      <c r="G4920" s="679">
        <v>404.41</v>
      </c>
      <c r="H4920" t="b">
        <f t="shared" si="153"/>
        <v>1</v>
      </c>
    </row>
    <row r="4921" spans="1:8">
      <c r="A4921" s="395">
        <v>10505</v>
      </c>
      <c r="B4921" s="406" t="s">
        <v>13650</v>
      </c>
      <c r="C4921" s="395" t="s">
        <v>2023</v>
      </c>
      <c r="D4921" s="407">
        <f t="shared" si="152"/>
        <v>238.63</v>
      </c>
      <c r="F4921" s="680">
        <v>238.63</v>
      </c>
      <c r="G4921" s="680">
        <v>238.63</v>
      </c>
      <c r="H4921" t="b">
        <f t="shared" si="153"/>
        <v>1</v>
      </c>
    </row>
    <row r="4922" spans="1:8">
      <c r="A4922" s="396">
        <v>10506</v>
      </c>
      <c r="B4922" s="401" t="s">
        <v>13651</v>
      </c>
      <c r="C4922" s="396" t="s">
        <v>2023</v>
      </c>
      <c r="D4922" s="405">
        <f t="shared" si="152"/>
        <v>311.52</v>
      </c>
      <c r="F4922" s="679">
        <v>311.52</v>
      </c>
      <c r="G4922" s="679">
        <v>311.52</v>
      </c>
      <c r="H4922" t="b">
        <f t="shared" si="153"/>
        <v>1</v>
      </c>
    </row>
    <row r="4923" spans="1:8">
      <c r="A4923" s="395">
        <v>5031</v>
      </c>
      <c r="B4923" s="406" t="s">
        <v>13652</v>
      </c>
      <c r="C4923" s="395" t="s">
        <v>2023</v>
      </c>
      <c r="D4923" s="407">
        <f t="shared" si="152"/>
        <v>437.42</v>
      </c>
      <c r="F4923" s="680">
        <v>437.42</v>
      </c>
      <c r="G4923" s="680">
        <v>437.42</v>
      </c>
      <c r="H4923" t="b">
        <f t="shared" si="153"/>
        <v>1</v>
      </c>
    </row>
    <row r="4924" spans="1:8">
      <c r="A4924" s="396">
        <v>10502</v>
      </c>
      <c r="B4924" s="401" t="s">
        <v>13653</v>
      </c>
      <c r="C4924" s="396" t="s">
        <v>2023</v>
      </c>
      <c r="D4924" s="405">
        <f t="shared" si="152"/>
        <v>509.69</v>
      </c>
      <c r="F4924" s="679">
        <v>509.69</v>
      </c>
      <c r="G4924" s="679">
        <v>509.69</v>
      </c>
      <c r="H4924" t="b">
        <f t="shared" si="153"/>
        <v>1</v>
      </c>
    </row>
    <row r="4925" spans="1:8">
      <c r="A4925" s="395">
        <v>10501</v>
      </c>
      <c r="B4925" s="406" t="s">
        <v>13654</v>
      </c>
      <c r="C4925" s="395" t="s">
        <v>2023</v>
      </c>
      <c r="D4925" s="407">
        <f t="shared" si="152"/>
        <v>287.95999999999998</v>
      </c>
      <c r="F4925" s="680">
        <v>287.95999999999998</v>
      </c>
      <c r="G4925" s="680">
        <v>287.95999999999998</v>
      </c>
      <c r="H4925" t="b">
        <f t="shared" si="153"/>
        <v>1</v>
      </c>
    </row>
    <row r="4926" spans="1:8">
      <c r="A4926" s="396">
        <v>10503</v>
      </c>
      <c r="B4926" s="401" t="s">
        <v>13655</v>
      </c>
      <c r="C4926" s="396" t="s">
        <v>2023</v>
      </c>
      <c r="D4926" s="405">
        <f t="shared" si="152"/>
        <v>389.04</v>
      </c>
      <c r="F4926" s="679">
        <v>389.04</v>
      </c>
      <c r="G4926" s="679">
        <v>389.04</v>
      </c>
      <c r="H4926" t="b">
        <f t="shared" si="153"/>
        <v>1</v>
      </c>
    </row>
    <row r="4927" spans="1:8">
      <c r="A4927" s="395">
        <v>4500</v>
      </c>
      <c r="B4927" s="406" t="s">
        <v>13656</v>
      </c>
      <c r="C4927" s="395" t="s">
        <v>2024</v>
      </c>
      <c r="D4927" s="407">
        <f t="shared" si="152"/>
        <v>24.96</v>
      </c>
      <c r="F4927" s="680">
        <v>24.96</v>
      </c>
      <c r="G4927" s="680">
        <v>24.96</v>
      </c>
      <c r="H4927" t="b">
        <f t="shared" si="153"/>
        <v>1</v>
      </c>
    </row>
    <row r="4928" spans="1:8">
      <c r="A4928" s="396">
        <v>4448</v>
      </c>
      <c r="B4928" s="401" t="s">
        <v>13657</v>
      </c>
      <c r="C4928" s="396" t="s">
        <v>2024</v>
      </c>
      <c r="D4928" s="405">
        <f t="shared" si="152"/>
        <v>34.29</v>
      </c>
      <c r="F4928" s="679">
        <v>34.29</v>
      </c>
      <c r="G4928" s="679">
        <v>34.29</v>
      </c>
      <c r="H4928" t="b">
        <f t="shared" si="153"/>
        <v>1</v>
      </c>
    </row>
    <row r="4929" spans="1:8">
      <c r="A4929" s="395">
        <v>20213</v>
      </c>
      <c r="B4929" s="406" t="s">
        <v>13658</v>
      </c>
      <c r="C4929" s="395" t="s">
        <v>2024</v>
      </c>
      <c r="D4929" s="407">
        <f t="shared" si="152"/>
        <v>22.8</v>
      </c>
      <c r="F4929" s="680">
        <v>22.8</v>
      </c>
      <c r="G4929" s="680">
        <v>22.8</v>
      </c>
      <c r="H4929" t="b">
        <f t="shared" si="153"/>
        <v>1</v>
      </c>
    </row>
    <row r="4930" spans="1:8">
      <c r="A4930" s="396">
        <v>20211</v>
      </c>
      <c r="B4930" s="401" t="s">
        <v>13659</v>
      </c>
      <c r="C4930" s="396" t="s">
        <v>2024</v>
      </c>
      <c r="D4930" s="405">
        <f t="shared" si="152"/>
        <v>30.19</v>
      </c>
      <c r="F4930" s="679">
        <v>30.19</v>
      </c>
      <c r="G4930" s="679">
        <v>30.19</v>
      </c>
      <c r="H4930" t="b">
        <f t="shared" si="153"/>
        <v>1</v>
      </c>
    </row>
    <row r="4931" spans="1:8">
      <c r="A4931" s="395">
        <v>40270</v>
      </c>
      <c r="B4931" s="406" t="s">
        <v>13660</v>
      </c>
      <c r="C4931" s="395" t="s">
        <v>2024</v>
      </c>
      <c r="D4931" s="407">
        <f t="shared" ref="D4931:D4994" si="154">IF($J$2=$F$1,F4931,G4931)</f>
        <v>125.53</v>
      </c>
      <c r="F4931" s="680">
        <v>125.53</v>
      </c>
      <c r="G4931" s="680">
        <v>125.53</v>
      </c>
      <c r="H4931" t="b">
        <f t="shared" ref="H4931:H4994" si="155">F4931=G4931</f>
        <v>1</v>
      </c>
    </row>
    <row r="4932" spans="1:8">
      <c r="A4932" s="396">
        <v>4425</v>
      </c>
      <c r="B4932" s="401" t="s">
        <v>13661</v>
      </c>
      <c r="C4932" s="396" t="s">
        <v>2024</v>
      </c>
      <c r="D4932" s="405">
        <f t="shared" si="154"/>
        <v>24.96</v>
      </c>
      <c r="F4932" s="679">
        <v>24.96</v>
      </c>
      <c r="G4932" s="679">
        <v>24.96</v>
      </c>
      <c r="H4932" t="b">
        <f t="shared" si="155"/>
        <v>1</v>
      </c>
    </row>
    <row r="4933" spans="1:8">
      <c r="A4933" s="395">
        <v>4472</v>
      </c>
      <c r="B4933" s="406" t="s">
        <v>13662</v>
      </c>
      <c r="C4933" s="395" t="s">
        <v>2024</v>
      </c>
      <c r="D4933" s="407">
        <f t="shared" si="154"/>
        <v>31.18</v>
      </c>
      <c r="F4933" s="680">
        <v>31.18</v>
      </c>
      <c r="G4933" s="680">
        <v>31.18</v>
      </c>
      <c r="H4933" t="b">
        <f t="shared" si="155"/>
        <v>1</v>
      </c>
    </row>
    <row r="4934" spans="1:8">
      <c r="A4934" s="396">
        <v>35272</v>
      </c>
      <c r="B4934" s="401" t="s">
        <v>13663</v>
      </c>
      <c r="C4934" s="396" t="s">
        <v>2024</v>
      </c>
      <c r="D4934" s="405">
        <f t="shared" si="154"/>
        <v>45.07</v>
      </c>
      <c r="F4934" s="679">
        <v>45.07</v>
      </c>
      <c r="G4934" s="679">
        <v>45.07</v>
      </c>
      <c r="H4934" t="b">
        <f t="shared" si="155"/>
        <v>1</v>
      </c>
    </row>
    <row r="4935" spans="1:8">
      <c r="A4935" s="395">
        <v>4481</v>
      </c>
      <c r="B4935" s="406" t="s">
        <v>13664</v>
      </c>
      <c r="C4935" s="395" t="s">
        <v>2024</v>
      </c>
      <c r="D4935" s="407">
        <f t="shared" si="154"/>
        <v>48.24</v>
      </c>
      <c r="F4935" s="680">
        <v>48.24</v>
      </c>
      <c r="G4935" s="680">
        <v>48.24</v>
      </c>
      <c r="H4935" t="b">
        <f t="shared" si="155"/>
        <v>1</v>
      </c>
    </row>
    <row r="4936" spans="1:8">
      <c r="A4936" s="396">
        <v>34345</v>
      </c>
      <c r="B4936" s="401" t="s">
        <v>13665</v>
      </c>
      <c r="C4936" s="396" t="s">
        <v>2020</v>
      </c>
      <c r="D4936" s="405">
        <f t="shared" si="154"/>
        <v>12.14</v>
      </c>
      <c r="F4936" s="679">
        <v>12.14</v>
      </c>
      <c r="G4936" s="679">
        <v>13.97</v>
      </c>
      <c r="H4936" t="b">
        <f t="shared" si="155"/>
        <v>0</v>
      </c>
    </row>
    <row r="4937" spans="1:8">
      <c r="A4937" s="395">
        <v>41096</v>
      </c>
      <c r="B4937" s="406" t="s">
        <v>13666</v>
      </c>
      <c r="C4937" s="395" t="s">
        <v>2027</v>
      </c>
      <c r="D4937" s="407">
        <f t="shared" si="154"/>
        <v>2139.91</v>
      </c>
      <c r="F4937" s="680">
        <v>2139.91</v>
      </c>
      <c r="G4937" s="680">
        <v>2465.0500000000002</v>
      </c>
      <c r="H4937" t="b">
        <f t="shared" si="155"/>
        <v>0</v>
      </c>
    </row>
    <row r="4938" spans="1:8">
      <c r="A4938" s="396">
        <v>41776</v>
      </c>
      <c r="B4938" s="401" t="s">
        <v>13667</v>
      </c>
      <c r="C4938" s="396" t="s">
        <v>2020</v>
      </c>
      <c r="D4938" s="405">
        <f t="shared" si="154"/>
        <v>16.649999999999999</v>
      </c>
      <c r="F4938" s="679">
        <v>16.649999999999999</v>
      </c>
      <c r="G4938" s="679">
        <v>19.149999999999999</v>
      </c>
      <c r="H4938" t="b">
        <f t="shared" si="155"/>
        <v>0</v>
      </c>
    </row>
    <row r="4939" spans="1:8">
      <c r="A4939" s="395" t="s">
        <v>19</v>
      </c>
      <c r="B4939" s="406" t="s">
        <v>13898</v>
      </c>
      <c r="C4939" s="395" t="s">
        <v>2021</v>
      </c>
      <c r="D4939" s="407">
        <f t="shared" si="154"/>
        <v>575.26</v>
      </c>
      <c r="F4939" s="680">
        <v>575.26</v>
      </c>
      <c r="G4939" s="680">
        <v>575.26</v>
      </c>
      <c r="H4939" t="b">
        <f t="shared" si="155"/>
        <v>1</v>
      </c>
    </row>
    <row r="4940" spans="1:8">
      <c r="A4940" s="396" t="s">
        <v>13899</v>
      </c>
      <c r="B4940" s="401" t="s">
        <v>13900</v>
      </c>
      <c r="C4940" s="396" t="s">
        <v>2021</v>
      </c>
      <c r="D4940" s="405">
        <f t="shared" si="154"/>
        <v>46.93</v>
      </c>
      <c r="F4940" s="679">
        <v>46.93</v>
      </c>
      <c r="G4940" s="679">
        <v>46.93</v>
      </c>
      <c r="H4940" t="b">
        <f t="shared" si="155"/>
        <v>1</v>
      </c>
    </row>
    <row r="4941" spans="1:8">
      <c r="A4941" s="395">
        <v>6157</v>
      </c>
      <c r="B4941" s="406" t="s">
        <v>13901</v>
      </c>
      <c r="C4941" s="395" t="s">
        <v>2021</v>
      </c>
      <c r="D4941" s="407">
        <f t="shared" si="154"/>
        <v>64.12</v>
      </c>
      <c r="F4941" s="680">
        <v>64.12</v>
      </c>
      <c r="G4941" s="680">
        <v>64.12</v>
      </c>
      <c r="H4941" t="b">
        <f t="shared" si="155"/>
        <v>1</v>
      </c>
    </row>
    <row r="4942" spans="1:8">
      <c r="A4942" s="396">
        <v>6158</v>
      </c>
      <c r="B4942" s="401" t="s">
        <v>13902</v>
      </c>
      <c r="C4942" s="396" t="s">
        <v>2021</v>
      </c>
      <c r="D4942" s="405">
        <f t="shared" si="154"/>
        <v>10.68</v>
      </c>
      <c r="F4942" s="679">
        <v>10.68</v>
      </c>
      <c r="G4942" s="679">
        <v>10.68</v>
      </c>
      <c r="H4942" t="b">
        <f t="shared" si="155"/>
        <v>1</v>
      </c>
    </row>
    <row r="4943" spans="1:8">
      <c r="A4943" s="395">
        <v>6153</v>
      </c>
      <c r="B4943" s="406" t="s">
        <v>13903</v>
      </c>
      <c r="C4943" s="395" t="s">
        <v>2021</v>
      </c>
      <c r="D4943" s="407">
        <f t="shared" si="154"/>
        <v>7.35</v>
      </c>
      <c r="F4943" s="680">
        <v>7.35</v>
      </c>
      <c r="G4943" s="680">
        <v>7.35</v>
      </c>
      <c r="H4943" t="b">
        <f t="shared" si="155"/>
        <v>1</v>
      </c>
    </row>
    <row r="4944" spans="1:8">
      <c r="A4944" s="396">
        <v>6156</v>
      </c>
      <c r="B4944" s="401" t="s">
        <v>13904</v>
      </c>
      <c r="C4944" s="396" t="s">
        <v>2021</v>
      </c>
      <c r="D4944" s="405">
        <f t="shared" si="154"/>
        <v>9.16</v>
      </c>
      <c r="F4944" s="679">
        <v>9.16</v>
      </c>
      <c r="G4944" s="679">
        <v>9.16</v>
      </c>
      <c r="H4944" t="b">
        <f t="shared" si="155"/>
        <v>1</v>
      </c>
    </row>
    <row r="4945" spans="1:8">
      <c r="A4945" s="395">
        <v>6154</v>
      </c>
      <c r="B4945" s="406" t="s">
        <v>13905</v>
      </c>
      <c r="C4945" s="395" t="s">
        <v>2021</v>
      </c>
      <c r="D4945" s="407">
        <f t="shared" si="154"/>
        <v>13.06</v>
      </c>
      <c r="F4945" s="680">
        <v>13.06</v>
      </c>
      <c r="G4945" s="680">
        <v>13.06</v>
      </c>
      <c r="H4945" t="b">
        <f t="shared" si="155"/>
        <v>1</v>
      </c>
    </row>
    <row r="4946" spans="1:8">
      <c r="A4946" s="396">
        <v>6155</v>
      </c>
      <c r="B4946" s="401" t="s">
        <v>13906</v>
      </c>
      <c r="C4946" s="396" t="s">
        <v>2021</v>
      </c>
      <c r="D4946" s="405">
        <f t="shared" si="154"/>
        <v>30.07</v>
      </c>
      <c r="F4946" s="679">
        <v>30.07</v>
      </c>
      <c r="G4946" s="679">
        <v>30.07</v>
      </c>
      <c r="H4946" t="b">
        <f t="shared" si="155"/>
        <v>1</v>
      </c>
    </row>
    <row r="4947" spans="1:8">
      <c r="A4947" s="395">
        <v>43595</v>
      </c>
      <c r="B4947" s="406" t="s">
        <v>13907</v>
      </c>
      <c r="C4947" s="395" t="s">
        <v>2021</v>
      </c>
      <c r="D4947" s="407">
        <f t="shared" si="154"/>
        <v>20</v>
      </c>
      <c r="F4947" s="680">
        <v>20</v>
      </c>
      <c r="G4947" s="680">
        <v>20</v>
      </c>
      <c r="H4947" t="b">
        <f t="shared" si="155"/>
        <v>1</v>
      </c>
    </row>
    <row r="4948" spans="1:8">
      <c r="A4948" s="396">
        <v>43596</v>
      </c>
      <c r="B4948" s="401" t="s">
        <v>13908</v>
      </c>
      <c r="C4948" s="396" t="s">
        <v>2021</v>
      </c>
      <c r="D4948" s="405">
        <f t="shared" si="154"/>
        <v>23.12</v>
      </c>
      <c r="F4948" s="679">
        <v>23.12</v>
      </c>
      <c r="G4948" s="679">
        <v>23.12</v>
      </c>
      <c r="H4948" t="b">
        <f t="shared" si="155"/>
        <v>1</v>
      </c>
    </row>
    <row r="4949" spans="1:8">
      <c r="A4949" s="395">
        <v>38108</v>
      </c>
      <c r="B4949" s="406" t="s">
        <v>13909</v>
      </c>
      <c r="C4949" s="395" t="s">
        <v>2021</v>
      </c>
      <c r="D4949" s="407">
        <f t="shared" si="154"/>
        <v>44.73</v>
      </c>
      <c r="F4949" s="680">
        <v>44.73</v>
      </c>
      <c r="G4949" s="680">
        <v>44.73</v>
      </c>
      <c r="H4949" t="b">
        <f t="shared" si="155"/>
        <v>1</v>
      </c>
    </row>
    <row r="4950" spans="1:8" ht="30">
      <c r="A4950" s="396">
        <v>38087</v>
      </c>
      <c r="B4950" s="401" t="s">
        <v>13910</v>
      </c>
      <c r="C4950" s="396" t="s">
        <v>2021</v>
      </c>
      <c r="D4950" s="405">
        <f t="shared" si="154"/>
        <v>57.54</v>
      </c>
      <c r="F4950" s="679">
        <v>57.54</v>
      </c>
      <c r="G4950" s="679">
        <v>57.54</v>
      </c>
      <c r="H4950" t="b">
        <f t="shared" si="155"/>
        <v>1</v>
      </c>
    </row>
    <row r="4951" spans="1:8">
      <c r="A4951" s="395">
        <v>38109</v>
      </c>
      <c r="B4951" s="406" t="s">
        <v>13911</v>
      </c>
      <c r="C4951" s="395" t="s">
        <v>2021</v>
      </c>
      <c r="D4951" s="407">
        <f t="shared" si="154"/>
        <v>71.5</v>
      </c>
      <c r="F4951" s="680">
        <v>71.5</v>
      </c>
      <c r="G4951" s="680">
        <v>71.5</v>
      </c>
      <c r="H4951" t="b">
        <f t="shared" si="155"/>
        <v>1</v>
      </c>
    </row>
    <row r="4952" spans="1:8" ht="30">
      <c r="A4952" s="396">
        <v>38088</v>
      </c>
      <c r="B4952" s="401" t="s">
        <v>13912</v>
      </c>
      <c r="C4952" s="396" t="s">
        <v>2021</v>
      </c>
      <c r="D4952" s="405">
        <f t="shared" si="154"/>
        <v>75.180000000000007</v>
      </c>
      <c r="F4952" s="679">
        <v>75.180000000000007</v>
      </c>
      <c r="G4952" s="679">
        <v>75.180000000000007</v>
      </c>
      <c r="H4952" t="b">
        <f t="shared" si="155"/>
        <v>1</v>
      </c>
    </row>
    <row r="4953" spans="1:8">
      <c r="A4953" s="395">
        <v>38110</v>
      </c>
      <c r="B4953" s="406" t="s">
        <v>13913</v>
      </c>
      <c r="C4953" s="395" t="s">
        <v>2021</v>
      </c>
      <c r="D4953" s="407">
        <f t="shared" si="154"/>
        <v>27.5</v>
      </c>
      <c r="F4953" s="680">
        <v>27.5</v>
      </c>
      <c r="G4953" s="680">
        <v>27.5</v>
      </c>
      <c r="H4953" t="b">
        <f t="shared" si="155"/>
        <v>1</v>
      </c>
    </row>
    <row r="4954" spans="1:8" ht="30">
      <c r="A4954" s="396">
        <v>38089</v>
      </c>
      <c r="B4954" s="401" t="s">
        <v>13914</v>
      </c>
      <c r="C4954" s="396" t="s">
        <v>2021</v>
      </c>
      <c r="D4954" s="405">
        <f t="shared" si="154"/>
        <v>47.92</v>
      </c>
      <c r="F4954" s="679">
        <v>47.92</v>
      </c>
      <c r="G4954" s="679">
        <v>47.92</v>
      </c>
      <c r="H4954" t="b">
        <f t="shared" si="155"/>
        <v>1</v>
      </c>
    </row>
    <row r="4955" spans="1:8">
      <c r="A4955" s="395">
        <v>38111</v>
      </c>
      <c r="B4955" s="406" t="s">
        <v>13915</v>
      </c>
      <c r="C4955" s="395" t="s">
        <v>2021</v>
      </c>
      <c r="D4955" s="407">
        <f t="shared" si="154"/>
        <v>30.76</v>
      </c>
      <c r="F4955" s="680">
        <v>30.76</v>
      </c>
      <c r="G4955" s="680">
        <v>30.76</v>
      </c>
      <c r="H4955" t="b">
        <f t="shared" si="155"/>
        <v>1</v>
      </c>
    </row>
    <row r="4956" spans="1:8" ht="30">
      <c r="A4956" s="396">
        <v>38090</v>
      </c>
      <c r="B4956" s="401" t="s">
        <v>13916</v>
      </c>
      <c r="C4956" s="396" t="s">
        <v>2021</v>
      </c>
      <c r="D4956" s="405">
        <f t="shared" si="154"/>
        <v>49.53</v>
      </c>
      <c r="F4956" s="679">
        <v>49.53</v>
      </c>
      <c r="G4956" s="679">
        <v>49.53</v>
      </c>
      <c r="H4956" t="b">
        <f t="shared" si="155"/>
        <v>1</v>
      </c>
    </row>
    <row r="4957" spans="1:8">
      <c r="A4957" s="395">
        <v>13726</v>
      </c>
      <c r="B4957" s="406" t="s">
        <v>13917</v>
      </c>
      <c r="C4957" s="395" t="s">
        <v>2021</v>
      </c>
      <c r="D4957" s="407">
        <f t="shared" si="154"/>
        <v>84756.03</v>
      </c>
      <c r="F4957" s="680">
        <v>84756.03</v>
      </c>
      <c r="G4957" s="680">
        <v>84756.03</v>
      </c>
      <c r="H4957" t="b">
        <f t="shared" si="155"/>
        <v>1</v>
      </c>
    </row>
    <row r="4958" spans="1:8">
      <c r="A4958" s="396">
        <v>38400</v>
      </c>
      <c r="B4958" s="401" t="s">
        <v>13918</v>
      </c>
      <c r="C4958" s="396" t="s">
        <v>2021</v>
      </c>
      <c r="D4958" s="405">
        <f t="shared" si="154"/>
        <v>29.73</v>
      </c>
      <c r="F4958" s="679">
        <v>29.73</v>
      </c>
      <c r="G4958" s="679">
        <v>29.73</v>
      </c>
      <c r="H4958" t="b">
        <f t="shared" si="155"/>
        <v>1</v>
      </c>
    </row>
    <row r="4959" spans="1:8">
      <c r="A4959" s="395">
        <v>12627</v>
      </c>
      <c r="B4959" s="406" t="s">
        <v>13919</v>
      </c>
      <c r="C4959" s="395" t="s">
        <v>2021</v>
      </c>
      <c r="D4959" s="407">
        <f t="shared" si="154"/>
        <v>1.58</v>
      </c>
      <c r="F4959" s="680">
        <v>1.58</v>
      </c>
      <c r="G4959" s="680">
        <v>1.58</v>
      </c>
      <c r="H4959" t="b">
        <f t="shared" si="155"/>
        <v>1</v>
      </c>
    </row>
    <row r="4960" spans="1:8">
      <c r="A4960" s="396">
        <v>39996</v>
      </c>
      <c r="B4960" s="401" t="s">
        <v>13920</v>
      </c>
      <c r="C4960" s="396" t="s">
        <v>2024</v>
      </c>
      <c r="D4960" s="405">
        <f t="shared" si="154"/>
        <v>4.17</v>
      </c>
      <c r="F4960" s="679">
        <v>4.17</v>
      </c>
      <c r="G4960" s="679">
        <v>4.17</v>
      </c>
      <c r="H4960" t="b">
        <f t="shared" si="155"/>
        <v>1</v>
      </c>
    </row>
    <row r="4961" spans="1:8">
      <c r="A4961" s="395">
        <v>10478</v>
      </c>
      <c r="B4961" s="406" t="s">
        <v>13921</v>
      </c>
      <c r="C4961" s="395" t="s">
        <v>2026</v>
      </c>
      <c r="D4961" s="407">
        <f t="shared" si="154"/>
        <v>36.25</v>
      </c>
      <c r="F4961" s="680">
        <v>36.25</v>
      </c>
      <c r="G4961" s="680">
        <v>36.25</v>
      </c>
      <c r="H4961" t="b">
        <f t="shared" si="155"/>
        <v>1</v>
      </c>
    </row>
    <row r="4962" spans="1:8">
      <c r="A4962" s="396">
        <v>10481</v>
      </c>
      <c r="B4962" s="401" t="s">
        <v>13922</v>
      </c>
      <c r="C4962" s="396" t="s">
        <v>2026</v>
      </c>
      <c r="D4962" s="405">
        <f t="shared" si="154"/>
        <v>32.24</v>
      </c>
      <c r="F4962" s="679">
        <v>32.24</v>
      </c>
      <c r="G4962" s="679">
        <v>32.24</v>
      </c>
      <c r="H4962" t="b">
        <f t="shared" si="155"/>
        <v>1</v>
      </c>
    </row>
    <row r="4963" spans="1:8">
      <c r="A4963" s="395">
        <v>10475</v>
      </c>
      <c r="B4963" s="406" t="s">
        <v>13923</v>
      </c>
      <c r="C4963" s="395" t="s">
        <v>2026</v>
      </c>
      <c r="D4963" s="407">
        <f t="shared" si="154"/>
        <v>31.19</v>
      </c>
      <c r="F4963" s="680">
        <v>31.19</v>
      </c>
      <c r="G4963" s="680">
        <v>31.19</v>
      </c>
      <c r="H4963" t="b">
        <f t="shared" si="155"/>
        <v>1</v>
      </c>
    </row>
    <row r="4964" spans="1:8">
      <c r="A4964" s="396">
        <v>4031</v>
      </c>
      <c r="B4964" s="401" t="s">
        <v>13924</v>
      </c>
      <c r="C4964" s="396" t="s">
        <v>2023</v>
      </c>
      <c r="D4964" s="405">
        <f t="shared" si="154"/>
        <v>48.79</v>
      </c>
      <c r="F4964" s="679">
        <v>48.79</v>
      </c>
      <c r="G4964" s="679">
        <v>48.79</v>
      </c>
      <c r="H4964" t="b">
        <f t="shared" si="155"/>
        <v>1</v>
      </c>
    </row>
    <row r="4965" spans="1:8">
      <c r="A4965" s="395">
        <v>4030</v>
      </c>
      <c r="B4965" s="406" t="s">
        <v>13925</v>
      </c>
      <c r="C4965" s="395" t="s">
        <v>2023</v>
      </c>
      <c r="D4965" s="407">
        <f t="shared" si="154"/>
        <v>10.38</v>
      </c>
      <c r="F4965" s="680">
        <v>10.38</v>
      </c>
      <c r="G4965" s="680">
        <v>10.38</v>
      </c>
      <c r="H4965" t="b">
        <f t="shared" si="155"/>
        <v>1</v>
      </c>
    </row>
    <row r="4966" spans="1:8">
      <c r="A4966" s="396">
        <v>39399</v>
      </c>
      <c r="B4966" s="401" t="s">
        <v>13926</v>
      </c>
      <c r="C4966" s="396" t="s">
        <v>2021</v>
      </c>
      <c r="D4966" s="405">
        <f t="shared" si="154"/>
        <v>1486.74</v>
      </c>
      <c r="F4966" s="679">
        <v>1486.74</v>
      </c>
      <c r="G4966" s="679">
        <v>1486.74</v>
      </c>
      <c r="H4966" t="b">
        <f t="shared" si="155"/>
        <v>1</v>
      </c>
    </row>
    <row r="4967" spans="1:8">
      <c r="A4967" s="395">
        <v>39400</v>
      </c>
      <c r="B4967" s="406" t="s">
        <v>13927</v>
      </c>
      <c r="C4967" s="395" t="s">
        <v>2021</v>
      </c>
      <c r="D4967" s="407">
        <f t="shared" si="154"/>
        <v>1616.02</v>
      </c>
      <c r="F4967" s="680">
        <v>1616.02</v>
      </c>
      <c r="G4967" s="680">
        <v>1616.02</v>
      </c>
      <c r="H4967" t="b">
        <f t="shared" si="155"/>
        <v>1</v>
      </c>
    </row>
    <row r="4968" spans="1:8">
      <c r="A4968" s="396">
        <v>39401</v>
      </c>
      <c r="B4968" s="401" t="s">
        <v>13928</v>
      </c>
      <c r="C4968" s="396" t="s">
        <v>2021</v>
      </c>
      <c r="D4968" s="405">
        <f t="shared" si="154"/>
        <v>1812.78</v>
      </c>
      <c r="F4968" s="679">
        <v>1812.78</v>
      </c>
      <c r="G4968" s="679">
        <v>1812.78</v>
      </c>
      <c r="H4968" t="b">
        <f t="shared" si="155"/>
        <v>1</v>
      </c>
    </row>
    <row r="4969" spans="1:8">
      <c r="A4969" s="395">
        <v>11652</v>
      </c>
      <c r="B4969" s="406" t="s">
        <v>13929</v>
      </c>
      <c r="C4969" s="395" t="s">
        <v>2021</v>
      </c>
      <c r="D4969" s="407">
        <f t="shared" si="154"/>
        <v>3900</v>
      </c>
      <c r="F4969" s="680">
        <v>3900</v>
      </c>
      <c r="G4969" s="680">
        <v>3900</v>
      </c>
      <c r="H4969" t="b">
        <f t="shared" si="155"/>
        <v>1</v>
      </c>
    </row>
    <row r="4970" spans="1:8">
      <c r="A4970" s="396">
        <v>13896</v>
      </c>
      <c r="B4970" s="401" t="s">
        <v>13930</v>
      </c>
      <c r="C4970" s="396" t="s">
        <v>2021</v>
      </c>
      <c r="D4970" s="405">
        <f t="shared" si="154"/>
        <v>3498.64</v>
      </c>
      <c r="F4970" s="679">
        <v>3498.64</v>
      </c>
      <c r="G4970" s="679">
        <v>3498.64</v>
      </c>
      <c r="H4970" t="b">
        <f t="shared" si="155"/>
        <v>1</v>
      </c>
    </row>
    <row r="4971" spans="1:8">
      <c r="A4971" s="395">
        <v>13475</v>
      </c>
      <c r="B4971" s="406" t="s">
        <v>13931</v>
      </c>
      <c r="C4971" s="395" t="s">
        <v>2021</v>
      </c>
      <c r="D4971" s="407">
        <f t="shared" si="154"/>
        <v>4261.76</v>
      </c>
      <c r="F4971" s="680">
        <v>4261.76</v>
      </c>
      <c r="G4971" s="680">
        <v>4261.76</v>
      </c>
      <c r="H4971" t="b">
        <f t="shared" si="155"/>
        <v>1</v>
      </c>
    </row>
    <row r="4972" spans="1:8">
      <c r="A4972" s="396">
        <v>44491</v>
      </c>
      <c r="B4972" s="401" t="s">
        <v>13932</v>
      </c>
      <c r="C4972" s="396" t="s">
        <v>2021</v>
      </c>
      <c r="D4972" s="405">
        <f t="shared" si="154"/>
        <v>4711696.71</v>
      </c>
      <c r="F4972" s="679">
        <v>4711696.71</v>
      </c>
      <c r="G4972" s="679">
        <v>4711696.71</v>
      </c>
      <c r="H4972" t="b">
        <f t="shared" si="155"/>
        <v>1</v>
      </c>
    </row>
    <row r="4973" spans="1:8">
      <c r="A4973" s="395">
        <v>44470</v>
      </c>
      <c r="B4973" s="406" t="s">
        <v>13933</v>
      </c>
      <c r="C4973" s="395" t="s">
        <v>2021</v>
      </c>
      <c r="D4973" s="407">
        <f t="shared" si="154"/>
        <v>1983569.63</v>
      </c>
      <c r="F4973" s="680">
        <v>1983569.63</v>
      </c>
      <c r="G4973" s="680">
        <v>1983569.63</v>
      </c>
      <c r="H4973" t="b">
        <f t="shared" si="155"/>
        <v>1</v>
      </c>
    </row>
    <row r="4974" spans="1:8">
      <c r="A4974" s="396">
        <v>13476</v>
      </c>
      <c r="B4974" s="401" t="s">
        <v>13934</v>
      </c>
      <c r="C4974" s="396" t="s">
        <v>2021</v>
      </c>
      <c r="D4974" s="405">
        <f t="shared" si="154"/>
        <v>1997943.46</v>
      </c>
      <c r="F4974" s="679">
        <v>1997943.46</v>
      </c>
      <c r="G4974" s="679">
        <v>1997943.46</v>
      </c>
      <c r="H4974" t="b">
        <f t="shared" si="155"/>
        <v>1</v>
      </c>
    </row>
    <row r="4975" spans="1:8">
      <c r="A4975" s="395">
        <v>10488</v>
      </c>
      <c r="B4975" s="406" t="s">
        <v>13935</v>
      </c>
      <c r="C4975" s="395" t="s">
        <v>2021</v>
      </c>
      <c r="D4975" s="407">
        <f t="shared" si="154"/>
        <v>2420530</v>
      </c>
      <c r="F4975" s="680">
        <v>2420530</v>
      </c>
      <c r="G4975" s="680">
        <v>2420530</v>
      </c>
      <c r="H4975" t="b">
        <f t="shared" si="155"/>
        <v>1</v>
      </c>
    </row>
    <row r="4976" spans="1:8" ht="30">
      <c r="A4976" s="396">
        <v>13606</v>
      </c>
      <c r="B4976" s="401" t="s">
        <v>13936</v>
      </c>
      <c r="C4976" s="396" t="s">
        <v>2021</v>
      </c>
      <c r="D4976" s="405">
        <f t="shared" si="154"/>
        <v>2144554.96</v>
      </c>
      <c r="F4976" s="679">
        <v>2144554.96</v>
      </c>
      <c r="G4976" s="679">
        <v>2144554.96</v>
      </c>
      <c r="H4976" t="b">
        <f t="shared" si="155"/>
        <v>1</v>
      </c>
    </row>
    <row r="4977" spans="1:8">
      <c r="A4977" s="395">
        <v>10489</v>
      </c>
      <c r="B4977" s="406" t="s">
        <v>13937</v>
      </c>
      <c r="C4977" s="395" t="s">
        <v>2020</v>
      </c>
      <c r="D4977" s="407">
        <f t="shared" si="154"/>
        <v>14.03</v>
      </c>
      <c r="F4977" s="680">
        <v>14.03</v>
      </c>
      <c r="G4977" s="680">
        <v>16.14</v>
      </c>
      <c r="H4977" t="b">
        <f t="shared" si="155"/>
        <v>0</v>
      </c>
    </row>
    <row r="4978" spans="1:8">
      <c r="A4978" s="396">
        <v>41073</v>
      </c>
      <c r="B4978" s="401" t="s">
        <v>13938</v>
      </c>
      <c r="C4978" s="396" t="s">
        <v>2027</v>
      </c>
      <c r="D4978" s="405">
        <f t="shared" si="154"/>
        <v>2475.79</v>
      </c>
      <c r="F4978" s="679">
        <v>2475.79</v>
      </c>
      <c r="G4978" s="679">
        <v>2851.97</v>
      </c>
      <c r="H4978" t="b">
        <f t="shared" si="155"/>
        <v>0</v>
      </c>
    </row>
    <row r="4979" spans="1:8">
      <c r="A4979" s="395">
        <v>34391</v>
      </c>
      <c r="B4979" s="406" t="s">
        <v>13939</v>
      </c>
      <c r="C4979" s="395" t="s">
        <v>2023</v>
      </c>
      <c r="D4979" s="407">
        <f t="shared" si="154"/>
        <v>837.81</v>
      </c>
      <c r="F4979" s="680">
        <v>837.81</v>
      </c>
      <c r="G4979" s="680">
        <v>837.81</v>
      </c>
      <c r="H4979" t="b">
        <f t="shared" si="155"/>
        <v>1</v>
      </c>
    </row>
    <row r="4980" spans="1:8">
      <c r="A4980" s="396">
        <v>10496</v>
      </c>
      <c r="B4980" s="401" t="s">
        <v>13940</v>
      </c>
      <c r="C4980" s="396" t="s">
        <v>2023</v>
      </c>
      <c r="D4980" s="405">
        <f t="shared" si="154"/>
        <v>729.16</v>
      </c>
      <c r="F4980" s="679">
        <v>729.16</v>
      </c>
      <c r="G4980" s="679">
        <v>729.16</v>
      </c>
      <c r="H4980" t="b">
        <f t="shared" si="155"/>
        <v>1</v>
      </c>
    </row>
    <row r="4981" spans="1:8">
      <c r="A4981" s="395">
        <v>10497</v>
      </c>
      <c r="B4981" s="406" t="s">
        <v>13941</v>
      </c>
      <c r="C4981" s="395" t="s">
        <v>2023</v>
      </c>
      <c r="D4981" s="407">
        <f t="shared" si="154"/>
        <v>1895.83</v>
      </c>
      <c r="F4981" s="680">
        <v>1895.83</v>
      </c>
      <c r="G4981" s="680">
        <v>1895.83</v>
      </c>
      <c r="H4981" t="b">
        <f t="shared" si="155"/>
        <v>1</v>
      </c>
    </row>
    <row r="4982" spans="1:8">
      <c r="A4982" s="396">
        <v>10504</v>
      </c>
      <c r="B4982" s="401" t="s">
        <v>13942</v>
      </c>
      <c r="C4982" s="396" t="s">
        <v>2023</v>
      </c>
      <c r="D4982" s="405">
        <f t="shared" si="154"/>
        <v>2216.66</v>
      </c>
      <c r="F4982" s="679">
        <v>2216.66</v>
      </c>
      <c r="G4982" s="679">
        <v>2216.66</v>
      </c>
      <c r="H4982" t="b">
        <f t="shared" si="155"/>
        <v>1</v>
      </c>
    </row>
    <row r="4983" spans="1:8">
      <c r="A4983" s="395">
        <v>34390</v>
      </c>
      <c r="B4983" s="406" t="s">
        <v>13943</v>
      </c>
      <c r="C4983" s="395" t="s">
        <v>2023</v>
      </c>
      <c r="D4983" s="407">
        <f t="shared" si="154"/>
        <v>653.33000000000004</v>
      </c>
      <c r="F4983" s="680">
        <v>653.33000000000004</v>
      </c>
      <c r="G4983" s="680">
        <v>653.33000000000004</v>
      </c>
      <c r="H4983" t="b">
        <f t="shared" si="155"/>
        <v>1</v>
      </c>
    </row>
    <row r="4984" spans="1:8">
      <c r="A4984" s="396">
        <v>34389</v>
      </c>
      <c r="B4984" s="401" t="s">
        <v>13944</v>
      </c>
      <c r="C4984" s="396" t="s">
        <v>2023</v>
      </c>
      <c r="D4984" s="405">
        <f t="shared" si="154"/>
        <v>204.16</v>
      </c>
      <c r="F4984" s="679">
        <v>204.16</v>
      </c>
      <c r="G4984" s="679">
        <v>204.16</v>
      </c>
      <c r="H4984" t="b">
        <f t="shared" si="155"/>
        <v>1</v>
      </c>
    </row>
    <row r="4985" spans="1:8">
      <c r="A4985" s="395">
        <v>34388</v>
      </c>
      <c r="B4985" s="406" t="s">
        <v>13945</v>
      </c>
      <c r="C4985" s="395" t="s">
        <v>2023</v>
      </c>
      <c r="D4985" s="407">
        <f t="shared" si="154"/>
        <v>290.17</v>
      </c>
      <c r="F4985" s="680">
        <v>290.17</v>
      </c>
      <c r="G4985" s="680">
        <v>290.17</v>
      </c>
      <c r="H4985" t="b">
        <f t="shared" si="155"/>
        <v>1</v>
      </c>
    </row>
    <row r="4986" spans="1:8">
      <c r="A4986" s="396">
        <v>34387</v>
      </c>
      <c r="B4986" s="401" t="s">
        <v>13946</v>
      </c>
      <c r="C4986" s="396" t="s">
        <v>2023</v>
      </c>
      <c r="D4986" s="405">
        <f t="shared" si="154"/>
        <v>471.04</v>
      </c>
      <c r="F4986" s="679">
        <v>471.04</v>
      </c>
      <c r="G4986" s="679">
        <v>471.04</v>
      </c>
      <c r="H4986" t="b">
        <f t="shared" si="155"/>
        <v>1</v>
      </c>
    </row>
    <row r="4987" spans="1:8">
      <c r="A4987" s="395">
        <v>11188</v>
      </c>
      <c r="B4987" s="406" t="s">
        <v>13947</v>
      </c>
      <c r="C4987" s="395" t="s">
        <v>2023</v>
      </c>
      <c r="D4987" s="407">
        <f t="shared" si="154"/>
        <v>233.33</v>
      </c>
      <c r="F4987" s="680">
        <v>233.33</v>
      </c>
      <c r="G4987" s="680">
        <v>233.33</v>
      </c>
      <c r="H4987" t="b">
        <f t="shared" si="155"/>
        <v>1</v>
      </c>
    </row>
    <row r="4988" spans="1:8">
      <c r="A4988" s="396">
        <v>11189</v>
      </c>
      <c r="B4988" s="401" t="s">
        <v>13948</v>
      </c>
      <c r="C4988" s="396" t="s">
        <v>2023</v>
      </c>
      <c r="D4988" s="405">
        <f t="shared" si="154"/>
        <v>350</v>
      </c>
      <c r="F4988" s="679">
        <v>350</v>
      </c>
      <c r="G4988" s="679">
        <v>350</v>
      </c>
      <c r="H4988" t="b">
        <f t="shared" si="155"/>
        <v>1</v>
      </c>
    </row>
    <row r="4989" spans="1:8">
      <c r="A4989" s="395">
        <v>21107</v>
      </c>
      <c r="B4989" s="406" t="s">
        <v>13949</v>
      </c>
      <c r="C4989" s="395" t="s">
        <v>2023</v>
      </c>
      <c r="D4989" s="407">
        <f t="shared" si="154"/>
        <v>251.88</v>
      </c>
      <c r="F4989" s="680">
        <v>251.88</v>
      </c>
      <c r="G4989" s="680">
        <v>251.88</v>
      </c>
      <c r="H4989" t="b">
        <f t="shared" si="155"/>
        <v>1</v>
      </c>
    </row>
    <row r="4990" spans="1:8">
      <c r="A4990" s="396">
        <v>34386</v>
      </c>
      <c r="B4990" s="401" t="s">
        <v>13950</v>
      </c>
      <c r="C4990" s="396" t="s">
        <v>2023</v>
      </c>
      <c r="D4990" s="405">
        <f t="shared" si="154"/>
        <v>437.5</v>
      </c>
      <c r="F4990" s="679">
        <v>437.5</v>
      </c>
      <c r="G4990" s="679">
        <v>437.5</v>
      </c>
      <c r="H4990" t="b">
        <f t="shared" si="155"/>
        <v>1</v>
      </c>
    </row>
    <row r="4991" spans="1:8">
      <c r="A4991" s="395">
        <v>10490</v>
      </c>
      <c r="B4991" s="406" t="s">
        <v>13951</v>
      </c>
      <c r="C4991" s="395" t="s">
        <v>2023</v>
      </c>
      <c r="D4991" s="407">
        <f t="shared" si="154"/>
        <v>153.12</v>
      </c>
      <c r="F4991" s="680">
        <v>153.12</v>
      </c>
      <c r="G4991" s="680">
        <v>153.12</v>
      </c>
      <c r="H4991" t="b">
        <f t="shared" si="155"/>
        <v>1</v>
      </c>
    </row>
    <row r="4992" spans="1:8">
      <c r="A4992" s="396">
        <v>10492</v>
      </c>
      <c r="B4992" s="401" t="s">
        <v>13952</v>
      </c>
      <c r="C4992" s="396" t="s">
        <v>2023</v>
      </c>
      <c r="D4992" s="405">
        <f t="shared" si="154"/>
        <v>175</v>
      </c>
      <c r="F4992" s="679">
        <v>175</v>
      </c>
      <c r="G4992" s="679">
        <v>175</v>
      </c>
      <c r="H4992" t="b">
        <f t="shared" si="155"/>
        <v>1</v>
      </c>
    </row>
    <row r="4993" spans="1:8">
      <c r="A4993" s="395">
        <v>10493</v>
      </c>
      <c r="B4993" s="406" t="s">
        <v>13953</v>
      </c>
      <c r="C4993" s="395" t="s">
        <v>2023</v>
      </c>
      <c r="D4993" s="407">
        <f t="shared" si="154"/>
        <v>204.16</v>
      </c>
      <c r="F4993" s="680">
        <v>204.16</v>
      </c>
      <c r="G4993" s="680">
        <v>204.16</v>
      </c>
      <c r="H4993" t="b">
        <f t="shared" si="155"/>
        <v>1</v>
      </c>
    </row>
    <row r="4994" spans="1:8">
      <c r="A4994" s="396">
        <v>10491</v>
      </c>
      <c r="B4994" s="401" t="s">
        <v>13954</v>
      </c>
      <c r="C4994" s="396" t="s">
        <v>2023</v>
      </c>
      <c r="D4994" s="405">
        <f t="shared" si="154"/>
        <v>247.91</v>
      </c>
      <c r="F4994" s="679">
        <v>247.91</v>
      </c>
      <c r="G4994" s="679">
        <v>247.91</v>
      </c>
      <c r="H4994" t="b">
        <f t="shared" si="155"/>
        <v>1</v>
      </c>
    </row>
    <row r="4995" spans="1:8">
      <c r="A4995" s="395">
        <v>34385</v>
      </c>
      <c r="B4995" s="406" t="s">
        <v>13955</v>
      </c>
      <c r="C4995" s="395" t="s">
        <v>2023</v>
      </c>
      <c r="D4995" s="407">
        <f t="shared" ref="D4995:D5017" si="156">IF($J$2=$F$1,F4995,G4995)</f>
        <v>361.66</v>
      </c>
      <c r="F4995" s="680">
        <v>361.66</v>
      </c>
      <c r="G4995" s="680">
        <v>361.66</v>
      </c>
      <c r="H4995" t="b">
        <f t="shared" ref="H4995:H5017" si="157">F4995=G4995</f>
        <v>1</v>
      </c>
    </row>
    <row r="4996" spans="1:8">
      <c r="A4996" s="396">
        <v>10499</v>
      </c>
      <c r="B4996" s="401" t="s">
        <v>13956</v>
      </c>
      <c r="C4996" s="396" t="s">
        <v>2023</v>
      </c>
      <c r="D4996" s="405">
        <f t="shared" si="156"/>
        <v>145.83000000000001</v>
      </c>
      <c r="F4996" s="679">
        <v>145.83000000000001</v>
      </c>
      <c r="G4996" s="679">
        <v>145.83000000000001</v>
      </c>
      <c r="H4996" t="b">
        <f t="shared" si="157"/>
        <v>1</v>
      </c>
    </row>
    <row r="4997" spans="1:8">
      <c r="A4997" s="395">
        <v>34384</v>
      </c>
      <c r="B4997" s="406" t="s">
        <v>13957</v>
      </c>
      <c r="C4997" s="395" t="s">
        <v>2023</v>
      </c>
      <c r="D4997" s="407">
        <f t="shared" si="156"/>
        <v>437.5</v>
      </c>
      <c r="F4997" s="680">
        <v>437.5</v>
      </c>
      <c r="G4997" s="680">
        <v>437.5</v>
      </c>
      <c r="H4997" t="b">
        <f t="shared" si="157"/>
        <v>1</v>
      </c>
    </row>
    <row r="4998" spans="1:8">
      <c r="A4998" s="396">
        <v>11185</v>
      </c>
      <c r="B4998" s="401" t="s">
        <v>13958</v>
      </c>
      <c r="C4998" s="396" t="s">
        <v>2023</v>
      </c>
      <c r="D4998" s="405">
        <f t="shared" si="156"/>
        <v>452.08</v>
      </c>
      <c r="F4998" s="679">
        <v>452.08</v>
      </c>
      <c r="G4998" s="679">
        <v>452.08</v>
      </c>
      <c r="H4998" t="b">
        <f t="shared" si="157"/>
        <v>1</v>
      </c>
    </row>
    <row r="4999" spans="1:8">
      <c r="A4999" s="395">
        <v>10507</v>
      </c>
      <c r="B4999" t="s">
        <v>13959</v>
      </c>
      <c r="C4999" s="395" t="s">
        <v>2023</v>
      </c>
      <c r="D4999" s="407">
        <f t="shared" si="156"/>
        <v>439.16</v>
      </c>
      <c r="F4999" s="680">
        <v>439.16</v>
      </c>
      <c r="G4999" s="680">
        <v>439.16</v>
      </c>
      <c r="H4999" t="b">
        <f t="shared" si="157"/>
        <v>1</v>
      </c>
    </row>
    <row r="5000" spans="1:8">
      <c r="A5000" s="396">
        <v>10505</v>
      </c>
      <c r="B5000" t="s">
        <v>13960</v>
      </c>
      <c r="C5000" s="396" t="s">
        <v>2023</v>
      </c>
      <c r="D5000" s="405">
        <f t="shared" si="156"/>
        <v>259.13</v>
      </c>
      <c r="F5000" s="679">
        <v>259.13</v>
      </c>
      <c r="G5000" s="679">
        <v>259.13</v>
      </c>
      <c r="H5000" t="b">
        <f t="shared" si="157"/>
        <v>1</v>
      </c>
    </row>
    <row r="5001" spans="1:8">
      <c r="A5001" s="395">
        <v>10506</v>
      </c>
      <c r="B5001" t="s">
        <v>13961</v>
      </c>
      <c r="C5001" s="395" t="s">
        <v>2023</v>
      </c>
      <c r="D5001" s="407">
        <f t="shared" si="156"/>
        <v>338.28</v>
      </c>
      <c r="F5001" s="680">
        <v>338.28</v>
      </c>
      <c r="G5001" s="680">
        <v>338.28</v>
      </c>
      <c r="H5001" t="b">
        <f t="shared" si="157"/>
        <v>1</v>
      </c>
    </row>
    <row r="5002" spans="1:8">
      <c r="A5002" s="396">
        <v>5031</v>
      </c>
      <c r="B5002" t="s">
        <v>13962</v>
      </c>
      <c r="C5002" s="396" t="s">
        <v>2023</v>
      </c>
      <c r="D5002" s="405">
        <f t="shared" si="156"/>
        <v>475</v>
      </c>
      <c r="F5002" s="679">
        <v>475</v>
      </c>
      <c r="G5002" s="679">
        <v>475</v>
      </c>
      <c r="H5002" t="b">
        <f t="shared" si="157"/>
        <v>1</v>
      </c>
    </row>
    <row r="5003" spans="1:8">
      <c r="A5003" s="395">
        <v>10502</v>
      </c>
      <c r="B5003" t="s">
        <v>13963</v>
      </c>
      <c r="C5003" s="395" t="s">
        <v>2023</v>
      </c>
      <c r="D5003" s="407">
        <f t="shared" si="156"/>
        <v>553.48</v>
      </c>
      <c r="F5003" s="680">
        <v>553.48</v>
      </c>
      <c r="G5003" s="680">
        <v>553.48</v>
      </c>
      <c r="H5003" t="b">
        <f t="shared" si="157"/>
        <v>1</v>
      </c>
    </row>
    <row r="5004" spans="1:8">
      <c r="A5004" s="396">
        <v>10501</v>
      </c>
      <c r="B5004" t="s">
        <v>13964</v>
      </c>
      <c r="C5004" s="396" t="s">
        <v>2023</v>
      </c>
      <c r="D5004" s="405">
        <f t="shared" si="156"/>
        <v>312.7</v>
      </c>
      <c r="F5004" s="679">
        <v>312.7</v>
      </c>
      <c r="G5004" s="679">
        <v>312.7</v>
      </c>
      <c r="H5004" t="b">
        <f t="shared" si="157"/>
        <v>1</v>
      </c>
    </row>
    <row r="5005" spans="1:8">
      <c r="A5005" s="395">
        <v>10503</v>
      </c>
      <c r="B5005" t="s">
        <v>13965</v>
      </c>
      <c r="C5005" s="395" t="s">
        <v>2023</v>
      </c>
      <c r="D5005" s="407">
        <f t="shared" si="156"/>
        <v>422.46</v>
      </c>
      <c r="F5005" s="680">
        <v>422.46</v>
      </c>
      <c r="G5005" s="680">
        <v>422.46</v>
      </c>
      <c r="H5005" t="b">
        <f t="shared" si="157"/>
        <v>1</v>
      </c>
    </row>
    <row r="5006" spans="1:8">
      <c r="A5006" s="396">
        <v>4500</v>
      </c>
      <c r="B5006" t="s">
        <v>13966</v>
      </c>
      <c r="C5006" s="396" t="s">
        <v>2024</v>
      </c>
      <c r="D5006" s="405">
        <f t="shared" si="156"/>
        <v>22.5</v>
      </c>
      <c r="F5006" s="679">
        <v>22.5</v>
      </c>
      <c r="G5006" s="679">
        <v>22.5</v>
      </c>
      <c r="H5006" t="b">
        <f t="shared" si="157"/>
        <v>1</v>
      </c>
    </row>
    <row r="5007" spans="1:8">
      <c r="A5007" s="395">
        <v>4448</v>
      </c>
      <c r="B5007" t="s">
        <v>13967</v>
      </c>
      <c r="C5007" s="395" t="s">
        <v>2024</v>
      </c>
      <c r="D5007" s="407">
        <f t="shared" si="156"/>
        <v>30.9</v>
      </c>
      <c r="F5007" s="680">
        <v>30.9</v>
      </c>
      <c r="G5007" s="680">
        <v>30.9</v>
      </c>
      <c r="H5007" t="b">
        <f t="shared" si="157"/>
        <v>1</v>
      </c>
    </row>
    <row r="5008" spans="1:8">
      <c r="A5008" s="396">
        <v>20213</v>
      </c>
      <c r="B5008" t="s">
        <v>13968</v>
      </c>
      <c r="C5008" s="396" t="s">
        <v>2024</v>
      </c>
      <c r="D5008" s="405">
        <f t="shared" si="156"/>
        <v>24.21</v>
      </c>
      <c r="F5008" s="679">
        <v>24.21</v>
      </c>
      <c r="G5008" s="679">
        <v>24.21</v>
      </c>
      <c r="H5008" t="b">
        <f t="shared" si="157"/>
        <v>1</v>
      </c>
    </row>
    <row r="5009" spans="1:8">
      <c r="A5009" s="395">
        <v>20211</v>
      </c>
      <c r="B5009" t="s">
        <v>13969</v>
      </c>
      <c r="C5009" s="395" t="s">
        <v>2024</v>
      </c>
      <c r="D5009" s="407">
        <f t="shared" si="156"/>
        <v>32.06</v>
      </c>
      <c r="F5009" s="680">
        <v>32.06</v>
      </c>
      <c r="G5009" s="680">
        <v>32.06</v>
      </c>
      <c r="H5009" t="b">
        <f t="shared" si="157"/>
        <v>1</v>
      </c>
    </row>
    <row r="5010" spans="1:8">
      <c r="A5010" s="396">
        <v>40270</v>
      </c>
      <c r="B5010" t="s">
        <v>13970</v>
      </c>
      <c r="C5010" s="396" t="s">
        <v>2024</v>
      </c>
      <c r="D5010" s="405">
        <f t="shared" si="156"/>
        <v>125.53</v>
      </c>
      <c r="F5010" s="679">
        <v>125.53</v>
      </c>
      <c r="G5010" s="679">
        <v>125.53</v>
      </c>
      <c r="H5010" t="b">
        <f t="shared" si="157"/>
        <v>1</v>
      </c>
    </row>
    <row r="5011" spans="1:8">
      <c r="A5011" s="395">
        <v>4425</v>
      </c>
      <c r="B5011" t="s">
        <v>13971</v>
      </c>
      <c r="C5011" s="395" t="s">
        <v>2024</v>
      </c>
      <c r="D5011" s="407">
        <f t="shared" si="156"/>
        <v>26.5</v>
      </c>
      <c r="F5011" s="680">
        <v>26.5</v>
      </c>
      <c r="G5011" s="680">
        <v>26.5</v>
      </c>
      <c r="H5011" t="b">
        <f t="shared" si="157"/>
        <v>1</v>
      </c>
    </row>
    <row r="5012" spans="1:8">
      <c r="A5012" s="396">
        <v>4472</v>
      </c>
      <c r="B5012" t="s">
        <v>13972</v>
      </c>
      <c r="C5012" s="396" t="s">
        <v>2024</v>
      </c>
      <c r="D5012" s="405">
        <f t="shared" si="156"/>
        <v>33.11</v>
      </c>
      <c r="F5012" s="679">
        <v>33.11</v>
      </c>
      <c r="G5012" s="679">
        <v>33.11</v>
      </c>
      <c r="H5012" t="b">
        <f t="shared" si="157"/>
        <v>1</v>
      </c>
    </row>
    <row r="5013" spans="1:8">
      <c r="A5013" s="395">
        <v>35272</v>
      </c>
      <c r="B5013" t="s">
        <v>13973</v>
      </c>
      <c r="C5013" s="395" t="s">
        <v>2024</v>
      </c>
      <c r="D5013" s="407">
        <f t="shared" si="156"/>
        <v>47.86</v>
      </c>
      <c r="F5013" s="680">
        <v>47.86</v>
      </c>
      <c r="G5013" s="680">
        <v>47.86</v>
      </c>
      <c r="H5013" t="b">
        <f t="shared" si="157"/>
        <v>1</v>
      </c>
    </row>
    <row r="5014" spans="1:8">
      <c r="A5014" s="396">
        <v>4481</v>
      </c>
      <c r="B5014" t="s">
        <v>13974</v>
      </c>
      <c r="C5014" s="396" t="s">
        <v>2024</v>
      </c>
      <c r="D5014" s="405">
        <f t="shared" si="156"/>
        <v>51.23</v>
      </c>
      <c r="F5014" s="679">
        <v>51.23</v>
      </c>
      <c r="G5014" s="679">
        <v>51.23</v>
      </c>
      <c r="H5014" t="b">
        <f t="shared" si="157"/>
        <v>1</v>
      </c>
    </row>
    <row r="5015" spans="1:8">
      <c r="A5015" s="395">
        <v>34345</v>
      </c>
      <c r="B5015" t="s">
        <v>13975</v>
      </c>
      <c r="C5015" s="395" t="s">
        <v>2020</v>
      </c>
      <c r="D5015" s="407">
        <f t="shared" si="156"/>
        <v>12.14</v>
      </c>
      <c r="F5015" s="680">
        <v>12.14</v>
      </c>
      <c r="G5015" s="680">
        <v>13.97</v>
      </c>
      <c r="H5015" t="b">
        <f t="shared" si="157"/>
        <v>0</v>
      </c>
    </row>
    <row r="5016" spans="1:8">
      <c r="A5016" s="396">
        <v>41096</v>
      </c>
      <c r="B5016" t="s">
        <v>13976</v>
      </c>
      <c r="C5016" s="396" t="s">
        <v>2027</v>
      </c>
      <c r="D5016" s="405">
        <f t="shared" si="156"/>
        <v>2139.91</v>
      </c>
      <c r="F5016" s="679">
        <v>2139.91</v>
      </c>
      <c r="G5016" s="679">
        <v>2465.0500000000002</v>
      </c>
      <c r="H5016" t="b">
        <f t="shared" si="157"/>
        <v>0</v>
      </c>
    </row>
    <row r="5017" spans="1:8">
      <c r="A5017" s="395">
        <v>41776</v>
      </c>
      <c r="B5017" t="s">
        <v>13977</v>
      </c>
      <c r="C5017" s="395" t="s">
        <v>2020</v>
      </c>
      <c r="D5017" s="407">
        <f t="shared" si="156"/>
        <v>16.649999999999999</v>
      </c>
      <c r="F5017" s="680">
        <v>16.649999999999999</v>
      </c>
      <c r="G5017" s="680">
        <v>19.149999999999999</v>
      </c>
      <c r="H5017" t="b">
        <f t="shared" si="157"/>
        <v>0</v>
      </c>
    </row>
    <row r="5018" spans="1:8">
      <c r="B5018"/>
      <c r="D5018" s="405"/>
      <c r="F5018" s="679"/>
      <c r="G5018" s="679"/>
    </row>
    <row r="5019" spans="1:8">
      <c r="A5019" s="395"/>
      <c r="B5019"/>
      <c r="C5019" s="395"/>
      <c r="D5019" s="407"/>
      <c r="F5019" s="680"/>
      <c r="G5019" s="680"/>
    </row>
    <row r="5020" spans="1:8">
      <c r="B5020"/>
      <c r="D5020" s="405"/>
      <c r="F5020" s="679"/>
      <c r="G5020" s="679"/>
    </row>
    <row r="5021" spans="1:8">
      <c r="A5021" s="395" t="s">
        <v>13978</v>
      </c>
      <c r="B5021"/>
      <c r="C5021" s="395"/>
      <c r="D5021" s="407"/>
      <c r="F5021" s="680"/>
      <c r="G5021" s="680"/>
    </row>
  </sheetData>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sheetPr codeName="Planilha21">
    <tabColor rgb="FFFFCCFF"/>
    <pageSetUpPr fitToPage="1"/>
  </sheetPr>
  <dimension ref="A1:Q47"/>
  <sheetViews>
    <sheetView view="pageBreakPreview" topLeftCell="D7" zoomScale="85" zoomScaleSheetLayoutView="85" workbookViewId="0">
      <selection activeCell="B9" sqref="B9:F9"/>
    </sheetView>
  </sheetViews>
  <sheetFormatPr defaultRowHeight="12.75"/>
  <cols>
    <col min="1" max="1" width="9.140625" style="73"/>
    <col min="2" max="2" width="10.42578125" style="73" bestFit="1" customWidth="1"/>
    <col min="3" max="4" width="12.7109375" style="73" customWidth="1"/>
    <col min="5" max="5" width="75.7109375" style="73" customWidth="1"/>
    <col min="6" max="6" width="30.7109375" style="73" customWidth="1"/>
    <col min="7" max="7" width="12.85546875" style="73" customWidth="1"/>
    <col min="8" max="8" width="17.140625" style="73" customWidth="1"/>
    <col min="9" max="10" width="9.140625" style="73"/>
    <col min="11" max="11" width="13.140625" style="73" customWidth="1"/>
    <col min="12" max="12" width="13.28515625" style="73" bestFit="1" customWidth="1"/>
    <col min="13" max="14" width="9.140625" style="73"/>
    <col min="15" max="15" width="10.5703125" style="73" customWidth="1"/>
    <col min="16" max="16" width="9.140625" style="73"/>
    <col min="17" max="17" width="9.85546875" style="73" customWidth="1"/>
    <col min="18" max="16384" width="9.140625" style="73"/>
  </cols>
  <sheetData>
    <row r="1" spans="1:17" ht="21.6" customHeight="1">
      <c r="A1" s="5"/>
      <c r="B1" s="111"/>
    </row>
    <row r="2" spans="1:17" ht="45.75" customHeight="1">
      <c r="A2" s="5"/>
      <c r="B2" s="111"/>
      <c r="D2" s="429" t="s">
        <v>5</v>
      </c>
      <c r="E2" s="430" t="s">
        <v>2709</v>
      </c>
      <c r="J2" s="428"/>
    </row>
    <row r="3" spans="1:17" ht="13.5" thickBot="1">
      <c r="A3" s="5"/>
      <c r="B3" s="111"/>
    </row>
    <row r="4" spans="1:17" s="11" customFormat="1" ht="6.75" thickBot="1">
      <c r="B4" s="12"/>
      <c r="C4" s="624"/>
      <c r="D4" s="74"/>
      <c r="E4" s="76"/>
      <c r="F4" s="74"/>
      <c r="G4" s="75"/>
      <c r="H4" s="77"/>
      <c r="I4" s="17"/>
      <c r="J4" s="18"/>
    </row>
    <row r="5" spans="1:17" s="5" customFormat="1" ht="60" customHeight="1" thickBot="1">
      <c r="B5" s="19"/>
      <c r="C5" s="1572"/>
      <c r="D5" s="1573"/>
      <c r="E5" s="648" t="s">
        <v>2</v>
      </c>
      <c r="F5" s="2093"/>
      <c r="G5" s="1875" t="str">
        <f>'ORÇAMENTO '!L5</f>
        <v xml:space="preserve">Ref.: Tabela de Serviços
SINAPI (JAN/2023) 
e/ou composições PiniTCPO                                                                              
</v>
      </c>
      <c r="H5" s="2141"/>
      <c r="I5" s="20"/>
      <c r="J5" s="73"/>
      <c r="K5" s="5" t="str">
        <f>'ORÇAMENTO '!P2</f>
        <v>CAIXA</v>
      </c>
    </row>
    <row r="6" spans="1:17" s="5" customFormat="1" ht="60" customHeight="1" thickBot="1">
      <c r="B6" s="2"/>
      <c r="C6" s="1576"/>
      <c r="D6" s="1577"/>
      <c r="E6" s="649" t="s">
        <v>3</v>
      </c>
      <c r="F6" s="2094"/>
      <c r="G6" s="630" t="s">
        <v>5</v>
      </c>
      <c r="H6" s="622">
        <f>G30</f>
        <v>0.26440000000000002</v>
      </c>
      <c r="I6" s="20"/>
    </row>
    <row r="7" spans="1:17" s="21" customFormat="1" ht="18.75" customHeight="1" thickBot="1">
      <c r="B7" s="22"/>
      <c r="C7" s="1586" t="s">
        <v>467</v>
      </c>
      <c r="D7" s="1587"/>
      <c r="E7" s="1587"/>
      <c r="F7" s="1587"/>
      <c r="G7" s="1588"/>
      <c r="H7" s="1589"/>
      <c r="I7" s="23"/>
    </row>
    <row r="8" spans="1:17" s="11" customFormat="1" ht="6.75" thickBot="1">
      <c r="B8" s="12"/>
      <c r="C8" s="13"/>
      <c r="D8" s="14"/>
      <c r="E8" s="85"/>
      <c r="F8" s="14"/>
      <c r="G8" s="15"/>
      <c r="H8" s="16"/>
      <c r="I8" s="17"/>
    </row>
    <row r="9" spans="1:17" s="21" customFormat="1" ht="18">
      <c r="B9" s="22"/>
      <c r="C9" s="123" t="s">
        <v>6</v>
      </c>
      <c r="D9" s="2091" t="str">
        <f>'ORÇAMENTO '!G11</f>
        <v xml:space="preserve">SISTEMA DE ABASTECIMENTO DE ÁGUA </v>
      </c>
      <c r="E9" s="2091"/>
      <c r="F9" s="2091"/>
      <c r="G9" s="84" t="s">
        <v>7</v>
      </c>
      <c r="H9" s="124">
        <f ca="1">'ORÇAMENTO '!M11</f>
        <v>45167</v>
      </c>
      <c r="I9" s="25"/>
    </row>
    <row r="10" spans="1:17" s="21" customFormat="1" ht="18.75" thickBot="1">
      <c r="A10" s="224" t="s">
        <v>2708</v>
      </c>
      <c r="B10" s="22"/>
      <c r="C10" s="125" t="s">
        <v>8</v>
      </c>
      <c r="D10" s="2092" t="str">
        <f>'ORÇAMENTO '!G12</f>
        <v>SETOR PIONEIRO - MUNICÍPIO DE APIACÁS</v>
      </c>
      <c r="E10" s="2092"/>
      <c r="F10" s="2092"/>
      <c r="G10" s="650" t="str">
        <f>'ORÇAMENTO '!K12</f>
        <v>LEIS SOCIAIS:</v>
      </c>
      <c r="H10" s="126">
        <f>'ORÇAMENTO '!M12</f>
        <v>0.80449999999999999</v>
      </c>
      <c r="I10" s="26"/>
    </row>
    <row r="11" spans="1:17" s="21" customFormat="1" ht="24" thickBot="1">
      <c r="A11" s="224" t="s">
        <v>2709</v>
      </c>
      <c r="B11" s="22"/>
      <c r="C11" s="2145" t="s">
        <v>5</v>
      </c>
      <c r="D11" s="2146"/>
      <c r="E11" s="2146"/>
      <c r="F11" s="2146"/>
      <c r="G11" s="2146"/>
      <c r="H11" s="2147"/>
      <c r="I11" s="23"/>
    </row>
    <row r="12" spans="1:17" ht="16.5" thickBot="1">
      <c r="B12" s="111"/>
      <c r="C12" s="2148" t="s">
        <v>11</v>
      </c>
      <c r="D12" s="2107" t="s">
        <v>407</v>
      </c>
      <c r="E12" s="2107"/>
      <c r="F12" s="2107"/>
      <c r="G12" s="2153" t="s">
        <v>408</v>
      </c>
      <c r="H12" s="2154"/>
    </row>
    <row r="13" spans="1:17" ht="15.75">
      <c r="B13" s="111"/>
      <c r="C13" s="2149"/>
      <c r="D13" s="2108"/>
      <c r="E13" s="2108"/>
      <c r="F13" s="2108"/>
      <c r="G13" s="2155" t="s">
        <v>409</v>
      </c>
      <c r="H13" s="2156"/>
      <c r="K13" s="2150" t="s">
        <v>3104</v>
      </c>
      <c r="L13" s="2151"/>
      <c r="M13" s="2152"/>
      <c r="O13" s="2142" t="s">
        <v>3105</v>
      </c>
      <c r="P13" s="2143"/>
      <c r="Q13" s="2144"/>
    </row>
    <row r="14" spans="1:17" ht="15.75">
      <c r="B14" s="73">
        <f>1+G15/100+G17/100+G16/100</f>
        <v>1.0470999999999999</v>
      </c>
      <c r="C14" s="135">
        <v>1</v>
      </c>
      <c r="D14" s="2109" t="s">
        <v>410</v>
      </c>
      <c r="E14" s="2109"/>
      <c r="F14" s="2109"/>
      <c r="G14" s="2105">
        <f>G15+G18+G17+G16</f>
        <v>5.88</v>
      </c>
      <c r="H14" s="2106"/>
      <c r="K14" s="510" t="s">
        <v>3101</v>
      </c>
      <c r="L14" s="511" t="s">
        <v>3102</v>
      </c>
      <c r="M14" s="512" t="s">
        <v>3103</v>
      </c>
      <c r="O14" s="519" t="s">
        <v>482</v>
      </c>
      <c r="P14" s="507"/>
      <c r="Q14" s="508">
        <v>0.28349999999999997</v>
      </c>
    </row>
    <row r="15" spans="1:17" ht="15.75" customHeight="1">
      <c r="B15" s="73">
        <f>1+G20/100</f>
        <v>1.0724</v>
      </c>
      <c r="C15" s="136" t="s">
        <v>179</v>
      </c>
      <c r="D15" s="2096" t="s">
        <v>428</v>
      </c>
      <c r="E15" s="2096"/>
      <c r="F15" s="2096"/>
      <c r="G15" s="2112">
        <v>3.43</v>
      </c>
      <c r="H15" s="2113"/>
      <c r="K15" s="513">
        <v>0.03</v>
      </c>
      <c r="L15" s="514">
        <v>0.04</v>
      </c>
      <c r="M15" s="515">
        <v>5.5E-2</v>
      </c>
      <c r="O15" s="519" t="s">
        <v>483</v>
      </c>
      <c r="P15" s="507"/>
      <c r="Q15" s="508">
        <v>0.2223</v>
      </c>
    </row>
    <row r="16" spans="1:17" ht="15" customHeight="1" thickBot="1">
      <c r="B16" s="73">
        <f>1+G18/100</f>
        <v>1.0117</v>
      </c>
      <c r="C16" s="136" t="s">
        <v>180</v>
      </c>
      <c r="D16" s="2096" t="s">
        <v>3100</v>
      </c>
      <c r="E16" s="2096"/>
      <c r="F16" s="2096"/>
      <c r="G16" s="2112">
        <v>0.28000000000000003</v>
      </c>
      <c r="H16" s="2113"/>
      <c r="K16" s="513">
        <v>8.0000000000000002E-3</v>
      </c>
      <c r="L16" s="514">
        <v>8.0000000000000002E-3</v>
      </c>
      <c r="M16" s="515">
        <v>0.01</v>
      </c>
      <c r="O16" s="520" t="s">
        <v>3106</v>
      </c>
      <c r="P16" s="521"/>
      <c r="Q16" s="522"/>
    </row>
    <row r="17" spans="2:17" ht="15.75" customHeight="1" thickBot="1">
      <c r="B17" s="73">
        <f>1-G23/100</f>
        <v>0.89849999999999997</v>
      </c>
      <c r="C17" s="136" t="s">
        <v>181</v>
      </c>
      <c r="D17" s="2096" t="s">
        <v>430</v>
      </c>
      <c r="E17" s="2096"/>
      <c r="F17" s="2096"/>
      <c r="G17" s="2112">
        <v>1</v>
      </c>
      <c r="H17" s="2113"/>
      <c r="K17" s="513">
        <v>9.7000000000000003E-3</v>
      </c>
      <c r="L17" s="514">
        <v>1.2699999999999999E-2</v>
      </c>
      <c r="M17" s="515">
        <v>1.2699999999999999E-2</v>
      </c>
      <c r="O17" s="520" t="s">
        <v>3107</v>
      </c>
      <c r="P17" s="521"/>
      <c r="Q17" s="522"/>
    </row>
    <row r="18" spans="2:17" ht="15.75" customHeight="1" thickBot="1">
      <c r="B18" s="73">
        <f>B14*B15*B16/B17</f>
        <v>1.264382957671675</v>
      </c>
      <c r="C18" s="136" t="s">
        <v>182</v>
      </c>
      <c r="D18" s="2096" t="s">
        <v>7018</v>
      </c>
      <c r="E18" s="2096"/>
      <c r="F18" s="2096"/>
      <c r="G18" s="2112">
        <v>1.17</v>
      </c>
      <c r="H18" s="2113"/>
      <c r="K18" s="516">
        <v>5.8999999999999999E-3</v>
      </c>
      <c r="L18" s="517">
        <v>1.23E-2</v>
      </c>
      <c r="M18" s="518">
        <v>1.3899999999999999E-2</v>
      </c>
    </row>
    <row r="19" spans="2:17" ht="15.75" customHeight="1" thickBot="1">
      <c r="B19" s="506">
        <f>B18-1</f>
        <v>0.26438295767167497</v>
      </c>
      <c r="C19" s="2100"/>
      <c r="D19" s="2101"/>
      <c r="E19" s="2101"/>
      <c r="F19" s="2101"/>
      <c r="G19" s="2101"/>
      <c r="H19" s="2102"/>
      <c r="O19" s="2142" t="s">
        <v>3108</v>
      </c>
      <c r="P19" s="2143"/>
      <c r="Q19" s="2144"/>
    </row>
    <row r="20" spans="2:17" ht="15.75" customHeight="1" thickBot="1">
      <c r="B20" s="111"/>
      <c r="C20" s="138" t="s">
        <v>396</v>
      </c>
      <c r="D20" s="2097" t="s">
        <v>411</v>
      </c>
      <c r="E20" s="2097"/>
      <c r="F20" s="2097"/>
      <c r="G20" s="2103">
        <f>G21</f>
        <v>7.24</v>
      </c>
      <c r="H20" s="2104"/>
      <c r="O20" s="519" t="s">
        <v>482</v>
      </c>
      <c r="P20" s="507"/>
      <c r="Q20" s="508">
        <v>0.26369999999999999</v>
      </c>
    </row>
    <row r="21" spans="2:17" ht="15.75" customHeight="1" thickBot="1">
      <c r="B21" s="112"/>
      <c r="C21" s="137" t="s">
        <v>385</v>
      </c>
      <c r="D21" s="2098" t="s">
        <v>431</v>
      </c>
      <c r="E21" s="2099"/>
      <c r="F21" s="2099"/>
      <c r="G21" s="2114">
        <v>7.24</v>
      </c>
      <c r="H21" s="2115"/>
      <c r="K21" s="526">
        <v>6.1600000000000002E-2</v>
      </c>
      <c r="L21" s="527">
        <v>7.400000000000001E-2</v>
      </c>
      <c r="M21" s="528">
        <v>8.9600000000000013E-2</v>
      </c>
      <c r="O21" s="519" t="s">
        <v>483</v>
      </c>
      <c r="P21" s="507"/>
      <c r="Q21" s="508">
        <v>0.20349999999999999</v>
      </c>
    </row>
    <row r="22" spans="2:17" ht="15.75" customHeight="1" thickBot="1">
      <c r="B22" s="111"/>
      <c r="C22" s="2100"/>
      <c r="D22" s="2101"/>
      <c r="E22" s="2101"/>
      <c r="F22" s="2101"/>
      <c r="G22" s="2101"/>
      <c r="H22" s="2102"/>
      <c r="O22" s="520" t="s">
        <v>3106</v>
      </c>
      <c r="P22" s="521"/>
      <c r="Q22" s="522"/>
    </row>
    <row r="23" spans="2:17" ht="15.75" customHeight="1" thickBot="1">
      <c r="B23" s="111"/>
      <c r="C23" s="138" t="s">
        <v>384</v>
      </c>
      <c r="D23" s="2097" t="s">
        <v>412</v>
      </c>
      <c r="E23" s="2097"/>
      <c r="F23" s="2097"/>
      <c r="G23" s="2103">
        <f>G24+G25+G26+G27</f>
        <v>10.15</v>
      </c>
      <c r="H23" s="2104"/>
      <c r="O23" s="520" t="s">
        <v>3107</v>
      </c>
      <c r="P23" s="521"/>
      <c r="Q23" s="522"/>
    </row>
    <row r="24" spans="2:17" ht="15">
      <c r="B24" s="113"/>
      <c r="C24" s="136" t="s">
        <v>380</v>
      </c>
      <c r="D24" s="2096" t="s">
        <v>413</v>
      </c>
      <c r="E24" s="2096"/>
      <c r="F24" s="2096"/>
      <c r="G24" s="2110">
        <f>(D40*D42)*100</f>
        <v>2.0000000000000004</v>
      </c>
      <c r="H24" s="2111"/>
    </row>
    <row r="25" spans="2:17" ht="15" customHeight="1">
      <c r="B25" s="111"/>
      <c r="C25" s="136" t="s">
        <v>381</v>
      </c>
      <c r="D25" s="2096" t="s">
        <v>414</v>
      </c>
      <c r="E25" s="2096"/>
      <c r="F25" s="2096"/>
      <c r="G25" s="2112">
        <v>3</v>
      </c>
      <c r="H25" s="2113"/>
    </row>
    <row r="26" spans="2:17" ht="15" customHeight="1">
      <c r="B26" s="111"/>
      <c r="C26" s="136" t="s">
        <v>382</v>
      </c>
      <c r="D26" s="2096" t="s">
        <v>415</v>
      </c>
      <c r="E26" s="2096"/>
      <c r="F26" s="2096"/>
      <c r="G26" s="2112">
        <v>0.65</v>
      </c>
      <c r="H26" s="2113"/>
    </row>
    <row r="27" spans="2:17" ht="15.75" customHeight="1" thickBot="1">
      <c r="B27" s="111"/>
      <c r="C27" s="137" t="s">
        <v>383</v>
      </c>
      <c r="D27" s="2120" t="s">
        <v>416</v>
      </c>
      <c r="E27" s="2120"/>
      <c r="F27" s="2120"/>
      <c r="G27" s="2114">
        <v>4.5</v>
      </c>
      <c r="H27" s="2115"/>
    </row>
    <row r="28" spans="2:17" ht="15.75" customHeight="1">
      <c r="B28" s="111"/>
      <c r="C28" s="2131" t="s">
        <v>417</v>
      </c>
      <c r="D28" s="2132"/>
      <c r="E28" s="2132"/>
      <c r="F28" s="2132"/>
      <c r="G28" s="2132"/>
      <c r="H28" s="2133"/>
    </row>
    <row r="29" spans="2:17" ht="1.5" customHeight="1" thickBot="1">
      <c r="B29" s="111"/>
      <c r="C29" s="2134"/>
      <c r="D29" s="2135"/>
      <c r="E29" s="2135"/>
      <c r="F29" s="2135"/>
      <c r="G29" s="2135"/>
      <c r="H29" s="2136"/>
    </row>
    <row r="30" spans="2:17" ht="19.5" customHeight="1">
      <c r="B30" s="111"/>
      <c r="C30" s="2086" t="s">
        <v>419</v>
      </c>
      <c r="D30" s="2087"/>
      <c r="E30" s="2087"/>
      <c r="F30" s="2087"/>
      <c r="G30" s="2137">
        <f>ROUND(B19,4)</f>
        <v>0.26440000000000002</v>
      </c>
      <c r="H30" s="2138"/>
    </row>
    <row r="31" spans="2:17" ht="20.25" customHeight="1" thickBot="1">
      <c r="B31" s="111"/>
      <c r="C31" s="2088"/>
      <c r="D31" s="2089"/>
      <c r="E31" s="2089"/>
      <c r="F31" s="2089"/>
      <c r="G31" s="2139"/>
      <c r="H31" s="2140"/>
    </row>
    <row r="32" spans="2:17" ht="15.75" customHeight="1" thickBot="1">
      <c r="B32" s="111"/>
      <c r="C32" s="2123" t="s">
        <v>420</v>
      </c>
      <c r="D32" s="2124"/>
      <c r="E32" s="2124"/>
      <c r="F32" s="2124"/>
      <c r="G32" s="2121">
        <f ca="1">RESUMO!H36</f>
        <v>3673638.97</v>
      </c>
      <c r="H32" s="2122"/>
    </row>
    <row r="33" spans="2:8" ht="15.75" customHeight="1" thickBot="1">
      <c r="B33" s="111"/>
      <c r="C33" s="2125" t="s">
        <v>421</v>
      </c>
      <c r="D33" s="2126"/>
      <c r="E33" s="2126"/>
      <c r="F33" s="2126"/>
      <c r="G33" s="2126"/>
      <c r="H33" s="2127"/>
    </row>
    <row r="34" spans="2:8" ht="16.5" customHeight="1" thickBot="1">
      <c r="B34" s="111"/>
      <c r="C34" s="2128" t="s">
        <v>422</v>
      </c>
      <c r="D34" s="2129"/>
      <c r="E34" s="2129"/>
      <c r="F34" s="2129"/>
      <c r="G34" s="2129"/>
      <c r="H34" s="2130"/>
    </row>
    <row r="35" spans="2:8" ht="15.75">
      <c r="B35" s="111"/>
      <c r="C35" s="129"/>
      <c r="D35" s="130"/>
      <c r="E35" s="131"/>
      <c r="F35" s="131"/>
      <c r="G35" s="131"/>
      <c r="H35" s="132"/>
    </row>
    <row r="36" spans="2:8">
      <c r="B36" s="111"/>
      <c r="C36" s="114"/>
      <c r="D36" s="2118" t="s">
        <v>423</v>
      </c>
      <c r="E36" s="2095" t="s">
        <v>424</v>
      </c>
      <c r="F36" s="2095"/>
      <c r="G36" s="2119">
        <v>-1</v>
      </c>
      <c r="H36" s="115"/>
    </row>
    <row r="37" spans="2:8">
      <c r="B37" s="111"/>
      <c r="C37" s="114"/>
      <c r="D37" s="2118"/>
      <c r="E37" s="2090" t="s">
        <v>425</v>
      </c>
      <c r="F37" s="2090"/>
      <c r="G37" s="2119"/>
      <c r="H37" s="115"/>
    </row>
    <row r="38" spans="2:8" ht="15.75" thickBot="1">
      <c r="B38" s="111"/>
      <c r="C38" s="114"/>
      <c r="D38" s="116"/>
      <c r="E38" s="117"/>
      <c r="F38" s="127"/>
      <c r="H38" s="115"/>
    </row>
    <row r="39" spans="2:8" ht="16.5" thickBot="1">
      <c r="B39" s="111"/>
      <c r="C39" s="114"/>
      <c r="D39" s="2125" t="s">
        <v>432</v>
      </c>
      <c r="E39" s="2126"/>
      <c r="F39" s="2126"/>
      <c r="G39" s="2127"/>
      <c r="H39" s="115"/>
    </row>
    <row r="40" spans="2:8" ht="15.75" thickBot="1">
      <c r="C40" s="114"/>
      <c r="D40" s="139">
        <v>0.05</v>
      </c>
      <c r="E40" s="2116" t="s">
        <v>426</v>
      </c>
      <c r="F40" s="2116"/>
      <c r="G40" s="2117"/>
      <c r="H40" s="115"/>
    </row>
    <row r="41" spans="2:8" s="110" customFormat="1" ht="6" customHeight="1" thickBot="1">
      <c r="C41" s="119"/>
      <c r="D41" s="140"/>
      <c r="E41" s="141"/>
      <c r="F41" s="141"/>
      <c r="G41" s="141"/>
      <c r="H41" s="118"/>
    </row>
    <row r="42" spans="2:8" ht="13.15" customHeight="1" thickBot="1">
      <c r="C42" s="114"/>
      <c r="D42" s="142">
        <v>0.4</v>
      </c>
      <c r="E42" s="2116" t="s">
        <v>427</v>
      </c>
      <c r="F42" s="2116"/>
      <c r="G42" s="2117"/>
      <c r="H42" s="115"/>
    </row>
    <row r="43" spans="2:8" ht="13.15" customHeight="1" thickBot="1">
      <c r="C43" s="120"/>
      <c r="D43" s="121"/>
      <c r="E43" s="122"/>
      <c r="F43" s="128"/>
      <c r="G43" s="133"/>
      <c r="H43" s="134"/>
    </row>
    <row r="44" spans="2:8" ht="13.15" customHeight="1"/>
    <row r="45" spans="2:8" ht="21.6" customHeight="1"/>
    <row r="46" spans="2:8" ht="17.45" customHeight="1"/>
    <row r="47" spans="2:8" ht="26.45" customHeight="1"/>
  </sheetData>
  <mergeCells count="55">
    <mergeCell ref="G5:H5"/>
    <mergeCell ref="O13:Q13"/>
    <mergeCell ref="O19:Q19"/>
    <mergeCell ref="C7:H7"/>
    <mergeCell ref="C11:H11"/>
    <mergeCell ref="G17:H17"/>
    <mergeCell ref="G16:H16"/>
    <mergeCell ref="C19:H19"/>
    <mergeCell ref="G15:H15"/>
    <mergeCell ref="G18:H18"/>
    <mergeCell ref="C12:C13"/>
    <mergeCell ref="D16:F16"/>
    <mergeCell ref="D15:F15"/>
    <mergeCell ref="K13:M13"/>
    <mergeCell ref="G12:H12"/>
    <mergeCell ref="G13:H13"/>
    <mergeCell ref="E42:G42"/>
    <mergeCell ref="D36:D37"/>
    <mergeCell ref="G36:G37"/>
    <mergeCell ref="D26:F26"/>
    <mergeCell ref="D27:F27"/>
    <mergeCell ref="G26:H26"/>
    <mergeCell ref="G27:H27"/>
    <mergeCell ref="G32:H32"/>
    <mergeCell ref="C32:F32"/>
    <mergeCell ref="C33:H33"/>
    <mergeCell ref="C34:H34"/>
    <mergeCell ref="C28:H28"/>
    <mergeCell ref="C29:H29"/>
    <mergeCell ref="D39:G39"/>
    <mergeCell ref="E40:G40"/>
    <mergeCell ref="G30:H31"/>
    <mergeCell ref="G14:H14"/>
    <mergeCell ref="D12:F13"/>
    <mergeCell ref="D14:F14"/>
    <mergeCell ref="G24:H24"/>
    <mergeCell ref="G25:H25"/>
    <mergeCell ref="G21:H21"/>
    <mergeCell ref="G23:H23"/>
    <mergeCell ref="C30:F31"/>
    <mergeCell ref="E37:F37"/>
    <mergeCell ref="D9:F9"/>
    <mergeCell ref="D10:F10"/>
    <mergeCell ref="F5:F6"/>
    <mergeCell ref="C5:D6"/>
    <mergeCell ref="E36:F36"/>
    <mergeCell ref="D18:F18"/>
    <mergeCell ref="D17:F17"/>
    <mergeCell ref="D20:F20"/>
    <mergeCell ref="D21:F21"/>
    <mergeCell ref="D23:F23"/>
    <mergeCell ref="D24:F24"/>
    <mergeCell ref="D25:F25"/>
    <mergeCell ref="C22:H22"/>
    <mergeCell ref="G20:H20"/>
  </mergeCells>
  <dataValidations count="1">
    <dataValidation type="list" allowBlank="1" showInputMessage="1" showErrorMessage="1" sqref="E2">
      <formula1>$A$10:$A$11</formula1>
    </dataValidation>
  </dataValidations>
  <printOptions horizontalCentered="1"/>
  <pageMargins left="0.78740157480314965" right="0.19685039370078741" top="0.39370078740157483" bottom="0.78740157480314965" header="0.19685039370078741" footer="0.19685039370078741"/>
  <pageSetup paperSize="9" scale="57" fitToHeight="100" orientation="portrait" r:id="rId1"/>
  <headerFooter scaleWithDoc="0" alignWithMargins="0">
    <oddHeader>&amp;RPágina &amp;P de &amp;N</oddHeader>
  </headerFooter>
  <drawing r:id="rId2"/>
</worksheet>
</file>

<file path=xl/worksheets/sheet36.xml><?xml version="1.0" encoding="utf-8"?>
<worksheet xmlns="http://schemas.openxmlformats.org/spreadsheetml/2006/main" xmlns:r="http://schemas.openxmlformats.org/officeDocument/2006/relationships">
  <sheetPr>
    <tabColor rgb="FFFFCCFF"/>
    <pageSetUpPr fitToPage="1"/>
  </sheetPr>
  <dimension ref="A1:S42"/>
  <sheetViews>
    <sheetView view="pageBreakPreview" topLeftCell="G1" zoomScale="85" zoomScaleSheetLayoutView="85" workbookViewId="0">
      <selection activeCell="B9" sqref="B9:F9"/>
    </sheetView>
  </sheetViews>
  <sheetFormatPr defaultColWidth="9.140625" defaultRowHeight="12.75"/>
  <cols>
    <col min="1" max="4" width="9.140625" style="224"/>
    <col min="5" max="6" width="12.7109375" style="224" customWidth="1"/>
    <col min="7" max="7" width="75.7109375" style="224" customWidth="1"/>
    <col min="8" max="8" width="30.7109375" style="224" customWidth="1"/>
    <col min="9" max="9" width="12.85546875" style="224" customWidth="1"/>
    <col min="10" max="10" width="17.140625" style="224" customWidth="1"/>
    <col min="11" max="12" width="9.140625" style="224"/>
    <col min="13" max="13" width="13.140625" style="224" customWidth="1"/>
    <col min="14" max="16384" width="9.140625" style="224"/>
  </cols>
  <sheetData>
    <row r="1" spans="1:19" ht="21.6" customHeight="1" thickBot="1">
      <c r="B1" s="451"/>
      <c r="D1" s="452"/>
    </row>
    <row r="2" spans="1:19" ht="45.75" customHeight="1" thickTop="1">
      <c r="A2" s="453"/>
      <c r="B2" s="454" t="e">
        <f>1+I16/100+I18/100+I19/100+#REF!/100</f>
        <v>#REF!</v>
      </c>
      <c r="D2" s="452"/>
      <c r="F2" s="455" t="s">
        <v>5</v>
      </c>
      <c r="G2" s="456" t="s">
        <v>2708</v>
      </c>
    </row>
    <row r="3" spans="1:19" ht="13.5" thickBot="1">
      <c r="A3" s="453"/>
      <c r="B3" s="457">
        <f>1+I17/100</f>
        <v>1.0049999999999999</v>
      </c>
      <c r="D3" s="452"/>
    </row>
    <row r="4" spans="1:19" s="11" customFormat="1" ht="6.75" thickBot="1">
      <c r="D4" s="12"/>
      <c r="E4" s="13"/>
      <c r="F4" s="74"/>
      <c r="G4" s="76"/>
      <c r="H4" s="74"/>
      <c r="I4" s="75"/>
      <c r="J4" s="77"/>
      <c r="K4" s="17"/>
      <c r="L4" s="18"/>
    </row>
    <row r="5" spans="1:19" s="259" customFormat="1" ht="60" customHeight="1" thickBot="1">
      <c r="D5" s="19"/>
      <c r="E5" s="2213"/>
      <c r="F5" s="2214"/>
      <c r="G5" s="651" t="s">
        <v>2</v>
      </c>
      <c r="H5" s="2093"/>
      <c r="I5" s="1876" t="str">
        <f>'BDI '!G5</f>
        <v xml:space="preserve">Ref.: Tabela de Serviços
SINAPI (JAN/2023) 
e/ou composições PiniTCPO                                                                              
</v>
      </c>
      <c r="J5" s="2141"/>
      <c r="K5" s="20"/>
      <c r="L5" s="258"/>
    </row>
    <row r="6" spans="1:19" s="259" customFormat="1" ht="60" customHeight="1" thickBot="1">
      <c r="D6" s="2"/>
      <c r="E6" s="2215"/>
      <c r="F6" s="2216"/>
      <c r="G6" s="652" t="s">
        <v>3</v>
      </c>
      <c r="H6" s="2094"/>
      <c r="I6" s="662" t="s">
        <v>5</v>
      </c>
      <c r="J6" s="629">
        <f>'BDI '!H6</f>
        <v>0.26440000000000002</v>
      </c>
      <c r="K6" s="20"/>
      <c r="L6" s="258"/>
    </row>
    <row r="7" spans="1:19" s="259" customFormat="1" ht="27" customHeight="1" thickBot="1">
      <c r="D7" s="2"/>
      <c r="E7" s="2217"/>
      <c r="F7" s="2218"/>
      <c r="G7" s="2229" t="s">
        <v>2995</v>
      </c>
      <c r="H7" s="2230"/>
      <c r="I7" s="2219">
        <f>I31</f>
        <v>0.16800000000000001</v>
      </c>
      <c r="J7" s="2220"/>
      <c r="K7" s="20"/>
      <c r="L7" s="258"/>
    </row>
    <row r="8" spans="1:19" s="21" customFormat="1" ht="18.75" customHeight="1" thickBot="1">
      <c r="D8" s="22"/>
      <c r="E8" s="1586" t="s">
        <v>467</v>
      </c>
      <c r="F8" s="1587"/>
      <c r="G8" s="1587"/>
      <c r="H8" s="1587"/>
      <c r="I8" s="1587"/>
      <c r="J8" s="2160"/>
      <c r="K8" s="23"/>
      <c r="L8" s="24"/>
    </row>
    <row r="9" spans="1:19" s="11" customFormat="1" ht="6.75" thickBot="1">
      <c r="D9" s="12"/>
      <c r="E9" s="13"/>
      <c r="F9" s="14"/>
      <c r="G9" s="85"/>
      <c r="H9" s="14"/>
      <c r="I9" s="15"/>
      <c r="J9" s="16"/>
      <c r="K9" s="17"/>
      <c r="L9" s="18"/>
    </row>
    <row r="10" spans="1:19" s="21" customFormat="1" ht="18">
      <c r="D10" s="22"/>
      <c r="E10" s="123" t="s">
        <v>6</v>
      </c>
      <c r="F10" s="2162" t="str">
        <f>'BDI '!D9</f>
        <v xml:space="preserve">SISTEMA DE ABASTECIMENTO DE ÁGUA </v>
      </c>
      <c r="G10" s="2162"/>
      <c r="H10" s="2162"/>
      <c r="I10" s="84" t="s">
        <v>7</v>
      </c>
      <c r="J10" s="458">
        <f ca="1">'BDI '!H9</f>
        <v>45167</v>
      </c>
      <c r="K10" s="263"/>
      <c r="L10" s="24"/>
    </row>
    <row r="11" spans="1:19" s="21" customFormat="1" ht="18.75" thickBot="1">
      <c r="D11" s="22"/>
      <c r="E11" s="125" t="s">
        <v>8</v>
      </c>
      <c r="F11" s="2161" t="str">
        <f>'BDI '!D10</f>
        <v>SETOR PIONEIRO - MUNICÍPIO DE APIACÁS</v>
      </c>
      <c r="G11" s="2161"/>
      <c r="H11" s="2161"/>
      <c r="I11" s="650" t="str">
        <f>'ORÇAMENTO '!K12</f>
        <v>LEIS SOCIAIS:</v>
      </c>
      <c r="J11" s="459">
        <f>'BDI '!H10</f>
        <v>0.80449999999999999</v>
      </c>
      <c r="K11" s="267"/>
      <c r="L11" s="24"/>
    </row>
    <row r="12" spans="1:19" s="21" customFormat="1" ht="24" customHeight="1" thickBot="1">
      <c r="D12" s="22"/>
      <c r="E12" s="2145" t="s">
        <v>5</v>
      </c>
      <c r="F12" s="2146"/>
      <c r="G12" s="2146"/>
      <c r="H12" s="2146"/>
      <c r="I12" s="2146"/>
      <c r="J12" s="2147"/>
      <c r="K12" s="23"/>
      <c r="L12" s="24"/>
      <c r="M12" s="2204" t="s">
        <v>3109</v>
      </c>
      <c r="N12" s="2205"/>
      <c r="O12" s="2206"/>
    </row>
    <row r="13" spans="1:19" ht="16.5" customHeight="1" thickBot="1">
      <c r="D13" s="452"/>
      <c r="E13" s="2221" t="s">
        <v>11</v>
      </c>
      <c r="F13" s="2223" t="s">
        <v>407</v>
      </c>
      <c r="G13" s="2223"/>
      <c r="H13" s="2223"/>
      <c r="I13" s="2225" t="s">
        <v>408</v>
      </c>
      <c r="J13" s="2226"/>
      <c r="M13" s="2207"/>
      <c r="N13" s="2208"/>
      <c r="O13" s="2209"/>
    </row>
    <row r="14" spans="1:19" ht="16.5" thickBot="1">
      <c r="D14" s="452"/>
      <c r="E14" s="2222"/>
      <c r="F14" s="2224"/>
      <c r="G14" s="2224"/>
      <c r="H14" s="2224"/>
      <c r="I14" s="2227" t="s">
        <v>409</v>
      </c>
      <c r="J14" s="2228"/>
      <c r="M14" s="2210"/>
      <c r="N14" s="2211"/>
      <c r="O14" s="2212"/>
      <c r="P14" s="73"/>
      <c r="Q14" s="2142" t="s">
        <v>3110</v>
      </c>
      <c r="R14" s="2143"/>
      <c r="S14" s="2144"/>
    </row>
    <row r="15" spans="1:19" ht="15.75">
      <c r="D15" s="73">
        <f>1+I16/100+I18/100+I17/100</f>
        <v>1.0504999999999998</v>
      </c>
      <c r="E15" s="529">
        <v>1</v>
      </c>
      <c r="F15" s="2157" t="s">
        <v>410</v>
      </c>
      <c r="G15" s="2157"/>
      <c r="H15" s="2157"/>
      <c r="I15" s="2158">
        <f>I16+I17+I18+I19</f>
        <v>5.8999999999999995</v>
      </c>
      <c r="J15" s="2159"/>
      <c r="M15" s="523" t="s">
        <v>3101</v>
      </c>
      <c r="N15" s="524" t="s">
        <v>3102</v>
      </c>
      <c r="O15" s="525" t="s">
        <v>3103</v>
      </c>
      <c r="P15" s="73"/>
      <c r="Q15" s="519" t="s">
        <v>482</v>
      </c>
      <c r="R15" s="507"/>
      <c r="S15" s="508">
        <v>0.16869999999999999</v>
      </c>
    </row>
    <row r="16" spans="1:19" ht="15.75" customHeight="1" thickBot="1">
      <c r="D16" s="73">
        <f>1+I21/100</f>
        <v>1.0622</v>
      </c>
      <c r="E16" s="530" t="s">
        <v>179</v>
      </c>
      <c r="F16" s="2163" t="s">
        <v>428</v>
      </c>
      <c r="G16" s="2163"/>
      <c r="H16" s="2163"/>
      <c r="I16" s="2164">
        <v>3.7</v>
      </c>
      <c r="J16" s="2165"/>
      <c r="M16" s="513">
        <v>1.4999999999999999E-2</v>
      </c>
      <c r="N16" s="514">
        <v>3.4500000000000003E-2</v>
      </c>
      <c r="O16" s="515">
        <v>4.4900000000000002E-2</v>
      </c>
      <c r="P16" s="73"/>
      <c r="Q16" s="520" t="s">
        <v>483</v>
      </c>
      <c r="R16" s="521"/>
      <c r="S16" s="509">
        <v>0.11409999999999999</v>
      </c>
    </row>
    <row r="17" spans="4:19" ht="15.75" customHeight="1">
      <c r="D17" s="73">
        <f>1+I19/100</f>
        <v>1.0085</v>
      </c>
      <c r="E17" s="530" t="s">
        <v>180</v>
      </c>
      <c r="F17" s="2163" t="s">
        <v>3100</v>
      </c>
      <c r="G17" s="2163"/>
      <c r="H17" s="2163"/>
      <c r="I17" s="2164">
        <v>0.5</v>
      </c>
      <c r="J17" s="2165"/>
      <c r="M17" s="513">
        <v>3.0000000000000001E-3</v>
      </c>
      <c r="N17" s="514">
        <v>4.7999999999999996E-3</v>
      </c>
      <c r="O17" s="515">
        <v>8.199999999999999E-3</v>
      </c>
      <c r="P17" s="73"/>
      <c r="Q17" s="73"/>
      <c r="R17" s="73"/>
      <c r="S17" s="73"/>
    </row>
    <row r="18" spans="4:19" ht="15.75" customHeight="1">
      <c r="D18" s="73">
        <f>1-I24/100</f>
        <v>0.96350000000000002</v>
      </c>
      <c r="E18" s="530" t="s">
        <v>181</v>
      </c>
      <c r="F18" s="2163" t="s">
        <v>430</v>
      </c>
      <c r="G18" s="2163"/>
      <c r="H18" s="2163"/>
      <c r="I18" s="2164">
        <v>0.85</v>
      </c>
      <c r="J18" s="2165"/>
      <c r="M18" s="513">
        <v>5.6000000000000008E-3</v>
      </c>
      <c r="N18" s="514">
        <v>8.5000000000000006E-3</v>
      </c>
      <c r="O18" s="515">
        <v>8.8999999999999999E-3</v>
      </c>
      <c r="P18" s="73"/>
      <c r="Q18" s="73"/>
      <c r="R18" s="73"/>
      <c r="S18" s="73"/>
    </row>
    <row r="19" spans="4:19" ht="15" customHeight="1">
      <c r="D19" s="73">
        <f>D15*D16*D17/D18</f>
        <v>1.1679561487804875</v>
      </c>
      <c r="E19" s="530" t="s">
        <v>182</v>
      </c>
      <c r="F19" s="2163" t="s">
        <v>429</v>
      </c>
      <c r="G19" s="2163"/>
      <c r="H19" s="2163"/>
      <c r="I19" s="2164">
        <v>0.85</v>
      </c>
      <c r="J19" s="2165"/>
      <c r="M19" s="513">
        <v>8.5000000000000006E-3</v>
      </c>
      <c r="N19" s="514">
        <v>8.5000000000000006E-3</v>
      </c>
      <c r="O19" s="515">
        <v>1.11E-2</v>
      </c>
      <c r="P19" s="73"/>
      <c r="Q19" s="73"/>
      <c r="R19" s="73"/>
      <c r="S19" s="73"/>
    </row>
    <row r="20" spans="4:19" ht="15.75" customHeight="1" thickBot="1">
      <c r="D20" s="506">
        <f>D19-1</f>
        <v>0.16795614878048748</v>
      </c>
      <c r="E20" s="2169"/>
      <c r="F20" s="2170"/>
      <c r="G20" s="2170"/>
      <c r="H20" s="2170"/>
      <c r="I20" s="2170"/>
      <c r="J20" s="2171"/>
      <c r="L20" s="461"/>
      <c r="M20" s="73"/>
      <c r="N20" s="73"/>
      <c r="O20" s="73"/>
      <c r="P20" s="73"/>
    </row>
    <row r="21" spans="4:19" ht="15.75" customHeight="1" thickBot="1">
      <c r="D21" s="452"/>
      <c r="E21" s="462" t="s">
        <v>396</v>
      </c>
      <c r="F21" s="2172" t="s">
        <v>411</v>
      </c>
      <c r="G21" s="2172"/>
      <c r="H21" s="2172"/>
      <c r="I21" s="2173">
        <f>I22</f>
        <v>6.22</v>
      </c>
      <c r="J21" s="2174"/>
      <c r="M21" s="73"/>
      <c r="N21" s="73"/>
      <c r="O21" s="73"/>
      <c r="P21" s="73"/>
    </row>
    <row r="22" spans="4:19" ht="15.75" customHeight="1" thickBot="1">
      <c r="D22" s="452"/>
      <c r="E22" s="460" t="s">
        <v>385</v>
      </c>
      <c r="F22" s="2175" t="s">
        <v>431</v>
      </c>
      <c r="G22" s="2176"/>
      <c r="H22" s="2176"/>
      <c r="I22" s="2177">
        <v>6.22</v>
      </c>
      <c r="J22" s="2178"/>
      <c r="M22" s="526">
        <v>3.5000000000000003E-2</v>
      </c>
      <c r="N22" s="527">
        <v>5.1100000000000007E-2</v>
      </c>
      <c r="O22" s="528">
        <v>6.2199999999999998E-2</v>
      </c>
      <c r="P22" s="73"/>
    </row>
    <row r="23" spans="4:19" ht="15.75" customHeight="1" thickBot="1">
      <c r="D23" s="452"/>
      <c r="E23" s="2169"/>
      <c r="F23" s="2170"/>
      <c r="G23" s="2170"/>
      <c r="H23" s="2170"/>
      <c r="I23" s="2170"/>
      <c r="J23" s="2171"/>
      <c r="M23" s="73"/>
      <c r="N23" s="73"/>
      <c r="O23" s="73"/>
      <c r="P23" s="73"/>
    </row>
    <row r="24" spans="4:19" ht="15.75" customHeight="1">
      <c r="D24" s="452"/>
      <c r="E24" s="462" t="s">
        <v>384</v>
      </c>
      <c r="F24" s="2172" t="s">
        <v>412</v>
      </c>
      <c r="G24" s="2172"/>
      <c r="H24" s="2172"/>
      <c r="I24" s="2173">
        <f>I25+I26+I27+I28</f>
        <v>3.65</v>
      </c>
      <c r="J24" s="2174"/>
      <c r="M24" s="73"/>
      <c r="N24" s="73"/>
      <c r="O24" s="73"/>
      <c r="P24" s="73"/>
    </row>
    <row r="25" spans="4:19" ht="15">
      <c r="D25" s="452"/>
      <c r="E25" s="530" t="s">
        <v>380</v>
      </c>
      <c r="F25" s="2166" t="s">
        <v>413</v>
      </c>
      <c r="G25" s="2166"/>
      <c r="H25" s="2166"/>
      <c r="I25" s="2167">
        <v>0</v>
      </c>
      <c r="J25" s="2168"/>
    </row>
    <row r="26" spans="4:19" ht="15" customHeight="1">
      <c r="D26" s="452"/>
      <c r="E26" s="530" t="s">
        <v>381</v>
      </c>
      <c r="F26" s="2166" t="s">
        <v>414</v>
      </c>
      <c r="G26" s="2166"/>
      <c r="H26" s="2166"/>
      <c r="I26" s="2164">
        <v>3</v>
      </c>
      <c r="J26" s="2165"/>
    </row>
    <row r="27" spans="4:19" ht="15" customHeight="1">
      <c r="D27" s="452"/>
      <c r="E27" s="530" t="s">
        <v>382</v>
      </c>
      <c r="F27" s="2166" t="s">
        <v>415</v>
      </c>
      <c r="G27" s="2166"/>
      <c r="H27" s="2166"/>
      <c r="I27" s="2164">
        <v>0.65</v>
      </c>
      <c r="J27" s="2165"/>
    </row>
    <row r="28" spans="4:19" ht="15.75" customHeight="1" thickBot="1">
      <c r="D28" s="452"/>
      <c r="E28" s="460" t="s">
        <v>383</v>
      </c>
      <c r="F28" s="2179" t="s">
        <v>416</v>
      </c>
      <c r="G28" s="2179"/>
      <c r="H28" s="2179"/>
      <c r="I28" s="2177">
        <v>0</v>
      </c>
      <c r="J28" s="2178"/>
    </row>
    <row r="29" spans="4:19" ht="15.75" customHeight="1">
      <c r="D29" s="452"/>
      <c r="E29" s="2180" t="s">
        <v>417</v>
      </c>
      <c r="F29" s="2181"/>
      <c r="G29" s="2181"/>
      <c r="H29" s="2181"/>
      <c r="I29" s="2181"/>
      <c r="J29" s="2182"/>
    </row>
    <row r="30" spans="4:19" ht="26.25" customHeight="1" thickBot="1">
      <c r="D30" s="452"/>
      <c r="E30" s="2183" t="s">
        <v>418</v>
      </c>
      <c r="F30" s="2184"/>
      <c r="G30" s="2184"/>
      <c r="H30" s="2184"/>
      <c r="I30" s="2184"/>
      <c r="J30" s="2185"/>
    </row>
    <row r="31" spans="4:19" ht="19.5" customHeight="1">
      <c r="D31" s="452"/>
      <c r="E31" s="2186" t="s">
        <v>419</v>
      </c>
      <c r="F31" s="2187"/>
      <c r="G31" s="2187"/>
      <c r="H31" s="2187"/>
      <c r="I31" s="2137">
        <f>ROUND(D20,4)</f>
        <v>0.16800000000000001</v>
      </c>
      <c r="J31" s="2138"/>
    </row>
    <row r="32" spans="4:19" ht="20.25" customHeight="1" thickBot="1">
      <c r="D32" s="452"/>
      <c r="E32" s="2188"/>
      <c r="F32" s="2189"/>
      <c r="G32" s="2189"/>
      <c r="H32" s="2189"/>
      <c r="I32" s="2139"/>
      <c r="J32" s="2140"/>
    </row>
    <row r="33" spans="4:10" ht="15.75" customHeight="1" thickBot="1">
      <c r="D33" s="452"/>
      <c r="E33" s="2190" t="s">
        <v>420</v>
      </c>
      <c r="F33" s="2191"/>
      <c r="G33" s="2191"/>
      <c r="H33" s="2191"/>
      <c r="I33" s="2192">
        <f ca="1">'BDI '!G32</f>
        <v>3673638.97</v>
      </c>
      <c r="J33" s="2193"/>
    </row>
    <row r="34" spans="4:10" ht="15.75" customHeight="1" thickBot="1">
      <c r="D34" s="452"/>
      <c r="E34" s="2194" t="s">
        <v>421</v>
      </c>
      <c r="F34" s="2195"/>
      <c r="G34" s="2195"/>
      <c r="H34" s="2195"/>
      <c r="I34" s="2195"/>
      <c r="J34" s="2196"/>
    </row>
    <row r="35" spans="4:10" ht="16.5" customHeight="1" thickBot="1">
      <c r="D35" s="452"/>
      <c r="E35" s="2197" t="s">
        <v>422</v>
      </c>
      <c r="F35" s="2198"/>
      <c r="G35" s="2198"/>
      <c r="H35" s="2198"/>
      <c r="I35" s="2198"/>
      <c r="J35" s="2199"/>
    </row>
    <row r="36" spans="4:10" ht="15.75">
      <c r="D36" s="452"/>
      <c r="E36" s="463"/>
      <c r="F36" s="464"/>
      <c r="G36" s="465"/>
      <c r="H36" s="465"/>
      <c r="I36" s="465"/>
      <c r="J36" s="466"/>
    </row>
    <row r="37" spans="4:10">
      <c r="D37" s="452"/>
      <c r="E37" s="399"/>
      <c r="F37" s="2200" t="s">
        <v>423</v>
      </c>
      <c r="G37" s="2201" t="s">
        <v>424</v>
      </c>
      <c r="H37" s="2201"/>
      <c r="I37" s="2202">
        <v>-1</v>
      </c>
      <c r="J37" s="400"/>
    </row>
    <row r="38" spans="4:10">
      <c r="D38" s="452"/>
      <c r="E38" s="399"/>
      <c r="F38" s="2200"/>
      <c r="G38" s="2203" t="s">
        <v>425</v>
      </c>
      <c r="H38" s="2203"/>
      <c r="I38" s="2202"/>
      <c r="J38" s="400"/>
    </row>
    <row r="39" spans="4:10" ht="15.75" thickBot="1">
      <c r="D39" s="452"/>
      <c r="E39" s="467"/>
      <c r="F39" s="531"/>
      <c r="G39" s="532"/>
      <c r="H39" s="468"/>
      <c r="I39" s="469"/>
      <c r="J39" s="470"/>
    </row>
    <row r="40" spans="4:10" ht="21.6" customHeight="1"/>
    <row r="41" spans="4:10" ht="17.45" customHeight="1"/>
    <row r="42" spans="4:10" ht="26.45" customHeight="1"/>
  </sheetData>
  <mergeCells count="53">
    <mergeCell ref="Q14:S14"/>
    <mergeCell ref="M12:O14"/>
    <mergeCell ref="E5:F7"/>
    <mergeCell ref="I7:J7"/>
    <mergeCell ref="E13:E14"/>
    <mergeCell ref="F13:H14"/>
    <mergeCell ref="I13:J13"/>
    <mergeCell ref="I14:J14"/>
    <mergeCell ref="I5:J5"/>
    <mergeCell ref="G7:H7"/>
    <mergeCell ref="H5:H6"/>
    <mergeCell ref="E34:J34"/>
    <mergeCell ref="E35:J35"/>
    <mergeCell ref="F37:F38"/>
    <mergeCell ref="G37:H37"/>
    <mergeCell ref="I37:I38"/>
    <mergeCell ref="G38:H38"/>
    <mergeCell ref="E29:J29"/>
    <mergeCell ref="E30:J30"/>
    <mergeCell ref="E31:H32"/>
    <mergeCell ref="I31:J32"/>
    <mergeCell ref="E33:H33"/>
    <mergeCell ref="I33:J33"/>
    <mergeCell ref="F26:H26"/>
    <mergeCell ref="I26:J26"/>
    <mergeCell ref="F27:H27"/>
    <mergeCell ref="I27:J27"/>
    <mergeCell ref="F28:H28"/>
    <mergeCell ref="I28:J28"/>
    <mergeCell ref="F25:H25"/>
    <mergeCell ref="I25:J25"/>
    <mergeCell ref="F19:H19"/>
    <mergeCell ref="I19:J19"/>
    <mergeCell ref="E20:J20"/>
    <mergeCell ref="F21:H21"/>
    <mergeCell ref="I21:J21"/>
    <mergeCell ref="F22:H22"/>
    <mergeCell ref="I22:J22"/>
    <mergeCell ref="E23:J23"/>
    <mergeCell ref="F24:H24"/>
    <mergeCell ref="I24:J24"/>
    <mergeCell ref="F16:H16"/>
    <mergeCell ref="I16:J16"/>
    <mergeCell ref="F17:H17"/>
    <mergeCell ref="I17:J17"/>
    <mergeCell ref="F18:H18"/>
    <mergeCell ref="I18:J18"/>
    <mergeCell ref="F15:H15"/>
    <mergeCell ref="I15:J15"/>
    <mergeCell ref="E8:J8"/>
    <mergeCell ref="E12:J12"/>
    <mergeCell ref="F11:H11"/>
    <mergeCell ref="F10:H10"/>
  </mergeCells>
  <dataValidations disablePrompts="1" count="1">
    <dataValidation type="list" allowBlank="1" showInputMessage="1" showErrorMessage="1" sqref="G2">
      <formula1>$O$16:$O$17</formula1>
    </dataValidation>
  </dataValidations>
  <printOptions horizontalCentered="1"/>
  <pageMargins left="0.78740157480314965" right="0.19685039370078741" top="0.39370078740157483" bottom="0.78740157480314965" header="0.19685039370078741" footer="0.19685039370078741"/>
  <pageSetup paperSize="9" scale="57" orientation="portrait" r:id="rId1"/>
  <headerFooter scaleWithDoc="0" alignWithMargins="0">
    <oddHeader>&amp;RPágina &amp;P de &amp;N</oddHeader>
  </headerFooter>
  <drawing r:id="rId2"/>
</worksheet>
</file>

<file path=xl/worksheets/sheet37.xml><?xml version="1.0" encoding="utf-8"?>
<worksheet xmlns="http://schemas.openxmlformats.org/spreadsheetml/2006/main" xmlns:r="http://schemas.openxmlformats.org/officeDocument/2006/relationships">
  <sheetPr codeName="Planilha22">
    <pageSetUpPr fitToPage="1"/>
  </sheetPr>
  <dimension ref="B1:J46"/>
  <sheetViews>
    <sheetView view="pageBreakPreview" topLeftCell="A52" zoomScale="85" zoomScaleNormal="70" zoomScaleSheetLayoutView="85" workbookViewId="0">
      <selection activeCell="B9" sqref="B9:F9"/>
    </sheetView>
  </sheetViews>
  <sheetFormatPr defaultColWidth="45.140625" defaultRowHeight="15"/>
  <cols>
    <col min="1" max="1" width="14" style="220" customWidth="1"/>
    <col min="2" max="2" width="19.42578125" style="220" customWidth="1"/>
    <col min="3" max="3" width="26.85546875" style="257" customWidth="1"/>
    <col min="4" max="4" width="71.28515625" style="220" customWidth="1"/>
    <col min="5" max="8" width="15.7109375" style="220" customWidth="1"/>
    <col min="9" max="16384" width="45.140625" style="220"/>
  </cols>
  <sheetData>
    <row r="1" spans="2:10" ht="15.75" thickBot="1"/>
    <row r="2" spans="2:10" s="11" customFormat="1" ht="6.75" thickBot="1">
      <c r="B2" s="12"/>
      <c r="C2" s="624"/>
      <c r="D2" s="74"/>
      <c r="E2" s="76"/>
      <c r="F2" s="74"/>
      <c r="G2" s="75"/>
      <c r="H2" s="75"/>
      <c r="I2" s="17"/>
      <c r="J2" s="18"/>
    </row>
    <row r="3" spans="2:10" s="259" customFormat="1" ht="60" customHeight="1" thickBot="1">
      <c r="B3" s="19"/>
      <c r="C3" s="2246"/>
      <c r="D3" s="648" t="s">
        <v>2</v>
      </c>
      <c r="E3" s="2248"/>
      <c r="F3" s="2249"/>
      <c r="G3" s="2236" t="str">
        <f>'ORÇAMENTO '!L5</f>
        <v xml:space="preserve">Ref.: Tabela de Serviços
SINAPI (JAN/2023) 
e/ou composições PiniTCPO                                                                              
</v>
      </c>
      <c r="H3" s="2237"/>
      <c r="I3" s="20"/>
      <c r="J3" s="258"/>
    </row>
    <row r="4" spans="2:10" s="259" customFormat="1" ht="60" customHeight="1" thickBot="1">
      <c r="B4" s="2"/>
      <c r="C4" s="2247"/>
      <c r="D4" s="653" t="s">
        <v>3</v>
      </c>
      <c r="E4" s="2250"/>
      <c r="F4" s="2251"/>
      <c r="G4" s="630" t="s">
        <v>5</v>
      </c>
      <c r="H4" s="631">
        <f>'BDI '!G30</f>
        <v>0.26440000000000002</v>
      </c>
      <c r="I4" s="20"/>
      <c r="J4" s="258"/>
    </row>
    <row r="5" spans="2:10" s="21" customFormat="1" ht="18.75" thickBot="1">
      <c r="B5" s="22"/>
      <c r="C5" s="2238" t="str">
        <f>'BDI DIF'!E8</f>
        <v>C O O R D E N A Ç Ã O   D E   P R O J E T O S</v>
      </c>
      <c r="D5" s="1587"/>
      <c r="E5" s="1587"/>
      <c r="F5" s="1587"/>
      <c r="G5" s="1588"/>
      <c r="H5" s="1589"/>
      <c r="I5" s="23"/>
      <c r="J5" s="24"/>
    </row>
    <row r="6" spans="2:10" s="11" customFormat="1" ht="6.75" thickBot="1">
      <c r="B6" s="12"/>
      <c r="C6" s="13"/>
      <c r="D6" s="14"/>
      <c r="E6" s="85"/>
      <c r="F6" s="14"/>
      <c r="G6" s="15"/>
      <c r="H6" s="16"/>
      <c r="I6" s="17"/>
      <c r="J6" s="18"/>
    </row>
    <row r="7" spans="2:10" s="21" customFormat="1" ht="20.100000000000001" customHeight="1">
      <c r="B7" s="22"/>
      <c r="C7" s="260" t="s">
        <v>6</v>
      </c>
      <c r="D7" s="2252" t="str">
        <f>'ORÇAMENTO '!G11</f>
        <v xml:space="preserve">SISTEMA DE ABASTECIMENTO DE ÁGUA </v>
      </c>
      <c r="E7" s="2252"/>
      <c r="F7" s="2252"/>
      <c r="G7" s="261" t="s">
        <v>7</v>
      </c>
      <c r="H7" s="262">
        <f ca="1">'ORÇAMENTO '!M11</f>
        <v>45167</v>
      </c>
      <c r="I7" s="263"/>
      <c r="J7" s="24"/>
    </row>
    <row r="8" spans="2:10" s="21" customFormat="1" ht="20.100000000000001" customHeight="1" thickBot="1">
      <c r="B8" s="22"/>
      <c r="C8" s="264" t="s">
        <v>8</v>
      </c>
      <c r="D8" s="2161" t="str">
        <f>'ORÇAMENTO '!G12</f>
        <v>SETOR PIONEIRO - MUNICÍPIO DE APIACÁS</v>
      </c>
      <c r="E8" s="2161"/>
      <c r="F8" s="2161"/>
      <c r="G8" s="265" t="s">
        <v>9</v>
      </c>
      <c r="H8" s="266">
        <f>'ORÇAMENTO '!M12</f>
        <v>0.80449999999999999</v>
      </c>
      <c r="I8" s="267"/>
      <c r="J8" s="24"/>
    </row>
    <row r="9" spans="2:10" ht="20.25">
      <c r="C9" s="2239" t="s">
        <v>13980</v>
      </c>
      <c r="D9" s="2240"/>
      <c r="E9" s="2240"/>
      <c r="F9" s="2240"/>
      <c r="G9" s="2240"/>
      <c r="H9" s="2241"/>
    </row>
    <row r="10" spans="2:10" ht="15.75">
      <c r="C10" s="2242" t="s">
        <v>12</v>
      </c>
      <c r="D10" s="2243" t="s">
        <v>481</v>
      </c>
      <c r="E10" s="2244" t="s">
        <v>482</v>
      </c>
      <c r="F10" s="2244"/>
      <c r="G10" s="2244" t="s">
        <v>483</v>
      </c>
      <c r="H10" s="2245"/>
    </row>
    <row r="11" spans="2:10" ht="31.5">
      <c r="C11" s="2242"/>
      <c r="D11" s="2243"/>
      <c r="E11" s="1173" t="s">
        <v>484</v>
      </c>
      <c r="F11" s="1173" t="s">
        <v>485</v>
      </c>
      <c r="G11" s="1173" t="s">
        <v>484</v>
      </c>
      <c r="H11" s="495" t="s">
        <v>485</v>
      </c>
    </row>
    <row r="12" spans="2:10" ht="21" customHeight="1">
      <c r="C12" s="2231" t="s">
        <v>486</v>
      </c>
      <c r="D12" s="2232"/>
      <c r="E12" s="2232"/>
      <c r="F12" s="2232"/>
      <c r="G12" s="2232"/>
      <c r="H12" s="2233"/>
    </row>
    <row r="13" spans="2:10" ht="21" customHeight="1">
      <c r="C13" s="496" t="s">
        <v>487</v>
      </c>
      <c r="D13" s="268" t="s">
        <v>488</v>
      </c>
      <c r="E13" s="269">
        <v>0</v>
      </c>
      <c r="F13" s="269">
        <v>0</v>
      </c>
      <c r="G13" s="269">
        <v>0.2</v>
      </c>
      <c r="H13" s="362">
        <v>0.2</v>
      </c>
    </row>
    <row r="14" spans="2:10" ht="21" customHeight="1">
      <c r="C14" s="497" t="s">
        <v>489</v>
      </c>
      <c r="D14" s="270" t="s">
        <v>490</v>
      </c>
      <c r="E14" s="271">
        <v>1.4999999999999999E-2</v>
      </c>
      <c r="F14" s="271">
        <v>1.4999999999999999E-2</v>
      </c>
      <c r="G14" s="271">
        <v>1.4999999999999999E-2</v>
      </c>
      <c r="H14" s="361">
        <v>1.4999999999999999E-2</v>
      </c>
    </row>
    <row r="15" spans="2:10" ht="21" customHeight="1">
      <c r="C15" s="496" t="s">
        <v>491</v>
      </c>
      <c r="D15" s="272" t="s">
        <v>492</v>
      </c>
      <c r="E15" s="269">
        <v>0.01</v>
      </c>
      <c r="F15" s="269">
        <v>0.01</v>
      </c>
      <c r="G15" s="269">
        <v>0.01</v>
      </c>
      <c r="H15" s="362">
        <v>0.01</v>
      </c>
    </row>
    <row r="16" spans="2:10" ht="21" customHeight="1">
      <c r="C16" s="497" t="s">
        <v>493</v>
      </c>
      <c r="D16" s="273" t="s">
        <v>494</v>
      </c>
      <c r="E16" s="271">
        <v>2E-3</v>
      </c>
      <c r="F16" s="271">
        <v>2E-3</v>
      </c>
      <c r="G16" s="271">
        <v>2E-3</v>
      </c>
      <c r="H16" s="361">
        <v>2E-3</v>
      </c>
    </row>
    <row r="17" spans="3:8" ht="21" customHeight="1">
      <c r="C17" s="496" t="s">
        <v>495</v>
      </c>
      <c r="D17" s="268" t="s">
        <v>496</v>
      </c>
      <c r="E17" s="274">
        <v>6.0000000000000001E-3</v>
      </c>
      <c r="F17" s="274">
        <v>6.0000000000000001E-3</v>
      </c>
      <c r="G17" s="274">
        <v>6.0000000000000001E-3</v>
      </c>
      <c r="H17" s="359">
        <v>6.0000000000000001E-3</v>
      </c>
    </row>
    <row r="18" spans="3:8" ht="21" customHeight="1">
      <c r="C18" s="497" t="s">
        <v>497</v>
      </c>
      <c r="D18" s="273" t="s">
        <v>498</v>
      </c>
      <c r="E18" s="271">
        <v>2.5000000000000001E-2</v>
      </c>
      <c r="F18" s="271">
        <v>2.5000000000000001E-2</v>
      </c>
      <c r="G18" s="271">
        <v>2.5000000000000001E-2</v>
      </c>
      <c r="H18" s="361">
        <v>2.5000000000000001E-2</v>
      </c>
    </row>
    <row r="19" spans="3:8" ht="21" customHeight="1">
      <c r="C19" s="496" t="s">
        <v>499</v>
      </c>
      <c r="D19" s="268" t="s">
        <v>500</v>
      </c>
      <c r="E19" s="269">
        <v>0.03</v>
      </c>
      <c r="F19" s="269">
        <v>0.03</v>
      </c>
      <c r="G19" s="269">
        <v>0.03</v>
      </c>
      <c r="H19" s="362">
        <v>0.03</v>
      </c>
    </row>
    <row r="20" spans="3:8" ht="21" customHeight="1">
      <c r="C20" s="497" t="s">
        <v>501</v>
      </c>
      <c r="D20" s="273" t="s">
        <v>502</v>
      </c>
      <c r="E20" s="275">
        <v>0.08</v>
      </c>
      <c r="F20" s="275">
        <v>0.08</v>
      </c>
      <c r="G20" s="275">
        <v>0.08</v>
      </c>
      <c r="H20" s="360">
        <v>0.08</v>
      </c>
    </row>
    <row r="21" spans="3:8" ht="21" customHeight="1">
      <c r="C21" s="496" t="s">
        <v>503</v>
      </c>
      <c r="D21" s="268" t="s">
        <v>504</v>
      </c>
      <c r="E21" s="269">
        <v>0</v>
      </c>
      <c r="F21" s="269">
        <v>0</v>
      </c>
      <c r="G21" s="269">
        <v>0</v>
      </c>
      <c r="H21" s="362">
        <v>0</v>
      </c>
    </row>
    <row r="22" spans="3:8" ht="21" customHeight="1">
      <c r="C22" s="498" t="s">
        <v>505</v>
      </c>
      <c r="D22" s="276" t="s">
        <v>190</v>
      </c>
      <c r="E22" s="277">
        <f>SUM(E13:E21)</f>
        <v>0.16799999999999998</v>
      </c>
      <c r="F22" s="277">
        <f>SUM(F13:F21)</f>
        <v>0.16799999999999998</v>
      </c>
      <c r="G22" s="277">
        <f>SUM(G13:G21)</f>
        <v>0.36800000000000005</v>
      </c>
      <c r="H22" s="499">
        <f>SUM(H13:H21)</f>
        <v>0.36800000000000005</v>
      </c>
    </row>
    <row r="23" spans="3:8" ht="21" customHeight="1">
      <c r="C23" s="2231" t="s">
        <v>506</v>
      </c>
      <c r="D23" s="2232"/>
      <c r="E23" s="2232"/>
      <c r="F23" s="2232"/>
      <c r="G23" s="2232"/>
      <c r="H23" s="2233"/>
    </row>
    <row r="24" spans="3:8" ht="21" customHeight="1">
      <c r="C24" s="500" t="s">
        <v>507</v>
      </c>
      <c r="D24" s="268" t="s">
        <v>508</v>
      </c>
      <c r="E24" s="274">
        <v>0.17780000000000001</v>
      </c>
      <c r="F24" s="274" t="s">
        <v>509</v>
      </c>
      <c r="G24" s="274">
        <v>0.17780000000000001</v>
      </c>
      <c r="H24" s="359" t="s">
        <v>509</v>
      </c>
    </row>
    <row r="25" spans="3:8" ht="21" customHeight="1">
      <c r="C25" s="501" t="s">
        <v>510</v>
      </c>
      <c r="D25" s="273" t="s">
        <v>511</v>
      </c>
      <c r="E25" s="275">
        <v>3.6700000000000003E-2</v>
      </c>
      <c r="F25" s="275" t="s">
        <v>509</v>
      </c>
      <c r="G25" s="275">
        <v>3.6700000000000003E-2</v>
      </c>
      <c r="H25" s="360" t="s">
        <v>509</v>
      </c>
    </row>
    <row r="26" spans="3:8" ht="21" customHeight="1">
      <c r="C26" s="500" t="s">
        <v>512</v>
      </c>
      <c r="D26" s="268" t="s">
        <v>513</v>
      </c>
      <c r="E26" s="274">
        <v>8.8000000000000005E-3</v>
      </c>
      <c r="F26" s="274">
        <v>6.6E-3</v>
      </c>
      <c r="G26" s="274">
        <v>8.8000000000000005E-3</v>
      </c>
      <c r="H26" s="359">
        <v>6.6E-3</v>
      </c>
    </row>
    <row r="27" spans="3:8" ht="21" customHeight="1">
      <c r="C27" s="501" t="s">
        <v>514</v>
      </c>
      <c r="D27" s="273" t="s">
        <v>515</v>
      </c>
      <c r="E27" s="275">
        <v>0.1118</v>
      </c>
      <c r="F27" s="275">
        <v>8.3299999999999999E-2</v>
      </c>
      <c r="G27" s="275">
        <v>0.1118</v>
      </c>
      <c r="H27" s="360">
        <v>8.3299999999999999E-2</v>
      </c>
    </row>
    <row r="28" spans="3:8" ht="21" customHeight="1">
      <c r="C28" s="500" t="s">
        <v>516</v>
      </c>
      <c r="D28" s="268" t="s">
        <v>517</v>
      </c>
      <c r="E28" s="274">
        <v>6.9999999999999999E-4</v>
      </c>
      <c r="F28" s="274">
        <v>5.0000000000000001E-4</v>
      </c>
      <c r="G28" s="274">
        <v>6.9999999999999999E-4</v>
      </c>
      <c r="H28" s="359">
        <v>5.0000000000000001E-4</v>
      </c>
    </row>
    <row r="29" spans="3:8" ht="21" customHeight="1">
      <c r="C29" s="501" t="s">
        <v>518</v>
      </c>
      <c r="D29" s="273" t="s">
        <v>519</v>
      </c>
      <c r="E29" s="275">
        <v>7.4999999999999997E-3</v>
      </c>
      <c r="F29" s="275">
        <v>5.5999999999999999E-3</v>
      </c>
      <c r="G29" s="275">
        <v>7.4999999999999997E-3</v>
      </c>
      <c r="H29" s="360">
        <v>5.5999999999999999E-3</v>
      </c>
    </row>
    <row r="30" spans="3:8" ht="21" customHeight="1">
      <c r="C30" s="500" t="s">
        <v>520</v>
      </c>
      <c r="D30" s="268" t="s">
        <v>521</v>
      </c>
      <c r="E30" s="269">
        <v>1.18E-2</v>
      </c>
      <c r="F30" s="274" t="s">
        <v>509</v>
      </c>
      <c r="G30" s="269">
        <v>1.18E-2</v>
      </c>
      <c r="H30" s="359" t="s">
        <v>509</v>
      </c>
    </row>
    <row r="31" spans="3:8" ht="21" customHeight="1">
      <c r="C31" s="501" t="s">
        <v>522</v>
      </c>
      <c r="D31" s="273" t="s">
        <v>523</v>
      </c>
      <c r="E31" s="271">
        <v>1.1000000000000001E-3</v>
      </c>
      <c r="F31" s="275">
        <v>8.0000000000000004E-4</v>
      </c>
      <c r="G31" s="271">
        <v>1.1000000000000001E-3</v>
      </c>
      <c r="H31" s="360">
        <v>8.0000000000000004E-4</v>
      </c>
    </row>
    <row r="32" spans="3:8" ht="21" customHeight="1">
      <c r="C32" s="500" t="s">
        <v>524</v>
      </c>
      <c r="D32" s="268" t="s">
        <v>525</v>
      </c>
      <c r="E32" s="274">
        <v>0</v>
      </c>
      <c r="F32" s="274">
        <v>0</v>
      </c>
      <c r="G32" s="274">
        <v>0</v>
      </c>
      <c r="H32" s="359">
        <v>0</v>
      </c>
    </row>
    <row r="33" spans="3:8" ht="21" customHeight="1">
      <c r="C33" s="501" t="s">
        <v>526</v>
      </c>
      <c r="D33" s="273" t="s">
        <v>527</v>
      </c>
      <c r="E33" s="271">
        <v>4.0000000000000002E-4</v>
      </c>
      <c r="F33" s="271">
        <v>2.9999999999999997E-4</v>
      </c>
      <c r="G33" s="271">
        <v>4.0000000000000002E-4</v>
      </c>
      <c r="H33" s="361">
        <v>2.9999999999999997E-4</v>
      </c>
    </row>
    <row r="34" spans="3:8" ht="21" customHeight="1">
      <c r="C34" s="502" t="s">
        <v>528</v>
      </c>
      <c r="D34" s="1173" t="s">
        <v>190</v>
      </c>
      <c r="E34" s="278">
        <f>SUM(E24:E33)</f>
        <v>0.35659999999999997</v>
      </c>
      <c r="F34" s="278">
        <f>SUM(F24:F33)</f>
        <v>9.7099999999999978E-2</v>
      </c>
      <c r="G34" s="278">
        <f>SUM(G24:G33)</f>
        <v>0.35659999999999997</v>
      </c>
      <c r="H34" s="503">
        <f>SUM(H24:H33)</f>
        <v>9.7099999999999978E-2</v>
      </c>
    </row>
    <row r="35" spans="3:8" ht="21" customHeight="1">
      <c r="C35" s="2231" t="s">
        <v>529</v>
      </c>
      <c r="D35" s="2232"/>
      <c r="E35" s="2232"/>
      <c r="F35" s="2232"/>
      <c r="G35" s="2232"/>
      <c r="H35" s="2233"/>
    </row>
    <row r="36" spans="3:8" ht="21" customHeight="1">
      <c r="C36" s="496" t="s">
        <v>530</v>
      </c>
      <c r="D36" s="268" t="s">
        <v>531</v>
      </c>
      <c r="E36" s="274">
        <v>6.0999999999999999E-2</v>
      </c>
      <c r="F36" s="274">
        <v>4.5499999999999999E-2</v>
      </c>
      <c r="G36" s="274">
        <v>6.0999999999999999E-2</v>
      </c>
      <c r="H36" s="359">
        <v>4.5499999999999999E-2</v>
      </c>
    </row>
    <row r="37" spans="3:8" ht="21" customHeight="1">
      <c r="C37" s="497" t="s">
        <v>532</v>
      </c>
      <c r="D37" s="273" t="s">
        <v>533</v>
      </c>
      <c r="E37" s="271">
        <v>1.4E-3</v>
      </c>
      <c r="F37" s="271">
        <v>1.1000000000000001E-3</v>
      </c>
      <c r="G37" s="271">
        <v>1.4E-3</v>
      </c>
      <c r="H37" s="361">
        <v>1.1000000000000001E-3</v>
      </c>
    </row>
    <row r="38" spans="3:8" ht="21" customHeight="1">
      <c r="C38" s="496" t="s">
        <v>534</v>
      </c>
      <c r="D38" s="268" t="s">
        <v>535</v>
      </c>
      <c r="E38" s="274">
        <v>0.12180000000000001</v>
      </c>
      <c r="F38" s="269">
        <v>9.06E-2</v>
      </c>
      <c r="G38" s="274">
        <v>0.1215</v>
      </c>
      <c r="H38" s="362">
        <v>9.06E-2</v>
      </c>
    </row>
    <row r="39" spans="3:8" ht="21" customHeight="1">
      <c r="C39" s="497" t="s">
        <v>536</v>
      </c>
      <c r="D39" s="273" t="s">
        <v>537</v>
      </c>
      <c r="E39" s="275">
        <v>2.5600000000000001E-2</v>
      </c>
      <c r="F39" s="275">
        <v>1.9099999999999999E-2</v>
      </c>
      <c r="G39" s="275">
        <v>2.5600000000000001E-2</v>
      </c>
      <c r="H39" s="360">
        <v>1.9099999999999999E-2</v>
      </c>
    </row>
    <row r="40" spans="3:8" ht="21" customHeight="1">
      <c r="C40" s="496" t="s">
        <v>538</v>
      </c>
      <c r="D40" s="268" t="s">
        <v>539</v>
      </c>
      <c r="E40" s="269">
        <v>5.1000000000000004E-3</v>
      </c>
      <c r="F40" s="269">
        <v>3.8E-3</v>
      </c>
      <c r="G40" s="269">
        <v>5.1000000000000004E-3</v>
      </c>
      <c r="H40" s="362">
        <v>3.8E-3</v>
      </c>
    </row>
    <row r="41" spans="3:8" ht="21" customHeight="1">
      <c r="C41" s="498" t="s">
        <v>540</v>
      </c>
      <c r="D41" s="276" t="s">
        <v>190</v>
      </c>
      <c r="E41" s="277">
        <f>SUM(E36:E40)</f>
        <v>0.21490000000000001</v>
      </c>
      <c r="F41" s="277">
        <f>SUM(F36:F40)</f>
        <v>0.16009999999999999</v>
      </c>
      <c r="G41" s="277">
        <f>SUM(G36:G40)</f>
        <v>0.21460000000000001</v>
      </c>
      <c r="H41" s="499">
        <f>SUM(H36:H40)</f>
        <v>0.16009999999999999</v>
      </c>
    </row>
    <row r="42" spans="3:8" ht="21" customHeight="1">
      <c r="C42" s="2231" t="s">
        <v>541</v>
      </c>
      <c r="D42" s="2232"/>
      <c r="E42" s="2232"/>
      <c r="F42" s="2232"/>
      <c r="G42" s="2232"/>
      <c r="H42" s="2233"/>
    </row>
    <row r="43" spans="3:8" ht="21" customHeight="1">
      <c r="C43" s="500" t="s">
        <v>542</v>
      </c>
      <c r="D43" s="268" t="s">
        <v>543</v>
      </c>
      <c r="E43" s="274">
        <v>5.9900000000000002E-2</v>
      </c>
      <c r="F43" s="274">
        <v>1.6299999999999999E-2</v>
      </c>
      <c r="G43" s="274">
        <v>0.13120000000000001</v>
      </c>
      <c r="H43" s="359">
        <v>3.5700000000000003E-2</v>
      </c>
    </row>
    <row r="44" spans="3:8" ht="45">
      <c r="C44" s="497" t="s">
        <v>544</v>
      </c>
      <c r="D44" s="270" t="s">
        <v>545</v>
      </c>
      <c r="E44" s="271">
        <v>5.1000000000000004E-3</v>
      </c>
      <c r="F44" s="271">
        <v>3.8E-3</v>
      </c>
      <c r="G44" s="271">
        <v>5.4000000000000003E-3</v>
      </c>
      <c r="H44" s="361">
        <v>4.0000000000000001E-3</v>
      </c>
    </row>
    <row r="45" spans="3:8" ht="15.75">
      <c r="C45" s="502" t="s">
        <v>546</v>
      </c>
      <c r="D45" s="1173" t="s">
        <v>190</v>
      </c>
      <c r="E45" s="278">
        <f>SUM(E43:E44)</f>
        <v>6.5000000000000002E-2</v>
      </c>
      <c r="F45" s="278">
        <f>SUM(F43:F44)</f>
        <v>2.01E-2</v>
      </c>
      <c r="G45" s="278">
        <f>SUM(G43:G44)</f>
        <v>0.1366</v>
      </c>
      <c r="H45" s="503">
        <f>SUM(H43:H44)</f>
        <v>3.9699999999999999E-2</v>
      </c>
    </row>
    <row r="46" spans="3:8" ht="16.5" thickBot="1">
      <c r="C46" s="2234"/>
      <c r="D46" s="2235"/>
      <c r="E46" s="504">
        <f>E22+E34+E41+E45</f>
        <v>0.80449999999999999</v>
      </c>
      <c r="F46" s="504">
        <f>F22+F34+F41+F45</f>
        <v>0.44529999999999992</v>
      </c>
      <c r="G46" s="504">
        <f>G22+G34+G41+G45</f>
        <v>1.0758000000000001</v>
      </c>
      <c r="H46" s="505">
        <f>H22+H34+H41+H45</f>
        <v>0.66489999999999994</v>
      </c>
    </row>
  </sheetData>
  <mergeCells count="16">
    <mergeCell ref="G3:H3"/>
    <mergeCell ref="C5:H5"/>
    <mergeCell ref="C9:H9"/>
    <mergeCell ref="C10:C11"/>
    <mergeCell ref="D10:D11"/>
    <mergeCell ref="E10:F10"/>
    <mergeCell ref="G10:H10"/>
    <mergeCell ref="C3:C4"/>
    <mergeCell ref="E3:F4"/>
    <mergeCell ref="D7:F7"/>
    <mergeCell ref="D8:F8"/>
    <mergeCell ref="C12:H12"/>
    <mergeCell ref="C23:H23"/>
    <mergeCell ref="C35:H35"/>
    <mergeCell ref="C42:H42"/>
    <mergeCell ref="C46:D46"/>
  </mergeCells>
  <pageMargins left="0.78740157480314965" right="0.19685039370078741" top="0.39370078740157483" bottom="0.78740157480314965" header="0.19685039370078741" footer="0.31496062992125984"/>
  <pageSetup paperSize="9" scale="57" fitToHeight="100" orientation="portrait" r:id="rId1"/>
  <headerFooter scaleWithDoc="0" alignWithMargins="0">
    <oddHeader>&amp;RPágina &amp;P de &amp;N</oddHeader>
  </headerFooter>
  <drawing r:id="rId2"/>
</worksheet>
</file>

<file path=xl/worksheets/sheet38.xml><?xml version="1.0" encoding="utf-8"?>
<worksheet xmlns="http://schemas.openxmlformats.org/spreadsheetml/2006/main" xmlns:r="http://schemas.openxmlformats.org/officeDocument/2006/relationships">
  <sheetPr codeName="Planilha23">
    <tabColor theme="0" tint="-0.14999847407452621"/>
  </sheetPr>
  <dimension ref="B1:E681"/>
  <sheetViews>
    <sheetView topLeftCell="A640" workbookViewId="0">
      <selection activeCell="B656" sqref="B656"/>
    </sheetView>
  </sheetViews>
  <sheetFormatPr defaultRowHeight="15"/>
  <cols>
    <col min="1" max="1" width="14.28515625" customWidth="1"/>
    <col min="2" max="2" width="20.7109375" customWidth="1"/>
    <col min="3" max="3" width="120.7109375" customWidth="1"/>
    <col min="4" max="4" width="10.7109375" customWidth="1"/>
    <col min="5" max="5" width="14.42578125" customWidth="1"/>
  </cols>
  <sheetData>
    <row r="1" spans="2:5" ht="15.75" thickBot="1"/>
    <row r="2" spans="2:5" ht="16.5" thickBot="1">
      <c r="B2" s="79"/>
      <c r="C2" s="80" t="s">
        <v>636</v>
      </c>
      <c r="D2" s="78" t="s">
        <v>30</v>
      </c>
      <c r="E2" s="78" t="s">
        <v>31</v>
      </c>
    </row>
    <row r="3" spans="2:5">
      <c r="B3" s="402" t="e">
        <f>#REF!</f>
        <v>#REF!</v>
      </c>
      <c r="C3" s="343" t="e">
        <f>#REF!</f>
        <v>#REF!</v>
      </c>
      <c r="D3" s="81" t="e">
        <f>#REF!</f>
        <v>#REF!</v>
      </c>
      <c r="E3" s="344" t="e">
        <f>#REF!</f>
        <v>#REF!</v>
      </c>
    </row>
    <row r="4" spans="2:5" ht="15.75" thickBot="1">
      <c r="B4" s="396"/>
      <c r="C4" s="401"/>
      <c r="D4" s="396"/>
    </row>
    <row r="5" spans="2:5" ht="16.5" thickBot="1">
      <c r="B5" s="79"/>
      <c r="C5" s="80" t="s">
        <v>635</v>
      </c>
      <c r="D5" s="78" t="s">
        <v>30</v>
      </c>
      <c r="E5" s="78" t="s">
        <v>31</v>
      </c>
    </row>
    <row r="6" spans="2:5">
      <c r="B6" s="352" t="s">
        <v>5520</v>
      </c>
      <c r="C6" s="343" t="e">
        <f>VLOOKUP($B6,#REF!,2,FALSE)</f>
        <v>#REF!</v>
      </c>
      <c r="D6" s="81" t="e">
        <f>VLOOKUP($B6,#REF!,6,FALSE)</f>
        <v>#REF!</v>
      </c>
      <c r="E6" s="344" t="e">
        <f>VLOOKUP($B6,#REF!,7,FALSE)</f>
        <v>#REF!</v>
      </c>
    </row>
    <row r="7" spans="2:5">
      <c r="B7" s="352" t="s">
        <v>5521</v>
      </c>
      <c r="C7" s="343" t="e">
        <f>VLOOKUP($B7,#REF!,2,FALSE)</f>
        <v>#REF!</v>
      </c>
      <c r="D7" s="81" t="e">
        <f>VLOOKUP($B7,#REF!,6,FALSE)</f>
        <v>#REF!</v>
      </c>
      <c r="E7" s="344" t="e">
        <f>VLOOKUP($B7,#REF!,7,FALSE)</f>
        <v>#REF!</v>
      </c>
    </row>
    <row r="8" spans="2:5">
      <c r="B8" s="352" t="s">
        <v>5522</v>
      </c>
      <c r="C8" s="343" t="e">
        <f>VLOOKUP($B8,#REF!,2,FALSE)</f>
        <v>#REF!</v>
      </c>
      <c r="D8" s="81" t="e">
        <f>VLOOKUP($B8,#REF!,6,FALSE)</f>
        <v>#REF!</v>
      </c>
      <c r="E8" s="344" t="e">
        <f>VLOOKUP($B8,#REF!,7,FALSE)</f>
        <v>#REF!</v>
      </c>
    </row>
    <row r="9" spans="2:5">
      <c r="B9" s="352" t="s">
        <v>5523</v>
      </c>
      <c r="C9" s="343" t="e">
        <f>VLOOKUP($B9,#REF!,2,FALSE)</f>
        <v>#REF!</v>
      </c>
      <c r="D9" s="81" t="e">
        <f>VLOOKUP($B9,#REF!,6,FALSE)</f>
        <v>#REF!</v>
      </c>
      <c r="E9" s="344" t="e">
        <f>VLOOKUP($B9,#REF!,7,FALSE)</f>
        <v>#REF!</v>
      </c>
    </row>
    <row r="10" spans="2:5">
      <c r="B10" s="352" t="s">
        <v>5524</v>
      </c>
      <c r="C10" s="343" t="e">
        <f>VLOOKUP($B10,#REF!,2,FALSE)</f>
        <v>#REF!</v>
      </c>
      <c r="D10" s="81" t="e">
        <f>VLOOKUP($B10,#REF!,6,FALSE)</f>
        <v>#REF!</v>
      </c>
      <c r="E10" s="344" t="e">
        <f>VLOOKUP($B10,#REF!,7,FALSE)</f>
        <v>#REF!</v>
      </c>
    </row>
    <row r="11" spans="2:5">
      <c r="B11" s="352" t="s">
        <v>5525</v>
      </c>
      <c r="C11" s="343" t="e">
        <f>VLOOKUP($B11,#REF!,2,FALSE)</f>
        <v>#REF!</v>
      </c>
      <c r="D11" s="81" t="e">
        <f>VLOOKUP($B11,#REF!,6,FALSE)</f>
        <v>#REF!</v>
      </c>
      <c r="E11" s="344" t="e">
        <f>VLOOKUP($B11,#REF!,7,FALSE)</f>
        <v>#REF!</v>
      </c>
    </row>
    <row r="12" spans="2:5" ht="15.75" thickBot="1">
      <c r="B12" s="396"/>
      <c r="C12" s="401"/>
      <c r="D12" s="396"/>
    </row>
    <row r="13" spans="2:5" ht="16.5" thickBot="1">
      <c r="B13" s="79" t="s">
        <v>388</v>
      </c>
      <c r="C13" s="80" t="s">
        <v>387</v>
      </c>
      <c r="D13" s="78" t="s">
        <v>30</v>
      </c>
      <c r="E13" s="78" t="s">
        <v>31</v>
      </c>
    </row>
    <row r="14" spans="2:5">
      <c r="B14" s="352" t="s">
        <v>205</v>
      </c>
      <c r="C14" s="353" t="e">
        <f>VLOOKUP($B14,#REF!,2,FALSE)</f>
        <v>#REF!</v>
      </c>
      <c r="D14" s="352" t="e">
        <f>VLOOKUP($B14,#REF!,6,FALSE)</f>
        <v>#REF!</v>
      </c>
      <c r="E14" s="354" t="e">
        <f>VLOOKUP($B14,#REF!,7,FALSE)</f>
        <v>#REF!</v>
      </c>
    </row>
    <row r="15" spans="2:5">
      <c r="B15" s="352" t="s">
        <v>208</v>
      </c>
      <c r="C15" s="353" t="e">
        <f>VLOOKUP($B15,#REF!,2,FALSE)</f>
        <v>#REF!</v>
      </c>
      <c r="D15" s="352" t="e">
        <f>VLOOKUP($B15,#REF!,6,FALSE)</f>
        <v>#REF!</v>
      </c>
      <c r="E15" s="354" t="e">
        <f>VLOOKUP($B15,#REF!,7,FALSE)</f>
        <v>#REF!</v>
      </c>
    </row>
    <row r="16" spans="2:5">
      <c r="B16" s="352" t="s">
        <v>210</v>
      </c>
      <c r="C16" s="353" t="e">
        <f>VLOOKUP($B16,#REF!,2,FALSE)</f>
        <v>#REF!</v>
      </c>
      <c r="D16" s="352" t="e">
        <f>VLOOKUP($B16,#REF!,6,FALSE)</f>
        <v>#REF!</v>
      </c>
      <c r="E16" s="354" t="e">
        <f>VLOOKUP($B16,#REF!,7,FALSE)</f>
        <v>#REF!</v>
      </c>
    </row>
    <row r="17" spans="2:5">
      <c r="B17" s="352" t="s">
        <v>209</v>
      </c>
      <c r="C17" s="353" t="e">
        <f>VLOOKUP($B17,#REF!,2,FALSE)</f>
        <v>#REF!</v>
      </c>
      <c r="D17" s="352" t="e">
        <f>VLOOKUP($B17,#REF!,6,FALSE)</f>
        <v>#REF!</v>
      </c>
      <c r="E17" s="354" t="e">
        <f>VLOOKUP($B17,#REF!,7,FALSE)</f>
        <v>#REF!</v>
      </c>
    </row>
    <row r="18" spans="2:5">
      <c r="B18" s="352" t="s">
        <v>211</v>
      </c>
      <c r="C18" s="353" t="e">
        <f>VLOOKUP($B18,#REF!,2,FALSE)</f>
        <v>#REF!</v>
      </c>
      <c r="D18" s="352" t="e">
        <f>VLOOKUP($B18,#REF!,6,FALSE)</f>
        <v>#REF!</v>
      </c>
      <c r="E18" s="354" t="e">
        <f>VLOOKUP($B18,#REF!,7,FALSE)</f>
        <v>#REF!</v>
      </c>
    </row>
    <row r="19" spans="2:5">
      <c r="B19" s="352" t="s">
        <v>630</v>
      </c>
      <c r="C19" s="353" t="e">
        <f>VLOOKUP($B19,#REF!,2,FALSE)</f>
        <v>#REF!</v>
      </c>
      <c r="D19" s="352" t="e">
        <f>VLOOKUP($B19,#REF!,6,FALSE)</f>
        <v>#REF!</v>
      </c>
      <c r="E19" s="354" t="e">
        <f>VLOOKUP($B19,#REF!,7,FALSE)</f>
        <v>#REF!</v>
      </c>
    </row>
    <row r="20" spans="2:5">
      <c r="B20" s="352" t="s">
        <v>631</v>
      </c>
      <c r="C20" s="353" t="e">
        <f>VLOOKUP($B20,#REF!,2,FALSE)</f>
        <v>#REF!</v>
      </c>
      <c r="D20" s="352" t="e">
        <f>VLOOKUP($B20,#REF!,6,FALSE)</f>
        <v>#REF!</v>
      </c>
      <c r="E20" s="354" t="e">
        <f>VLOOKUP($B20,#REF!,7,FALSE)</f>
        <v>#REF!</v>
      </c>
    </row>
    <row r="21" spans="2:5">
      <c r="B21" s="352" t="s">
        <v>632</v>
      </c>
      <c r="C21" s="353" t="e">
        <f>VLOOKUP($B21,#REF!,2,FALSE)</f>
        <v>#REF!</v>
      </c>
      <c r="D21" s="352" t="e">
        <f>VLOOKUP($B21,#REF!,6,FALSE)</f>
        <v>#REF!</v>
      </c>
      <c r="E21" s="354" t="e">
        <f>VLOOKUP($B21,#REF!,7,FALSE)</f>
        <v>#REF!</v>
      </c>
    </row>
    <row r="22" spans="2:5">
      <c r="B22" s="352" t="s">
        <v>633</v>
      </c>
      <c r="C22" s="353" t="e">
        <f>VLOOKUP($B22,#REF!,2,FALSE)</f>
        <v>#REF!</v>
      </c>
      <c r="D22" s="352" t="e">
        <f>VLOOKUP($B22,#REF!,6,FALSE)</f>
        <v>#REF!</v>
      </c>
      <c r="E22" s="354" t="e">
        <f>VLOOKUP($B22,#REF!,7,FALSE)</f>
        <v>#REF!</v>
      </c>
    </row>
    <row r="23" spans="2:5">
      <c r="B23" s="352" t="s">
        <v>3080</v>
      </c>
      <c r="C23" s="353" t="e">
        <f>VLOOKUP($B23,#REF!,2,FALSE)</f>
        <v>#REF!</v>
      </c>
      <c r="D23" s="352" t="e">
        <f>VLOOKUP($B23,#REF!,6,FALSE)</f>
        <v>#REF!</v>
      </c>
      <c r="E23" s="354" t="e">
        <f>VLOOKUP($B23,#REF!,7,FALSE)</f>
        <v>#REF!</v>
      </c>
    </row>
    <row r="24" spans="2:5">
      <c r="B24" s="352" t="s">
        <v>3081</v>
      </c>
      <c r="C24" s="353" t="e">
        <f>VLOOKUP($B24,#REF!,2,FALSE)</f>
        <v>#REF!</v>
      </c>
      <c r="D24" s="352" t="e">
        <f>VLOOKUP($B24,#REF!,6,FALSE)</f>
        <v>#REF!</v>
      </c>
      <c r="E24" s="354" t="e">
        <f>VLOOKUP($B24,#REF!,7,FALSE)</f>
        <v>#REF!</v>
      </c>
    </row>
    <row r="25" spans="2:5">
      <c r="B25" s="352" t="s">
        <v>3082</v>
      </c>
      <c r="C25" s="353" t="e">
        <f>VLOOKUP($B25,#REF!,2,FALSE)</f>
        <v>#REF!</v>
      </c>
      <c r="D25" s="352" t="e">
        <f>VLOOKUP($B25,#REF!,6,FALSE)</f>
        <v>#REF!</v>
      </c>
      <c r="E25" s="354" t="e">
        <f>VLOOKUP($B25,#REF!,7,FALSE)</f>
        <v>#REF!</v>
      </c>
    </row>
    <row r="26" spans="2:5">
      <c r="B26" s="352" t="s">
        <v>3083</v>
      </c>
      <c r="C26" s="353" t="e">
        <f>VLOOKUP($B26,#REF!,2,FALSE)</f>
        <v>#REF!</v>
      </c>
      <c r="D26" s="352" t="e">
        <f>VLOOKUP($B26,#REF!,6,FALSE)</f>
        <v>#REF!</v>
      </c>
      <c r="E26" s="354" t="e">
        <f>VLOOKUP($B26,#REF!,7,FALSE)</f>
        <v>#REF!</v>
      </c>
    </row>
    <row r="27" spans="2:5">
      <c r="B27" s="352" t="s">
        <v>3084</v>
      </c>
      <c r="C27" s="353" t="e">
        <f>VLOOKUP($B27,#REF!,2,FALSE)</f>
        <v>#REF!</v>
      </c>
      <c r="D27" s="352" t="e">
        <f>VLOOKUP($B27,#REF!,6,FALSE)</f>
        <v>#REF!</v>
      </c>
      <c r="E27" s="354" t="e">
        <f>VLOOKUP($B27,#REF!,7,FALSE)</f>
        <v>#REF!</v>
      </c>
    </row>
    <row r="28" spans="2:5">
      <c r="B28" s="352" t="s">
        <v>3085</v>
      </c>
      <c r="C28" s="353" t="e">
        <f>VLOOKUP($B28,#REF!,2,FALSE)</f>
        <v>#REF!</v>
      </c>
      <c r="D28" s="352" t="e">
        <f>VLOOKUP($B28,#REF!,6,FALSE)</f>
        <v>#REF!</v>
      </c>
      <c r="E28" s="354" t="e">
        <f>VLOOKUP($B28,#REF!,7,FALSE)</f>
        <v>#REF!</v>
      </c>
    </row>
    <row r="29" spans="2:5">
      <c r="B29" s="352" t="s">
        <v>3086</v>
      </c>
      <c r="C29" s="353" t="e">
        <f>VLOOKUP($B29,#REF!,2,FALSE)</f>
        <v>#REF!</v>
      </c>
      <c r="D29" s="352" t="e">
        <f>VLOOKUP($B29,#REF!,6,FALSE)</f>
        <v>#REF!</v>
      </c>
      <c r="E29" s="354" t="e">
        <f>VLOOKUP($B29,#REF!,7,FALSE)</f>
        <v>#REF!</v>
      </c>
    </row>
    <row r="30" spans="2:5">
      <c r="B30" s="352" t="s">
        <v>3087</v>
      </c>
      <c r="C30" s="353" t="e">
        <f>VLOOKUP($B30,#REF!,2,FALSE)</f>
        <v>#REF!</v>
      </c>
      <c r="D30" s="352" t="e">
        <f>VLOOKUP($B30,#REF!,6,FALSE)</f>
        <v>#REF!</v>
      </c>
      <c r="E30" s="354" t="e">
        <f>VLOOKUP($B30,#REF!,7,FALSE)</f>
        <v>#REF!</v>
      </c>
    </row>
    <row r="31" spans="2:5">
      <c r="B31" s="352" t="s">
        <v>3088</v>
      </c>
      <c r="C31" s="353" t="e">
        <f>VLOOKUP($B31,#REF!,2,FALSE)</f>
        <v>#REF!</v>
      </c>
      <c r="D31" s="352" t="e">
        <f>VLOOKUP($B31,#REF!,6,FALSE)</f>
        <v>#REF!</v>
      </c>
      <c r="E31" s="354" t="e">
        <f>VLOOKUP($B31,#REF!,7,FALSE)</f>
        <v>#REF!</v>
      </c>
    </row>
    <row r="32" spans="2:5">
      <c r="B32" s="352" t="s">
        <v>3089</v>
      </c>
      <c r="C32" s="353" t="e">
        <f>VLOOKUP($B32,#REF!,2,FALSE)</f>
        <v>#REF!</v>
      </c>
      <c r="D32" s="352" t="e">
        <f>VLOOKUP($B32,#REF!,6,FALSE)</f>
        <v>#REF!</v>
      </c>
      <c r="E32" s="354" t="e">
        <f>VLOOKUP($B32,#REF!,7,FALSE)</f>
        <v>#REF!</v>
      </c>
    </row>
    <row r="33" spans="2:5">
      <c r="B33" s="352" t="s">
        <v>3090</v>
      </c>
      <c r="C33" s="353" t="e">
        <f>VLOOKUP($B33,#REF!,2,FALSE)</f>
        <v>#REF!</v>
      </c>
      <c r="D33" s="352" t="e">
        <f>VLOOKUP($B33,#REF!,6,FALSE)</f>
        <v>#REF!</v>
      </c>
      <c r="E33" s="354" t="e">
        <f>VLOOKUP($B33,#REF!,7,FALSE)</f>
        <v>#REF!</v>
      </c>
    </row>
    <row r="34" spans="2:5">
      <c r="B34" s="352" t="s">
        <v>3091</v>
      </c>
      <c r="C34" s="353" t="e">
        <f>VLOOKUP($B34,#REF!,2,FALSE)</f>
        <v>#REF!</v>
      </c>
      <c r="D34" s="352" t="e">
        <f>VLOOKUP($B34,#REF!,6,FALSE)</f>
        <v>#REF!</v>
      </c>
      <c r="E34" s="354" t="e">
        <f>VLOOKUP($B34,#REF!,7,FALSE)</f>
        <v>#REF!</v>
      </c>
    </row>
    <row r="35" spans="2:5">
      <c r="B35" s="352" t="s">
        <v>3092</v>
      </c>
      <c r="C35" s="353" t="e">
        <f>VLOOKUP($B35,#REF!,2,FALSE)</f>
        <v>#REF!</v>
      </c>
      <c r="D35" s="352" t="e">
        <f>VLOOKUP($B35,#REF!,6,FALSE)</f>
        <v>#REF!</v>
      </c>
      <c r="E35" s="354" t="e">
        <f>VLOOKUP($B35,#REF!,7,FALSE)</f>
        <v>#REF!</v>
      </c>
    </row>
    <row r="36" spans="2:5">
      <c r="B36" s="352" t="s">
        <v>3093</v>
      </c>
      <c r="C36" s="353" t="e">
        <f>VLOOKUP($B36,#REF!,2,FALSE)</f>
        <v>#REF!</v>
      </c>
      <c r="D36" s="352" t="e">
        <f>VLOOKUP($B36,#REF!,6,FALSE)</f>
        <v>#REF!</v>
      </c>
      <c r="E36" s="354" t="e">
        <f>VLOOKUP($B36,#REF!,7,FALSE)</f>
        <v>#REF!</v>
      </c>
    </row>
    <row r="37" spans="2:5">
      <c r="B37" s="352" t="s">
        <v>3094</v>
      </c>
      <c r="C37" s="353" t="e">
        <f>VLOOKUP($B37,#REF!,2,FALSE)</f>
        <v>#REF!</v>
      </c>
      <c r="D37" s="352" t="e">
        <f>VLOOKUP($B37,#REF!,6,FALSE)</f>
        <v>#REF!</v>
      </c>
      <c r="E37" s="354" t="e">
        <f>VLOOKUP($B37,#REF!,7,FALSE)</f>
        <v>#REF!</v>
      </c>
    </row>
    <row r="38" spans="2:5">
      <c r="B38" s="352" t="s">
        <v>3095</v>
      </c>
      <c r="C38" s="353" t="e">
        <f>VLOOKUP($B38,#REF!,2,FALSE)</f>
        <v>#REF!</v>
      </c>
      <c r="D38" s="352" t="e">
        <f>VLOOKUP($B38,#REF!,6,FALSE)</f>
        <v>#REF!</v>
      </c>
      <c r="E38" s="354" t="e">
        <f>VLOOKUP($B38,#REF!,7,FALSE)</f>
        <v>#REF!</v>
      </c>
    </row>
    <row r="39" spans="2:5">
      <c r="B39" s="352" t="s">
        <v>3096</v>
      </c>
      <c r="C39" s="353" t="e">
        <f>VLOOKUP($B39,#REF!,2,FALSE)</f>
        <v>#REF!</v>
      </c>
      <c r="D39" s="352" t="e">
        <f>VLOOKUP($B39,#REF!,6,FALSE)</f>
        <v>#REF!</v>
      </c>
      <c r="E39" s="354" t="e">
        <f>VLOOKUP($B39,#REF!,7,FALSE)</f>
        <v>#REF!</v>
      </c>
    </row>
    <row r="40" spans="2:5">
      <c r="B40" s="352" t="s">
        <v>3097</v>
      </c>
      <c r="C40" s="353" t="e">
        <f>VLOOKUP($B40,#REF!,2,FALSE)</f>
        <v>#REF!</v>
      </c>
      <c r="D40" s="352" t="e">
        <f>VLOOKUP($B40,#REF!,6,FALSE)</f>
        <v>#REF!</v>
      </c>
      <c r="E40" s="354" t="e">
        <f>VLOOKUP($B40,#REF!,7,FALSE)</f>
        <v>#REF!</v>
      </c>
    </row>
    <row r="41" spans="2:5">
      <c r="B41" s="352" t="s">
        <v>3098</v>
      </c>
      <c r="C41" s="353" t="e">
        <f>VLOOKUP($B41,#REF!,2,FALSE)</f>
        <v>#REF!</v>
      </c>
      <c r="D41" s="352" t="e">
        <f>VLOOKUP($B41,#REF!,6,FALSE)</f>
        <v>#REF!</v>
      </c>
      <c r="E41" s="354" t="e">
        <f>VLOOKUP($B41,#REF!,7,FALSE)</f>
        <v>#REF!</v>
      </c>
    </row>
    <row r="42" spans="2:5" ht="15.75" thickBot="1">
      <c r="B42" s="396"/>
      <c r="C42" s="401"/>
      <c r="D42" s="396"/>
    </row>
    <row r="43" spans="2:5" ht="16.5" thickBot="1">
      <c r="B43" s="79" t="s">
        <v>389</v>
      </c>
      <c r="C43" s="80" t="s">
        <v>386</v>
      </c>
      <c r="D43" s="78" t="s">
        <v>30</v>
      </c>
      <c r="E43" s="78" t="s">
        <v>31</v>
      </c>
    </row>
    <row r="44" spans="2:5">
      <c r="B44" s="402" t="s">
        <v>547</v>
      </c>
      <c r="C44" s="353" t="str">
        <f>VLOOKUP($B44,'COMPOSIÇÃO CIVIL'!$B:$G,2,FALSE)</f>
        <v>ADMINISTRAÇÃO LOCAL</v>
      </c>
      <c r="D44" s="352" t="str">
        <f>VLOOKUP($B44,'COMPOSIÇÃO CIVIL'!$B:$G,6,FALSE)</f>
        <v>UN</v>
      </c>
      <c r="E44" s="354">
        <f>VLOOKUP($B44,'COMPOSIÇÃO CIVIL'!$B:$H,7,FALSE)</f>
        <v>125006.39999999999</v>
      </c>
    </row>
    <row r="45" spans="2:5">
      <c r="B45" s="402" t="s">
        <v>2060</v>
      </c>
      <c r="C45" s="353" t="str">
        <f>VLOOKUP($B45,'COMPOSIÇÃO CIVIL'!$B:$G,2,FALSE)</f>
        <v>PLACA DE OBRA EM CHAPA DE ACO GALVANIZADO</v>
      </c>
      <c r="D45" s="352" t="str">
        <f>VLOOKUP($B45,'COMPOSIÇÃO CIVIL'!$B:$G,6,FALSE)</f>
        <v>M2</v>
      </c>
      <c r="E45" s="354">
        <f>VLOOKUP($B45,'COMPOSIÇÃO CIVIL'!$B:$H,7,FALSE)</f>
        <v>418.35</v>
      </c>
    </row>
    <row r="46" spans="2:5">
      <c r="B46" s="402" t="s">
        <v>2061</v>
      </c>
      <c r="C46" s="353" t="str">
        <f>VLOOKUP($B46,'COMPOSIÇÃO CIVIL'!$B:$G,2,FALSE)</f>
        <v>LASTRO DE BRITA 1</v>
      </c>
      <c r="D46" s="352" t="str">
        <f>VLOOKUP($B46,'COMPOSIÇÃO CIVIL'!$B:$G,6,FALSE)</f>
        <v>M3</v>
      </c>
      <c r="E46" s="354">
        <f>VLOOKUP($B46,'COMPOSIÇÃO CIVIL'!$B:$H,7,FALSE)</f>
        <v>168.14</v>
      </c>
    </row>
    <row r="47" spans="2:5" ht="30">
      <c r="B47" s="402" t="s">
        <v>2062</v>
      </c>
      <c r="C47" s="353" t="str">
        <f>VLOOKUP($B47,'COMPOSIÇÃO CIVIL'!$B:$G,2,FALSE)</f>
        <v>LIMPEZA MECANIZADA DO TERRENO C/ RETROESCAVADEIRA (VEGETAÇÃO RASTEIRA) INCLUSIVE CARGA E TRANSPORTE - DMT ATÉ 1KM</v>
      </c>
      <c r="D47" s="352" t="str">
        <f>VLOOKUP($B47,'COMPOSIÇÃO CIVIL'!$B:$G,6,FALSE)</f>
        <v>M2</v>
      </c>
      <c r="E47" s="354">
        <f>VLOOKUP($B47,'COMPOSIÇÃO CIVIL'!$B:$H,7,FALSE)</f>
        <v>2.1</v>
      </c>
    </row>
    <row r="48" spans="2:5">
      <c r="B48" s="402" t="s">
        <v>2063</v>
      </c>
      <c r="C48" s="353" t="str">
        <f>VLOOKUP($B48,'COMPOSIÇÃO CIVIL'!$B:$G,2,FALSE)</f>
        <v>LOCAÇÃO DE CONTAINER - BANHEIRO COM CHUVEIRO E VASOS   (4,30 X 2,30M)</v>
      </c>
      <c r="D48" s="352" t="str">
        <f>VLOOKUP($B48,'COMPOSIÇÃO CIVIL'!$B:$G,6,FALSE)</f>
        <v>MÊS</v>
      </c>
      <c r="E48" s="354">
        <f>VLOOKUP($B48,'COMPOSIÇÃO CIVIL'!$B:$H,7,FALSE)</f>
        <v>900.38</v>
      </c>
    </row>
    <row r="49" spans="2:5">
      <c r="B49" s="402" t="s">
        <v>2064</v>
      </c>
      <c r="C49" s="353" t="str">
        <f>VLOOKUP($B49,'COMPOSIÇÃO CIVIL'!$B:$G,2,FALSE)</f>
        <v>PORTÃO EM TUBO DE AÇO GALVANIZADO COM QUADRO DE DN 1 1/4", E BARRAS VERTICAIS DE DN 1" A CADA 10CM</v>
      </c>
      <c r="D49" s="352" t="str">
        <f>VLOOKUP($B49,'COMPOSIÇÃO CIVIL'!$B:$G,6,FALSE)</f>
        <v>M2</v>
      </c>
      <c r="E49" s="354">
        <f>VLOOKUP($B49,'COMPOSIÇÃO CIVIL'!$B:$H,7,FALSE)</f>
        <v>556.53</v>
      </c>
    </row>
    <row r="50" spans="2:5">
      <c r="B50" s="402" t="s">
        <v>2065</v>
      </c>
      <c r="C50" s="353" t="e">
        <f>VLOOKUP($B50,'COMPOSIÇÃO CIVIL'!$B:$G,2,FALSE)</f>
        <v>#N/A</v>
      </c>
      <c r="D50" s="352" t="e">
        <f>VLOOKUP($B50,'COMPOSIÇÃO CIVIL'!$B:$G,6,FALSE)</f>
        <v>#N/A</v>
      </c>
      <c r="E50" s="354" t="e">
        <f>VLOOKUP($B50,'COMPOSIÇÃO CIVIL'!$B:$H,7,FALSE)</f>
        <v>#N/A</v>
      </c>
    </row>
    <row r="51" spans="2:5">
      <c r="B51" s="402" t="s">
        <v>2066</v>
      </c>
      <c r="C51" s="353" t="e">
        <f>VLOOKUP($B51,'COMPOSIÇÃO CIVIL'!$B:$G,2,FALSE)</f>
        <v>#N/A</v>
      </c>
      <c r="D51" s="352" t="e">
        <f>VLOOKUP($B51,'COMPOSIÇÃO CIVIL'!$B:$G,6,FALSE)</f>
        <v>#N/A</v>
      </c>
      <c r="E51" s="354" t="e">
        <f>VLOOKUP($B51,'COMPOSIÇÃO CIVIL'!$B:$H,7,FALSE)</f>
        <v>#N/A</v>
      </c>
    </row>
    <row r="52" spans="2:5">
      <c r="B52" s="402" t="s">
        <v>2067</v>
      </c>
      <c r="C52" s="353" t="e">
        <f>VLOOKUP($B52,'COMPOSIÇÃO CIVIL'!$B:$G,2,FALSE)</f>
        <v>#N/A</v>
      </c>
      <c r="D52" s="352" t="e">
        <f>VLOOKUP($B52,'COMPOSIÇÃO CIVIL'!$B:$G,6,FALSE)</f>
        <v>#N/A</v>
      </c>
      <c r="E52" s="354" t="e">
        <f>VLOOKUP($B52,'COMPOSIÇÃO CIVIL'!$B:$H,7,FALSE)</f>
        <v>#N/A</v>
      </c>
    </row>
    <row r="53" spans="2:5">
      <c r="B53" s="402" t="s">
        <v>2068</v>
      </c>
      <c r="C53" s="353" t="e">
        <f>VLOOKUP($B53,'COMPOSIÇÃO CIVIL'!$B:$G,2,FALSE)</f>
        <v>#N/A</v>
      </c>
      <c r="D53" s="352" t="e">
        <f>VLOOKUP($B53,'COMPOSIÇÃO CIVIL'!$B:$G,6,FALSE)</f>
        <v>#N/A</v>
      </c>
      <c r="E53" s="354" t="e">
        <f>VLOOKUP($B53,'COMPOSIÇÃO CIVIL'!$B:$H,7,FALSE)</f>
        <v>#N/A</v>
      </c>
    </row>
    <row r="54" spans="2:5">
      <c r="B54" s="402" t="s">
        <v>2069</v>
      </c>
      <c r="C54" s="353" t="e">
        <f>VLOOKUP($B54,'COMPOSIÇÃO CIVIL'!$B:$G,2,FALSE)</f>
        <v>#N/A</v>
      </c>
      <c r="D54" s="352" t="e">
        <f>VLOOKUP($B54,'COMPOSIÇÃO CIVIL'!$B:$G,6,FALSE)</f>
        <v>#N/A</v>
      </c>
      <c r="E54" s="354" t="e">
        <f>VLOOKUP($B54,'COMPOSIÇÃO CIVIL'!$B:$H,7,FALSE)</f>
        <v>#N/A</v>
      </c>
    </row>
    <row r="55" spans="2:5">
      <c r="B55" s="402" t="s">
        <v>2070</v>
      </c>
      <c r="C55" s="353" t="e">
        <f>VLOOKUP($B55,'COMPOSIÇÃO CIVIL'!$B:$G,2,FALSE)</f>
        <v>#N/A</v>
      </c>
      <c r="D55" s="352" t="e">
        <f>VLOOKUP($B55,'COMPOSIÇÃO CIVIL'!$B:$G,6,FALSE)</f>
        <v>#N/A</v>
      </c>
      <c r="E55" s="354" t="e">
        <f>VLOOKUP($B55,'COMPOSIÇÃO CIVIL'!$B:$H,7,FALSE)</f>
        <v>#N/A</v>
      </c>
    </row>
    <row r="56" spans="2:5">
      <c r="B56" s="402" t="s">
        <v>2071</v>
      </c>
      <c r="C56" s="353" t="e">
        <f>VLOOKUP($B56,'COMPOSIÇÃO CIVIL'!$B:$G,2,FALSE)</f>
        <v>#N/A</v>
      </c>
      <c r="D56" s="352" t="e">
        <f>VLOOKUP($B56,'COMPOSIÇÃO CIVIL'!$B:$G,6,FALSE)</f>
        <v>#N/A</v>
      </c>
      <c r="E56" s="354" t="e">
        <f>VLOOKUP($B56,'COMPOSIÇÃO CIVIL'!$B:$H,7,FALSE)</f>
        <v>#N/A</v>
      </c>
    </row>
    <row r="57" spans="2:5">
      <c r="B57" s="402" t="s">
        <v>2072</v>
      </c>
      <c r="C57" s="353" t="e">
        <f>VLOOKUP($B57,'COMPOSIÇÃO CIVIL'!$B:$G,2,FALSE)</f>
        <v>#N/A</v>
      </c>
      <c r="D57" s="352" t="e">
        <f>VLOOKUP($B57,'COMPOSIÇÃO CIVIL'!$B:$G,6,FALSE)</f>
        <v>#N/A</v>
      </c>
      <c r="E57" s="354" t="e">
        <f>VLOOKUP($B57,'COMPOSIÇÃO CIVIL'!$B:$H,7,FALSE)</f>
        <v>#N/A</v>
      </c>
    </row>
    <row r="58" spans="2:5">
      <c r="B58" s="402" t="s">
        <v>2073</v>
      </c>
      <c r="C58" s="353" t="e">
        <f>VLOOKUP($B58,'COMPOSIÇÃO CIVIL'!$B:$G,2,FALSE)</f>
        <v>#N/A</v>
      </c>
      <c r="D58" s="352" t="e">
        <f>VLOOKUP($B58,'COMPOSIÇÃO CIVIL'!$B:$G,6,FALSE)</f>
        <v>#N/A</v>
      </c>
      <c r="E58" s="354" t="e">
        <f>VLOOKUP($B58,'COMPOSIÇÃO CIVIL'!$B:$H,7,FALSE)</f>
        <v>#N/A</v>
      </c>
    </row>
    <row r="59" spans="2:5">
      <c r="B59" s="402" t="s">
        <v>2074</v>
      </c>
      <c r="C59" s="353" t="e">
        <f>VLOOKUP($B59,'COMPOSIÇÃO CIVIL'!$B:$G,2,FALSE)</f>
        <v>#N/A</v>
      </c>
      <c r="D59" s="352" t="e">
        <f>VLOOKUP($B59,'COMPOSIÇÃO CIVIL'!$B:$G,6,FALSE)</f>
        <v>#N/A</v>
      </c>
      <c r="E59" s="354" t="e">
        <f>VLOOKUP($B59,'COMPOSIÇÃO CIVIL'!$B:$H,7,FALSE)</f>
        <v>#N/A</v>
      </c>
    </row>
    <row r="60" spans="2:5">
      <c r="B60" s="402" t="s">
        <v>2075</v>
      </c>
      <c r="C60" s="353" t="e">
        <f>VLOOKUP($B60,'COMPOSIÇÃO CIVIL'!$B:$G,2,FALSE)</f>
        <v>#N/A</v>
      </c>
      <c r="D60" s="352" t="e">
        <f>VLOOKUP($B60,'COMPOSIÇÃO CIVIL'!$B:$G,6,FALSE)</f>
        <v>#N/A</v>
      </c>
      <c r="E60" s="354" t="e">
        <f>VLOOKUP($B60,'COMPOSIÇÃO CIVIL'!$B:$H,7,FALSE)</f>
        <v>#N/A</v>
      </c>
    </row>
    <row r="61" spans="2:5">
      <c r="B61" s="402" t="s">
        <v>2076</v>
      </c>
      <c r="C61" s="353" t="e">
        <f>VLOOKUP($B61,'COMPOSIÇÃO CIVIL'!$B:$G,2,FALSE)</f>
        <v>#N/A</v>
      </c>
      <c r="D61" s="352" t="e">
        <f>VLOOKUP($B61,'COMPOSIÇÃO CIVIL'!$B:$G,6,FALSE)</f>
        <v>#N/A</v>
      </c>
      <c r="E61" s="354" t="e">
        <f>VLOOKUP($B61,'COMPOSIÇÃO CIVIL'!$B:$H,7,FALSE)</f>
        <v>#N/A</v>
      </c>
    </row>
    <row r="62" spans="2:5">
      <c r="B62" s="402" t="s">
        <v>2077</v>
      </c>
      <c r="C62" s="353" t="e">
        <f>VLOOKUP($B62,'COMPOSIÇÃO CIVIL'!$B:$G,2,FALSE)</f>
        <v>#N/A</v>
      </c>
      <c r="D62" s="352" t="e">
        <f>VLOOKUP($B62,'COMPOSIÇÃO CIVIL'!$B:$G,6,FALSE)</f>
        <v>#N/A</v>
      </c>
      <c r="E62" s="354" t="e">
        <f>VLOOKUP($B62,'COMPOSIÇÃO CIVIL'!$B:$H,7,FALSE)</f>
        <v>#N/A</v>
      </c>
    </row>
    <row r="63" spans="2:5">
      <c r="B63" s="402" t="s">
        <v>2078</v>
      </c>
      <c r="C63" s="353" t="e">
        <f>VLOOKUP($B63,'COMPOSIÇÃO CIVIL'!$B:$G,2,FALSE)</f>
        <v>#N/A</v>
      </c>
      <c r="D63" s="352" t="e">
        <f>VLOOKUP($B63,'COMPOSIÇÃO CIVIL'!$B:$G,6,FALSE)</f>
        <v>#N/A</v>
      </c>
      <c r="E63" s="354" t="e">
        <f>VLOOKUP($B63,'COMPOSIÇÃO CIVIL'!$B:$H,7,FALSE)</f>
        <v>#N/A</v>
      </c>
    </row>
    <row r="64" spans="2:5">
      <c r="B64" s="402" t="s">
        <v>2079</v>
      </c>
      <c r="C64" s="353" t="e">
        <f>VLOOKUP($B64,'COMPOSIÇÃO CIVIL'!$B:$G,2,FALSE)</f>
        <v>#N/A</v>
      </c>
      <c r="D64" s="352" t="e">
        <f>VLOOKUP($B64,'COMPOSIÇÃO CIVIL'!$B:$G,6,FALSE)</f>
        <v>#N/A</v>
      </c>
      <c r="E64" s="354" t="e">
        <f>VLOOKUP($B64,'COMPOSIÇÃO CIVIL'!$B:$H,7,FALSE)</f>
        <v>#N/A</v>
      </c>
    </row>
    <row r="65" spans="2:5">
      <c r="B65" s="402" t="s">
        <v>2080</v>
      </c>
      <c r="C65" s="353" t="e">
        <f>VLOOKUP($B65,'COMPOSIÇÃO CIVIL'!$B:$G,2,FALSE)</f>
        <v>#N/A</v>
      </c>
      <c r="D65" s="352" t="e">
        <f>VLOOKUP($B65,'COMPOSIÇÃO CIVIL'!$B:$G,6,FALSE)</f>
        <v>#N/A</v>
      </c>
      <c r="E65" s="354" t="e">
        <f>VLOOKUP($B65,'COMPOSIÇÃO CIVIL'!$B:$H,7,FALSE)</f>
        <v>#N/A</v>
      </c>
    </row>
    <row r="66" spans="2:5">
      <c r="B66" s="402" t="s">
        <v>2081</v>
      </c>
      <c r="C66" s="353" t="e">
        <f>VLOOKUP($B66,'COMPOSIÇÃO CIVIL'!$B:$G,2,FALSE)</f>
        <v>#N/A</v>
      </c>
      <c r="D66" s="352" t="e">
        <f>VLOOKUP($B66,'COMPOSIÇÃO CIVIL'!$B:$G,6,FALSE)</f>
        <v>#N/A</v>
      </c>
      <c r="E66" s="354" t="e">
        <f>VLOOKUP($B66,'COMPOSIÇÃO CIVIL'!$B:$H,7,FALSE)</f>
        <v>#N/A</v>
      </c>
    </row>
    <row r="67" spans="2:5">
      <c r="B67" s="402" t="s">
        <v>2082</v>
      </c>
      <c r="C67" s="353" t="e">
        <f>VLOOKUP($B67,'COMPOSIÇÃO CIVIL'!$B:$G,2,FALSE)</f>
        <v>#N/A</v>
      </c>
      <c r="D67" s="352" t="e">
        <f>VLOOKUP($B67,'COMPOSIÇÃO CIVIL'!$B:$G,6,FALSE)</f>
        <v>#N/A</v>
      </c>
      <c r="E67" s="354" t="e">
        <f>VLOOKUP($B67,'COMPOSIÇÃO CIVIL'!$B:$H,7,FALSE)</f>
        <v>#N/A</v>
      </c>
    </row>
    <row r="68" spans="2:5">
      <c r="B68" s="402" t="s">
        <v>2083</v>
      </c>
      <c r="C68" s="353" t="e">
        <f>VLOOKUP($B68,'COMPOSIÇÃO CIVIL'!$B:$G,2,FALSE)</f>
        <v>#N/A</v>
      </c>
      <c r="D68" s="352" t="e">
        <f>VLOOKUP($B68,'COMPOSIÇÃO CIVIL'!$B:$G,6,FALSE)</f>
        <v>#N/A</v>
      </c>
      <c r="E68" s="354" t="e">
        <f>VLOOKUP($B68,'COMPOSIÇÃO CIVIL'!$B:$H,7,FALSE)</f>
        <v>#N/A</v>
      </c>
    </row>
    <row r="69" spans="2:5">
      <c r="B69" s="402" t="s">
        <v>2084</v>
      </c>
      <c r="C69" s="353" t="e">
        <f>VLOOKUP($B69,'COMPOSIÇÃO CIVIL'!$B:$G,2,FALSE)</f>
        <v>#N/A</v>
      </c>
      <c r="D69" s="352" t="e">
        <f>VLOOKUP($B69,'COMPOSIÇÃO CIVIL'!$B:$G,6,FALSE)</f>
        <v>#N/A</v>
      </c>
      <c r="E69" s="354" t="e">
        <f>VLOOKUP($B69,'COMPOSIÇÃO CIVIL'!$B:$H,7,FALSE)</f>
        <v>#N/A</v>
      </c>
    </row>
    <row r="70" spans="2:5">
      <c r="B70" s="402" t="s">
        <v>2085</v>
      </c>
      <c r="C70" s="353" t="e">
        <f>VLOOKUP($B70,'COMPOSIÇÃO CIVIL'!$B:$G,2,FALSE)</f>
        <v>#N/A</v>
      </c>
      <c r="D70" s="352" t="e">
        <f>VLOOKUP($B70,'COMPOSIÇÃO CIVIL'!$B:$G,6,FALSE)</f>
        <v>#N/A</v>
      </c>
      <c r="E70" s="354" t="e">
        <f>VLOOKUP($B70,'COMPOSIÇÃO CIVIL'!$B:$H,7,FALSE)</f>
        <v>#N/A</v>
      </c>
    </row>
    <row r="71" spans="2:5">
      <c r="B71" s="402" t="s">
        <v>2086</v>
      </c>
      <c r="C71" s="353" t="e">
        <f>VLOOKUP($B71,'COMPOSIÇÃO CIVIL'!$B:$G,2,FALSE)</f>
        <v>#N/A</v>
      </c>
      <c r="D71" s="352" t="e">
        <f>VLOOKUP($B71,'COMPOSIÇÃO CIVIL'!$B:$G,6,FALSE)</f>
        <v>#N/A</v>
      </c>
      <c r="E71" s="354" t="e">
        <f>VLOOKUP($B71,'COMPOSIÇÃO CIVIL'!$B:$H,7,FALSE)</f>
        <v>#N/A</v>
      </c>
    </row>
    <row r="72" spans="2:5">
      <c r="B72" s="402" t="s">
        <v>2087</v>
      </c>
      <c r="C72" s="353" t="e">
        <f>VLOOKUP($B72,'COMPOSIÇÃO CIVIL'!$B:$G,2,FALSE)</f>
        <v>#N/A</v>
      </c>
      <c r="D72" s="352" t="e">
        <f>VLOOKUP($B72,'COMPOSIÇÃO CIVIL'!$B:$G,6,FALSE)</f>
        <v>#N/A</v>
      </c>
      <c r="E72" s="354" t="e">
        <f>VLOOKUP($B72,'COMPOSIÇÃO CIVIL'!$B:$H,7,FALSE)</f>
        <v>#N/A</v>
      </c>
    </row>
    <row r="73" spans="2:5">
      <c r="B73" s="402" t="s">
        <v>2088</v>
      </c>
      <c r="C73" s="353" t="e">
        <f>VLOOKUP($B73,'COMPOSIÇÃO CIVIL'!$B:$G,2,FALSE)</f>
        <v>#N/A</v>
      </c>
      <c r="D73" s="352" t="e">
        <f>VLOOKUP($B73,'COMPOSIÇÃO CIVIL'!$B:$G,6,FALSE)</f>
        <v>#N/A</v>
      </c>
      <c r="E73" s="354" t="e">
        <f>VLOOKUP($B73,'COMPOSIÇÃO CIVIL'!$B:$H,7,FALSE)</f>
        <v>#N/A</v>
      </c>
    </row>
    <row r="74" spans="2:5">
      <c r="B74" s="402" t="s">
        <v>2089</v>
      </c>
      <c r="C74" s="353" t="e">
        <f>VLOOKUP($B74,'COMPOSIÇÃO CIVIL'!$B:$G,2,FALSE)</f>
        <v>#N/A</v>
      </c>
      <c r="D74" s="352" t="e">
        <f>VLOOKUP($B74,'COMPOSIÇÃO CIVIL'!$B:$G,6,FALSE)</f>
        <v>#N/A</v>
      </c>
      <c r="E74" s="354" t="e">
        <f>VLOOKUP($B74,'COMPOSIÇÃO CIVIL'!$B:$H,7,FALSE)</f>
        <v>#N/A</v>
      </c>
    </row>
    <row r="75" spans="2:5">
      <c r="B75" s="402" t="s">
        <v>2090</v>
      </c>
      <c r="C75" s="353" t="e">
        <f>VLOOKUP($B75,'COMPOSIÇÃO CIVIL'!$B:$G,2,FALSE)</f>
        <v>#N/A</v>
      </c>
      <c r="D75" s="352" t="e">
        <f>VLOOKUP($B75,'COMPOSIÇÃO CIVIL'!$B:$G,6,FALSE)</f>
        <v>#N/A</v>
      </c>
      <c r="E75" s="354" t="e">
        <f>VLOOKUP($B75,'COMPOSIÇÃO CIVIL'!$B:$H,7,FALSE)</f>
        <v>#N/A</v>
      </c>
    </row>
    <row r="76" spans="2:5">
      <c r="B76" s="402" t="s">
        <v>2091</v>
      </c>
      <c r="C76" s="353" t="e">
        <f>VLOOKUP($B76,'COMPOSIÇÃO CIVIL'!$B:$G,2,FALSE)</f>
        <v>#N/A</v>
      </c>
      <c r="D76" s="352" t="e">
        <f>VLOOKUP($B76,'COMPOSIÇÃO CIVIL'!$B:$G,6,FALSE)</f>
        <v>#N/A</v>
      </c>
      <c r="E76" s="354" t="e">
        <f>VLOOKUP($B76,'COMPOSIÇÃO CIVIL'!$B:$H,7,FALSE)</f>
        <v>#N/A</v>
      </c>
    </row>
    <row r="77" spans="2:5">
      <c r="B77" s="402" t="s">
        <v>2092</v>
      </c>
      <c r="C77" s="353" t="e">
        <f>VLOOKUP($B77,'COMPOSIÇÃO CIVIL'!$B:$G,2,FALSE)</f>
        <v>#N/A</v>
      </c>
      <c r="D77" s="352" t="e">
        <f>VLOOKUP($B77,'COMPOSIÇÃO CIVIL'!$B:$G,6,FALSE)</f>
        <v>#N/A</v>
      </c>
      <c r="E77" s="354" t="e">
        <f>VLOOKUP($B77,'COMPOSIÇÃO CIVIL'!$B:$H,7,FALSE)</f>
        <v>#N/A</v>
      </c>
    </row>
    <row r="78" spans="2:5">
      <c r="B78" s="402" t="s">
        <v>2093</v>
      </c>
      <c r="C78" s="353" t="e">
        <f>VLOOKUP($B78,'COMPOSIÇÃO CIVIL'!$B:$G,2,FALSE)</f>
        <v>#N/A</v>
      </c>
      <c r="D78" s="352" t="e">
        <f>VLOOKUP($B78,'COMPOSIÇÃO CIVIL'!$B:$G,6,FALSE)</f>
        <v>#N/A</v>
      </c>
      <c r="E78" s="354" t="e">
        <f>VLOOKUP($B78,'COMPOSIÇÃO CIVIL'!$B:$H,7,FALSE)</f>
        <v>#N/A</v>
      </c>
    </row>
    <row r="79" spans="2:5">
      <c r="B79" s="402" t="s">
        <v>2094</v>
      </c>
      <c r="C79" s="353" t="e">
        <f>VLOOKUP($B79,'COMPOSIÇÃO CIVIL'!$B:$G,2,FALSE)</f>
        <v>#N/A</v>
      </c>
      <c r="D79" s="352" t="e">
        <f>VLOOKUP($B79,'COMPOSIÇÃO CIVIL'!$B:$G,6,FALSE)</f>
        <v>#N/A</v>
      </c>
      <c r="E79" s="354" t="e">
        <f>VLOOKUP($B79,'COMPOSIÇÃO CIVIL'!$B:$H,7,FALSE)</f>
        <v>#N/A</v>
      </c>
    </row>
    <row r="80" spans="2:5">
      <c r="B80" s="402" t="s">
        <v>2095</v>
      </c>
      <c r="C80" s="353" t="e">
        <f>VLOOKUP($B80,'COMPOSIÇÃO CIVIL'!$B:$G,2,FALSE)</f>
        <v>#N/A</v>
      </c>
      <c r="D80" s="352" t="e">
        <f>VLOOKUP($B80,'COMPOSIÇÃO CIVIL'!$B:$G,6,FALSE)</f>
        <v>#N/A</v>
      </c>
      <c r="E80" s="354" t="e">
        <f>VLOOKUP($B80,'COMPOSIÇÃO CIVIL'!$B:$H,7,FALSE)</f>
        <v>#N/A</v>
      </c>
    </row>
    <row r="81" spans="2:5">
      <c r="B81" s="402" t="s">
        <v>2096</v>
      </c>
      <c r="C81" s="353" t="e">
        <f>VLOOKUP($B81,'COMPOSIÇÃO CIVIL'!$B:$G,2,FALSE)</f>
        <v>#N/A</v>
      </c>
      <c r="D81" s="352" t="e">
        <f>VLOOKUP($B81,'COMPOSIÇÃO CIVIL'!$B:$G,6,FALSE)</f>
        <v>#N/A</v>
      </c>
      <c r="E81" s="354" t="e">
        <f>VLOOKUP($B81,'COMPOSIÇÃO CIVIL'!$B:$H,7,FALSE)</f>
        <v>#N/A</v>
      </c>
    </row>
    <row r="82" spans="2:5">
      <c r="B82" s="402" t="s">
        <v>2097</v>
      </c>
      <c r="C82" s="353" t="e">
        <f>VLOOKUP($B82,'COMPOSIÇÃO CIVIL'!$B:$G,2,FALSE)</f>
        <v>#N/A</v>
      </c>
      <c r="D82" s="352" t="e">
        <f>VLOOKUP($B82,'COMPOSIÇÃO CIVIL'!$B:$G,6,FALSE)</f>
        <v>#N/A</v>
      </c>
      <c r="E82" s="354" t="e">
        <f>VLOOKUP($B82,'COMPOSIÇÃO CIVIL'!$B:$H,7,FALSE)</f>
        <v>#N/A</v>
      </c>
    </row>
    <row r="83" spans="2:5">
      <c r="B83" s="402" t="s">
        <v>2098</v>
      </c>
      <c r="C83" s="353" t="e">
        <f>VLOOKUP($B83,'COMPOSIÇÃO CIVIL'!$B:$G,2,FALSE)</f>
        <v>#N/A</v>
      </c>
      <c r="D83" s="352" t="e">
        <f>VLOOKUP($B83,'COMPOSIÇÃO CIVIL'!$B:$G,6,FALSE)</f>
        <v>#N/A</v>
      </c>
      <c r="E83" s="354" t="e">
        <f>VLOOKUP($B83,'COMPOSIÇÃO CIVIL'!$B:$H,7,FALSE)</f>
        <v>#N/A</v>
      </c>
    </row>
    <row r="84" spans="2:5">
      <c r="B84" s="402" t="s">
        <v>2099</v>
      </c>
      <c r="C84" s="353" t="e">
        <f>VLOOKUP($B84,'COMPOSIÇÃO CIVIL'!$B:$G,2,FALSE)</f>
        <v>#N/A</v>
      </c>
      <c r="D84" s="352" t="e">
        <f>VLOOKUP($B84,'COMPOSIÇÃO CIVIL'!$B:$G,6,FALSE)</f>
        <v>#N/A</v>
      </c>
      <c r="E84" s="354" t="e">
        <f>VLOOKUP($B84,'COMPOSIÇÃO CIVIL'!$B:$H,7,FALSE)</f>
        <v>#N/A</v>
      </c>
    </row>
    <row r="85" spans="2:5">
      <c r="B85" s="402" t="s">
        <v>2100</v>
      </c>
      <c r="C85" s="353" t="e">
        <f>VLOOKUP($B85,'COMPOSIÇÃO CIVIL'!$B:$G,2,FALSE)</f>
        <v>#N/A</v>
      </c>
      <c r="D85" s="352" t="e">
        <f>VLOOKUP($B85,'COMPOSIÇÃO CIVIL'!$B:$G,6,FALSE)</f>
        <v>#N/A</v>
      </c>
      <c r="E85" s="354" t="e">
        <f>VLOOKUP($B85,'COMPOSIÇÃO CIVIL'!$B:$H,7,FALSE)</f>
        <v>#N/A</v>
      </c>
    </row>
    <row r="86" spans="2:5">
      <c r="B86" s="402" t="s">
        <v>2101</v>
      </c>
      <c r="C86" s="353" t="e">
        <f>VLOOKUP($B86,'COMPOSIÇÃO CIVIL'!$B:$G,2,FALSE)</f>
        <v>#N/A</v>
      </c>
      <c r="D86" s="352" t="e">
        <f>VLOOKUP($B86,'COMPOSIÇÃO CIVIL'!$B:$G,6,FALSE)</f>
        <v>#N/A</v>
      </c>
      <c r="E86" s="354" t="e">
        <f>VLOOKUP($B86,'COMPOSIÇÃO CIVIL'!$B:$H,7,FALSE)</f>
        <v>#N/A</v>
      </c>
    </row>
    <row r="87" spans="2:5">
      <c r="B87" s="402" t="s">
        <v>2102</v>
      </c>
      <c r="C87" s="353" t="e">
        <f>VLOOKUP($B87,'COMPOSIÇÃO CIVIL'!$B:$G,2,FALSE)</f>
        <v>#N/A</v>
      </c>
      <c r="D87" s="352" t="e">
        <f>VLOOKUP($B87,'COMPOSIÇÃO CIVIL'!$B:$G,6,FALSE)</f>
        <v>#N/A</v>
      </c>
      <c r="E87" s="354" t="e">
        <f>VLOOKUP($B87,'COMPOSIÇÃO CIVIL'!$B:$H,7,FALSE)</f>
        <v>#N/A</v>
      </c>
    </row>
    <row r="88" spans="2:5">
      <c r="B88" s="402" t="s">
        <v>2103</v>
      </c>
      <c r="C88" s="353" t="e">
        <f>VLOOKUP($B88,'COMPOSIÇÃO CIVIL'!$B:$G,2,FALSE)</f>
        <v>#N/A</v>
      </c>
      <c r="D88" s="352" t="e">
        <f>VLOOKUP($B88,'COMPOSIÇÃO CIVIL'!$B:$G,6,FALSE)</f>
        <v>#N/A</v>
      </c>
      <c r="E88" s="354" t="e">
        <f>VLOOKUP($B88,'COMPOSIÇÃO CIVIL'!$B:$H,7,FALSE)</f>
        <v>#N/A</v>
      </c>
    </row>
    <row r="89" spans="2:5">
      <c r="B89" s="402" t="s">
        <v>2104</v>
      </c>
      <c r="C89" s="353" t="e">
        <f>VLOOKUP($B89,'COMPOSIÇÃO CIVIL'!$B:$G,2,FALSE)</f>
        <v>#N/A</v>
      </c>
      <c r="D89" s="352" t="e">
        <f>VLOOKUP($B89,'COMPOSIÇÃO CIVIL'!$B:$G,6,FALSE)</f>
        <v>#N/A</v>
      </c>
      <c r="E89" s="354" t="e">
        <f>VLOOKUP($B89,'COMPOSIÇÃO CIVIL'!$B:$H,7,FALSE)</f>
        <v>#N/A</v>
      </c>
    </row>
    <row r="90" spans="2:5">
      <c r="B90" s="402" t="s">
        <v>2105</v>
      </c>
      <c r="C90" s="353" t="e">
        <f>VLOOKUP($B90,'COMPOSIÇÃO CIVIL'!$B:$G,2,FALSE)</f>
        <v>#N/A</v>
      </c>
      <c r="D90" s="352" t="e">
        <f>VLOOKUP($B90,'COMPOSIÇÃO CIVIL'!$B:$G,6,FALSE)</f>
        <v>#N/A</v>
      </c>
      <c r="E90" s="354" t="e">
        <f>VLOOKUP($B90,'COMPOSIÇÃO CIVIL'!$B:$H,7,FALSE)</f>
        <v>#N/A</v>
      </c>
    </row>
    <row r="91" spans="2:5">
      <c r="B91" s="402" t="s">
        <v>2106</v>
      </c>
      <c r="C91" s="353" t="e">
        <f>VLOOKUP($B91,'COMPOSIÇÃO CIVIL'!$B:$G,2,FALSE)</f>
        <v>#N/A</v>
      </c>
      <c r="D91" s="352" t="e">
        <f>VLOOKUP($B91,'COMPOSIÇÃO CIVIL'!$B:$G,6,FALSE)</f>
        <v>#N/A</v>
      </c>
      <c r="E91" s="354" t="e">
        <f>VLOOKUP($B91,'COMPOSIÇÃO CIVIL'!$B:$H,7,FALSE)</f>
        <v>#N/A</v>
      </c>
    </row>
    <row r="92" spans="2:5">
      <c r="B92" s="402" t="s">
        <v>2107</v>
      </c>
      <c r="C92" s="353" t="e">
        <f>VLOOKUP($B92,'COMPOSIÇÃO CIVIL'!$B:$G,2,FALSE)</f>
        <v>#N/A</v>
      </c>
      <c r="D92" s="352" t="e">
        <f>VLOOKUP($B92,'COMPOSIÇÃO CIVIL'!$B:$G,6,FALSE)</f>
        <v>#N/A</v>
      </c>
      <c r="E92" s="354" t="e">
        <f>VLOOKUP($B92,'COMPOSIÇÃO CIVIL'!$B:$H,7,FALSE)</f>
        <v>#N/A</v>
      </c>
    </row>
    <row r="93" spans="2:5">
      <c r="B93" s="402" t="s">
        <v>2108</v>
      </c>
      <c r="C93" s="353" t="e">
        <f>VLOOKUP($B93,'COMPOSIÇÃO CIVIL'!$B:$G,2,FALSE)</f>
        <v>#N/A</v>
      </c>
      <c r="D93" s="352" t="e">
        <f>VLOOKUP($B93,'COMPOSIÇÃO CIVIL'!$B:$G,6,FALSE)</f>
        <v>#N/A</v>
      </c>
      <c r="E93" s="354" t="e">
        <f>VLOOKUP($B93,'COMPOSIÇÃO CIVIL'!$B:$H,7,FALSE)</f>
        <v>#N/A</v>
      </c>
    </row>
    <row r="94" spans="2:5">
      <c r="B94" s="402" t="s">
        <v>2109</v>
      </c>
      <c r="C94" s="353" t="e">
        <f>VLOOKUP($B94,'COMPOSIÇÃO CIVIL'!$B:$G,2,FALSE)</f>
        <v>#N/A</v>
      </c>
      <c r="D94" s="352" t="e">
        <f>VLOOKUP($B94,'COMPOSIÇÃO CIVIL'!$B:$G,6,FALSE)</f>
        <v>#N/A</v>
      </c>
      <c r="E94" s="354" t="e">
        <f>VLOOKUP($B94,'COMPOSIÇÃO CIVIL'!$B:$H,7,FALSE)</f>
        <v>#N/A</v>
      </c>
    </row>
    <row r="95" spans="2:5">
      <c r="B95" s="402" t="s">
        <v>2110</v>
      </c>
      <c r="C95" s="353" t="e">
        <f>VLOOKUP($B95,'COMPOSIÇÃO CIVIL'!$B:$G,2,FALSE)</f>
        <v>#N/A</v>
      </c>
      <c r="D95" s="352" t="e">
        <f>VLOOKUP($B95,'COMPOSIÇÃO CIVIL'!$B:$G,6,FALSE)</f>
        <v>#N/A</v>
      </c>
      <c r="E95" s="354" t="e">
        <f>VLOOKUP($B95,'COMPOSIÇÃO CIVIL'!$B:$H,7,FALSE)</f>
        <v>#N/A</v>
      </c>
    </row>
    <row r="96" spans="2:5">
      <c r="B96" s="402" t="s">
        <v>2111</v>
      </c>
      <c r="C96" s="353" t="e">
        <f>VLOOKUP($B96,'COMPOSIÇÃO CIVIL'!$B:$G,2,FALSE)</f>
        <v>#N/A</v>
      </c>
      <c r="D96" s="352" t="e">
        <f>VLOOKUP($B96,'COMPOSIÇÃO CIVIL'!$B:$G,6,FALSE)</f>
        <v>#N/A</v>
      </c>
      <c r="E96" s="354" t="e">
        <f>VLOOKUP($B96,'COMPOSIÇÃO CIVIL'!$B:$H,7,FALSE)</f>
        <v>#N/A</v>
      </c>
    </row>
    <row r="97" spans="2:5">
      <c r="B97" s="402" t="s">
        <v>2112</v>
      </c>
      <c r="C97" s="353" t="e">
        <f>VLOOKUP($B97,'COMPOSIÇÃO CIVIL'!$B:$G,2,FALSE)</f>
        <v>#N/A</v>
      </c>
      <c r="D97" s="352" t="e">
        <f>VLOOKUP($B97,'COMPOSIÇÃO CIVIL'!$B:$G,6,FALSE)</f>
        <v>#N/A</v>
      </c>
      <c r="E97" s="354" t="e">
        <f>VLOOKUP($B97,'COMPOSIÇÃO CIVIL'!$B:$H,7,FALSE)</f>
        <v>#N/A</v>
      </c>
    </row>
    <row r="98" spans="2:5">
      <c r="B98" s="402" t="s">
        <v>2113</v>
      </c>
      <c r="C98" s="353" t="e">
        <f>VLOOKUP($B98,'COMPOSIÇÃO CIVIL'!$B:$G,2,FALSE)</f>
        <v>#N/A</v>
      </c>
      <c r="D98" s="352" t="e">
        <f>VLOOKUP($B98,'COMPOSIÇÃO CIVIL'!$B:$G,6,FALSE)</f>
        <v>#N/A</v>
      </c>
      <c r="E98" s="354" t="e">
        <f>VLOOKUP($B98,'COMPOSIÇÃO CIVIL'!$B:$H,7,FALSE)</f>
        <v>#N/A</v>
      </c>
    </row>
    <row r="99" spans="2:5">
      <c r="B99" s="402" t="s">
        <v>2114</v>
      </c>
      <c r="C99" s="353" t="e">
        <f>VLOOKUP($B99,'COMPOSIÇÃO CIVIL'!$B:$G,2,FALSE)</f>
        <v>#N/A</v>
      </c>
      <c r="D99" s="352" t="e">
        <f>VLOOKUP($B99,'COMPOSIÇÃO CIVIL'!$B:$G,6,FALSE)</f>
        <v>#N/A</v>
      </c>
      <c r="E99" s="354" t="e">
        <f>VLOOKUP($B99,'COMPOSIÇÃO CIVIL'!$B:$H,7,FALSE)</f>
        <v>#N/A</v>
      </c>
    </row>
    <row r="100" spans="2:5">
      <c r="B100" s="402" t="s">
        <v>2115</v>
      </c>
      <c r="C100" s="353" t="e">
        <f>VLOOKUP($B100,'COMPOSIÇÃO CIVIL'!$B:$G,2,FALSE)</f>
        <v>#N/A</v>
      </c>
      <c r="D100" s="352" t="e">
        <f>VLOOKUP($B100,'COMPOSIÇÃO CIVIL'!$B:$G,6,FALSE)</f>
        <v>#N/A</v>
      </c>
      <c r="E100" s="354" t="e">
        <f>VLOOKUP($B100,'COMPOSIÇÃO CIVIL'!$B:$H,7,FALSE)</f>
        <v>#N/A</v>
      </c>
    </row>
    <row r="101" spans="2:5">
      <c r="B101" s="402" t="s">
        <v>2116</v>
      </c>
      <c r="C101" s="353" t="e">
        <f>VLOOKUP($B101,'COMPOSIÇÃO CIVIL'!$B:$G,2,FALSE)</f>
        <v>#N/A</v>
      </c>
      <c r="D101" s="352" t="e">
        <f>VLOOKUP($B101,'COMPOSIÇÃO CIVIL'!$B:$G,6,FALSE)</f>
        <v>#N/A</v>
      </c>
      <c r="E101" s="354" t="e">
        <f>VLOOKUP($B101,'COMPOSIÇÃO CIVIL'!$B:$H,7,FALSE)</f>
        <v>#N/A</v>
      </c>
    </row>
    <row r="102" spans="2:5">
      <c r="B102" s="402" t="s">
        <v>2117</v>
      </c>
      <c r="C102" s="353" t="e">
        <f>VLOOKUP($B102,'COMPOSIÇÃO CIVIL'!$B:$G,2,FALSE)</f>
        <v>#N/A</v>
      </c>
      <c r="D102" s="352" t="e">
        <f>VLOOKUP($B102,'COMPOSIÇÃO CIVIL'!$B:$G,6,FALSE)</f>
        <v>#N/A</v>
      </c>
      <c r="E102" s="354" t="e">
        <f>VLOOKUP($B102,'COMPOSIÇÃO CIVIL'!$B:$H,7,FALSE)</f>
        <v>#N/A</v>
      </c>
    </row>
    <row r="103" spans="2:5">
      <c r="B103" s="402" t="s">
        <v>2118</v>
      </c>
      <c r="C103" s="353" t="e">
        <f>VLOOKUP($B103,'COMPOSIÇÃO CIVIL'!$B:$G,2,FALSE)</f>
        <v>#N/A</v>
      </c>
      <c r="D103" s="352" t="e">
        <f>VLOOKUP($B103,'COMPOSIÇÃO CIVIL'!$B:$G,6,FALSE)</f>
        <v>#N/A</v>
      </c>
      <c r="E103" s="354" t="e">
        <f>VLOOKUP($B103,'COMPOSIÇÃO CIVIL'!$B:$H,7,FALSE)</f>
        <v>#N/A</v>
      </c>
    </row>
    <row r="104" spans="2:5">
      <c r="B104" s="402" t="s">
        <v>2119</v>
      </c>
      <c r="C104" s="353" t="e">
        <f>VLOOKUP($B104,'COMPOSIÇÃO CIVIL'!$B:$G,2,FALSE)</f>
        <v>#N/A</v>
      </c>
      <c r="D104" s="352" t="e">
        <f>VLOOKUP($B104,'COMPOSIÇÃO CIVIL'!$B:$G,6,FALSE)</f>
        <v>#N/A</v>
      </c>
      <c r="E104" s="354" t="e">
        <f>VLOOKUP($B104,'COMPOSIÇÃO CIVIL'!$B:$H,7,FALSE)</f>
        <v>#N/A</v>
      </c>
    </row>
    <row r="105" spans="2:5">
      <c r="B105" s="402" t="s">
        <v>2120</v>
      </c>
      <c r="C105" s="353" t="e">
        <f>VLOOKUP($B105,'COMPOSIÇÃO CIVIL'!$B:$G,2,FALSE)</f>
        <v>#N/A</v>
      </c>
      <c r="D105" s="352" t="e">
        <f>VLOOKUP($B105,'COMPOSIÇÃO CIVIL'!$B:$G,6,FALSE)</f>
        <v>#N/A</v>
      </c>
      <c r="E105" s="354" t="e">
        <f>VLOOKUP($B105,'COMPOSIÇÃO CIVIL'!$B:$H,7,FALSE)</f>
        <v>#N/A</v>
      </c>
    </row>
    <row r="106" spans="2:5">
      <c r="B106" s="402" t="s">
        <v>2121</v>
      </c>
      <c r="C106" s="353" t="e">
        <f>VLOOKUP($B106,'COMPOSIÇÃO CIVIL'!$B:$G,2,FALSE)</f>
        <v>#N/A</v>
      </c>
      <c r="D106" s="352" t="e">
        <f>VLOOKUP($B106,'COMPOSIÇÃO CIVIL'!$B:$G,6,FALSE)</f>
        <v>#N/A</v>
      </c>
      <c r="E106" s="354" t="e">
        <f>VLOOKUP($B106,'COMPOSIÇÃO CIVIL'!$B:$H,7,FALSE)</f>
        <v>#N/A</v>
      </c>
    </row>
    <row r="107" spans="2:5">
      <c r="B107" s="402" t="s">
        <v>2122</v>
      </c>
      <c r="C107" s="353" t="e">
        <f>VLOOKUP($B107,'COMPOSIÇÃO CIVIL'!$B:$G,2,FALSE)</f>
        <v>#N/A</v>
      </c>
      <c r="D107" s="352" t="e">
        <f>VLOOKUP($B107,'COMPOSIÇÃO CIVIL'!$B:$G,6,FALSE)</f>
        <v>#N/A</v>
      </c>
      <c r="E107" s="354" t="e">
        <f>VLOOKUP($B107,'COMPOSIÇÃO CIVIL'!$B:$H,7,FALSE)</f>
        <v>#N/A</v>
      </c>
    </row>
    <row r="108" spans="2:5">
      <c r="B108" s="402" t="s">
        <v>2123</v>
      </c>
      <c r="C108" s="353" t="e">
        <f>VLOOKUP($B108,'COMPOSIÇÃO CIVIL'!$B:$G,2,FALSE)</f>
        <v>#N/A</v>
      </c>
      <c r="D108" s="352" t="e">
        <f>VLOOKUP($B108,'COMPOSIÇÃO CIVIL'!$B:$G,6,FALSE)</f>
        <v>#N/A</v>
      </c>
      <c r="E108" s="354" t="e">
        <f>VLOOKUP($B108,'COMPOSIÇÃO CIVIL'!$B:$H,7,FALSE)</f>
        <v>#N/A</v>
      </c>
    </row>
    <row r="109" spans="2:5">
      <c r="B109" s="402" t="s">
        <v>2124</v>
      </c>
      <c r="C109" s="353" t="e">
        <f>VLOOKUP($B109,'COMPOSIÇÃO CIVIL'!$B:$G,2,FALSE)</f>
        <v>#N/A</v>
      </c>
      <c r="D109" s="352" t="e">
        <f>VLOOKUP($B109,'COMPOSIÇÃO CIVIL'!$B:$G,6,FALSE)</f>
        <v>#N/A</v>
      </c>
      <c r="E109" s="354" t="e">
        <f>VLOOKUP($B109,'COMPOSIÇÃO CIVIL'!$B:$H,7,FALSE)</f>
        <v>#N/A</v>
      </c>
    </row>
    <row r="110" spans="2:5">
      <c r="B110" s="402" t="s">
        <v>2125</v>
      </c>
      <c r="C110" s="353" t="e">
        <f>VLOOKUP($B110,'COMPOSIÇÃO CIVIL'!$B:$G,2,FALSE)</f>
        <v>#N/A</v>
      </c>
      <c r="D110" s="352" t="e">
        <f>VLOOKUP($B110,'COMPOSIÇÃO CIVIL'!$B:$G,6,FALSE)</f>
        <v>#N/A</v>
      </c>
      <c r="E110" s="354" t="e">
        <f>VLOOKUP($B110,'COMPOSIÇÃO CIVIL'!$B:$H,7,FALSE)</f>
        <v>#N/A</v>
      </c>
    </row>
    <row r="111" spans="2:5">
      <c r="B111" s="402" t="s">
        <v>2126</v>
      </c>
      <c r="C111" s="353" t="e">
        <f>VLOOKUP($B111,'COMPOSIÇÃO CIVIL'!$B:$G,2,FALSE)</f>
        <v>#N/A</v>
      </c>
      <c r="D111" s="352" t="e">
        <f>VLOOKUP($B111,'COMPOSIÇÃO CIVIL'!$B:$G,6,FALSE)</f>
        <v>#N/A</v>
      </c>
      <c r="E111" s="354" t="e">
        <f>VLOOKUP($B111,'COMPOSIÇÃO CIVIL'!$B:$H,7,FALSE)</f>
        <v>#N/A</v>
      </c>
    </row>
    <row r="112" spans="2:5">
      <c r="B112" s="402" t="s">
        <v>2127</v>
      </c>
      <c r="C112" s="353" t="e">
        <f>VLOOKUP($B112,'COMPOSIÇÃO CIVIL'!$B:$G,2,FALSE)</f>
        <v>#N/A</v>
      </c>
      <c r="D112" s="352" t="e">
        <f>VLOOKUP($B112,'COMPOSIÇÃO CIVIL'!$B:$G,6,FALSE)</f>
        <v>#N/A</v>
      </c>
      <c r="E112" s="354" t="e">
        <f>VLOOKUP($B112,'COMPOSIÇÃO CIVIL'!$B:$H,7,FALSE)</f>
        <v>#N/A</v>
      </c>
    </row>
    <row r="113" spans="2:5">
      <c r="B113" s="402" t="s">
        <v>2128</v>
      </c>
      <c r="C113" s="353" t="e">
        <f>VLOOKUP($B113,'COMPOSIÇÃO CIVIL'!$B:$G,2,FALSE)</f>
        <v>#N/A</v>
      </c>
      <c r="D113" s="352" t="e">
        <f>VLOOKUP($B113,'COMPOSIÇÃO CIVIL'!$B:$G,6,FALSE)</f>
        <v>#N/A</v>
      </c>
      <c r="E113" s="354" t="e">
        <f>VLOOKUP($B113,'COMPOSIÇÃO CIVIL'!$B:$H,7,FALSE)</f>
        <v>#N/A</v>
      </c>
    </row>
    <row r="114" spans="2:5">
      <c r="B114" s="402" t="s">
        <v>2129</v>
      </c>
      <c r="C114" s="353" t="e">
        <f>VLOOKUP($B114,'COMPOSIÇÃO CIVIL'!$B:$G,2,FALSE)</f>
        <v>#N/A</v>
      </c>
      <c r="D114" s="352" t="e">
        <f>VLOOKUP($B114,'COMPOSIÇÃO CIVIL'!$B:$G,6,FALSE)</f>
        <v>#N/A</v>
      </c>
      <c r="E114" s="354" t="e">
        <f>VLOOKUP($B114,'COMPOSIÇÃO CIVIL'!$B:$H,7,FALSE)</f>
        <v>#N/A</v>
      </c>
    </row>
    <row r="115" spans="2:5">
      <c r="B115" s="402" t="s">
        <v>2130</v>
      </c>
      <c r="C115" s="353" t="e">
        <f>VLOOKUP($B115,'COMPOSIÇÃO CIVIL'!$B:$G,2,FALSE)</f>
        <v>#N/A</v>
      </c>
      <c r="D115" s="352" t="e">
        <f>VLOOKUP($B115,'COMPOSIÇÃO CIVIL'!$B:$G,6,FALSE)</f>
        <v>#N/A</v>
      </c>
      <c r="E115" s="354" t="e">
        <f>VLOOKUP($B115,'COMPOSIÇÃO CIVIL'!$B:$H,7,FALSE)</f>
        <v>#N/A</v>
      </c>
    </row>
    <row r="116" spans="2:5">
      <c r="B116" s="402" t="s">
        <v>2131</v>
      </c>
      <c r="C116" s="353" t="e">
        <f>VLOOKUP($B116,'COMPOSIÇÃO CIVIL'!$B:$G,2,FALSE)</f>
        <v>#N/A</v>
      </c>
      <c r="D116" s="352" t="e">
        <f>VLOOKUP($B116,'COMPOSIÇÃO CIVIL'!$B:$G,6,FALSE)</f>
        <v>#N/A</v>
      </c>
      <c r="E116" s="354" t="e">
        <f>VLOOKUP($B116,'COMPOSIÇÃO CIVIL'!$B:$H,7,FALSE)</f>
        <v>#N/A</v>
      </c>
    </row>
    <row r="117" spans="2:5">
      <c r="B117" s="402" t="s">
        <v>2176</v>
      </c>
      <c r="C117" s="353" t="e">
        <f>VLOOKUP($B117,'COMPOSIÇÃO CIVIL'!$B:$G,2,FALSE)</f>
        <v>#N/A</v>
      </c>
      <c r="D117" s="352" t="e">
        <f>VLOOKUP($B117,'COMPOSIÇÃO CIVIL'!$B:$G,6,FALSE)</f>
        <v>#N/A</v>
      </c>
      <c r="E117" s="354" t="e">
        <f>VLOOKUP($B117,'COMPOSIÇÃO CIVIL'!$B:$H,7,FALSE)</f>
        <v>#N/A</v>
      </c>
    </row>
    <row r="118" spans="2:5">
      <c r="B118" s="402" t="s">
        <v>2177</v>
      </c>
      <c r="C118" s="353" t="e">
        <f>VLOOKUP($B118,'COMPOSIÇÃO CIVIL'!$B:$G,2,FALSE)</f>
        <v>#N/A</v>
      </c>
      <c r="D118" s="352" t="e">
        <f>VLOOKUP($B118,'COMPOSIÇÃO CIVIL'!$B:$G,6,FALSE)</f>
        <v>#N/A</v>
      </c>
      <c r="E118" s="354" t="e">
        <f>VLOOKUP($B118,'COMPOSIÇÃO CIVIL'!$B:$H,7,FALSE)</f>
        <v>#N/A</v>
      </c>
    </row>
    <row r="119" spans="2:5">
      <c r="B119" s="402" t="s">
        <v>2625</v>
      </c>
      <c r="C119" s="353" t="e">
        <f>VLOOKUP($B119,'COMPOSIÇÃO CIVIL'!$B:$G,2,FALSE)</f>
        <v>#N/A</v>
      </c>
      <c r="D119" s="352" t="e">
        <f>VLOOKUP($B119,'COMPOSIÇÃO CIVIL'!$B:$G,6,FALSE)</f>
        <v>#N/A</v>
      </c>
      <c r="E119" s="354" t="e">
        <f>VLOOKUP($B119,'COMPOSIÇÃO CIVIL'!$B:$H,7,FALSE)</f>
        <v>#N/A</v>
      </c>
    </row>
    <row r="120" spans="2:5">
      <c r="B120" s="402" t="s">
        <v>2626</v>
      </c>
      <c r="C120" s="353" t="e">
        <f>VLOOKUP($B120,'COMPOSIÇÃO CIVIL'!$B:$G,2,FALSE)</f>
        <v>#N/A</v>
      </c>
      <c r="D120" s="352" t="e">
        <f>VLOOKUP($B120,'COMPOSIÇÃO CIVIL'!$B:$G,6,FALSE)</f>
        <v>#N/A</v>
      </c>
      <c r="E120" s="354" t="e">
        <f>VLOOKUP($B120,'COMPOSIÇÃO CIVIL'!$B:$H,7,FALSE)</f>
        <v>#N/A</v>
      </c>
    </row>
    <row r="121" spans="2:5">
      <c r="B121" s="402" t="s">
        <v>2627</v>
      </c>
      <c r="C121" s="353" t="e">
        <f>VLOOKUP($B121,'COMPOSIÇÃO CIVIL'!$B:$G,2,FALSE)</f>
        <v>#N/A</v>
      </c>
      <c r="D121" s="352" t="e">
        <f>VLOOKUP($B121,'COMPOSIÇÃO CIVIL'!$B:$G,6,FALSE)</f>
        <v>#N/A</v>
      </c>
      <c r="E121" s="354" t="e">
        <f>VLOOKUP($B121,'COMPOSIÇÃO CIVIL'!$B:$H,7,FALSE)</f>
        <v>#N/A</v>
      </c>
    </row>
    <row r="122" spans="2:5">
      <c r="B122" s="402" t="s">
        <v>2628</v>
      </c>
      <c r="C122" s="353" t="e">
        <f>VLOOKUP($B122,'COMPOSIÇÃO CIVIL'!$B:$G,2,FALSE)</f>
        <v>#N/A</v>
      </c>
      <c r="D122" s="352" t="e">
        <f>VLOOKUP($B122,'COMPOSIÇÃO CIVIL'!$B:$G,6,FALSE)</f>
        <v>#N/A</v>
      </c>
      <c r="E122" s="354" t="e">
        <f>VLOOKUP($B122,'COMPOSIÇÃO CIVIL'!$B:$H,7,FALSE)</f>
        <v>#N/A</v>
      </c>
    </row>
    <row r="123" spans="2:5">
      <c r="B123" s="402" t="s">
        <v>2629</v>
      </c>
      <c r="C123" s="353" t="e">
        <f>VLOOKUP($B123,'COMPOSIÇÃO CIVIL'!$B:$G,2,FALSE)</f>
        <v>#N/A</v>
      </c>
      <c r="D123" s="352" t="e">
        <f>VLOOKUP($B123,'COMPOSIÇÃO CIVIL'!$B:$G,6,FALSE)</f>
        <v>#N/A</v>
      </c>
      <c r="E123" s="354" t="e">
        <f>VLOOKUP($B123,'COMPOSIÇÃO CIVIL'!$B:$H,7,FALSE)</f>
        <v>#N/A</v>
      </c>
    </row>
    <row r="124" spans="2:5">
      <c r="B124" s="402" t="s">
        <v>2630</v>
      </c>
      <c r="C124" s="353" t="e">
        <f>VLOOKUP($B124,'COMPOSIÇÃO CIVIL'!$B:$G,2,FALSE)</f>
        <v>#N/A</v>
      </c>
      <c r="D124" s="352" t="e">
        <f>VLOOKUP($B124,'COMPOSIÇÃO CIVIL'!$B:$G,6,FALSE)</f>
        <v>#N/A</v>
      </c>
      <c r="E124" s="354" t="e">
        <f>VLOOKUP($B124,'COMPOSIÇÃO CIVIL'!$B:$H,7,FALSE)</f>
        <v>#N/A</v>
      </c>
    </row>
    <row r="125" spans="2:5">
      <c r="B125" s="402" t="s">
        <v>2631</v>
      </c>
      <c r="C125" s="353" t="e">
        <f>VLOOKUP($B125,'COMPOSIÇÃO CIVIL'!$B:$G,2,FALSE)</f>
        <v>#N/A</v>
      </c>
      <c r="D125" s="352" t="e">
        <f>VLOOKUP($B125,'COMPOSIÇÃO CIVIL'!$B:$G,6,FALSE)</f>
        <v>#N/A</v>
      </c>
      <c r="E125" s="354" t="e">
        <f>VLOOKUP($B125,'COMPOSIÇÃO CIVIL'!$B:$H,7,FALSE)</f>
        <v>#N/A</v>
      </c>
    </row>
    <row r="126" spans="2:5">
      <c r="B126" s="402" t="s">
        <v>2632</v>
      </c>
      <c r="C126" s="353" t="e">
        <f>VLOOKUP($B126,'COMPOSIÇÃO CIVIL'!$B:$G,2,FALSE)</f>
        <v>#N/A</v>
      </c>
      <c r="D126" s="352" t="e">
        <f>VLOOKUP($B126,'COMPOSIÇÃO CIVIL'!$B:$G,6,FALSE)</f>
        <v>#N/A</v>
      </c>
      <c r="E126" s="354" t="e">
        <f>VLOOKUP($B126,'COMPOSIÇÃO CIVIL'!$B:$H,7,FALSE)</f>
        <v>#N/A</v>
      </c>
    </row>
    <row r="127" spans="2:5">
      <c r="B127" s="402" t="s">
        <v>2954</v>
      </c>
      <c r="C127" s="353" t="e">
        <f>VLOOKUP($B127,'COMPOSIÇÃO CIVIL'!$B:$G,2,FALSE)</f>
        <v>#N/A</v>
      </c>
      <c r="D127" s="352" t="e">
        <f>VLOOKUP($B127,'COMPOSIÇÃO CIVIL'!$B:$G,6,FALSE)</f>
        <v>#N/A</v>
      </c>
      <c r="E127" s="354" t="e">
        <f>VLOOKUP($B127,'COMPOSIÇÃO CIVIL'!$B:$H,7,FALSE)</f>
        <v>#N/A</v>
      </c>
    </row>
    <row r="128" spans="2:5">
      <c r="B128" s="402" t="s">
        <v>2955</v>
      </c>
      <c r="C128" s="353" t="e">
        <f>VLOOKUP($B128,'COMPOSIÇÃO CIVIL'!$B:$G,2,FALSE)</f>
        <v>#N/A</v>
      </c>
      <c r="D128" s="352" t="e">
        <f>VLOOKUP($B128,'COMPOSIÇÃO CIVIL'!$B:$G,6,FALSE)</f>
        <v>#N/A</v>
      </c>
      <c r="E128" s="354" t="e">
        <f>VLOOKUP($B128,'COMPOSIÇÃO CIVIL'!$B:$H,7,FALSE)</f>
        <v>#N/A</v>
      </c>
    </row>
    <row r="129" spans="2:5">
      <c r="B129" s="402" t="s">
        <v>2956</v>
      </c>
      <c r="C129" s="353" t="e">
        <f>VLOOKUP($B129,'COMPOSIÇÃO CIVIL'!$B:$G,2,FALSE)</f>
        <v>#N/A</v>
      </c>
      <c r="D129" s="352" t="e">
        <f>VLOOKUP($B129,'COMPOSIÇÃO CIVIL'!$B:$G,6,FALSE)</f>
        <v>#N/A</v>
      </c>
      <c r="E129" s="354" t="e">
        <f>VLOOKUP($B129,'COMPOSIÇÃO CIVIL'!$B:$H,7,FALSE)</f>
        <v>#N/A</v>
      </c>
    </row>
    <row r="130" spans="2:5">
      <c r="B130" s="402" t="s">
        <v>2957</v>
      </c>
      <c r="C130" s="353" t="e">
        <f>VLOOKUP($B130,'COMPOSIÇÃO CIVIL'!$B:$G,2,FALSE)</f>
        <v>#N/A</v>
      </c>
      <c r="D130" s="352" t="e">
        <f>VLOOKUP($B130,'COMPOSIÇÃO CIVIL'!$B:$G,6,FALSE)</f>
        <v>#N/A</v>
      </c>
      <c r="E130" s="354" t="e">
        <f>VLOOKUP($B130,'COMPOSIÇÃO CIVIL'!$B:$H,7,FALSE)</f>
        <v>#N/A</v>
      </c>
    </row>
    <row r="131" spans="2:5">
      <c r="B131" s="402" t="s">
        <v>2958</v>
      </c>
      <c r="C131" s="353" t="e">
        <f>VLOOKUP($B131,'COMPOSIÇÃO CIVIL'!$B:$G,2,FALSE)</f>
        <v>#N/A</v>
      </c>
      <c r="D131" s="352" t="e">
        <f>VLOOKUP($B131,'COMPOSIÇÃO CIVIL'!$B:$G,6,FALSE)</f>
        <v>#N/A</v>
      </c>
      <c r="E131" s="354" t="e">
        <f>VLOOKUP($B131,'COMPOSIÇÃO CIVIL'!$B:$H,7,FALSE)</f>
        <v>#N/A</v>
      </c>
    </row>
    <row r="132" spans="2:5">
      <c r="B132" s="402" t="s">
        <v>2959</v>
      </c>
      <c r="C132" s="353" t="e">
        <f>VLOOKUP($B132,'COMPOSIÇÃO CIVIL'!$B:$G,2,FALSE)</f>
        <v>#N/A</v>
      </c>
      <c r="D132" s="352" t="e">
        <f>VLOOKUP($B132,'COMPOSIÇÃO CIVIL'!$B:$G,6,FALSE)</f>
        <v>#N/A</v>
      </c>
      <c r="E132" s="354" t="e">
        <f>VLOOKUP($B132,'COMPOSIÇÃO CIVIL'!$B:$H,7,FALSE)</f>
        <v>#N/A</v>
      </c>
    </row>
    <row r="133" spans="2:5">
      <c r="B133" s="402" t="s">
        <v>2960</v>
      </c>
      <c r="C133" s="353" t="e">
        <f>VLOOKUP($B133,'COMPOSIÇÃO CIVIL'!$B:$G,2,FALSE)</f>
        <v>#N/A</v>
      </c>
      <c r="D133" s="352" t="e">
        <f>VLOOKUP($B133,'COMPOSIÇÃO CIVIL'!$B:$G,6,FALSE)</f>
        <v>#N/A</v>
      </c>
      <c r="E133" s="354" t="e">
        <f>VLOOKUP($B133,'COMPOSIÇÃO CIVIL'!$B:$H,7,FALSE)</f>
        <v>#N/A</v>
      </c>
    </row>
    <row r="134" spans="2:5">
      <c r="B134" s="402" t="s">
        <v>2961</v>
      </c>
      <c r="C134" s="353" t="e">
        <f>VLOOKUP($B134,'COMPOSIÇÃO CIVIL'!$B:$G,2,FALSE)</f>
        <v>#N/A</v>
      </c>
      <c r="D134" s="352" t="e">
        <f>VLOOKUP($B134,'COMPOSIÇÃO CIVIL'!$B:$G,6,FALSE)</f>
        <v>#N/A</v>
      </c>
      <c r="E134" s="354" t="e">
        <f>VLOOKUP($B134,'COMPOSIÇÃO CIVIL'!$B:$H,7,FALSE)</f>
        <v>#N/A</v>
      </c>
    </row>
    <row r="135" spans="2:5">
      <c r="B135" s="402" t="s">
        <v>2962</v>
      </c>
      <c r="C135" s="353" t="e">
        <f>VLOOKUP($B135,'COMPOSIÇÃO CIVIL'!$B:$G,2,FALSE)</f>
        <v>#N/A</v>
      </c>
      <c r="D135" s="352" t="e">
        <f>VLOOKUP($B135,'COMPOSIÇÃO CIVIL'!$B:$G,6,FALSE)</f>
        <v>#N/A</v>
      </c>
      <c r="E135" s="354" t="e">
        <f>VLOOKUP($B135,'COMPOSIÇÃO CIVIL'!$B:$H,7,FALSE)</f>
        <v>#N/A</v>
      </c>
    </row>
    <row r="136" spans="2:5">
      <c r="B136" s="402" t="s">
        <v>2963</v>
      </c>
      <c r="C136" s="353" t="e">
        <f>VLOOKUP($B136,'COMPOSIÇÃO CIVIL'!$B:$G,2,FALSE)</f>
        <v>#N/A</v>
      </c>
      <c r="D136" s="352" t="e">
        <f>VLOOKUP($B136,'COMPOSIÇÃO CIVIL'!$B:$G,6,FALSE)</f>
        <v>#N/A</v>
      </c>
      <c r="E136" s="354" t="e">
        <f>VLOOKUP($B136,'COMPOSIÇÃO CIVIL'!$B:$H,7,FALSE)</f>
        <v>#N/A</v>
      </c>
    </row>
    <row r="137" spans="2:5" ht="15.75" thickBot="1">
      <c r="B137" s="396"/>
      <c r="C137" s="401"/>
      <c r="D137" s="396"/>
    </row>
    <row r="138" spans="2:5" ht="16.5" thickBot="1">
      <c r="B138" s="79" t="s">
        <v>391</v>
      </c>
      <c r="C138" s="80" t="s">
        <v>390</v>
      </c>
      <c r="D138" s="82" t="s">
        <v>30</v>
      </c>
      <c r="E138" s="83" t="s">
        <v>31</v>
      </c>
    </row>
    <row r="139" spans="2:5">
      <c r="B139" s="352" t="s">
        <v>193</v>
      </c>
      <c r="C139" s="353" t="e">
        <f>VLOOKUP($B139,#REF!,2,FALSE)</f>
        <v>#REF!</v>
      </c>
      <c r="D139" s="352" t="e">
        <f>VLOOKUP($B139,#REF!,6,FALSE)</f>
        <v>#REF!</v>
      </c>
      <c r="E139" s="354" t="e">
        <f>VLOOKUP($B139,#REF!,7,FALSE)</f>
        <v>#REF!</v>
      </c>
    </row>
    <row r="140" spans="2:5">
      <c r="B140" s="352" t="s">
        <v>2639</v>
      </c>
      <c r="C140" s="353" t="e">
        <f>VLOOKUP($B140,#REF!,2,FALSE)</f>
        <v>#REF!</v>
      </c>
      <c r="D140" s="352" t="e">
        <f>VLOOKUP($B140,#REF!,6,FALSE)</f>
        <v>#REF!</v>
      </c>
      <c r="E140" s="354" t="e">
        <f>VLOOKUP($B140,#REF!,7,FALSE)</f>
        <v>#REF!</v>
      </c>
    </row>
    <row r="141" spans="2:5">
      <c r="B141" s="352" t="s">
        <v>2640</v>
      </c>
      <c r="C141" s="353" t="e">
        <f>VLOOKUP($B141,#REF!,2,FALSE)</f>
        <v>#REF!</v>
      </c>
      <c r="D141" s="352" t="e">
        <f>VLOOKUP($B141,#REF!,6,FALSE)</f>
        <v>#REF!</v>
      </c>
      <c r="E141" s="354" t="e">
        <f>VLOOKUP($B141,#REF!,7,FALSE)</f>
        <v>#REF!</v>
      </c>
    </row>
    <row r="142" spans="2:5">
      <c r="B142" s="352" t="s">
        <v>2641</v>
      </c>
      <c r="C142" s="353" t="e">
        <f>VLOOKUP($B142,#REF!,2,FALSE)</f>
        <v>#REF!</v>
      </c>
      <c r="D142" s="352" t="e">
        <f>VLOOKUP($B142,#REF!,6,FALSE)</f>
        <v>#REF!</v>
      </c>
      <c r="E142" s="354" t="e">
        <f>VLOOKUP($B142,#REF!,7,FALSE)</f>
        <v>#REF!</v>
      </c>
    </row>
    <row r="143" spans="2:5">
      <c r="B143" s="352" t="s">
        <v>2642</v>
      </c>
      <c r="C143" s="353" t="e">
        <f>VLOOKUP($B143,#REF!,2,FALSE)</f>
        <v>#REF!</v>
      </c>
      <c r="D143" s="352" t="e">
        <f>VLOOKUP($B143,#REF!,6,FALSE)</f>
        <v>#REF!</v>
      </c>
      <c r="E143" s="354" t="e">
        <f>VLOOKUP($B143,#REF!,7,FALSE)</f>
        <v>#REF!</v>
      </c>
    </row>
    <row r="144" spans="2:5">
      <c r="B144" s="352" t="s">
        <v>2643</v>
      </c>
      <c r="C144" s="353" t="e">
        <f>VLOOKUP($B144,#REF!,2,FALSE)</f>
        <v>#REF!</v>
      </c>
      <c r="D144" s="352" t="e">
        <f>VLOOKUP($B144,#REF!,6,FALSE)</f>
        <v>#REF!</v>
      </c>
      <c r="E144" s="354" t="e">
        <f>VLOOKUP($B144,#REF!,7,FALSE)</f>
        <v>#REF!</v>
      </c>
    </row>
    <row r="145" spans="2:5">
      <c r="B145" s="352" t="s">
        <v>2644</v>
      </c>
      <c r="C145" s="353" t="e">
        <f>VLOOKUP($B145,#REF!,2,FALSE)</f>
        <v>#REF!</v>
      </c>
      <c r="D145" s="352" t="e">
        <f>VLOOKUP($B145,#REF!,6,FALSE)</f>
        <v>#REF!</v>
      </c>
      <c r="E145" s="354" t="e">
        <f>VLOOKUP($B145,#REF!,7,FALSE)</f>
        <v>#REF!</v>
      </c>
    </row>
    <row r="146" spans="2:5">
      <c r="B146" s="352" t="s">
        <v>2645</v>
      </c>
      <c r="C146" s="353" t="e">
        <f>VLOOKUP($B146,#REF!,2,FALSE)</f>
        <v>#REF!</v>
      </c>
      <c r="D146" s="352" t="e">
        <f>VLOOKUP($B146,#REF!,6,FALSE)</f>
        <v>#REF!</v>
      </c>
      <c r="E146" s="354" t="e">
        <f>VLOOKUP($B146,#REF!,7,FALSE)</f>
        <v>#REF!</v>
      </c>
    </row>
    <row r="147" spans="2:5">
      <c r="B147" s="352" t="s">
        <v>2646</v>
      </c>
      <c r="C147" s="353" t="e">
        <f>VLOOKUP($B147,#REF!,2,FALSE)</f>
        <v>#REF!</v>
      </c>
      <c r="D147" s="352" t="e">
        <f>VLOOKUP($B147,#REF!,6,FALSE)</f>
        <v>#REF!</v>
      </c>
      <c r="E147" s="354" t="e">
        <f>VLOOKUP($B147,#REF!,7,FALSE)</f>
        <v>#REF!</v>
      </c>
    </row>
    <row r="148" spans="2:5">
      <c r="B148" s="352" t="s">
        <v>2647</v>
      </c>
      <c r="C148" s="353" t="e">
        <f>VLOOKUP($B148,#REF!,2,FALSE)</f>
        <v>#REF!</v>
      </c>
      <c r="D148" s="352" t="e">
        <f>VLOOKUP($B148,#REF!,6,FALSE)</f>
        <v>#REF!</v>
      </c>
      <c r="E148" s="354" t="e">
        <f>VLOOKUP($B148,#REF!,7,FALSE)</f>
        <v>#REF!</v>
      </c>
    </row>
    <row r="149" spans="2:5">
      <c r="B149" s="352" t="s">
        <v>2648</v>
      </c>
      <c r="C149" s="353" t="e">
        <f>VLOOKUP($B149,#REF!,2,FALSE)</f>
        <v>#REF!</v>
      </c>
      <c r="D149" s="352" t="e">
        <f>VLOOKUP($B149,#REF!,6,FALSE)</f>
        <v>#REF!</v>
      </c>
      <c r="E149" s="354" t="e">
        <f>VLOOKUP($B149,#REF!,7,FALSE)</f>
        <v>#REF!</v>
      </c>
    </row>
    <row r="150" spans="2:5">
      <c r="B150" s="352" t="s">
        <v>2633</v>
      </c>
      <c r="C150" s="353" t="e">
        <f>VLOOKUP($B150,#REF!,2,FALSE)</f>
        <v>#REF!</v>
      </c>
      <c r="D150" s="352" t="e">
        <f>VLOOKUP($B150,#REF!,6,FALSE)</f>
        <v>#REF!</v>
      </c>
      <c r="E150" s="354" t="e">
        <f>VLOOKUP($B150,#REF!,7,FALSE)</f>
        <v>#REF!</v>
      </c>
    </row>
    <row r="151" spans="2:5">
      <c r="B151" s="352" t="s">
        <v>2427</v>
      </c>
      <c r="C151" s="353" t="e">
        <f>VLOOKUP($B151,#REF!,2,FALSE)</f>
        <v>#REF!</v>
      </c>
      <c r="D151" s="352" t="e">
        <f>VLOOKUP($B151,#REF!,6,FALSE)</f>
        <v>#REF!</v>
      </c>
      <c r="E151" s="354" t="e">
        <f>VLOOKUP($B151,#REF!,7,FALSE)</f>
        <v>#REF!</v>
      </c>
    </row>
    <row r="152" spans="2:5">
      <c r="B152" s="352" t="s">
        <v>2649</v>
      </c>
      <c r="C152" s="353" t="e">
        <f>VLOOKUP($B152,#REF!,2,FALSE)</f>
        <v>#REF!</v>
      </c>
      <c r="D152" s="352" t="e">
        <f>VLOOKUP($B152,#REF!,6,FALSE)</f>
        <v>#REF!</v>
      </c>
      <c r="E152" s="354" t="e">
        <f>VLOOKUP($B152,#REF!,7,FALSE)</f>
        <v>#REF!</v>
      </c>
    </row>
    <row r="153" spans="2:5">
      <c r="B153" s="352" t="s">
        <v>2650</v>
      </c>
      <c r="C153" s="353" t="e">
        <f>VLOOKUP($B153,#REF!,2,FALSE)</f>
        <v>#REF!</v>
      </c>
      <c r="D153" s="352" t="e">
        <f>VLOOKUP($B153,#REF!,6,FALSE)</f>
        <v>#REF!</v>
      </c>
      <c r="E153" s="354" t="e">
        <f>VLOOKUP($B153,#REF!,7,FALSE)</f>
        <v>#REF!</v>
      </c>
    </row>
    <row r="154" spans="2:5">
      <c r="B154" s="352" t="s">
        <v>2651</v>
      </c>
      <c r="C154" s="353" t="e">
        <f>VLOOKUP($B154,#REF!,2,FALSE)</f>
        <v>#REF!</v>
      </c>
      <c r="D154" s="352" t="e">
        <f>VLOOKUP($B154,#REF!,6,FALSE)</f>
        <v>#REF!</v>
      </c>
      <c r="E154" s="354" t="e">
        <f>VLOOKUP($B154,#REF!,7,FALSE)</f>
        <v>#REF!</v>
      </c>
    </row>
    <row r="155" spans="2:5">
      <c r="B155" s="352" t="s">
        <v>2652</v>
      </c>
      <c r="C155" s="353" t="e">
        <f>VLOOKUP($B155,#REF!,2,FALSE)</f>
        <v>#REF!</v>
      </c>
      <c r="D155" s="352" t="e">
        <f>VLOOKUP($B155,#REF!,6,FALSE)</f>
        <v>#REF!</v>
      </c>
      <c r="E155" s="354" t="e">
        <f>VLOOKUP($B155,#REF!,7,FALSE)</f>
        <v>#REF!</v>
      </c>
    </row>
    <row r="156" spans="2:5">
      <c r="B156" s="352" t="s">
        <v>2653</v>
      </c>
      <c r="C156" s="353" t="e">
        <f>VLOOKUP($B156,#REF!,2,FALSE)</f>
        <v>#REF!</v>
      </c>
      <c r="D156" s="352" t="e">
        <f>VLOOKUP($B156,#REF!,6,FALSE)</f>
        <v>#REF!</v>
      </c>
      <c r="E156" s="354" t="e">
        <f>VLOOKUP($B156,#REF!,7,FALSE)</f>
        <v>#REF!</v>
      </c>
    </row>
    <row r="157" spans="2:5">
      <c r="B157" s="352" t="s">
        <v>2654</v>
      </c>
      <c r="C157" s="353" t="e">
        <f>VLOOKUP($B157,#REF!,2,FALSE)</f>
        <v>#REF!</v>
      </c>
      <c r="D157" s="352" t="e">
        <f>VLOOKUP($B157,#REF!,6,FALSE)</f>
        <v>#REF!</v>
      </c>
      <c r="E157" s="354" t="e">
        <f>VLOOKUP($B157,#REF!,7,FALSE)</f>
        <v>#REF!</v>
      </c>
    </row>
    <row r="158" spans="2:5">
      <c r="B158" s="352" t="s">
        <v>2655</v>
      </c>
      <c r="C158" s="353" t="e">
        <f>VLOOKUP($B158,#REF!,2,FALSE)</f>
        <v>#REF!</v>
      </c>
      <c r="D158" s="352" t="e">
        <f>VLOOKUP($B158,#REF!,6,FALSE)</f>
        <v>#REF!</v>
      </c>
      <c r="E158" s="354" t="e">
        <f>VLOOKUP($B158,#REF!,7,FALSE)</f>
        <v>#REF!</v>
      </c>
    </row>
    <row r="159" spans="2:5">
      <c r="B159" s="352" t="s">
        <v>2656</v>
      </c>
      <c r="C159" s="353" t="e">
        <f>VLOOKUP($B159,#REF!,2,FALSE)</f>
        <v>#REF!</v>
      </c>
      <c r="D159" s="352" t="e">
        <f>VLOOKUP($B159,#REF!,6,FALSE)</f>
        <v>#REF!</v>
      </c>
      <c r="E159" s="354" t="e">
        <f>VLOOKUP($B159,#REF!,7,FALSE)</f>
        <v>#REF!</v>
      </c>
    </row>
    <row r="160" spans="2:5">
      <c r="B160" s="352" t="s">
        <v>2657</v>
      </c>
      <c r="C160" s="353" t="e">
        <f>VLOOKUP($B160,#REF!,2,FALSE)</f>
        <v>#REF!</v>
      </c>
      <c r="D160" s="352" t="e">
        <f>VLOOKUP($B160,#REF!,6,FALSE)</f>
        <v>#REF!</v>
      </c>
      <c r="E160" s="354" t="e">
        <f>VLOOKUP($B160,#REF!,7,FALSE)</f>
        <v>#REF!</v>
      </c>
    </row>
    <row r="161" spans="2:5">
      <c r="B161" s="352" t="s">
        <v>2658</v>
      </c>
      <c r="C161" s="353" t="e">
        <f>VLOOKUP($B161,#REF!,2,FALSE)</f>
        <v>#REF!</v>
      </c>
      <c r="D161" s="352" t="e">
        <f>VLOOKUP($B161,#REF!,6,FALSE)</f>
        <v>#REF!</v>
      </c>
      <c r="E161" s="354" t="e">
        <f>VLOOKUP($B161,#REF!,7,FALSE)</f>
        <v>#REF!</v>
      </c>
    </row>
    <row r="162" spans="2:5">
      <c r="B162" s="352" t="s">
        <v>2659</v>
      </c>
      <c r="C162" s="353" t="e">
        <f>VLOOKUP($B162,#REF!,2,FALSE)</f>
        <v>#REF!</v>
      </c>
      <c r="D162" s="352" t="e">
        <f>VLOOKUP($B162,#REF!,6,FALSE)</f>
        <v>#REF!</v>
      </c>
      <c r="E162" s="354" t="e">
        <f>VLOOKUP($B162,#REF!,7,FALSE)</f>
        <v>#REF!</v>
      </c>
    </row>
    <row r="163" spans="2:5">
      <c r="B163" s="352" t="s">
        <v>2660</v>
      </c>
      <c r="C163" s="353" t="e">
        <f>VLOOKUP($B163,#REF!,2,FALSE)</f>
        <v>#REF!</v>
      </c>
      <c r="D163" s="352" t="e">
        <f>VLOOKUP($B163,#REF!,6,FALSE)</f>
        <v>#REF!</v>
      </c>
      <c r="E163" s="354" t="e">
        <f>VLOOKUP($B163,#REF!,7,FALSE)</f>
        <v>#REF!</v>
      </c>
    </row>
    <row r="164" spans="2:5">
      <c r="B164" s="352" t="s">
        <v>2661</v>
      </c>
      <c r="C164" s="353" t="e">
        <f>VLOOKUP($B164,#REF!,2,FALSE)</f>
        <v>#REF!</v>
      </c>
      <c r="D164" s="352" t="e">
        <f>VLOOKUP($B164,#REF!,6,FALSE)</f>
        <v>#REF!</v>
      </c>
      <c r="E164" s="354" t="e">
        <f>VLOOKUP($B164,#REF!,7,FALSE)</f>
        <v>#REF!</v>
      </c>
    </row>
    <row r="165" spans="2:5">
      <c r="B165" s="352" t="s">
        <v>2662</v>
      </c>
      <c r="C165" s="353" t="e">
        <f>VLOOKUP($B165,#REF!,2,FALSE)</f>
        <v>#REF!</v>
      </c>
      <c r="D165" s="352" t="e">
        <f>VLOOKUP($B165,#REF!,6,FALSE)</f>
        <v>#REF!</v>
      </c>
      <c r="E165" s="354" t="e">
        <f>VLOOKUP($B165,#REF!,7,FALSE)</f>
        <v>#REF!</v>
      </c>
    </row>
    <row r="166" spans="2:5">
      <c r="B166" s="352" t="s">
        <v>2663</v>
      </c>
      <c r="C166" s="353" t="e">
        <f>VLOOKUP($B166,#REF!,2,FALSE)</f>
        <v>#REF!</v>
      </c>
      <c r="D166" s="352" t="e">
        <f>VLOOKUP($B166,#REF!,6,FALSE)</f>
        <v>#REF!</v>
      </c>
      <c r="E166" s="354" t="e">
        <f>VLOOKUP($B166,#REF!,7,FALSE)</f>
        <v>#REF!</v>
      </c>
    </row>
    <row r="167" spans="2:5">
      <c r="B167" s="352" t="s">
        <v>2664</v>
      </c>
      <c r="C167" s="353" t="e">
        <f>VLOOKUP($B167,#REF!,2,FALSE)</f>
        <v>#REF!</v>
      </c>
      <c r="D167" s="352" t="e">
        <f>VLOOKUP($B167,#REF!,6,FALSE)</f>
        <v>#REF!</v>
      </c>
      <c r="E167" s="354" t="e">
        <f>VLOOKUP($B167,#REF!,7,FALSE)</f>
        <v>#REF!</v>
      </c>
    </row>
    <row r="168" spans="2:5">
      <c r="B168" s="352" t="s">
        <v>2665</v>
      </c>
      <c r="C168" s="353" t="e">
        <f>VLOOKUP($B168,#REF!,2,FALSE)</f>
        <v>#REF!</v>
      </c>
      <c r="D168" s="352" t="e">
        <f>VLOOKUP($B168,#REF!,6,FALSE)</f>
        <v>#REF!</v>
      </c>
      <c r="E168" s="354" t="e">
        <f>VLOOKUP($B168,#REF!,7,FALSE)</f>
        <v>#REF!</v>
      </c>
    </row>
    <row r="169" spans="2:5">
      <c r="B169" s="352" t="s">
        <v>2666</v>
      </c>
      <c r="C169" s="353" t="e">
        <f>VLOOKUP($B169,#REF!,2,FALSE)</f>
        <v>#REF!</v>
      </c>
      <c r="D169" s="352" t="e">
        <f>VLOOKUP($B169,#REF!,6,FALSE)</f>
        <v>#REF!</v>
      </c>
      <c r="E169" s="354" t="e">
        <f>VLOOKUP($B169,#REF!,7,FALSE)</f>
        <v>#REF!</v>
      </c>
    </row>
    <row r="170" spans="2:5">
      <c r="B170" s="352" t="s">
        <v>2667</v>
      </c>
      <c r="C170" s="353" t="e">
        <f>VLOOKUP($B170,#REF!,2,FALSE)</f>
        <v>#REF!</v>
      </c>
      <c r="D170" s="352" t="e">
        <f>VLOOKUP($B170,#REF!,6,FALSE)</f>
        <v>#REF!</v>
      </c>
      <c r="E170" s="354" t="e">
        <f>VLOOKUP($B170,#REF!,7,FALSE)</f>
        <v>#REF!</v>
      </c>
    </row>
    <row r="171" spans="2:5">
      <c r="B171" s="352" t="s">
        <v>2668</v>
      </c>
      <c r="C171" s="353" t="e">
        <f>VLOOKUP($B171,#REF!,2,FALSE)</f>
        <v>#REF!</v>
      </c>
      <c r="D171" s="352" t="e">
        <f>VLOOKUP($B171,#REF!,6,FALSE)</f>
        <v>#REF!</v>
      </c>
      <c r="E171" s="354" t="e">
        <f>VLOOKUP($B171,#REF!,7,FALSE)</f>
        <v>#REF!</v>
      </c>
    </row>
    <row r="172" spans="2:5">
      <c r="B172" s="352" t="s">
        <v>2669</v>
      </c>
      <c r="C172" s="353" t="e">
        <f>VLOOKUP($B172,#REF!,2,FALSE)</f>
        <v>#REF!</v>
      </c>
      <c r="D172" s="352" t="e">
        <f>VLOOKUP($B172,#REF!,6,FALSE)</f>
        <v>#REF!</v>
      </c>
      <c r="E172" s="354" t="e">
        <f>VLOOKUP($B172,#REF!,7,FALSE)</f>
        <v>#REF!</v>
      </c>
    </row>
    <row r="173" spans="2:5">
      <c r="B173" s="352" t="s">
        <v>2670</v>
      </c>
      <c r="C173" s="353" t="e">
        <f>VLOOKUP($B173,#REF!,2,FALSE)</f>
        <v>#REF!</v>
      </c>
      <c r="D173" s="352" t="e">
        <f>VLOOKUP($B173,#REF!,6,FALSE)</f>
        <v>#REF!</v>
      </c>
      <c r="E173" s="354" t="e">
        <f>VLOOKUP($B173,#REF!,7,FALSE)</f>
        <v>#REF!</v>
      </c>
    </row>
    <row r="174" spans="2:5">
      <c r="B174" s="352" t="s">
        <v>2671</v>
      </c>
      <c r="C174" s="353" t="e">
        <f>VLOOKUP($B174,#REF!,2,FALSE)</f>
        <v>#REF!</v>
      </c>
      <c r="D174" s="352" t="e">
        <f>VLOOKUP($B174,#REF!,6,FALSE)</f>
        <v>#REF!</v>
      </c>
      <c r="E174" s="354" t="e">
        <f>VLOOKUP($B174,#REF!,7,FALSE)</f>
        <v>#REF!</v>
      </c>
    </row>
    <row r="175" spans="2:5">
      <c r="B175" s="352" t="s">
        <v>2672</v>
      </c>
      <c r="C175" s="353" t="e">
        <f>VLOOKUP($B175,#REF!,2,FALSE)</f>
        <v>#REF!</v>
      </c>
      <c r="D175" s="352" t="e">
        <f>VLOOKUP($B175,#REF!,6,FALSE)</f>
        <v>#REF!</v>
      </c>
      <c r="E175" s="354" t="e">
        <f>VLOOKUP($B175,#REF!,7,FALSE)</f>
        <v>#REF!</v>
      </c>
    </row>
    <row r="176" spans="2:5">
      <c r="B176" s="352" t="s">
        <v>2673</v>
      </c>
      <c r="C176" s="353" t="e">
        <f>VLOOKUP($B176,#REF!,2,FALSE)</f>
        <v>#REF!</v>
      </c>
      <c r="D176" s="352" t="e">
        <f>VLOOKUP($B176,#REF!,6,FALSE)</f>
        <v>#REF!</v>
      </c>
      <c r="E176" s="354" t="e">
        <f>VLOOKUP($B176,#REF!,7,FALSE)</f>
        <v>#REF!</v>
      </c>
    </row>
    <row r="177" spans="2:5">
      <c r="B177" s="352" t="s">
        <v>2674</v>
      </c>
      <c r="C177" s="353" t="e">
        <f>VLOOKUP($B177,#REF!,2,FALSE)</f>
        <v>#REF!</v>
      </c>
      <c r="D177" s="352" t="e">
        <f>VLOOKUP($B177,#REF!,6,FALSE)</f>
        <v>#REF!</v>
      </c>
      <c r="E177" s="354" t="e">
        <f>VLOOKUP($B177,#REF!,7,FALSE)</f>
        <v>#REF!</v>
      </c>
    </row>
    <row r="178" spans="2:5">
      <c r="B178" s="352" t="s">
        <v>2675</v>
      </c>
      <c r="C178" s="353" t="e">
        <f>VLOOKUP($B178,#REF!,2,FALSE)</f>
        <v>#REF!</v>
      </c>
      <c r="D178" s="352" t="e">
        <f>VLOOKUP($B178,#REF!,6,FALSE)</f>
        <v>#REF!</v>
      </c>
      <c r="E178" s="354" t="e">
        <f>VLOOKUP($B178,#REF!,7,FALSE)</f>
        <v>#REF!</v>
      </c>
    </row>
    <row r="179" spans="2:5">
      <c r="B179" s="352" t="s">
        <v>2676</v>
      </c>
      <c r="C179" s="353" t="e">
        <f>VLOOKUP($B179,#REF!,2,FALSE)</f>
        <v>#REF!</v>
      </c>
      <c r="D179" s="352" t="e">
        <f>VLOOKUP($B179,#REF!,6,FALSE)</f>
        <v>#REF!</v>
      </c>
      <c r="E179" s="354" t="e">
        <f>VLOOKUP($B179,#REF!,7,FALSE)</f>
        <v>#REF!</v>
      </c>
    </row>
    <row r="180" spans="2:5">
      <c r="B180" s="352" t="s">
        <v>2677</v>
      </c>
      <c r="C180" s="353" t="e">
        <f>VLOOKUP($B180,#REF!,2,FALSE)</f>
        <v>#REF!</v>
      </c>
      <c r="D180" s="352" t="e">
        <f>VLOOKUP($B180,#REF!,6,FALSE)</f>
        <v>#REF!</v>
      </c>
      <c r="E180" s="354" t="e">
        <f>VLOOKUP($B180,#REF!,7,FALSE)</f>
        <v>#REF!</v>
      </c>
    </row>
    <row r="181" spans="2:5">
      <c r="B181" s="352" t="s">
        <v>2678</v>
      </c>
      <c r="C181" s="353" t="e">
        <f>VLOOKUP($B181,#REF!,2,FALSE)</f>
        <v>#REF!</v>
      </c>
      <c r="D181" s="352" t="e">
        <f>VLOOKUP($B181,#REF!,6,FALSE)</f>
        <v>#REF!</v>
      </c>
      <c r="E181" s="354" t="e">
        <f>VLOOKUP($B181,#REF!,7,FALSE)</f>
        <v>#REF!</v>
      </c>
    </row>
    <row r="182" spans="2:5">
      <c r="B182" s="352" t="s">
        <v>2679</v>
      </c>
      <c r="C182" s="353" t="e">
        <f>VLOOKUP($B182,#REF!,2,FALSE)</f>
        <v>#REF!</v>
      </c>
      <c r="D182" s="352" t="e">
        <f>VLOOKUP($B182,#REF!,6,FALSE)</f>
        <v>#REF!</v>
      </c>
      <c r="E182" s="354" t="e">
        <f>VLOOKUP($B182,#REF!,7,FALSE)</f>
        <v>#REF!</v>
      </c>
    </row>
    <row r="183" spans="2:5">
      <c r="B183" s="352" t="s">
        <v>2680</v>
      </c>
      <c r="C183" s="353" t="e">
        <f>VLOOKUP($B183,#REF!,2,FALSE)</f>
        <v>#REF!</v>
      </c>
      <c r="D183" s="352" t="e">
        <f>VLOOKUP($B183,#REF!,6,FALSE)</f>
        <v>#REF!</v>
      </c>
      <c r="E183" s="354" t="e">
        <f>VLOOKUP($B183,#REF!,7,FALSE)</f>
        <v>#REF!</v>
      </c>
    </row>
    <row r="184" spans="2:5">
      <c r="B184" s="352" t="s">
        <v>2681</v>
      </c>
      <c r="C184" s="353" t="e">
        <f>VLOOKUP($B184,#REF!,2,FALSE)</f>
        <v>#REF!</v>
      </c>
      <c r="D184" s="352" t="e">
        <f>VLOOKUP($B184,#REF!,6,FALSE)</f>
        <v>#REF!</v>
      </c>
      <c r="E184" s="354" t="e">
        <f>VLOOKUP($B184,#REF!,7,FALSE)</f>
        <v>#REF!</v>
      </c>
    </row>
    <row r="185" spans="2:5">
      <c r="B185" s="352" t="s">
        <v>2682</v>
      </c>
      <c r="C185" s="353" t="e">
        <f>VLOOKUP($B185,#REF!,2,FALSE)</f>
        <v>#REF!</v>
      </c>
      <c r="D185" s="352" t="e">
        <f>VLOOKUP($B185,#REF!,6,FALSE)</f>
        <v>#REF!</v>
      </c>
      <c r="E185" s="354" t="e">
        <f>VLOOKUP($B185,#REF!,7,FALSE)</f>
        <v>#REF!</v>
      </c>
    </row>
    <row r="186" spans="2:5">
      <c r="B186" s="352" t="s">
        <v>2683</v>
      </c>
      <c r="C186" s="353" t="e">
        <f>VLOOKUP($B186,#REF!,2,FALSE)</f>
        <v>#REF!</v>
      </c>
      <c r="D186" s="352" t="e">
        <f>VLOOKUP($B186,#REF!,6,FALSE)</f>
        <v>#REF!</v>
      </c>
      <c r="E186" s="354" t="e">
        <f>VLOOKUP($B186,#REF!,7,FALSE)</f>
        <v>#REF!</v>
      </c>
    </row>
    <row r="187" spans="2:5">
      <c r="B187" s="352" t="s">
        <v>2684</v>
      </c>
      <c r="C187" s="353" t="e">
        <f>VLOOKUP($B187,#REF!,2,FALSE)</f>
        <v>#REF!</v>
      </c>
      <c r="D187" s="352" t="e">
        <f>VLOOKUP($B187,#REF!,6,FALSE)</f>
        <v>#REF!</v>
      </c>
      <c r="E187" s="354" t="e">
        <f>VLOOKUP($B187,#REF!,7,FALSE)</f>
        <v>#REF!</v>
      </c>
    </row>
    <row r="188" spans="2:5">
      <c r="B188" s="352" t="s">
        <v>2685</v>
      </c>
      <c r="C188" s="353" t="e">
        <f>VLOOKUP($B188,#REF!,2,FALSE)</f>
        <v>#REF!</v>
      </c>
      <c r="D188" s="352" t="e">
        <f>VLOOKUP($B188,#REF!,6,FALSE)</f>
        <v>#REF!</v>
      </c>
      <c r="E188" s="354" t="e">
        <f>VLOOKUP($B188,#REF!,7,FALSE)</f>
        <v>#REF!</v>
      </c>
    </row>
    <row r="189" spans="2:5">
      <c r="B189" s="352" t="s">
        <v>2686</v>
      </c>
      <c r="C189" s="353" t="e">
        <f>VLOOKUP($B189,#REF!,2,FALSE)</f>
        <v>#REF!</v>
      </c>
      <c r="D189" s="352" t="e">
        <f>VLOOKUP($B189,#REF!,6,FALSE)</f>
        <v>#REF!</v>
      </c>
      <c r="E189" s="354" t="e">
        <f>VLOOKUP($B189,#REF!,7,FALSE)</f>
        <v>#REF!</v>
      </c>
    </row>
    <row r="190" spans="2:5">
      <c r="B190" s="352" t="s">
        <v>2687</v>
      </c>
      <c r="C190" s="353" t="e">
        <f>VLOOKUP($B190,#REF!,2,FALSE)</f>
        <v>#REF!</v>
      </c>
      <c r="D190" s="352" t="e">
        <f>VLOOKUP($B190,#REF!,6,FALSE)</f>
        <v>#REF!</v>
      </c>
      <c r="E190" s="354" t="e">
        <f>VLOOKUP($B190,#REF!,7,FALSE)</f>
        <v>#REF!</v>
      </c>
    </row>
    <row r="191" spans="2:5">
      <c r="B191" s="352" t="s">
        <v>2688</v>
      </c>
      <c r="C191" s="353" t="e">
        <f>VLOOKUP($B191,#REF!,2,FALSE)</f>
        <v>#REF!</v>
      </c>
      <c r="D191" s="352" t="e">
        <f>VLOOKUP($B191,#REF!,6,FALSE)</f>
        <v>#REF!</v>
      </c>
      <c r="E191" s="354" t="e">
        <f>VLOOKUP($B191,#REF!,7,FALSE)</f>
        <v>#REF!</v>
      </c>
    </row>
    <row r="192" spans="2:5">
      <c r="B192" s="352" t="s">
        <v>2689</v>
      </c>
      <c r="C192" s="353" t="e">
        <f>VLOOKUP($B192,#REF!,2,FALSE)</f>
        <v>#REF!</v>
      </c>
      <c r="D192" s="352" t="e">
        <f>VLOOKUP($B192,#REF!,6,FALSE)</f>
        <v>#REF!</v>
      </c>
      <c r="E192" s="354" t="e">
        <f>VLOOKUP($B192,#REF!,7,FALSE)</f>
        <v>#REF!</v>
      </c>
    </row>
    <row r="193" spans="2:5">
      <c r="B193" s="352" t="s">
        <v>2690</v>
      </c>
      <c r="C193" s="353" t="e">
        <f>VLOOKUP($B193,#REF!,2,FALSE)</f>
        <v>#REF!</v>
      </c>
      <c r="D193" s="352" t="e">
        <f>VLOOKUP($B193,#REF!,6,FALSE)</f>
        <v>#REF!</v>
      </c>
      <c r="E193" s="354" t="e">
        <f>VLOOKUP($B193,#REF!,7,FALSE)</f>
        <v>#REF!</v>
      </c>
    </row>
    <row r="194" spans="2:5">
      <c r="B194" s="352" t="s">
        <v>2691</v>
      </c>
      <c r="C194" s="353" t="e">
        <f>VLOOKUP($B194,#REF!,2,FALSE)</f>
        <v>#REF!</v>
      </c>
      <c r="D194" s="352" t="e">
        <f>VLOOKUP($B194,#REF!,6,FALSE)</f>
        <v>#REF!</v>
      </c>
      <c r="E194" s="354" t="e">
        <f>VLOOKUP($B194,#REF!,7,FALSE)</f>
        <v>#REF!</v>
      </c>
    </row>
    <row r="195" spans="2:5">
      <c r="B195" s="352" t="s">
        <v>2692</v>
      </c>
      <c r="C195" s="353" t="e">
        <f>VLOOKUP($B195,#REF!,2,FALSE)</f>
        <v>#REF!</v>
      </c>
      <c r="D195" s="352" t="e">
        <f>VLOOKUP($B195,#REF!,6,FALSE)</f>
        <v>#REF!</v>
      </c>
      <c r="E195" s="354" t="e">
        <f>VLOOKUP($B195,#REF!,7,FALSE)</f>
        <v>#REF!</v>
      </c>
    </row>
    <row r="196" spans="2:5">
      <c r="B196" s="352" t="s">
        <v>2693</v>
      </c>
      <c r="C196" s="353" t="e">
        <f>VLOOKUP($B196,#REF!,2,FALSE)</f>
        <v>#REF!</v>
      </c>
      <c r="D196" s="352" t="e">
        <f>VLOOKUP($B196,#REF!,6,FALSE)</f>
        <v>#REF!</v>
      </c>
      <c r="E196" s="354" t="e">
        <f>VLOOKUP($B196,#REF!,7,FALSE)</f>
        <v>#REF!</v>
      </c>
    </row>
    <row r="197" spans="2:5">
      <c r="B197" s="352" t="s">
        <v>2694</v>
      </c>
      <c r="C197" s="353" t="e">
        <f>VLOOKUP($B197,#REF!,2,FALSE)</f>
        <v>#REF!</v>
      </c>
      <c r="D197" s="352" t="e">
        <f>VLOOKUP($B197,#REF!,6,FALSE)</f>
        <v>#REF!</v>
      </c>
      <c r="E197" s="354" t="e">
        <f>VLOOKUP($B197,#REF!,7,FALSE)</f>
        <v>#REF!</v>
      </c>
    </row>
    <row r="198" spans="2:5">
      <c r="B198" s="352" t="s">
        <v>2695</v>
      </c>
      <c r="C198" s="353" t="e">
        <f>VLOOKUP($B198,#REF!,2,FALSE)</f>
        <v>#REF!</v>
      </c>
      <c r="D198" s="352" t="e">
        <f>VLOOKUP($B198,#REF!,6,FALSE)</f>
        <v>#REF!</v>
      </c>
      <c r="E198" s="354" t="e">
        <f>VLOOKUP($B198,#REF!,7,FALSE)</f>
        <v>#REF!</v>
      </c>
    </row>
    <row r="199" spans="2:5">
      <c r="B199" s="352" t="s">
        <v>2696</v>
      </c>
      <c r="C199" s="353" t="e">
        <f>VLOOKUP($B199,#REF!,2,FALSE)</f>
        <v>#REF!</v>
      </c>
      <c r="D199" s="352" t="e">
        <f>VLOOKUP($B199,#REF!,6,FALSE)</f>
        <v>#REF!</v>
      </c>
      <c r="E199" s="354" t="e">
        <f>VLOOKUP($B199,#REF!,7,FALSE)</f>
        <v>#REF!</v>
      </c>
    </row>
    <row r="200" spans="2:5" ht="21" customHeight="1">
      <c r="B200" s="352" t="s">
        <v>2697</v>
      </c>
      <c r="C200" s="353" t="e">
        <f>VLOOKUP($B200,#REF!,2,FALSE)</f>
        <v>#REF!</v>
      </c>
      <c r="D200" s="352" t="e">
        <f>VLOOKUP($B200,#REF!,6,FALSE)</f>
        <v>#REF!</v>
      </c>
      <c r="E200" s="354" t="e">
        <f>VLOOKUP($B200,#REF!,7,FALSE)</f>
        <v>#REF!</v>
      </c>
    </row>
    <row r="201" spans="2:5" ht="21" customHeight="1">
      <c r="B201" s="352" t="s">
        <v>2698</v>
      </c>
      <c r="C201" s="353" t="e">
        <f>VLOOKUP($B201,#REF!,2,FALSE)</f>
        <v>#REF!</v>
      </c>
      <c r="D201" s="352" t="e">
        <f>VLOOKUP($B201,#REF!,6,FALSE)</f>
        <v>#REF!</v>
      </c>
      <c r="E201" s="354" t="e">
        <f>VLOOKUP($B201,#REF!,7,FALSE)</f>
        <v>#REF!</v>
      </c>
    </row>
    <row r="202" spans="2:5" ht="18.75" customHeight="1">
      <c r="B202" s="352" t="s">
        <v>2699</v>
      </c>
      <c r="C202" s="353" t="e">
        <f>VLOOKUP($B202,#REF!,2,FALSE)</f>
        <v>#REF!</v>
      </c>
      <c r="D202" s="352" t="e">
        <f>VLOOKUP($B202,#REF!,6,FALSE)</f>
        <v>#REF!</v>
      </c>
      <c r="E202" s="354" t="e">
        <f>VLOOKUP($B202,#REF!,7,FALSE)</f>
        <v>#REF!</v>
      </c>
    </row>
    <row r="203" spans="2:5" ht="20.25" customHeight="1">
      <c r="B203" s="352" t="s">
        <v>2700</v>
      </c>
      <c r="C203" s="353" t="e">
        <f>VLOOKUP($B203,#REF!,2,FALSE)</f>
        <v>#REF!</v>
      </c>
      <c r="D203" s="352" t="e">
        <f>VLOOKUP($B203,#REF!,6,FALSE)</f>
        <v>#REF!</v>
      </c>
      <c r="E203" s="354" t="e">
        <f>VLOOKUP($B203,#REF!,7,FALSE)</f>
        <v>#REF!</v>
      </c>
    </row>
    <row r="204" spans="2:5">
      <c r="B204" s="352" t="s">
        <v>2701</v>
      </c>
      <c r="C204" s="353" t="e">
        <f>VLOOKUP($B204,#REF!,2,FALSE)</f>
        <v>#REF!</v>
      </c>
      <c r="D204" s="352" t="e">
        <f>VLOOKUP($B204,#REF!,6,FALSE)</f>
        <v>#REF!</v>
      </c>
      <c r="E204" s="354" t="e">
        <f>VLOOKUP($B204,#REF!,7,FALSE)</f>
        <v>#REF!</v>
      </c>
    </row>
    <row r="205" spans="2:5">
      <c r="B205" s="352" t="s">
        <v>2702</v>
      </c>
      <c r="C205" s="353" t="e">
        <f>VLOOKUP($B205,#REF!,2,FALSE)</f>
        <v>#REF!</v>
      </c>
      <c r="D205" s="352" t="e">
        <f>VLOOKUP($B205,#REF!,6,FALSE)</f>
        <v>#REF!</v>
      </c>
      <c r="E205" s="354" t="e">
        <f>VLOOKUP($B205,#REF!,7,FALSE)</f>
        <v>#REF!</v>
      </c>
    </row>
    <row r="206" spans="2:5">
      <c r="B206" s="352" t="s">
        <v>2703</v>
      </c>
      <c r="C206" s="353" t="e">
        <f>VLOOKUP($B206,#REF!,2,FALSE)</f>
        <v>#REF!</v>
      </c>
      <c r="D206" s="352" t="e">
        <f>VLOOKUP($B206,#REF!,6,FALSE)</f>
        <v>#REF!</v>
      </c>
      <c r="E206" s="354" t="e">
        <f>VLOOKUP($B206,#REF!,7,FALSE)</f>
        <v>#REF!</v>
      </c>
    </row>
    <row r="207" spans="2:5">
      <c r="B207" s="352" t="s">
        <v>2704</v>
      </c>
      <c r="C207" s="353" t="e">
        <f>VLOOKUP($B207,#REF!,2,FALSE)</f>
        <v>#REF!</v>
      </c>
      <c r="D207" s="352" t="e">
        <f>VLOOKUP($B207,#REF!,6,FALSE)</f>
        <v>#REF!</v>
      </c>
      <c r="E207" s="354" t="e">
        <f>VLOOKUP($B207,#REF!,7,FALSE)</f>
        <v>#REF!</v>
      </c>
    </row>
    <row r="208" spans="2:5">
      <c r="B208" s="352" t="s">
        <v>2711</v>
      </c>
      <c r="C208" s="353" t="e">
        <f>VLOOKUP($B208,#REF!,2,FALSE)</f>
        <v>#REF!</v>
      </c>
      <c r="D208" s="352" t="e">
        <f>VLOOKUP($B208,#REF!,6,FALSE)</f>
        <v>#REF!</v>
      </c>
      <c r="E208" s="354" t="e">
        <f>VLOOKUP($B208,#REF!,7,FALSE)</f>
        <v>#REF!</v>
      </c>
    </row>
    <row r="209" spans="2:5">
      <c r="B209" s="352" t="s">
        <v>2935</v>
      </c>
      <c r="C209" s="353" t="e">
        <f>VLOOKUP($B209,#REF!,2,FALSE)</f>
        <v>#REF!</v>
      </c>
      <c r="D209" s="352" t="e">
        <f>VLOOKUP($B209,#REF!,6,FALSE)</f>
        <v>#REF!</v>
      </c>
      <c r="E209" s="354" t="e">
        <f>VLOOKUP($B209,#REF!,7,FALSE)</f>
        <v>#REF!</v>
      </c>
    </row>
    <row r="210" spans="2:5">
      <c r="B210" s="352" t="s">
        <v>2936</v>
      </c>
      <c r="C210" s="353" t="e">
        <f>VLOOKUP($B210,#REF!,2,FALSE)</f>
        <v>#REF!</v>
      </c>
      <c r="D210" s="352" t="e">
        <f>VLOOKUP($B210,#REF!,6,FALSE)</f>
        <v>#REF!</v>
      </c>
      <c r="E210" s="354" t="e">
        <f>VLOOKUP($B210,#REF!,7,FALSE)</f>
        <v>#REF!</v>
      </c>
    </row>
    <row r="211" spans="2:5">
      <c r="B211" s="352" t="s">
        <v>2964</v>
      </c>
      <c r="C211" s="353" t="e">
        <f>VLOOKUP($B211,#REF!,2,FALSE)</f>
        <v>#REF!</v>
      </c>
      <c r="D211" s="352" t="e">
        <f>VLOOKUP($B211,#REF!,6,FALSE)</f>
        <v>#REF!</v>
      </c>
      <c r="E211" s="354" t="e">
        <f>VLOOKUP($B211,#REF!,7,FALSE)</f>
        <v>#REF!</v>
      </c>
    </row>
    <row r="212" spans="2:5">
      <c r="B212" s="352" t="s">
        <v>2965</v>
      </c>
      <c r="C212" s="353" t="e">
        <f>VLOOKUP($B212,#REF!,2,FALSE)</f>
        <v>#REF!</v>
      </c>
      <c r="D212" s="352" t="e">
        <f>VLOOKUP($B212,#REF!,6,FALSE)</f>
        <v>#REF!</v>
      </c>
      <c r="E212" s="354" t="e">
        <f>VLOOKUP($B212,#REF!,7,FALSE)</f>
        <v>#REF!</v>
      </c>
    </row>
    <row r="213" spans="2:5">
      <c r="B213" s="352" t="s">
        <v>2966</v>
      </c>
      <c r="C213" s="353" t="e">
        <f>VLOOKUP($B213,#REF!,2,FALSE)</f>
        <v>#REF!</v>
      </c>
      <c r="D213" s="352" t="e">
        <f>VLOOKUP($B213,#REF!,6,FALSE)</f>
        <v>#REF!</v>
      </c>
      <c r="E213" s="354" t="e">
        <f>VLOOKUP($B213,#REF!,7,FALSE)</f>
        <v>#REF!</v>
      </c>
    </row>
    <row r="214" spans="2:5">
      <c r="B214" s="352" t="s">
        <v>2967</v>
      </c>
      <c r="C214" s="353" t="e">
        <f>VLOOKUP($B214,#REF!,2,FALSE)</f>
        <v>#REF!</v>
      </c>
      <c r="D214" s="352" t="e">
        <f>VLOOKUP($B214,#REF!,6,FALSE)</f>
        <v>#REF!</v>
      </c>
      <c r="E214" s="354" t="e">
        <f>VLOOKUP($B214,#REF!,7,FALSE)</f>
        <v>#REF!</v>
      </c>
    </row>
    <row r="215" spans="2:5">
      <c r="B215" s="352" t="s">
        <v>2968</v>
      </c>
      <c r="C215" s="353" t="e">
        <f>VLOOKUP($B215,#REF!,2,FALSE)</f>
        <v>#REF!</v>
      </c>
      <c r="D215" s="352" t="e">
        <f>VLOOKUP($B215,#REF!,6,FALSE)</f>
        <v>#REF!</v>
      </c>
      <c r="E215" s="354" t="e">
        <f>VLOOKUP($B215,#REF!,7,FALSE)</f>
        <v>#REF!</v>
      </c>
    </row>
    <row r="216" spans="2:5">
      <c r="B216" s="352" t="s">
        <v>2969</v>
      </c>
      <c r="C216" s="353" t="e">
        <f>VLOOKUP($B216,#REF!,2,FALSE)</f>
        <v>#REF!</v>
      </c>
      <c r="D216" s="352" t="e">
        <f>VLOOKUP($B216,#REF!,6,FALSE)</f>
        <v>#REF!</v>
      </c>
      <c r="E216" s="354" t="e">
        <f>VLOOKUP($B216,#REF!,7,FALSE)</f>
        <v>#REF!</v>
      </c>
    </row>
    <row r="217" spans="2:5">
      <c r="B217" s="352" t="s">
        <v>5203</v>
      </c>
      <c r="C217" s="353" t="e">
        <f>VLOOKUP($B217,#REF!,2,FALSE)</f>
        <v>#REF!</v>
      </c>
      <c r="D217" s="352" t="e">
        <f>VLOOKUP($B217,#REF!,6,FALSE)</f>
        <v>#REF!</v>
      </c>
      <c r="E217" s="354" t="e">
        <f>VLOOKUP($B217,#REF!,7,FALSE)</f>
        <v>#REF!</v>
      </c>
    </row>
    <row r="218" spans="2:5">
      <c r="B218" s="352" t="s">
        <v>5204</v>
      </c>
      <c r="C218" s="353" t="e">
        <f>VLOOKUP($B218,#REF!,2,FALSE)</f>
        <v>#REF!</v>
      </c>
      <c r="D218" s="352" t="e">
        <f>VLOOKUP($B218,#REF!,6,FALSE)</f>
        <v>#REF!</v>
      </c>
      <c r="E218" s="354" t="e">
        <f>VLOOKUP($B218,#REF!,7,FALSE)</f>
        <v>#REF!</v>
      </c>
    </row>
    <row r="219" spans="2:5">
      <c r="B219" s="352" t="s">
        <v>5205</v>
      </c>
      <c r="C219" s="353" t="e">
        <f>VLOOKUP($B219,#REF!,2,FALSE)</f>
        <v>#REF!</v>
      </c>
      <c r="D219" s="352" t="e">
        <f>VLOOKUP($B219,#REF!,6,FALSE)</f>
        <v>#REF!</v>
      </c>
      <c r="E219" s="354" t="e">
        <f>VLOOKUP($B219,#REF!,7,FALSE)</f>
        <v>#REF!</v>
      </c>
    </row>
    <row r="220" spans="2:5">
      <c r="B220" s="352" t="s">
        <v>5206</v>
      </c>
      <c r="C220" s="353" t="e">
        <f>VLOOKUP($B220,#REF!,2,FALSE)</f>
        <v>#REF!</v>
      </c>
      <c r="D220" s="352" t="e">
        <f>VLOOKUP($B220,#REF!,6,FALSE)</f>
        <v>#REF!</v>
      </c>
      <c r="E220" s="354" t="e">
        <f>VLOOKUP($B220,#REF!,7,FALSE)</f>
        <v>#REF!</v>
      </c>
    </row>
    <row r="221" spans="2:5">
      <c r="B221" s="352" t="s">
        <v>5207</v>
      </c>
      <c r="C221" s="353" t="e">
        <f>VLOOKUP($B221,#REF!,2,FALSE)</f>
        <v>#REF!</v>
      </c>
      <c r="D221" s="352" t="e">
        <f>VLOOKUP($B221,#REF!,6,FALSE)</f>
        <v>#REF!</v>
      </c>
      <c r="E221" s="354" t="e">
        <f>VLOOKUP($B221,#REF!,7,FALSE)</f>
        <v>#REF!</v>
      </c>
    </row>
    <row r="222" spans="2:5">
      <c r="B222" s="352" t="s">
        <v>5208</v>
      </c>
      <c r="C222" s="353" t="e">
        <f>VLOOKUP($B222,#REF!,2,FALSE)</f>
        <v>#REF!</v>
      </c>
      <c r="D222" s="352" t="e">
        <f>VLOOKUP($B222,#REF!,6,FALSE)</f>
        <v>#REF!</v>
      </c>
      <c r="E222" s="354" t="e">
        <f>VLOOKUP($B222,#REF!,7,FALSE)</f>
        <v>#REF!</v>
      </c>
    </row>
    <row r="223" spans="2:5">
      <c r="B223" s="352" t="s">
        <v>5209</v>
      </c>
      <c r="C223" s="353" t="e">
        <f>VLOOKUP($B223,#REF!,2,FALSE)</f>
        <v>#REF!</v>
      </c>
      <c r="D223" s="352" t="e">
        <f>VLOOKUP($B223,#REF!,6,FALSE)</f>
        <v>#REF!</v>
      </c>
      <c r="E223" s="354" t="e">
        <f>VLOOKUP($B223,#REF!,7,FALSE)</f>
        <v>#REF!</v>
      </c>
    </row>
    <row r="224" spans="2:5">
      <c r="B224" s="352" t="s">
        <v>5210</v>
      </c>
      <c r="C224" s="353" t="e">
        <f>VLOOKUP($B224,#REF!,2,FALSE)</f>
        <v>#REF!</v>
      </c>
      <c r="D224" s="352" t="e">
        <f>VLOOKUP($B224,#REF!,6,FALSE)</f>
        <v>#REF!</v>
      </c>
      <c r="E224" s="354" t="e">
        <f>VLOOKUP($B224,#REF!,7,FALSE)</f>
        <v>#REF!</v>
      </c>
    </row>
    <row r="225" spans="2:5">
      <c r="B225" s="352" t="s">
        <v>5211</v>
      </c>
      <c r="C225" s="353" t="e">
        <f>VLOOKUP($B225,#REF!,2,FALSE)</f>
        <v>#REF!</v>
      </c>
      <c r="D225" s="352" t="e">
        <f>VLOOKUP($B225,#REF!,6,FALSE)</f>
        <v>#REF!</v>
      </c>
      <c r="E225" s="354" t="e">
        <f>VLOOKUP($B225,#REF!,7,FALSE)</f>
        <v>#REF!</v>
      </c>
    </row>
    <row r="226" spans="2:5">
      <c r="B226" s="352" t="s">
        <v>5212</v>
      </c>
      <c r="C226" s="353" t="e">
        <f>VLOOKUP($B226,#REF!,2,FALSE)</f>
        <v>#REF!</v>
      </c>
      <c r="D226" s="352" t="e">
        <f>VLOOKUP($B226,#REF!,6,FALSE)</f>
        <v>#REF!</v>
      </c>
      <c r="E226" s="354" t="e">
        <f>VLOOKUP($B226,#REF!,7,FALSE)</f>
        <v>#REF!</v>
      </c>
    </row>
    <row r="227" spans="2:5">
      <c r="B227" s="352" t="s">
        <v>5213</v>
      </c>
      <c r="C227" s="353" t="e">
        <f>VLOOKUP($B227,#REF!,2,FALSE)</f>
        <v>#REF!</v>
      </c>
      <c r="D227" s="352" t="e">
        <f>VLOOKUP($B227,#REF!,6,FALSE)</f>
        <v>#REF!</v>
      </c>
      <c r="E227" s="354" t="e">
        <f>VLOOKUP($B227,#REF!,7,FALSE)</f>
        <v>#REF!</v>
      </c>
    </row>
    <row r="228" spans="2:5">
      <c r="B228" s="352" t="s">
        <v>5214</v>
      </c>
      <c r="C228" s="353" t="e">
        <f>VLOOKUP($B228,#REF!,2,FALSE)</f>
        <v>#REF!</v>
      </c>
      <c r="D228" s="352" t="e">
        <f>VLOOKUP($B228,#REF!,6,FALSE)</f>
        <v>#REF!</v>
      </c>
      <c r="E228" s="354" t="e">
        <f>VLOOKUP($B228,#REF!,7,FALSE)</f>
        <v>#REF!</v>
      </c>
    </row>
    <row r="229" spans="2:5">
      <c r="B229" s="352" t="s">
        <v>5215</v>
      </c>
      <c r="C229" s="353" t="e">
        <f>VLOOKUP($B229,#REF!,2,FALSE)</f>
        <v>#REF!</v>
      </c>
      <c r="D229" s="352" t="e">
        <f>VLOOKUP($B229,#REF!,6,FALSE)</f>
        <v>#REF!</v>
      </c>
      <c r="E229" s="354" t="e">
        <f>VLOOKUP($B229,#REF!,7,FALSE)</f>
        <v>#REF!</v>
      </c>
    </row>
    <row r="230" spans="2:5">
      <c r="B230" s="352" t="s">
        <v>5216</v>
      </c>
      <c r="C230" s="353" t="e">
        <f>VLOOKUP($B230,#REF!,2,FALSE)</f>
        <v>#REF!</v>
      </c>
      <c r="D230" s="352" t="e">
        <f>VLOOKUP($B230,#REF!,6,FALSE)</f>
        <v>#REF!</v>
      </c>
      <c r="E230" s="354" t="e">
        <f>VLOOKUP($B230,#REF!,7,FALSE)</f>
        <v>#REF!</v>
      </c>
    </row>
    <row r="231" spans="2:5">
      <c r="B231" s="352" t="s">
        <v>5217</v>
      </c>
      <c r="C231" s="353" t="e">
        <f>VLOOKUP($B231,#REF!,2,FALSE)</f>
        <v>#REF!</v>
      </c>
      <c r="D231" s="352" t="e">
        <f>VLOOKUP($B231,#REF!,6,FALSE)</f>
        <v>#REF!</v>
      </c>
      <c r="E231" s="354" t="e">
        <f>VLOOKUP($B231,#REF!,7,FALSE)</f>
        <v>#REF!</v>
      </c>
    </row>
    <row r="232" spans="2:5">
      <c r="B232" s="352" t="s">
        <v>5218</v>
      </c>
      <c r="C232" s="353" t="e">
        <f>VLOOKUP($B232,#REF!,2,FALSE)</f>
        <v>#REF!</v>
      </c>
      <c r="D232" s="352" t="e">
        <f>VLOOKUP($B232,#REF!,6,FALSE)</f>
        <v>#REF!</v>
      </c>
      <c r="E232" s="354" t="e">
        <f>VLOOKUP($B232,#REF!,7,FALSE)</f>
        <v>#REF!</v>
      </c>
    </row>
    <row r="233" spans="2:5">
      <c r="B233" s="352" t="s">
        <v>5219</v>
      </c>
      <c r="C233" s="353" t="e">
        <f>VLOOKUP($B233,#REF!,2,FALSE)</f>
        <v>#REF!</v>
      </c>
      <c r="D233" s="352" t="e">
        <f>VLOOKUP($B233,#REF!,6,FALSE)</f>
        <v>#REF!</v>
      </c>
      <c r="E233" s="354" t="e">
        <f>VLOOKUP($B233,#REF!,7,FALSE)</f>
        <v>#REF!</v>
      </c>
    </row>
    <row r="234" spans="2:5">
      <c r="B234" s="352" t="s">
        <v>5220</v>
      </c>
      <c r="C234" s="353" t="e">
        <f>VLOOKUP($B234,#REF!,2,FALSE)</f>
        <v>#REF!</v>
      </c>
      <c r="D234" s="352" t="e">
        <f>VLOOKUP($B234,#REF!,6,FALSE)</f>
        <v>#REF!</v>
      </c>
      <c r="E234" s="354" t="e">
        <f>VLOOKUP($B234,#REF!,7,FALSE)</f>
        <v>#REF!</v>
      </c>
    </row>
    <row r="235" spans="2:5">
      <c r="B235" s="352" t="s">
        <v>5221</v>
      </c>
      <c r="C235" s="353" t="e">
        <f>VLOOKUP($B235,#REF!,2,FALSE)</f>
        <v>#REF!</v>
      </c>
      <c r="D235" s="352" t="e">
        <f>VLOOKUP($B235,#REF!,6,FALSE)</f>
        <v>#REF!</v>
      </c>
      <c r="E235" s="354" t="e">
        <f>VLOOKUP($B235,#REF!,7,FALSE)</f>
        <v>#REF!</v>
      </c>
    </row>
    <row r="236" spans="2:5">
      <c r="B236" s="396"/>
      <c r="C236" s="401"/>
      <c r="D236" s="396"/>
    </row>
    <row r="237" spans="2:5">
      <c r="B237" s="396"/>
      <c r="C237" s="401"/>
      <c r="D237" s="396"/>
    </row>
    <row r="238" spans="2:5">
      <c r="B238" s="396"/>
      <c r="C238" s="401"/>
      <c r="D238" s="396"/>
    </row>
    <row r="239" spans="2:5">
      <c r="B239" s="396"/>
      <c r="C239" s="401"/>
      <c r="D239" s="396"/>
    </row>
    <row r="240" spans="2:5">
      <c r="B240" s="396"/>
      <c r="C240" s="401"/>
      <c r="D240" s="396"/>
    </row>
    <row r="241" spans="2:5">
      <c r="B241" s="396"/>
      <c r="C241" s="401"/>
      <c r="D241" s="396"/>
    </row>
    <row r="242" spans="2:5">
      <c r="B242" s="396"/>
      <c r="C242" s="401"/>
      <c r="D242" s="396"/>
    </row>
    <row r="243" spans="2:5" ht="15.75" thickBot="1">
      <c r="B243" s="396"/>
      <c r="C243" s="401"/>
      <c r="D243" s="396"/>
    </row>
    <row r="244" spans="2:5" ht="15.75">
      <c r="B244" s="213" t="s">
        <v>392</v>
      </c>
      <c r="C244" s="214" t="s">
        <v>566</v>
      </c>
      <c r="D244" s="215" t="s">
        <v>30</v>
      </c>
      <c r="E244" s="216" t="s">
        <v>31</v>
      </c>
    </row>
    <row r="245" spans="2:5" ht="30">
      <c r="B245" s="352" t="s">
        <v>2244</v>
      </c>
      <c r="C245" s="353" t="str">
        <f>VLOOKUP($B245,'COMP. ELETRICO '!$B:$G,2,FALSE)</f>
        <v>FORNECIMENTO E INSTALAÇÃO DE DISPOSITIVO DPS CLASSE II, 1 POLO, TENSAO MAXIMA DE 175 V, CORRENTE MAXIMA DE *45* KA (TIPO AC)</v>
      </c>
      <c r="D245" s="352" t="str">
        <f>VLOOKUP($B245,'COMP. ELETRICO '!$B:$G,6,FALSE)</f>
        <v>UN</v>
      </c>
      <c r="E245" s="354">
        <f>VLOOKUP($B245,'COMP. ELETRICO '!$B:$H,7,FALSE)</f>
        <v>122.17999999999999</v>
      </c>
    </row>
    <row r="246" spans="2:5">
      <c r="B246" s="352" t="s">
        <v>2245</v>
      </c>
      <c r="C246" s="353" t="str">
        <f>VLOOKUP($B246,'COMP. ELETRICO '!$B:$G,2,FALSE)</f>
        <v>FORNECIMENTO E INSTALAÇÃO DE PLACA DE SINALIZAÇÃO DE ENERGIA (20X20CM)</v>
      </c>
      <c r="D246" s="352" t="str">
        <f>VLOOKUP($B246,'COMP. ELETRICO '!$B:$G,6,FALSE)</f>
        <v>UN</v>
      </c>
      <c r="E246" s="354">
        <f>VLOOKUP($B246,'COMP. ELETRICO '!$B:$H,7,FALSE)</f>
        <v>42.15</v>
      </c>
    </row>
    <row r="247" spans="2:5">
      <c r="B247" s="352" t="s">
        <v>2246</v>
      </c>
      <c r="C247" s="353" t="str">
        <f>VLOOKUP($B247,'COMP. ELETRICO '!$B:$G,2,FALSE)</f>
        <v xml:space="preserve">ARAME DE AÇO GALVANIZADO No. 12 BWG </v>
      </c>
      <c r="D247" s="352" t="str">
        <f>VLOOKUP($B247,'COMP. ELETRICO '!$B:$G,6,FALSE)</f>
        <v>M</v>
      </c>
      <c r="E247" s="354">
        <f>VLOOKUP($B247,'COMP. ELETRICO '!$B:$H,7,FALSE)</f>
        <v>2.8</v>
      </c>
    </row>
    <row r="248" spans="2:5">
      <c r="B248" s="352" t="s">
        <v>2247</v>
      </c>
      <c r="C248" s="353" t="str">
        <f>VLOOKUP($B248,'COMP. ELETRICO '!$B:$G,2,FALSE)</f>
        <v>FORNECIMENTO E INSTALAÇAO DE PADRÃO DE ENTRADA DE ENERGIA CATEGORIA "T5" (ENERGISA)</v>
      </c>
      <c r="D248" s="352" t="str">
        <f>VLOOKUP($B248,'COMP. ELETRICO '!$B:$G,6,FALSE)</f>
        <v>UN</v>
      </c>
      <c r="E248" s="354">
        <f>VLOOKUP($B248,'COMP. ELETRICO '!$B:$H,7,FALSE)</f>
        <v>11627.55</v>
      </c>
    </row>
    <row r="249" spans="2:5" ht="30">
      <c r="B249" s="352" t="s">
        <v>2248</v>
      </c>
      <c r="C249" s="353" t="str">
        <f>VLOOKUP($B249,'COMP. ELETRICO '!$B:$G,2,FALSE)</f>
        <v>MURETA MEDIÇÃO ALVEN. 1 1/2 V.(35CM) REBOC.C/PINTURA ACRÍL. E LAJE CONC. 20MPA MALHA 8.0MM CADA 10CM REVEST.C/ARGAMASSA 1:3 C/ IMPERMEABILIZANTE</v>
      </c>
      <c r="D249" s="352" t="str">
        <f>VLOOKUP($B249,'COMP. ELETRICO '!$B:$G,6,FALSE)</f>
        <v>M2</v>
      </c>
      <c r="E249" s="354">
        <f>VLOOKUP($B249,'COMP. ELETRICO '!$B:$H,7,FALSE)</f>
        <v>593.91</v>
      </c>
    </row>
    <row r="250" spans="2:5">
      <c r="B250" s="352" t="s">
        <v>2249</v>
      </c>
      <c r="C250" s="353" t="str">
        <f>VLOOKUP($B250,'COMP. ELETRICO '!$B:$G,2,FALSE)</f>
        <v>CABO DE COBRE NU 35MM2 - FORNECIMENTO E INSTALACAO</v>
      </c>
      <c r="D250" s="352" t="str">
        <f>VLOOKUP($B250,'COMP. ELETRICO '!$B:$G,6,FALSE)</f>
        <v>M</v>
      </c>
      <c r="E250" s="354">
        <f>VLOOKUP($B250,'COMP. ELETRICO '!$B:$H,7,FALSE)</f>
        <v>42.64</v>
      </c>
    </row>
    <row r="251" spans="2:5">
      <c r="B251" s="352" t="s">
        <v>2250</v>
      </c>
      <c r="C251" s="353" t="str">
        <f>VLOOKUP($B251,'COMP. ELETRICO '!$B:$G,2,FALSE)</f>
        <v>TERMINAL OU CONECTOR DE PRESSAO - PARA CABO 10MM2 - FORNECIMENTO E INSTALACAO</v>
      </c>
      <c r="D251" s="352" t="str">
        <f>VLOOKUP($B251,'COMP. ELETRICO '!$B:$G,6,FALSE)</f>
        <v>UN</v>
      </c>
      <c r="E251" s="354">
        <f>VLOOKUP($B251,'COMP. ELETRICO '!$B:$H,7,FALSE)</f>
        <v>11.53</v>
      </c>
    </row>
    <row r="252" spans="2:5">
      <c r="B252" s="352" t="s">
        <v>2251</v>
      </c>
      <c r="C252" s="353" t="str">
        <f>VLOOKUP($B252,'COMP. ELETRICO '!$B:$G,2,FALSE)</f>
        <v>TERMINAL OU CONECTOR DE PRESSAO - PARA CABO 35MM2 - FORNECIMENTO E INSTALACAO</v>
      </c>
      <c r="D252" s="352" t="str">
        <f>VLOOKUP($B252,'COMP. ELETRICO '!$B:$G,6,FALSE)</f>
        <v>UN</v>
      </c>
      <c r="E252" s="354">
        <f>VLOOKUP($B252,'COMP. ELETRICO '!$B:$H,7,FALSE)</f>
        <v>12.94</v>
      </c>
    </row>
    <row r="253" spans="2:5">
      <c r="B253" s="352" t="s">
        <v>2252</v>
      </c>
      <c r="C253" s="353" t="str">
        <f>VLOOKUP($B253,'COMP. ELETRICO '!$B:$G,2,FALSE)</f>
        <v>TERMINAL OU CONECTOR DE PRESSAO - PARA CABO 70MM2 - FORNECIMENTO E INSTALACAO</v>
      </c>
      <c r="D253" s="352" t="str">
        <f>VLOOKUP($B253,'COMP. ELETRICO '!$B:$G,6,FALSE)</f>
        <v>UN</v>
      </c>
      <c r="E253" s="354">
        <f>VLOOKUP($B253,'COMP. ELETRICO '!$B:$H,7,FALSE)</f>
        <v>15.73</v>
      </c>
    </row>
    <row r="254" spans="2:5">
      <c r="B254" s="352" t="s">
        <v>2253</v>
      </c>
      <c r="C254" s="353" t="str">
        <f>VLOOKUP($B254,'COMP. ELETRICO '!$B:$G,2,FALSE)</f>
        <v>FORNECIMENTO E INSTALAÇÃO DE DISJUNTOR TERMOMAGNETICO TRIPOLAR 150 A / 600 V, TIPO FXD / ICC - 35 KA</v>
      </c>
      <c r="D254" s="352" t="str">
        <f>VLOOKUP($B254,'COMP. ELETRICO '!$B:$G,6,FALSE)</f>
        <v xml:space="preserve">UN    </v>
      </c>
      <c r="E254" s="354">
        <f>VLOOKUP($B254,'COMP. ELETRICO '!$B:$H,7,FALSE)</f>
        <v>505.6</v>
      </c>
    </row>
    <row r="255" spans="2:5" ht="30">
      <c r="B255" s="352" t="s">
        <v>2254</v>
      </c>
      <c r="C255" s="353" t="str">
        <f>VLOOKUP($B255,'COMP. ELETRICO '!$B:$G,2,FALSE)</f>
        <v>POSTE DE AÇO CONICO CONTÍNUO CURVO SIMPLES, FLANGEADO, H=9M, INVOLUCRO EM ALUMINIO OU ACO INOX - FORNECIMENTO E INSTALAÇÃO</v>
      </c>
      <c r="D255" s="352" t="str">
        <f>VLOOKUP($B255,'COMP. ELETRICO '!$B:$G,6,FALSE)</f>
        <v xml:space="preserve">UN    </v>
      </c>
      <c r="E255" s="354">
        <f>VLOOKUP($B255,'COMP. ELETRICO '!$B:$H,7,FALSE)</f>
        <v>3514.3100000000004</v>
      </c>
    </row>
    <row r="256" spans="2:5">
      <c r="B256" s="352" t="s">
        <v>2255</v>
      </c>
      <c r="C256" s="353" t="str">
        <f>VLOOKUP($B256,'COMP. ELETRICO '!$B:$G,2,FALSE)</f>
        <v>FORNECIMENTO E INSTALAÇAO DE PADRÃO DE ENTRADA DE ENERGIA CATEGORIA "M1" (ENERGISA)</v>
      </c>
      <c r="D256" s="352" t="str">
        <f>VLOOKUP($B256,'COMP. ELETRICO '!$B:$G,6,FALSE)</f>
        <v>UN</v>
      </c>
      <c r="E256" s="354">
        <f>VLOOKUP($B256,'COMP. ELETRICO '!$B:$H,7,FALSE)</f>
        <v>1515.92</v>
      </c>
    </row>
    <row r="257" spans="2:5" ht="30">
      <c r="B257" s="352" t="s">
        <v>2256</v>
      </c>
      <c r="C257" s="353" t="str">
        <f>VLOOKUP($B257,'COMP. ELETRICO '!$B:$G,2,FALSE)</f>
        <v>ELETRODUTO DE AÇO GALVANIZADO, CLASSE LEVE, DN 25 MM (1 ), APARENTE, INSTALADO EM
PAREDE - FORNECIMENTO E INSTALAÇÃO. AF_11/2016_P</v>
      </c>
      <c r="D257" s="352" t="str">
        <f>VLOOKUP($B257,'COMP. ELETRICO '!$B:$G,6,FALSE)</f>
        <v xml:space="preserve">UN </v>
      </c>
      <c r="E257" s="354">
        <f>VLOOKUP($B257,'COMP. ELETRICO '!$B:$H,7,FALSE)</f>
        <v>28.39</v>
      </c>
    </row>
    <row r="258" spans="2:5" ht="30">
      <c r="B258" s="352" t="s">
        <v>2257</v>
      </c>
      <c r="C258" s="353" t="str">
        <f>VLOOKUP($B258,'COMP. ELETRICO '!$B:$G,2,FALSE)</f>
        <v>LUVA DE EMENDA PARA ELETRODUTO, AÇO GALVANIZADO, DN 25 MM (1''), APARENTE, INSTALADA EM PAREDE - FORNECIMENTO E INSTALAÇÃO. AF_11/2016_P</v>
      </c>
      <c r="D258" s="352" t="str">
        <f>VLOOKUP($B258,'COMP. ELETRICO '!$B:$G,6,FALSE)</f>
        <v xml:space="preserve">UN </v>
      </c>
      <c r="E258" s="354">
        <f>VLOOKUP($B258,'COMP. ELETRICO '!$B:$H,7,FALSE)</f>
        <v>9.6900000000000013</v>
      </c>
    </row>
    <row r="259" spans="2:5">
      <c r="B259" s="352" t="s">
        <v>2258</v>
      </c>
      <c r="C259" s="353" t="e">
        <f>VLOOKUP($B259,'COMP. ELETRICO '!$B:$G,2,FALSE)</f>
        <v>#N/A</v>
      </c>
      <c r="D259" s="352" t="e">
        <f>VLOOKUP($B259,'COMP. ELETRICO '!$B:$G,6,FALSE)</f>
        <v>#N/A</v>
      </c>
      <c r="E259" s="354" t="e">
        <f>VLOOKUP($B259,'COMP. ELETRICO '!$B:$H,7,FALSE)</f>
        <v>#N/A</v>
      </c>
    </row>
    <row r="260" spans="2:5">
      <c r="B260" s="352" t="s">
        <v>2259</v>
      </c>
      <c r="C260" s="353" t="e">
        <f>VLOOKUP($B260,'COMP. ELETRICO '!$B:$G,2,FALSE)</f>
        <v>#N/A</v>
      </c>
      <c r="D260" s="352" t="e">
        <f>VLOOKUP($B260,'COMP. ELETRICO '!$B:$G,6,FALSE)</f>
        <v>#N/A</v>
      </c>
      <c r="E260" s="354" t="e">
        <f>VLOOKUP($B260,'COMP. ELETRICO '!$B:$H,7,FALSE)</f>
        <v>#N/A</v>
      </c>
    </row>
    <row r="261" spans="2:5">
      <c r="B261" s="352" t="s">
        <v>2260</v>
      </c>
      <c r="C261" s="353" t="e">
        <f>VLOOKUP($B261,'COMP. ELETRICO '!$B:$G,2,FALSE)</f>
        <v>#N/A</v>
      </c>
      <c r="D261" s="352" t="e">
        <f>VLOOKUP($B261,'COMP. ELETRICO '!$B:$G,6,FALSE)</f>
        <v>#N/A</v>
      </c>
      <c r="E261" s="354" t="e">
        <f>VLOOKUP($B261,'COMP. ELETRICO '!$B:$H,7,FALSE)</f>
        <v>#N/A</v>
      </c>
    </row>
    <row r="262" spans="2:5">
      <c r="B262" s="352" t="s">
        <v>2261</v>
      </c>
      <c r="C262" s="353" t="e">
        <f>VLOOKUP($B262,'COMP. ELETRICO '!$B:$G,2,FALSE)</f>
        <v>#N/A</v>
      </c>
      <c r="D262" s="352" t="e">
        <f>VLOOKUP($B262,'COMP. ELETRICO '!$B:$G,6,FALSE)</f>
        <v>#N/A</v>
      </c>
      <c r="E262" s="354" t="e">
        <f>VLOOKUP($B262,'COMP. ELETRICO '!$B:$H,7,FALSE)</f>
        <v>#N/A</v>
      </c>
    </row>
    <row r="263" spans="2:5">
      <c r="B263" s="352" t="s">
        <v>2262</v>
      </c>
      <c r="C263" s="353" t="e">
        <f>VLOOKUP($B263,'COMP. ELETRICO '!$B:$G,2,FALSE)</f>
        <v>#N/A</v>
      </c>
      <c r="D263" s="352" t="e">
        <f>VLOOKUP($B263,'COMP. ELETRICO '!$B:$G,6,FALSE)</f>
        <v>#N/A</v>
      </c>
      <c r="E263" s="354" t="e">
        <f>VLOOKUP($B263,'COMP. ELETRICO '!$B:$H,7,FALSE)</f>
        <v>#N/A</v>
      </c>
    </row>
    <row r="264" spans="2:5">
      <c r="B264" s="352" t="s">
        <v>2263</v>
      </c>
      <c r="C264" s="353" t="e">
        <f>VLOOKUP($B264,'COMP. ELETRICO '!$B:$G,2,FALSE)</f>
        <v>#N/A</v>
      </c>
      <c r="D264" s="352" t="e">
        <f>VLOOKUP($B264,'COMP. ELETRICO '!$B:$G,6,FALSE)</f>
        <v>#N/A</v>
      </c>
      <c r="E264" s="354" t="e">
        <f>VLOOKUP($B264,'COMP. ELETRICO '!$B:$H,7,FALSE)</f>
        <v>#N/A</v>
      </c>
    </row>
    <row r="265" spans="2:5">
      <c r="B265" s="352" t="s">
        <v>2264</v>
      </c>
      <c r="C265" s="353" t="e">
        <f>VLOOKUP($B265,'COMP. ELETRICO '!$B:$G,2,FALSE)</f>
        <v>#N/A</v>
      </c>
      <c r="D265" s="352" t="e">
        <f>VLOOKUP($B265,'COMP. ELETRICO '!$B:$G,6,FALSE)</f>
        <v>#N/A</v>
      </c>
      <c r="E265" s="354" t="e">
        <f>VLOOKUP($B265,'COMP. ELETRICO '!$B:$H,7,FALSE)</f>
        <v>#N/A</v>
      </c>
    </row>
    <row r="266" spans="2:5">
      <c r="B266" s="352" t="s">
        <v>2265</v>
      </c>
      <c r="C266" s="353" t="e">
        <f>VLOOKUP($B266,'COMP. ELETRICO '!$B:$G,2,FALSE)</f>
        <v>#N/A</v>
      </c>
      <c r="D266" s="352" t="e">
        <f>VLOOKUP($B266,'COMP. ELETRICO '!$B:$G,6,FALSE)</f>
        <v>#N/A</v>
      </c>
      <c r="E266" s="354" t="e">
        <f>VLOOKUP($B266,'COMP. ELETRICO '!$B:$H,7,FALSE)</f>
        <v>#N/A</v>
      </c>
    </row>
    <row r="267" spans="2:5">
      <c r="B267" s="352" t="s">
        <v>2266</v>
      </c>
      <c r="C267" s="353" t="e">
        <f>VLOOKUP($B267,'COMP. ELETRICO '!$B:$G,2,FALSE)</f>
        <v>#N/A</v>
      </c>
      <c r="D267" s="352" t="e">
        <f>VLOOKUP($B267,'COMP. ELETRICO '!$B:$G,6,FALSE)</f>
        <v>#N/A</v>
      </c>
      <c r="E267" s="354" t="e">
        <f>VLOOKUP($B267,'COMP. ELETRICO '!$B:$H,7,FALSE)</f>
        <v>#N/A</v>
      </c>
    </row>
    <row r="268" spans="2:5">
      <c r="B268" s="352" t="s">
        <v>2267</v>
      </c>
      <c r="C268" s="353" t="e">
        <f>VLOOKUP($B268,'COMP. ELETRICO '!$B:$G,2,FALSE)</f>
        <v>#N/A</v>
      </c>
      <c r="D268" s="352" t="e">
        <f>VLOOKUP($B268,'COMP. ELETRICO '!$B:$G,6,FALSE)</f>
        <v>#N/A</v>
      </c>
      <c r="E268" s="354" t="e">
        <f>VLOOKUP($B268,'COMP. ELETRICO '!$B:$H,7,FALSE)</f>
        <v>#N/A</v>
      </c>
    </row>
    <row r="269" spans="2:5">
      <c r="B269" s="352" t="s">
        <v>2268</v>
      </c>
      <c r="C269" s="353" t="e">
        <f>VLOOKUP($B269,'COMP. ELETRICO '!$B:$G,2,FALSE)</f>
        <v>#N/A</v>
      </c>
      <c r="D269" s="352" t="e">
        <f>VLOOKUP($B269,'COMP. ELETRICO '!$B:$G,6,FALSE)</f>
        <v>#N/A</v>
      </c>
      <c r="E269" s="354" t="e">
        <f>VLOOKUP($B269,'COMP. ELETRICO '!$B:$H,7,FALSE)</f>
        <v>#N/A</v>
      </c>
    </row>
    <row r="270" spans="2:5">
      <c r="B270" s="352" t="s">
        <v>2269</v>
      </c>
      <c r="C270" s="353" t="e">
        <f>VLOOKUP($B270,'COMP. ELETRICO '!$B:$G,2,FALSE)</f>
        <v>#N/A</v>
      </c>
      <c r="D270" s="352" t="e">
        <f>VLOOKUP($B270,'COMP. ELETRICO '!$B:$G,6,FALSE)</f>
        <v>#N/A</v>
      </c>
      <c r="E270" s="354" t="e">
        <f>VLOOKUP($B270,'COMP. ELETRICO '!$B:$H,7,FALSE)</f>
        <v>#N/A</v>
      </c>
    </row>
    <row r="271" spans="2:5">
      <c r="B271" s="352" t="s">
        <v>2270</v>
      </c>
      <c r="C271" s="353" t="e">
        <f>VLOOKUP($B271,'COMP. ELETRICO '!$B:$G,2,FALSE)</f>
        <v>#N/A</v>
      </c>
      <c r="D271" s="352" t="e">
        <f>VLOOKUP($B271,'COMP. ELETRICO '!$B:$G,6,FALSE)</f>
        <v>#N/A</v>
      </c>
      <c r="E271" s="354" t="e">
        <f>VLOOKUP($B271,'COMP. ELETRICO '!$B:$H,7,FALSE)</f>
        <v>#N/A</v>
      </c>
    </row>
    <row r="272" spans="2:5">
      <c r="B272" s="352" t="s">
        <v>2271</v>
      </c>
      <c r="C272" s="353" t="e">
        <f>VLOOKUP($B272,'COMP. ELETRICO '!$B:$G,2,FALSE)</f>
        <v>#N/A</v>
      </c>
      <c r="D272" s="352" t="e">
        <f>VLOOKUP($B272,'COMP. ELETRICO '!$B:$G,6,FALSE)</f>
        <v>#N/A</v>
      </c>
      <c r="E272" s="354" t="e">
        <f>VLOOKUP($B272,'COMP. ELETRICO '!$B:$H,7,FALSE)</f>
        <v>#N/A</v>
      </c>
    </row>
    <row r="273" spans="2:5">
      <c r="B273" s="352" t="s">
        <v>2272</v>
      </c>
      <c r="C273" s="353" t="e">
        <f>VLOOKUP($B273,'COMP. ELETRICO '!$B:$G,2,FALSE)</f>
        <v>#N/A</v>
      </c>
      <c r="D273" s="352" t="e">
        <f>VLOOKUP($B273,'COMP. ELETRICO '!$B:$G,6,FALSE)</f>
        <v>#N/A</v>
      </c>
      <c r="E273" s="354" t="e">
        <f>VLOOKUP($B273,'COMP. ELETRICO '!$B:$H,7,FALSE)</f>
        <v>#N/A</v>
      </c>
    </row>
    <row r="274" spans="2:5">
      <c r="B274" s="352" t="s">
        <v>2273</v>
      </c>
      <c r="C274" s="353" t="e">
        <f>VLOOKUP($B274,'COMP. ELETRICO '!$B:$G,2,FALSE)</f>
        <v>#N/A</v>
      </c>
      <c r="D274" s="352" t="e">
        <f>VLOOKUP($B274,'COMP. ELETRICO '!$B:$G,6,FALSE)</f>
        <v>#N/A</v>
      </c>
      <c r="E274" s="354" t="e">
        <f>VLOOKUP($B274,'COMP. ELETRICO '!$B:$H,7,FALSE)</f>
        <v>#N/A</v>
      </c>
    </row>
    <row r="275" spans="2:5">
      <c r="B275" s="352" t="s">
        <v>2274</v>
      </c>
      <c r="C275" s="353" t="e">
        <f>VLOOKUP($B275,'COMP. ELETRICO '!$B:$G,2,FALSE)</f>
        <v>#N/A</v>
      </c>
      <c r="D275" s="352" t="e">
        <f>VLOOKUP($B275,'COMP. ELETRICO '!$B:$G,6,FALSE)</f>
        <v>#N/A</v>
      </c>
      <c r="E275" s="354" t="e">
        <f>VLOOKUP($B275,'COMP. ELETRICO '!$B:$H,7,FALSE)</f>
        <v>#N/A</v>
      </c>
    </row>
    <row r="276" spans="2:5">
      <c r="B276" s="352" t="s">
        <v>2275</v>
      </c>
      <c r="C276" s="353" t="e">
        <f>VLOOKUP($B276,'COMP. ELETRICO '!$B:$G,2,FALSE)</f>
        <v>#N/A</v>
      </c>
      <c r="D276" s="352" t="e">
        <f>VLOOKUP($B276,'COMP. ELETRICO '!$B:$G,6,FALSE)</f>
        <v>#N/A</v>
      </c>
      <c r="E276" s="354" t="e">
        <f>VLOOKUP($B276,'COMP. ELETRICO '!$B:$H,7,FALSE)</f>
        <v>#N/A</v>
      </c>
    </row>
    <row r="277" spans="2:5">
      <c r="B277" s="352" t="s">
        <v>2276</v>
      </c>
      <c r="C277" s="353" t="e">
        <f>VLOOKUP($B277,'COMP. ELETRICO '!$B:$G,2,FALSE)</f>
        <v>#N/A</v>
      </c>
      <c r="D277" s="352" t="e">
        <f>VLOOKUP($B277,'COMP. ELETRICO '!$B:$G,6,FALSE)</f>
        <v>#N/A</v>
      </c>
      <c r="E277" s="354" t="e">
        <f>VLOOKUP($B277,'COMP. ELETRICO '!$B:$H,7,FALSE)</f>
        <v>#N/A</v>
      </c>
    </row>
    <row r="278" spans="2:5">
      <c r="B278" s="352" t="s">
        <v>2277</v>
      </c>
      <c r="C278" s="353" t="e">
        <f>VLOOKUP($B278,'COMP. ELETRICO '!$B:$G,2,FALSE)</f>
        <v>#N/A</v>
      </c>
      <c r="D278" s="352" t="e">
        <f>VLOOKUP($B278,'COMP. ELETRICO '!$B:$G,6,FALSE)</f>
        <v>#N/A</v>
      </c>
      <c r="E278" s="354" t="e">
        <f>VLOOKUP($B278,'COMP. ELETRICO '!$B:$H,7,FALSE)</f>
        <v>#N/A</v>
      </c>
    </row>
    <row r="279" spans="2:5">
      <c r="B279" s="352" t="s">
        <v>2278</v>
      </c>
      <c r="C279" s="353" t="e">
        <f>VLOOKUP($B279,'COMP. ELETRICO '!$B:$G,2,FALSE)</f>
        <v>#N/A</v>
      </c>
      <c r="D279" s="352" t="e">
        <f>VLOOKUP($B279,'COMP. ELETRICO '!$B:$G,6,FALSE)</f>
        <v>#N/A</v>
      </c>
      <c r="E279" s="354" t="e">
        <f>VLOOKUP($B279,'COMP. ELETRICO '!$B:$H,7,FALSE)</f>
        <v>#N/A</v>
      </c>
    </row>
    <row r="280" spans="2:5">
      <c r="B280" s="352" t="s">
        <v>2279</v>
      </c>
      <c r="C280" s="353" t="e">
        <f>VLOOKUP($B280,'COMP. ELETRICO '!$B:$G,2,FALSE)</f>
        <v>#N/A</v>
      </c>
      <c r="D280" s="352" t="e">
        <f>VLOOKUP($B280,'COMP. ELETRICO '!$B:$G,6,FALSE)</f>
        <v>#N/A</v>
      </c>
      <c r="E280" s="354" t="e">
        <f>VLOOKUP($B280,'COMP. ELETRICO '!$B:$H,7,FALSE)</f>
        <v>#N/A</v>
      </c>
    </row>
    <row r="281" spans="2:5">
      <c r="B281" s="352" t="s">
        <v>2280</v>
      </c>
      <c r="C281" s="353" t="e">
        <f>VLOOKUP($B281,'COMP. ELETRICO '!$B:$G,2,FALSE)</f>
        <v>#N/A</v>
      </c>
      <c r="D281" s="352" t="e">
        <f>VLOOKUP($B281,'COMP. ELETRICO '!$B:$G,6,FALSE)</f>
        <v>#N/A</v>
      </c>
      <c r="E281" s="354" t="e">
        <f>VLOOKUP($B281,'COMP. ELETRICO '!$B:$H,7,FALSE)</f>
        <v>#N/A</v>
      </c>
    </row>
    <row r="282" spans="2:5">
      <c r="B282" s="352" t="s">
        <v>2281</v>
      </c>
      <c r="C282" s="353" t="e">
        <f>VLOOKUP($B282,'COMP. ELETRICO '!$B:$G,2,FALSE)</f>
        <v>#N/A</v>
      </c>
      <c r="D282" s="352" t="e">
        <f>VLOOKUP($B282,'COMP. ELETRICO '!$B:$G,6,FALSE)</f>
        <v>#N/A</v>
      </c>
      <c r="E282" s="354" t="e">
        <f>VLOOKUP($B282,'COMP. ELETRICO '!$B:$H,7,FALSE)</f>
        <v>#N/A</v>
      </c>
    </row>
    <row r="283" spans="2:5">
      <c r="B283" s="352" t="s">
        <v>2282</v>
      </c>
      <c r="C283" s="353" t="e">
        <f>VLOOKUP($B283,'COMP. ELETRICO '!$B:$G,2,FALSE)</f>
        <v>#N/A</v>
      </c>
      <c r="D283" s="352" t="e">
        <f>VLOOKUP($B283,'COMP. ELETRICO '!$B:$G,6,FALSE)</f>
        <v>#N/A</v>
      </c>
      <c r="E283" s="354" t="e">
        <f>VLOOKUP($B283,'COMP. ELETRICO '!$B:$H,7,FALSE)</f>
        <v>#N/A</v>
      </c>
    </row>
    <row r="284" spans="2:5">
      <c r="B284" s="352" t="s">
        <v>2283</v>
      </c>
      <c r="C284" s="353" t="e">
        <f>VLOOKUP($B284,'COMP. ELETRICO '!$B:$G,2,FALSE)</f>
        <v>#N/A</v>
      </c>
      <c r="D284" s="352" t="e">
        <f>VLOOKUP($B284,'COMP. ELETRICO '!$B:$G,6,FALSE)</f>
        <v>#N/A</v>
      </c>
      <c r="E284" s="354" t="e">
        <f>VLOOKUP($B284,'COMP. ELETRICO '!$B:$H,7,FALSE)</f>
        <v>#N/A</v>
      </c>
    </row>
    <row r="285" spans="2:5">
      <c r="B285" s="352" t="s">
        <v>2284</v>
      </c>
      <c r="C285" s="353" t="e">
        <f>VLOOKUP($B285,'COMP. ELETRICO '!$B:$G,2,FALSE)</f>
        <v>#N/A</v>
      </c>
      <c r="D285" s="352" t="e">
        <f>VLOOKUP($B285,'COMP. ELETRICO '!$B:$G,6,FALSE)</f>
        <v>#N/A</v>
      </c>
      <c r="E285" s="354" t="e">
        <f>VLOOKUP($B285,'COMP. ELETRICO '!$B:$H,7,FALSE)</f>
        <v>#N/A</v>
      </c>
    </row>
    <row r="286" spans="2:5">
      <c r="B286" s="352" t="s">
        <v>2285</v>
      </c>
      <c r="C286" s="353" t="e">
        <f>VLOOKUP($B286,'COMP. ELETRICO '!$B:$G,2,FALSE)</f>
        <v>#N/A</v>
      </c>
      <c r="D286" s="352" t="e">
        <f>VLOOKUP($B286,'COMP. ELETRICO '!$B:$G,6,FALSE)</f>
        <v>#N/A</v>
      </c>
      <c r="E286" s="354" t="e">
        <f>VLOOKUP($B286,'COMP. ELETRICO '!$B:$H,7,FALSE)</f>
        <v>#N/A</v>
      </c>
    </row>
    <row r="287" spans="2:5">
      <c r="B287" s="352" t="s">
        <v>2286</v>
      </c>
      <c r="C287" s="353" t="e">
        <f>VLOOKUP($B287,'COMP. ELETRICO '!$B:$G,2,FALSE)</f>
        <v>#N/A</v>
      </c>
      <c r="D287" s="352" t="e">
        <f>VLOOKUP($B287,'COMP. ELETRICO '!$B:$G,6,FALSE)</f>
        <v>#N/A</v>
      </c>
      <c r="E287" s="354" t="e">
        <f>VLOOKUP($B287,'COMP. ELETRICO '!$B:$H,7,FALSE)</f>
        <v>#N/A</v>
      </c>
    </row>
    <row r="288" spans="2:5">
      <c r="B288" s="352" t="s">
        <v>2287</v>
      </c>
      <c r="C288" s="353" t="e">
        <f>VLOOKUP($B288,'COMP. ELETRICO '!$B:$G,2,FALSE)</f>
        <v>#N/A</v>
      </c>
      <c r="D288" s="352" t="e">
        <f>VLOOKUP($B288,'COMP. ELETRICO '!$B:$G,6,FALSE)</f>
        <v>#N/A</v>
      </c>
      <c r="E288" s="354" t="e">
        <f>VLOOKUP($B288,'COMP. ELETRICO '!$B:$H,7,FALSE)</f>
        <v>#N/A</v>
      </c>
    </row>
    <row r="289" spans="2:5">
      <c r="B289" s="352" t="s">
        <v>2288</v>
      </c>
      <c r="C289" s="353" t="e">
        <f>VLOOKUP($B289,'COMP. ELETRICO '!$B:$G,2,FALSE)</f>
        <v>#N/A</v>
      </c>
      <c r="D289" s="352" t="e">
        <f>VLOOKUP($B289,'COMP. ELETRICO '!$B:$G,6,FALSE)</f>
        <v>#N/A</v>
      </c>
      <c r="E289" s="354" t="e">
        <f>VLOOKUP($B289,'COMP. ELETRICO '!$B:$H,7,FALSE)</f>
        <v>#N/A</v>
      </c>
    </row>
    <row r="290" spans="2:5">
      <c r="B290" s="352" t="s">
        <v>2289</v>
      </c>
      <c r="C290" s="353" t="e">
        <f>VLOOKUP($B290,'COMP. ELETRICO '!$B:$G,2,FALSE)</f>
        <v>#N/A</v>
      </c>
      <c r="D290" s="352" t="e">
        <f>VLOOKUP($B290,'COMP. ELETRICO '!$B:$G,6,FALSE)</f>
        <v>#N/A</v>
      </c>
      <c r="E290" s="354" t="e">
        <f>VLOOKUP($B290,'COMP. ELETRICO '!$B:$H,7,FALSE)</f>
        <v>#N/A</v>
      </c>
    </row>
    <row r="291" spans="2:5">
      <c r="B291" s="352" t="s">
        <v>2290</v>
      </c>
      <c r="C291" s="353" t="e">
        <f>VLOOKUP($B291,'COMP. ELETRICO '!$B:$G,2,FALSE)</f>
        <v>#N/A</v>
      </c>
      <c r="D291" s="352" t="e">
        <f>VLOOKUP($B291,'COMP. ELETRICO '!$B:$G,6,FALSE)</f>
        <v>#N/A</v>
      </c>
      <c r="E291" s="354" t="e">
        <f>VLOOKUP($B291,'COMP. ELETRICO '!$B:$H,7,FALSE)</f>
        <v>#N/A</v>
      </c>
    </row>
    <row r="292" spans="2:5">
      <c r="B292" s="352" t="s">
        <v>2291</v>
      </c>
      <c r="C292" s="353" t="e">
        <f>VLOOKUP($B292,'COMP. ELETRICO '!$B:$G,2,FALSE)</f>
        <v>#N/A</v>
      </c>
      <c r="D292" s="352" t="e">
        <f>VLOOKUP($B292,'COMP. ELETRICO '!$B:$G,6,FALSE)</f>
        <v>#N/A</v>
      </c>
      <c r="E292" s="354" t="e">
        <f>VLOOKUP($B292,'COMP. ELETRICO '!$B:$H,7,FALSE)</f>
        <v>#N/A</v>
      </c>
    </row>
    <row r="293" spans="2:5">
      <c r="B293" s="352" t="s">
        <v>2292</v>
      </c>
      <c r="C293" s="353" t="e">
        <f>VLOOKUP($B293,'COMP. ELETRICO '!$B:$G,2,FALSE)</f>
        <v>#N/A</v>
      </c>
      <c r="D293" s="352" t="e">
        <f>VLOOKUP($B293,'COMP. ELETRICO '!$B:$G,6,FALSE)</f>
        <v>#N/A</v>
      </c>
      <c r="E293" s="354" t="e">
        <f>VLOOKUP($B293,'COMP. ELETRICO '!$B:$H,7,FALSE)</f>
        <v>#N/A</v>
      </c>
    </row>
    <row r="294" spans="2:5">
      <c r="B294" s="352" t="s">
        <v>2293</v>
      </c>
      <c r="C294" s="353" t="e">
        <f>VLOOKUP($B294,'COMP. ELETRICO '!$B:$G,2,FALSE)</f>
        <v>#N/A</v>
      </c>
      <c r="D294" s="352" t="e">
        <f>VLOOKUP($B294,'COMP. ELETRICO '!$B:$G,6,FALSE)</f>
        <v>#N/A</v>
      </c>
      <c r="E294" s="354" t="e">
        <f>VLOOKUP($B294,'COMP. ELETRICO '!$B:$H,7,FALSE)</f>
        <v>#N/A</v>
      </c>
    </row>
    <row r="295" spans="2:5">
      <c r="B295" s="352" t="s">
        <v>2294</v>
      </c>
      <c r="C295" s="353" t="e">
        <f>VLOOKUP($B295,'COMP. ELETRICO '!$B:$G,2,FALSE)</f>
        <v>#N/A</v>
      </c>
      <c r="D295" s="352" t="e">
        <f>VLOOKUP($B295,'COMP. ELETRICO '!$B:$G,6,FALSE)</f>
        <v>#N/A</v>
      </c>
      <c r="E295" s="354" t="e">
        <f>VLOOKUP($B295,'COMP. ELETRICO '!$B:$H,7,FALSE)</f>
        <v>#N/A</v>
      </c>
    </row>
    <row r="296" spans="2:5">
      <c r="B296" s="352" t="s">
        <v>2295</v>
      </c>
      <c r="C296" s="353" t="e">
        <f>VLOOKUP($B296,'COMP. ELETRICO '!$B:$G,2,FALSE)</f>
        <v>#N/A</v>
      </c>
      <c r="D296" s="352" t="e">
        <f>VLOOKUP($B296,'COMP. ELETRICO '!$B:$G,6,FALSE)</f>
        <v>#N/A</v>
      </c>
      <c r="E296" s="354" t="e">
        <f>VLOOKUP($B296,'COMP. ELETRICO '!$B:$H,7,FALSE)</f>
        <v>#N/A</v>
      </c>
    </row>
    <row r="297" spans="2:5">
      <c r="B297" s="352" t="s">
        <v>2296</v>
      </c>
      <c r="C297" s="353" t="e">
        <f>VLOOKUP($B297,'COMP. ELETRICO '!$B:$G,2,FALSE)</f>
        <v>#N/A</v>
      </c>
      <c r="D297" s="352" t="e">
        <f>VLOOKUP($B297,'COMP. ELETRICO '!$B:$G,6,FALSE)</f>
        <v>#N/A</v>
      </c>
      <c r="E297" s="354" t="e">
        <f>VLOOKUP($B297,'COMP. ELETRICO '!$B:$H,7,FALSE)</f>
        <v>#N/A</v>
      </c>
    </row>
    <row r="298" spans="2:5">
      <c r="B298" s="352" t="s">
        <v>2297</v>
      </c>
      <c r="C298" s="353" t="e">
        <f>VLOOKUP($B298,'COMP. ELETRICO '!$B:$G,2,FALSE)</f>
        <v>#N/A</v>
      </c>
      <c r="D298" s="352" t="e">
        <f>VLOOKUP($B298,'COMP. ELETRICO '!$B:$G,6,FALSE)</f>
        <v>#N/A</v>
      </c>
      <c r="E298" s="354" t="e">
        <f>VLOOKUP($B298,'COMP. ELETRICO '!$B:$H,7,FALSE)</f>
        <v>#N/A</v>
      </c>
    </row>
    <row r="299" spans="2:5">
      <c r="B299" s="352" t="s">
        <v>2298</v>
      </c>
      <c r="C299" s="353" t="e">
        <f>VLOOKUP($B299,'COMP. ELETRICO '!$B:$G,2,FALSE)</f>
        <v>#N/A</v>
      </c>
      <c r="D299" s="352" t="e">
        <f>VLOOKUP($B299,'COMP. ELETRICO '!$B:$G,6,FALSE)</f>
        <v>#N/A</v>
      </c>
      <c r="E299" s="354" t="e">
        <f>VLOOKUP($B299,'COMP. ELETRICO '!$B:$H,7,FALSE)</f>
        <v>#N/A</v>
      </c>
    </row>
    <row r="300" spans="2:5">
      <c r="B300" s="352" t="s">
        <v>2299</v>
      </c>
      <c r="C300" s="353" t="e">
        <f>VLOOKUP($B300,'COMP. ELETRICO '!$B:$G,2,FALSE)</f>
        <v>#N/A</v>
      </c>
      <c r="D300" s="352" t="e">
        <f>VLOOKUP($B300,'COMP. ELETRICO '!$B:$G,6,FALSE)</f>
        <v>#N/A</v>
      </c>
      <c r="E300" s="354" t="e">
        <f>VLOOKUP($B300,'COMP. ELETRICO '!$B:$H,7,FALSE)</f>
        <v>#N/A</v>
      </c>
    </row>
    <row r="301" spans="2:5">
      <c r="B301" s="352" t="s">
        <v>2300</v>
      </c>
      <c r="C301" s="353" t="e">
        <f>VLOOKUP($B301,'COMP. ELETRICO '!$B:$G,2,FALSE)</f>
        <v>#N/A</v>
      </c>
      <c r="D301" s="352" t="e">
        <f>VLOOKUP($B301,'COMP. ELETRICO '!$B:$G,6,FALSE)</f>
        <v>#N/A</v>
      </c>
      <c r="E301" s="354" t="e">
        <f>VLOOKUP($B301,'COMP. ELETRICO '!$B:$H,7,FALSE)</f>
        <v>#N/A</v>
      </c>
    </row>
    <row r="302" spans="2:5">
      <c r="B302" s="352" t="s">
        <v>2301</v>
      </c>
      <c r="C302" s="353" t="e">
        <f>VLOOKUP($B302,'COMP. ELETRICO '!$B:$G,2,FALSE)</f>
        <v>#N/A</v>
      </c>
      <c r="D302" s="352" t="e">
        <f>VLOOKUP($B302,'COMP. ELETRICO '!$B:$G,6,FALSE)</f>
        <v>#N/A</v>
      </c>
      <c r="E302" s="354" t="e">
        <f>VLOOKUP($B302,'COMP. ELETRICO '!$B:$H,7,FALSE)</f>
        <v>#N/A</v>
      </c>
    </row>
    <row r="303" spans="2:5">
      <c r="B303" s="352" t="s">
        <v>2302</v>
      </c>
      <c r="C303" s="353" t="e">
        <f>VLOOKUP($B303,'COMP. ELETRICO '!$B:$G,2,FALSE)</f>
        <v>#N/A</v>
      </c>
      <c r="D303" s="352" t="e">
        <f>VLOOKUP($B303,'COMP. ELETRICO '!$B:$G,6,FALSE)</f>
        <v>#N/A</v>
      </c>
      <c r="E303" s="354" t="e">
        <f>VLOOKUP($B303,'COMP. ELETRICO '!$B:$H,7,FALSE)</f>
        <v>#N/A</v>
      </c>
    </row>
    <row r="304" spans="2:5">
      <c r="B304" s="352" t="s">
        <v>2303</v>
      </c>
      <c r="C304" s="353" t="e">
        <f>VLOOKUP($B304,'COMP. ELETRICO '!$B:$G,2,FALSE)</f>
        <v>#N/A</v>
      </c>
      <c r="D304" s="352" t="e">
        <f>VLOOKUP($B304,'COMP. ELETRICO '!$B:$G,6,FALSE)</f>
        <v>#N/A</v>
      </c>
      <c r="E304" s="354" t="e">
        <f>VLOOKUP($B304,'COMP. ELETRICO '!$B:$H,7,FALSE)</f>
        <v>#N/A</v>
      </c>
    </row>
    <row r="305" spans="2:5">
      <c r="B305" s="352" t="s">
        <v>2304</v>
      </c>
      <c r="C305" s="353" t="e">
        <f>VLOOKUP($B305,'COMP. ELETRICO '!$B:$G,2,FALSE)</f>
        <v>#N/A</v>
      </c>
      <c r="D305" s="352" t="e">
        <f>VLOOKUP($B305,'COMP. ELETRICO '!$B:$G,6,FALSE)</f>
        <v>#N/A</v>
      </c>
      <c r="E305" s="354" t="e">
        <f>VLOOKUP($B305,'COMP. ELETRICO '!$B:$H,7,FALSE)</f>
        <v>#N/A</v>
      </c>
    </row>
    <row r="306" spans="2:5">
      <c r="B306" s="352" t="s">
        <v>2305</v>
      </c>
      <c r="C306" s="353" t="e">
        <f>VLOOKUP($B306,'COMP. ELETRICO '!$B:$G,2,FALSE)</f>
        <v>#N/A</v>
      </c>
      <c r="D306" s="352" t="e">
        <f>VLOOKUP($B306,'COMP. ELETRICO '!$B:$G,6,FALSE)</f>
        <v>#N/A</v>
      </c>
      <c r="E306" s="354" t="e">
        <f>VLOOKUP($B306,'COMP. ELETRICO '!$B:$H,7,FALSE)</f>
        <v>#N/A</v>
      </c>
    </row>
    <row r="307" spans="2:5">
      <c r="B307" s="352" t="s">
        <v>2306</v>
      </c>
      <c r="C307" s="353" t="e">
        <f>VLOOKUP($B307,'COMP. ELETRICO '!$B:$G,2,FALSE)</f>
        <v>#N/A</v>
      </c>
      <c r="D307" s="352" t="e">
        <f>VLOOKUP($B307,'COMP. ELETRICO '!$B:$G,6,FALSE)</f>
        <v>#N/A</v>
      </c>
      <c r="E307" s="354" t="e">
        <f>VLOOKUP($B307,'COMP. ELETRICO '!$B:$H,7,FALSE)</f>
        <v>#N/A</v>
      </c>
    </row>
    <row r="308" spans="2:5">
      <c r="B308" s="352" t="s">
        <v>2307</v>
      </c>
      <c r="C308" s="353" t="e">
        <f>VLOOKUP($B308,'COMP. ELETRICO '!$B:$G,2,FALSE)</f>
        <v>#N/A</v>
      </c>
      <c r="D308" s="352" t="e">
        <f>VLOOKUP($B308,'COMP. ELETRICO '!$B:$G,6,FALSE)</f>
        <v>#N/A</v>
      </c>
      <c r="E308" s="354" t="e">
        <f>VLOOKUP($B308,'COMP. ELETRICO '!$B:$H,7,FALSE)</f>
        <v>#N/A</v>
      </c>
    </row>
    <row r="309" spans="2:5">
      <c r="B309" s="352" t="s">
        <v>2308</v>
      </c>
      <c r="C309" s="353" t="e">
        <f>VLOOKUP($B309,'COMP. ELETRICO '!$B:$G,2,FALSE)</f>
        <v>#N/A</v>
      </c>
      <c r="D309" s="352" t="e">
        <f>VLOOKUP($B309,'COMP. ELETRICO '!$B:$G,6,FALSE)</f>
        <v>#N/A</v>
      </c>
      <c r="E309" s="354" t="e">
        <f>VLOOKUP($B309,'COMP. ELETRICO '!$B:$H,7,FALSE)</f>
        <v>#N/A</v>
      </c>
    </row>
    <row r="310" spans="2:5">
      <c r="B310" s="352" t="s">
        <v>2309</v>
      </c>
      <c r="C310" s="353" t="e">
        <f>VLOOKUP($B310,'COMP. ELETRICO '!$B:$G,2,FALSE)</f>
        <v>#N/A</v>
      </c>
      <c r="D310" s="352" t="e">
        <f>VLOOKUP($B310,'COMP. ELETRICO '!$B:$G,6,FALSE)</f>
        <v>#N/A</v>
      </c>
      <c r="E310" s="354" t="e">
        <f>VLOOKUP($B310,'COMP. ELETRICO '!$B:$H,7,FALSE)</f>
        <v>#N/A</v>
      </c>
    </row>
    <row r="311" spans="2:5">
      <c r="B311" s="352" t="s">
        <v>2942</v>
      </c>
      <c r="C311" s="353" t="e">
        <f>VLOOKUP($B311,'COMP. ELETRICO '!$B:$G,2,FALSE)</f>
        <v>#N/A</v>
      </c>
      <c r="D311" s="352" t="e">
        <f>VLOOKUP($B311,'COMP. ELETRICO '!$B:$G,6,FALSE)</f>
        <v>#N/A</v>
      </c>
      <c r="E311" s="354" t="e">
        <f>VLOOKUP($B311,'COMP. ELETRICO '!$B:$H,7,FALSE)</f>
        <v>#N/A</v>
      </c>
    </row>
    <row r="312" spans="2:5">
      <c r="B312" s="352" t="s">
        <v>2943</v>
      </c>
      <c r="C312" s="353" t="e">
        <f>VLOOKUP($B312,'COMP. ELETRICO '!$B:$G,2,FALSE)</f>
        <v>#N/A</v>
      </c>
      <c r="D312" s="352" t="e">
        <f>VLOOKUP($B312,'COMP. ELETRICO '!$B:$G,6,FALSE)</f>
        <v>#N/A</v>
      </c>
      <c r="E312" s="354" t="e">
        <f>VLOOKUP($B312,'COMP. ELETRICO '!$B:$H,7,FALSE)</f>
        <v>#N/A</v>
      </c>
    </row>
    <row r="313" spans="2:5">
      <c r="B313" s="352" t="s">
        <v>2944</v>
      </c>
      <c r="C313" s="353" t="e">
        <f>VLOOKUP($B313,'COMP. ELETRICO '!$B:$G,2,FALSE)</f>
        <v>#N/A</v>
      </c>
      <c r="D313" s="352" t="e">
        <f>VLOOKUP($B313,'COMP. ELETRICO '!$B:$G,6,FALSE)</f>
        <v>#N/A</v>
      </c>
      <c r="E313" s="354" t="e">
        <f>VLOOKUP($B313,'COMP. ELETRICO '!$B:$H,7,FALSE)</f>
        <v>#N/A</v>
      </c>
    </row>
    <row r="314" spans="2:5">
      <c r="B314" s="352" t="s">
        <v>2970</v>
      </c>
      <c r="C314" s="353" t="e">
        <f>VLOOKUP($B314,'COMP. ELETRICO '!$B:$G,2,FALSE)</f>
        <v>#N/A</v>
      </c>
      <c r="D314" s="352" t="e">
        <f>VLOOKUP($B314,'COMP. ELETRICO '!$B:$G,6,FALSE)</f>
        <v>#N/A</v>
      </c>
      <c r="E314" s="354" t="e">
        <f>VLOOKUP($B314,'COMP. ELETRICO '!$B:$H,7,FALSE)</f>
        <v>#N/A</v>
      </c>
    </row>
    <row r="315" spans="2:5">
      <c r="B315" s="352" t="s">
        <v>2971</v>
      </c>
      <c r="C315" s="353" t="e">
        <f>VLOOKUP($B315,'COMP. ELETRICO '!$B:$G,2,FALSE)</f>
        <v>#N/A</v>
      </c>
      <c r="D315" s="352" t="e">
        <f>VLOOKUP($B315,'COMP. ELETRICO '!$B:$G,6,FALSE)</f>
        <v>#N/A</v>
      </c>
      <c r="E315" s="354" t="e">
        <f>VLOOKUP($B315,'COMP. ELETRICO '!$B:$H,7,FALSE)</f>
        <v>#N/A</v>
      </c>
    </row>
    <row r="316" spans="2:5">
      <c r="B316" s="352" t="s">
        <v>2972</v>
      </c>
      <c r="C316" s="353" t="e">
        <f>VLOOKUP($B316,'COMP. ELETRICO '!$B:$G,2,FALSE)</f>
        <v>#N/A</v>
      </c>
      <c r="D316" s="352" t="e">
        <f>VLOOKUP($B316,'COMP. ELETRICO '!$B:$G,6,FALSE)</f>
        <v>#N/A</v>
      </c>
      <c r="E316" s="354" t="e">
        <f>VLOOKUP($B316,'COMP. ELETRICO '!$B:$H,7,FALSE)</f>
        <v>#N/A</v>
      </c>
    </row>
    <row r="317" spans="2:5">
      <c r="B317" s="352" t="s">
        <v>2973</v>
      </c>
      <c r="C317" s="353" t="e">
        <f>VLOOKUP($B317,'COMP. ELETRICO '!$B:$G,2,FALSE)</f>
        <v>#N/A</v>
      </c>
      <c r="D317" s="352" t="e">
        <f>VLOOKUP($B317,'COMP. ELETRICO '!$B:$G,6,FALSE)</f>
        <v>#N/A</v>
      </c>
      <c r="E317" s="354" t="e">
        <f>VLOOKUP($B317,'COMP. ELETRICO '!$B:$H,7,FALSE)</f>
        <v>#N/A</v>
      </c>
    </row>
    <row r="318" spans="2:5">
      <c r="B318" s="352" t="s">
        <v>2974</v>
      </c>
      <c r="C318" s="353" t="e">
        <f>VLOOKUP($B318,'COMP. ELETRICO '!$B:$G,2,FALSE)</f>
        <v>#N/A</v>
      </c>
      <c r="D318" s="352" t="e">
        <f>VLOOKUP($B318,'COMP. ELETRICO '!$B:$G,6,FALSE)</f>
        <v>#N/A</v>
      </c>
      <c r="E318" s="354" t="e">
        <f>VLOOKUP($B318,'COMP. ELETRICO '!$B:$H,7,FALSE)</f>
        <v>#N/A</v>
      </c>
    </row>
    <row r="319" spans="2:5">
      <c r="B319" s="352" t="s">
        <v>2975</v>
      </c>
      <c r="C319" s="353" t="e">
        <f>VLOOKUP($B319,'COMP. ELETRICO '!$B:$G,2,FALSE)</f>
        <v>#N/A</v>
      </c>
      <c r="D319" s="352" t="e">
        <f>VLOOKUP($B319,'COMP. ELETRICO '!$B:$G,6,FALSE)</f>
        <v>#N/A</v>
      </c>
      <c r="E319" s="354" t="e">
        <f>VLOOKUP($B319,'COMP. ELETRICO '!$B:$H,7,FALSE)</f>
        <v>#N/A</v>
      </c>
    </row>
    <row r="320" spans="2:5">
      <c r="B320" s="352" t="s">
        <v>2976</v>
      </c>
      <c r="C320" s="353" t="e">
        <f>VLOOKUP($B320,'COMP. ELETRICO '!$B:$G,2,FALSE)</f>
        <v>#N/A</v>
      </c>
      <c r="D320" s="352" t="e">
        <f>VLOOKUP($B320,'COMP. ELETRICO '!$B:$G,6,FALSE)</f>
        <v>#N/A</v>
      </c>
      <c r="E320" s="354" t="e">
        <f>VLOOKUP($B320,'COMP. ELETRICO '!$B:$H,7,FALSE)</f>
        <v>#N/A</v>
      </c>
    </row>
    <row r="321" spans="2:5">
      <c r="B321" s="352" t="s">
        <v>2977</v>
      </c>
      <c r="C321" s="353" t="e">
        <f>VLOOKUP($B321,'COMP. ELETRICO '!$B:$G,2,FALSE)</f>
        <v>#N/A</v>
      </c>
      <c r="D321" s="352" t="e">
        <f>VLOOKUP($B321,'COMP. ELETRICO '!$B:$G,6,FALSE)</f>
        <v>#N/A</v>
      </c>
      <c r="E321" s="354" t="e">
        <f>VLOOKUP($B321,'COMP. ELETRICO '!$B:$H,7,FALSE)</f>
        <v>#N/A</v>
      </c>
    </row>
    <row r="322" spans="2:5">
      <c r="B322" s="352" t="s">
        <v>2978</v>
      </c>
      <c r="C322" s="353" t="e">
        <f>VLOOKUP($B322,'COMP. ELETRICO '!$B:$G,2,FALSE)</f>
        <v>#N/A</v>
      </c>
      <c r="D322" s="352" t="e">
        <f>VLOOKUP($B322,'COMP. ELETRICO '!$B:$G,6,FALSE)</f>
        <v>#N/A</v>
      </c>
      <c r="E322" s="354" t="e">
        <f>VLOOKUP($B322,'COMP. ELETRICO '!$B:$H,7,FALSE)</f>
        <v>#N/A</v>
      </c>
    </row>
    <row r="323" spans="2:5">
      <c r="B323" s="352" t="s">
        <v>2979</v>
      </c>
      <c r="C323" s="353" t="e">
        <f>VLOOKUP($B323,'COMP. ELETRICO '!$B:$G,2,FALSE)</f>
        <v>#N/A</v>
      </c>
      <c r="D323" s="352" t="e">
        <f>VLOOKUP($B323,'COMP. ELETRICO '!$B:$G,6,FALSE)</f>
        <v>#N/A</v>
      </c>
      <c r="E323" s="354" t="e">
        <f>VLOOKUP($B323,'COMP. ELETRICO '!$B:$H,7,FALSE)</f>
        <v>#N/A</v>
      </c>
    </row>
    <row r="324" spans="2:5">
      <c r="B324" s="352" t="s">
        <v>2980</v>
      </c>
      <c r="C324" s="353" t="e">
        <f>VLOOKUP($B324,'COMP. ELETRICO '!$B:$G,2,FALSE)</f>
        <v>#N/A</v>
      </c>
      <c r="D324" s="352" t="e">
        <f>VLOOKUP($B324,'COMP. ELETRICO '!$B:$G,6,FALSE)</f>
        <v>#N/A</v>
      </c>
      <c r="E324" s="354" t="e">
        <f>VLOOKUP($B324,'COMP. ELETRICO '!$B:$H,7,FALSE)</f>
        <v>#N/A</v>
      </c>
    </row>
    <row r="325" spans="2:5">
      <c r="B325" s="352" t="s">
        <v>2981</v>
      </c>
      <c r="C325" s="353" t="e">
        <f>VLOOKUP($B325,'COMP. ELETRICO '!$B:$G,2,FALSE)</f>
        <v>#N/A</v>
      </c>
      <c r="D325" s="352" t="e">
        <f>VLOOKUP($B325,'COMP. ELETRICO '!$B:$G,6,FALSE)</f>
        <v>#N/A</v>
      </c>
      <c r="E325" s="354" t="e">
        <f>VLOOKUP($B325,'COMP. ELETRICO '!$B:$H,7,FALSE)</f>
        <v>#N/A</v>
      </c>
    </row>
    <row r="326" spans="2:5">
      <c r="B326" s="352" t="s">
        <v>2982</v>
      </c>
      <c r="C326" s="353" t="e">
        <f>VLOOKUP($B326,'COMP. ELETRICO '!$B:$G,2,FALSE)</f>
        <v>#N/A</v>
      </c>
      <c r="D326" s="352" t="e">
        <f>VLOOKUP($B326,'COMP. ELETRICO '!$B:$G,6,FALSE)</f>
        <v>#N/A</v>
      </c>
      <c r="E326" s="354" t="e">
        <f>VLOOKUP($B326,'COMP. ELETRICO '!$B:$H,7,FALSE)</f>
        <v>#N/A</v>
      </c>
    </row>
    <row r="327" spans="2:5">
      <c r="B327" s="352" t="s">
        <v>6473</v>
      </c>
      <c r="C327" s="353" t="e">
        <f>VLOOKUP($B327,'COMP. ELETRICO '!$B:$G,2,FALSE)</f>
        <v>#N/A</v>
      </c>
      <c r="D327" s="352" t="e">
        <f>VLOOKUP($B327,'COMP. ELETRICO '!$B:$G,6,FALSE)</f>
        <v>#N/A</v>
      </c>
      <c r="E327" s="354" t="e">
        <f>VLOOKUP($B327,'COMP. ELETRICO '!$B:$H,7,FALSE)</f>
        <v>#N/A</v>
      </c>
    </row>
    <row r="328" spans="2:5">
      <c r="B328" s="352" t="s">
        <v>6474</v>
      </c>
      <c r="C328" s="353" t="e">
        <f>VLOOKUP($B328,'COMP. ELETRICO '!$B:$G,2,FALSE)</f>
        <v>#N/A</v>
      </c>
      <c r="D328" s="352" t="e">
        <f>VLOOKUP($B328,'COMP. ELETRICO '!$B:$G,6,FALSE)</f>
        <v>#N/A</v>
      </c>
      <c r="E328" s="354" t="e">
        <f>VLOOKUP($B328,'COMP. ELETRICO '!$B:$H,7,FALSE)</f>
        <v>#N/A</v>
      </c>
    </row>
    <row r="329" spans="2:5">
      <c r="B329" s="352" t="s">
        <v>6475</v>
      </c>
      <c r="C329" s="353" t="e">
        <f>VLOOKUP($B329,'COMP. ELETRICO '!$B:$G,2,FALSE)</f>
        <v>#N/A</v>
      </c>
      <c r="D329" s="352" t="e">
        <f>VLOOKUP($B329,'COMP. ELETRICO '!$B:$G,6,FALSE)</f>
        <v>#N/A</v>
      </c>
      <c r="E329" s="354" t="e">
        <f>VLOOKUP($B329,'COMP. ELETRICO '!$B:$H,7,FALSE)</f>
        <v>#N/A</v>
      </c>
    </row>
    <row r="330" spans="2:5">
      <c r="B330" s="352" t="s">
        <v>6476</v>
      </c>
      <c r="C330" s="353" t="e">
        <f>VLOOKUP($B330,'COMP. ELETRICO '!$B:$G,2,FALSE)</f>
        <v>#N/A</v>
      </c>
      <c r="D330" s="352" t="e">
        <f>VLOOKUP($B330,'COMP. ELETRICO '!$B:$G,6,FALSE)</f>
        <v>#N/A</v>
      </c>
      <c r="E330" s="354" t="e">
        <f>VLOOKUP($B330,'COMP. ELETRICO '!$B:$H,7,FALSE)</f>
        <v>#N/A</v>
      </c>
    </row>
    <row r="331" spans="2:5">
      <c r="B331" s="352" t="s">
        <v>6477</v>
      </c>
      <c r="C331" s="353" t="e">
        <f>VLOOKUP($B331,'COMP. ELETRICO '!$B:$G,2,FALSE)</f>
        <v>#N/A</v>
      </c>
      <c r="D331" s="352" t="e">
        <f>VLOOKUP($B331,'COMP. ELETRICO '!$B:$G,6,FALSE)</f>
        <v>#N/A</v>
      </c>
      <c r="E331" s="354" t="e">
        <f>VLOOKUP($B331,'COMP. ELETRICO '!$B:$H,7,FALSE)</f>
        <v>#N/A</v>
      </c>
    </row>
    <row r="332" spans="2:5">
      <c r="B332" s="352" t="s">
        <v>6478</v>
      </c>
      <c r="C332" s="353" t="e">
        <f>VLOOKUP($B332,'COMP. ELETRICO '!$B:$G,2,FALSE)</f>
        <v>#N/A</v>
      </c>
      <c r="D332" s="352" t="e">
        <f>VLOOKUP($B332,'COMP. ELETRICO '!$B:$G,6,FALSE)</f>
        <v>#N/A</v>
      </c>
      <c r="E332" s="354" t="e">
        <f>VLOOKUP($B332,'COMP. ELETRICO '!$B:$H,7,FALSE)</f>
        <v>#N/A</v>
      </c>
    </row>
    <row r="333" spans="2:5">
      <c r="B333" s="352" t="s">
        <v>6479</v>
      </c>
      <c r="C333" s="353" t="e">
        <f>VLOOKUP($B333,'COMP. ELETRICO '!$B:$G,2,FALSE)</f>
        <v>#N/A</v>
      </c>
      <c r="D333" s="352" t="e">
        <f>VLOOKUP($B333,'COMP. ELETRICO '!$B:$G,6,FALSE)</f>
        <v>#N/A</v>
      </c>
      <c r="E333" s="354" t="e">
        <f>VLOOKUP($B333,'COMP. ELETRICO '!$B:$H,7,FALSE)</f>
        <v>#N/A</v>
      </c>
    </row>
    <row r="334" spans="2:5">
      <c r="B334" s="352" t="s">
        <v>6480</v>
      </c>
      <c r="C334" s="353" t="e">
        <f>VLOOKUP($B334,'COMP. ELETRICO '!$B:$G,2,FALSE)</f>
        <v>#N/A</v>
      </c>
      <c r="D334" s="352" t="e">
        <f>VLOOKUP($B334,'COMP. ELETRICO '!$B:$G,6,FALSE)</f>
        <v>#N/A</v>
      </c>
      <c r="E334" s="354" t="e">
        <f>VLOOKUP($B334,'COMP. ELETRICO '!$B:$H,7,FALSE)</f>
        <v>#N/A</v>
      </c>
    </row>
    <row r="335" spans="2:5">
      <c r="B335" s="352" t="s">
        <v>6481</v>
      </c>
      <c r="C335" s="353" t="e">
        <f>VLOOKUP($B335,'COMP. ELETRICO '!$B:$G,2,FALSE)</f>
        <v>#N/A</v>
      </c>
      <c r="D335" s="352" t="e">
        <f>VLOOKUP($B335,'COMP. ELETRICO '!$B:$G,6,FALSE)</f>
        <v>#N/A</v>
      </c>
      <c r="E335" s="354" t="e">
        <f>VLOOKUP($B335,'COMP. ELETRICO '!$B:$H,7,FALSE)</f>
        <v>#N/A</v>
      </c>
    </row>
    <row r="336" spans="2:5" ht="15.75" thickBot="1">
      <c r="B336" s="396"/>
      <c r="C336" s="401"/>
      <c r="D336" s="396"/>
    </row>
    <row r="337" spans="2:5" ht="16.5" thickBot="1">
      <c r="B337" s="79" t="s">
        <v>393</v>
      </c>
      <c r="C337" s="80" t="s">
        <v>565</v>
      </c>
      <c r="D337" s="82" t="s">
        <v>30</v>
      </c>
      <c r="E337" s="83" t="s">
        <v>31</v>
      </c>
    </row>
    <row r="338" spans="2:5">
      <c r="B338" s="402" t="s">
        <v>2310</v>
      </c>
      <c r="C338" s="296" t="str">
        <f>VLOOKUP($B338,'COMP. SPDA '!$B:$G,2,FALSE)</f>
        <v>FORNECIMENTO E INSTALAÇÃO DE CONECTOR EM LATÃO TIPO MINI-GAR PARA CABOS DE 16 A 50MM²</v>
      </c>
      <c r="D338" s="402" t="str">
        <f>VLOOKUP($B338,'COMP. SPDA '!$B:$G,6,FALSE)</f>
        <v>UN</v>
      </c>
      <c r="E338" s="297">
        <f>VLOOKUP($B338,'COMP. SPDA '!$B:$H,7,FALSE)</f>
        <v>21.83</v>
      </c>
    </row>
    <row r="339" spans="2:5">
      <c r="B339" s="402" t="s">
        <v>2311</v>
      </c>
      <c r="C339" s="296" t="str">
        <f>VLOOKUP($B339,'COMP. SPDA '!$B:$G,2,FALSE)</f>
        <v>TERMINAL OU CONECTOR DE PRESSAO - PARA CABO 35MM2 - FORNECIMENTO E INSTALACAO</v>
      </c>
      <c r="D339" s="402" t="str">
        <f>VLOOKUP($B339,'COMP. SPDA '!$B:$G,6,FALSE)</f>
        <v>UN</v>
      </c>
      <c r="E339" s="297">
        <f>VLOOKUP($B339,'COMP. SPDA '!$B:$H,7,FALSE)</f>
        <v>12.94</v>
      </c>
    </row>
    <row r="340" spans="2:5">
      <c r="B340" s="402" t="s">
        <v>2312</v>
      </c>
      <c r="C340" s="296" t="e">
        <f>VLOOKUP($B340,'COMP. SPDA '!$B:$G,2,FALSE)</f>
        <v>#N/A</v>
      </c>
      <c r="D340" s="402" t="e">
        <f>VLOOKUP($B340,'COMP. SPDA '!$B:$G,6,FALSE)</f>
        <v>#N/A</v>
      </c>
      <c r="E340" s="297" t="e">
        <f>VLOOKUP($B340,'COMP. SPDA '!$B:$H,7,FALSE)</f>
        <v>#N/A</v>
      </c>
    </row>
    <row r="341" spans="2:5">
      <c r="B341" s="402" t="s">
        <v>2313</v>
      </c>
      <c r="C341" s="296" t="e">
        <f>VLOOKUP($B341,'COMP. SPDA '!$B:$G,2,FALSE)</f>
        <v>#N/A</v>
      </c>
      <c r="D341" s="402" t="e">
        <f>VLOOKUP($B341,'COMP. SPDA '!$B:$G,6,FALSE)</f>
        <v>#N/A</v>
      </c>
      <c r="E341" s="297" t="e">
        <f>VLOOKUP($B341,'COMP. SPDA '!$B:$H,7,FALSE)</f>
        <v>#N/A</v>
      </c>
    </row>
    <row r="342" spans="2:5">
      <c r="B342" s="402" t="s">
        <v>2314</v>
      </c>
      <c r="C342" s="296" t="e">
        <f>VLOOKUP($B342,'COMP. SPDA '!$B:$G,2,FALSE)</f>
        <v>#N/A</v>
      </c>
      <c r="D342" s="402" t="e">
        <f>VLOOKUP($B342,'COMP. SPDA '!$B:$G,6,FALSE)</f>
        <v>#N/A</v>
      </c>
      <c r="E342" s="297" t="e">
        <f>VLOOKUP($B342,'COMP. SPDA '!$B:$H,7,FALSE)</f>
        <v>#N/A</v>
      </c>
    </row>
    <row r="343" spans="2:5">
      <c r="B343" s="402" t="s">
        <v>2315</v>
      </c>
      <c r="C343" s="296" t="e">
        <f>VLOOKUP($B343,'COMP. SPDA '!$B:$G,2,FALSE)</f>
        <v>#N/A</v>
      </c>
      <c r="D343" s="402" t="e">
        <f>VLOOKUP($B343,'COMP. SPDA '!$B:$G,6,FALSE)</f>
        <v>#N/A</v>
      </c>
      <c r="E343" s="297" t="e">
        <f>VLOOKUP($B343,'COMP. SPDA '!$B:$H,7,FALSE)</f>
        <v>#N/A</v>
      </c>
    </row>
    <row r="344" spans="2:5">
      <c r="B344" s="402" t="s">
        <v>2316</v>
      </c>
      <c r="C344" s="296" t="e">
        <f>VLOOKUP($B344,'COMP. SPDA '!$B:$G,2,FALSE)</f>
        <v>#N/A</v>
      </c>
      <c r="D344" s="402" t="e">
        <f>VLOOKUP($B344,'COMP. SPDA '!$B:$G,6,FALSE)</f>
        <v>#N/A</v>
      </c>
      <c r="E344" s="297" t="e">
        <f>VLOOKUP($B344,'COMP. SPDA '!$B:$H,7,FALSE)</f>
        <v>#N/A</v>
      </c>
    </row>
    <row r="345" spans="2:5">
      <c r="B345" s="402" t="s">
        <v>2317</v>
      </c>
      <c r="C345" s="296" t="e">
        <f>VLOOKUP($B345,'COMP. SPDA '!$B:$G,2,FALSE)</f>
        <v>#N/A</v>
      </c>
      <c r="D345" s="402" t="e">
        <f>VLOOKUP($B345,'COMP. SPDA '!$B:$G,6,FALSE)</f>
        <v>#N/A</v>
      </c>
      <c r="E345" s="297" t="e">
        <f>VLOOKUP($B345,'COMP. SPDA '!$B:$H,7,FALSE)</f>
        <v>#N/A</v>
      </c>
    </row>
    <row r="346" spans="2:5">
      <c r="B346" s="402" t="s">
        <v>2318</v>
      </c>
      <c r="C346" s="296" t="e">
        <f>VLOOKUP($B346,'COMP. SPDA '!$B:$G,2,FALSE)</f>
        <v>#N/A</v>
      </c>
      <c r="D346" s="402" t="e">
        <f>VLOOKUP($B346,'COMP. SPDA '!$B:$G,6,FALSE)</f>
        <v>#N/A</v>
      </c>
      <c r="E346" s="297" t="e">
        <f>VLOOKUP($B346,'COMP. SPDA '!$B:$H,7,FALSE)</f>
        <v>#N/A</v>
      </c>
    </row>
    <row r="347" spans="2:5">
      <c r="B347" s="402" t="s">
        <v>2319</v>
      </c>
      <c r="C347" s="296" t="e">
        <f>VLOOKUP($B347,'COMP. SPDA '!$B:$G,2,FALSE)</f>
        <v>#N/A</v>
      </c>
      <c r="D347" s="402" t="e">
        <f>VLOOKUP($B347,'COMP. SPDA '!$B:$G,6,FALSE)</f>
        <v>#N/A</v>
      </c>
      <c r="E347" s="297" t="e">
        <f>VLOOKUP($B347,'COMP. SPDA '!$B:$H,7,FALSE)</f>
        <v>#N/A</v>
      </c>
    </row>
    <row r="348" spans="2:5">
      <c r="B348" s="402" t="s">
        <v>2320</v>
      </c>
      <c r="C348" s="296" t="e">
        <f>VLOOKUP($B348,'COMP. SPDA '!$B:$G,2,FALSE)</f>
        <v>#N/A</v>
      </c>
      <c r="D348" s="402" t="e">
        <f>VLOOKUP($B348,'COMP. SPDA '!$B:$G,6,FALSE)</f>
        <v>#N/A</v>
      </c>
      <c r="E348" s="297" t="e">
        <f>VLOOKUP($B348,'COMP. SPDA '!$B:$H,7,FALSE)</f>
        <v>#N/A</v>
      </c>
    </row>
    <row r="349" spans="2:5">
      <c r="B349" s="402" t="s">
        <v>2321</v>
      </c>
      <c r="C349" s="296" t="e">
        <f>VLOOKUP($B349,'COMP. SPDA '!$B:$G,2,FALSE)</f>
        <v>#N/A</v>
      </c>
      <c r="D349" s="402" t="e">
        <f>VLOOKUP($B349,'COMP. SPDA '!$B:$G,6,FALSE)</f>
        <v>#N/A</v>
      </c>
      <c r="E349" s="297" t="e">
        <f>VLOOKUP($B349,'COMP. SPDA '!$B:$H,7,FALSE)</f>
        <v>#N/A</v>
      </c>
    </row>
    <row r="350" spans="2:5">
      <c r="B350" s="402" t="s">
        <v>2322</v>
      </c>
      <c r="C350" s="296" t="e">
        <f>VLOOKUP($B350,'COMP. SPDA '!$B:$G,2,FALSE)</f>
        <v>#N/A</v>
      </c>
      <c r="D350" s="402" t="e">
        <f>VLOOKUP($B350,'COMP. SPDA '!$B:$G,6,FALSE)</f>
        <v>#N/A</v>
      </c>
      <c r="E350" s="297" t="e">
        <f>VLOOKUP($B350,'COMP. SPDA '!$B:$H,7,FALSE)</f>
        <v>#N/A</v>
      </c>
    </row>
    <row r="351" spans="2:5">
      <c r="B351" s="402" t="s">
        <v>2323</v>
      </c>
      <c r="C351" s="296" t="e">
        <f>VLOOKUP($B351,'COMP. SPDA '!$B:$G,2,FALSE)</f>
        <v>#N/A</v>
      </c>
      <c r="D351" s="402" t="e">
        <f>VLOOKUP($B351,'COMP. SPDA '!$B:$G,6,FALSE)</f>
        <v>#N/A</v>
      </c>
      <c r="E351" s="297" t="e">
        <f>VLOOKUP($B351,'COMP. SPDA '!$B:$H,7,FALSE)</f>
        <v>#N/A</v>
      </c>
    </row>
    <row r="352" spans="2:5">
      <c r="B352" s="402" t="s">
        <v>2324</v>
      </c>
      <c r="C352" s="296" t="e">
        <f>VLOOKUP($B352,'COMP. SPDA '!$B:$G,2,FALSE)</f>
        <v>#N/A</v>
      </c>
      <c r="D352" s="402" t="e">
        <f>VLOOKUP($B352,'COMP. SPDA '!$B:$G,6,FALSE)</f>
        <v>#N/A</v>
      </c>
      <c r="E352" s="297" t="e">
        <f>VLOOKUP($B352,'COMP. SPDA '!$B:$H,7,FALSE)</f>
        <v>#N/A</v>
      </c>
    </row>
    <row r="353" spans="2:5">
      <c r="B353" s="402" t="s">
        <v>2325</v>
      </c>
      <c r="C353" s="296" t="e">
        <f>VLOOKUP($B353,'COMP. SPDA '!$B:$G,2,FALSE)</f>
        <v>#N/A</v>
      </c>
      <c r="D353" s="402" t="e">
        <f>VLOOKUP($B353,'COMP. SPDA '!$B:$G,6,FALSE)</f>
        <v>#N/A</v>
      </c>
      <c r="E353" s="297" t="e">
        <f>VLOOKUP($B353,'COMP. SPDA '!$B:$H,7,FALSE)</f>
        <v>#N/A</v>
      </c>
    </row>
    <row r="354" spans="2:5">
      <c r="B354" s="402" t="s">
        <v>2326</v>
      </c>
      <c r="C354" s="296" t="e">
        <f>VLOOKUP($B354,'COMP. SPDA '!$B:$G,2,FALSE)</f>
        <v>#N/A</v>
      </c>
      <c r="D354" s="402" t="e">
        <f>VLOOKUP($B354,'COMP. SPDA '!$B:$G,6,FALSE)</f>
        <v>#N/A</v>
      </c>
      <c r="E354" s="297" t="e">
        <f>VLOOKUP($B354,'COMP. SPDA '!$B:$H,7,FALSE)</f>
        <v>#N/A</v>
      </c>
    </row>
    <row r="355" spans="2:5">
      <c r="B355" s="402" t="s">
        <v>2327</v>
      </c>
      <c r="C355" s="296" t="e">
        <f>VLOOKUP($B355,'COMP. SPDA '!$B:$G,2,FALSE)</f>
        <v>#N/A</v>
      </c>
      <c r="D355" s="402" t="e">
        <f>VLOOKUP($B355,'COMP. SPDA '!$B:$G,6,FALSE)</f>
        <v>#N/A</v>
      </c>
      <c r="E355" s="297" t="e">
        <f>VLOOKUP($B355,'COMP. SPDA '!$B:$H,7,FALSE)</f>
        <v>#N/A</v>
      </c>
    </row>
    <row r="356" spans="2:5">
      <c r="B356" s="402" t="s">
        <v>2328</v>
      </c>
      <c r="C356" s="296" t="e">
        <f>VLOOKUP($B356,'COMP. SPDA '!$B:$G,2,FALSE)</f>
        <v>#N/A</v>
      </c>
      <c r="D356" s="402" t="e">
        <f>VLOOKUP($B356,'COMP. SPDA '!$B:$G,6,FALSE)</f>
        <v>#N/A</v>
      </c>
      <c r="E356" s="297" t="e">
        <f>VLOOKUP($B356,'COMP. SPDA '!$B:$H,7,FALSE)</f>
        <v>#N/A</v>
      </c>
    </row>
    <row r="357" spans="2:5">
      <c r="B357" s="402" t="s">
        <v>2329</v>
      </c>
      <c r="C357" s="296" t="e">
        <f>VLOOKUP($B357,'COMP. SPDA '!$B:$G,2,FALSE)</f>
        <v>#N/A</v>
      </c>
      <c r="D357" s="402" t="e">
        <f>VLOOKUP($B357,'COMP. SPDA '!$B:$G,6,FALSE)</f>
        <v>#N/A</v>
      </c>
      <c r="E357" s="297" t="e">
        <f>VLOOKUP($B357,'COMP. SPDA '!$B:$H,7,FALSE)</f>
        <v>#N/A</v>
      </c>
    </row>
    <row r="358" spans="2:5">
      <c r="B358" s="402" t="s">
        <v>2330</v>
      </c>
      <c r="C358" s="296" t="e">
        <f>VLOOKUP($B358,'COMP. SPDA '!$B:$G,2,FALSE)</f>
        <v>#N/A</v>
      </c>
      <c r="D358" s="402" t="e">
        <f>VLOOKUP($B358,'COMP. SPDA '!$B:$G,6,FALSE)</f>
        <v>#N/A</v>
      </c>
      <c r="E358" s="297" t="e">
        <f>VLOOKUP($B358,'COMP. SPDA '!$B:$H,7,FALSE)</f>
        <v>#N/A</v>
      </c>
    </row>
    <row r="359" spans="2:5">
      <c r="B359" s="402" t="s">
        <v>2331</v>
      </c>
      <c r="C359" s="296" t="e">
        <f>VLOOKUP($B359,'COMP. SPDA '!$B:$G,2,FALSE)</f>
        <v>#N/A</v>
      </c>
      <c r="D359" s="402" t="e">
        <f>VLOOKUP($B359,'COMP. SPDA '!$B:$G,6,FALSE)</f>
        <v>#N/A</v>
      </c>
      <c r="E359" s="297" t="e">
        <f>VLOOKUP($B359,'COMP. SPDA '!$B:$H,7,FALSE)</f>
        <v>#N/A</v>
      </c>
    </row>
    <row r="360" spans="2:5">
      <c r="B360" s="402" t="s">
        <v>2332</v>
      </c>
      <c r="C360" s="296" t="e">
        <f>VLOOKUP($B360,'COMP. SPDA '!$B:$G,2,FALSE)</f>
        <v>#N/A</v>
      </c>
      <c r="D360" s="402" t="e">
        <f>VLOOKUP($B360,'COMP. SPDA '!$B:$G,6,FALSE)</f>
        <v>#N/A</v>
      </c>
      <c r="E360" s="297" t="e">
        <f>VLOOKUP($B360,'COMP. SPDA '!$B:$H,7,FALSE)</f>
        <v>#N/A</v>
      </c>
    </row>
    <row r="361" spans="2:5">
      <c r="B361" s="402" t="s">
        <v>2333</v>
      </c>
      <c r="C361" s="296" t="e">
        <f>VLOOKUP($B361,'COMP. SPDA '!$B:$G,2,FALSE)</f>
        <v>#N/A</v>
      </c>
      <c r="D361" s="402" t="e">
        <f>VLOOKUP($B361,'COMP. SPDA '!$B:$G,6,FALSE)</f>
        <v>#N/A</v>
      </c>
      <c r="E361" s="297" t="e">
        <f>VLOOKUP($B361,'COMP. SPDA '!$B:$H,7,FALSE)</f>
        <v>#N/A</v>
      </c>
    </row>
    <row r="362" spans="2:5">
      <c r="B362" s="402" t="s">
        <v>2334</v>
      </c>
      <c r="C362" s="296" t="e">
        <f>VLOOKUP($B362,'COMP. SPDA '!$B:$G,2,FALSE)</f>
        <v>#N/A</v>
      </c>
      <c r="D362" s="402" t="e">
        <f>VLOOKUP($B362,'COMP. SPDA '!$B:$G,6,FALSE)</f>
        <v>#N/A</v>
      </c>
      <c r="E362" s="297" t="e">
        <f>VLOOKUP($B362,'COMP. SPDA '!$B:$H,7,FALSE)</f>
        <v>#N/A</v>
      </c>
    </row>
    <row r="363" spans="2:5">
      <c r="B363" s="402" t="s">
        <v>2335</v>
      </c>
      <c r="C363" s="296" t="e">
        <f>VLOOKUP($B363,'COMP. SPDA '!$B:$G,2,FALSE)</f>
        <v>#N/A</v>
      </c>
      <c r="D363" s="402" t="e">
        <f>VLOOKUP($B363,'COMP. SPDA '!$B:$G,6,FALSE)</f>
        <v>#N/A</v>
      </c>
      <c r="E363" s="297" t="e">
        <f>VLOOKUP($B363,'COMP. SPDA '!$B:$H,7,FALSE)</f>
        <v>#N/A</v>
      </c>
    </row>
    <row r="364" spans="2:5">
      <c r="B364" s="402" t="s">
        <v>2336</v>
      </c>
      <c r="C364" s="296" t="e">
        <f>VLOOKUP($B364,'COMP. SPDA '!$B:$G,2,FALSE)</f>
        <v>#N/A</v>
      </c>
      <c r="D364" s="402" t="e">
        <f>VLOOKUP($B364,'COMP. SPDA '!$B:$G,6,FALSE)</f>
        <v>#N/A</v>
      </c>
      <c r="E364" s="297" t="e">
        <f>VLOOKUP($B364,'COMP. SPDA '!$B:$H,7,FALSE)</f>
        <v>#N/A</v>
      </c>
    </row>
    <row r="365" spans="2:5">
      <c r="B365" s="402" t="s">
        <v>2337</v>
      </c>
      <c r="C365" s="296" t="e">
        <f>VLOOKUP($B365,'COMP. SPDA '!$B:$G,2,FALSE)</f>
        <v>#N/A</v>
      </c>
      <c r="D365" s="402" t="e">
        <f>VLOOKUP($B365,'COMP. SPDA '!$B:$G,6,FALSE)</f>
        <v>#N/A</v>
      </c>
      <c r="E365" s="297" t="e">
        <f>VLOOKUP($B365,'COMP. SPDA '!$B:$H,7,FALSE)</f>
        <v>#N/A</v>
      </c>
    </row>
    <row r="366" spans="2:5">
      <c r="B366" s="402" t="s">
        <v>2338</v>
      </c>
      <c r="C366" s="296" t="e">
        <f>VLOOKUP($B366,'COMP. SPDA '!$B:$G,2,FALSE)</f>
        <v>#N/A</v>
      </c>
      <c r="D366" s="402" t="e">
        <f>VLOOKUP($B366,'COMP. SPDA '!$B:$G,6,FALSE)</f>
        <v>#N/A</v>
      </c>
      <c r="E366" s="297" t="e">
        <f>VLOOKUP($B366,'COMP. SPDA '!$B:$H,7,FALSE)</f>
        <v>#N/A</v>
      </c>
    </row>
    <row r="367" spans="2:5">
      <c r="B367" s="402" t="s">
        <v>2339</v>
      </c>
      <c r="C367" s="296" t="e">
        <f>VLOOKUP($B367,'COMP. SPDA '!$B:$G,2,FALSE)</f>
        <v>#N/A</v>
      </c>
      <c r="D367" s="402" t="e">
        <f>VLOOKUP($B367,'COMP. SPDA '!$B:$G,6,FALSE)</f>
        <v>#N/A</v>
      </c>
      <c r="E367" s="297" t="e">
        <f>VLOOKUP($B367,'COMP. SPDA '!$B:$H,7,FALSE)</f>
        <v>#N/A</v>
      </c>
    </row>
    <row r="368" spans="2:5">
      <c r="B368" s="402" t="s">
        <v>2340</v>
      </c>
      <c r="C368" s="296" t="e">
        <f>VLOOKUP($B368,'COMP. SPDA '!$B:$G,2,FALSE)</f>
        <v>#N/A</v>
      </c>
      <c r="D368" s="402" t="e">
        <f>VLOOKUP($B368,'COMP. SPDA '!$B:$G,6,FALSE)</f>
        <v>#N/A</v>
      </c>
      <c r="E368" s="297" t="e">
        <f>VLOOKUP($B368,'COMP. SPDA '!$B:$H,7,FALSE)</f>
        <v>#N/A</v>
      </c>
    </row>
    <row r="369" spans="2:5">
      <c r="B369" s="402" t="s">
        <v>2341</v>
      </c>
      <c r="C369" s="296" t="e">
        <f>VLOOKUP($B369,'COMP. SPDA '!$B:$G,2,FALSE)</f>
        <v>#N/A</v>
      </c>
      <c r="D369" s="402" t="e">
        <f>VLOOKUP($B369,'COMP. SPDA '!$B:$G,6,FALSE)</f>
        <v>#N/A</v>
      </c>
      <c r="E369" s="297" t="e">
        <f>VLOOKUP($B369,'COMP. SPDA '!$B:$H,7,FALSE)</f>
        <v>#N/A</v>
      </c>
    </row>
    <row r="370" spans="2:5">
      <c r="B370" s="402" t="s">
        <v>2342</v>
      </c>
      <c r="C370" s="296" t="e">
        <f>VLOOKUP($B370,'COMP. SPDA '!$B:$G,2,FALSE)</f>
        <v>#N/A</v>
      </c>
      <c r="D370" s="402" t="e">
        <f>VLOOKUP($B370,'COMP. SPDA '!$B:$G,6,FALSE)</f>
        <v>#N/A</v>
      </c>
      <c r="E370" s="297" t="e">
        <f>VLOOKUP($B370,'COMP. SPDA '!$B:$H,7,FALSE)</f>
        <v>#N/A</v>
      </c>
    </row>
    <row r="371" spans="2:5">
      <c r="B371" s="402" t="s">
        <v>2464</v>
      </c>
      <c r="C371" s="296" t="e">
        <f>VLOOKUP($B371,'COMP. SPDA '!$B:$G,2,FALSE)</f>
        <v>#N/A</v>
      </c>
      <c r="D371" s="402" t="e">
        <f>VLOOKUP($B371,'COMP. SPDA '!$B:$G,6,FALSE)</f>
        <v>#N/A</v>
      </c>
      <c r="E371" s="297" t="e">
        <f>VLOOKUP($B371,'COMP. SPDA '!$B:$H,7,FALSE)</f>
        <v>#N/A</v>
      </c>
    </row>
    <row r="372" spans="2:5">
      <c r="B372" s="402" t="s">
        <v>2945</v>
      </c>
      <c r="C372" s="296" t="e">
        <f>VLOOKUP($B372,'COMP. SPDA '!$B:$G,2,FALSE)</f>
        <v>#N/A</v>
      </c>
      <c r="D372" s="402" t="e">
        <f>VLOOKUP($B372,'COMP. SPDA '!$B:$G,6,FALSE)</f>
        <v>#N/A</v>
      </c>
      <c r="E372" s="297" t="e">
        <f>VLOOKUP($B372,'COMP. SPDA '!$B:$H,7,FALSE)</f>
        <v>#N/A</v>
      </c>
    </row>
    <row r="373" spans="2:5">
      <c r="B373" s="402" t="s">
        <v>2946</v>
      </c>
      <c r="C373" s="296" t="e">
        <f>VLOOKUP($B373,'COMP. SPDA '!$B:$G,2,FALSE)</f>
        <v>#N/A</v>
      </c>
      <c r="D373" s="402" t="e">
        <f>VLOOKUP($B373,'COMP. SPDA '!$B:$G,6,FALSE)</f>
        <v>#N/A</v>
      </c>
      <c r="E373" s="297" t="e">
        <f>VLOOKUP($B373,'COMP. SPDA '!$B:$H,7,FALSE)</f>
        <v>#N/A</v>
      </c>
    </row>
    <row r="374" spans="2:5">
      <c r="B374" s="402" t="s">
        <v>2947</v>
      </c>
      <c r="C374" s="296" t="e">
        <f>VLOOKUP($B374,'COMP. SPDA '!$B:$G,2,FALSE)</f>
        <v>#N/A</v>
      </c>
      <c r="D374" s="402" t="e">
        <f>VLOOKUP($B374,'COMP. SPDA '!$B:$G,6,FALSE)</f>
        <v>#N/A</v>
      </c>
      <c r="E374" s="297" t="e">
        <f>VLOOKUP($B374,'COMP. SPDA '!$B:$H,7,FALSE)</f>
        <v>#N/A</v>
      </c>
    </row>
    <row r="375" spans="2:5">
      <c r="B375" s="402" t="s">
        <v>2948</v>
      </c>
      <c r="C375" s="296" t="e">
        <f>VLOOKUP($B375,'COMP. SPDA '!$B:$G,2,FALSE)</f>
        <v>#N/A</v>
      </c>
      <c r="D375" s="402" t="e">
        <f>VLOOKUP($B375,'COMP. SPDA '!$B:$G,6,FALSE)</f>
        <v>#N/A</v>
      </c>
      <c r="E375" s="297" t="e">
        <f>VLOOKUP($B375,'COMP. SPDA '!$B:$H,7,FALSE)</f>
        <v>#N/A</v>
      </c>
    </row>
    <row r="376" spans="2:5">
      <c r="B376" s="402" t="s">
        <v>2949</v>
      </c>
      <c r="C376" s="296" t="e">
        <f>VLOOKUP($B376,'COMP. SPDA '!$B:$G,2,FALSE)</f>
        <v>#N/A</v>
      </c>
      <c r="D376" s="402" t="e">
        <f>VLOOKUP($B376,'COMP. SPDA '!$B:$G,6,FALSE)</f>
        <v>#N/A</v>
      </c>
      <c r="E376" s="297" t="e">
        <f>VLOOKUP($B376,'COMP. SPDA '!$B:$H,7,FALSE)</f>
        <v>#N/A</v>
      </c>
    </row>
    <row r="377" spans="2:5">
      <c r="B377" s="402" t="s">
        <v>2950</v>
      </c>
      <c r="C377" s="296" t="e">
        <f>VLOOKUP($B377,'COMP. SPDA '!$B:$G,2,FALSE)</f>
        <v>#N/A</v>
      </c>
      <c r="D377" s="402" t="e">
        <f>VLOOKUP($B377,'COMP. SPDA '!$B:$G,6,FALSE)</f>
        <v>#N/A</v>
      </c>
      <c r="E377" s="297" t="e">
        <f>VLOOKUP($B377,'COMP. SPDA '!$B:$H,7,FALSE)</f>
        <v>#N/A</v>
      </c>
    </row>
    <row r="378" spans="2:5">
      <c r="B378" s="402" t="s">
        <v>2951</v>
      </c>
      <c r="C378" s="296" t="e">
        <f>VLOOKUP($B378,'COMP. SPDA '!$B:$G,2,FALSE)</f>
        <v>#N/A</v>
      </c>
      <c r="D378" s="402" t="e">
        <f>VLOOKUP($B378,'COMP. SPDA '!$B:$G,6,FALSE)</f>
        <v>#N/A</v>
      </c>
      <c r="E378" s="297" t="e">
        <f>VLOOKUP($B378,'COMP. SPDA '!$B:$H,7,FALSE)</f>
        <v>#N/A</v>
      </c>
    </row>
    <row r="379" spans="2:5">
      <c r="B379" s="402" t="s">
        <v>2952</v>
      </c>
      <c r="C379" s="296" t="e">
        <f>VLOOKUP($B379,'COMP. SPDA '!$B:$G,2,FALSE)</f>
        <v>#N/A</v>
      </c>
      <c r="D379" s="402" t="e">
        <f>VLOOKUP($B379,'COMP. SPDA '!$B:$G,6,FALSE)</f>
        <v>#N/A</v>
      </c>
      <c r="E379" s="297" t="e">
        <f>VLOOKUP($B379,'COMP. SPDA '!$B:$H,7,FALSE)</f>
        <v>#N/A</v>
      </c>
    </row>
    <row r="380" spans="2:5">
      <c r="B380" s="402" t="s">
        <v>2983</v>
      </c>
      <c r="C380" s="296" t="e">
        <f>VLOOKUP($B380,'COMP. SPDA '!$B:$G,2,FALSE)</f>
        <v>#N/A</v>
      </c>
      <c r="D380" s="402" t="e">
        <f>VLOOKUP($B380,'COMP. SPDA '!$B:$G,6,FALSE)</f>
        <v>#N/A</v>
      </c>
      <c r="E380" s="297" t="e">
        <f>VLOOKUP($B380,'COMP. SPDA '!$B:$H,7,FALSE)</f>
        <v>#N/A</v>
      </c>
    </row>
    <row r="381" spans="2:5">
      <c r="B381" s="402" t="s">
        <v>2984</v>
      </c>
      <c r="C381" s="296" t="e">
        <f>VLOOKUP($B381,'COMP. SPDA '!$B:$G,2,FALSE)</f>
        <v>#N/A</v>
      </c>
      <c r="D381" s="402" t="e">
        <f>VLOOKUP($B381,'COMP. SPDA '!$B:$G,6,FALSE)</f>
        <v>#N/A</v>
      </c>
      <c r="E381" s="297" t="e">
        <f>VLOOKUP($B381,'COMP. SPDA '!$B:$H,7,FALSE)</f>
        <v>#N/A</v>
      </c>
    </row>
    <row r="382" spans="2:5">
      <c r="B382" s="402" t="s">
        <v>2985</v>
      </c>
      <c r="C382" s="296" t="e">
        <f>VLOOKUP($B382,'COMP. SPDA '!$B:$G,2,FALSE)</f>
        <v>#N/A</v>
      </c>
      <c r="D382" s="402" t="e">
        <f>VLOOKUP($B382,'COMP. SPDA '!$B:$G,6,FALSE)</f>
        <v>#N/A</v>
      </c>
      <c r="E382" s="297" t="e">
        <f>VLOOKUP($B382,'COMP. SPDA '!$B:$H,7,FALSE)</f>
        <v>#N/A</v>
      </c>
    </row>
    <row r="383" spans="2:5">
      <c r="B383" s="402" t="s">
        <v>2986</v>
      </c>
      <c r="C383" s="296" t="e">
        <f>VLOOKUP($B383,'COMP. SPDA '!$B:$G,2,FALSE)</f>
        <v>#N/A</v>
      </c>
      <c r="D383" s="402" t="e">
        <f>VLOOKUP($B383,'COMP. SPDA '!$B:$G,6,FALSE)</f>
        <v>#N/A</v>
      </c>
      <c r="E383" s="297" t="e">
        <f>VLOOKUP($B383,'COMP. SPDA '!$B:$H,7,FALSE)</f>
        <v>#N/A</v>
      </c>
    </row>
    <row r="384" spans="2:5">
      <c r="B384" s="402" t="s">
        <v>2987</v>
      </c>
      <c r="C384" s="296" t="e">
        <f>VLOOKUP($B384,'COMP. SPDA '!$B:$G,2,FALSE)</f>
        <v>#N/A</v>
      </c>
      <c r="D384" s="402" t="e">
        <f>VLOOKUP($B384,'COMP. SPDA '!$B:$G,6,FALSE)</f>
        <v>#N/A</v>
      </c>
      <c r="E384" s="297" t="e">
        <f>VLOOKUP($B384,'COMP. SPDA '!$B:$H,7,FALSE)</f>
        <v>#N/A</v>
      </c>
    </row>
    <row r="385" spans="2:5">
      <c r="B385" s="402" t="s">
        <v>2988</v>
      </c>
      <c r="C385" s="296" t="e">
        <f>VLOOKUP($B385,'COMP. SPDA '!$B:$G,2,FALSE)</f>
        <v>#N/A</v>
      </c>
      <c r="D385" s="402" t="e">
        <f>VLOOKUP($B385,'COMP. SPDA '!$B:$G,6,FALSE)</f>
        <v>#N/A</v>
      </c>
      <c r="E385" s="297" t="e">
        <f>VLOOKUP($B385,'COMP. SPDA '!$B:$H,7,FALSE)</f>
        <v>#N/A</v>
      </c>
    </row>
    <row r="386" spans="2:5">
      <c r="B386" s="402" t="s">
        <v>2989</v>
      </c>
      <c r="C386" s="296" t="e">
        <f>VLOOKUP($B386,'COMP. SPDA '!$B:$G,2,FALSE)</f>
        <v>#N/A</v>
      </c>
      <c r="D386" s="402" t="e">
        <f>VLOOKUP($B386,'COMP. SPDA '!$B:$G,6,FALSE)</f>
        <v>#N/A</v>
      </c>
      <c r="E386" s="297" t="e">
        <f>VLOOKUP($B386,'COMP. SPDA '!$B:$H,7,FALSE)</f>
        <v>#N/A</v>
      </c>
    </row>
    <row r="387" spans="2:5">
      <c r="B387" s="402" t="s">
        <v>2990</v>
      </c>
      <c r="C387" s="296" t="e">
        <f>VLOOKUP($B387,'COMP. SPDA '!$B:$G,2,FALSE)</f>
        <v>#N/A</v>
      </c>
      <c r="D387" s="402" t="e">
        <f>VLOOKUP($B387,'COMP. SPDA '!$B:$G,6,FALSE)</f>
        <v>#N/A</v>
      </c>
      <c r="E387" s="297" t="e">
        <f>VLOOKUP($B387,'COMP. SPDA '!$B:$H,7,FALSE)</f>
        <v>#N/A</v>
      </c>
    </row>
    <row r="388" spans="2:5">
      <c r="B388" s="402" t="s">
        <v>2991</v>
      </c>
      <c r="C388" s="296" t="e">
        <f>VLOOKUP($B388,'COMP. SPDA '!$B:$G,2,FALSE)</f>
        <v>#N/A</v>
      </c>
      <c r="D388" s="402" t="e">
        <f>VLOOKUP($B388,'COMP. SPDA '!$B:$G,6,FALSE)</f>
        <v>#N/A</v>
      </c>
      <c r="E388" s="297" t="e">
        <f>VLOOKUP($B388,'COMP. SPDA '!$B:$H,7,FALSE)</f>
        <v>#N/A</v>
      </c>
    </row>
    <row r="389" spans="2:5">
      <c r="B389" s="402" t="s">
        <v>2992</v>
      </c>
      <c r="C389" s="296" t="e">
        <f>VLOOKUP($B389,'COMP. SPDA '!$B:$G,2,FALSE)</f>
        <v>#N/A</v>
      </c>
      <c r="D389" s="402" t="e">
        <f>VLOOKUP($B389,'COMP. SPDA '!$B:$G,6,FALSE)</f>
        <v>#N/A</v>
      </c>
      <c r="E389" s="297" t="e">
        <f>VLOOKUP($B389,'COMP. SPDA '!$B:$H,7,FALSE)</f>
        <v>#N/A</v>
      </c>
    </row>
    <row r="390" spans="2:5">
      <c r="B390" s="402" t="s">
        <v>2993</v>
      </c>
      <c r="C390" s="296" t="e">
        <f>VLOOKUP($B390,'COMP. SPDA '!$B:$G,2,FALSE)</f>
        <v>#N/A</v>
      </c>
      <c r="D390" s="402" t="e">
        <f>VLOOKUP($B390,'COMP. SPDA '!$B:$G,6,FALSE)</f>
        <v>#N/A</v>
      </c>
      <c r="E390" s="297" t="e">
        <f>VLOOKUP($B390,'COMP. SPDA '!$B:$H,7,FALSE)</f>
        <v>#N/A</v>
      </c>
    </row>
    <row r="391" spans="2:5">
      <c r="B391" s="402" t="s">
        <v>2994</v>
      </c>
      <c r="C391" s="296" t="e">
        <f>VLOOKUP($B391,'COMP. SPDA '!$B:$G,2,FALSE)</f>
        <v>#N/A</v>
      </c>
      <c r="D391" s="402" t="e">
        <f>VLOOKUP($B391,'COMP. SPDA '!$B:$G,6,FALSE)</f>
        <v>#N/A</v>
      </c>
      <c r="E391" s="297" t="e">
        <f>VLOOKUP($B391,'COMP. SPDA '!$B:$H,7,FALSE)</f>
        <v>#N/A</v>
      </c>
    </row>
    <row r="392" spans="2:5" ht="15.75" thickBot="1">
      <c r="B392" s="396"/>
      <c r="C392" s="401"/>
      <c r="D392" s="396"/>
    </row>
    <row r="393" spans="2:5" ht="16.5" thickBot="1">
      <c r="B393" s="79" t="s">
        <v>563</v>
      </c>
      <c r="C393" s="80" t="s">
        <v>564</v>
      </c>
      <c r="D393" s="82" t="s">
        <v>30</v>
      </c>
      <c r="E393" s="83" t="s">
        <v>31</v>
      </c>
    </row>
    <row r="394" spans="2:5">
      <c r="B394" s="402" t="s">
        <v>2343</v>
      </c>
      <c r="C394" s="353" t="e">
        <f>VLOOKUP($B394,#REF!,2,FALSE)</f>
        <v>#REF!</v>
      </c>
      <c r="D394" s="352" t="e">
        <f>VLOOKUP($B394,#REF!,6,FALSE)</f>
        <v>#REF!</v>
      </c>
      <c r="E394" s="354" t="e">
        <f>VLOOKUP($B394,#REF!,7,FALSE)</f>
        <v>#REF!</v>
      </c>
    </row>
    <row r="395" spans="2:5">
      <c r="B395" s="402" t="s">
        <v>2344</v>
      </c>
      <c r="C395" s="353" t="e">
        <f>VLOOKUP($B395,#REF!,2,FALSE)</f>
        <v>#REF!</v>
      </c>
      <c r="D395" s="352" t="e">
        <f>VLOOKUP($B395,#REF!,6,FALSE)</f>
        <v>#REF!</v>
      </c>
      <c r="E395" s="354" t="e">
        <f>VLOOKUP($B395,#REF!,7,FALSE)</f>
        <v>#REF!</v>
      </c>
    </row>
    <row r="396" spans="2:5">
      <c r="B396" s="402" t="s">
        <v>2345</v>
      </c>
      <c r="C396" s="353" t="e">
        <f>VLOOKUP($B396,#REF!,2,FALSE)</f>
        <v>#REF!</v>
      </c>
      <c r="D396" s="352" t="e">
        <f>VLOOKUP($B396,#REF!,6,FALSE)</f>
        <v>#REF!</v>
      </c>
      <c r="E396" s="354" t="e">
        <f>VLOOKUP($B396,#REF!,7,FALSE)</f>
        <v>#REF!</v>
      </c>
    </row>
    <row r="397" spans="2:5">
      <c r="B397" s="402" t="s">
        <v>2346</v>
      </c>
      <c r="C397" s="353" t="e">
        <f>VLOOKUP($B397,#REF!,2,FALSE)</f>
        <v>#REF!</v>
      </c>
      <c r="D397" s="352" t="e">
        <f>VLOOKUP($B397,#REF!,6,FALSE)</f>
        <v>#REF!</v>
      </c>
      <c r="E397" s="354" t="e">
        <f>VLOOKUP($B397,#REF!,7,FALSE)</f>
        <v>#REF!</v>
      </c>
    </row>
    <row r="398" spans="2:5">
      <c r="B398" s="402" t="s">
        <v>2347</v>
      </c>
      <c r="C398" s="353" t="e">
        <f>VLOOKUP($B398,#REF!,2,FALSE)</f>
        <v>#REF!</v>
      </c>
      <c r="D398" s="352" t="e">
        <f>VLOOKUP($B398,#REF!,6,FALSE)</f>
        <v>#REF!</v>
      </c>
      <c r="E398" s="354" t="e">
        <f>VLOOKUP($B398,#REF!,7,FALSE)</f>
        <v>#REF!</v>
      </c>
    </row>
    <row r="399" spans="2:5">
      <c r="B399" s="402" t="s">
        <v>4725</v>
      </c>
      <c r="C399" s="353" t="e">
        <f>VLOOKUP($B399,#REF!,2,FALSE)</f>
        <v>#REF!</v>
      </c>
      <c r="D399" s="352" t="e">
        <f>VLOOKUP($B399,#REF!,6,FALSE)</f>
        <v>#REF!</v>
      </c>
      <c r="E399" s="354" t="e">
        <f>VLOOKUP($B399,#REF!,7,FALSE)</f>
        <v>#REF!</v>
      </c>
    </row>
    <row r="400" spans="2:5">
      <c r="B400" s="402" t="s">
        <v>2348</v>
      </c>
      <c r="C400" s="353" t="e">
        <f>VLOOKUP($B400,#REF!,2,FALSE)</f>
        <v>#REF!</v>
      </c>
      <c r="D400" s="352" t="e">
        <f>VLOOKUP($B400,#REF!,6,FALSE)</f>
        <v>#REF!</v>
      </c>
      <c r="E400" s="354" t="e">
        <f>VLOOKUP($B400,#REF!,7,FALSE)</f>
        <v>#REF!</v>
      </c>
    </row>
    <row r="401" spans="2:5">
      <c r="B401" s="402" t="s">
        <v>2349</v>
      </c>
      <c r="C401" s="353" t="e">
        <f>VLOOKUP($B401,#REF!,2,FALSE)</f>
        <v>#REF!</v>
      </c>
      <c r="D401" s="352" t="e">
        <f>VLOOKUP($B401,#REF!,6,FALSE)</f>
        <v>#REF!</v>
      </c>
      <c r="E401" s="354" t="e">
        <f>VLOOKUP($B401,#REF!,7,FALSE)</f>
        <v>#REF!</v>
      </c>
    </row>
    <row r="402" spans="2:5">
      <c r="B402" s="402" t="s">
        <v>2350</v>
      </c>
      <c r="C402" s="353" t="e">
        <f>VLOOKUP($B402,#REF!,2,FALSE)</f>
        <v>#REF!</v>
      </c>
      <c r="D402" s="352" t="e">
        <f>VLOOKUP($B402,#REF!,6,FALSE)</f>
        <v>#REF!</v>
      </c>
      <c r="E402" s="354" t="e">
        <f>VLOOKUP($B402,#REF!,7,FALSE)</f>
        <v>#REF!</v>
      </c>
    </row>
    <row r="403" spans="2:5">
      <c r="B403" s="402" t="s">
        <v>2351</v>
      </c>
      <c r="C403" s="353" t="e">
        <f>VLOOKUP($B403,#REF!,2,FALSE)</f>
        <v>#REF!</v>
      </c>
      <c r="D403" s="352" t="e">
        <f>VLOOKUP($B403,#REF!,6,FALSE)</f>
        <v>#REF!</v>
      </c>
      <c r="E403" s="354" t="e">
        <f>VLOOKUP($B403,#REF!,7,FALSE)</f>
        <v>#REF!</v>
      </c>
    </row>
    <row r="404" spans="2:5">
      <c r="B404" s="402" t="s">
        <v>2352</v>
      </c>
      <c r="C404" s="353" t="e">
        <f>VLOOKUP($B404,#REF!,2,FALSE)</f>
        <v>#REF!</v>
      </c>
      <c r="D404" s="352" t="e">
        <f>VLOOKUP($B404,#REF!,6,FALSE)</f>
        <v>#REF!</v>
      </c>
      <c r="E404" s="354" t="e">
        <f>VLOOKUP($B404,#REF!,7,FALSE)</f>
        <v>#REF!</v>
      </c>
    </row>
    <row r="405" spans="2:5">
      <c r="B405" s="402" t="s">
        <v>2353</v>
      </c>
      <c r="C405" s="353" t="e">
        <f>VLOOKUP($B405,#REF!,2,FALSE)</f>
        <v>#REF!</v>
      </c>
      <c r="D405" s="352" t="e">
        <f>VLOOKUP($B405,#REF!,6,FALSE)</f>
        <v>#REF!</v>
      </c>
      <c r="E405" s="354" t="e">
        <f>VLOOKUP($B405,#REF!,7,FALSE)</f>
        <v>#REF!</v>
      </c>
    </row>
    <row r="406" spans="2:5">
      <c r="B406" s="402" t="s">
        <v>2354</v>
      </c>
      <c r="C406" s="353" t="e">
        <f>VLOOKUP($B406,#REF!,2,FALSE)</f>
        <v>#REF!</v>
      </c>
      <c r="D406" s="352" t="e">
        <f>VLOOKUP($B406,#REF!,6,FALSE)</f>
        <v>#REF!</v>
      </c>
      <c r="E406" s="354" t="e">
        <f>VLOOKUP($B406,#REF!,7,FALSE)</f>
        <v>#REF!</v>
      </c>
    </row>
    <row r="407" spans="2:5">
      <c r="B407" s="402" t="s">
        <v>2355</v>
      </c>
      <c r="C407" s="353" t="e">
        <f>VLOOKUP($B407,#REF!,2,FALSE)</f>
        <v>#REF!</v>
      </c>
      <c r="D407" s="352" t="e">
        <f>VLOOKUP($B407,#REF!,6,FALSE)</f>
        <v>#REF!</v>
      </c>
      <c r="E407" s="354" t="e">
        <f>VLOOKUP($B407,#REF!,7,FALSE)</f>
        <v>#REF!</v>
      </c>
    </row>
    <row r="408" spans="2:5">
      <c r="B408" s="402" t="s">
        <v>2356</v>
      </c>
      <c r="C408" s="353" t="e">
        <f>VLOOKUP($B408,#REF!,2,FALSE)</f>
        <v>#REF!</v>
      </c>
      <c r="D408" s="352" t="e">
        <f>VLOOKUP($B408,#REF!,6,FALSE)</f>
        <v>#REF!</v>
      </c>
      <c r="E408" s="354" t="e">
        <f>VLOOKUP($B408,#REF!,7,FALSE)</f>
        <v>#REF!</v>
      </c>
    </row>
    <row r="409" spans="2:5">
      <c r="B409" s="402" t="s">
        <v>2357</v>
      </c>
      <c r="C409" s="353" t="e">
        <f>VLOOKUP($B409,#REF!,2,FALSE)</f>
        <v>#REF!</v>
      </c>
      <c r="D409" s="352" t="e">
        <f>VLOOKUP($B409,#REF!,6,FALSE)</f>
        <v>#REF!</v>
      </c>
      <c r="E409" s="354" t="e">
        <f>VLOOKUP($B409,#REF!,7,FALSE)</f>
        <v>#REF!</v>
      </c>
    </row>
    <row r="410" spans="2:5">
      <c r="B410" s="402" t="s">
        <v>2358</v>
      </c>
      <c r="C410" s="353" t="e">
        <f>VLOOKUP($B410,#REF!,2,FALSE)</f>
        <v>#REF!</v>
      </c>
      <c r="D410" s="352" t="e">
        <f>VLOOKUP($B410,#REF!,6,FALSE)</f>
        <v>#REF!</v>
      </c>
      <c r="E410" s="354" t="e">
        <f>VLOOKUP($B410,#REF!,7,FALSE)</f>
        <v>#REF!</v>
      </c>
    </row>
    <row r="411" spans="2:5">
      <c r="B411" s="402" t="s">
        <v>2359</v>
      </c>
      <c r="C411" s="353" t="e">
        <f>VLOOKUP($B411,#REF!,2,FALSE)</f>
        <v>#REF!</v>
      </c>
      <c r="D411" s="352" t="e">
        <f>VLOOKUP($B411,#REF!,6,FALSE)</f>
        <v>#REF!</v>
      </c>
      <c r="E411" s="354" t="e">
        <f>VLOOKUP($B411,#REF!,7,FALSE)</f>
        <v>#REF!</v>
      </c>
    </row>
    <row r="412" spans="2:5">
      <c r="B412" s="402" t="s">
        <v>2360</v>
      </c>
      <c r="C412" s="353" t="e">
        <f>VLOOKUP($B412,#REF!,2,FALSE)</f>
        <v>#REF!</v>
      </c>
      <c r="D412" s="352" t="e">
        <f>VLOOKUP($B412,#REF!,6,FALSE)</f>
        <v>#REF!</v>
      </c>
      <c r="E412" s="354" t="e">
        <f>VLOOKUP($B412,#REF!,7,FALSE)</f>
        <v>#REF!</v>
      </c>
    </row>
    <row r="413" spans="2:5">
      <c r="B413" s="402" t="s">
        <v>2361</v>
      </c>
      <c r="C413" s="353" t="e">
        <f>VLOOKUP($B413,#REF!,2,FALSE)</f>
        <v>#REF!</v>
      </c>
      <c r="D413" s="352" t="e">
        <f>VLOOKUP($B413,#REF!,6,FALSE)</f>
        <v>#REF!</v>
      </c>
      <c r="E413" s="354" t="e">
        <f>VLOOKUP($B413,#REF!,7,FALSE)</f>
        <v>#REF!</v>
      </c>
    </row>
    <row r="414" spans="2:5">
      <c r="B414" s="402" t="s">
        <v>2362</v>
      </c>
      <c r="C414" s="353" t="e">
        <f>VLOOKUP($B414,#REF!,2,FALSE)</f>
        <v>#REF!</v>
      </c>
      <c r="D414" s="352" t="e">
        <f>VLOOKUP($B414,#REF!,6,FALSE)</f>
        <v>#REF!</v>
      </c>
      <c r="E414" s="354" t="e">
        <f>VLOOKUP($B414,#REF!,7,FALSE)</f>
        <v>#REF!</v>
      </c>
    </row>
    <row r="415" spans="2:5">
      <c r="B415" s="402" t="s">
        <v>2363</v>
      </c>
      <c r="C415" s="353" t="e">
        <f>VLOOKUP($B415,#REF!,2,FALSE)</f>
        <v>#REF!</v>
      </c>
      <c r="D415" s="352" t="e">
        <f>VLOOKUP($B415,#REF!,6,FALSE)</f>
        <v>#REF!</v>
      </c>
      <c r="E415" s="354" t="e">
        <f>VLOOKUP($B415,#REF!,7,FALSE)</f>
        <v>#REF!</v>
      </c>
    </row>
    <row r="416" spans="2:5">
      <c r="B416" s="402" t="s">
        <v>2364</v>
      </c>
      <c r="C416" s="353" t="e">
        <f>VLOOKUP($B416,#REF!,2,FALSE)</f>
        <v>#REF!</v>
      </c>
      <c r="D416" s="352" t="e">
        <f>VLOOKUP($B416,#REF!,6,FALSE)</f>
        <v>#REF!</v>
      </c>
      <c r="E416" s="354" t="e">
        <f>VLOOKUP($B416,#REF!,7,FALSE)</f>
        <v>#REF!</v>
      </c>
    </row>
    <row r="417" spans="2:5">
      <c r="B417" s="402" t="s">
        <v>2365</v>
      </c>
      <c r="C417" s="353" t="e">
        <f>VLOOKUP($B417,#REF!,2,FALSE)</f>
        <v>#REF!</v>
      </c>
      <c r="D417" s="352" t="e">
        <f>VLOOKUP($B417,#REF!,6,FALSE)</f>
        <v>#REF!</v>
      </c>
      <c r="E417" s="354" t="e">
        <f>VLOOKUP($B417,#REF!,7,FALSE)</f>
        <v>#REF!</v>
      </c>
    </row>
    <row r="418" spans="2:5">
      <c r="B418" s="402" t="s">
        <v>2366</v>
      </c>
      <c r="C418" s="353" t="e">
        <f>VLOOKUP($B418,#REF!,2,FALSE)</f>
        <v>#REF!</v>
      </c>
      <c r="D418" s="352" t="e">
        <f>VLOOKUP($B418,#REF!,6,FALSE)</f>
        <v>#REF!</v>
      </c>
      <c r="E418" s="354" t="e">
        <f>VLOOKUP($B418,#REF!,7,FALSE)</f>
        <v>#REF!</v>
      </c>
    </row>
    <row r="419" spans="2:5">
      <c r="B419" s="402" t="s">
        <v>2367</v>
      </c>
      <c r="C419" s="353" t="e">
        <f>VLOOKUP($B419,#REF!,2,FALSE)</f>
        <v>#REF!</v>
      </c>
      <c r="D419" s="352" t="e">
        <f>VLOOKUP($B419,#REF!,6,FALSE)</f>
        <v>#REF!</v>
      </c>
      <c r="E419" s="354" t="e">
        <f>VLOOKUP($B419,#REF!,7,FALSE)</f>
        <v>#REF!</v>
      </c>
    </row>
    <row r="420" spans="2:5">
      <c r="B420" s="402" t="s">
        <v>2368</v>
      </c>
      <c r="C420" s="353" t="e">
        <f>VLOOKUP($B420,#REF!,2,FALSE)</f>
        <v>#REF!</v>
      </c>
      <c r="D420" s="352" t="e">
        <f>VLOOKUP($B420,#REF!,6,FALSE)</f>
        <v>#REF!</v>
      </c>
      <c r="E420" s="354" t="e">
        <f>VLOOKUP($B420,#REF!,7,FALSE)</f>
        <v>#REF!</v>
      </c>
    </row>
    <row r="421" spans="2:5">
      <c r="B421" s="402" t="s">
        <v>2369</v>
      </c>
      <c r="C421" s="353" t="e">
        <f>VLOOKUP($B421,#REF!,2,FALSE)</f>
        <v>#REF!</v>
      </c>
      <c r="D421" s="352" t="e">
        <f>VLOOKUP($B421,#REF!,6,FALSE)</f>
        <v>#REF!</v>
      </c>
      <c r="E421" s="354" t="e">
        <f>VLOOKUP($B421,#REF!,7,FALSE)</f>
        <v>#REF!</v>
      </c>
    </row>
    <row r="422" spans="2:5">
      <c r="B422" s="402" t="s">
        <v>2370</v>
      </c>
      <c r="C422" s="353" t="e">
        <f>VLOOKUP($B422,#REF!,2,FALSE)</f>
        <v>#REF!</v>
      </c>
      <c r="D422" s="352" t="e">
        <f>VLOOKUP($B422,#REF!,6,FALSE)</f>
        <v>#REF!</v>
      </c>
      <c r="E422" s="354" t="e">
        <f>VLOOKUP($B422,#REF!,7,FALSE)</f>
        <v>#REF!</v>
      </c>
    </row>
    <row r="423" spans="2:5">
      <c r="B423" s="402" t="s">
        <v>2371</v>
      </c>
      <c r="C423" s="353" t="e">
        <f>VLOOKUP($B423,#REF!,2,FALSE)</f>
        <v>#REF!</v>
      </c>
      <c r="D423" s="352" t="e">
        <f>VLOOKUP($B423,#REF!,6,FALSE)</f>
        <v>#REF!</v>
      </c>
      <c r="E423" s="354" t="e">
        <f>VLOOKUP($B423,#REF!,7,FALSE)</f>
        <v>#REF!</v>
      </c>
    </row>
    <row r="424" spans="2:5">
      <c r="B424" s="402" t="s">
        <v>2372</v>
      </c>
      <c r="C424" s="353" t="e">
        <f>VLOOKUP($B424,#REF!,2,FALSE)</f>
        <v>#REF!</v>
      </c>
      <c r="D424" s="352" t="e">
        <f>VLOOKUP($B424,#REF!,6,FALSE)</f>
        <v>#REF!</v>
      </c>
      <c r="E424" s="354" t="e">
        <f>VLOOKUP($B424,#REF!,7,FALSE)</f>
        <v>#REF!</v>
      </c>
    </row>
    <row r="425" spans="2:5">
      <c r="B425" s="402" t="s">
        <v>2373</v>
      </c>
      <c r="C425" s="353" t="e">
        <f>VLOOKUP($B425,#REF!,2,FALSE)</f>
        <v>#REF!</v>
      </c>
      <c r="D425" s="352" t="e">
        <f>VLOOKUP($B425,#REF!,6,FALSE)</f>
        <v>#REF!</v>
      </c>
      <c r="E425" s="354" t="e">
        <f>VLOOKUP($B425,#REF!,7,FALSE)</f>
        <v>#REF!</v>
      </c>
    </row>
    <row r="426" spans="2:5">
      <c r="B426" s="402" t="s">
        <v>2374</v>
      </c>
      <c r="C426" s="353" t="e">
        <f>VLOOKUP($B426,#REF!,2,FALSE)</f>
        <v>#REF!</v>
      </c>
      <c r="D426" s="352" t="e">
        <f>VLOOKUP($B426,#REF!,6,FALSE)</f>
        <v>#REF!</v>
      </c>
      <c r="E426" s="354" t="e">
        <f>VLOOKUP($B426,#REF!,7,FALSE)</f>
        <v>#REF!</v>
      </c>
    </row>
    <row r="427" spans="2:5">
      <c r="B427" s="402" t="s">
        <v>2375</v>
      </c>
      <c r="C427" s="353" t="e">
        <f>VLOOKUP($B427,#REF!,2,FALSE)</f>
        <v>#REF!</v>
      </c>
      <c r="D427" s="352" t="e">
        <f>VLOOKUP($B427,#REF!,6,FALSE)</f>
        <v>#REF!</v>
      </c>
      <c r="E427" s="354" t="e">
        <f>VLOOKUP($B427,#REF!,7,FALSE)</f>
        <v>#REF!</v>
      </c>
    </row>
    <row r="428" spans="2:5">
      <c r="B428" s="402" t="s">
        <v>2376</v>
      </c>
      <c r="C428" s="353" t="e">
        <f>VLOOKUP($B428,#REF!,2,FALSE)</f>
        <v>#REF!</v>
      </c>
      <c r="D428" s="352" t="e">
        <f>VLOOKUP($B428,#REF!,6,FALSE)</f>
        <v>#REF!</v>
      </c>
      <c r="E428" s="354" t="e">
        <f>VLOOKUP($B428,#REF!,7,FALSE)</f>
        <v>#REF!</v>
      </c>
    </row>
    <row r="429" spans="2:5">
      <c r="B429" s="402" t="s">
        <v>2377</v>
      </c>
      <c r="C429" s="353" t="e">
        <f>VLOOKUP($B429,#REF!,2,FALSE)</f>
        <v>#REF!</v>
      </c>
      <c r="D429" s="352" t="e">
        <f>VLOOKUP($B429,#REF!,6,FALSE)</f>
        <v>#REF!</v>
      </c>
      <c r="E429" s="354" t="e">
        <f>VLOOKUP($B429,#REF!,7,FALSE)</f>
        <v>#REF!</v>
      </c>
    </row>
    <row r="430" spans="2:5">
      <c r="B430" s="402" t="s">
        <v>2378</v>
      </c>
      <c r="C430" s="353" t="e">
        <f>VLOOKUP($B430,#REF!,2,FALSE)</f>
        <v>#REF!</v>
      </c>
      <c r="D430" s="352" t="e">
        <f>VLOOKUP($B430,#REF!,6,FALSE)</f>
        <v>#REF!</v>
      </c>
      <c r="E430" s="354" t="e">
        <f>VLOOKUP($B430,#REF!,7,FALSE)</f>
        <v>#REF!</v>
      </c>
    </row>
    <row r="431" spans="2:5">
      <c r="B431" s="402" t="s">
        <v>2379</v>
      </c>
      <c r="C431" s="353" t="e">
        <f>VLOOKUP($B431,#REF!,2,FALSE)</f>
        <v>#REF!</v>
      </c>
      <c r="D431" s="352" t="e">
        <f>VLOOKUP($B431,#REF!,6,FALSE)</f>
        <v>#REF!</v>
      </c>
      <c r="E431" s="354" t="e">
        <f>VLOOKUP($B431,#REF!,7,FALSE)</f>
        <v>#REF!</v>
      </c>
    </row>
    <row r="432" spans="2:5">
      <c r="B432" s="402" t="s">
        <v>2380</v>
      </c>
      <c r="C432" s="353" t="e">
        <f>VLOOKUP($B432,#REF!,2,FALSE)</f>
        <v>#REF!</v>
      </c>
      <c r="D432" s="352" t="e">
        <f>VLOOKUP($B432,#REF!,6,FALSE)</f>
        <v>#REF!</v>
      </c>
      <c r="E432" s="354" t="e">
        <f>VLOOKUP($B432,#REF!,7,FALSE)</f>
        <v>#REF!</v>
      </c>
    </row>
    <row r="433" spans="2:5">
      <c r="B433" s="402" t="s">
        <v>2381</v>
      </c>
      <c r="C433" s="353" t="e">
        <f>VLOOKUP($B433,#REF!,2,FALSE)</f>
        <v>#REF!</v>
      </c>
      <c r="D433" s="352" t="e">
        <f>VLOOKUP($B433,#REF!,6,FALSE)</f>
        <v>#REF!</v>
      </c>
      <c r="E433" s="354" t="e">
        <f>VLOOKUP($B433,#REF!,7,FALSE)</f>
        <v>#REF!</v>
      </c>
    </row>
    <row r="434" spans="2:5">
      <c r="B434" s="402" t="s">
        <v>2382</v>
      </c>
      <c r="C434" s="353" t="e">
        <f>VLOOKUP($B434,#REF!,2,FALSE)</f>
        <v>#REF!</v>
      </c>
      <c r="D434" s="352" t="e">
        <f>VLOOKUP($B434,#REF!,6,FALSE)</f>
        <v>#REF!</v>
      </c>
      <c r="E434" s="354" t="e">
        <f>VLOOKUP($B434,#REF!,7,FALSE)</f>
        <v>#REF!</v>
      </c>
    </row>
    <row r="435" spans="2:5">
      <c r="B435" s="402" t="s">
        <v>2383</v>
      </c>
      <c r="C435" s="353" t="e">
        <f>VLOOKUP($B435,#REF!,2,FALSE)</f>
        <v>#REF!</v>
      </c>
      <c r="D435" s="352" t="e">
        <f>VLOOKUP($B435,#REF!,6,FALSE)</f>
        <v>#REF!</v>
      </c>
      <c r="E435" s="354" t="e">
        <f>VLOOKUP($B435,#REF!,7,FALSE)</f>
        <v>#REF!</v>
      </c>
    </row>
    <row r="436" spans="2:5">
      <c r="B436" s="402" t="s">
        <v>2384</v>
      </c>
      <c r="C436" s="353" t="e">
        <f>VLOOKUP($B436,#REF!,2,FALSE)</f>
        <v>#REF!</v>
      </c>
      <c r="D436" s="352" t="e">
        <f>VLOOKUP($B436,#REF!,6,FALSE)</f>
        <v>#REF!</v>
      </c>
      <c r="E436" s="354" t="e">
        <f>VLOOKUP($B436,#REF!,7,FALSE)</f>
        <v>#REF!</v>
      </c>
    </row>
    <row r="437" spans="2:5">
      <c r="B437" s="402" t="s">
        <v>2385</v>
      </c>
      <c r="C437" s="353" t="e">
        <f>VLOOKUP($B437,#REF!,2,FALSE)</f>
        <v>#REF!</v>
      </c>
      <c r="D437" s="352" t="e">
        <f>VLOOKUP($B437,#REF!,6,FALSE)</f>
        <v>#REF!</v>
      </c>
      <c r="E437" s="354" t="e">
        <f>VLOOKUP($B437,#REF!,7,FALSE)</f>
        <v>#REF!</v>
      </c>
    </row>
    <row r="438" spans="2:5">
      <c r="B438" s="402" t="s">
        <v>2386</v>
      </c>
      <c r="C438" s="353" t="e">
        <f>VLOOKUP($B438,#REF!,2,FALSE)</f>
        <v>#REF!</v>
      </c>
      <c r="D438" s="352" t="e">
        <f>VLOOKUP($B438,#REF!,6,FALSE)</f>
        <v>#REF!</v>
      </c>
      <c r="E438" s="354" t="e">
        <f>VLOOKUP($B438,#REF!,7,FALSE)</f>
        <v>#REF!</v>
      </c>
    </row>
    <row r="439" spans="2:5">
      <c r="B439" s="402" t="s">
        <v>2387</v>
      </c>
      <c r="C439" s="353" t="e">
        <f>VLOOKUP($B439,#REF!,2,FALSE)</f>
        <v>#REF!</v>
      </c>
      <c r="D439" s="352" t="e">
        <f>VLOOKUP($B439,#REF!,6,FALSE)</f>
        <v>#REF!</v>
      </c>
      <c r="E439" s="354" t="e">
        <f>VLOOKUP($B439,#REF!,7,FALSE)</f>
        <v>#REF!</v>
      </c>
    </row>
    <row r="440" spans="2:5">
      <c r="B440" s="402" t="s">
        <v>2388</v>
      </c>
      <c r="C440" s="353" t="e">
        <f>VLOOKUP($B440,#REF!,2,FALSE)</f>
        <v>#REF!</v>
      </c>
      <c r="D440" s="352" t="e">
        <f>VLOOKUP($B440,#REF!,6,FALSE)</f>
        <v>#REF!</v>
      </c>
      <c r="E440" s="354" t="e">
        <f>VLOOKUP($B440,#REF!,7,FALSE)</f>
        <v>#REF!</v>
      </c>
    </row>
    <row r="441" spans="2:5">
      <c r="B441" s="402" t="s">
        <v>2389</v>
      </c>
      <c r="C441" s="353" t="e">
        <f>VLOOKUP($B441,#REF!,2,FALSE)</f>
        <v>#REF!</v>
      </c>
      <c r="D441" s="352" t="e">
        <f>VLOOKUP($B441,#REF!,6,FALSE)</f>
        <v>#REF!</v>
      </c>
      <c r="E441" s="354" t="e">
        <f>VLOOKUP($B441,#REF!,7,FALSE)</f>
        <v>#REF!</v>
      </c>
    </row>
    <row r="442" spans="2:5">
      <c r="B442" s="402" t="s">
        <v>2390</v>
      </c>
      <c r="C442" s="353" t="e">
        <f>VLOOKUP($B442,#REF!,2,FALSE)</f>
        <v>#REF!</v>
      </c>
      <c r="D442" s="352" t="e">
        <f>VLOOKUP($B442,#REF!,6,FALSE)</f>
        <v>#REF!</v>
      </c>
      <c r="E442" s="354" t="e">
        <f>VLOOKUP($B442,#REF!,7,FALSE)</f>
        <v>#REF!</v>
      </c>
    </row>
    <row r="443" spans="2:5">
      <c r="B443" s="402" t="s">
        <v>2391</v>
      </c>
      <c r="C443" s="353" t="e">
        <f>VLOOKUP($B443,#REF!,2,FALSE)</f>
        <v>#REF!</v>
      </c>
      <c r="D443" s="352" t="e">
        <f>VLOOKUP($B443,#REF!,6,FALSE)</f>
        <v>#REF!</v>
      </c>
      <c r="E443" s="354" t="e">
        <f>VLOOKUP($B443,#REF!,7,FALSE)</f>
        <v>#REF!</v>
      </c>
    </row>
    <row r="444" spans="2:5">
      <c r="B444" s="402" t="s">
        <v>2392</v>
      </c>
      <c r="C444" s="353" t="e">
        <f>VLOOKUP($B444,#REF!,2,FALSE)</f>
        <v>#REF!</v>
      </c>
      <c r="D444" s="352" t="e">
        <f>VLOOKUP($B444,#REF!,6,FALSE)</f>
        <v>#REF!</v>
      </c>
      <c r="E444" s="354" t="e">
        <f>VLOOKUP($B444,#REF!,7,FALSE)</f>
        <v>#REF!</v>
      </c>
    </row>
    <row r="445" spans="2:5">
      <c r="B445" s="402" t="s">
        <v>2393</v>
      </c>
      <c r="C445" s="353" t="e">
        <f>VLOOKUP($B445,#REF!,2,FALSE)</f>
        <v>#REF!</v>
      </c>
      <c r="D445" s="352" t="e">
        <f>VLOOKUP($B445,#REF!,6,FALSE)</f>
        <v>#REF!</v>
      </c>
      <c r="E445" s="354" t="e">
        <f>VLOOKUP($B445,#REF!,7,FALSE)</f>
        <v>#REF!</v>
      </c>
    </row>
    <row r="446" spans="2:5">
      <c r="B446" s="402" t="s">
        <v>2394</v>
      </c>
      <c r="C446" s="353" t="e">
        <f>VLOOKUP($B446,#REF!,2,FALSE)</f>
        <v>#REF!</v>
      </c>
      <c r="D446" s="352" t="e">
        <f>VLOOKUP($B446,#REF!,6,FALSE)</f>
        <v>#REF!</v>
      </c>
      <c r="E446" s="354" t="e">
        <f>VLOOKUP($B446,#REF!,7,FALSE)</f>
        <v>#REF!</v>
      </c>
    </row>
    <row r="447" spans="2:5">
      <c r="B447" s="402" t="s">
        <v>2395</v>
      </c>
      <c r="C447" s="353" t="e">
        <f>VLOOKUP($B447,#REF!,2,FALSE)</f>
        <v>#REF!</v>
      </c>
      <c r="D447" s="352" t="e">
        <f>VLOOKUP($B447,#REF!,6,FALSE)</f>
        <v>#REF!</v>
      </c>
      <c r="E447" s="354" t="e">
        <f>VLOOKUP($B447,#REF!,7,FALSE)</f>
        <v>#REF!</v>
      </c>
    </row>
    <row r="448" spans="2:5">
      <c r="B448" s="402" t="s">
        <v>2396</v>
      </c>
      <c r="C448" s="353" t="e">
        <f>VLOOKUP($B448,#REF!,2,FALSE)</f>
        <v>#REF!</v>
      </c>
      <c r="D448" s="352" t="e">
        <f>VLOOKUP($B448,#REF!,6,FALSE)</f>
        <v>#REF!</v>
      </c>
      <c r="E448" s="354" t="e">
        <f>VLOOKUP($B448,#REF!,7,FALSE)</f>
        <v>#REF!</v>
      </c>
    </row>
    <row r="449" spans="2:5">
      <c r="B449" s="402" t="s">
        <v>2397</v>
      </c>
      <c r="C449" s="353" t="e">
        <f>VLOOKUP($B449,#REF!,2,FALSE)</f>
        <v>#REF!</v>
      </c>
      <c r="D449" s="352" t="e">
        <f>VLOOKUP($B449,#REF!,6,FALSE)</f>
        <v>#REF!</v>
      </c>
      <c r="E449" s="354" t="e">
        <f>VLOOKUP($B449,#REF!,7,FALSE)</f>
        <v>#REF!</v>
      </c>
    </row>
    <row r="450" spans="2:5">
      <c r="B450" s="402" t="s">
        <v>2398</v>
      </c>
      <c r="C450" s="353" t="e">
        <f>VLOOKUP($B450,#REF!,2,FALSE)</f>
        <v>#REF!</v>
      </c>
      <c r="D450" s="352" t="e">
        <f>VLOOKUP($B450,#REF!,6,FALSE)</f>
        <v>#REF!</v>
      </c>
      <c r="E450" s="354" t="e">
        <f>VLOOKUP($B450,#REF!,7,FALSE)</f>
        <v>#REF!</v>
      </c>
    </row>
    <row r="451" spans="2:5">
      <c r="B451" s="402" t="s">
        <v>2399</v>
      </c>
      <c r="C451" s="353" t="e">
        <f>VLOOKUP($B451,#REF!,2,FALSE)</f>
        <v>#REF!</v>
      </c>
      <c r="D451" s="352" t="e">
        <f>VLOOKUP($B451,#REF!,6,FALSE)</f>
        <v>#REF!</v>
      </c>
      <c r="E451" s="354" t="e">
        <f>VLOOKUP($B451,#REF!,7,FALSE)</f>
        <v>#REF!</v>
      </c>
    </row>
    <row r="452" spans="2:5">
      <c r="B452" s="402" t="s">
        <v>2400</v>
      </c>
      <c r="C452" s="353" t="e">
        <f>VLOOKUP($B452,#REF!,2,FALSE)</f>
        <v>#REF!</v>
      </c>
      <c r="D452" s="352" t="e">
        <f>VLOOKUP($B452,#REF!,6,FALSE)</f>
        <v>#REF!</v>
      </c>
      <c r="E452" s="354" t="e">
        <f>VLOOKUP($B452,#REF!,7,FALSE)</f>
        <v>#REF!</v>
      </c>
    </row>
    <row r="453" spans="2:5">
      <c r="B453" s="402" t="s">
        <v>2556</v>
      </c>
      <c r="C453" s="353" t="e">
        <f>VLOOKUP($B453,#REF!,2,FALSE)</f>
        <v>#REF!</v>
      </c>
      <c r="D453" s="352" t="e">
        <f>VLOOKUP($B453,#REF!,6,FALSE)</f>
        <v>#REF!</v>
      </c>
      <c r="E453" s="354" t="e">
        <f>VLOOKUP($B453,#REF!,7,FALSE)</f>
        <v>#REF!</v>
      </c>
    </row>
    <row r="454" spans="2:5">
      <c r="B454" s="402" t="s">
        <v>2557</v>
      </c>
      <c r="C454" s="353" t="e">
        <f>VLOOKUP($B454,#REF!,2,FALSE)</f>
        <v>#REF!</v>
      </c>
      <c r="D454" s="352" t="e">
        <f>VLOOKUP($B454,#REF!,6,FALSE)</f>
        <v>#REF!</v>
      </c>
      <c r="E454" s="354" t="e">
        <f>VLOOKUP($B454,#REF!,7,FALSE)</f>
        <v>#REF!</v>
      </c>
    </row>
    <row r="455" spans="2:5">
      <c r="B455" s="402" t="s">
        <v>2558</v>
      </c>
      <c r="C455" s="353" t="e">
        <f>VLOOKUP($B455,#REF!,2,FALSE)</f>
        <v>#REF!</v>
      </c>
      <c r="D455" s="352" t="e">
        <f>VLOOKUP($B455,#REF!,6,FALSE)</f>
        <v>#REF!</v>
      </c>
      <c r="E455" s="354" t="e">
        <f>VLOOKUP($B455,#REF!,7,FALSE)</f>
        <v>#REF!</v>
      </c>
    </row>
    <row r="456" spans="2:5" ht="15.75" thickBot="1">
      <c r="B456" s="396"/>
      <c r="C456" s="401"/>
      <c r="D456" s="396"/>
    </row>
    <row r="457" spans="2:5" ht="16.5" thickBot="1">
      <c r="B457" s="79" t="s">
        <v>2455</v>
      </c>
      <c r="C457" s="80" t="s">
        <v>2465</v>
      </c>
      <c r="D457" s="82" t="s">
        <v>30</v>
      </c>
      <c r="E457" s="83" t="s">
        <v>31</v>
      </c>
    </row>
    <row r="458" spans="2:5">
      <c r="B458" s="402" t="s">
        <v>2430</v>
      </c>
      <c r="C458" s="296" t="e">
        <f>VLOOKUP($B458,#REF!,2,FALSE)</f>
        <v>#REF!</v>
      </c>
      <c r="D458" s="402" t="e">
        <f>VLOOKUP($B458,#REF!,6,FALSE)</f>
        <v>#REF!</v>
      </c>
      <c r="E458" s="297" t="e">
        <f>VLOOKUP($B458,#REF!,7,FALSE)</f>
        <v>#REF!</v>
      </c>
    </row>
    <row r="459" spans="2:5">
      <c r="B459" s="402" t="s">
        <v>2431</v>
      </c>
      <c r="C459" s="296" t="e">
        <f>VLOOKUP($B459,#REF!,2,FALSE)</f>
        <v>#REF!</v>
      </c>
      <c r="D459" s="402" t="e">
        <f>VLOOKUP($B459,#REF!,6,FALSE)</f>
        <v>#REF!</v>
      </c>
      <c r="E459" s="297" t="e">
        <f>VLOOKUP($B459,#REF!,7,FALSE)</f>
        <v>#REF!</v>
      </c>
    </row>
    <row r="460" spans="2:5">
      <c r="B460" s="402" t="s">
        <v>2432</v>
      </c>
      <c r="C460" s="296" t="e">
        <f>VLOOKUP($B460,#REF!,2,FALSE)</f>
        <v>#REF!</v>
      </c>
      <c r="D460" s="402" t="e">
        <f>VLOOKUP($B460,#REF!,6,FALSE)</f>
        <v>#REF!</v>
      </c>
      <c r="E460" s="297" t="e">
        <f>VLOOKUP($B460,#REF!,7,FALSE)</f>
        <v>#REF!</v>
      </c>
    </row>
    <row r="461" spans="2:5">
      <c r="B461" s="402" t="s">
        <v>2433</v>
      </c>
      <c r="C461" s="296" t="e">
        <f>VLOOKUP($B461,#REF!,2,FALSE)</f>
        <v>#REF!</v>
      </c>
      <c r="D461" s="402" t="e">
        <f>VLOOKUP($B461,#REF!,6,FALSE)</f>
        <v>#REF!</v>
      </c>
      <c r="E461" s="297" t="e">
        <f>VLOOKUP($B461,#REF!,7,FALSE)</f>
        <v>#REF!</v>
      </c>
    </row>
    <row r="462" spans="2:5">
      <c r="B462" s="402" t="s">
        <v>2434</v>
      </c>
      <c r="C462" s="296" t="e">
        <f>VLOOKUP($B462,#REF!,2,FALSE)</f>
        <v>#REF!</v>
      </c>
      <c r="D462" s="402" t="e">
        <f>VLOOKUP($B462,#REF!,6,FALSE)</f>
        <v>#REF!</v>
      </c>
      <c r="E462" s="297" t="e">
        <f>VLOOKUP($B462,#REF!,7,FALSE)</f>
        <v>#REF!</v>
      </c>
    </row>
    <row r="463" spans="2:5">
      <c r="B463" s="402" t="s">
        <v>2435</v>
      </c>
      <c r="C463" s="296" t="e">
        <f>VLOOKUP($B463,#REF!,2,FALSE)</f>
        <v>#REF!</v>
      </c>
      <c r="D463" s="402" t="e">
        <f>VLOOKUP($B463,#REF!,6,FALSE)</f>
        <v>#REF!</v>
      </c>
      <c r="E463" s="297" t="e">
        <f>VLOOKUP($B463,#REF!,7,FALSE)</f>
        <v>#REF!</v>
      </c>
    </row>
    <row r="464" spans="2:5">
      <c r="B464" s="402" t="s">
        <v>2436</v>
      </c>
      <c r="C464" s="296" t="e">
        <f>VLOOKUP($B464,#REF!,2,FALSE)</f>
        <v>#REF!</v>
      </c>
      <c r="D464" s="402" t="e">
        <f>VLOOKUP($B464,#REF!,6,FALSE)</f>
        <v>#REF!</v>
      </c>
      <c r="E464" s="297" t="e">
        <f>VLOOKUP($B464,#REF!,7,FALSE)</f>
        <v>#REF!</v>
      </c>
    </row>
    <row r="465" spans="2:5">
      <c r="B465" s="402" t="s">
        <v>2437</v>
      </c>
      <c r="C465" s="296" t="e">
        <f>VLOOKUP($B465,#REF!,2,FALSE)</f>
        <v>#REF!</v>
      </c>
      <c r="D465" s="402" t="e">
        <f>VLOOKUP($B465,#REF!,6,FALSE)</f>
        <v>#REF!</v>
      </c>
      <c r="E465" s="297" t="e">
        <f>VLOOKUP($B465,#REF!,7,FALSE)</f>
        <v>#REF!</v>
      </c>
    </row>
    <row r="466" spans="2:5">
      <c r="B466" s="402" t="s">
        <v>2438</v>
      </c>
      <c r="C466" s="296" t="e">
        <f>VLOOKUP($B466,#REF!,2,FALSE)</f>
        <v>#REF!</v>
      </c>
      <c r="D466" s="402" t="e">
        <f>VLOOKUP($B466,#REF!,6,FALSE)</f>
        <v>#REF!</v>
      </c>
      <c r="E466" s="297" t="e">
        <f>VLOOKUP($B466,#REF!,7,FALSE)</f>
        <v>#REF!</v>
      </c>
    </row>
    <row r="467" spans="2:5">
      <c r="B467" s="402" t="s">
        <v>2439</v>
      </c>
      <c r="C467" s="296" t="e">
        <f>VLOOKUP($B467,#REF!,2,FALSE)</f>
        <v>#REF!</v>
      </c>
      <c r="D467" s="402" t="e">
        <f>VLOOKUP($B467,#REF!,6,FALSE)</f>
        <v>#REF!</v>
      </c>
      <c r="E467" s="297" t="e">
        <f>VLOOKUP($B467,#REF!,7,FALSE)</f>
        <v>#REF!</v>
      </c>
    </row>
    <row r="468" spans="2:5">
      <c r="B468" s="402" t="s">
        <v>2440</v>
      </c>
      <c r="C468" s="296" t="e">
        <f>VLOOKUP($B468,#REF!,2,FALSE)</f>
        <v>#REF!</v>
      </c>
      <c r="D468" s="402" t="e">
        <f>VLOOKUP($B468,#REF!,6,FALSE)</f>
        <v>#REF!</v>
      </c>
      <c r="E468" s="297" t="e">
        <f>VLOOKUP($B468,#REF!,7,FALSE)</f>
        <v>#REF!</v>
      </c>
    </row>
    <row r="469" spans="2:5">
      <c r="B469" s="402" t="s">
        <v>2441</v>
      </c>
      <c r="C469" s="296" t="e">
        <f>VLOOKUP($B469,#REF!,2,FALSE)</f>
        <v>#REF!</v>
      </c>
      <c r="D469" s="402" t="e">
        <f>VLOOKUP($B469,#REF!,6,FALSE)</f>
        <v>#REF!</v>
      </c>
      <c r="E469" s="297" t="e">
        <f>VLOOKUP($B469,#REF!,7,FALSE)</f>
        <v>#REF!</v>
      </c>
    </row>
    <row r="470" spans="2:5">
      <c r="B470" s="402" t="s">
        <v>2442</v>
      </c>
      <c r="C470" s="296" t="e">
        <f>VLOOKUP($B470,#REF!,2,FALSE)</f>
        <v>#REF!</v>
      </c>
      <c r="D470" s="402" t="e">
        <f>VLOOKUP($B470,#REF!,6,FALSE)</f>
        <v>#REF!</v>
      </c>
      <c r="E470" s="297" t="e">
        <f>VLOOKUP($B470,#REF!,7,FALSE)</f>
        <v>#REF!</v>
      </c>
    </row>
    <row r="471" spans="2:5">
      <c r="B471" s="402" t="s">
        <v>2443</v>
      </c>
      <c r="C471" s="296" t="e">
        <f>VLOOKUP($B471,#REF!,2,FALSE)</f>
        <v>#REF!</v>
      </c>
      <c r="D471" s="402" t="e">
        <f>VLOOKUP($B471,#REF!,6,FALSE)</f>
        <v>#REF!</v>
      </c>
      <c r="E471" s="297" t="e">
        <f>VLOOKUP($B471,#REF!,7,FALSE)</f>
        <v>#REF!</v>
      </c>
    </row>
    <row r="472" spans="2:5">
      <c r="B472" s="402" t="s">
        <v>2444</v>
      </c>
      <c r="C472" s="296" t="e">
        <f>VLOOKUP($B472,#REF!,2,FALSE)</f>
        <v>#REF!</v>
      </c>
      <c r="D472" s="402" t="e">
        <f>VLOOKUP($B472,#REF!,6,FALSE)</f>
        <v>#REF!</v>
      </c>
      <c r="E472" s="297" t="e">
        <f>VLOOKUP($B472,#REF!,7,FALSE)</f>
        <v>#REF!</v>
      </c>
    </row>
    <row r="473" spans="2:5">
      <c r="B473" s="402" t="s">
        <v>2445</v>
      </c>
      <c r="C473" s="296" t="e">
        <f>VLOOKUP($B473,#REF!,2,FALSE)</f>
        <v>#REF!</v>
      </c>
      <c r="D473" s="402" t="e">
        <f>VLOOKUP($B473,#REF!,6,FALSE)</f>
        <v>#REF!</v>
      </c>
      <c r="E473" s="297" t="e">
        <f>VLOOKUP($B473,#REF!,7,FALSE)</f>
        <v>#REF!</v>
      </c>
    </row>
    <row r="474" spans="2:5">
      <c r="B474" s="402" t="s">
        <v>2446</v>
      </c>
      <c r="C474" s="296" t="e">
        <f>VLOOKUP($B474,#REF!,2,FALSE)</f>
        <v>#REF!</v>
      </c>
      <c r="D474" s="402" t="e">
        <f>VLOOKUP($B474,#REF!,6,FALSE)</f>
        <v>#REF!</v>
      </c>
      <c r="E474" s="297" t="e">
        <f>VLOOKUP($B474,#REF!,7,FALSE)</f>
        <v>#REF!</v>
      </c>
    </row>
    <row r="475" spans="2:5">
      <c r="B475" s="402" t="s">
        <v>2447</v>
      </c>
      <c r="C475" s="296" t="e">
        <f>VLOOKUP($B475,#REF!,2,FALSE)</f>
        <v>#REF!</v>
      </c>
      <c r="D475" s="402" t="e">
        <f>VLOOKUP($B475,#REF!,6,FALSE)</f>
        <v>#REF!</v>
      </c>
      <c r="E475" s="297" t="e">
        <f>VLOOKUP($B475,#REF!,7,FALSE)</f>
        <v>#REF!</v>
      </c>
    </row>
    <row r="476" spans="2:5">
      <c r="B476" s="402" t="s">
        <v>2448</v>
      </c>
      <c r="C476" s="296" t="e">
        <f>VLOOKUP($B476,#REF!,2,FALSE)</f>
        <v>#REF!</v>
      </c>
      <c r="D476" s="402" t="e">
        <f>VLOOKUP($B476,#REF!,6,FALSE)</f>
        <v>#REF!</v>
      </c>
      <c r="E476" s="297" t="e">
        <f>VLOOKUP($B476,#REF!,7,FALSE)</f>
        <v>#REF!</v>
      </c>
    </row>
    <row r="477" spans="2:5">
      <c r="B477" s="402" t="s">
        <v>2449</v>
      </c>
      <c r="C477" s="296" t="e">
        <f>VLOOKUP($B477,#REF!,2,FALSE)</f>
        <v>#REF!</v>
      </c>
      <c r="D477" s="402" t="e">
        <f>VLOOKUP($B477,#REF!,6,FALSE)</f>
        <v>#REF!</v>
      </c>
      <c r="E477" s="297" t="e">
        <f>VLOOKUP($B477,#REF!,7,FALSE)</f>
        <v>#REF!</v>
      </c>
    </row>
    <row r="478" spans="2:5">
      <c r="B478" s="402" t="s">
        <v>2450</v>
      </c>
      <c r="C478" s="296" t="e">
        <f>VLOOKUP($B478,#REF!,2,FALSE)</f>
        <v>#REF!</v>
      </c>
      <c r="D478" s="402" t="e">
        <f>VLOOKUP($B478,#REF!,6,FALSE)</f>
        <v>#REF!</v>
      </c>
      <c r="E478" s="297" t="e">
        <f>VLOOKUP($B478,#REF!,7,FALSE)</f>
        <v>#REF!</v>
      </c>
    </row>
    <row r="479" spans="2:5">
      <c r="B479" s="402" t="s">
        <v>2451</v>
      </c>
      <c r="C479" s="296" t="e">
        <f>VLOOKUP($B479,#REF!,2,FALSE)</f>
        <v>#REF!</v>
      </c>
      <c r="D479" s="402" t="e">
        <f>VLOOKUP($B479,#REF!,6,FALSE)</f>
        <v>#REF!</v>
      </c>
      <c r="E479" s="297" t="e">
        <f>VLOOKUP($B479,#REF!,7,FALSE)</f>
        <v>#REF!</v>
      </c>
    </row>
    <row r="480" spans="2:5">
      <c r="B480" s="402" t="s">
        <v>2452</v>
      </c>
      <c r="C480" s="296" t="e">
        <f>VLOOKUP($B480,#REF!,2,FALSE)</f>
        <v>#REF!</v>
      </c>
      <c r="D480" s="402" t="e">
        <f>VLOOKUP($B480,#REF!,6,FALSE)</f>
        <v>#REF!</v>
      </c>
      <c r="E480" s="297" t="e">
        <f>VLOOKUP($B480,#REF!,7,FALSE)</f>
        <v>#REF!</v>
      </c>
    </row>
    <row r="481" spans="2:5">
      <c r="B481" s="402" t="s">
        <v>2453</v>
      </c>
      <c r="C481" s="296" t="e">
        <f>VLOOKUP($B481,#REF!,2,FALSE)</f>
        <v>#REF!</v>
      </c>
      <c r="D481" s="402" t="e">
        <f>VLOOKUP($B481,#REF!,6,FALSE)</f>
        <v>#REF!</v>
      </c>
      <c r="E481" s="297" t="e">
        <f>VLOOKUP($B481,#REF!,7,FALSE)</f>
        <v>#REF!</v>
      </c>
    </row>
    <row r="482" spans="2:5">
      <c r="B482" s="402" t="s">
        <v>2454</v>
      </c>
      <c r="C482" s="296" t="e">
        <f>VLOOKUP($B482,#REF!,2,FALSE)</f>
        <v>#REF!</v>
      </c>
      <c r="D482" s="402" t="e">
        <f>VLOOKUP($B482,#REF!,6,FALSE)</f>
        <v>#REF!</v>
      </c>
      <c r="E482" s="297" t="e">
        <f>VLOOKUP($B482,#REF!,7,FALSE)</f>
        <v>#REF!</v>
      </c>
    </row>
    <row r="483" spans="2:5">
      <c r="B483" s="402" t="s">
        <v>2456</v>
      </c>
      <c r="C483" s="296" t="e">
        <f>VLOOKUP($B483,#REF!,2,FALSE)</f>
        <v>#REF!</v>
      </c>
      <c r="D483" s="402" t="e">
        <f>VLOOKUP($B483,#REF!,6,FALSE)</f>
        <v>#REF!</v>
      </c>
      <c r="E483" s="297" t="e">
        <f>VLOOKUP($B483,#REF!,7,FALSE)</f>
        <v>#REF!</v>
      </c>
    </row>
    <row r="484" spans="2:5">
      <c r="B484" s="402" t="s">
        <v>2457</v>
      </c>
      <c r="C484" s="296" t="e">
        <f>VLOOKUP($B484,#REF!,2,FALSE)</f>
        <v>#REF!</v>
      </c>
      <c r="D484" s="402" t="e">
        <f>VLOOKUP($B484,#REF!,6,FALSE)</f>
        <v>#REF!</v>
      </c>
      <c r="E484" s="297" t="e">
        <f>VLOOKUP($B484,#REF!,7,FALSE)</f>
        <v>#REF!</v>
      </c>
    </row>
    <row r="485" spans="2:5">
      <c r="B485" s="402" t="s">
        <v>2458</v>
      </c>
      <c r="C485" s="296" t="e">
        <f>VLOOKUP($B485,#REF!,2,FALSE)</f>
        <v>#REF!</v>
      </c>
      <c r="D485" s="402" t="e">
        <f>VLOOKUP($B485,#REF!,6,FALSE)</f>
        <v>#REF!</v>
      </c>
      <c r="E485" s="297" t="e">
        <f>VLOOKUP($B485,#REF!,7,FALSE)</f>
        <v>#REF!</v>
      </c>
    </row>
    <row r="486" spans="2:5">
      <c r="B486" s="402" t="s">
        <v>2459</v>
      </c>
      <c r="C486" s="296" t="e">
        <f>VLOOKUP($B486,#REF!,2,FALSE)</f>
        <v>#REF!</v>
      </c>
      <c r="D486" s="402" t="e">
        <f>VLOOKUP($B486,#REF!,6,FALSE)</f>
        <v>#REF!</v>
      </c>
      <c r="E486" s="297" t="e">
        <f>VLOOKUP($B486,#REF!,7,FALSE)</f>
        <v>#REF!</v>
      </c>
    </row>
    <row r="487" spans="2:5">
      <c r="B487" s="402" t="s">
        <v>2460</v>
      </c>
      <c r="C487" s="296" t="e">
        <f>VLOOKUP($B487,#REF!,2,FALSE)</f>
        <v>#REF!</v>
      </c>
      <c r="D487" s="402" t="e">
        <f>VLOOKUP($B487,#REF!,6,FALSE)</f>
        <v>#REF!</v>
      </c>
      <c r="E487" s="297" t="e">
        <f>VLOOKUP($B487,#REF!,7,FALSE)</f>
        <v>#REF!</v>
      </c>
    </row>
    <row r="488" spans="2:5">
      <c r="B488" s="402" t="s">
        <v>2461</v>
      </c>
      <c r="C488" s="296" t="e">
        <f>VLOOKUP($B488,#REF!,2,FALSE)</f>
        <v>#REF!</v>
      </c>
      <c r="D488" s="402" t="e">
        <f>VLOOKUP($B488,#REF!,6,FALSE)</f>
        <v>#REF!</v>
      </c>
      <c r="E488" s="297" t="e">
        <f>VLOOKUP($B488,#REF!,7,FALSE)</f>
        <v>#REF!</v>
      </c>
    </row>
    <row r="489" spans="2:5">
      <c r="B489" s="402" t="s">
        <v>2462</v>
      </c>
      <c r="C489" s="296" t="e">
        <f>VLOOKUP($B489,#REF!,2,FALSE)</f>
        <v>#REF!</v>
      </c>
      <c r="D489" s="402" t="e">
        <f>VLOOKUP($B489,#REF!,6,FALSE)</f>
        <v>#REF!</v>
      </c>
      <c r="E489" s="297" t="e">
        <f>VLOOKUP($B489,#REF!,7,FALSE)</f>
        <v>#REF!</v>
      </c>
    </row>
    <row r="490" spans="2:5">
      <c r="B490" s="402" t="s">
        <v>2463</v>
      </c>
      <c r="C490" s="296" t="e">
        <f>VLOOKUP($B490,#REF!,2,FALSE)</f>
        <v>#REF!</v>
      </c>
      <c r="D490" s="402" t="e">
        <f>VLOOKUP($B490,#REF!,6,FALSE)</f>
        <v>#REF!</v>
      </c>
      <c r="E490" s="297" t="e">
        <f>VLOOKUP($B490,#REF!,7,FALSE)</f>
        <v>#REF!</v>
      </c>
    </row>
    <row r="491" spans="2:5">
      <c r="B491" s="402" t="s">
        <v>2953</v>
      </c>
      <c r="C491" s="296" t="e">
        <f>VLOOKUP($B491,#REF!,2,FALSE)</f>
        <v>#REF!</v>
      </c>
      <c r="D491" s="402" t="e">
        <f>VLOOKUP($B491,#REF!,6,FALSE)</f>
        <v>#REF!</v>
      </c>
      <c r="E491" s="297" t="e">
        <f>VLOOKUP($B491,#REF!,7,FALSE)</f>
        <v>#REF!</v>
      </c>
    </row>
    <row r="492" spans="2:5" ht="15.75" thickBot="1">
      <c r="B492" s="402" t="s">
        <v>3994</v>
      </c>
      <c r="C492" s="296" t="e">
        <f>VLOOKUP($B492,#REF!,2,FALSE)</f>
        <v>#REF!</v>
      </c>
      <c r="D492" s="402" t="e">
        <f>VLOOKUP($B492,#REF!,6,FALSE)</f>
        <v>#REF!</v>
      </c>
      <c r="E492" s="297" t="e">
        <f>VLOOKUP($B492,#REF!,7,FALSE)</f>
        <v>#REF!</v>
      </c>
    </row>
    <row r="493" spans="2:5" ht="16.5" thickBot="1">
      <c r="B493" s="79" t="s">
        <v>395</v>
      </c>
      <c r="C493" s="80" t="s">
        <v>394</v>
      </c>
      <c r="D493" s="82" t="s">
        <v>30</v>
      </c>
      <c r="E493" s="83" t="s">
        <v>31</v>
      </c>
    </row>
    <row r="494" spans="2:5">
      <c r="B494" s="402" t="s">
        <v>2401</v>
      </c>
      <c r="C494" s="296" t="e">
        <f>VLOOKUP($B494,#REF!,2,FALSE)</f>
        <v>#REF!</v>
      </c>
      <c r="D494" s="402" t="e">
        <f>VLOOKUP($B494,#REF!,6,FALSE)</f>
        <v>#REF!</v>
      </c>
      <c r="E494" s="297" t="e">
        <f>VLOOKUP($B494,#REF!,7,FALSE)</f>
        <v>#REF!</v>
      </c>
    </row>
    <row r="495" spans="2:5">
      <c r="B495" s="402" t="s">
        <v>2402</v>
      </c>
      <c r="C495" s="296" t="e">
        <f>VLOOKUP($B495,#REF!,2,FALSE)</f>
        <v>#REF!</v>
      </c>
      <c r="D495" s="402" t="e">
        <f>VLOOKUP($B495,#REF!,6,FALSE)</f>
        <v>#REF!</v>
      </c>
      <c r="E495" s="297" t="e">
        <f>VLOOKUP($B495,#REF!,7,FALSE)</f>
        <v>#REF!</v>
      </c>
    </row>
    <row r="496" spans="2:5">
      <c r="B496" s="402" t="s">
        <v>2403</v>
      </c>
      <c r="C496" s="296" t="e">
        <f>VLOOKUP($B496,#REF!,2,FALSE)</f>
        <v>#REF!</v>
      </c>
      <c r="D496" s="402" t="e">
        <f>VLOOKUP($B496,#REF!,6,FALSE)</f>
        <v>#REF!</v>
      </c>
      <c r="E496" s="297" t="e">
        <f>VLOOKUP($B496,#REF!,7,FALSE)</f>
        <v>#REF!</v>
      </c>
    </row>
    <row r="497" spans="2:5">
      <c r="B497" s="402" t="s">
        <v>2404</v>
      </c>
      <c r="C497" s="296" t="e">
        <f>VLOOKUP($B497,#REF!,2,FALSE)</f>
        <v>#REF!</v>
      </c>
      <c r="D497" s="402" t="e">
        <f>VLOOKUP($B497,#REF!,6,FALSE)</f>
        <v>#REF!</v>
      </c>
      <c r="E497" s="297" t="e">
        <f>VLOOKUP($B497,#REF!,7,FALSE)</f>
        <v>#REF!</v>
      </c>
    </row>
    <row r="498" spans="2:5">
      <c r="B498" s="402" t="s">
        <v>2405</v>
      </c>
      <c r="C498" s="296" t="e">
        <f>VLOOKUP($B498,#REF!,2,FALSE)</f>
        <v>#REF!</v>
      </c>
      <c r="D498" s="402" t="e">
        <f>VLOOKUP($B498,#REF!,6,FALSE)</f>
        <v>#REF!</v>
      </c>
      <c r="E498" s="297" t="e">
        <f>VLOOKUP($B498,#REF!,7,FALSE)</f>
        <v>#REF!</v>
      </c>
    </row>
    <row r="499" spans="2:5">
      <c r="B499" s="402" t="s">
        <v>2406</v>
      </c>
      <c r="C499" s="296" t="e">
        <f>VLOOKUP($B499,#REF!,2,FALSE)</f>
        <v>#REF!</v>
      </c>
      <c r="D499" s="402" t="e">
        <f>VLOOKUP($B499,#REF!,6,FALSE)</f>
        <v>#REF!</v>
      </c>
      <c r="E499" s="297" t="e">
        <f>VLOOKUP($B499,#REF!,7,FALSE)</f>
        <v>#REF!</v>
      </c>
    </row>
    <row r="500" spans="2:5">
      <c r="B500" s="402" t="s">
        <v>2407</v>
      </c>
      <c r="C500" s="296" t="e">
        <f>VLOOKUP($B500,#REF!,2,FALSE)</f>
        <v>#REF!</v>
      </c>
      <c r="D500" s="402" t="e">
        <f>VLOOKUP($B500,#REF!,6,FALSE)</f>
        <v>#REF!</v>
      </c>
      <c r="E500" s="297" t="e">
        <f>VLOOKUP($B500,#REF!,7,FALSE)</f>
        <v>#REF!</v>
      </c>
    </row>
    <row r="501" spans="2:5">
      <c r="B501" s="402" t="s">
        <v>2408</v>
      </c>
      <c r="C501" s="296" t="e">
        <f>VLOOKUP($B501,#REF!,2,FALSE)</f>
        <v>#REF!</v>
      </c>
      <c r="D501" s="402" t="e">
        <f>VLOOKUP($B501,#REF!,6,FALSE)</f>
        <v>#REF!</v>
      </c>
      <c r="E501" s="297" t="e">
        <f>VLOOKUP($B501,#REF!,7,FALSE)</f>
        <v>#REF!</v>
      </c>
    </row>
    <row r="502" spans="2:5">
      <c r="B502" s="402" t="s">
        <v>2409</v>
      </c>
      <c r="C502" s="296" t="e">
        <f>VLOOKUP($B502,#REF!,2,FALSE)</f>
        <v>#REF!</v>
      </c>
      <c r="D502" s="402" t="e">
        <f>VLOOKUP($B502,#REF!,6,FALSE)</f>
        <v>#REF!</v>
      </c>
      <c r="E502" s="297" t="e">
        <f>VLOOKUP($B502,#REF!,7,FALSE)</f>
        <v>#REF!</v>
      </c>
    </row>
    <row r="503" spans="2:5">
      <c r="B503" s="402" t="s">
        <v>2410</v>
      </c>
      <c r="C503" s="296" t="e">
        <f>VLOOKUP($B503,#REF!,2,FALSE)</f>
        <v>#REF!</v>
      </c>
      <c r="D503" s="402" t="e">
        <f>VLOOKUP($B503,#REF!,6,FALSE)</f>
        <v>#REF!</v>
      </c>
      <c r="E503" s="297" t="e">
        <f>VLOOKUP($B503,#REF!,7,FALSE)</f>
        <v>#REF!</v>
      </c>
    </row>
    <row r="504" spans="2:5">
      <c r="B504" s="402" t="s">
        <v>2411</v>
      </c>
      <c r="C504" s="296" t="e">
        <f>VLOOKUP($B504,#REF!,2,FALSE)</f>
        <v>#REF!</v>
      </c>
      <c r="D504" s="402" t="e">
        <f>VLOOKUP($B504,#REF!,6,FALSE)</f>
        <v>#REF!</v>
      </c>
      <c r="E504" s="297" t="e">
        <f>VLOOKUP($B504,#REF!,7,FALSE)</f>
        <v>#REF!</v>
      </c>
    </row>
    <row r="505" spans="2:5">
      <c r="B505" s="402" t="s">
        <v>2412</v>
      </c>
      <c r="C505" s="296" t="e">
        <f>VLOOKUP($B505,#REF!,2,FALSE)</f>
        <v>#REF!</v>
      </c>
      <c r="D505" s="402" t="e">
        <f>VLOOKUP($B505,#REF!,6,FALSE)</f>
        <v>#REF!</v>
      </c>
      <c r="E505" s="297" t="e">
        <f>VLOOKUP($B505,#REF!,7,FALSE)</f>
        <v>#REF!</v>
      </c>
    </row>
    <row r="506" spans="2:5">
      <c r="B506" s="402" t="s">
        <v>2413</v>
      </c>
      <c r="C506" s="296" t="e">
        <f>VLOOKUP($B506,#REF!,2,FALSE)</f>
        <v>#REF!</v>
      </c>
      <c r="D506" s="402" t="e">
        <f>VLOOKUP($B506,#REF!,6,FALSE)</f>
        <v>#REF!</v>
      </c>
      <c r="E506" s="297" t="e">
        <f>VLOOKUP($B506,#REF!,7,FALSE)</f>
        <v>#REF!</v>
      </c>
    </row>
    <row r="507" spans="2:5">
      <c r="B507" s="402" t="s">
        <v>2414</v>
      </c>
      <c r="C507" s="296" t="e">
        <f>VLOOKUP($B507,#REF!,2,FALSE)</f>
        <v>#REF!</v>
      </c>
      <c r="D507" s="402" t="e">
        <f>VLOOKUP($B507,#REF!,6,FALSE)</f>
        <v>#REF!</v>
      </c>
      <c r="E507" s="297" t="e">
        <f>VLOOKUP($B507,#REF!,7,FALSE)</f>
        <v>#REF!</v>
      </c>
    </row>
    <row r="508" spans="2:5">
      <c r="B508" s="402" t="s">
        <v>2415</v>
      </c>
      <c r="C508" s="296" t="e">
        <f>VLOOKUP($B508,#REF!,2,FALSE)</f>
        <v>#REF!</v>
      </c>
      <c r="D508" s="402" t="e">
        <f>VLOOKUP($B508,#REF!,6,FALSE)</f>
        <v>#REF!</v>
      </c>
      <c r="E508" s="297" t="e">
        <f>VLOOKUP($B508,#REF!,7,FALSE)</f>
        <v>#REF!</v>
      </c>
    </row>
    <row r="509" spans="2:5">
      <c r="B509" s="402" t="s">
        <v>2416</v>
      </c>
      <c r="C509" s="296" t="e">
        <f>VLOOKUP($B509,#REF!,2,FALSE)</f>
        <v>#REF!</v>
      </c>
      <c r="D509" s="402" t="e">
        <f>VLOOKUP($B509,#REF!,6,FALSE)</f>
        <v>#REF!</v>
      </c>
      <c r="E509" s="297" t="e">
        <f>VLOOKUP($B509,#REF!,7,FALSE)</f>
        <v>#REF!</v>
      </c>
    </row>
    <row r="510" spans="2:5">
      <c r="B510" s="402" t="s">
        <v>2417</v>
      </c>
      <c r="C510" s="296" t="e">
        <f>VLOOKUP($B510,#REF!,2,FALSE)</f>
        <v>#REF!</v>
      </c>
      <c r="D510" s="402" t="e">
        <f>VLOOKUP($B510,#REF!,6,FALSE)</f>
        <v>#REF!</v>
      </c>
      <c r="E510" s="297" t="e">
        <f>VLOOKUP($B510,#REF!,7,FALSE)</f>
        <v>#REF!</v>
      </c>
    </row>
    <row r="511" spans="2:5">
      <c r="B511" s="402" t="s">
        <v>2418</v>
      </c>
      <c r="C511" s="296" t="e">
        <f>VLOOKUP($B511,#REF!,2,FALSE)</f>
        <v>#REF!</v>
      </c>
      <c r="D511" s="402" t="e">
        <f>VLOOKUP($B511,#REF!,6,FALSE)</f>
        <v>#REF!</v>
      </c>
      <c r="E511" s="297" t="e">
        <f>VLOOKUP($B511,#REF!,7,FALSE)</f>
        <v>#REF!</v>
      </c>
    </row>
    <row r="512" spans="2:5">
      <c r="B512" s="402" t="s">
        <v>2419</v>
      </c>
      <c r="C512" s="296" t="e">
        <f>VLOOKUP($B512,#REF!,2,FALSE)</f>
        <v>#REF!</v>
      </c>
      <c r="D512" s="402" t="e">
        <f>VLOOKUP($B512,#REF!,6,FALSE)</f>
        <v>#REF!</v>
      </c>
      <c r="E512" s="297" t="e">
        <f>VLOOKUP($B512,#REF!,7,FALSE)</f>
        <v>#REF!</v>
      </c>
    </row>
    <row r="513" spans="2:5">
      <c r="B513" s="402" t="s">
        <v>2420</v>
      </c>
      <c r="C513" s="296" t="e">
        <f>VLOOKUP($B513,#REF!,2,FALSE)</f>
        <v>#REF!</v>
      </c>
      <c r="D513" s="402" t="e">
        <f>VLOOKUP($B513,#REF!,6,FALSE)</f>
        <v>#REF!</v>
      </c>
      <c r="E513" s="297" t="e">
        <f>VLOOKUP($B513,#REF!,7,FALSE)</f>
        <v>#REF!</v>
      </c>
    </row>
    <row r="514" spans="2:5">
      <c r="B514" s="402" t="s">
        <v>2421</v>
      </c>
      <c r="C514" s="296" t="e">
        <f>VLOOKUP($B514,#REF!,2,FALSE)</f>
        <v>#REF!</v>
      </c>
      <c r="D514" s="402" t="e">
        <f>VLOOKUP($B514,#REF!,6,FALSE)</f>
        <v>#REF!</v>
      </c>
      <c r="E514" s="297" t="e">
        <f>VLOOKUP($B514,#REF!,7,FALSE)</f>
        <v>#REF!</v>
      </c>
    </row>
    <row r="515" spans="2:5">
      <c r="B515" s="402" t="s">
        <v>2422</v>
      </c>
      <c r="C515" s="296" t="e">
        <f>VLOOKUP($B515,#REF!,2,FALSE)</f>
        <v>#REF!</v>
      </c>
      <c r="D515" s="402" t="e">
        <f>VLOOKUP($B515,#REF!,6,FALSE)</f>
        <v>#REF!</v>
      </c>
      <c r="E515" s="297" t="e">
        <f>VLOOKUP($B515,#REF!,7,FALSE)</f>
        <v>#REF!</v>
      </c>
    </row>
    <row r="516" spans="2:5">
      <c r="B516" s="402" t="s">
        <v>2423</v>
      </c>
      <c r="C516" s="296" t="e">
        <f>VLOOKUP($B516,#REF!,2,FALSE)</f>
        <v>#REF!</v>
      </c>
      <c r="D516" s="402" t="e">
        <f>VLOOKUP($B516,#REF!,6,FALSE)</f>
        <v>#REF!</v>
      </c>
      <c r="E516" s="297" t="e">
        <f>VLOOKUP($B516,#REF!,7,FALSE)</f>
        <v>#REF!</v>
      </c>
    </row>
    <row r="517" spans="2:5">
      <c r="B517" s="402" t="s">
        <v>2424</v>
      </c>
      <c r="C517" s="296" t="e">
        <f>VLOOKUP($B517,#REF!,2,FALSE)</f>
        <v>#REF!</v>
      </c>
      <c r="D517" s="402" t="e">
        <f>VLOOKUP($B517,#REF!,6,FALSE)</f>
        <v>#REF!</v>
      </c>
      <c r="E517" s="297" t="e">
        <f>VLOOKUP($B517,#REF!,7,FALSE)</f>
        <v>#REF!</v>
      </c>
    </row>
    <row r="518" spans="2:5">
      <c r="B518" s="402" t="s">
        <v>2425</v>
      </c>
      <c r="C518" s="296" t="e">
        <f>VLOOKUP($B518,#REF!,2,FALSE)</f>
        <v>#REF!</v>
      </c>
      <c r="D518" s="402" t="e">
        <f>VLOOKUP($B518,#REF!,6,FALSE)</f>
        <v>#REF!</v>
      </c>
      <c r="E518" s="297" t="e">
        <f>VLOOKUP($B518,#REF!,7,FALSE)</f>
        <v>#REF!</v>
      </c>
    </row>
    <row r="519" spans="2:5">
      <c r="B519" s="402" t="s">
        <v>2636</v>
      </c>
      <c r="C519" s="296" t="e">
        <f>VLOOKUP($B519,#REF!,2,FALSE)</f>
        <v>#REF!</v>
      </c>
      <c r="D519" s="402" t="e">
        <f>VLOOKUP($B519,#REF!,6,FALSE)</f>
        <v>#REF!</v>
      </c>
      <c r="E519" s="297" t="e">
        <f>VLOOKUP($B519,#REF!,7,FALSE)</f>
        <v>#REF!</v>
      </c>
    </row>
    <row r="520" spans="2:5">
      <c r="B520" s="402" t="s">
        <v>2637</v>
      </c>
      <c r="C520" s="296" t="e">
        <f>VLOOKUP($B520,#REF!,2,FALSE)</f>
        <v>#REF!</v>
      </c>
      <c r="D520" s="402" t="e">
        <f>VLOOKUP($B520,#REF!,6,FALSE)</f>
        <v>#REF!</v>
      </c>
      <c r="E520" s="297" t="e">
        <f>VLOOKUP($B520,#REF!,7,FALSE)</f>
        <v>#REF!</v>
      </c>
    </row>
    <row r="521" spans="2:5">
      <c r="B521" s="402" t="s">
        <v>2638</v>
      </c>
      <c r="C521" s="296" t="e">
        <f>VLOOKUP($B521,#REF!,2,FALSE)</f>
        <v>#REF!</v>
      </c>
      <c r="D521" s="402" t="e">
        <f>VLOOKUP($B521,#REF!,6,FALSE)</f>
        <v>#REF!</v>
      </c>
      <c r="E521" s="297" t="e">
        <f>VLOOKUP($B521,#REF!,7,FALSE)</f>
        <v>#REF!</v>
      </c>
    </row>
    <row r="522" spans="2:5">
      <c r="B522" s="402" t="s">
        <v>5654</v>
      </c>
      <c r="C522" s="296" t="e">
        <f>VLOOKUP($B522,#REF!,2,FALSE)</f>
        <v>#REF!</v>
      </c>
      <c r="D522" s="402" t="e">
        <f>VLOOKUP($B522,#REF!,6,FALSE)</f>
        <v>#REF!</v>
      </c>
      <c r="E522" s="297" t="e">
        <f>VLOOKUP($B522,#REF!,7,FALSE)</f>
        <v>#REF!</v>
      </c>
    </row>
    <row r="523" spans="2:5">
      <c r="B523" s="402" t="s">
        <v>5655</v>
      </c>
      <c r="C523" s="296" t="e">
        <f>VLOOKUP($B523,#REF!,2,FALSE)</f>
        <v>#REF!</v>
      </c>
      <c r="D523" s="402" t="e">
        <f>VLOOKUP($B523,#REF!,6,FALSE)</f>
        <v>#REF!</v>
      </c>
      <c r="E523" s="297" t="e">
        <f>VLOOKUP($B523,#REF!,7,FALSE)</f>
        <v>#REF!</v>
      </c>
    </row>
    <row r="524" spans="2:5">
      <c r="B524" s="402" t="s">
        <v>5656</v>
      </c>
      <c r="C524" s="296" t="e">
        <f>VLOOKUP($B524,#REF!,2,FALSE)</f>
        <v>#REF!</v>
      </c>
      <c r="D524" s="402" t="e">
        <f>VLOOKUP($B524,#REF!,6,FALSE)</f>
        <v>#REF!</v>
      </c>
      <c r="E524" s="297" t="e">
        <f>VLOOKUP($B524,#REF!,7,FALSE)</f>
        <v>#REF!</v>
      </c>
    </row>
    <row r="525" spans="2:5">
      <c r="B525" s="402" t="s">
        <v>5657</v>
      </c>
      <c r="C525" s="296" t="e">
        <f>VLOOKUP($B525,#REF!,2,FALSE)</f>
        <v>#REF!</v>
      </c>
      <c r="D525" s="402" t="e">
        <f>VLOOKUP($B525,#REF!,6,FALSE)</f>
        <v>#REF!</v>
      </c>
      <c r="E525" s="297" t="e">
        <f>VLOOKUP($B525,#REF!,7,FALSE)</f>
        <v>#REF!</v>
      </c>
    </row>
    <row r="526" spans="2:5">
      <c r="B526" s="402" t="s">
        <v>5658</v>
      </c>
      <c r="C526" s="296" t="e">
        <f>VLOOKUP($B526,#REF!,2,FALSE)</f>
        <v>#REF!</v>
      </c>
      <c r="D526" s="402" t="e">
        <f>VLOOKUP($B526,#REF!,6,FALSE)</f>
        <v>#REF!</v>
      </c>
      <c r="E526" s="297" t="e">
        <f>VLOOKUP($B526,#REF!,7,FALSE)</f>
        <v>#REF!</v>
      </c>
    </row>
    <row r="527" spans="2:5">
      <c r="B527" s="402" t="s">
        <v>5659</v>
      </c>
      <c r="C527" s="296" t="e">
        <f>VLOOKUP($B527,#REF!,2,FALSE)</f>
        <v>#REF!</v>
      </c>
      <c r="D527" s="402" t="e">
        <f>VLOOKUP($B527,#REF!,6,FALSE)</f>
        <v>#REF!</v>
      </c>
      <c r="E527" s="297" t="e">
        <f>VLOOKUP($B527,#REF!,7,FALSE)</f>
        <v>#REF!</v>
      </c>
    </row>
    <row r="528" spans="2:5">
      <c r="B528" s="402" t="s">
        <v>5660</v>
      </c>
      <c r="C528" s="296" t="e">
        <f>VLOOKUP($B528,#REF!,2,FALSE)</f>
        <v>#REF!</v>
      </c>
      <c r="D528" s="402" t="e">
        <f>VLOOKUP($B528,#REF!,6,FALSE)</f>
        <v>#REF!</v>
      </c>
      <c r="E528" s="297" t="e">
        <f>VLOOKUP($B528,#REF!,7,FALSE)</f>
        <v>#REF!</v>
      </c>
    </row>
    <row r="529" spans="2:5">
      <c r="B529" s="402" t="s">
        <v>5661</v>
      </c>
      <c r="C529" s="296" t="e">
        <f>VLOOKUP($B529,#REF!,2,FALSE)</f>
        <v>#REF!</v>
      </c>
      <c r="D529" s="402" t="e">
        <f>VLOOKUP($B529,#REF!,6,FALSE)</f>
        <v>#REF!</v>
      </c>
      <c r="E529" s="297" t="e">
        <f>VLOOKUP($B529,#REF!,7,FALSE)</f>
        <v>#REF!</v>
      </c>
    </row>
    <row r="530" spans="2:5">
      <c r="B530" s="402" t="s">
        <v>5662</v>
      </c>
      <c r="C530" s="296" t="e">
        <f>VLOOKUP($B530,#REF!,2,FALSE)</f>
        <v>#REF!</v>
      </c>
      <c r="D530" s="402" t="e">
        <f>VLOOKUP($B530,#REF!,6,FALSE)</f>
        <v>#REF!</v>
      </c>
      <c r="E530" s="297" t="e">
        <f>VLOOKUP($B530,#REF!,7,FALSE)</f>
        <v>#REF!</v>
      </c>
    </row>
    <row r="531" spans="2:5">
      <c r="B531" s="402" t="s">
        <v>5663</v>
      </c>
      <c r="C531" s="296" t="e">
        <f>VLOOKUP($B531,#REF!,2,FALSE)</f>
        <v>#REF!</v>
      </c>
      <c r="D531" s="402" t="e">
        <f>VLOOKUP($B531,#REF!,6,FALSE)</f>
        <v>#REF!</v>
      </c>
      <c r="E531" s="297" t="e">
        <f>VLOOKUP($B531,#REF!,7,FALSE)</f>
        <v>#REF!</v>
      </c>
    </row>
    <row r="532" spans="2:5" ht="15.75" thickBot="1"/>
    <row r="533" spans="2:5" ht="16.5" thickBot="1">
      <c r="B533" s="79" t="s">
        <v>2904</v>
      </c>
      <c r="C533" s="80" t="s">
        <v>2905</v>
      </c>
      <c r="D533" s="82" t="s">
        <v>30</v>
      </c>
      <c r="E533" s="83" t="s">
        <v>31</v>
      </c>
    </row>
    <row r="534" spans="2:5" ht="30">
      <c r="B534" s="402" t="s">
        <v>1906</v>
      </c>
      <c r="C534" s="296" t="str">
        <f>VLOOKUP($B534,'COMPOSIÇÃO ESTRUTURAL'!$B:$G,2,FALSE)</f>
        <v>MOBILIZAÇÃO DE PERFURATRIZ HIDRÁULICA SOBRE CAMINHÃO TRUCADO (C/ TERCEIRO EIXO) ELETRÔNICO - POTÊNCIA 231CV - PBT = 22000KG - DIST. ENTRE EIXOS 5170 MM</v>
      </c>
      <c r="D534" s="402" t="str">
        <f>VLOOKUP($B534,'COMPOSIÇÃO ESTRUTURAL'!$B:$G,6,FALSE)</f>
        <v>UN</v>
      </c>
      <c r="E534" s="297">
        <f>VLOOKUP($B534,'COMPOSIÇÃO ESTRUTURAL'!$B:$H,7,FALSE)</f>
        <v>4015.23</v>
      </c>
    </row>
    <row r="535" spans="2:5" ht="30">
      <c r="B535" s="402" t="s">
        <v>2036</v>
      </c>
      <c r="C535" s="296" t="str">
        <f>VLOOKUP($B535,'COMPOSIÇÃO ESTRUTURAL'!$B:$G,2,FALSE)</f>
        <v>DESMOBILIZAÇÃO DE PERFURATRIZ HIDRÁULICA SOBRE CAMINHÃO TRUCADO (C/ TERCEIRO EIXO) ELETRÔNICO - POTÊNCIA 231CV - PBT = 22000KG - DIST. ENTRE EIXOS 5170 MM</v>
      </c>
      <c r="D535" s="402" t="str">
        <f>VLOOKUP($B535,'COMPOSIÇÃO ESTRUTURAL'!$B:$G,6,FALSE)</f>
        <v>UN</v>
      </c>
      <c r="E535" s="297">
        <f>VLOOKUP($B535,'COMPOSIÇÃO ESTRUTURAL'!$B:$H,7,FALSE)</f>
        <v>4015.23</v>
      </c>
    </row>
    <row r="536" spans="2:5">
      <c r="B536" s="402" t="s">
        <v>2892</v>
      </c>
      <c r="C536" s="296" t="e">
        <f>VLOOKUP($B536,'COMPOSIÇÃO ESTRUTURAL'!$B:$G,2,FALSE)</f>
        <v>#N/A</v>
      </c>
      <c r="D536" s="402" t="e">
        <f>VLOOKUP($B536,'COMPOSIÇÃO ESTRUTURAL'!$B:$G,6,FALSE)</f>
        <v>#N/A</v>
      </c>
      <c r="E536" s="297" t="e">
        <f>VLOOKUP($B536,'COMPOSIÇÃO ESTRUTURAL'!$B:$H,7,FALSE)</f>
        <v>#N/A</v>
      </c>
    </row>
    <row r="537" spans="2:5">
      <c r="B537" s="402" t="s">
        <v>2893</v>
      </c>
      <c r="C537" s="296" t="e">
        <f>VLOOKUP($B537,'COMPOSIÇÃO ESTRUTURAL'!$B:$G,2,FALSE)</f>
        <v>#N/A</v>
      </c>
      <c r="D537" s="402" t="e">
        <f>VLOOKUP($B537,'COMPOSIÇÃO ESTRUTURAL'!$B:$G,6,FALSE)</f>
        <v>#N/A</v>
      </c>
      <c r="E537" s="297" t="e">
        <f>VLOOKUP($B537,'COMPOSIÇÃO ESTRUTURAL'!$B:$H,7,FALSE)</f>
        <v>#N/A</v>
      </c>
    </row>
    <row r="538" spans="2:5">
      <c r="B538" s="402" t="s">
        <v>2894</v>
      </c>
      <c r="C538" s="296" t="e">
        <f>VLOOKUP($B538,'COMPOSIÇÃO ESTRUTURAL'!$B:$G,2,FALSE)</f>
        <v>#N/A</v>
      </c>
      <c r="D538" s="402" t="e">
        <f>VLOOKUP($B538,'COMPOSIÇÃO ESTRUTURAL'!$B:$G,6,FALSE)</f>
        <v>#N/A</v>
      </c>
      <c r="E538" s="297" t="e">
        <f>VLOOKUP($B538,'COMPOSIÇÃO ESTRUTURAL'!$B:$H,7,FALSE)</f>
        <v>#N/A</v>
      </c>
    </row>
    <row r="539" spans="2:5">
      <c r="B539" s="402" t="s">
        <v>2895</v>
      </c>
      <c r="C539" s="296" t="e">
        <f>VLOOKUP($B539,'COMPOSIÇÃO ESTRUTURAL'!$B:$G,2,FALSE)</f>
        <v>#N/A</v>
      </c>
      <c r="D539" s="402" t="e">
        <f>VLOOKUP($B539,'COMPOSIÇÃO ESTRUTURAL'!$B:$G,6,FALSE)</f>
        <v>#N/A</v>
      </c>
      <c r="E539" s="297" t="e">
        <f>VLOOKUP($B539,'COMPOSIÇÃO ESTRUTURAL'!$B:$H,7,FALSE)</f>
        <v>#N/A</v>
      </c>
    </row>
    <row r="540" spans="2:5">
      <c r="B540" s="402" t="s">
        <v>2896</v>
      </c>
      <c r="C540" s="296" t="e">
        <f>VLOOKUP($B540,'COMPOSIÇÃO ESTRUTURAL'!$B:$G,2,FALSE)</f>
        <v>#N/A</v>
      </c>
      <c r="D540" s="402" t="e">
        <f>VLOOKUP($B540,'COMPOSIÇÃO ESTRUTURAL'!$B:$G,6,FALSE)</f>
        <v>#N/A</v>
      </c>
      <c r="E540" s="297" t="e">
        <f>VLOOKUP($B540,'COMPOSIÇÃO ESTRUTURAL'!$B:$H,7,FALSE)</f>
        <v>#N/A</v>
      </c>
    </row>
    <row r="541" spans="2:5">
      <c r="B541" s="402" t="s">
        <v>2897</v>
      </c>
      <c r="C541" s="296" t="e">
        <f>VLOOKUP($B541,'COMPOSIÇÃO ESTRUTURAL'!$B:$G,2,FALSE)</f>
        <v>#N/A</v>
      </c>
      <c r="D541" s="402" t="e">
        <f>VLOOKUP($B541,'COMPOSIÇÃO ESTRUTURAL'!$B:$G,6,FALSE)</f>
        <v>#N/A</v>
      </c>
      <c r="E541" s="297" t="e">
        <f>VLOOKUP($B541,'COMPOSIÇÃO ESTRUTURAL'!$B:$H,7,FALSE)</f>
        <v>#N/A</v>
      </c>
    </row>
    <row r="542" spans="2:5">
      <c r="B542" s="402" t="s">
        <v>2898</v>
      </c>
      <c r="C542" s="296" t="e">
        <f>VLOOKUP($B542,'COMPOSIÇÃO ESTRUTURAL'!$B:$G,2,FALSE)</f>
        <v>#N/A</v>
      </c>
      <c r="D542" s="402" t="e">
        <f>VLOOKUP($B542,'COMPOSIÇÃO ESTRUTURAL'!$B:$G,6,FALSE)</f>
        <v>#N/A</v>
      </c>
      <c r="E542" s="297" t="e">
        <f>VLOOKUP($B542,'COMPOSIÇÃO ESTRUTURAL'!$B:$H,7,FALSE)</f>
        <v>#N/A</v>
      </c>
    </row>
    <row r="543" spans="2:5">
      <c r="B543" s="402" t="s">
        <v>2899</v>
      </c>
      <c r="C543" s="296" t="e">
        <f>VLOOKUP($B543,'COMPOSIÇÃO ESTRUTURAL'!$B:$G,2,FALSE)</f>
        <v>#N/A</v>
      </c>
      <c r="D543" s="402" t="e">
        <f>VLOOKUP($B543,'COMPOSIÇÃO ESTRUTURAL'!$B:$G,6,FALSE)</f>
        <v>#N/A</v>
      </c>
      <c r="E543" s="297" t="e">
        <f>VLOOKUP($B543,'COMPOSIÇÃO ESTRUTURAL'!$B:$H,7,FALSE)</f>
        <v>#N/A</v>
      </c>
    </row>
    <row r="544" spans="2:5">
      <c r="B544" s="402" t="s">
        <v>2900</v>
      </c>
      <c r="C544" s="296" t="e">
        <f>VLOOKUP($B544,'COMPOSIÇÃO ESTRUTURAL'!$B:$G,2,FALSE)</f>
        <v>#N/A</v>
      </c>
      <c r="D544" s="402" t="e">
        <f>VLOOKUP($B544,'COMPOSIÇÃO ESTRUTURAL'!$B:$G,6,FALSE)</f>
        <v>#N/A</v>
      </c>
      <c r="E544" s="297" t="e">
        <f>VLOOKUP($B544,'COMPOSIÇÃO ESTRUTURAL'!$B:$H,7,FALSE)</f>
        <v>#N/A</v>
      </c>
    </row>
    <row r="545" spans="2:5">
      <c r="B545" s="402" t="s">
        <v>2901</v>
      </c>
      <c r="C545" s="296" t="e">
        <f>VLOOKUP($B545,'COMPOSIÇÃO ESTRUTURAL'!$B:$G,2,FALSE)</f>
        <v>#N/A</v>
      </c>
      <c r="D545" s="402" t="e">
        <f>VLOOKUP($B545,'COMPOSIÇÃO ESTRUTURAL'!$B:$G,6,FALSE)</f>
        <v>#N/A</v>
      </c>
      <c r="E545" s="297" t="e">
        <f>VLOOKUP($B545,'COMPOSIÇÃO ESTRUTURAL'!$B:$H,7,FALSE)</f>
        <v>#N/A</v>
      </c>
    </row>
    <row r="546" spans="2:5">
      <c r="B546" s="402" t="s">
        <v>2902</v>
      </c>
      <c r="C546" s="296" t="e">
        <f>VLOOKUP($B546,'COMPOSIÇÃO ESTRUTURAL'!$B:$G,2,FALSE)</f>
        <v>#N/A</v>
      </c>
      <c r="D546" s="402" t="e">
        <f>VLOOKUP($B546,'COMPOSIÇÃO ESTRUTURAL'!$B:$G,6,FALSE)</f>
        <v>#N/A</v>
      </c>
      <c r="E546" s="297" t="e">
        <f>VLOOKUP($B546,'COMPOSIÇÃO ESTRUTURAL'!$B:$H,7,FALSE)</f>
        <v>#N/A</v>
      </c>
    </row>
    <row r="547" spans="2:5">
      <c r="B547" s="402" t="s">
        <v>2903</v>
      </c>
      <c r="C547" s="296" t="e">
        <f>VLOOKUP($B547,'COMPOSIÇÃO ESTRUTURAL'!$B:$G,2,FALSE)</f>
        <v>#N/A</v>
      </c>
      <c r="D547" s="402" t="e">
        <f>VLOOKUP($B547,'COMPOSIÇÃO ESTRUTURAL'!$B:$G,6,FALSE)</f>
        <v>#N/A</v>
      </c>
      <c r="E547" s="297" t="e">
        <f>VLOOKUP($B547,'COMPOSIÇÃO ESTRUTURAL'!$B:$H,7,FALSE)</f>
        <v>#N/A</v>
      </c>
    </row>
    <row r="548" spans="2:5">
      <c r="B548" s="402" t="s">
        <v>2906</v>
      </c>
      <c r="C548" s="296" t="e">
        <f>VLOOKUP($B548,'COMPOSIÇÃO ESTRUTURAL'!$B:$G,2,FALSE)</f>
        <v>#N/A</v>
      </c>
      <c r="D548" s="402" t="e">
        <f>VLOOKUP($B548,'COMPOSIÇÃO ESTRUTURAL'!$B:$G,6,FALSE)</f>
        <v>#N/A</v>
      </c>
      <c r="E548" s="297" t="e">
        <f>VLOOKUP($B548,'COMPOSIÇÃO ESTRUTURAL'!$B:$H,7,FALSE)</f>
        <v>#N/A</v>
      </c>
    </row>
    <row r="549" spans="2:5">
      <c r="B549" s="402" t="s">
        <v>2907</v>
      </c>
      <c r="C549" s="296" t="e">
        <f>VLOOKUP($B549,'COMPOSIÇÃO ESTRUTURAL'!$B:$G,2,FALSE)</f>
        <v>#N/A</v>
      </c>
      <c r="D549" s="402" t="e">
        <f>VLOOKUP($B549,'COMPOSIÇÃO ESTRUTURAL'!$B:$G,6,FALSE)</f>
        <v>#N/A</v>
      </c>
      <c r="E549" s="297" t="e">
        <f>VLOOKUP($B549,'COMPOSIÇÃO ESTRUTURAL'!$B:$H,7,FALSE)</f>
        <v>#N/A</v>
      </c>
    </row>
    <row r="550" spans="2:5">
      <c r="B550" s="402" t="s">
        <v>2908</v>
      </c>
      <c r="C550" s="296" t="e">
        <f>VLOOKUP($B550,'COMPOSIÇÃO ESTRUTURAL'!$B:$G,2,FALSE)</f>
        <v>#N/A</v>
      </c>
      <c r="D550" s="402" t="e">
        <f>VLOOKUP($B550,'COMPOSIÇÃO ESTRUTURAL'!$B:$G,6,FALSE)</f>
        <v>#N/A</v>
      </c>
      <c r="E550" s="297" t="e">
        <f>VLOOKUP($B550,'COMPOSIÇÃO ESTRUTURAL'!$B:$H,7,FALSE)</f>
        <v>#N/A</v>
      </c>
    </row>
    <row r="551" spans="2:5">
      <c r="B551" s="402" t="s">
        <v>2909</v>
      </c>
      <c r="C551" s="296" t="e">
        <f>VLOOKUP($B551,'COMPOSIÇÃO ESTRUTURAL'!$B:$G,2,FALSE)</f>
        <v>#N/A</v>
      </c>
      <c r="D551" s="402" t="e">
        <f>VLOOKUP($B551,'COMPOSIÇÃO ESTRUTURAL'!$B:$G,6,FALSE)</f>
        <v>#N/A</v>
      </c>
      <c r="E551" s="297" t="e">
        <f>VLOOKUP($B551,'COMPOSIÇÃO ESTRUTURAL'!$B:$H,7,FALSE)</f>
        <v>#N/A</v>
      </c>
    </row>
    <row r="552" spans="2:5">
      <c r="B552" s="402" t="s">
        <v>2910</v>
      </c>
      <c r="C552" s="296" t="e">
        <f>VLOOKUP($B552,'COMPOSIÇÃO ESTRUTURAL'!$B:$G,2,FALSE)</f>
        <v>#N/A</v>
      </c>
      <c r="D552" s="402" t="e">
        <f>VLOOKUP($B552,'COMPOSIÇÃO ESTRUTURAL'!$B:$G,6,FALSE)</f>
        <v>#N/A</v>
      </c>
      <c r="E552" s="297" t="e">
        <f>VLOOKUP($B552,'COMPOSIÇÃO ESTRUTURAL'!$B:$H,7,FALSE)</f>
        <v>#N/A</v>
      </c>
    </row>
    <row r="553" spans="2:5">
      <c r="B553" s="402" t="s">
        <v>2911</v>
      </c>
      <c r="C553" s="296" t="e">
        <f>VLOOKUP($B553,'COMPOSIÇÃO ESTRUTURAL'!$B:$G,2,FALSE)</f>
        <v>#N/A</v>
      </c>
      <c r="D553" s="402" t="e">
        <f>VLOOKUP($B553,'COMPOSIÇÃO ESTRUTURAL'!$B:$G,6,FALSE)</f>
        <v>#N/A</v>
      </c>
      <c r="E553" s="297" t="e">
        <f>VLOOKUP($B553,'COMPOSIÇÃO ESTRUTURAL'!$B:$H,7,FALSE)</f>
        <v>#N/A</v>
      </c>
    </row>
    <row r="554" spans="2:5">
      <c r="B554" s="402" t="s">
        <v>2912</v>
      </c>
      <c r="C554" s="296" t="e">
        <f>VLOOKUP($B554,'COMPOSIÇÃO ESTRUTURAL'!$B:$G,2,FALSE)</f>
        <v>#N/A</v>
      </c>
      <c r="D554" s="402" t="e">
        <f>VLOOKUP($B554,'COMPOSIÇÃO ESTRUTURAL'!$B:$G,6,FALSE)</f>
        <v>#N/A</v>
      </c>
      <c r="E554" s="297" t="e">
        <f>VLOOKUP($B554,'COMPOSIÇÃO ESTRUTURAL'!$B:$H,7,FALSE)</f>
        <v>#N/A</v>
      </c>
    </row>
    <row r="555" spans="2:5">
      <c r="B555" s="402" t="s">
        <v>2913</v>
      </c>
      <c r="C555" s="296" t="e">
        <f>VLOOKUP($B555,'COMPOSIÇÃO ESTRUTURAL'!$B:$G,2,FALSE)</f>
        <v>#N/A</v>
      </c>
      <c r="D555" s="402" t="e">
        <f>VLOOKUP($B555,'COMPOSIÇÃO ESTRUTURAL'!$B:$G,6,FALSE)</f>
        <v>#N/A</v>
      </c>
      <c r="E555" s="297" t="e">
        <f>VLOOKUP($B555,'COMPOSIÇÃO ESTRUTURAL'!$B:$H,7,FALSE)</f>
        <v>#N/A</v>
      </c>
    </row>
    <row r="556" spans="2:5">
      <c r="B556" s="402" t="s">
        <v>2914</v>
      </c>
      <c r="C556" s="296" t="e">
        <f>VLOOKUP($B556,'COMPOSIÇÃO ESTRUTURAL'!$B:$G,2,FALSE)</f>
        <v>#N/A</v>
      </c>
      <c r="D556" s="402" t="e">
        <f>VLOOKUP($B556,'COMPOSIÇÃO ESTRUTURAL'!$B:$G,6,FALSE)</f>
        <v>#N/A</v>
      </c>
      <c r="E556" s="297" t="e">
        <f>VLOOKUP($B556,'COMPOSIÇÃO ESTRUTURAL'!$B:$H,7,FALSE)</f>
        <v>#N/A</v>
      </c>
    </row>
    <row r="557" spans="2:5">
      <c r="B557" s="402" t="s">
        <v>2915</v>
      </c>
      <c r="C557" s="296" t="e">
        <f>VLOOKUP($B557,'COMPOSIÇÃO ESTRUTURAL'!$B:$G,2,FALSE)</f>
        <v>#N/A</v>
      </c>
      <c r="D557" s="402" t="e">
        <f>VLOOKUP($B557,'COMPOSIÇÃO ESTRUTURAL'!$B:$G,6,FALSE)</f>
        <v>#N/A</v>
      </c>
      <c r="E557" s="297" t="e">
        <f>VLOOKUP($B557,'COMPOSIÇÃO ESTRUTURAL'!$B:$H,7,FALSE)</f>
        <v>#N/A</v>
      </c>
    </row>
    <row r="558" spans="2:5">
      <c r="B558" s="402" t="s">
        <v>2916</v>
      </c>
      <c r="C558" s="296" t="e">
        <f>VLOOKUP($B558,'COMPOSIÇÃO ESTRUTURAL'!$B:$G,2,FALSE)</f>
        <v>#N/A</v>
      </c>
      <c r="D558" s="402" t="e">
        <f>VLOOKUP($B558,'COMPOSIÇÃO ESTRUTURAL'!$B:$G,6,FALSE)</f>
        <v>#N/A</v>
      </c>
      <c r="E558" s="297" t="e">
        <f>VLOOKUP($B558,'COMPOSIÇÃO ESTRUTURAL'!$B:$H,7,FALSE)</f>
        <v>#N/A</v>
      </c>
    </row>
    <row r="559" spans="2:5">
      <c r="B559" s="402" t="s">
        <v>2917</v>
      </c>
      <c r="C559" s="296" t="e">
        <f>VLOOKUP($B559,'COMPOSIÇÃO ESTRUTURAL'!$B:$G,2,FALSE)</f>
        <v>#N/A</v>
      </c>
      <c r="D559" s="402" t="e">
        <f>VLOOKUP($B559,'COMPOSIÇÃO ESTRUTURAL'!$B:$G,6,FALSE)</f>
        <v>#N/A</v>
      </c>
      <c r="E559" s="297" t="e">
        <f>VLOOKUP($B559,'COMPOSIÇÃO ESTRUTURAL'!$B:$H,7,FALSE)</f>
        <v>#N/A</v>
      </c>
    </row>
    <row r="560" spans="2:5">
      <c r="B560" s="402" t="s">
        <v>2918</v>
      </c>
      <c r="C560" s="296" t="e">
        <f>VLOOKUP($B560,'COMPOSIÇÃO ESTRUTURAL'!$B:$G,2,FALSE)</f>
        <v>#N/A</v>
      </c>
      <c r="D560" s="402" t="e">
        <f>VLOOKUP($B560,'COMPOSIÇÃO ESTRUTURAL'!$B:$G,6,FALSE)</f>
        <v>#N/A</v>
      </c>
      <c r="E560" s="297" t="e">
        <f>VLOOKUP($B560,'COMPOSIÇÃO ESTRUTURAL'!$B:$H,7,FALSE)</f>
        <v>#N/A</v>
      </c>
    </row>
    <row r="561" spans="2:5">
      <c r="B561" s="402" t="s">
        <v>2919</v>
      </c>
      <c r="C561" s="296" t="e">
        <f>VLOOKUP($B561,'COMPOSIÇÃO ESTRUTURAL'!$B:$G,2,FALSE)</f>
        <v>#N/A</v>
      </c>
      <c r="D561" s="402" t="e">
        <f>VLOOKUP($B561,'COMPOSIÇÃO ESTRUTURAL'!$B:$G,6,FALSE)</f>
        <v>#N/A</v>
      </c>
      <c r="E561" s="297" t="e">
        <f>VLOOKUP($B561,'COMPOSIÇÃO ESTRUTURAL'!$B:$H,7,FALSE)</f>
        <v>#N/A</v>
      </c>
    </row>
    <row r="562" spans="2:5">
      <c r="B562" s="402" t="s">
        <v>2920</v>
      </c>
      <c r="C562" s="296" t="e">
        <f>VLOOKUP($B562,'COMPOSIÇÃO ESTRUTURAL'!$B:$G,2,FALSE)</f>
        <v>#N/A</v>
      </c>
      <c r="D562" s="402" t="e">
        <f>VLOOKUP($B562,'COMPOSIÇÃO ESTRUTURAL'!$B:$G,6,FALSE)</f>
        <v>#N/A</v>
      </c>
      <c r="E562" s="297" t="e">
        <f>VLOOKUP($B562,'COMPOSIÇÃO ESTRUTURAL'!$B:$H,7,FALSE)</f>
        <v>#N/A</v>
      </c>
    </row>
    <row r="563" spans="2:5">
      <c r="B563" s="402" t="s">
        <v>4506</v>
      </c>
      <c r="C563" s="296" t="e">
        <f>VLOOKUP($B563,'COMPOSIÇÃO ESTRUTURAL'!$B:$G,2,FALSE)</f>
        <v>#N/A</v>
      </c>
      <c r="D563" s="402" t="e">
        <f>VLOOKUP($B563,'COMPOSIÇÃO ESTRUTURAL'!$B:$G,6,FALSE)</f>
        <v>#N/A</v>
      </c>
      <c r="E563" s="297" t="e">
        <f>VLOOKUP($B563,'COMPOSIÇÃO ESTRUTURAL'!$B:$H,7,FALSE)</f>
        <v>#N/A</v>
      </c>
    </row>
    <row r="564" spans="2:5" ht="15.75" thickBot="1"/>
    <row r="565" spans="2:5" ht="16.5" thickBot="1">
      <c r="B565" s="79" t="s">
        <v>2904</v>
      </c>
      <c r="C565" s="80" t="s">
        <v>3523</v>
      </c>
      <c r="D565" s="82" t="s">
        <v>30</v>
      </c>
      <c r="E565" s="83" t="s">
        <v>31</v>
      </c>
    </row>
    <row r="566" spans="2:5">
      <c r="B566" s="402" t="s">
        <v>3524</v>
      </c>
      <c r="C566" s="296" t="e">
        <f>VLOOKUP($B566,#REF!,2,FALSE)</f>
        <v>#REF!</v>
      </c>
      <c r="D566" s="296" t="e">
        <f>VLOOKUP($B566,#REF!,6,FALSE)</f>
        <v>#REF!</v>
      </c>
      <c r="E566" s="297" t="e">
        <f>VLOOKUP($B566,#REF!,7,FALSE)</f>
        <v>#REF!</v>
      </c>
    </row>
    <row r="567" spans="2:5">
      <c r="B567" s="402" t="s">
        <v>3525</v>
      </c>
      <c r="C567" s="296" t="e">
        <f>VLOOKUP($B567,#REF!,2,FALSE)</f>
        <v>#REF!</v>
      </c>
      <c r="D567" s="296" t="e">
        <f>VLOOKUP($B567,#REF!,6,FALSE)</f>
        <v>#REF!</v>
      </c>
      <c r="E567" s="297" t="e">
        <f>VLOOKUP($B567,#REF!,7,FALSE)</f>
        <v>#REF!</v>
      </c>
    </row>
    <row r="568" spans="2:5">
      <c r="B568" s="402" t="s">
        <v>3526</v>
      </c>
      <c r="C568" s="296" t="e">
        <f>VLOOKUP($B568,#REF!,2,FALSE)</f>
        <v>#REF!</v>
      </c>
      <c r="D568" s="296" t="e">
        <f>VLOOKUP($B568,#REF!,6,FALSE)</f>
        <v>#REF!</v>
      </c>
      <c r="E568" s="297" t="e">
        <f>VLOOKUP($B568,#REF!,7,FALSE)</f>
        <v>#REF!</v>
      </c>
    </row>
    <row r="569" spans="2:5">
      <c r="B569" s="402" t="s">
        <v>3527</v>
      </c>
      <c r="C569" s="296" t="e">
        <f>VLOOKUP($B569,#REF!,2,FALSE)</f>
        <v>#REF!</v>
      </c>
      <c r="D569" s="296" t="e">
        <f>VLOOKUP($B569,#REF!,6,FALSE)</f>
        <v>#REF!</v>
      </c>
      <c r="E569" s="297" t="e">
        <f>VLOOKUP($B569,#REF!,7,FALSE)</f>
        <v>#REF!</v>
      </c>
    </row>
    <row r="570" spans="2:5">
      <c r="B570" s="402" t="s">
        <v>3528</v>
      </c>
      <c r="C570" s="296" t="e">
        <f>VLOOKUP($B570,#REF!,2,FALSE)</f>
        <v>#REF!</v>
      </c>
      <c r="D570" s="296" t="e">
        <f>VLOOKUP($B570,#REF!,6,FALSE)</f>
        <v>#REF!</v>
      </c>
      <c r="E570" s="297" t="e">
        <f>VLOOKUP($B570,#REF!,7,FALSE)</f>
        <v>#REF!</v>
      </c>
    </row>
    <row r="571" spans="2:5">
      <c r="B571" s="402" t="s">
        <v>3529</v>
      </c>
      <c r="C571" s="296" t="e">
        <f>VLOOKUP($B571,#REF!,2,FALSE)</f>
        <v>#REF!</v>
      </c>
      <c r="D571" s="296" t="e">
        <f>VLOOKUP($B571,#REF!,6,FALSE)</f>
        <v>#REF!</v>
      </c>
      <c r="E571" s="297" t="e">
        <f>VLOOKUP($B571,#REF!,7,FALSE)</f>
        <v>#REF!</v>
      </c>
    </row>
    <row r="572" spans="2:5">
      <c r="B572" s="402" t="s">
        <v>3530</v>
      </c>
      <c r="C572" s="296" t="e">
        <f>VLOOKUP($B572,#REF!,2,FALSE)</f>
        <v>#REF!</v>
      </c>
      <c r="D572" s="296" t="e">
        <f>VLOOKUP($B572,#REF!,6,FALSE)</f>
        <v>#REF!</v>
      </c>
      <c r="E572" s="297" t="e">
        <f>VLOOKUP($B572,#REF!,7,FALSE)</f>
        <v>#REF!</v>
      </c>
    </row>
    <row r="573" spans="2:5">
      <c r="B573" s="402" t="s">
        <v>3531</v>
      </c>
      <c r="C573" s="296" t="e">
        <f>VLOOKUP($B573,#REF!,2,FALSE)</f>
        <v>#REF!</v>
      </c>
      <c r="D573" s="296" t="e">
        <f>VLOOKUP($B573,#REF!,6,FALSE)</f>
        <v>#REF!</v>
      </c>
      <c r="E573" s="297" t="e">
        <f>VLOOKUP($B573,#REF!,7,FALSE)</f>
        <v>#REF!</v>
      </c>
    </row>
    <row r="574" spans="2:5">
      <c r="B574" s="402" t="s">
        <v>3532</v>
      </c>
      <c r="C574" s="296" t="e">
        <f>VLOOKUP($B574,#REF!,2,FALSE)</f>
        <v>#REF!</v>
      </c>
      <c r="D574" s="296" t="e">
        <f>VLOOKUP($B574,#REF!,6,FALSE)</f>
        <v>#REF!</v>
      </c>
      <c r="E574" s="297" t="e">
        <f>VLOOKUP($B574,#REF!,7,FALSE)</f>
        <v>#REF!</v>
      </c>
    </row>
    <row r="575" spans="2:5">
      <c r="B575" s="402" t="s">
        <v>3533</v>
      </c>
      <c r="C575" s="296" t="e">
        <f>VLOOKUP($B575,#REF!,2,FALSE)</f>
        <v>#REF!</v>
      </c>
      <c r="D575" s="296" t="e">
        <f>VLOOKUP($B575,#REF!,6,FALSE)</f>
        <v>#REF!</v>
      </c>
      <c r="E575" s="297" t="e">
        <f>VLOOKUP($B575,#REF!,7,FALSE)</f>
        <v>#REF!</v>
      </c>
    </row>
    <row r="576" spans="2:5">
      <c r="B576" s="402" t="s">
        <v>3534</v>
      </c>
      <c r="C576" s="296" t="e">
        <f>VLOOKUP($B576,#REF!,2,FALSE)</f>
        <v>#REF!</v>
      </c>
      <c r="D576" s="296" t="e">
        <f>VLOOKUP($B576,#REF!,6,FALSE)</f>
        <v>#REF!</v>
      </c>
      <c r="E576" s="297" t="e">
        <f>VLOOKUP($B576,#REF!,7,FALSE)</f>
        <v>#REF!</v>
      </c>
    </row>
    <row r="577" spans="2:5">
      <c r="B577" s="402" t="s">
        <v>3535</v>
      </c>
      <c r="C577" s="296" t="e">
        <f>VLOOKUP($B577,#REF!,2,FALSE)</f>
        <v>#REF!</v>
      </c>
      <c r="D577" s="296" t="e">
        <f>VLOOKUP($B577,#REF!,6,FALSE)</f>
        <v>#REF!</v>
      </c>
      <c r="E577" s="297" t="e">
        <f>VLOOKUP($B577,#REF!,7,FALSE)</f>
        <v>#REF!</v>
      </c>
    </row>
    <row r="578" spans="2:5">
      <c r="B578" s="402" t="s">
        <v>3536</v>
      </c>
      <c r="C578" s="296" t="e">
        <f>VLOOKUP($B578,#REF!,2,FALSE)</f>
        <v>#REF!</v>
      </c>
      <c r="D578" s="296" t="e">
        <f>VLOOKUP($B578,#REF!,6,FALSE)</f>
        <v>#REF!</v>
      </c>
      <c r="E578" s="297" t="e">
        <f>VLOOKUP($B578,#REF!,7,FALSE)</f>
        <v>#REF!</v>
      </c>
    </row>
    <row r="579" spans="2:5">
      <c r="B579" s="402" t="s">
        <v>3537</v>
      </c>
      <c r="C579" s="296" t="e">
        <f>VLOOKUP($B579,#REF!,2,FALSE)</f>
        <v>#REF!</v>
      </c>
      <c r="D579" s="296" t="e">
        <f>VLOOKUP($B579,#REF!,6,FALSE)</f>
        <v>#REF!</v>
      </c>
      <c r="E579" s="297" t="e">
        <f>VLOOKUP($B579,#REF!,7,FALSE)</f>
        <v>#REF!</v>
      </c>
    </row>
    <row r="580" spans="2:5">
      <c r="B580" s="402" t="s">
        <v>3538</v>
      </c>
      <c r="C580" s="296" t="e">
        <f>VLOOKUP($B580,#REF!,2,FALSE)</f>
        <v>#REF!</v>
      </c>
      <c r="D580" s="296" t="e">
        <f>VLOOKUP($B580,#REF!,6,FALSE)</f>
        <v>#REF!</v>
      </c>
      <c r="E580" s="297" t="e">
        <f>VLOOKUP($B580,#REF!,7,FALSE)</f>
        <v>#REF!</v>
      </c>
    </row>
    <row r="581" spans="2:5">
      <c r="B581" s="402" t="s">
        <v>3539</v>
      </c>
      <c r="C581" s="296" t="e">
        <f>VLOOKUP($B581,#REF!,2,FALSE)</f>
        <v>#REF!</v>
      </c>
      <c r="D581" s="296" t="e">
        <f>VLOOKUP($B581,#REF!,6,FALSE)</f>
        <v>#REF!</v>
      </c>
      <c r="E581" s="297" t="e">
        <f>VLOOKUP($B581,#REF!,7,FALSE)</f>
        <v>#REF!</v>
      </c>
    </row>
    <row r="582" spans="2:5">
      <c r="B582" s="402" t="s">
        <v>3540</v>
      </c>
      <c r="C582" s="296" t="e">
        <f>VLOOKUP($B582,#REF!,2,FALSE)</f>
        <v>#REF!</v>
      </c>
      <c r="D582" s="296" t="e">
        <f>VLOOKUP($B582,#REF!,6,FALSE)</f>
        <v>#REF!</v>
      </c>
      <c r="E582" s="297" t="e">
        <f>VLOOKUP($B582,#REF!,7,FALSE)</f>
        <v>#REF!</v>
      </c>
    </row>
    <row r="583" spans="2:5">
      <c r="B583" s="402" t="s">
        <v>3541</v>
      </c>
      <c r="C583" s="296" t="e">
        <f>VLOOKUP($B583,'COMPOSIÇÃO ESTRUTURAL'!$B:$G,2,FALSE)</f>
        <v>#N/A</v>
      </c>
      <c r="D583" s="402" t="e">
        <f>VLOOKUP($B583,'COMPOSIÇÃO ESTRUTURAL'!$B:$G,6,FALSE)</f>
        <v>#N/A</v>
      </c>
      <c r="E583" s="297" t="e">
        <f>VLOOKUP($B583,'COMPOSIÇÃO ESTRUTURAL'!$B:$H,7,FALSE)</f>
        <v>#N/A</v>
      </c>
    </row>
    <row r="584" spans="2:5">
      <c r="B584" s="402" t="s">
        <v>3542</v>
      </c>
      <c r="C584" s="296" t="e">
        <f>VLOOKUP($B584,'COMPOSIÇÃO ESTRUTURAL'!$B:$G,2,FALSE)</f>
        <v>#N/A</v>
      </c>
      <c r="D584" s="402" t="e">
        <f>VLOOKUP($B584,'COMPOSIÇÃO ESTRUTURAL'!$B:$G,6,FALSE)</f>
        <v>#N/A</v>
      </c>
      <c r="E584" s="297" t="e">
        <f>VLOOKUP($B584,'COMPOSIÇÃO ESTRUTURAL'!$B:$H,7,FALSE)</f>
        <v>#N/A</v>
      </c>
    </row>
    <row r="585" spans="2:5">
      <c r="B585" s="402" t="s">
        <v>3543</v>
      </c>
      <c r="C585" s="296" t="e">
        <f>VLOOKUP($B585,'COMPOSIÇÃO ESTRUTURAL'!$B:$G,2,FALSE)</f>
        <v>#N/A</v>
      </c>
      <c r="D585" s="402" t="e">
        <f>VLOOKUP($B585,'COMPOSIÇÃO ESTRUTURAL'!$B:$G,6,FALSE)</f>
        <v>#N/A</v>
      </c>
      <c r="E585" s="297" t="e">
        <f>VLOOKUP($B585,'COMPOSIÇÃO ESTRUTURAL'!$B:$H,7,FALSE)</f>
        <v>#N/A</v>
      </c>
    </row>
    <row r="586" spans="2:5" ht="15.75" thickBot="1"/>
    <row r="587" spans="2:5" ht="16.5" thickBot="1">
      <c r="B587" s="79" t="s">
        <v>2904</v>
      </c>
      <c r="C587" s="80" t="s">
        <v>6802</v>
      </c>
      <c r="D587" s="82" t="s">
        <v>30</v>
      </c>
      <c r="E587" s="83" t="s">
        <v>31</v>
      </c>
    </row>
    <row r="588" spans="2:5">
      <c r="B588" s="402" t="s">
        <v>6803</v>
      </c>
      <c r="C588" s="296" t="str">
        <f>VLOOKUP($B588,'COMP SAA'!$B:$G,2,FALSE)</f>
        <v>FORNECIMENTO E INSTALAÇÃO DE ADESIVO DA LOGOMARCA DO ÓRGÃO FINANCIADOR PARA O RESERVATÓRIO 2,0 M X 1,5 M</v>
      </c>
      <c r="D588" s="402" t="str">
        <f>VLOOKUP($B588,'COMP SAA'!$B:$G,6,FALSE)</f>
        <v>UN</v>
      </c>
      <c r="E588" s="344">
        <f>VLOOKUP($B588,'COMP SAA'!$B:$H,7,FALSE)</f>
        <v>380</v>
      </c>
    </row>
    <row r="589" spans="2:5">
      <c r="B589" s="402" t="s">
        <v>6804</v>
      </c>
      <c r="C589" s="296" t="str">
        <f>VLOOKUP($B589,'COMP SAA'!$B:$G,2,FALSE)</f>
        <v>ELABORAÇÃO DE CADASTRO DE REDE INCLUSIVE DESENHISTA</v>
      </c>
      <c r="D589" s="402" t="str">
        <f>VLOOKUP($B589,'COMP SAA'!$B:$G,6,FALSE)</f>
        <v>M</v>
      </c>
      <c r="E589" s="344">
        <f>VLOOKUP($B589,'COMP SAA'!$B:$H,7,FALSE)</f>
        <v>0.84000000000000008</v>
      </c>
    </row>
    <row r="590" spans="2:5">
      <c r="B590" s="402" t="s">
        <v>6805</v>
      </c>
      <c r="C590" s="296" t="str">
        <f>VLOOKUP($B590,'COMP SAA'!$B:$G,2,FALSE)</f>
        <v>ELABORAÇÃO DE CADASTRO LIGAÇÕES PREDIAIS, INCLUSIVE DESENHISTA</v>
      </c>
      <c r="D590" s="402" t="str">
        <f>VLOOKUP($B590,'COMP SAA'!$B:$G,6,FALSE)</f>
        <v xml:space="preserve">UN </v>
      </c>
      <c r="E590" s="344">
        <f>VLOOKUP($B590,'COMP SAA'!$B:$H,7,FALSE)</f>
        <v>6.29</v>
      </c>
    </row>
    <row r="591" spans="2:5" ht="30">
      <c r="B591" s="402" t="s">
        <v>6806</v>
      </c>
      <c r="C591" s="296" t="str">
        <f>VLOOKUP($B591,'COMP SAA'!$B:$G,2,FALSE)</f>
        <v>KIT CAVALETE PARA MEDIÇÃO DE ÁGUA COM TUBETE - ENTRADA PRINCIPAL, EM PVC SOLDÁVEL DN 25 (¾")   FORNECIMENTO E INSTALAÇÃO (EXCLUSIVE HIDRÔMETRO). AF_11/2016</v>
      </c>
      <c r="D591" s="402" t="str">
        <f>VLOOKUP($B591,'COMP SAA'!$B:$G,6,FALSE)</f>
        <v>UN</v>
      </c>
      <c r="E591" s="344">
        <f>VLOOKUP($B591,'COMP SAA'!$B:$H,7,FALSE)</f>
        <v>286.56</v>
      </c>
    </row>
    <row r="592" spans="2:5">
      <c r="B592" s="402" t="s">
        <v>6807</v>
      </c>
      <c r="C592" s="296" t="str">
        <f>VLOOKUP($B592,'COMP SAA'!$B:$G,2,FALSE)</f>
        <v>RAMAL DE LIGAÇÃO DE ÁGUA (REDE DE DISTRIBUIÇÃO À FACHADA DO LOTE)</v>
      </c>
      <c r="D592" s="402" t="str">
        <f>VLOOKUP($B592,'COMP SAA'!$B:$G,6,FALSE)</f>
        <v>UN</v>
      </c>
      <c r="E592" s="344">
        <f>VLOOKUP($B592,'COMP SAA'!$B:$H,7,FALSE)</f>
        <v>212.98</v>
      </c>
    </row>
    <row r="593" spans="2:5" ht="45">
      <c r="B593" s="402" t="s">
        <v>6808</v>
      </c>
      <c r="C593" s="296" t="str">
        <f>VLOOKUP($B593,'COMP SAA'!$B:$G,2,FALSE)</f>
        <v>FORNECIMENTO E INSTALAÇÃO DE RESERVATÓRIO METÁLICO TIPO TAÇA COLUNA SECA COM CAPACIDADE UTIL DE 150 M³, COM DRENO PARA LIMPEZA,  RESPIRO, BOCA DE VISITA, ESCADA INTERNA, ESCADA EXTERNA TIPO MARINHEIRO COM GUARDA CORPO, SUPORTE PARA PARA-RAIO E ISOLADORES E FRETE</v>
      </c>
      <c r="D593" s="402" t="str">
        <f>VLOOKUP($B593,'COMP SAA'!$B:$G,6,FALSE)</f>
        <v>UN</v>
      </c>
      <c r="E593" s="344">
        <f>VLOOKUP($B593,'COMP SAA'!$B:$H,7,FALSE)</f>
        <v>327900</v>
      </c>
    </row>
    <row r="594" spans="2:5">
      <c r="B594" s="402" t="s">
        <v>6809</v>
      </c>
      <c r="C594" s="296" t="str">
        <f>VLOOKUP($B594,'COMP SAA'!$B:$G,2,FALSE)</f>
        <v>TRANSPORTE DO RESERVATÓRIO ATÉ O LOCAL DA OBRA</v>
      </c>
      <c r="D594" s="402" t="str">
        <f>VLOOKUP($B594,'COMP SAA'!$B:$G,6,FALSE)</f>
        <v>UN</v>
      </c>
      <c r="E594" s="344">
        <f>VLOOKUP($B594,'COMP SAA'!$B:$H,7,FALSE)</f>
        <v>6008.5</v>
      </c>
    </row>
    <row r="595" spans="2:5" ht="30">
      <c r="B595" s="402" t="s">
        <v>6810</v>
      </c>
      <c r="C595" s="296" t="str">
        <f>VLOOKUP($B595,'COMP SAA'!$B:$G,2,FALSE)</f>
        <v>FORNECIMENTO E ASSENTAMENTO DE MATERIAIS HIDRÁULICOS DA ADUTORA DE ÁGUA TRATADA ATÉ A ENTRADA DO RESERVATÓRIO</v>
      </c>
      <c r="D595" s="402" t="str">
        <f>VLOOKUP($B595,'COMP SAA'!$B:$G,6,FALSE)</f>
        <v xml:space="preserve">UN </v>
      </c>
      <c r="E595" s="344">
        <f>VLOOKUP($B595,'COMP SAA'!$B:$H,7,FALSE)</f>
        <v>37753.47</v>
      </c>
    </row>
    <row r="596" spans="2:5">
      <c r="B596" s="402" t="s">
        <v>6811</v>
      </c>
      <c r="C596" s="296" t="str">
        <f>VLOOKUP($B596,'COMP SAA'!$B:$G,2,FALSE)</f>
        <v>ASSENTAMENTO DE CONEXÕES DE PVC DEFOFO, JUNTA ELÁSTICA, DIAM.= 150 MM</v>
      </c>
      <c r="D596" s="402">
        <f>VLOOKUP($B596,'COMP SAA'!$B:$G,6,FALSE)</f>
        <v>13.74</v>
      </c>
      <c r="E596" s="344">
        <f>VLOOKUP($B596,'COMP SAA'!$B:$H,7,FALSE)</f>
        <v>0</v>
      </c>
    </row>
    <row r="597" spans="2:5">
      <c r="B597" s="402" t="s">
        <v>6812</v>
      </c>
      <c r="C597" s="296" t="str">
        <f>VLOOKUP($B597,'COMP SAA'!$B:$G,2,FALSE)</f>
        <v>FORNECIMENTO E ASSENTAMENTO DE MATERIAIS HIDRÁULICOS EXTRAVASOR DO RESERVATÓRIO</v>
      </c>
      <c r="D597" s="402" t="str">
        <f>VLOOKUP($B597,'COMP SAA'!$B:$G,6,FALSE)</f>
        <v xml:space="preserve">UN </v>
      </c>
      <c r="E597" s="344">
        <f>VLOOKUP($B597,'COMP SAA'!$B:$H,7,FALSE)</f>
        <v>1175.22</v>
      </c>
    </row>
    <row r="598" spans="2:5">
      <c r="B598" s="402" t="s">
        <v>6813</v>
      </c>
      <c r="C598" s="296" t="str">
        <f>VLOOKUP($B598,'COMP SAA'!$B:$G,2,FALSE)</f>
        <v>FORNECIMENTO E ASSENTAMENTO DE MATERIAIS HIDRÁULICOS DO RESERVATÓRIO A REDE DE DISTRIBUIÇÃO</v>
      </c>
      <c r="D598" s="402" t="str">
        <f>VLOOKUP($B598,'COMP SAA'!$B:$G,6,FALSE)</f>
        <v xml:space="preserve">UN </v>
      </c>
      <c r="E598" s="344">
        <f>VLOOKUP($B598,'COMP SAA'!$B:$H,7,FALSE)</f>
        <v>16989.43</v>
      </c>
    </row>
    <row r="599" spans="2:5">
      <c r="B599" s="402" t="s">
        <v>6814</v>
      </c>
      <c r="C599" s="296" t="str">
        <f>VLOOKUP($B599,'COMP SAA'!$B:$G,2,FALSE)</f>
        <v>FORNECIMENTO E ASSENTAMENTO DE TUBO PVC PBA JEI, CLASSE 12, DN 50MM, PARA REDE DE ÁGUA</v>
      </c>
      <c r="D599" s="402" t="str">
        <f>VLOOKUP($B599,'COMP SAA'!$B:$G,6,FALSE)</f>
        <v>M</v>
      </c>
      <c r="E599" s="344">
        <f>VLOOKUP($B599,'COMP SAA'!$B:$H,7,FALSE)</f>
        <v>18.36</v>
      </c>
    </row>
    <row r="600" spans="2:5">
      <c r="B600" s="402" t="s">
        <v>6815</v>
      </c>
      <c r="C600" s="296" t="str">
        <f>VLOOKUP($B600,'COMP SAA'!$B:$G,2,FALSE)</f>
        <v>FORNECIMENTO E ASSENTAMENTO DE TUBO PVC PBA JEI, CLASSE 12, DN 100MM, PARA REDE DE ÁGUA</v>
      </c>
      <c r="D600" s="402" t="str">
        <f>VLOOKUP($B600,'COMP SAA'!$B:$G,6,FALSE)</f>
        <v>M</v>
      </c>
      <c r="E600" s="344">
        <f>VLOOKUP($B600,'COMP SAA'!$B:$H,7,FALSE)</f>
        <v>60.82</v>
      </c>
    </row>
    <row r="601" spans="2:5">
      <c r="B601" s="402" t="s">
        <v>6816</v>
      </c>
      <c r="C601" s="296" t="str">
        <f>VLOOKUP($B601,'COMP SAA'!$B:$G,2,FALSE)</f>
        <v>FORNECIMENTO E ASSENTAMENTO DE MATERIAIS HIDRÁULICOS DA REDE DE DISTRIBUIÇÃO DE ÁGUA</v>
      </c>
      <c r="D601" s="402" t="str">
        <f>VLOOKUP($B601,'COMP SAA'!$B:$G,6,FALSE)</f>
        <v xml:space="preserve">UN </v>
      </c>
      <c r="E601" s="344">
        <f>VLOOKUP($B601,'COMP SAA'!$B:$H,7,FALSE)</f>
        <v>4762.26</v>
      </c>
    </row>
    <row r="602" spans="2:5">
      <c r="B602" s="402" t="s">
        <v>6817</v>
      </c>
      <c r="C602" s="296" t="str">
        <f>VLOOKUP($B602,'COMP SAA'!$B:$G,2,FALSE)</f>
        <v>ASSENTAMENTO DE CONEXÕES DE PVC, JUNTA ELÁSTICA, PONTA E BOLSA, DIAM.= 50 MM</v>
      </c>
      <c r="D602" s="402">
        <f>VLOOKUP($B602,'COMP SAA'!$B:$G,6,FALSE)</f>
        <v>94.87</v>
      </c>
      <c r="E602" s="344">
        <f>VLOOKUP($B602,'COMP SAA'!$B:$H,7,FALSE)</f>
        <v>0</v>
      </c>
    </row>
    <row r="603" spans="2:5">
      <c r="B603" s="402" t="s">
        <v>6818</v>
      </c>
      <c r="C603" s="296" t="str">
        <f>VLOOKUP($B603,'COMP SAA'!$B:$G,2,FALSE)</f>
        <v>ASSENTAMENTO DE CONEXÕES DE PVC, JUNTA ELÁSTICA, PONTA E BOLSA, DIAM.= 100 MM</v>
      </c>
      <c r="D603" s="402">
        <f>VLOOKUP($B603,'COMP SAA'!$B:$G,6,FALSE)</f>
        <v>2.4300000000000002</v>
      </c>
      <c r="E603" s="344">
        <f>VLOOKUP($B603,'COMP SAA'!$B:$H,7,FALSE)</f>
        <v>0</v>
      </c>
    </row>
    <row r="604" spans="2:5">
      <c r="B604" s="402" t="s">
        <v>6819</v>
      </c>
      <c r="C604" s="296" t="str">
        <f>VLOOKUP($B604,'COMP SAA'!$B:$G,2,FALSE)</f>
        <v xml:space="preserve">TUBO PVC DEFOFO, JEI, 1 MPA, DN 150 MM, PARA REDE DE  AGUA (NBR 7665) - FORNECIMENTO E ASSENTAMENTO                                                                                                                                                                                                                                                                                                                                                                                                                              </v>
      </c>
      <c r="D604" s="402" t="str">
        <f>VLOOKUP($B604,'COMP SAA'!$B:$G,6,FALSE)</f>
        <v>M</v>
      </c>
      <c r="E604" s="344">
        <f>VLOOKUP($B604,'COMP SAA'!$B:$H,7,FALSE)</f>
        <v>137.68</v>
      </c>
    </row>
    <row r="605" spans="2:5">
      <c r="B605" s="402" t="s">
        <v>6820</v>
      </c>
      <c r="C605" s="296" t="str">
        <f>VLOOKUP($B605,'COMP SAA'!$B:$G,2,FALSE)</f>
        <v>FORNECIMENO E ASSENTAMENTO DE ABRAÇADEIRA CIRCULAR EM AÇO GALVANIZADO - DN 200 MM</v>
      </c>
      <c r="D605" s="402" t="str">
        <f>VLOOKUP($B605,'COMP SAA'!$B:$G,6,FALSE)</f>
        <v>UN</v>
      </c>
      <c r="E605" s="344">
        <f>VLOOKUP($B605,'COMP SAA'!$B:$H,7,FALSE)</f>
        <v>108.58</v>
      </c>
    </row>
    <row r="606" spans="2:5">
      <c r="B606" s="402" t="s">
        <v>6821</v>
      </c>
      <c r="C606" s="296" t="str">
        <f>VLOOKUP($B606,'COMP SAA'!$B:$G,2,FALSE)</f>
        <v>CURVA 90º EM PVC DEFOFO, DN 150MM - FORNECIMENTO E ASSENTAMENTO</v>
      </c>
      <c r="D606" s="402" t="str">
        <f>VLOOKUP($B606,'COMP SAA'!$B:$G,6,FALSE)</f>
        <v>M</v>
      </c>
      <c r="E606" s="344">
        <f>VLOOKUP($B606,'COMP SAA'!$B:$H,7,FALSE)</f>
        <v>329.08000000000004</v>
      </c>
    </row>
    <row r="607" spans="2:5">
      <c r="B607" s="402" t="s">
        <v>6822</v>
      </c>
      <c r="C607" s="296" t="str">
        <f>VLOOKUP($B607,'COMP SAA'!$B:$G,2,FALSE)</f>
        <v>CURVA 45º EM PVC DEFOFO, DN 150MM - FORNECIMENTO E ASSENTAMENTO</v>
      </c>
      <c r="D607" s="402" t="str">
        <f>VLOOKUP($B607,'COMP SAA'!$B:$G,6,FALSE)</f>
        <v>M</v>
      </c>
      <c r="E607" s="344">
        <f>VLOOKUP($B607,'COMP SAA'!$B:$H,7,FALSE)</f>
        <v>524.58000000000004</v>
      </c>
    </row>
    <row r="608" spans="2:5">
      <c r="B608" s="402" t="s">
        <v>6823</v>
      </c>
      <c r="C608" s="296" t="str">
        <f>VLOOKUP($B608,'COMP SAA'!$B:$G,2,FALSE)</f>
        <v>CONJUNTO MOTO BOMBA - Q: 14 L/S - HM: 35 M.C.A - FORNECIMENTO E INSTALAÇÃO</v>
      </c>
      <c r="D608" s="402" t="str">
        <f>VLOOKUP($B608,'COMP SAA'!$B:$G,6,FALSE)</f>
        <v>UN</v>
      </c>
      <c r="E608" s="344">
        <f>VLOOKUP($B608,'COMP SAA'!$B:$H,7,FALSE)</f>
        <v>12769.44</v>
      </c>
    </row>
    <row r="609" spans="2:5">
      <c r="B609" s="402" t="s">
        <v>6824</v>
      </c>
      <c r="C609" s="296" t="str">
        <f>VLOOKUP($B609,'COMP SAA'!$B:$G,2,FALSE)</f>
        <v>FORNECIMENTO E ASSENTAMENTO DE TUBOS E CONEXÕES EM FF PN 10 - INTALAÇÕES DE SUCÇÃO/RECALQUE/BARRILETE</v>
      </c>
      <c r="D609" s="402" t="str">
        <f>VLOOKUP($B609,'COMP SAA'!$B:$G,6,FALSE)</f>
        <v>UN</v>
      </c>
      <c r="E609" s="344">
        <f>VLOOKUP($B609,'COMP SAA'!$B:$H,7,FALSE)</f>
        <v>62948.880000000005</v>
      </c>
    </row>
    <row r="610" spans="2:5">
      <c r="B610" s="402" t="s">
        <v>6825</v>
      </c>
      <c r="C610" s="296" t="str">
        <f>VLOOKUP($B610,'COMP SAA'!$B:$G,2,FALSE)</f>
        <v>TUBOS E CONEXÕES (ABRIGO DE VÁLVULA VENTOSA) - FORNECIMENTO E INSTALAÇÃO</v>
      </c>
      <c r="D610" s="402" t="str">
        <f>VLOOKUP($B610,'COMP SAA'!$B:$G,6,FALSE)</f>
        <v>UN</v>
      </c>
      <c r="E610" s="344">
        <f>VLOOKUP($B610,'COMP SAA'!$B:$H,7,FALSE)</f>
        <v>7965.52</v>
      </c>
    </row>
    <row r="611" spans="2:5">
      <c r="B611" s="402" t="s">
        <v>6826</v>
      </c>
      <c r="C611" s="296" t="str">
        <f>VLOOKUP($B611,'COMP SAA'!$B:$G,2,FALSE)</f>
        <v>ABRIGO DE VÁLVULA VENTOSA- DIMENSÕES DE ACORDO COM O PROJETO</v>
      </c>
      <c r="D611" s="402" t="str">
        <f>VLOOKUP($B611,'COMP SAA'!$B:$G,6,FALSE)</f>
        <v>UN</v>
      </c>
      <c r="E611" s="344">
        <f>VLOOKUP($B611,'COMP SAA'!$B:$H,7,FALSE)</f>
        <v>1896.85</v>
      </c>
    </row>
    <row r="612" spans="2:5">
      <c r="B612" s="402" t="s">
        <v>6827</v>
      </c>
      <c r="C612" s="296" t="str">
        <f>VLOOKUP($B612,'COMP SAA'!$B:$G,2,FALSE)</f>
        <v>FORNECIMENO E ASSENTAMENTO DE TAMPÃO DE FERRO DÚCTIL - DN 600 MM</v>
      </c>
      <c r="D612" s="402" t="str">
        <f>VLOOKUP($B612,'COMP SAA'!$B:$G,6,FALSE)</f>
        <v>UN</v>
      </c>
      <c r="E612" s="344">
        <f>VLOOKUP($B612,'COMP SAA'!$B:$H,7,FALSE)</f>
        <v>800.46</v>
      </c>
    </row>
    <row r="613" spans="2:5">
      <c r="B613" s="402" t="s">
        <v>6828</v>
      </c>
      <c r="C613" s="296" t="str">
        <f>VLOOKUP($B613,'COMP SAA'!$B:$G,2,FALSE)</f>
        <v>CONEXÕES E TUBULAÇÕES (DESCARGA DE REDE) - FORNECIMENTO E INSTALAÇÃO</v>
      </c>
      <c r="D613" s="402" t="str">
        <f>VLOOKUP($B613,'COMP SAA'!$B:$G,6,FALSE)</f>
        <v>UN</v>
      </c>
      <c r="E613" s="344">
        <f>VLOOKUP($B613,'COMP SAA'!$B:$H,7,FALSE)</f>
        <v>9079.07</v>
      </c>
    </row>
    <row r="614" spans="2:5">
      <c r="B614" s="402" t="s">
        <v>6829</v>
      </c>
      <c r="C614" s="296" t="str">
        <f>VLOOKUP($B614,'COMP SAA'!$B:$G,2,FALSE)</f>
        <v>ABRIGO DE DESCARGA - DIMENSÕES DE ACORDO COM O PROJETO</v>
      </c>
      <c r="D614" s="402" t="str">
        <f>VLOOKUP($B614,'COMP SAA'!$B:$G,6,FALSE)</f>
        <v>UN</v>
      </c>
      <c r="E614" s="344">
        <f>VLOOKUP($B614,'COMP SAA'!$B:$H,7,FALSE)</f>
        <v>2431.0000000000005</v>
      </c>
    </row>
    <row r="615" spans="2:5">
      <c r="B615" s="402" t="s">
        <v>6830</v>
      </c>
      <c r="C615" s="296" t="str">
        <f>VLOOKUP($B615,'COMP SAA'!$B:$G,2,FALSE)</f>
        <v>HIDRÔMETRO DN 25 (¾ ), QMÁX 3,5 M³/H - FORNECIMENTO E INSTALAÇÃO</v>
      </c>
      <c r="D615" s="402" t="str">
        <f>VLOOKUP($B615,'COMP SAA'!$B:$G,6,FALSE)</f>
        <v>UN</v>
      </c>
      <c r="E615" s="344">
        <f>VLOOKUP($B615,'COMP SAA'!$B:$H,7,FALSE)</f>
        <v>107.86999999999999</v>
      </c>
    </row>
    <row r="616" spans="2:5">
      <c r="B616" s="402" t="s">
        <v>6831</v>
      </c>
      <c r="C616" s="296" t="e">
        <f>VLOOKUP($B616,'COMP SAA'!$B:$G,2,FALSE)</f>
        <v>#N/A</v>
      </c>
      <c r="D616" s="402" t="e">
        <f>VLOOKUP($B616,'COMP SAA'!$B:$G,6,FALSE)</f>
        <v>#N/A</v>
      </c>
      <c r="E616" s="344" t="e">
        <f>VLOOKUP($B616,'COMP SAA'!$B:$H,7,FALSE)</f>
        <v>#N/A</v>
      </c>
    </row>
    <row r="617" spans="2:5">
      <c r="B617" s="402" t="s">
        <v>6832</v>
      </c>
      <c r="C617" s="296" t="e">
        <f>VLOOKUP($B617,'COMP SAA'!$B:$G,2,FALSE)</f>
        <v>#N/A</v>
      </c>
      <c r="D617" s="402" t="e">
        <f>VLOOKUP($B617,'COMP SAA'!$B:$G,6,FALSE)</f>
        <v>#N/A</v>
      </c>
      <c r="E617" s="344" t="e">
        <f>VLOOKUP($B617,'COMP SAA'!$B:$H,7,FALSE)</f>
        <v>#N/A</v>
      </c>
    </row>
    <row r="618" spans="2:5">
      <c r="B618" s="402" t="s">
        <v>6833</v>
      </c>
      <c r="C618" s="296" t="e">
        <f>VLOOKUP($B618,'COMP SAA'!$B:$G,2,FALSE)</f>
        <v>#N/A</v>
      </c>
      <c r="D618" s="402" t="e">
        <f>VLOOKUP($B618,'COMP SAA'!$B:$G,6,FALSE)</f>
        <v>#N/A</v>
      </c>
      <c r="E618" s="344" t="e">
        <f>VLOOKUP($B618,'COMP SAA'!$B:$H,7,FALSE)</f>
        <v>#N/A</v>
      </c>
    </row>
    <row r="619" spans="2:5">
      <c r="B619" s="402" t="s">
        <v>6834</v>
      </c>
      <c r="C619" s="296" t="e">
        <f>VLOOKUP($B619,'COMP SAA'!$B:$G,2,FALSE)</f>
        <v>#N/A</v>
      </c>
      <c r="D619" s="402" t="e">
        <f>VLOOKUP($B619,'COMP SAA'!$B:$G,6,FALSE)</f>
        <v>#N/A</v>
      </c>
      <c r="E619" s="344" t="e">
        <f>VLOOKUP($B619,'COMP SAA'!$B:$H,7,FALSE)</f>
        <v>#N/A</v>
      </c>
    </row>
    <row r="620" spans="2:5">
      <c r="B620" s="402" t="s">
        <v>6843</v>
      </c>
      <c r="C620" s="296" t="e">
        <f>VLOOKUP($B620,'COMP SAA'!$B:$G,2,FALSE)</f>
        <v>#N/A</v>
      </c>
      <c r="D620" s="402" t="e">
        <f>VLOOKUP($B620,'COMP SAA'!$B:$G,6,FALSE)</f>
        <v>#N/A</v>
      </c>
      <c r="E620" s="344" t="e">
        <f>VLOOKUP($B620,'COMP SAA'!$B:$H,7,FALSE)</f>
        <v>#N/A</v>
      </c>
    </row>
    <row r="621" spans="2:5">
      <c r="B621" s="402" t="s">
        <v>6844</v>
      </c>
      <c r="C621" s="296" t="e">
        <f>VLOOKUP($B621,'COMP SAA'!$B:$G,2,FALSE)</f>
        <v>#N/A</v>
      </c>
      <c r="D621" s="402" t="e">
        <f>VLOOKUP($B621,'COMP SAA'!$B:$G,6,FALSE)</f>
        <v>#N/A</v>
      </c>
      <c r="E621" s="344" t="e">
        <f>VLOOKUP($B621,'COMP SAA'!$B:$H,7,FALSE)</f>
        <v>#N/A</v>
      </c>
    </row>
    <row r="622" spans="2:5">
      <c r="B622" s="402" t="s">
        <v>6845</v>
      </c>
      <c r="C622" s="296" t="e">
        <f>VLOOKUP($B622,'COMP SAA'!$B:$G,2,FALSE)</f>
        <v>#N/A</v>
      </c>
      <c r="D622" s="402" t="e">
        <f>VLOOKUP($B622,'COMP SAA'!$B:$G,6,FALSE)</f>
        <v>#N/A</v>
      </c>
      <c r="E622" s="344" t="e">
        <f>VLOOKUP($B622,'COMP SAA'!$B:$H,7,FALSE)</f>
        <v>#N/A</v>
      </c>
    </row>
    <row r="623" spans="2:5">
      <c r="B623" s="402" t="s">
        <v>6846</v>
      </c>
      <c r="C623" s="296" t="e">
        <f>VLOOKUP($B623,'COMP SAA'!$B:$G,2,FALSE)</f>
        <v>#N/A</v>
      </c>
      <c r="D623" s="402" t="e">
        <f>VLOOKUP($B623,'COMP SAA'!$B:$G,6,FALSE)</f>
        <v>#N/A</v>
      </c>
      <c r="E623" s="344" t="e">
        <f>VLOOKUP($B623,'COMP SAA'!$B:$H,7,FALSE)</f>
        <v>#N/A</v>
      </c>
    </row>
    <row r="624" spans="2:5">
      <c r="B624" s="402" t="s">
        <v>6847</v>
      </c>
      <c r="C624" s="296" t="e">
        <f>VLOOKUP($B624,'COMP SAA'!$B:$G,2,FALSE)</f>
        <v>#N/A</v>
      </c>
      <c r="D624" s="402" t="e">
        <f>VLOOKUP($B624,'COMP SAA'!$B:$G,6,FALSE)</f>
        <v>#N/A</v>
      </c>
      <c r="E624" s="344" t="e">
        <f>VLOOKUP($B624,'COMP SAA'!$B:$H,7,FALSE)</f>
        <v>#N/A</v>
      </c>
    </row>
    <row r="625" spans="2:5">
      <c r="B625" s="402" t="s">
        <v>6848</v>
      </c>
      <c r="C625" s="296" t="e">
        <f>VLOOKUP($B625,'COMP SAA'!$B:$G,2,FALSE)</f>
        <v>#N/A</v>
      </c>
      <c r="D625" s="402" t="e">
        <f>VLOOKUP($B625,'COMP SAA'!$B:$G,6,FALSE)</f>
        <v>#N/A</v>
      </c>
      <c r="E625" s="344" t="e">
        <f>VLOOKUP($B625,'COMP SAA'!$B:$H,7,FALSE)</f>
        <v>#N/A</v>
      </c>
    </row>
    <row r="626" spans="2:5">
      <c r="B626" s="402" t="s">
        <v>6849</v>
      </c>
      <c r="C626" s="296" t="e">
        <f>VLOOKUP($B626,'COMP SAA'!$B:$G,2,FALSE)</f>
        <v>#N/A</v>
      </c>
      <c r="D626" s="402" t="e">
        <f>VLOOKUP($B626,'COMP SAA'!$B:$G,6,FALSE)</f>
        <v>#N/A</v>
      </c>
      <c r="E626" s="344" t="e">
        <f>VLOOKUP($B626,'COMP SAA'!$B:$H,7,FALSE)</f>
        <v>#N/A</v>
      </c>
    </row>
    <row r="627" spans="2:5">
      <c r="B627" s="402" t="s">
        <v>6851</v>
      </c>
      <c r="C627" s="296" t="e">
        <f>VLOOKUP($B627,'COMP SAA'!$B:$G,2,FALSE)</f>
        <v>#N/A</v>
      </c>
      <c r="D627" s="402" t="e">
        <f>VLOOKUP($B627,'COMP SAA'!$B:$G,6,FALSE)</f>
        <v>#N/A</v>
      </c>
      <c r="E627" s="344" t="e">
        <f>VLOOKUP($B627,'COMP SAA'!$B:$H,7,FALSE)</f>
        <v>#N/A</v>
      </c>
    </row>
    <row r="628" spans="2:5">
      <c r="B628" s="402" t="s">
        <v>6852</v>
      </c>
      <c r="C628" s="296" t="e">
        <f>VLOOKUP($B628,'COMP SAA'!$B:$G,2,FALSE)</f>
        <v>#N/A</v>
      </c>
      <c r="D628" s="402" t="e">
        <f>VLOOKUP($B628,'COMP SAA'!$B:$G,6,FALSE)</f>
        <v>#N/A</v>
      </c>
      <c r="E628" s="344" t="e">
        <f>VLOOKUP($B628,'COMP SAA'!$B:$H,7,FALSE)</f>
        <v>#N/A</v>
      </c>
    </row>
    <row r="629" spans="2:5">
      <c r="B629" s="402" t="s">
        <v>6853</v>
      </c>
      <c r="C629" s="296" t="e">
        <f>VLOOKUP($B629,'COMP SAA'!$B:$G,2,FALSE)</f>
        <v>#N/A</v>
      </c>
      <c r="D629" s="402" t="e">
        <f>VLOOKUP($B629,'COMP SAA'!$B:$G,6,FALSE)</f>
        <v>#N/A</v>
      </c>
      <c r="E629" s="344" t="e">
        <f>VLOOKUP($B629,'COMP SAA'!$B:$H,7,FALSE)</f>
        <v>#N/A</v>
      </c>
    </row>
    <row r="630" spans="2:5">
      <c r="B630" s="402" t="s">
        <v>6854</v>
      </c>
      <c r="C630" s="296" t="e">
        <f>VLOOKUP($B630,'COMP SAA'!$B:$G,2,FALSE)</f>
        <v>#N/A</v>
      </c>
      <c r="D630" s="402" t="e">
        <f>VLOOKUP($B630,'COMP SAA'!$B:$G,6,FALSE)</f>
        <v>#N/A</v>
      </c>
      <c r="E630" s="344" t="e">
        <f>VLOOKUP($B630,'COMP SAA'!$B:$H,7,FALSE)</f>
        <v>#N/A</v>
      </c>
    </row>
    <row r="631" spans="2:5">
      <c r="B631" s="402" t="s">
        <v>6855</v>
      </c>
      <c r="C631" s="296" t="e">
        <f>VLOOKUP($B631,'COMP SAA'!$B:$G,2,FALSE)</f>
        <v>#N/A</v>
      </c>
      <c r="D631" s="402" t="e">
        <f>VLOOKUP($B631,'COMP SAA'!$B:$G,6,FALSE)</f>
        <v>#N/A</v>
      </c>
      <c r="E631" s="344" t="e">
        <f>VLOOKUP($B631,'COMP SAA'!$B:$H,7,FALSE)</f>
        <v>#N/A</v>
      </c>
    </row>
    <row r="632" spans="2:5">
      <c r="B632" s="402" t="s">
        <v>6856</v>
      </c>
      <c r="C632" s="296" t="e">
        <f>VLOOKUP($B632,'COMP SAA'!$B:$G,2,FALSE)</f>
        <v>#N/A</v>
      </c>
      <c r="D632" s="402" t="e">
        <f>VLOOKUP($B632,'COMP SAA'!$B:$G,6,FALSE)</f>
        <v>#N/A</v>
      </c>
      <c r="E632" s="344" t="e">
        <f>VLOOKUP($B632,'COMP SAA'!$B:$H,7,FALSE)</f>
        <v>#N/A</v>
      </c>
    </row>
    <row r="633" spans="2:5">
      <c r="B633" s="402" t="s">
        <v>6859</v>
      </c>
      <c r="C633" s="296" t="e">
        <f>VLOOKUP($B633,'COMP SAA'!$B:$G,2,FALSE)</f>
        <v>#N/A</v>
      </c>
      <c r="D633" s="402" t="e">
        <f>VLOOKUP($B633,'COMP SAA'!$B:$G,6,FALSE)</f>
        <v>#N/A</v>
      </c>
      <c r="E633" s="344" t="e">
        <f>VLOOKUP($B633,'COMP SAA'!$B:$H,7,FALSE)</f>
        <v>#N/A</v>
      </c>
    </row>
    <row r="634" spans="2:5">
      <c r="B634" s="402" t="s">
        <v>6860</v>
      </c>
      <c r="C634" s="296" t="e">
        <f>VLOOKUP($B634,'COMP SAA'!$B:$G,2,FALSE)</f>
        <v>#N/A</v>
      </c>
      <c r="D634" s="402" t="e">
        <f>VLOOKUP($B634,'COMP SAA'!$B:$G,6,FALSE)</f>
        <v>#N/A</v>
      </c>
      <c r="E634" s="344" t="e">
        <f>VLOOKUP($B634,'COMP SAA'!$B:$H,7,FALSE)</f>
        <v>#N/A</v>
      </c>
    </row>
    <row r="635" spans="2:5">
      <c r="B635" s="402" t="s">
        <v>6883</v>
      </c>
      <c r="C635" s="296" t="e">
        <f>VLOOKUP($B635,'COMP SAA'!$B:$G,2,FALSE)</f>
        <v>#N/A</v>
      </c>
      <c r="D635" s="402" t="e">
        <f>VLOOKUP($B635,'COMP SAA'!$B:$G,6,FALSE)</f>
        <v>#N/A</v>
      </c>
      <c r="E635" s="344" t="e">
        <f>VLOOKUP($B635,'COMP SAA'!$B:$H,7,FALSE)</f>
        <v>#N/A</v>
      </c>
    </row>
    <row r="636" spans="2:5">
      <c r="B636" s="402" t="s">
        <v>6884</v>
      </c>
      <c r="C636" s="296" t="e">
        <f>VLOOKUP($B636,'COMP SAA'!$B:$G,2,FALSE)</f>
        <v>#N/A</v>
      </c>
      <c r="D636" s="402" t="e">
        <f>VLOOKUP($B636,'COMP SAA'!$B:$G,6,FALSE)</f>
        <v>#N/A</v>
      </c>
      <c r="E636" s="344" t="e">
        <f>VLOOKUP($B636,'COMP SAA'!$B:$H,7,FALSE)</f>
        <v>#N/A</v>
      </c>
    </row>
    <row r="637" spans="2:5">
      <c r="B637" s="402" t="s">
        <v>6885</v>
      </c>
      <c r="C637" s="296" t="e">
        <f>VLOOKUP($B637,'COMP SAA'!$B:$G,2,FALSE)</f>
        <v>#N/A</v>
      </c>
      <c r="D637" s="402" t="e">
        <f>VLOOKUP($B637,'COMP SAA'!$B:$G,6,FALSE)</f>
        <v>#N/A</v>
      </c>
      <c r="E637" s="344" t="e">
        <f>VLOOKUP($B637,'COMP SAA'!$B:$H,7,FALSE)</f>
        <v>#N/A</v>
      </c>
    </row>
    <row r="638" spans="2:5">
      <c r="B638" s="402" t="s">
        <v>6886</v>
      </c>
      <c r="C638" s="296" t="e">
        <f>VLOOKUP($B638,'COMP SAA'!$B:$G,2,FALSE)</f>
        <v>#N/A</v>
      </c>
      <c r="D638" s="402" t="e">
        <f>VLOOKUP($B638,'COMP SAA'!$B:$G,6,FALSE)</f>
        <v>#N/A</v>
      </c>
      <c r="E638" s="344" t="e">
        <f>VLOOKUP($B638,'COMP SAA'!$B:$H,7,FALSE)</f>
        <v>#N/A</v>
      </c>
    </row>
    <row r="639" spans="2:5">
      <c r="B639" s="402" t="s">
        <v>6887</v>
      </c>
      <c r="C639" s="296" t="e">
        <f>VLOOKUP($B639,'COMP SAA'!$B:$G,2,FALSE)</f>
        <v>#N/A</v>
      </c>
      <c r="D639" s="402" t="e">
        <f>VLOOKUP($B639,'COMP SAA'!$B:$G,6,FALSE)</f>
        <v>#N/A</v>
      </c>
      <c r="E639" s="344" t="e">
        <f>VLOOKUP($B639,'COMP SAA'!$B:$H,7,FALSE)</f>
        <v>#N/A</v>
      </c>
    </row>
    <row r="640" spans="2:5">
      <c r="B640" s="402" t="s">
        <v>6888</v>
      </c>
      <c r="C640" s="296" t="e">
        <f>VLOOKUP($B640,'COMP SAA'!$B:$G,2,FALSE)</f>
        <v>#N/A</v>
      </c>
      <c r="D640" s="402" t="e">
        <f>VLOOKUP($B640,'COMP SAA'!$B:$G,6,FALSE)</f>
        <v>#N/A</v>
      </c>
      <c r="E640" s="344" t="e">
        <f>VLOOKUP($B640,'COMP SAA'!$B:$H,7,FALSE)</f>
        <v>#N/A</v>
      </c>
    </row>
    <row r="641" spans="2:5">
      <c r="B641" s="402" t="s">
        <v>6889</v>
      </c>
      <c r="C641" s="296" t="e">
        <f>VLOOKUP($B641,'COMP SAA'!$B:$G,2,FALSE)</f>
        <v>#N/A</v>
      </c>
      <c r="D641" s="402" t="e">
        <f>VLOOKUP($B641,'COMP SAA'!$B:$G,6,FALSE)</f>
        <v>#N/A</v>
      </c>
      <c r="E641" s="344" t="e">
        <f>VLOOKUP($B641,'COMP SAA'!$B:$H,7,FALSE)</f>
        <v>#N/A</v>
      </c>
    </row>
    <row r="642" spans="2:5">
      <c r="B642" s="402" t="s">
        <v>6890</v>
      </c>
      <c r="C642" s="296" t="e">
        <f>VLOOKUP($B642,'COMP SAA'!$B:$G,2,FALSE)</f>
        <v>#N/A</v>
      </c>
      <c r="D642" s="402" t="e">
        <f>VLOOKUP($B642,'COMP SAA'!$B:$G,6,FALSE)</f>
        <v>#N/A</v>
      </c>
      <c r="E642" s="344" t="e">
        <f>VLOOKUP($B642,'COMP SAA'!$B:$H,7,FALSE)</f>
        <v>#N/A</v>
      </c>
    </row>
    <row r="643" spans="2:5">
      <c r="B643" s="402" t="s">
        <v>6945</v>
      </c>
      <c r="C643" s="296" t="e">
        <f>VLOOKUP($B643,'COMP SAA'!$B:$G,2,FALSE)</f>
        <v>#N/A</v>
      </c>
      <c r="D643" s="402" t="e">
        <f>VLOOKUP($B643,'COMP SAA'!$B:$G,6,FALSE)</f>
        <v>#N/A</v>
      </c>
      <c r="E643" s="344" t="e">
        <f>VLOOKUP($B643,'COMP SAA'!$B:$H,7,FALSE)</f>
        <v>#N/A</v>
      </c>
    </row>
    <row r="644" spans="2:5">
      <c r="B644" s="402" t="s">
        <v>6946</v>
      </c>
      <c r="C644" s="296" t="e">
        <f>VLOOKUP($B644,'COMP SAA'!$B:$G,2,FALSE)</f>
        <v>#N/A</v>
      </c>
      <c r="D644" s="402" t="e">
        <f>VLOOKUP($B644,'COMP SAA'!$B:$G,6,FALSE)</f>
        <v>#N/A</v>
      </c>
      <c r="E644" s="344" t="e">
        <f>VLOOKUP($B644,'COMP SAA'!$B:$H,7,FALSE)</f>
        <v>#N/A</v>
      </c>
    </row>
    <row r="645" spans="2:5">
      <c r="B645" s="402" t="s">
        <v>6947</v>
      </c>
      <c r="C645" s="296" t="e">
        <f>VLOOKUP($B645,'COMP SAA'!$B:$G,2,FALSE)</f>
        <v>#N/A</v>
      </c>
      <c r="D645" s="402" t="e">
        <f>VLOOKUP($B645,'COMP SAA'!$B:$G,6,FALSE)</f>
        <v>#N/A</v>
      </c>
      <c r="E645" s="344" t="e">
        <f>VLOOKUP($B645,'COMP SAA'!$B:$H,7,FALSE)</f>
        <v>#N/A</v>
      </c>
    </row>
    <row r="646" spans="2:5">
      <c r="B646" s="402" t="s">
        <v>6951</v>
      </c>
      <c r="C646" s="296" t="e">
        <f>VLOOKUP($B646,'COMP SAA'!$B:$G,2,FALSE)</f>
        <v>#N/A</v>
      </c>
      <c r="D646" s="402" t="e">
        <f>VLOOKUP($B646,'COMP SAA'!$B:$G,6,FALSE)</f>
        <v>#N/A</v>
      </c>
      <c r="E646" s="344" t="e">
        <f>VLOOKUP($B646,'COMP SAA'!$B:$H,7,FALSE)</f>
        <v>#N/A</v>
      </c>
    </row>
    <row r="647" spans="2:5">
      <c r="B647" s="402" t="s">
        <v>6952</v>
      </c>
      <c r="C647" s="296" t="e">
        <f>VLOOKUP($B647,'COMP SAA'!$B:$G,2,FALSE)</f>
        <v>#N/A</v>
      </c>
      <c r="D647" s="402" t="e">
        <f>VLOOKUP($B647,'COMP SAA'!$B:$G,6,FALSE)</f>
        <v>#N/A</v>
      </c>
      <c r="E647" s="344" t="e">
        <f>VLOOKUP($B647,'COMP SAA'!$B:$H,7,FALSE)</f>
        <v>#N/A</v>
      </c>
    </row>
    <row r="648" spans="2:5">
      <c r="B648" s="402" t="s">
        <v>6953</v>
      </c>
      <c r="C648" s="296" t="e">
        <f>VLOOKUP($B648,'COMP SAA'!$B:$G,2,FALSE)</f>
        <v>#N/A</v>
      </c>
      <c r="D648" s="402" t="e">
        <f>VLOOKUP($B648,'COMP SAA'!$B:$G,6,FALSE)</f>
        <v>#N/A</v>
      </c>
      <c r="E648" s="344" t="e">
        <f>VLOOKUP($B648,'COMP SAA'!$B:$H,7,FALSE)</f>
        <v>#N/A</v>
      </c>
    </row>
    <row r="649" spans="2:5">
      <c r="B649" s="402" t="s">
        <v>6954</v>
      </c>
      <c r="C649" s="296" t="e">
        <f>VLOOKUP($B649,'COMP SAA'!$B:$G,2,FALSE)</f>
        <v>#N/A</v>
      </c>
      <c r="D649" s="402" t="e">
        <f>VLOOKUP($B649,'COMP SAA'!$B:$G,6,FALSE)</f>
        <v>#N/A</v>
      </c>
      <c r="E649" s="344" t="e">
        <f>VLOOKUP($B649,'COMP SAA'!$B:$H,7,FALSE)</f>
        <v>#N/A</v>
      </c>
    </row>
    <row r="650" spans="2:5">
      <c r="B650" s="402" t="s">
        <v>6955</v>
      </c>
      <c r="C650" s="296" t="e">
        <f>VLOOKUP($B650,'COMP SAA'!$B:$G,2,FALSE)</f>
        <v>#N/A</v>
      </c>
      <c r="D650" s="402" t="e">
        <f>VLOOKUP($B650,'COMP SAA'!$B:$G,6,FALSE)</f>
        <v>#N/A</v>
      </c>
      <c r="E650" s="344" t="e">
        <f>VLOOKUP($B650,'COMP SAA'!$B:$H,7,FALSE)</f>
        <v>#N/A</v>
      </c>
    </row>
    <row r="651" spans="2:5">
      <c r="B651" s="402" t="s">
        <v>6956</v>
      </c>
      <c r="C651" s="296" t="e">
        <f>VLOOKUP($B651,'COMP SAA'!$B:$G,2,FALSE)</f>
        <v>#N/A</v>
      </c>
      <c r="D651" s="402" t="e">
        <f>VLOOKUP($B651,'COMP SAA'!$B:$G,6,FALSE)</f>
        <v>#N/A</v>
      </c>
      <c r="E651" s="344" t="e">
        <f>VLOOKUP($B651,'COMP SAA'!$B:$H,7,FALSE)</f>
        <v>#N/A</v>
      </c>
    </row>
    <row r="652" spans="2:5">
      <c r="B652" s="402" t="s">
        <v>6957</v>
      </c>
      <c r="C652" s="296" t="e">
        <f>VLOOKUP($B652,'COMP SAA'!$B:$G,2,FALSE)</f>
        <v>#N/A</v>
      </c>
      <c r="D652" s="402" t="e">
        <f>VLOOKUP($B652,'COMP SAA'!$B:$G,6,FALSE)</f>
        <v>#N/A</v>
      </c>
      <c r="E652" s="344" t="e">
        <f>VLOOKUP($B652,'COMP SAA'!$B:$H,7,FALSE)</f>
        <v>#N/A</v>
      </c>
    </row>
    <row r="654" spans="2:5" ht="15.75" thickBot="1"/>
    <row r="655" spans="2:5" ht="16.5" thickBot="1">
      <c r="B655" s="79" t="s">
        <v>14157</v>
      </c>
      <c r="C655" s="80" t="s">
        <v>13712</v>
      </c>
      <c r="D655" s="82" t="s">
        <v>30</v>
      </c>
      <c r="E655" s="83" t="s">
        <v>31</v>
      </c>
    </row>
    <row r="656" spans="2:5">
      <c r="B656" s="1424" t="str">
        <f>'COMP. IMPRIMAÇÃO'!D15</f>
        <v>COMP PAV 001</v>
      </c>
      <c r="C656" s="296" t="str">
        <f>'COMP. IMPRIMAÇÃO'!D12</f>
        <v>EXECUÇÃO DE IMPRIMAÇÃO COM ASFALTO DILUÍDO CM-30. AF_11/2019</v>
      </c>
      <c r="D656" s="402" t="str">
        <f>'COMP. IMPRIMAÇÃO'!L13</f>
        <v>M2</v>
      </c>
      <c r="E656" s="344">
        <f>'COMP. IMPRIMAÇÃO'!M27</f>
        <v>7.5041000000000002</v>
      </c>
    </row>
    <row r="657" spans="2:5">
      <c r="B657" s="402" t="s">
        <v>13713</v>
      </c>
      <c r="C657" s="296" t="e">
        <f>VLOOKUP($B657,#REF!,2,FALSE)</f>
        <v>#REF!</v>
      </c>
      <c r="D657" s="402" t="e">
        <f>VLOOKUP($B657,#REF!,6,FALSE)</f>
        <v>#REF!</v>
      </c>
      <c r="E657" s="344" t="e">
        <f>VLOOKUP($B657,#REF!,7,FALSE)</f>
        <v>#REF!</v>
      </c>
    </row>
    <row r="658" spans="2:5">
      <c r="B658" s="402" t="s">
        <v>13714</v>
      </c>
      <c r="C658" s="296" t="e">
        <f>VLOOKUP($B658,#REF!,2,FALSE)</f>
        <v>#REF!</v>
      </c>
      <c r="D658" s="402" t="e">
        <f>VLOOKUP($B658,#REF!,6,FALSE)</f>
        <v>#REF!</v>
      </c>
      <c r="E658" s="344" t="e">
        <f>VLOOKUP($B658,#REF!,7,FALSE)</f>
        <v>#REF!</v>
      </c>
    </row>
    <row r="659" spans="2:5">
      <c r="B659" s="402" t="s">
        <v>13715</v>
      </c>
      <c r="C659" s="296" t="e">
        <f>VLOOKUP($B659,#REF!,2,FALSE)</f>
        <v>#REF!</v>
      </c>
      <c r="D659" s="402" t="e">
        <f>VLOOKUP($B659,#REF!,6,FALSE)</f>
        <v>#REF!</v>
      </c>
      <c r="E659" s="344" t="e">
        <f>VLOOKUP($B659,#REF!,7,FALSE)</f>
        <v>#REF!</v>
      </c>
    </row>
    <row r="660" spans="2:5">
      <c r="B660" s="402" t="s">
        <v>13716</v>
      </c>
      <c r="C660" s="296" t="e">
        <f>VLOOKUP($B660,#REF!,2,FALSE)</f>
        <v>#REF!</v>
      </c>
      <c r="D660" s="402" t="e">
        <f>VLOOKUP($B660,#REF!,6,FALSE)</f>
        <v>#REF!</v>
      </c>
      <c r="E660" s="344" t="e">
        <f>VLOOKUP($B660,#REF!,7,FALSE)</f>
        <v>#REF!</v>
      </c>
    </row>
    <row r="661" spans="2:5">
      <c r="B661" s="402" t="s">
        <v>13717</v>
      </c>
      <c r="C661" s="296" t="e">
        <f>VLOOKUP($B661,#REF!,2,FALSE)</f>
        <v>#REF!</v>
      </c>
      <c r="D661" s="402" t="e">
        <f>VLOOKUP($B661,#REF!,6,FALSE)</f>
        <v>#REF!</v>
      </c>
      <c r="E661" s="344" t="e">
        <f>VLOOKUP($B661,#REF!,7,FALSE)</f>
        <v>#REF!</v>
      </c>
    </row>
    <row r="662" spans="2:5">
      <c r="B662" s="402" t="s">
        <v>13718</v>
      </c>
      <c r="C662" s="296" t="e">
        <f>VLOOKUP($B662,#REF!,2,FALSE)</f>
        <v>#REF!</v>
      </c>
      <c r="D662" s="402" t="e">
        <f>VLOOKUP($B662,#REF!,6,FALSE)</f>
        <v>#REF!</v>
      </c>
      <c r="E662" s="344" t="e">
        <f>VLOOKUP($B662,#REF!,7,FALSE)</f>
        <v>#REF!</v>
      </c>
    </row>
    <row r="663" spans="2:5">
      <c r="B663" s="402" t="s">
        <v>13719</v>
      </c>
      <c r="C663" s="296" t="e">
        <f>VLOOKUP($B663,#REF!,2,FALSE)</f>
        <v>#REF!</v>
      </c>
      <c r="D663" s="402" t="e">
        <f>VLOOKUP($B663,#REF!,6,FALSE)</f>
        <v>#REF!</v>
      </c>
      <c r="E663" s="344" t="e">
        <f>VLOOKUP($B663,#REF!,7,FALSE)</f>
        <v>#REF!</v>
      </c>
    </row>
    <row r="664" spans="2:5">
      <c r="B664" s="402" t="s">
        <v>13720</v>
      </c>
      <c r="C664" s="296" t="e">
        <f>VLOOKUP($B664,#REF!,2,FALSE)</f>
        <v>#REF!</v>
      </c>
      <c r="D664" s="402" t="e">
        <f>VLOOKUP($B664,#REF!,6,FALSE)</f>
        <v>#REF!</v>
      </c>
      <c r="E664" s="344" t="e">
        <f>VLOOKUP($B664,#REF!,7,FALSE)</f>
        <v>#REF!</v>
      </c>
    </row>
    <row r="665" spans="2:5">
      <c r="B665" s="402" t="s">
        <v>13721</v>
      </c>
      <c r="C665" s="296" t="e">
        <f>VLOOKUP($B665,#REF!,2,FALSE)</f>
        <v>#REF!</v>
      </c>
      <c r="D665" s="402" t="e">
        <f>VLOOKUP($B665,#REF!,6,FALSE)</f>
        <v>#REF!</v>
      </c>
      <c r="E665" s="344" t="e">
        <f>VLOOKUP($B665,#REF!,7,FALSE)</f>
        <v>#REF!</v>
      </c>
    </row>
    <row r="666" spans="2:5">
      <c r="B666" s="402" t="s">
        <v>13722</v>
      </c>
      <c r="C666" s="296" t="e">
        <f>VLOOKUP($B666,#REF!,2,FALSE)</f>
        <v>#REF!</v>
      </c>
      <c r="D666" s="402" t="e">
        <f>VLOOKUP($B666,#REF!,6,FALSE)</f>
        <v>#REF!</v>
      </c>
      <c r="E666" s="344" t="e">
        <f>VLOOKUP($B666,#REF!,7,FALSE)</f>
        <v>#REF!</v>
      </c>
    </row>
    <row r="667" spans="2:5">
      <c r="B667" s="402" t="s">
        <v>13723</v>
      </c>
      <c r="C667" s="296" t="e">
        <f>VLOOKUP($B667,#REF!,2,FALSE)</f>
        <v>#REF!</v>
      </c>
      <c r="D667" s="402" t="e">
        <f>VLOOKUP($B667,#REF!,6,FALSE)</f>
        <v>#REF!</v>
      </c>
      <c r="E667" s="344" t="e">
        <f>VLOOKUP($B667,#REF!,7,FALSE)</f>
        <v>#REF!</v>
      </c>
    </row>
    <row r="668" spans="2:5">
      <c r="B668" s="402" t="s">
        <v>13724</v>
      </c>
      <c r="C668" s="296" t="e">
        <f>VLOOKUP($B668,#REF!,2,FALSE)</f>
        <v>#REF!</v>
      </c>
      <c r="D668" s="402" t="e">
        <f>VLOOKUP($B668,#REF!,6,FALSE)</f>
        <v>#REF!</v>
      </c>
      <c r="E668" s="344" t="e">
        <f>VLOOKUP($B668,#REF!,7,FALSE)</f>
        <v>#REF!</v>
      </c>
    </row>
    <row r="669" spans="2:5">
      <c r="B669" s="402" t="s">
        <v>13725</v>
      </c>
      <c r="C669" s="296" t="e">
        <f>VLOOKUP($B669,#REF!,2,FALSE)</f>
        <v>#REF!</v>
      </c>
      <c r="D669" s="402" t="e">
        <f>VLOOKUP($B669,#REF!,6,FALSE)</f>
        <v>#REF!</v>
      </c>
      <c r="E669" s="344" t="e">
        <f>VLOOKUP($B669,#REF!,7,FALSE)</f>
        <v>#REF!</v>
      </c>
    </row>
    <row r="670" spans="2:5">
      <c r="B670" s="402" t="s">
        <v>13726</v>
      </c>
      <c r="C670" s="296" t="e">
        <f>VLOOKUP($B670,#REF!,2,FALSE)</f>
        <v>#REF!</v>
      </c>
      <c r="D670" s="402" t="e">
        <f>VLOOKUP($B670,#REF!,6,FALSE)</f>
        <v>#REF!</v>
      </c>
      <c r="E670" s="344" t="e">
        <f>VLOOKUP($B670,#REF!,7,FALSE)</f>
        <v>#REF!</v>
      </c>
    </row>
    <row r="671" spans="2:5">
      <c r="B671" s="402" t="s">
        <v>13727</v>
      </c>
      <c r="C671" s="296" t="e">
        <f>VLOOKUP($B671,#REF!,2,FALSE)</f>
        <v>#REF!</v>
      </c>
      <c r="D671" s="402" t="e">
        <f>VLOOKUP($B671,#REF!,6,FALSE)</f>
        <v>#REF!</v>
      </c>
      <c r="E671" s="344" t="e">
        <f>VLOOKUP($B671,#REF!,7,FALSE)</f>
        <v>#REF!</v>
      </c>
    </row>
    <row r="672" spans="2:5">
      <c r="B672" s="402" t="s">
        <v>13728</v>
      </c>
      <c r="C672" s="296" t="e">
        <f>VLOOKUP($B672,#REF!,2,FALSE)</f>
        <v>#REF!</v>
      </c>
      <c r="D672" s="402" t="e">
        <f>VLOOKUP($B672,#REF!,6,FALSE)</f>
        <v>#REF!</v>
      </c>
      <c r="E672" s="344" t="e">
        <f>VLOOKUP($B672,#REF!,7,FALSE)</f>
        <v>#REF!</v>
      </c>
    </row>
    <row r="673" spans="2:5">
      <c r="B673" s="402" t="s">
        <v>13729</v>
      </c>
      <c r="C673" s="296" t="e">
        <f>VLOOKUP($B673,#REF!,2,FALSE)</f>
        <v>#REF!</v>
      </c>
      <c r="D673" s="402" t="e">
        <f>VLOOKUP($B673,#REF!,6,FALSE)</f>
        <v>#REF!</v>
      </c>
      <c r="E673" s="344" t="e">
        <f>VLOOKUP($B673,#REF!,7,FALSE)</f>
        <v>#REF!</v>
      </c>
    </row>
    <row r="674" spans="2:5">
      <c r="B674" s="402" t="s">
        <v>13730</v>
      </c>
      <c r="C674" s="296" t="e">
        <f>VLOOKUP($B674,#REF!,2,FALSE)</f>
        <v>#REF!</v>
      </c>
      <c r="D674" s="402" t="e">
        <f>VLOOKUP($B674,#REF!,6,FALSE)</f>
        <v>#REF!</v>
      </c>
      <c r="E674" s="344" t="e">
        <f>VLOOKUP($B674,#REF!,7,FALSE)</f>
        <v>#REF!</v>
      </c>
    </row>
    <row r="675" spans="2:5">
      <c r="B675" s="402" t="s">
        <v>13731</v>
      </c>
      <c r="C675" s="296" t="e">
        <f>VLOOKUP($B675,#REF!,2,FALSE)</f>
        <v>#REF!</v>
      </c>
      <c r="D675" s="402" t="e">
        <f>VLOOKUP($B675,#REF!,6,FALSE)</f>
        <v>#REF!</v>
      </c>
      <c r="E675" s="344" t="e">
        <f>VLOOKUP($B675,#REF!,7,FALSE)</f>
        <v>#REF!</v>
      </c>
    </row>
    <row r="676" spans="2:5">
      <c r="B676" s="402" t="s">
        <v>13732</v>
      </c>
      <c r="C676" s="296" t="e">
        <f>VLOOKUP($B676,#REF!,2,FALSE)</f>
        <v>#REF!</v>
      </c>
      <c r="D676" s="402" t="e">
        <f>VLOOKUP($B676,#REF!,6,FALSE)</f>
        <v>#REF!</v>
      </c>
      <c r="E676" s="344" t="e">
        <f>VLOOKUP($B676,#REF!,7,FALSE)</f>
        <v>#REF!</v>
      </c>
    </row>
    <row r="677" spans="2:5">
      <c r="B677" s="402" t="s">
        <v>13733</v>
      </c>
      <c r="C677" s="296" t="e">
        <f>VLOOKUP($B677,#REF!,2,FALSE)</f>
        <v>#REF!</v>
      </c>
      <c r="D677" s="402" t="e">
        <f>VLOOKUP($B677,#REF!,6,FALSE)</f>
        <v>#REF!</v>
      </c>
      <c r="E677" s="344" t="e">
        <f>VLOOKUP($B677,#REF!,7,FALSE)</f>
        <v>#REF!</v>
      </c>
    </row>
    <row r="678" spans="2:5">
      <c r="B678" s="402" t="s">
        <v>13734</v>
      </c>
      <c r="C678" s="296" t="e">
        <f>VLOOKUP($B678,#REF!,2,FALSE)</f>
        <v>#REF!</v>
      </c>
      <c r="D678" s="402" t="e">
        <f>VLOOKUP($B678,#REF!,6,FALSE)</f>
        <v>#REF!</v>
      </c>
      <c r="E678" s="344" t="e">
        <f>VLOOKUP($B678,#REF!,7,FALSE)</f>
        <v>#REF!</v>
      </c>
    </row>
    <row r="679" spans="2:5">
      <c r="B679" s="402" t="s">
        <v>13735</v>
      </c>
      <c r="C679" s="296" t="e">
        <f>VLOOKUP($B679,#REF!,2,FALSE)</f>
        <v>#REF!</v>
      </c>
      <c r="D679" s="402" t="e">
        <f>VLOOKUP($B679,#REF!,6,FALSE)</f>
        <v>#REF!</v>
      </c>
      <c r="E679" s="344" t="e">
        <f>VLOOKUP($B679,#REF!,7,FALSE)</f>
        <v>#REF!</v>
      </c>
    </row>
    <row r="680" spans="2:5">
      <c r="B680" s="402" t="s">
        <v>13736</v>
      </c>
      <c r="C680" s="296" t="e">
        <f>VLOOKUP($B680,#REF!,2,FALSE)</f>
        <v>#REF!</v>
      </c>
      <c r="D680" s="402" t="e">
        <f>VLOOKUP($B680,#REF!,6,FALSE)</f>
        <v>#REF!</v>
      </c>
      <c r="E680" s="344" t="e">
        <f>VLOOKUP($B680,#REF!,7,FALSE)</f>
        <v>#REF!</v>
      </c>
    </row>
    <row r="681" spans="2:5">
      <c r="B681" s="402" t="s">
        <v>13737</v>
      </c>
      <c r="C681" s="296" t="e">
        <f>VLOOKUP($B681,#REF!,2,FALSE)</f>
        <v>#REF!</v>
      </c>
      <c r="D681" s="402" t="e">
        <f>VLOOKUP($B681,#REF!,6,FALSE)</f>
        <v>#REF!</v>
      </c>
      <c r="E681" s="344" t="e">
        <f>VLOOKUP($B681,#REF!,7,FALSE)</f>
        <v>#REF!</v>
      </c>
    </row>
  </sheetData>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sheetPr codeName="Planilha18">
    <tabColor rgb="FFFFCCFF"/>
  </sheetPr>
  <dimension ref="A1:I660"/>
  <sheetViews>
    <sheetView showZeros="0" view="pageBreakPreview" zoomScale="80" zoomScaleSheetLayoutView="80" workbookViewId="0">
      <selection activeCell="B9" sqref="B9:F9"/>
    </sheetView>
  </sheetViews>
  <sheetFormatPr defaultRowHeight="12.75"/>
  <cols>
    <col min="1" max="1" width="9.140625" style="364"/>
    <col min="2" max="2" width="24.7109375" style="364" customWidth="1"/>
    <col min="3" max="3" width="50.7109375" style="364" customWidth="1"/>
    <col min="4" max="4" width="47.7109375" style="364" customWidth="1"/>
    <col min="5" max="5" width="13.42578125" style="364" customWidth="1"/>
    <col min="6" max="6" width="10.7109375" style="838" customWidth="1"/>
    <col min="7" max="8" width="13.28515625" style="364" bestFit="1" customWidth="1"/>
    <col min="9" max="13" width="9.140625" style="364"/>
    <col min="14" max="14" width="9.5703125" style="364" bestFit="1" customWidth="1"/>
    <col min="15" max="257" width="9.140625" style="364"/>
    <col min="258" max="258" width="9.28515625" style="364" customWidth="1"/>
    <col min="259" max="259" width="46.42578125" style="364" customWidth="1"/>
    <col min="260" max="260" width="38.42578125" style="364" customWidth="1"/>
    <col min="261" max="261" width="10.7109375" style="364" customWidth="1"/>
    <col min="262" max="262" width="14" style="364" customWidth="1"/>
    <col min="263" max="269" width="9.140625" style="364"/>
    <col min="270" max="270" width="9.5703125" style="364" bestFit="1" customWidth="1"/>
    <col min="271" max="513" width="9.140625" style="364"/>
    <col min="514" max="514" width="9.28515625" style="364" customWidth="1"/>
    <col min="515" max="515" width="46.42578125" style="364" customWidth="1"/>
    <col min="516" max="516" width="38.42578125" style="364" customWidth="1"/>
    <col min="517" max="517" width="10.7109375" style="364" customWidth="1"/>
    <col min="518" max="518" width="14" style="364" customWidth="1"/>
    <col min="519" max="525" width="9.140625" style="364"/>
    <col min="526" max="526" width="9.5703125" style="364" bestFit="1" customWidth="1"/>
    <col min="527" max="769" width="9.140625" style="364"/>
    <col min="770" max="770" width="9.28515625" style="364" customWidth="1"/>
    <col min="771" max="771" width="46.42578125" style="364" customWidth="1"/>
    <col min="772" max="772" width="38.42578125" style="364" customWidth="1"/>
    <col min="773" max="773" width="10.7109375" style="364" customWidth="1"/>
    <col min="774" max="774" width="14" style="364" customWidth="1"/>
    <col min="775" max="781" width="9.140625" style="364"/>
    <col min="782" max="782" width="9.5703125" style="364" bestFit="1" customWidth="1"/>
    <col min="783" max="1025" width="9.140625" style="364"/>
    <col min="1026" max="1026" width="9.28515625" style="364" customWidth="1"/>
    <col min="1027" max="1027" width="46.42578125" style="364" customWidth="1"/>
    <col min="1028" max="1028" width="38.42578125" style="364" customWidth="1"/>
    <col min="1029" max="1029" width="10.7109375" style="364" customWidth="1"/>
    <col min="1030" max="1030" width="14" style="364" customWidth="1"/>
    <col min="1031" max="1037" width="9.140625" style="364"/>
    <col min="1038" max="1038" width="9.5703125" style="364" bestFit="1" customWidth="1"/>
    <col min="1039" max="1281" width="9.140625" style="364"/>
    <col min="1282" max="1282" width="9.28515625" style="364" customWidth="1"/>
    <col min="1283" max="1283" width="46.42578125" style="364" customWidth="1"/>
    <col min="1284" max="1284" width="38.42578125" style="364" customWidth="1"/>
    <col min="1285" max="1285" width="10.7109375" style="364" customWidth="1"/>
    <col min="1286" max="1286" width="14" style="364" customWidth="1"/>
    <col min="1287" max="1293" width="9.140625" style="364"/>
    <col min="1294" max="1294" width="9.5703125" style="364" bestFit="1" customWidth="1"/>
    <col min="1295" max="1537" width="9.140625" style="364"/>
    <col min="1538" max="1538" width="9.28515625" style="364" customWidth="1"/>
    <col min="1539" max="1539" width="46.42578125" style="364" customWidth="1"/>
    <col min="1540" max="1540" width="38.42578125" style="364" customWidth="1"/>
    <col min="1541" max="1541" width="10.7109375" style="364" customWidth="1"/>
    <col min="1542" max="1542" width="14" style="364" customWidth="1"/>
    <col min="1543" max="1549" width="9.140625" style="364"/>
    <col min="1550" max="1550" width="9.5703125" style="364" bestFit="1" customWidth="1"/>
    <col min="1551" max="1793" width="9.140625" style="364"/>
    <col min="1794" max="1794" width="9.28515625" style="364" customWidth="1"/>
    <col min="1795" max="1795" width="46.42578125" style="364" customWidth="1"/>
    <col min="1796" max="1796" width="38.42578125" style="364" customWidth="1"/>
    <col min="1797" max="1797" width="10.7109375" style="364" customWidth="1"/>
    <col min="1798" max="1798" width="14" style="364" customWidth="1"/>
    <col min="1799" max="1805" width="9.140625" style="364"/>
    <col min="1806" max="1806" width="9.5703125" style="364" bestFit="1" customWidth="1"/>
    <col min="1807" max="2049" width="9.140625" style="364"/>
    <col min="2050" max="2050" width="9.28515625" style="364" customWidth="1"/>
    <col min="2051" max="2051" width="46.42578125" style="364" customWidth="1"/>
    <col min="2052" max="2052" width="38.42578125" style="364" customWidth="1"/>
    <col min="2053" max="2053" width="10.7109375" style="364" customWidth="1"/>
    <col min="2054" max="2054" width="14" style="364" customWidth="1"/>
    <col min="2055" max="2061" width="9.140625" style="364"/>
    <col min="2062" max="2062" width="9.5703125" style="364" bestFit="1" customWidth="1"/>
    <col min="2063" max="2305" width="9.140625" style="364"/>
    <col min="2306" max="2306" width="9.28515625" style="364" customWidth="1"/>
    <col min="2307" max="2307" width="46.42578125" style="364" customWidth="1"/>
    <col min="2308" max="2308" width="38.42578125" style="364" customWidth="1"/>
    <col min="2309" max="2309" width="10.7109375" style="364" customWidth="1"/>
    <col min="2310" max="2310" width="14" style="364" customWidth="1"/>
    <col min="2311" max="2317" width="9.140625" style="364"/>
    <col min="2318" max="2318" width="9.5703125" style="364" bestFit="1" customWidth="1"/>
    <col min="2319" max="2561" width="9.140625" style="364"/>
    <col min="2562" max="2562" width="9.28515625" style="364" customWidth="1"/>
    <col min="2563" max="2563" width="46.42578125" style="364" customWidth="1"/>
    <col min="2564" max="2564" width="38.42578125" style="364" customWidth="1"/>
    <col min="2565" max="2565" width="10.7109375" style="364" customWidth="1"/>
    <col min="2566" max="2566" width="14" style="364" customWidth="1"/>
    <col min="2567" max="2573" width="9.140625" style="364"/>
    <col min="2574" max="2574" width="9.5703125" style="364" bestFit="1" customWidth="1"/>
    <col min="2575" max="2817" width="9.140625" style="364"/>
    <col min="2818" max="2818" width="9.28515625" style="364" customWidth="1"/>
    <col min="2819" max="2819" width="46.42578125" style="364" customWidth="1"/>
    <col min="2820" max="2820" width="38.42578125" style="364" customWidth="1"/>
    <col min="2821" max="2821" width="10.7109375" style="364" customWidth="1"/>
    <col min="2822" max="2822" width="14" style="364" customWidth="1"/>
    <col min="2823" max="2829" width="9.140625" style="364"/>
    <col min="2830" max="2830" width="9.5703125" style="364" bestFit="1" customWidth="1"/>
    <col min="2831" max="3073" width="9.140625" style="364"/>
    <col min="3074" max="3074" width="9.28515625" style="364" customWidth="1"/>
    <col min="3075" max="3075" width="46.42578125" style="364" customWidth="1"/>
    <col min="3076" max="3076" width="38.42578125" style="364" customWidth="1"/>
    <col min="3077" max="3077" width="10.7109375" style="364" customWidth="1"/>
    <col min="3078" max="3078" width="14" style="364" customWidth="1"/>
    <col min="3079" max="3085" width="9.140625" style="364"/>
    <col min="3086" max="3086" width="9.5703125" style="364" bestFit="1" customWidth="1"/>
    <col min="3087" max="3329" width="9.140625" style="364"/>
    <col min="3330" max="3330" width="9.28515625" style="364" customWidth="1"/>
    <col min="3331" max="3331" width="46.42578125" style="364" customWidth="1"/>
    <col min="3332" max="3332" width="38.42578125" style="364" customWidth="1"/>
    <col min="3333" max="3333" width="10.7109375" style="364" customWidth="1"/>
    <col min="3334" max="3334" width="14" style="364" customWidth="1"/>
    <col min="3335" max="3341" width="9.140625" style="364"/>
    <col min="3342" max="3342" width="9.5703125" style="364" bestFit="1" customWidth="1"/>
    <col min="3343" max="3585" width="9.140625" style="364"/>
    <col min="3586" max="3586" width="9.28515625" style="364" customWidth="1"/>
    <col min="3587" max="3587" width="46.42578125" style="364" customWidth="1"/>
    <col min="3588" max="3588" width="38.42578125" style="364" customWidth="1"/>
    <col min="3589" max="3589" width="10.7109375" style="364" customWidth="1"/>
    <col min="3590" max="3590" width="14" style="364" customWidth="1"/>
    <col min="3591" max="3597" width="9.140625" style="364"/>
    <col min="3598" max="3598" width="9.5703125" style="364" bestFit="1" customWidth="1"/>
    <col min="3599" max="3841" width="9.140625" style="364"/>
    <col min="3842" max="3842" width="9.28515625" style="364" customWidth="1"/>
    <col min="3843" max="3843" width="46.42578125" style="364" customWidth="1"/>
    <col min="3844" max="3844" width="38.42578125" style="364" customWidth="1"/>
    <col min="3845" max="3845" width="10.7109375" style="364" customWidth="1"/>
    <col min="3846" max="3846" width="14" style="364" customWidth="1"/>
    <col min="3847" max="3853" width="9.140625" style="364"/>
    <col min="3854" max="3854" width="9.5703125" style="364" bestFit="1" customWidth="1"/>
    <col min="3855" max="4097" width="9.140625" style="364"/>
    <col min="4098" max="4098" width="9.28515625" style="364" customWidth="1"/>
    <col min="4099" max="4099" width="46.42578125" style="364" customWidth="1"/>
    <col min="4100" max="4100" width="38.42578125" style="364" customWidth="1"/>
    <col min="4101" max="4101" width="10.7109375" style="364" customWidth="1"/>
    <col min="4102" max="4102" width="14" style="364" customWidth="1"/>
    <col min="4103" max="4109" width="9.140625" style="364"/>
    <col min="4110" max="4110" width="9.5703125" style="364" bestFit="1" customWidth="1"/>
    <col min="4111" max="4353" width="9.140625" style="364"/>
    <col min="4354" max="4354" width="9.28515625" style="364" customWidth="1"/>
    <col min="4355" max="4355" width="46.42578125" style="364" customWidth="1"/>
    <col min="4356" max="4356" width="38.42578125" style="364" customWidth="1"/>
    <col min="4357" max="4357" width="10.7109375" style="364" customWidth="1"/>
    <col min="4358" max="4358" width="14" style="364" customWidth="1"/>
    <col min="4359" max="4365" width="9.140625" style="364"/>
    <col min="4366" max="4366" width="9.5703125" style="364" bestFit="1" customWidth="1"/>
    <col min="4367" max="4609" width="9.140625" style="364"/>
    <col min="4610" max="4610" width="9.28515625" style="364" customWidth="1"/>
    <col min="4611" max="4611" width="46.42578125" style="364" customWidth="1"/>
    <col min="4612" max="4612" width="38.42578125" style="364" customWidth="1"/>
    <col min="4613" max="4613" width="10.7109375" style="364" customWidth="1"/>
    <col min="4614" max="4614" width="14" style="364" customWidth="1"/>
    <col min="4615" max="4621" width="9.140625" style="364"/>
    <col min="4622" max="4622" width="9.5703125" style="364" bestFit="1" customWidth="1"/>
    <col min="4623" max="4865" width="9.140625" style="364"/>
    <col min="4866" max="4866" width="9.28515625" style="364" customWidth="1"/>
    <col min="4867" max="4867" width="46.42578125" style="364" customWidth="1"/>
    <col min="4868" max="4868" width="38.42578125" style="364" customWidth="1"/>
    <col min="4869" max="4869" width="10.7109375" style="364" customWidth="1"/>
    <col min="4870" max="4870" width="14" style="364" customWidth="1"/>
    <col min="4871" max="4877" width="9.140625" style="364"/>
    <col min="4878" max="4878" width="9.5703125" style="364" bestFit="1" customWidth="1"/>
    <col min="4879" max="5121" width="9.140625" style="364"/>
    <col min="5122" max="5122" width="9.28515625" style="364" customWidth="1"/>
    <col min="5123" max="5123" width="46.42578125" style="364" customWidth="1"/>
    <col min="5124" max="5124" width="38.42578125" style="364" customWidth="1"/>
    <col min="5125" max="5125" width="10.7109375" style="364" customWidth="1"/>
    <col min="5126" max="5126" width="14" style="364" customWidth="1"/>
    <col min="5127" max="5133" width="9.140625" style="364"/>
    <col min="5134" max="5134" width="9.5703125" style="364" bestFit="1" customWidth="1"/>
    <col min="5135" max="5377" width="9.140625" style="364"/>
    <col min="5378" max="5378" width="9.28515625" style="364" customWidth="1"/>
    <col min="5379" max="5379" width="46.42578125" style="364" customWidth="1"/>
    <col min="5380" max="5380" width="38.42578125" style="364" customWidth="1"/>
    <col min="5381" max="5381" width="10.7109375" style="364" customWidth="1"/>
    <col min="5382" max="5382" width="14" style="364" customWidth="1"/>
    <col min="5383" max="5389" width="9.140625" style="364"/>
    <col min="5390" max="5390" width="9.5703125" style="364" bestFit="1" customWidth="1"/>
    <col min="5391" max="5633" width="9.140625" style="364"/>
    <col min="5634" max="5634" width="9.28515625" style="364" customWidth="1"/>
    <col min="5635" max="5635" width="46.42578125" style="364" customWidth="1"/>
    <col min="5636" max="5636" width="38.42578125" style="364" customWidth="1"/>
    <col min="5637" max="5637" width="10.7109375" style="364" customWidth="1"/>
    <col min="5638" max="5638" width="14" style="364" customWidth="1"/>
    <col min="5639" max="5645" width="9.140625" style="364"/>
    <col min="5646" max="5646" width="9.5703125" style="364" bestFit="1" customWidth="1"/>
    <col min="5647" max="5889" width="9.140625" style="364"/>
    <col min="5890" max="5890" width="9.28515625" style="364" customWidth="1"/>
    <col min="5891" max="5891" width="46.42578125" style="364" customWidth="1"/>
    <col min="5892" max="5892" width="38.42578125" style="364" customWidth="1"/>
    <col min="5893" max="5893" width="10.7109375" style="364" customWidth="1"/>
    <col min="5894" max="5894" width="14" style="364" customWidth="1"/>
    <col min="5895" max="5901" width="9.140625" style="364"/>
    <col min="5902" max="5902" width="9.5703125" style="364" bestFit="1" customWidth="1"/>
    <col min="5903" max="6145" width="9.140625" style="364"/>
    <col min="6146" max="6146" width="9.28515625" style="364" customWidth="1"/>
    <col min="6147" max="6147" width="46.42578125" style="364" customWidth="1"/>
    <col min="6148" max="6148" width="38.42578125" style="364" customWidth="1"/>
    <col min="6149" max="6149" width="10.7109375" style="364" customWidth="1"/>
    <col min="6150" max="6150" width="14" style="364" customWidth="1"/>
    <col min="6151" max="6157" width="9.140625" style="364"/>
    <col min="6158" max="6158" width="9.5703125" style="364" bestFit="1" customWidth="1"/>
    <col min="6159" max="6401" width="9.140625" style="364"/>
    <col min="6402" max="6402" width="9.28515625" style="364" customWidth="1"/>
    <col min="6403" max="6403" width="46.42578125" style="364" customWidth="1"/>
    <col min="6404" max="6404" width="38.42578125" style="364" customWidth="1"/>
    <col min="6405" max="6405" width="10.7109375" style="364" customWidth="1"/>
    <col min="6406" max="6406" width="14" style="364" customWidth="1"/>
    <col min="6407" max="6413" width="9.140625" style="364"/>
    <col min="6414" max="6414" width="9.5703125" style="364" bestFit="1" customWidth="1"/>
    <col min="6415" max="6657" width="9.140625" style="364"/>
    <col min="6658" max="6658" width="9.28515625" style="364" customWidth="1"/>
    <col min="6659" max="6659" width="46.42578125" style="364" customWidth="1"/>
    <col min="6660" max="6660" width="38.42578125" style="364" customWidth="1"/>
    <col min="6661" max="6661" width="10.7109375" style="364" customWidth="1"/>
    <col min="6662" max="6662" width="14" style="364" customWidth="1"/>
    <col min="6663" max="6669" width="9.140625" style="364"/>
    <col min="6670" max="6670" width="9.5703125" style="364" bestFit="1" customWidth="1"/>
    <col min="6671" max="6913" width="9.140625" style="364"/>
    <col min="6914" max="6914" width="9.28515625" style="364" customWidth="1"/>
    <col min="6915" max="6915" width="46.42578125" style="364" customWidth="1"/>
    <col min="6916" max="6916" width="38.42578125" style="364" customWidth="1"/>
    <col min="6917" max="6917" width="10.7109375" style="364" customWidth="1"/>
    <col min="6918" max="6918" width="14" style="364" customWidth="1"/>
    <col min="6919" max="6925" width="9.140625" style="364"/>
    <col min="6926" max="6926" width="9.5703125" style="364" bestFit="1" customWidth="1"/>
    <col min="6927" max="7169" width="9.140625" style="364"/>
    <col min="7170" max="7170" width="9.28515625" style="364" customWidth="1"/>
    <col min="7171" max="7171" width="46.42578125" style="364" customWidth="1"/>
    <col min="7172" max="7172" width="38.42578125" style="364" customWidth="1"/>
    <col min="7173" max="7173" width="10.7109375" style="364" customWidth="1"/>
    <col min="7174" max="7174" width="14" style="364" customWidth="1"/>
    <col min="7175" max="7181" width="9.140625" style="364"/>
    <col min="7182" max="7182" width="9.5703125" style="364" bestFit="1" customWidth="1"/>
    <col min="7183" max="7425" width="9.140625" style="364"/>
    <col min="7426" max="7426" width="9.28515625" style="364" customWidth="1"/>
    <col min="7427" max="7427" width="46.42578125" style="364" customWidth="1"/>
    <col min="7428" max="7428" width="38.42578125" style="364" customWidth="1"/>
    <col min="7429" max="7429" width="10.7109375" style="364" customWidth="1"/>
    <col min="7430" max="7430" width="14" style="364" customWidth="1"/>
    <col min="7431" max="7437" width="9.140625" style="364"/>
    <col min="7438" max="7438" width="9.5703125" style="364" bestFit="1" customWidth="1"/>
    <col min="7439" max="7681" width="9.140625" style="364"/>
    <col min="7682" max="7682" width="9.28515625" style="364" customWidth="1"/>
    <col min="7683" max="7683" width="46.42578125" style="364" customWidth="1"/>
    <col min="7684" max="7684" width="38.42578125" style="364" customWidth="1"/>
    <col min="7685" max="7685" width="10.7109375" style="364" customWidth="1"/>
    <col min="7686" max="7686" width="14" style="364" customWidth="1"/>
    <col min="7687" max="7693" width="9.140625" style="364"/>
    <col min="7694" max="7694" width="9.5703125" style="364" bestFit="1" customWidth="1"/>
    <col min="7695" max="7937" width="9.140625" style="364"/>
    <col min="7938" max="7938" width="9.28515625" style="364" customWidth="1"/>
    <col min="7939" max="7939" width="46.42578125" style="364" customWidth="1"/>
    <col min="7940" max="7940" width="38.42578125" style="364" customWidth="1"/>
    <col min="7941" max="7941" width="10.7109375" style="364" customWidth="1"/>
    <col min="7942" max="7942" width="14" style="364" customWidth="1"/>
    <col min="7943" max="7949" width="9.140625" style="364"/>
    <col min="7950" max="7950" width="9.5703125" style="364" bestFit="1" customWidth="1"/>
    <col min="7951" max="8193" width="9.140625" style="364"/>
    <col min="8194" max="8194" width="9.28515625" style="364" customWidth="1"/>
    <col min="8195" max="8195" width="46.42578125" style="364" customWidth="1"/>
    <col min="8196" max="8196" width="38.42578125" style="364" customWidth="1"/>
    <col min="8197" max="8197" width="10.7109375" style="364" customWidth="1"/>
    <col min="8198" max="8198" width="14" style="364" customWidth="1"/>
    <col min="8199" max="8205" width="9.140625" style="364"/>
    <col min="8206" max="8206" width="9.5703125" style="364" bestFit="1" customWidth="1"/>
    <col min="8207" max="8449" width="9.140625" style="364"/>
    <col min="8450" max="8450" width="9.28515625" style="364" customWidth="1"/>
    <col min="8451" max="8451" width="46.42578125" style="364" customWidth="1"/>
    <col min="8452" max="8452" width="38.42578125" style="364" customWidth="1"/>
    <col min="8453" max="8453" width="10.7109375" style="364" customWidth="1"/>
    <col min="8454" max="8454" width="14" style="364" customWidth="1"/>
    <col min="8455" max="8461" width="9.140625" style="364"/>
    <col min="8462" max="8462" width="9.5703125" style="364" bestFit="1" customWidth="1"/>
    <col min="8463" max="8705" width="9.140625" style="364"/>
    <col min="8706" max="8706" width="9.28515625" style="364" customWidth="1"/>
    <col min="8707" max="8707" width="46.42578125" style="364" customWidth="1"/>
    <col min="8708" max="8708" width="38.42578125" style="364" customWidth="1"/>
    <col min="8709" max="8709" width="10.7109375" style="364" customWidth="1"/>
    <col min="8710" max="8710" width="14" style="364" customWidth="1"/>
    <col min="8711" max="8717" width="9.140625" style="364"/>
    <col min="8718" max="8718" width="9.5703125" style="364" bestFit="1" customWidth="1"/>
    <col min="8719" max="8961" width="9.140625" style="364"/>
    <col min="8962" max="8962" width="9.28515625" style="364" customWidth="1"/>
    <col min="8963" max="8963" width="46.42578125" style="364" customWidth="1"/>
    <col min="8964" max="8964" width="38.42578125" style="364" customWidth="1"/>
    <col min="8965" max="8965" width="10.7109375" style="364" customWidth="1"/>
    <col min="8966" max="8966" width="14" style="364" customWidth="1"/>
    <col min="8967" max="8973" width="9.140625" style="364"/>
    <col min="8974" max="8974" width="9.5703125" style="364" bestFit="1" customWidth="1"/>
    <col min="8975" max="9217" width="9.140625" style="364"/>
    <col min="9218" max="9218" width="9.28515625" style="364" customWidth="1"/>
    <col min="9219" max="9219" width="46.42578125" style="364" customWidth="1"/>
    <col min="9220" max="9220" width="38.42578125" style="364" customWidth="1"/>
    <col min="9221" max="9221" width="10.7109375" style="364" customWidth="1"/>
    <col min="9222" max="9222" width="14" style="364" customWidth="1"/>
    <col min="9223" max="9229" width="9.140625" style="364"/>
    <col min="9230" max="9230" width="9.5703125" style="364" bestFit="1" customWidth="1"/>
    <col min="9231" max="9473" width="9.140625" style="364"/>
    <col min="9474" max="9474" width="9.28515625" style="364" customWidth="1"/>
    <col min="9475" max="9475" width="46.42578125" style="364" customWidth="1"/>
    <col min="9476" max="9476" width="38.42578125" style="364" customWidth="1"/>
    <col min="9477" max="9477" width="10.7109375" style="364" customWidth="1"/>
    <col min="9478" max="9478" width="14" style="364" customWidth="1"/>
    <col min="9479" max="9485" width="9.140625" style="364"/>
    <col min="9486" max="9486" width="9.5703125" style="364" bestFit="1" customWidth="1"/>
    <col min="9487" max="9729" width="9.140625" style="364"/>
    <col min="9730" max="9730" width="9.28515625" style="364" customWidth="1"/>
    <col min="9731" max="9731" width="46.42578125" style="364" customWidth="1"/>
    <col min="9732" max="9732" width="38.42578125" style="364" customWidth="1"/>
    <col min="9733" max="9733" width="10.7109375" style="364" customWidth="1"/>
    <col min="9734" max="9734" width="14" style="364" customWidth="1"/>
    <col min="9735" max="9741" width="9.140625" style="364"/>
    <col min="9742" max="9742" width="9.5703125" style="364" bestFit="1" customWidth="1"/>
    <col min="9743" max="9985" width="9.140625" style="364"/>
    <col min="9986" max="9986" width="9.28515625" style="364" customWidth="1"/>
    <col min="9987" max="9987" width="46.42578125" style="364" customWidth="1"/>
    <col min="9988" max="9988" width="38.42578125" style="364" customWidth="1"/>
    <col min="9989" max="9989" width="10.7109375" style="364" customWidth="1"/>
    <col min="9990" max="9990" width="14" style="364" customWidth="1"/>
    <col min="9991" max="9997" width="9.140625" style="364"/>
    <col min="9998" max="9998" width="9.5703125" style="364" bestFit="1" customWidth="1"/>
    <col min="9999" max="10241" width="9.140625" style="364"/>
    <col min="10242" max="10242" width="9.28515625" style="364" customWidth="1"/>
    <col min="10243" max="10243" width="46.42578125" style="364" customWidth="1"/>
    <col min="10244" max="10244" width="38.42578125" style="364" customWidth="1"/>
    <col min="10245" max="10245" width="10.7109375" style="364" customWidth="1"/>
    <col min="10246" max="10246" width="14" style="364" customWidth="1"/>
    <col min="10247" max="10253" width="9.140625" style="364"/>
    <col min="10254" max="10254" width="9.5703125" style="364" bestFit="1" customWidth="1"/>
    <col min="10255" max="10497" width="9.140625" style="364"/>
    <col min="10498" max="10498" width="9.28515625" style="364" customWidth="1"/>
    <col min="10499" max="10499" width="46.42578125" style="364" customWidth="1"/>
    <col min="10500" max="10500" width="38.42578125" style="364" customWidth="1"/>
    <col min="10501" max="10501" width="10.7109375" style="364" customWidth="1"/>
    <col min="10502" max="10502" width="14" style="364" customWidth="1"/>
    <col min="10503" max="10509" width="9.140625" style="364"/>
    <col min="10510" max="10510" width="9.5703125" style="364" bestFit="1" customWidth="1"/>
    <col min="10511" max="10753" width="9.140625" style="364"/>
    <col min="10754" max="10754" width="9.28515625" style="364" customWidth="1"/>
    <col min="10755" max="10755" width="46.42578125" style="364" customWidth="1"/>
    <col min="10756" max="10756" width="38.42578125" style="364" customWidth="1"/>
    <col min="10757" max="10757" width="10.7109375" style="364" customWidth="1"/>
    <col min="10758" max="10758" width="14" style="364" customWidth="1"/>
    <col min="10759" max="10765" width="9.140625" style="364"/>
    <col min="10766" max="10766" width="9.5703125" style="364" bestFit="1" customWidth="1"/>
    <col min="10767" max="11009" width="9.140625" style="364"/>
    <col min="11010" max="11010" width="9.28515625" style="364" customWidth="1"/>
    <col min="11011" max="11011" width="46.42578125" style="364" customWidth="1"/>
    <col min="11012" max="11012" width="38.42578125" style="364" customWidth="1"/>
    <col min="11013" max="11013" width="10.7109375" style="364" customWidth="1"/>
    <col min="11014" max="11014" width="14" style="364" customWidth="1"/>
    <col min="11015" max="11021" width="9.140625" style="364"/>
    <col min="11022" max="11022" width="9.5703125" style="364" bestFit="1" customWidth="1"/>
    <col min="11023" max="11265" width="9.140625" style="364"/>
    <col min="11266" max="11266" width="9.28515625" style="364" customWidth="1"/>
    <col min="11267" max="11267" width="46.42578125" style="364" customWidth="1"/>
    <col min="11268" max="11268" width="38.42578125" style="364" customWidth="1"/>
    <col min="11269" max="11269" width="10.7109375" style="364" customWidth="1"/>
    <col min="11270" max="11270" width="14" style="364" customWidth="1"/>
    <col min="11271" max="11277" width="9.140625" style="364"/>
    <col min="11278" max="11278" width="9.5703125" style="364" bestFit="1" customWidth="1"/>
    <col min="11279" max="11521" width="9.140625" style="364"/>
    <col min="11522" max="11522" width="9.28515625" style="364" customWidth="1"/>
    <col min="11523" max="11523" width="46.42578125" style="364" customWidth="1"/>
    <col min="11524" max="11524" width="38.42578125" style="364" customWidth="1"/>
    <col min="11525" max="11525" width="10.7109375" style="364" customWidth="1"/>
    <col min="11526" max="11526" width="14" style="364" customWidth="1"/>
    <col min="11527" max="11533" width="9.140625" style="364"/>
    <col min="11534" max="11534" width="9.5703125" style="364" bestFit="1" customWidth="1"/>
    <col min="11535" max="11777" width="9.140625" style="364"/>
    <col min="11778" max="11778" width="9.28515625" style="364" customWidth="1"/>
    <col min="11779" max="11779" width="46.42578125" style="364" customWidth="1"/>
    <col min="11780" max="11780" width="38.42578125" style="364" customWidth="1"/>
    <col min="11781" max="11781" width="10.7109375" style="364" customWidth="1"/>
    <col min="11782" max="11782" width="14" style="364" customWidth="1"/>
    <col min="11783" max="11789" width="9.140625" style="364"/>
    <col min="11790" max="11790" width="9.5703125" style="364" bestFit="1" customWidth="1"/>
    <col min="11791" max="12033" width="9.140625" style="364"/>
    <col min="12034" max="12034" width="9.28515625" style="364" customWidth="1"/>
    <col min="12035" max="12035" width="46.42578125" style="364" customWidth="1"/>
    <col min="12036" max="12036" width="38.42578125" style="364" customWidth="1"/>
    <col min="12037" max="12037" width="10.7109375" style="364" customWidth="1"/>
    <col min="12038" max="12038" width="14" style="364" customWidth="1"/>
    <col min="12039" max="12045" width="9.140625" style="364"/>
    <col min="12046" max="12046" width="9.5703125" style="364" bestFit="1" customWidth="1"/>
    <col min="12047" max="12289" width="9.140625" style="364"/>
    <col min="12290" max="12290" width="9.28515625" style="364" customWidth="1"/>
    <col min="12291" max="12291" width="46.42578125" style="364" customWidth="1"/>
    <col min="12292" max="12292" width="38.42578125" style="364" customWidth="1"/>
    <col min="12293" max="12293" width="10.7109375" style="364" customWidth="1"/>
    <col min="12294" max="12294" width="14" style="364" customWidth="1"/>
    <col min="12295" max="12301" width="9.140625" style="364"/>
    <col min="12302" max="12302" width="9.5703125" style="364" bestFit="1" customWidth="1"/>
    <col min="12303" max="12545" width="9.140625" style="364"/>
    <col min="12546" max="12546" width="9.28515625" style="364" customWidth="1"/>
    <col min="12547" max="12547" width="46.42578125" style="364" customWidth="1"/>
    <col min="12548" max="12548" width="38.42578125" style="364" customWidth="1"/>
    <col min="12549" max="12549" width="10.7109375" style="364" customWidth="1"/>
    <col min="12550" max="12550" width="14" style="364" customWidth="1"/>
    <col min="12551" max="12557" width="9.140625" style="364"/>
    <col min="12558" max="12558" width="9.5703125" style="364" bestFit="1" customWidth="1"/>
    <col min="12559" max="12801" width="9.140625" style="364"/>
    <col min="12802" max="12802" width="9.28515625" style="364" customWidth="1"/>
    <col min="12803" max="12803" width="46.42578125" style="364" customWidth="1"/>
    <col min="12804" max="12804" width="38.42578125" style="364" customWidth="1"/>
    <col min="12805" max="12805" width="10.7109375" style="364" customWidth="1"/>
    <col min="12806" max="12806" width="14" style="364" customWidth="1"/>
    <col min="12807" max="12813" width="9.140625" style="364"/>
    <col min="12814" max="12814" width="9.5703125" style="364" bestFit="1" customWidth="1"/>
    <col min="12815" max="13057" width="9.140625" style="364"/>
    <col min="13058" max="13058" width="9.28515625" style="364" customWidth="1"/>
    <col min="13059" max="13059" width="46.42578125" style="364" customWidth="1"/>
    <col min="13060" max="13060" width="38.42578125" style="364" customWidth="1"/>
    <col min="13061" max="13061" width="10.7109375" style="364" customWidth="1"/>
    <col min="13062" max="13062" width="14" style="364" customWidth="1"/>
    <col min="13063" max="13069" width="9.140625" style="364"/>
    <col min="13070" max="13070" width="9.5703125" style="364" bestFit="1" customWidth="1"/>
    <col min="13071" max="13313" width="9.140625" style="364"/>
    <col min="13314" max="13314" width="9.28515625" style="364" customWidth="1"/>
    <col min="13315" max="13315" width="46.42578125" style="364" customWidth="1"/>
    <col min="13316" max="13316" width="38.42578125" style="364" customWidth="1"/>
    <col min="13317" max="13317" width="10.7109375" style="364" customWidth="1"/>
    <col min="13318" max="13318" width="14" style="364" customWidth="1"/>
    <col min="13319" max="13325" width="9.140625" style="364"/>
    <col min="13326" max="13326" width="9.5703125" style="364" bestFit="1" customWidth="1"/>
    <col min="13327" max="13569" width="9.140625" style="364"/>
    <col min="13570" max="13570" width="9.28515625" style="364" customWidth="1"/>
    <col min="13571" max="13571" width="46.42578125" style="364" customWidth="1"/>
    <col min="13572" max="13572" width="38.42578125" style="364" customWidth="1"/>
    <col min="13573" max="13573" width="10.7109375" style="364" customWidth="1"/>
    <col min="13574" max="13574" width="14" style="364" customWidth="1"/>
    <col min="13575" max="13581" width="9.140625" style="364"/>
    <col min="13582" max="13582" width="9.5703125" style="364" bestFit="1" customWidth="1"/>
    <col min="13583" max="13825" width="9.140625" style="364"/>
    <col min="13826" max="13826" width="9.28515625" style="364" customWidth="1"/>
    <col min="13827" max="13827" width="46.42578125" style="364" customWidth="1"/>
    <col min="13828" max="13828" width="38.42578125" style="364" customWidth="1"/>
    <col min="13829" max="13829" width="10.7109375" style="364" customWidth="1"/>
    <col min="13830" max="13830" width="14" style="364" customWidth="1"/>
    <col min="13831" max="13837" width="9.140625" style="364"/>
    <col min="13838" max="13838" width="9.5703125" style="364" bestFit="1" customWidth="1"/>
    <col min="13839" max="14081" width="9.140625" style="364"/>
    <col min="14082" max="14082" width="9.28515625" style="364" customWidth="1"/>
    <col min="14083" max="14083" width="46.42578125" style="364" customWidth="1"/>
    <col min="14084" max="14084" width="38.42578125" style="364" customWidth="1"/>
    <col min="14085" max="14085" width="10.7109375" style="364" customWidth="1"/>
    <col min="14086" max="14086" width="14" style="364" customWidth="1"/>
    <col min="14087" max="14093" width="9.140625" style="364"/>
    <col min="14094" max="14094" width="9.5703125" style="364" bestFit="1" customWidth="1"/>
    <col min="14095" max="14337" width="9.140625" style="364"/>
    <col min="14338" max="14338" width="9.28515625" style="364" customWidth="1"/>
    <col min="14339" max="14339" width="46.42578125" style="364" customWidth="1"/>
    <col min="14340" max="14340" width="38.42578125" style="364" customWidth="1"/>
    <col min="14341" max="14341" width="10.7109375" style="364" customWidth="1"/>
    <col min="14342" max="14342" width="14" style="364" customWidth="1"/>
    <col min="14343" max="14349" width="9.140625" style="364"/>
    <col min="14350" max="14350" width="9.5703125" style="364" bestFit="1" customWidth="1"/>
    <col min="14351" max="14593" width="9.140625" style="364"/>
    <col min="14594" max="14594" width="9.28515625" style="364" customWidth="1"/>
    <col min="14595" max="14595" width="46.42578125" style="364" customWidth="1"/>
    <col min="14596" max="14596" width="38.42578125" style="364" customWidth="1"/>
    <col min="14597" max="14597" width="10.7109375" style="364" customWidth="1"/>
    <col min="14598" max="14598" width="14" style="364" customWidth="1"/>
    <col min="14599" max="14605" width="9.140625" style="364"/>
    <col min="14606" max="14606" width="9.5703125" style="364" bestFit="1" customWidth="1"/>
    <col min="14607" max="14849" width="9.140625" style="364"/>
    <col min="14850" max="14850" width="9.28515625" style="364" customWidth="1"/>
    <col min="14851" max="14851" width="46.42578125" style="364" customWidth="1"/>
    <col min="14852" max="14852" width="38.42578125" style="364" customWidth="1"/>
    <col min="14853" max="14853" width="10.7109375" style="364" customWidth="1"/>
    <col min="14854" max="14854" width="14" style="364" customWidth="1"/>
    <col min="14855" max="14861" width="9.140625" style="364"/>
    <col min="14862" max="14862" width="9.5703125" style="364" bestFit="1" customWidth="1"/>
    <col min="14863" max="15105" width="9.140625" style="364"/>
    <col min="15106" max="15106" width="9.28515625" style="364" customWidth="1"/>
    <col min="15107" max="15107" width="46.42578125" style="364" customWidth="1"/>
    <col min="15108" max="15108" width="38.42578125" style="364" customWidth="1"/>
    <col min="15109" max="15109" width="10.7109375" style="364" customWidth="1"/>
    <col min="15110" max="15110" width="14" style="364" customWidth="1"/>
    <col min="15111" max="15117" width="9.140625" style="364"/>
    <col min="15118" max="15118" width="9.5703125" style="364" bestFit="1" customWidth="1"/>
    <col min="15119" max="15361" width="9.140625" style="364"/>
    <col min="15362" max="15362" width="9.28515625" style="364" customWidth="1"/>
    <col min="15363" max="15363" width="46.42578125" style="364" customWidth="1"/>
    <col min="15364" max="15364" width="38.42578125" style="364" customWidth="1"/>
    <col min="15365" max="15365" width="10.7109375" style="364" customWidth="1"/>
    <col min="15366" max="15366" width="14" style="364" customWidth="1"/>
    <col min="15367" max="15373" width="9.140625" style="364"/>
    <col min="15374" max="15374" width="9.5703125" style="364" bestFit="1" customWidth="1"/>
    <col min="15375" max="15617" width="9.140625" style="364"/>
    <col min="15618" max="15618" width="9.28515625" style="364" customWidth="1"/>
    <col min="15619" max="15619" width="46.42578125" style="364" customWidth="1"/>
    <col min="15620" max="15620" width="38.42578125" style="364" customWidth="1"/>
    <col min="15621" max="15621" width="10.7109375" style="364" customWidth="1"/>
    <col min="15622" max="15622" width="14" style="364" customWidth="1"/>
    <col min="15623" max="15629" width="9.140625" style="364"/>
    <col min="15630" max="15630" width="9.5703125" style="364" bestFit="1" customWidth="1"/>
    <col min="15631" max="15873" width="9.140625" style="364"/>
    <col min="15874" max="15874" width="9.28515625" style="364" customWidth="1"/>
    <col min="15875" max="15875" width="46.42578125" style="364" customWidth="1"/>
    <col min="15876" max="15876" width="38.42578125" style="364" customWidth="1"/>
    <col min="15877" max="15877" width="10.7109375" style="364" customWidth="1"/>
    <col min="15878" max="15878" width="14" style="364" customWidth="1"/>
    <col min="15879" max="15885" width="9.140625" style="364"/>
    <col min="15886" max="15886" width="9.5703125" style="364" bestFit="1" customWidth="1"/>
    <col min="15887" max="16129" width="9.140625" style="364"/>
    <col min="16130" max="16130" width="9.28515625" style="364" customWidth="1"/>
    <col min="16131" max="16131" width="46.42578125" style="364" customWidth="1"/>
    <col min="16132" max="16132" width="38.42578125" style="364" customWidth="1"/>
    <col min="16133" max="16133" width="10.7109375" style="364" customWidth="1"/>
    <col min="16134" max="16134" width="14" style="364" customWidth="1"/>
    <col min="16135" max="16141" width="9.140625" style="364"/>
    <col min="16142" max="16142" width="9.5703125" style="364" bestFit="1" customWidth="1"/>
    <col min="16143" max="16384" width="9.140625" style="364"/>
  </cols>
  <sheetData>
    <row r="1" spans="1:9" ht="25.5">
      <c r="B1" s="372"/>
    </row>
    <row r="2" spans="1:9" s="365" customFormat="1" ht="6" thickBot="1">
      <c r="B2" s="373"/>
      <c r="C2" s="374"/>
      <c r="D2" s="373"/>
      <c r="E2" s="375"/>
      <c r="F2" s="839"/>
    </row>
    <row r="3" spans="1:9" ht="18.75" customHeight="1">
      <c r="A3" s="366"/>
      <c r="B3" s="1609"/>
      <c r="C3" s="1615" t="s">
        <v>2561</v>
      </c>
      <c r="D3" s="1616"/>
      <c r="E3" s="1615"/>
      <c r="F3" s="1616"/>
    </row>
    <row r="4" spans="1:9" ht="18.75" customHeight="1">
      <c r="A4" s="366"/>
      <c r="B4" s="1610"/>
      <c r="C4" s="1617" t="s">
        <v>2997</v>
      </c>
      <c r="D4" s="1618"/>
      <c r="E4" s="1619"/>
      <c r="F4" s="1620"/>
      <c r="G4" s="471"/>
      <c r="H4" s="471"/>
      <c r="I4" s="471"/>
    </row>
    <row r="5" spans="1:9" ht="18.75" customHeight="1">
      <c r="A5" s="366"/>
      <c r="B5" s="1610"/>
      <c r="C5" s="1629" t="s">
        <v>6223</v>
      </c>
      <c r="D5" s="1630"/>
      <c r="E5" s="1619"/>
      <c r="F5" s="1620"/>
      <c r="G5" s="472"/>
      <c r="H5" s="472"/>
      <c r="I5" s="472"/>
    </row>
    <row r="6" spans="1:9" ht="18.75" customHeight="1">
      <c r="A6" s="366"/>
      <c r="B6" s="1610"/>
      <c r="C6" s="1631"/>
      <c r="D6" s="1630"/>
      <c r="E6" s="1619"/>
      <c r="F6" s="1620"/>
      <c r="G6" s="473"/>
      <c r="H6" s="473"/>
      <c r="I6" s="473"/>
    </row>
    <row r="7" spans="1:9" ht="18.75" customHeight="1" thickBot="1">
      <c r="A7" s="366"/>
      <c r="B7" s="1611"/>
      <c r="C7" s="1632"/>
      <c r="D7" s="1633"/>
      <c r="E7" s="1621"/>
      <c r="F7" s="1622"/>
      <c r="G7" s="473"/>
      <c r="H7" s="473"/>
      <c r="I7" s="473"/>
    </row>
    <row r="8" spans="1:9" s="367" customFormat="1" ht="5.25" customHeight="1">
      <c r="B8" s="474"/>
      <c r="C8" s="374"/>
      <c r="D8" s="373"/>
      <c r="E8" s="375"/>
      <c r="F8" s="840"/>
      <c r="G8" s="473"/>
      <c r="H8" s="473"/>
      <c r="I8" s="473"/>
    </row>
    <row r="9" spans="1:9" ht="20.100000000000001" customHeight="1">
      <c r="B9" s="475" t="s">
        <v>6</v>
      </c>
      <c r="C9" s="1623" t="str">
        <f>'ORÇAMENTO '!G11</f>
        <v xml:space="preserve">SISTEMA DE ABASTECIMENTO DE ÁGUA </v>
      </c>
      <c r="D9" s="1623"/>
      <c r="E9" s="1623"/>
      <c r="F9" s="1624"/>
      <c r="G9" s="473"/>
      <c r="H9" s="473"/>
      <c r="I9" s="473"/>
    </row>
    <row r="10" spans="1:9" ht="20.100000000000001" customHeight="1">
      <c r="B10" s="475" t="s">
        <v>8</v>
      </c>
      <c r="C10" s="1625" t="str">
        <f>'ORÇAMENTO '!G12</f>
        <v>SETOR PIONEIRO - MUNICÍPIO DE APIACÁS</v>
      </c>
      <c r="D10" s="1625"/>
      <c r="E10" s="1625"/>
      <c r="F10" s="1626"/>
      <c r="G10" s="473"/>
      <c r="H10" s="473"/>
      <c r="I10" s="473"/>
    </row>
    <row r="11" spans="1:9" ht="20.100000000000001" customHeight="1" thickBot="1">
      <c r="B11" s="476" t="s">
        <v>7</v>
      </c>
      <c r="C11" s="1627">
        <f ca="1">'ORÇAMENTO '!M11</f>
        <v>45167</v>
      </c>
      <c r="D11" s="1627"/>
      <c r="E11" s="1627"/>
      <c r="F11" s="1628"/>
    </row>
    <row r="12" spans="1:9" s="365" customFormat="1" ht="9" customHeight="1" thickBot="1">
      <c r="B12" s="376"/>
      <c r="C12" s="376"/>
      <c r="D12" s="376"/>
      <c r="E12" s="376"/>
      <c r="F12" s="841"/>
    </row>
    <row r="13" spans="1:9" s="87" customFormat="1" ht="27" thickBot="1">
      <c r="B13" s="1612" t="s">
        <v>3000</v>
      </c>
      <c r="C13" s="1613"/>
      <c r="D13" s="1613"/>
      <c r="E13" s="1613"/>
      <c r="F13" s="1614"/>
    </row>
    <row r="14" spans="1:9" s="365" customFormat="1" ht="10.5" customHeight="1">
      <c r="B14" s="376"/>
      <c r="C14" s="376"/>
      <c r="D14" s="376"/>
      <c r="E14" s="376"/>
      <c r="F14" s="841"/>
    </row>
    <row r="15" spans="1:9" s="58" customFormat="1" ht="15">
      <c r="B15" s="834" t="str">
        <f ca="1">'ORÇAMENTO '!F20</f>
        <v>1.0</v>
      </c>
      <c r="C15" s="835" t="str">
        <f ca="1">IFERROR(VLOOKUP($B15,'ORÇAMENTO '!$F$20:$M$847,3,FALSE),IF(CONCATENATE('ORÇAMENTO '!F20,'ORÇAMENTO '!G20,'ORÇAMENTO '!H20,'ORÇAMENTO '!I20,'ORÇAMENTO '!J20,'ORÇAMENTO '!K20,'ORÇAMENTO '!L20)='ORÇAMENTO '!H20,'ORÇAMENTO '!H20,""))</f>
        <v>A D M I N I S T R A Ç Ã O  O B R A</v>
      </c>
      <c r="D15" s="762" t="str">
        <f ca="1">IFERROR(IF(VLOOKUP($B15,'ORÇAMENTO '!$F$20:$O$847,10,FALSE)=0,"",VLOOKUP($B15,'ORÇAMENTO '!$F$20:$O$847,10,FALSE)),"")</f>
        <v/>
      </c>
      <c r="E15" s="836" t="str">
        <f ca="1">IFERROR(IF(VLOOKUP($B15,'ORÇAMENTO '!$F$20:$M$847,5,FALSE)=0,"",VLOOKUP($B15,'ORÇAMENTO '!$F$20:$M$847,5,FALSE)),"")</f>
        <v/>
      </c>
      <c r="F15" s="762" t="str">
        <f ca="1">IFERROR(IF(VLOOKUP($B15,'ORÇAMENTO '!$F$20:$M$847,4,FALSE)=0,"",VLOOKUP($B15,'ORÇAMENTO '!$F$20:$M$847,4,FALSE)),"")</f>
        <v/>
      </c>
    </row>
    <row r="16" spans="1:9" s="58" customFormat="1" ht="135">
      <c r="B16" s="834" t="str">
        <f ca="1">'ORÇAMENTO '!F21</f>
        <v>1.1</v>
      </c>
      <c r="C16" s="835" t="str">
        <f ca="1">IFERROR(VLOOKUP($B16,'ORÇAMENTO '!$F$20:$M$847,3,FALSE),IF(CONCATENATE('ORÇAMENTO '!F21,'ORÇAMENTO '!G21,'ORÇAMENTO '!H21,'ORÇAMENTO '!I21,'ORÇAMENTO '!J21,'ORÇAMENTO '!K21,'ORÇAMENTO '!L21)='ORÇAMENTO '!H21,'ORÇAMENTO '!H21,""))</f>
        <v>ADMINISTRAÇÃO LOCAL</v>
      </c>
      <c r="D16" s="762" t="str">
        <f ca="1">IFERROR(IF(VLOOKUP($B16,'ORÇAMENTO '!$F$20:$O$847,10,FALSE)=0,"",VLOOKUP($B16,'ORÇAMENTO '!$F$20:$O$847,10,FALSE)),"")</f>
        <v>MESTRE DE OBRAS COM ENCARGOS COMPLEMENTARES: 8HR*5DIAS*4SEMANAS*6MESES ENGENHEIRO CIVIL DE OBRA JUNIOR COM ENCARGOS COMPLEMENTARES: 4HR*5DIAS*4SEMANAS*6MESES VIGIA NOTURNO COM ENCARGOS COMPLEMENTARES: 12HR*5DIAS*4SEMANAS*6MESES</v>
      </c>
      <c r="E16" s="836">
        <f ca="1">IFERROR(IF(VLOOKUP($B16,'ORÇAMENTO '!$F$20:$M$847,5,FALSE)=0,"",VLOOKUP($B16,'ORÇAMENTO '!$F$20:$M$847,5,FALSE)),"")</f>
        <v>1</v>
      </c>
      <c r="F16" s="762" t="str">
        <f ca="1">IFERROR(IF(VLOOKUP($B16,'ORÇAMENTO '!$F$20:$M$847,4,FALSE)=0,"",VLOOKUP($B16,'ORÇAMENTO '!$F$20:$M$847,4,FALSE)),"")</f>
        <v>UN</v>
      </c>
    </row>
    <row r="17" spans="2:6" s="58" customFormat="1" ht="15">
      <c r="B17" s="834" t="str">
        <f>'ORÇAMENTO '!F22</f>
        <v/>
      </c>
      <c r="C17" s="835">
        <f ca="1">IFERROR(VLOOKUP($B17,'ORÇAMENTO '!$F$20:$M$847,3,FALSE),IF(CONCATENATE('ORÇAMENTO '!F22,'ORÇAMENTO '!G22,'ORÇAMENTO '!H22,'ORÇAMENTO '!I22,'ORÇAMENTO '!J22,'ORÇAMENTO '!K22,'ORÇAMENTO '!L22)='ORÇAMENTO '!H22,'ORÇAMENTO '!H22,""))</f>
        <v>0</v>
      </c>
      <c r="D17" s="762" t="str">
        <f ca="1">IFERROR(IF(VLOOKUP($B17,'ORÇAMENTO '!$F$20:$O$847,10,FALSE)=0,"",VLOOKUP($B17,'ORÇAMENTO '!$F$20:$O$847,10,FALSE)),"")</f>
        <v/>
      </c>
      <c r="E17" s="836" t="str">
        <f ca="1">IFERROR(IF(VLOOKUP($B17,'ORÇAMENTO '!$F$20:$M$847,5,FALSE)=0,"",VLOOKUP($B17,'ORÇAMENTO '!$F$20:$M$847,5,FALSE)),"")</f>
        <v/>
      </c>
      <c r="F17" s="762" t="str">
        <f ca="1">IFERROR(IF(VLOOKUP($B17,'ORÇAMENTO '!$F$20:$M$847,4,FALSE)=0,"",VLOOKUP($B17,'ORÇAMENTO '!$F$20:$M$847,4,FALSE)),"")</f>
        <v/>
      </c>
    </row>
    <row r="18" spans="2:6" s="58" customFormat="1" ht="15">
      <c r="B18" s="834" t="str">
        <f ca="1">'ORÇAMENTO '!F23</f>
        <v>2.0</v>
      </c>
      <c r="C18" s="835" t="str">
        <f ca="1">IFERROR(VLOOKUP($B18,'ORÇAMENTO '!$F$20:$M$847,3,FALSE),IF(CONCATENATE('ORÇAMENTO '!F23,'ORÇAMENTO '!G23,'ORÇAMENTO '!H23,'ORÇAMENTO '!I23,'ORÇAMENTO '!J23,'ORÇAMENTO '!K23,'ORÇAMENTO '!L23)='ORÇAMENTO '!H23,'ORÇAMENTO '!H23,""))</f>
        <v>S E R V I Ç O S   I N I C I A I S</v>
      </c>
      <c r="D18" s="762" t="str">
        <f ca="1">IFERROR(IF(VLOOKUP($B18,'ORÇAMENTO '!$F$20:$O$847,10,FALSE)=0,"",VLOOKUP($B18,'ORÇAMENTO '!$F$20:$O$847,10,FALSE)),"")</f>
        <v/>
      </c>
      <c r="E18" s="836" t="str">
        <f ca="1">IFERROR(IF(VLOOKUP($B18,'ORÇAMENTO '!$F$20:$M$847,5,FALSE)=0,"",VLOOKUP($B18,'ORÇAMENTO '!$F$20:$M$847,5,FALSE)),"")</f>
        <v/>
      </c>
      <c r="F18" s="762" t="str">
        <f ca="1">IFERROR(IF(VLOOKUP($B18,'ORÇAMENTO '!$F$20:$M$847,4,FALSE)=0,"",VLOOKUP($B18,'ORÇAMENTO '!$F$20:$M$847,4,FALSE)),"")</f>
        <v/>
      </c>
    </row>
    <row r="19" spans="2:6" s="58" customFormat="1" ht="30">
      <c r="B19" s="834" t="str">
        <f ca="1">'ORÇAMENTO '!F24</f>
        <v>2.1</v>
      </c>
      <c r="C19" s="835" t="str">
        <f ca="1">IFERROR(VLOOKUP($B19,'ORÇAMENTO '!$F$20:$M$847,3,FALSE),IF(CONCATENATE('ORÇAMENTO '!F24,'ORÇAMENTO '!G24,'ORÇAMENTO '!H24,'ORÇAMENTO '!I24,'ORÇAMENTO '!J24,'ORÇAMENTO '!K24,'ORÇAMENTO '!L24)='ORÇAMENTO '!H24,'ORÇAMENTO '!H24,""))</f>
        <v>PLACA DE OBRA EM CHAPA DE ACO GALVANIZADO</v>
      </c>
      <c r="D19" s="762" t="str">
        <f ca="1">IFERROR(IF(VLOOKUP($B19,'ORÇAMENTO '!$F$20:$O$847,10,FALSE)=0,"",VLOOKUP($B19,'ORÇAMENTO '!$F$20:$O$847,10,FALSE)),"")</f>
        <v>PLACA DE OBRA COM AS DIMENSÕES DE 2,25 M X 3,6 M</v>
      </c>
      <c r="E19" s="836">
        <f ca="1">IFERROR(IF(VLOOKUP($B19,'ORÇAMENTO '!$F$20:$M$847,5,FALSE)=0,"",VLOOKUP($B19,'ORÇAMENTO '!$F$20:$M$847,5,FALSE)),"")</f>
        <v>8.1</v>
      </c>
      <c r="F19" s="762" t="str">
        <f ca="1">IFERROR(IF(VLOOKUP($B19,'ORÇAMENTO '!$F$20:$M$847,4,FALSE)=0,"",VLOOKUP($B19,'ORÇAMENTO '!$F$20:$M$847,4,FALSE)),"")</f>
        <v>M2</v>
      </c>
    </row>
    <row r="20" spans="2:6" s="58" customFormat="1" ht="60">
      <c r="B20" s="834" t="str">
        <f ca="1">'ORÇAMENTO '!F25</f>
        <v>2.2</v>
      </c>
      <c r="C20" s="835" t="str">
        <f ca="1">IFERROR(VLOOKUP($B20,'ORÇAMENTO '!$F$20:$M$847,3,FALSE),IF(CONCATENATE('ORÇAMENTO '!F25,'ORÇAMENTO '!G25,'ORÇAMENTO '!H25,'ORÇAMENTO '!I25,'ORÇAMENTO '!J25,'ORÇAMENTO '!K25,'ORÇAMENTO '!L25)='ORÇAMENTO '!H25,'ORÇAMENTO '!H25,""))</f>
        <v>LIMPEZA MECANIZADA DO TERRENO C/ RETROESCAVADEIRA (VEGETAÇÃO RASTEIRA) INCLUSIVE CARGA E TRANSPORTE - DMT ATÉ 1KM</v>
      </c>
      <c r="D20" s="762" t="str">
        <f ca="1">IFERROR(IF(VLOOKUP($B20,'ORÇAMENTO '!$F$20:$O$847,10,FALSE)=0,"",VLOOKUP($B20,'ORÇAMENTO '!$F$20:$O$847,10,FALSE)),"")</f>
        <v>SERÁ FEITA A LIMPEZA NA ÁREA DE INTALAÇÃO DO RESERVATÓRIO, SENDO ESTE COM ÁREA DE 30x20M</v>
      </c>
      <c r="E20" s="836">
        <f ca="1">IFERROR(IF(VLOOKUP($B20,'ORÇAMENTO '!$F$20:$M$847,5,FALSE)=0,"",VLOOKUP($B20,'ORÇAMENTO '!$F$20:$M$847,5,FALSE)),"")</f>
        <v>600</v>
      </c>
      <c r="F20" s="762" t="str">
        <f ca="1">IFERROR(IF(VLOOKUP($B20,'ORÇAMENTO '!$F$20:$M$847,4,FALSE)=0,"",VLOOKUP($B20,'ORÇAMENTO '!$F$20:$M$847,4,FALSE)),"")</f>
        <v>M2</v>
      </c>
    </row>
    <row r="21" spans="2:6" s="58" customFormat="1" ht="45">
      <c r="B21" s="834" t="str">
        <f ca="1">'ORÇAMENTO '!F26</f>
        <v>2.3</v>
      </c>
      <c r="C21" s="835" t="str">
        <f ca="1">IFERROR(VLOOKUP($B21,'ORÇAMENTO '!$F$20:$M$847,3,FALSE),IF(CONCATENATE('ORÇAMENTO '!F26,'ORÇAMENTO '!G26,'ORÇAMENTO '!H26,'ORÇAMENTO '!I26,'ORÇAMENTO '!J26,'ORÇAMENTO '!K26,'ORÇAMENTO '!L26)='ORÇAMENTO '!H26,'ORÇAMENTO '!H26,""))</f>
        <v>LOCAÇÃO DE CONTAINER - BANHEIRO COM CHUVEIRO E VASOS   (4,30 X 2,30M)</v>
      </c>
      <c r="D21" s="762" t="str">
        <f ca="1">IFERROR(IF(VLOOKUP($B21,'ORÇAMENTO '!$F$20:$O$847,10,FALSE)=0,"",VLOOKUP($B21,'ORÇAMENTO '!$F$20:$O$847,10,FALSE)),"")</f>
        <v>INSTALAÇÃO SANITÁRIA PARA A OBRA SENDO O PERÍODO NECESSÁRIO PARA SUA EXECUÇÃO DA OBRA = 6 MESES</v>
      </c>
      <c r="E21" s="836">
        <f ca="1">IFERROR(IF(VLOOKUP($B21,'ORÇAMENTO '!$F$20:$M$847,5,FALSE)=0,"",VLOOKUP($B21,'ORÇAMENTO '!$F$20:$M$847,5,FALSE)),"")</f>
        <v>6</v>
      </c>
      <c r="F21" s="762" t="str">
        <f ca="1">IFERROR(IF(VLOOKUP($B21,'ORÇAMENTO '!$F$20:$M$847,4,FALSE)=0,"",VLOOKUP($B21,'ORÇAMENTO '!$F$20:$M$847,4,FALSE)),"")</f>
        <v>MÊS</v>
      </c>
    </row>
    <row r="22" spans="2:6" s="58" customFormat="1" ht="60">
      <c r="B22" s="834" t="str">
        <f ca="1">'ORÇAMENTO '!F27</f>
        <v>2.4</v>
      </c>
      <c r="C22" s="835" t="str">
        <f ca="1">IFERROR(VLOOKUP($B22,'ORÇAMENTO '!$F$20:$M$847,3,FALSE),IF(CONCATENATE('ORÇAMENTO '!F27,'ORÇAMENTO '!G27,'ORÇAMENTO '!H27,'ORÇAMENTO '!I27,'ORÇAMENTO '!J27,'ORÇAMENTO '!K27,'ORÇAMENTO '!L27)='ORÇAMENTO '!H27,'ORÇAMENTO '!H27,""))</f>
        <v>EXECUÇÃO DE DEPÓSITO EM CANTEIRO DE OBRA EM CHAPA DE MADEIRA COMPENSADA, NÃO INCLUSO MOBILIÁRIO. AF_04/2016</v>
      </c>
      <c r="D22" s="762" t="str">
        <f ca="1">IFERROR(IF(VLOOKUP($B22,'ORÇAMENTO '!$F$20:$O$847,10,FALSE)=0,"",VLOOKUP($B22,'ORÇAMENTO '!$F$20:$O$847,10,FALSE)),"")</f>
        <v xml:space="preserve">SERÁ CONSTRUIDO O BARRACÃO DE DEPOSITO, NAS DIMENSÕES 6,00 M X 6,00 M, ÁREA = 36,00 M2 </v>
      </c>
      <c r="E22" s="836">
        <f ca="1">IFERROR(IF(VLOOKUP($B22,'ORÇAMENTO '!$F$20:$M$847,5,FALSE)=0,"",VLOOKUP($B22,'ORÇAMENTO '!$F$20:$M$847,5,FALSE)),"")</f>
        <v>36</v>
      </c>
      <c r="F22" s="762" t="str">
        <f ca="1">IFERROR(IF(VLOOKUP($B22,'ORÇAMENTO '!$F$20:$M$847,4,FALSE)=0,"",VLOOKUP($B22,'ORÇAMENTO '!$F$20:$M$847,4,FALSE)),"")</f>
        <v>M2</v>
      </c>
    </row>
    <row r="23" spans="2:6" s="58" customFormat="1" ht="45">
      <c r="B23" s="834" t="str">
        <f ca="1">'ORÇAMENTO '!F28</f>
        <v>2.5</v>
      </c>
      <c r="C23" s="835" t="str">
        <f ca="1">IFERROR(VLOOKUP($B23,'ORÇAMENTO '!$F$20:$M$847,3,FALSE),IF(CONCATENATE('ORÇAMENTO '!F28,'ORÇAMENTO '!G28,'ORÇAMENTO '!H28,'ORÇAMENTO '!I28,'ORÇAMENTO '!J28,'ORÇAMENTO '!K28,'ORÇAMENTO '!L28)='ORÇAMENTO '!H28,'ORÇAMENTO '!H28,""))</f>
        <v>TAPUME COM COMPENSADO DE MADEIRA. AF_05/2018</v>
      </c>
      <c r="D23" s="762" t="str">
        <f ca="1">IFERROR(IF(VLOOKUP($B23,'ORÇAMENTO '!$F$20:$O$847,10,FALSE)=0,"",VLOOKUP($B23,'ORÇAMENTO '!$F$20:$O$847,10,FALSE)),"")</f>
        <v>SERÁ INSTALADO TAPUME NO PERÍMETRO DAS ÁREAS DOS BARRACÕES DE DEPÓSITO</v>
      </c>
      <c r="E23" s="836">
        <f ca="1">IFERROR(IF(VLOOKUP($B23,'ORÇAMENTO '!$F$20:$M$847,5,FALSE)=0,"",VLOOKUP($B23,'ORÇAMENTO '!$F$20:$M$847,5,FALSE)),"")</f>
        <v>24</v>
      </c>
      <c r="F23" s="762" t="str">
        <f ca="1">IFERROR(IF(VLOOKUP($B23,'ORÇAMENTO '!$F$20:$M$847,4,FALSE)=0,"",VLOOKUP($B23,'ORÇAMENTO '!$F$20:$M$847,4,FALSE)),"")</f>
        <v>M2</v>
      </c>
    </row>
    <row r="24" spans="2:6" s="58" customFormat="1" ht="60">
      <c r="B24" s="834" t="str">
        <f ca="1">'ORÇAMENTO '!F29</f>
        <v>2.6</v>
      </c>
      <c r="C24" s="835" t="str">
        <f ca="1">IFERROR(VLOOKUP($B24,'ORÇAMENTO '!$F$20:$M$847,3,FALSE),IF(CONCATENATE('ORÇAMENTO '!F29,'ORÇAMENTO '!G29,'ORÇAMENTO '!H29,'ORÇAMENTO '!I29,'ORÇAMENTO '!J29,'ORÇAMENTO '!K29,'ORÇAMENTO '!L29)='ORÇAMENTO '!H29,'ORÇAMENTO '!H29,""))</f>
        <v>LOCACAO CONVENCIONAL DE OBRA, UTILIZANDO GABARITO DE TÁBUAS CORRIDAS PONTALETADAS A CADA 2,00M -  2 UTILIZAÇÕES. AF_10/2018</v>
      </c>
      <c r="D24" s="762" t="str">
        <f ca="1">IFERROR(IF(VLOOKUP($B24,'ORÇAMENTO '!$F$20:$O$847,10,FALSE)=0,"",VLOOKUP($B24,'ORÇAMENTO '!$F$20:$O$847,10,FALSE)),"")</f>
        <v>INSTALAÇÃO DOS GABARITOS PARA LOCAÇÃO DO RESERVATÓRIO</v>
      </c>
      <c r="E24" s="836">
        <f ca="1">IFERROR(IF(VLOOKUP($B24,'ORÇAMENTO '!$F$20:$M$847,5,FALSE)=0,"",VLOOKUP($B24,'ORÇAMENTO '!$F$20:$M$847,5,FALSE)),"")</f>
        <v>23.34</v>
      </c>
      <c r="F24" s="762" t="str">
        <f ca="1">IFERROR(IF(VLOOKUP($B24,'ORÇAMENTO '!$F$20:$M$847,4,FALSE)=0,"",VLOOKUP($B24,'ORÇAMENTO '!$F$20:$M$847,4,FALSE)),"")</f>
        <v>M</v>
      </c>
    </row>
    <row r="25" spans="2:6" s="58" customFormat="1" ht="15.75" customHeight="1">
      <c r="B25" s="834">
        <f>'ORÇAMENTO '!F30</f>
        <v>0</v>
      </c>
      <c r="C25" s="835">
        <f ca="1">IFERROR(VLOOKUP($B25,'ORÇAMENTO '!$F$20:$M$847,3,FALSE),IF(CONCATENATE('ORÇAMENTO '!F30,'ORÇAMENTO '!G30,'ORÇAMENTO '!H30,'ORÇAMENTO '!I30,'ORÇAMENTO '!J30,'ORÇAMENTO '!K30,'ORÇAMENTO '!L30)='ORÇAMENTO '!H30,'ORÇAMENTO '!H30,""))</f>
        <v>0</v>
      </c>
      <c r="D25" s="762" t="str">
        <f ca="1">IFERROR(IF(VLOOKUP($B25,'ORÇAMENTO '!$F$20:$O$847,10,FALSE)=0,"",VLOOKUP($B25,'ORÇAMENTO '!$F$20:$O$847,10,FALSE)),"")</f>
        <v/>
      </c>
      <c r="E25" s="836" t="str">
        <f ca="1">IFERROR(IF(VLOOKUP($B25,'ORÇAMENTO '!$F$20:$M$847,5,FALSE)=0,"",VLOOKUP($B25,'ORÇAMENTO '!$F$20:$M$847,5,FALSE)),"")</f>
        <v/>
      </c>
      <c r="F25" s="762" t="str">
        <f ca="1">IFERROR(IF(VLOOKUP($B25,'ORÇAMENTO '!$F$20:$M$847,4,FALSE)=0,"",VLOOKUP($B25,'ORÇAMENTO '!$F$20:$M$847,4,FALSE)),"")</f>
        <v/>
      </c>
    </row>
    <row r="26" spans="2:6" s="58" customFormat="1" ht="15">
      <c r="B26" s="834" t="str">
        <f ca="1">'ORÇAMENTO '!F31</f>
        <v>3.0</v>
      </c>
      <c r="C26" s="835" t="str">
        <f ca="1">IFERROR(VLOOKUP($B26,'ORÇAMENTO '!$F$20:$M$847,3,FALSE),IF(CONCATENATE('ORÇAMENTO '!F31,'ORÇAMENTO '!G31,'ORÇAMENTO '!H31,'ORÇAMENTO '!I31,'ORÇAMENTO '!J31,'ORÇAMENTO '!K31,'ORÇAMENTO '!L31)='ORÇAMENTO '!H31,'ORÇAMENTO '!H31,""))</f>
        <v>A D U T O R A  D E  Á G U A  T R A T A D A</v>
      </c>
      <c r="D26" s="762" t="str">
        <f ca="1">IFERROR(IF(VLOOKUP($B26,'ORÇAMENTO '!$F$20:$O$847,10,FALSE)=0,"",VLOOKUP($B26,'ORÇAMENTO '!$F$20:$O$847,10,FALSE)),"")</f>
        <v/>
      </c>
      <c r="E26" s="836" t="str">
        <f ca="1">IFERROR(IF(VLOOKUP($B26,'ORÇAMENTO '!$F$20:$M$847,5,FALSE)=0,"",VLOOKUP($B26,'ORÇAMENTO '!$F$20:$M$847,5,FALSE)),"")</f>
        <v/>
      </c>
      <c r="F26" s="762" t="str">
        <f ca="1">IFERROR(IF(VLOOKUP($B26,'ORÇAMENTO '!$F$20:$M$847,4,FALSE)=0,"",VLOOKUP($B26,'ORÇAMENTO '!$F$20:$M$847,4,FALSE)),"")</f>
        <v/>
      </c>
    </row>
    <row r="27" spans="2:6" s="58" customFormat="1" ht="15">
      <c r="B27" s="834" t="str">
        <f>'ORÇAMENTO '!F32</f>
        <v/>
      </c>
      <c r="C27" s="835" t="str">
        <f>'ORÇAMENTO '!H32</f>
        <v>M O V I M E N T O  D E  T E R R A</v>
      </c>
      <c r="D27" s="762" t="str">
        <f ca="1">IFERROR(IF(VLOOKUP($B27,'ORÇAMENTO '!$F$20:$O$847,10,FALSE)=0,"",VLOOKUP($B27,'ORÇAMENTO '!$F$20:$O$847,10,FALSE)),"")</f>
        <v/>
      </c>
      <c r="E27" s="836" t="str">
        <f ca="1">IFERROR(IF(VLOOKUP($B27,'ORÇAMENTO '!$F$20:$M$847,5,FALSE)=0,"",VLOOKUP($B27,'ORÇAMENTO '!$F$20:$M$847,5,FALSE)),"")</f>
        <v/>
      </c>
      <c r="F27" s="762" t="str">
        <f ca="1">IFERROR(IF(VLOOKUP($B27,'ORÇAMENTO '!$F$20:$M$847,4,FALSE)=0,"",VLOOKUP($B27,'ORÇAMENTO '!$F$20:$M$847,4,FALSE)),"")</f>
        <v/>
      </c>
    </row>
    <row r="28" spans="2:6" s="58" customFormat="1" ht="45">
      <c r="B28" s="834" t="str">
        <f ca="1">'ORÇAMENTO '!F33</f>
        <v>3.1</v>
      </c>
      <c r="C28" s="835" t="str">
        <f ca="1">IFERROR(VLOOKUP($B28,'ORÇAMENTO '!$F$20:$M$847,3,FALSE),IF(CONCATENATE('ORÇAMENTO '!F33,'ORÇAMENTO '!G33,'ORÇAMENTO '!H33,'ORÇAMENTO '!I33,'ORÇAMENTO '!J33,'ORÇAMENTO '!K33,'ORÇAMENTO '!L33)='ORÇAMENTO '!H33,'ORÇAMENTO '!H33,""))</f>
        <v>LOCAÇÃO DE REDE DE ÁGUA OU ESGOTO. AF_10/2018</v>
      </c>
      <c r="D28" s="762" t="str">
        <f ca="1">IFERROR(IF(VLOOKUP($B28,'ORÇAMENTO '!$F$20:$O$847,10,FALSE)=0,"",VLOOKUP($B28,'ORÇAMENTO '!$F$20:$O$847,10,FALSE)),"")</f>
        <v>SERÁ REALIZADA LOCAÇÃO DA ADUTORA COM EXTENSÃO DE 3.655,00 METROS DE REDE</v>
      </c>
      <c r="E28" s="836">
        <f ca="1">IFERROR(IF(VLOOKUP($B28,'ORÇAMENTO '!$F$20:$M$847,5,FALSE)=0,"",VLOOKUP($B28,'ORÇAMENTO '!$F$20:$M$847,5,FALSE)),"")</f>
        <v>3655</v>
      </c>
      <c r="F28" s="762" t="str">
        <f ca="1">IFERROR(IF(VLOOKUP($B28,'ORÇAMENTO '!$F$20:$M$847,4,FALSE)=0,"",VLOOKUP($B28,'ORÇAMENTO '!$F$20:$M$847,4,FALSE)),"")</f>
        <v>M</v>
      </c>
    </row>
    <row r="29" spans="2:6" s="58" customFormat="1" ht="30">
      <c r="B29" s="834" t="str">
        <f ca="1">'ORÇAMENTO '!F34</f>
        <v>3.2</v>
      </c>
      <c r="C29" s="835" t="str">
        <f ca="1">IFERROR(VLOOKUP($B29,'ORÇAMENTO '!$F$20:$M$847,3,FALSE),IF(CONCATENATE('ORÇAMENTO '!F34,'ORÇAMENTO '!G34,'ORÇAMENTO '!H34,'ORÇAMENTO '!I34,'ORÇAMENTO '!J34,'ORÇAMENTO '!K34,'ORÇAMENTO '!L34)='ORÇAMENTO '!H34,'ORÇAMENTO '!H34,""))</f>
        <v>ELABORAÇÃO DE CADASTRO DE REDE INCLUSIVE DESENHISTA</v>
      </c>
      <c r="D29" s="762" t="str">
        <f ca="1">IFERROR(IF(VLOOKUP($B29,'ORÇAMENTO '!$F$20:$O$847,10,FALSE)=0,"",VLOOKUP($B29,'ORÇAMENTO '!$F$20:$O$847,10,FALSE)),"")</f>
        <v>SERÁ EXECUTADO O CADASTRO DOS 3.655,00 METROS DA ADUTORA</v>
      </c>
      <c r="E29" s="836">
        <f ca="1">IFERROR(IF(VLOOKUP($B29,'ORÇAMENTO '!$F$20:$M$847,5,FALSE)=0,"",VLOOKUP($B29,'ORÇAMENTO '!$F$20:$M$847,5,FALSE)),"")</f>
        <v>3655</v>
      </c>
      <c r="F29" s="762" t="str">
        <f ca="1">IFERROR(IF(VLOOKUP($B29,'ORÇAMENTO '!$F$20:$M$847,4,FALSE)=0,"",VLOOKUP($B29,'ORÇAMENTO '!$F$20:$M$847,4,FALSE)),"")</f>
        <v>M</v>
      </c>
    </row>
    <row r="30" spans="2:6" s="58" customFormat="1" ht="105">
      <c r="B30" s="834" t="str">
        <f ca="1">'ORÇAMENTO '!F35</f>
        <v>3.3</v>
      </c>
      <c r="C30" s="835" t="str">
        <f ca="1">IFERROR(VLOOKUP($B30,'ORÇAMENTO '!$F$20:$M$847,3,FALSE),IF(CONCATENATE('ORÇAMENTO '!F35,'ORÇAMENTO '!G35,'ORÇAMENTO '!H35,'ORÇAMENTO '!I35,'ORÇAMENTO '!J35,'ORÇAMENTO '!K35,'ORÇAMENTO '!L35)='ORÇAMENTO '!H35,'ORÇAMENTO '!H35,""))</f>
        <v>ESCAVAÇÃO MECANIZADA DE VALA COM PROF. ATÉ 1,5 M (MÉDIA MONTANTE E JUSANTE/UMA COMPOSIÇÃO POR TRECHO), RETROESCAV. (0,26 M3), LARGURA MENOR  QUE 0,8 M, EM SOLO DE 2A CATEGORIA, EM LOCAIS COM BAIXO NÍVEL DE NTERFERÊNCIA. AF_02/2021</v>
      </c>
      <c r="D30" s="762" t="str">
        <f ca="1">IFERROR(IF(VLOOKUP($B30,'ORÇAMENTO '!$F$20:$O$847,10,FALSE)=0,"",VLOOKUP($B30,'ORÇAMENTO '!$F$20:$O$847,10,FALSE)),"")</f>
        <v>EXTENSÃO DA REDE (3.655,00M) X [PROFUNDIDADE DO RECOBRIMENTO (1,00 M)+ DIÂMETRO EXTERNO DO TUBO (0,17M) + CAMADA DE AREIA (0,10M)] X LARGURA DA VALA (0,60 M) = 2.785,11 M3</v>
      </c>
      <c r="E30" s="836">
        <f ca="1">IFERROR(IF(VLOOKUP($B30,'ORÇAMENTO '!$F$20:$M$847,5,FALSE)=0,"",VLOOKUP($B30,'ORÇAMENTO '!$F$20:$M$847,5,FALSE)),"")</f>
        <v>2785.11</v>
      </c>
      <c r="F30" s="762" t="str">
        <f ca="1">IFERROR(IF(VLOOKUP($B30,'ORÇAMENTO '!$F$20:$M$847,4,FALSE)=0,"",VLOOKUP($B30,'ORÇAMENTO '!$F$20:$M$847,4,FALSE)),"")</f>
        <v>M3</v>
      </c>
    </row>
    <row r="31" spans="2:6" s="58" customFormat="1" ht="60">
      <c r="B31" s="834" t="str">
        <f ca="1">'ORÇAMENTO '!F36</f>
        <v>3.4</v>
      </c>
      <c r="C31" s="835" t="str">
        <f ca="1">IFERROR(VLOOKUP($B31,'ORÇAMENTO '!$F$20:$M$847,3,FALSE),IF(CONCATENATE('ORÇAMENTO '!F36,'ORÇAMENTO '!G36,'ORÇAMENTO '!H36,'ORÇAMENTO '!I36,'ORÇAMENTO '!J36,'ORÇAMENTO '!K36,'ORÇAMENTO '!L36)='ORÇAMENTO '!H36,'ORÇAMENTO '!H36,""))</f>
        <v>PREPARO DE FUNDO DE VALA COM LARGURA MENOR QUE 1,5 M, COM CAMADA DE AREIA, LANÇAMENTO MECANIZADO. AF_08/2020</v>
      </c>
      <c r="D31" s="762" t="str">
        <f ca="1">IFERROR(IF(VLOOKUP($B31,'ORÇAMENTO '!$F$20:$O$847,10,FALSE)=0,"",VLOOKUP($B31,'ORÇAMENTO '!$F$20:$O$847,10,FALSE)),"")</f>
        <v>EXTENSÃO DA REDE (3.655,00M) X ALTURA DA CAMADA DE AREIA  (0,10M) X LARGURA DA VALA (0,60 M) = 219,30 M3</v>
      </c>
      <c r="E31" s="836">
        <f ca="1">IFERROR(IF(VLOOKUP($B31,'ORÇAMENTO '!$F$20:$M$847,5,FALSE)=0,"",VLOOKUP($B31,'ORÇAMENTO '!$F$20:$M$847,5,FALSE)),"")</f>
        <v>219.3</v>
      </c>
      <c r="F31" s="762" t="str">
        <f ca="1">IFERROR(IF(VLOOKUP($B31,'ORÇAMENTO '!$F$20:$M$847,4,FALSE)=0,"",VLOOKUP($B31,'ORÇAMENTO '!$F$20:$M$847,4,FALSE)),"")</f>
        <v>M3</v>
      </c>
    </row>
    <row r="32" spans="2:6" s="58" customFormat="1" ht="105">
      <c r="B32" s="834" t="str">
        <f ca="1">'ORÇAMENTO '!F37</f>
        <v>3.5</v>
      </c>
      <c r="C32" s="835" t="str">
        <f ca="1">IFERROR(VLOOKUP($B32,'ORÇAMENTO '!$F$20:$M$847,3,FALSE),IF(CONCATENATE('ORÇAMENTO '!F37,'ORÇAMENTO '!G37,'ORÇAMENTO '!H37,'ORÇAMENTO '!I37,'ORÇAMENTO '!J37,'ORÇAMENTO '!K37,'ORÇAMENTO '!L37)='ORÇAMENTO '!H37,'ORÇAMENTO '!H37,""))</f>
        <v>REATERRO MECANIZADO DE VALA COM RETROESCAVADEIRA (CAPACIDADE DA CAÇAMBA DA RETRO: 0,26 M³ / POTÊNCIA: 88 HP), LARGURA ATÉ 0,8 M, PROFUNDIDADE DE 1,5 A 3,0 M, COM SOLO DE 1ª CATEGORIA EM LOCAIS COM BAIXO NÍVEL DE INTERFERÊNCIA. AF_04/2016</v>
      </c>
      <c r="D32" s="762" t="str">
        <f ca="1">IFERROR(IF(VLOOKUP($B32,'ORÇAMENTO '!$F$20:$O$847,10,FALSE)=0,"",VLOOKUP($B32,'ORÇAMENTO '!$F$20:$O$847,10,FALSE)),"")</f>
        <v>VOLUME DE ESCAVAÇÃO 2.785,11 M3 -  VOLUME DO TUBO DE 150MM ( 82,92 M³) - VOLUME DA BASE E SUBBASE DO PAVIMENTO (1.716,00 M³) = 986,19 M3</v>
      </c>
      <c r="E32" s="836">
        <f ca="1">IFERROR(IF(VLOOKUP($B32,'ORÇAMENTO '!$F$20:$M$847,5,FALSE)=0,"",VLOOKUP($B32,'ORÇAMENTO '!$F$20:$M$847,5,FALSE)),"")</f>
        <v>766.89</v>
      </c>
      <c r="F32" s="762" t="str">
        <f ca="1">IFERROR(IF(VLOOKUP($B32,'ORÇAMENTO '!$F$20:$M$847,4,FALSE)=0,"",VLOOKUP($B32,'ORÇAMENTO '!$F$20:$M$847,4,FALSE)),"")</f>
        <v>M3</v>
      </c>
    </row>
    <row r="33" spans="2:6" s="58" customFormat="1" ht="15">
      <c r="B33" s="834" t="str">
        <f>'ORÇAMENTO '!F38</f>
        <v/>
      </c>
      <c r="C33" s="835" t="str">
        <f>'ORÇAMENTO '!H38</f>
        <v>TUBULAÇÃO</v>
      </c>
      <c r="D33" s="762" t="str">
        <f ca="1">IFERROR(IF(VLOOKUP($B33,'ORÇAMENTO '!$F$20:$O$847,10,FALSE)=0,"",VLOOKUP($B33,'ORÇAMENTO '!$F$20:$O$847,10,FALSE)),"")</f>
        <v/>
      </c>
      <c r="E33" s="836" t="str">
        <f ca="1">IFERROR(IF(VLOOKUP($B33,'ORÇAMENTO '!$F$20:$M$847,5,FALSE)=0,"",VLOOKUP($B33,'ORÇAMENTO '!$F$20:$M$847,5,FALSE)),"")</f>
        <v/>
      </c>
      <c r="F33" s="762" t="str">
        <f ca="1">IFERROR(IF(VLOOKUP($B33,'ORÇAMENTO '!$F$20:$M$847,4,FALSE)=0,"",VLOOKUP($B33,'ORÇAMENTO '!$F$20:$M$847,4,FALSE)),"")</f>
        <v/>
      </c>
    </row>
    <row r="34" spans="2:6" s="58" customFormat="1" ht="45">
      <c r="B34" s="834" t="str">
        <f ca="1">'ORÇAMENTO '!F39</f>
        <v>3.6</v>
      </c>
      <c r="C34" s="835" t="str">
        <f ca="1">IFERROR(VLOOKUP($B34,'ORÇAMENTO '!$F$20:$M$847,3,FALSE),IF(CONCATENATE('ORÇAMENTO '!F39,'ORÇAMENTO '!G39,'ORÇAMENTO '!H39,'ORÇAMENTO '!I39,'ORÇAMENTO '!J39,'ORÇAMENTO '!K39,'ORÇAMENTO '!L39)='ORÇAMENTO '!H39,'ORÇAMENTO '!H39,""))</f>
        <v xml:space="preserve">TUBO PVC DEFOFO, JEI, 1 MPA, DN 150 MM, PARA REDE DE  AGUA (NBR 7665) - FORNECIMENTO E ASSENTAMENTO                                                                                                                                                                                                                                                                                                                                                                                                                              </v>
      </c>
      <c r="D34" s="762" t="str">
        <f ca="1">IFERROR(IF(VLOOKUP($B34,'ORÇAMENTO '!$F$20:$O$847,10,FALSE)=0,"",VLOOKUP($B34,'ORÇAMENTO '!$F$20:$O$847,10,FALSE)),"")</f>
        <v>SERÁ EXECUTADO 3.655,00 METROS DE ADUTORA, DA ETA ATÉ O RESERVATÓRIO</v>
      </c>
      <c r="E34" s="836">
        <f ca="1">IFERROR(IF(VLOOKUP($B34,'ORÇAMENTO '!$F$20:$M$847,5,FALSE)=0,"",VLOOKUP($B34,'ORÇAMENTO '!$F$20:$M$847,5,FALSE)),"")</f>
        <v>3655</v>
      </c>
      <c r="F34" s="762" t="str">
        <f ca="1">IFERROR(IF(VLOOKUP($B34,'ORÇAMENTO '!$F$20:$M$847,4,FALSE)=0,"",VLOOKUP($B34,'ORÇAMENTO '!$F$20:$M$847,4,FALSE)),"")</f>
        <v>M</v>
      </c>
    </row>
    <row r="35" spans="2:6" s="58" customFormat="1" ht="45">
      <c r="B35" s="834" t="str">
        <f ca="1">'ORÇAMENTO '!F40</f>
        <v>3.7</v>
      </c>
      <c r="C35" s="835" t="str">
        <f ca="1">IFERROR(VLOOKUP($B35,'ORÇAMENTO '!$F$20:$M$847,3,FALSE),IF(CONCATENATE('ORÇAMENTO '!F40,'ORÇAMENTO '!G40,'ORÇAMENTO '!H40,'ORÇAMENTO '!I40,'ORÇAMENTO '!J40,'ORÇAMENTO '!K40,'ORÇAMENTO '!L40)='ORÇAMENTO '!H40,'ORÇAMENTO '!H40,""))</f>
        <v>FORNECIMENO E ASSENTAMENTO DE ABRAÇADEIRA CIRCULAR EM AÇO GALVANIZADO - DN 200 MM</v>
      </c>
      <c r="D35" s="762" t="str">
        <f ca="1">IFERROR(IF(VLOOKUP($B35,'ORÇAMENTO '!$F$20:$O$847,10,FALSE)=0,"",VLOOKUP($B35,'ORÇAMENTO '!$F$20:$O$847,10,FALSE)),"")</f>
        <v>SERÃO INSTALADAS ABRAÇADEIRAS DE FIXAÇÃO NA PASSAGEM DA TUBULAÇÃO PELA PONTE DE MADERIA</v>
      </c>
      <c r="E35" s="836">
        <f ca="1">IFERROR(IF(VLOOKUP($B35,'ORÇAMENTO '!$F$20:$M$847,5,FALSE)=0,"",VLOOKUP($B35,'ORÇAMENTO '!$F$20:$M$847,5,FALSE)),"")</f>
        <v>35</v>
      </c>
      <c r="F35" s="762" t="str">
        <f ca="1">IFERROR(IF(VLOOKUP($B35,'ORÇAMENTO '!$F$20:$M$847,4,FALSE)=0,"",VLOOKUP($B35,'ORÇAMENTO '!$F$20:$M$847,4,FALSE)),"")</f>
        <v>UN</v>
      </c>
    </row>
    <row r="36" spans="2:6" s="58" customFormat="1" ht="15">
      <c r="B36" s="834" t="str">
        <f>'ORÇAMENTO '!F41</f>
        <v/>
      </c>
      <c r="C36" s="835" t="str">
        <f>'ORÇAMENTO '!H41</f>
        <v xml:space="preserve">CONEXÕES </v>
      </c>
      <c r="D36" s="762" t="str">
        <f ca="1">IFERROR(IF(VLOOKUP($B36,'ORÇAMENTO '!$F$20:$O$847,10,FALSE)=0,"",VLOOKUP($B36,'ORÇAMENTO '!$F$20:$O$847,10,FALSE)),"")</f>
        <v/>
      </c>
      <c r="E36" s="836" t="str">
        <f ca="1">IFERROR(IF(VLOOKUP($B36,'ORÇAMENTO '!$F$20:$M$847,5,FALSE)=0,"",VLOOKUP($B36,'ORÇAMENTO '!$F$20:$M$847,5,FALSE)),"")</f>
        <v/>
      </c>
      <c r="F36" s="762" t="str">
        <f ca="1">IFERROR(IF(VLOOKUP($B36,'ORÇAMENTO '!$F$20:$M$847,4,FALSE)=0,"",VLOOKUP($B36,'ORÇAMENTO '!$F$20:$M$847,4,FALSE)),"")</f>
        <v/>
      </c>
    </row>
    <row r="37" spans="2:6" s="58" customFormat="1" ht="30">
      <c r="B37" s="834" t="str">
        <f ca="1">'ORÇAMENTO '!F42</f>
        <v>3.8</v>
      </c>
      <c r="C37" s="835" t="str">
        <f ca="1">IFERROR(VLOOKUP($B37,'ORÇAMENTO '!$F$20:$M$847,3,FALSE),IF(CONCATENATE('ORÇAMENTO '!F42,'ORÇAMENTO '!G42,'ORÇAMENTO '!H42,'ORÇAMENTO '!I42,'ORÇAMENTO '!J42,'ORÇAMENTO '!K42,'ORÇAMENTO '!L42)='ORÇAMENTO '!H42,'ORÇAMENTO '!H42,""))</f>
        <v>CURVA 90º EM PVC DEFOFO, DN 150MM - FORNECIMENTO E ASSENTAMENTO</v>
      </c>
      <c r="D37" s="762" t="str">
        <f ca="1">IFERROR(IF(VLOOKUP($B37,'ORÇAMENTO '!$F$20:$O$847,10,FALSE)=0,"",VLOOKUP($B37,'ORÇAMENTO '!$F$20:$O$847,10,FALSE)),"")</f>
        <v>CONFORME PROJETO DE SANEAMENTO</v>
      </c>
      <c r="E37" s="836">
        <f ca="1">IFERROR(IF(VLOOKUP($B37,'ORÇAMENTO '!$F$20:$M$847,5,FALSE)=0,"",VLOOKUP($B37,'ORÇAMENTO '!$F$20:$M$847,5,FALSE)),"")</f>
        <v>8</v>
      </c>
      <c r="F37" s="762" t="str">
        <f ca="1">IFERROR(IF(VLOOKUP($B37,'ORÇAMENTO '!$F$20:$M$847,4,FALSE)=0,"",VLOOKUP($B37,'ORÇAMENTO '!$F$20:$M$847,4,FALSE)),"")</f>
        <v>M</v>
      </c>
    </row>
    <row r="38" spans="2:6" s="58" customFormat="1" ht="30">
      <c r="B38" s="834" t="str">
        <f ca="1">'ORÇAMENTO '!F43</f>
        <v>3.9</v>
      </c>
      <c r="C38" s="835" t="str">
        <f ca="1">IFERROR(VLOOKUP($B38,'ORÇAMENTO '!$F$20:$M$847,3,FALSE),IF(CONCATENATE('ORÇAMENTO '!F43,'ORÇAMENTO '!G43,'ORÇAMENTO '!H43,'ORÇAMENTO '!I43,'ORÇAMENTO '!J43,'ORÇAMENTO '!K43,'ORÇAMENTO '!L43)='ORÇAMENTO '!H43,'ORÇAMENTO '!H43,""))</f>
        <v>CURVA 45º EM PVC DEFOFO, DN 150MM - FORNECIMENTO E ASSENTAMENTO</v>
      </c>
      <c r="D38" s="762" t="str">
        <f ca="1">IFERROR(IF(VLOOKUP($B38,'ORÇAMENTO '!$F$20:$O$847,10,FALSE)=0,"",VLOOKUP($B38,'ORÇAMENTO '!$F$20:$O$847,10,FALSE)),"")</f>
        <v>CONFORME PROJETO DE SANEAMENTO</v>
      </c>
      <c r="E38" s="836">
        <f ca="1">IFERROR(IF(VLOOKUP($B38,'ORÇAMENTO '!$F$20:$M$847,5,FALSE)=0,"",VLOOKUP($B38,'ORÇAMENTO '!$F$20:$M$847,5,FALSE)),"")</f>
        <v>1</v>
      </c>
      <c r="F38" s="762" t="str">
        <f ca="1">IFERROR(IF(VLOOKUP($B38,'ORÇAMENTO '!$F$20:$M$847,4,FALSE)=0,"",VLOOKUP($B38,'ORÇAMENTO '!$F$20:$M$847,4,FALSE)),"")</f>
        <v>M</v>
      </c>
    </row>
    <row r="39" spans="2:6" s="58" customFormat="1" ht="15">
      <c r="B39" s="834" t="str">
        <f>'ORÇAMENTO '!F44</f>
        <v/>
      </c>
      <c r="C39" s="835" t="str">
        <f>'ORÇAMENTO '!H44</f>
        <v>CONJUNTO MOTO-BOMBA</v>
      </c>
      <c r="D39" s="762" t="str">
        <f ca="1">IFERROR(IF(VLOOKUP($B39,'ORÇAMENTO '!$F$20:$O$847,10,FALSE)=0,"",VLOOKUP($B39,'ORÇAMENTO '!$F$20:$O$847,10,FALSE)),"")</f>
        <v/>
      </c>
      <c r="E39" s="836" t="str">
        <f ca="1">IFERROR(IF(VLOOKUP($B39,'ORÇAMENTO '!$F$20:$M$847,5,FALSE)=0,"",VLOOKUP($B39,'ORÇAMENTO '!$F$20:$M$847,5,FALSE)),"")</f>
        <v/>
      </c>
      <c r="F39" s="762" t="str">
        <f ca="1">IFERROR(IF(VLOOKUP($B39,'ORÇAMENTO '!$F$20:$M$847,4,FALSE)=0,"",VLOOKUP($B39,'ORÇAMENTO '!$F$20:$M$847,4,FALSE)),"")</f>
        <v/>
      </c>
    </row>
    <row r="40" spans="2:6" s="58" customFormat="1" ht="60">
      <c r="B40" s="834" t="str">
        <f ca="1">'ORÇAMENTO '!F45</f>
        <v>3.10</v>
      </c>
      <c r="C40" s="835" t="str">
        <f ca="1">IFERROR(VLOOKUP($B40,'ORÇAMENTO '!$F$20:$M$847,3,FALSE),IF(CONCATENATE('ORÇAMENTO '!F45,'ORÇAMENTO '!G45,'ORÇAMENTO '!H45,'ORÇAMENTO '!I45,'ORÇAMENTO '!J45,'ORÇAMENTO '!K45,'ORÇAMENTO '!L45)='ORÇAMENTO '!H45,'ORÇAMENTO '!H45,""))</f>
        <v>CONJUNTO MOTO BOMBA - Q: 14 L/S - HM: 35 M.C.A - FORNECIMENTO E INSTALAÇÃO</v>
      </c>
      <c r="D40" s="762" t="str">
        <f ca="1">IFERROR(IF(VLOOKUP($B40,'ORÇAMENTO '!$F$20:$O$847,10,FALSE)=0,"",VLOOKUP($B40,'ORÇAMENTO '!$F$20:$O$847,10,FALSE)),"")</f>
        <v>SERÁ INSTALADO UM CONJUNTO MOTO-BOMBA PARA PRESSURIZAÇÃO DA ADUTORA E ADQUIRIDO UM CONJUNTO RESERVA</v>
      </c>
      <c r="E40" s="836">
        <f ca="1">IFERROR(IF(VLOOKUP($B40,'ORÇAMENTO '!$F$20:$M$847,5,FALSE)=0,"",VLOOKUP($B40,'ORÇAMENTO '!$F$20:$M$847,5,FALSE)),"")</f>
        <v>2</v>
      </c>
      <c r="F40" s="762" t="str">
        <f ca="1">IFERROR(IF(VLOOKUP($B40,'ORÇAMENTO '!$F$20:$M$847,4,FALSE)=0,"",VLOOKUP($B40,'ORÇAMENTO '!$F$20:$M$847,4,FALSE)),"")</f>
        <v>UN</v>
      </c>
    </row>
    <row r="41" spans="2:6" s="58" customFormat="1" ht="60">
      <c r="B41" s="834" t="str">
        <f ca="1">'ORÇAMENTO '!F46</f>
        <v>3.11</v>
      </c>
      <c r="C41" s="835" t="str">
        <f ca="1">IFERROR(VLOOKUP($B41,'ORÇAMENTO '!$F$20:$M$847,3,FALSE),IF(CONCATENATE('ORÇAMENTO '!F46,'ORÇAMENTO '!G46,'ORÇAMENTO '!H46,'ORÇAMENTO '!I46,'ORÇAMENTO '!J46,'ORÇAMENTO '!K46,'ORÇAMENTO '!L46)='ORÇAMENTO '!H46,'ORÇAMENTO '!H46,""))</f>
        <v>FORNECIMENTO E ASSENTAMENTO DE TUBOS E CONEXÕES EM FF PN 10 - INTALAÇÕES DE SUCÇÃO/RECALQUE/BARRILETE</v>
      </c>
      <c r="D41" s="762" t="str">
        <f ca="1">IFERROR(IF(VLOOKUP($B41,'ORÇAMENTO '!$F$20:$O$847,10,FALSE)=0,"",VLOOKUP($B41,'ORÇAMENTO '!$F$20:$O$847,10,FALSE)),"")</f>
        <v>CONFORME PROJETO DE SANEAMENTO</v>
      </c>
      <c r="E41" s="836">
        <f ca="1">IFERROR(IF(VLOOKUP($B41,'ORÇAMENTO '!$F$20:$M$847,5,FALSE)=0,"",VLOOKUP($B41,'ORÇAMENTO '!$F$20:$M$847,5,FALSE)),"")</f>
        <v>1</v>
      </c>
      <c r="F41" s="762" t="str">
        <f ca="1">IFERROR(IF(VLOOKUP($B41,'ORÇAMENTO '!$F$20:$M$847,4,FALSE)=0,"",VLOOKUP($B41,'ORÇAMENTO '!$F$20:$M$847,4,FALSE)),"")</f>
        <v>UN</v>
      </c>
    </row>
    <row r="42" spans="2:6" s="58" customFormat="1" ht="15">
      <c r="B42" s="834" t="str">
        <f>'ORÇAMENTO '!F47</f>
        <v/>
      </c>
      <c r="C42" s="835" t="str">
        <f>'ORÇAMENTO '!H47</f>
        <v>VÁLVULA VENTOSA</v>
      </c>
      <c r="D42" s="762" t="str">
        <f ca="1">IFERROR(IF(VLOOKUP($B42,'ORÇAMENTO '!$F$20:$O$847,10,FALSE)=0,"",VLOOKUP($B42,'ORÇAMENTO '!$F$20:$O$847,10,FALSE)),"")</f>
        <v/>
      </c>
      <c r="E42" s="836" t="str">
        <f ca="1">IFERROR(IF(VLOOKUP($B42,'ORÇAMENTO '!$F$20:$M$847,5,FALSE)=0,"",VLOOKUP($B42,'ORÇAMENTO '!$F$20:$M$847,5,FALSE)),"")</f>
        <v/>
      </c>
      <c r="F42" s="762" t="str">
        <f ca="1">IFERROR(IF(VLOOKUP($B42,'ORÇAMENTO '!$F$20:$M$847,4,FALSE)=0,"",VLOOKUP($B42,'ORÇAMENTO '!$F$20:$M$847,4,FALSE)),"")</f>
        <v/>
      </c>
    </row>
    <row r="43" spans="2:6" s="58" customFormat="1" ht="45">
      <c r="B43" s="834" t="str">
        <f ca="1">'ORÇAMENTO '!F48</f>
        <v>3.12</v>
      </c>
      <c r="C43" s="835" t="str">
        <f ca="1">IFERROR(VLOOKUP($B43,'ORÇAMENTO '!$F$20:$M$847,3,FALSE),IF(CONCATENATE('ORÇAMENTO '!F48,'ORÇAMENTO '!G48,'ORÇAMENTO '!H48,'ORÇAMENTO '!I48,'ORÇAMENTO '!J48,'ORÇAMENTO '!K48,'ORÇAMENTO '!L48)='ORÇAMENTO '!H48,'ORÇAMENTO '!H48,""))</f>
        <v>TUBOS E CONEXÕES (ABRIGO DE VÁLVULA VENTOSA) - FORNECIMENTO E INSTALAÇÃO</v>
      </c>
      <c r="D43" s="762" t="str">
        <f ca="1">IFERROR(IF(VLOOKUP($B43,'ORÇAMENTO '!$F$20:$O$847,10,FALSE)=0,"",VLOOKUP($B43,'ORÇAMENTO '!$F$20:$O$847,10,FALSE)),"")</f>
        <v>CONFORME PROJETO DE SANEAMENTO</v>
      </c>
      <c r="E43" s="836">
        <f ca="1">IFERROR(IF(VLOOKUP($B43,'ORÇAMENTO '!$F$20:$M$847,5,FALSE)=0,"",VLOOKUP($B43,'ORÇAMENTO '!$F$20:$M$847,5,FALSE)),"")</f>
        <v>4</v>
      </c>
      <c r="F43" s="762" t="str">
        <f ca="1">IFERROR(IF(VLOOKUP($B43,'ORÇAMENTO '!$F$20:$M$847,4,FALSE)=0,"",VLOOKUP($B43,'ORÇAMENTO '!$F$20:$M$847,4,FALSE)),"")</f>
        <v>UN</v>
      </c>
    </row>
    <row r="44" spans="2:6" s="58" customFormat="1" ht="30">
      <c r="B44" s="834" t="str">
        <f ca="1">'ORÇAMENTO '!F49</f>
        <v>3.13</v>
      </c>
      <c r="C44" s="835" t="str">
        <f ca="1">IFERROR(VLOOKUP($B44,'ORÇAMENTO '!$F$20:$M$847,3,FALSE),IF(CONCATENATE('ORÇAMENTO '!F49,'ORÇAMENTO '!G49,'ORÇAMENTO '!H49,'ORÇAMENTO '!I49,'ORÇAMENTO '!J49,'ORÇAMENTO '!K49,'ORÇAMENTO '!L49)='ORÇAMENTO '!H49,'ORÇAMENTO '!H49,""))</f>
        <v>ABRIGO DE VÁLVULA VENTOSA- DIMENSÕES DE ACORDO COM O PROJETO</v>
      </c>
      <c r="D44" s="762" t="str">
        <f ca="1">IFERROR(IF(VLOOKUP($B44,'ORÇAMENTO '!$F$20:$O$847,10,FALSE)=0,"",VLOOKUP($B44,'ORÇAMENTO '!$F$20:$O$847,10,FALSE)),"")</f>
        <v>CONFORME PROJETO DE SANEAMENTO</v>
      </c>
      <c r="E44" s="836">
        <f ca="1">IFERROR(IF(VLOOKUP($B44,'ORÇAMENTO '!$F$20:$M$847,5,FALSE)=0,"",VLOOKUP($B44,'ORÇAMENTO '!$F$20:$M$847,5,FALSE)),"")</f>
        <v>4</v>
      </c>
      <c r="F44" s="762" t="str">
        <f ca="1">IFERROR(IF(VLOOKUP($B44,'ORÇAMENTO '!$F$20:$M$847,4,FALSE)=0,"",VLOOKUP($B44,'ORÇAMENTO '!$F$20:$M$847,4,FALSE)),"")</f>
        <v>UN</v>
      </c>
    </row>
    <row r="45" spans="2:6" s="58" customFormat="1" ht="30">
      <c r="B45" s="834" t="str">
        <f ca="1">'ORÇAMENTO '!F50</f>
        <v>3.14</v>
      </c>
      <c r="C45" s="835" t="str">
        <f ca="1">IFERROR(VLOOKUP($B45,'ORÇAMENTO '!$F$20:$M$847,3,FALSE),IF(CONCATENATE('ORÇAMENTO '!F50,'ORÇAMENTO '!G50,'ORÇAMENTO '!H50,'ORÇAMENTO '!I50,'ORÇAMENTO '!J50,'ORÇAMENTO '!K50,'ORÇAMENTO '!L50)='ORÇAMENTO '!H50,'ORÇAMENTO '!H50,""))</f>
        <v>FORNECIMENO E ASSENTAMENTO DE TAMPÃO DE FERRO DÚCTIL - DN 600 MM</v>
      </c>
      <c r="D45" s="762" t="str">
        <f ca="1">IFERROR(IF(VLOOKUP($B45,'ORÇAMENTO '!$F$20:$O$847,10,FALSE)=0,"",VLOOKUP($B45,'ORÇAMENTO '!$F$20:$O$847,10,FALSE)),"")</f>
        <v>CONFORME PROJETO DE SANEAMENTO</v>
      </c>
      <c r="E45" s="836">
        <f ca="1">IFERROR(IF(VLOOKUP($B45,'ORÇAMENTO '!$F$20:$M$847,5,FALSE)=0,"",VLOOKUP($B45,'ORÇAMENTO '!$F$20:$M$847,5,FALSE)),"")</f>
        <v>4</v>
      </c>
      <c r="F45" s="762" t="str">
        <f ca="1">IFERROR(IF(VLOOKUP($B45,'ORÇAMENTO '!$F$20:$M$847,4,FALSE)=0,"",VLOOKUP($B45,'ORÇAMENTO '!$F$20:$M$847,4,FALSE)),"")</f>
        <v>UN</v>
      </c>
    </row>
    <row r="46" spans="2:6" s="58" customFormat="1" ht="15">
      <c r="B46" s="834" t="str">
        <f>'ORÇAMENTO '!F51</f>
        <v/>
      </c>
      <c r="C46" s="835" t="str">
        <f>'ORÇAMENTO '!H51</f>
        <v>DESCARGA DE REDE</v>
      </c>
      <c r="D46" s="762" t="str">
        <f ca="1">IFERROR(IF(VLOOKUP($B46,'ORÇAMENTO '!$F$20:$O$847,10,FALSE)=0,"",VLOOKUP($B46,'ORÇAMENTO '!$F$20:$O$847,10,FALSE)),"")</f>
        <v/>
      </c>
      <c r="E46" s="836" t="str">
        <f ca="1">IFERROR(IF(VLOOKUP($B46,'ORÇAMENTO '!$F$20:$M$847,5,FALSE)=0,"",VLOOKUP($B46,'ORÇAMENTO '!$F$20:$M$847,5,FALSE)),"")</f>
        <v/>
      </c>
      <c r="F46" s="762" t="str">
        <f ca="1">IFERROR(IF(VLOOKUP($B46,'ORÇAMENTO '!$F$20:$M$847,4,FALSE)=0,"",VLOOKUP($B46,'ORÇAMENTO '!$F$20:$M$847,4,FALSE)),"")</f>
        <v/>
      </c>
    </row>
    <row r="47" spans="2:6" s="58" customFormat="1" ht="30">
      <c r="B47" s="834" t="str">
        <f ca="1">'ORÇAMENTO '!F52</f>
        <v>3.15</v>
      </c>
      <c r="C47" s="835" t="str">
        <f ca="1">IFERROR(VLOOKUP($B47,'ORÇAMENTO '!$F$20:$M$847,3,FALSE),IF(CONCATENATE('ORÇAMENTO '!F52,'ORÇAMENTO '!G52,'ORÇAMENTO '!H52,'ORÇAMENTO '!I52,'ORÇAMENTO '!J52,'ORÇAMENTO '!K52,'ORÇAMENTO '!L52)='ORÇAMENTO '!H52,'ORÇAMENTO '!H52,""))</f>
        <v>CONEXÕES E TUBULAÇÕES (DESCARGA DE REDE) - FORNECIMENTO E INSTALAÇÃO</v>
      </c>
      <c r="D47" s="762" t="str">
        <f ca="1">IFERROR(IF(VLOOKUP($B47,'ORÇAMENTO '!$F$20:$O$847,10,FALSE)=0,"",VLOOKUP($B47,'ORÇAMENTO '!$F$20:$O$847,10,FALSE)),"")</f>
        <v>CONFORME PROJETO DE SANEAMENTO</v>
      </c>
      <c r="E47" s="836">
        <f ca="1">IFERROR(IF(VLOOKUP($B47,'ORÇAMENTO '!$F$20:$M$847,5,FALSE)=0,"",VLOOKUP($B47,'ORÇAMENTO '!$F$20:$M$847,5,FALSE)),"")</f>
        <v>4</v>
      </c>
      <c r="F47" s="762" t="str">
        <f ca="1">IFERROR(IF(VLOOKUP($B47,'ORÇAMENTO '!$F$20:$M$847,4,FALSE)=0,"",VLOOKUP($B47,'ORÇAMENTO '!$F$20:$M$847,4,FALSE)),"")</f>
        <v>UN</v>
      </c>
    </row>
    <row r="48" spans="2:6" s="58" customFormat="1" ht="30">
      <c r="B48" s="834" t="str">
        <f ca="1">'ORÇAMENTO '!F53</f>
        <v>3.16</v>
      </c>
      <c r="C48" s="835" t="str">
        <f ca="1">IFERROR(VLOOKUP($B48,'ORÇAMENTO '!$F$20:$M$847,3,FALSE),IF(CONCATENATE('ORÇAMENTO '!F53,'ORÇAMENTO '!G53,'ORÇAMENTO '!H53,'ORÇAMENTO '!I53,'ORÇAMENTO '!J53,'ORÇAMENTO '!K53,'ORÇAMENTO '!L53)='ORÇAMENTO '!H53,'ORÇAMENTO '!H53,""))</f>
        <v>ABRIGO DE DESCARGA - DIMENSÕES DE ACORDO COM O PROJETO</v>
      </c>
      <c r="D48" s="762" t="str">
        <f ca="1">IFERROR(IF(VLOOKUP($B48,'ORÇAMENTO '!$F$20:$O$847,10,FALSE)=0,"",VLOOKUP($B48,'ORÇAMENTO '!$F$20:$O$847,10,FALSE)),"")</f>
        <v>CONFORME PROJETO DE SANEAMENTO</v>
      </c>
      <c r="E48" s="836">
        <f ca="1">IFERROR(IF(VLOOKUP($B48,'ORÇAMENTO '!$F$20:$M$847,5,FALSE)=0,"",VLOOKUP($B48,'ORÇAMENTO '!$F$20:$M$847,5,FALSE)),"")</f>
        <v>4</v>
      </c>
      <c r="F48" s="762" t="str">
        <f ca="1">IFERROR(IF(VLOOKUP($B48,'ORÇAMENTO '!$F$20:$M$847,4,FALSE)=0,"",VLOOKUP($B48,'ORÇAMENTO '!$F$20:$M$847,4,FALSE)),"")</f>
        <v>UN</v>
      </c>
    </row>
    <row r="49" spans="2:6" s="58" customFormat="1" ht="30">
      <c r="B49" s="834" t="str">
        <f ca="1">'ORÇAMENTO '!F54</f>
        <v>3.17</v>
      </c>
      <c r="C49" s="835" t="str">
        <f ca="1">IFERROR(VLOOKUP($B49,'ORÇAMENTO '!$F$20:$M$847,3,FALSE),IF(CONCATENATE('ORÇAMENTO '!F54,'ORÇAMENTO '!G54,'ORÇAMENTO '!H54,'ORÇAMENTO '!I54,'ORÇAMENTO '!J54,'ORÇAMENTO '!K54,'ORÇAMENTO '!L54)='ORÇAMENTO '!H54,'ORÇAMENTO '!H54,""))</f>
        <v>FORNECIMENO E ASSENTAMENTO DE TAMPÃO DE FERRO DÚCTIL - DN 600 MM</v>
      </c>
      <c r="D49" s="762" t="str">
        <f ca="1">IFERROR(IF(VLOOKUP($B49,'ORÇAMENTO '!$F$20:$O$847,10,FALSE)=0,"",VLOOKUP($B49,'ORÇAMENTO '!$F$20:$O$847,10,FALSE)),"")</f>
        <v>CONFORME PROJETO DE SANEAMENTO</v>
      </c>
      <c r="E49" s="836">
        <f ca="1">IFERROR(IF(VLOOKUP($B49,'ORÇAMENTO '!$F$20:$M$847,5,FALSE)=0,"",VLOOKUP($B49,'ORÇAMENTO '!$F$20:$M$847,5,FALSE)),"")</f>
        <v>4</v>
      </c>
      <c r="F49" s="762" t="str">
        <f ca="1">IFERROR(IF(VLOOKUP($B49,'ORÇAMENTO '!$F$20:$M$847,4,FALSE)=0,"",VLOOKUP($B49,'ORÇAMENTO '!$F$20:$M$847,4,FALSE)),"")</f>
        <v>UN</v>
      </c>
    </row>
    <row r="50" spans="2:6" s="58" customFormat="1" ht="30">
      <c r="B50" s="834" t="str">
        <f>'ORÇAMENTO '!F55</f>
        <v/>
      </c>
      <c r="C50" s="835" t="str">
        <f>'ORÇAMENTO '!H55</f>
        <v>DEMOLIÇÃO/RECONSTITUIÇÃO DE PAVIMENTO</v>
      </c>
      <c r="D50" s="762" t="str">
        <f ca="1">IFERROR(IF(VLOOKUP($B50,'ORÇAMENTO '!$F$20:$O$847,10,FALSE)=0,"",VLOOKUP($B50,'ORÇAMENTO '!$F$20:$O$847,10,FALSE)),"")</f>
        <v/>
      </c>
      <c r="E50" s="836" t="str">
        <f ca="1">IFERROR(IF(VLOOKUP($B50,'ORÇAMENTO '!$F$20:$M$847,5,FALSE)=0,"",VLOOKUP($B50,'ORÇAMENTO '!$F$20:$M$847,5,FALSE)),"")</f>
        <v/>
      </c>
      <c r="F50" s="762" t="str">
        <f ca="1">IFERROR(IF(VLOOKUP($B50,'ORÇAMENTO '!$F$20:$M$847,4,FALSE)=0,"",VLOOKUP($B50,'ORÇAMENTO '!$F$20:$M$847,4,FALSE)),"")</f>
        <v/>
      </c>
    </row>
    <row r="51" spans="2:6" s="58" customFormat="1" ht="45">
      <c r="B51" s="834" t="str">
        <f ca="1">'ORÇAMENTO '!F56</f>
        <v>3.18</v>
      </c>
      <c r="C51" s="835" t="str">
        <f ca="1">IFERROR(VLOOKUP($B51,'ORÇAMENTO '!$F$20:$M$847,3,FALSE),IF(CONCATENATE('ORÇAMENTO '!F56,'ORÇAMENTO '!G56,'ORÇAMENTO '!H56,'ORÇAMENTO '!I56,'ORÇAMENTO '!J56,'ORÇAMENTO '!K56,'ORÇAMENTO '!L56)='ORÇAMENTO '!H56,'ORÇAMENTO '!H56,""))</f>
        <v>DEMOLIÇÃO PARCIAL DE PAVIMENTO ASFÁLTICO, DE FORMA MECANIZADA, SEM REAPROVEITAMENTO. AF_12/2017</v>
      </c>
      <c r="D51" s="762" t="str">
        <f ca="1">IFERROR(IF(VLOOKUP($B51,'ORÇAMENTO '!$F$20:$O$847,10,FALSE)=0,"",VLOOKUP($B51,'ORÇAMENTO '!$F$20:$O$847,10,FALSE)),"")</f>
        <v>SERÁ REALIZADA A DEMOLIÇÃO EM VIAS QUE SÃO PAVIMENTADAS</v>
      </c>
      <c r="E51" s="836">
        <f ca="1">IFERROR(IF(VLOOKUP($B51,'ORÇAMENTO '!$F$20:$M$847,5,FALSE)=0,"",VLOOKUP($B51,'ORÇAMENTO '!$F$20:$M$847,5,FALSE)),"")</f>
        <v>429</v>
      </c>
      <c r="F51" s="762" t="str">
        <f ca="1">IFERROR(IF(VLOOKUP($B51,'ORÇAMENTO '!$F$20:$M$847,4,FALSE)=0,"",VLOOKUP($B51,'ORÇAMENTO '!$F$20:$M$847,4,FALSE)),"")</f>
        <v>M2</v>
      </c>
    </row>
    <row r="52" spans="2:6" s="58" customFormat="1" ht="75">
      <c r="B52" s="834" t="str">
        <f ca="1">'ORÇAMENTO '!F57</f>
        <v>3.19</v>
      </c>
      <c r="C52" s="835" t="str">
        <f ca="1">IFERROR(VLOOKUP($B52,'ORÇAMENTO '!$F$20:$M$847,3,FALSE),IF(CONCATENATE('ORÇAMENTO '!F57,'ORÇAMENTO '!G57,'ORÇAMENTO '!H57,'ORÇAMENTO '!I57,'ORÇAMENTO '!J57,'ORÇAMENTO '!K57,'ORÇAMENTO '!L57)='ORÇAMENTO '!H57,'ORÇAMENTO '!H57,""))</f>
        <v>RECOMPOSIÇÃO DE BASE E OU SUB-BASE PARA FECHAMENTO DE VALAS DE SOLOS DE COMPORTAMENTO LATERÍTICO (ARENOSO) - INCLUSO RETIRADA E COLOCAÇÃO DO MATERIAL. AF_12/2020</v>
      </c>
      <c r="D52" s="762" t="str">
        <f ca="1">IFERROR(IF(VLOOKUP($B52,'ORÇAMENTO '!$F$20:$O$847,10,FALSE)=0,"",VLOOKUP($B52,'ORÇAMENTO '!$F$20:$O$847,10,FALSE)),"")</f>
        <v>SERÁ REALIZADA A DEMOLIÇÃO EM VIAS QUE SÃO PAVIMENTADAS</v>
      </c>
      <c r="E52" s="836">
        <f ca="1">IFERROR(IF(VLOOKUP($B52,'ORÇAMENTO '!$F$20:$M$847,5,FALSE)=0,"",VLOOKUP($B52,'ORÇAMENTO '!$F$20:$M$847,5,FALSE)),"")</f>
        <v>877.2</v>
      </c>
      <c r="F52" s="762" t="str">
        <f ca="1">IFERROR(IF(VLOOKUP($B52,'ORÇAMENTO '!$F$20:$M$847,4,FALSE)=0,"",VLOOKUP($B52,'ORÇAMENTO '!$F$20:$M$847,4,FALSE)),"")</f>
        <v>M3</v>
      </c>
    </row>
    <row r="53" spans="2:6" s="58" customFormat="1" ht="30">
      <c r="B53" s="834" t="str">
        <f ca="1">'ORÇAMENTO '!F58</f>
        <v>3.20</v>
      </c>
      <c r="C53" s="835" t="str">
        <f ca="1">IFERROR(VLOOKUP($B53,'ORÇAMENTO '!$F$20:$M$847,3,FALSE),IF(CONCATENATE('ORÇAMENTO '!F58,'ORÇAMENTO '!G58,'ORÇAMENTO '!H58,'ORÇAMENTO '!I58,'ORÇAMENTO '!J58,'ORÇAMENTO '!K58,'ORÇAMENTO '!L58)='ORÇAMENTO '!H58,'ORÇAMENTO '!H58,""))</f>
        <v>EXECUÇÃO DE IMPRIMAÇÃO COM ASFALTO DILUÍDO CM-30. AF_11/2019</v>
      </c>
      <c r="D53" s="762" t="str">
        <f ca="1">IFERROR(IF(VLOOKUP($B53,'ORÇAMENTO '!$F$20:$O$847,10,FALSE)=0,"",VLOOKUP($B53,'ORÇAMENTO '!$F$20:$O$847,10,FALSE)),"")</f>
        <v xml:space="preserve">SERÁ REALIZADA A RECOMPOSIÇÃO DE PAVIMENTO NAS VIAS NECESSÁRIAS </v>
      </c>
      <c r="E53" s="836">
        <f ca="1">IFERROR(IF(VLOOKUP($B53,'ORÇAMENTO '!$F$20:$M$847,5,FALSE)=0,"",VLOOKUP($B53,'ORÇAMENTO '!$F$20:$M$847,5,FALSE)),"")</f>
        <v>2193</v>
      </c>
      <c r="F53" s="762" t="str">
        <f ca="1">IFERROR(IF(VLOOKUP($B53,'ORÇAMENTO '!$F$20:$M$847,4,FALSE)=0,"",VLOOKUP($B53,'ORÇAMENTO '!$F$20:$M$847,4,FALSE)),"")</f>
        <v>M2</v>
      </c>
    </row>
    <row r="54" spans="2:6" s="58" customFormat="1" ht="60">
      <c r="B54" s="834" t="str">
        <f ca="1">'ORÇAMENTO '!F59</f>
        <v>3.21</v>
      </c>
      <c r="C54" s="835" t="str">
        <f ca="1">IFERROR(VLOOKUP($B54,'ORÇAMENTO '!$F$20:$M$847,3,FALSE),IF(CONCATENATE('ORÇAMENTO '!F59,'ORÇAMENTO '!G59,'ORÇAMENTO '!H59,'ORÇAMENTO '!I59,'ORÇAMENTO '!J59,'ORÇAMENTO '!K59,'ORÇAMENTO '!L59)='ORÇAMENTO '!H59,'ORÇAMENTO '!H59,""))</f>
        <v>PAVIMENTO COM TRATAMENTO SUPERFICIAL DUPLO, COM EMULSÃO ASFÁLTICA RR-2C, COM BANHO DILUÍDO. AF_01/2020</v>
      </c>
      <c r="D54" s="762" t="str">
        <f ca="1">IFERROR(IF(VLOOKUP($B54,'ORÇAMENTO '!$F$20:$O$847,10,FALSE)=0,"",VLOOKUP($B54,'ORÇAMENTO '!$F$20:$O$847,10,FALSE)),"")</f>
        <v>SERÁ REALIZADA A DEMOLIÇÃO EM VIAS QUE SÃO PAVIMENTADAS</v>
      </c>
      <c r="E54" s="836">
        <f ca="1">IFERROR(IF(VLOOKUP($B54,'ORÇAMENTO '!$F$20:$M$847,5,FALSE)=0,"",VLOOKUP($B54,'ORÇAMENTO '!$F$20:$M$847,5,FALSE)),"")</f>
        <v>2193</v>
      </c>
      <c r="F54" s="762" t="str">
        <f ca="1">IFERROR(IF(VLOOKUP($B54,'ORÇAMENTO '!$F$20:$M$847,4,FALSE)=0,"",VLOOKUP($B54,'ORÇAMENTO '!$F$20:$M$847,4,FALSE)),"")</f>
        <v>M2</v>
      </c>
    </row>
    <row r="55" spans="2:6" s="58" customFormat="1" ht="60">
      <c r="B55" s="834" t="str">
        <f ca="1">'ORÇAMENTO '!F60</f>
        <v>3.22</v>
      </c>
      <c r="C55" s="835" t="str">
        <f ca="1">IFERROR(VLOOKUP($B55,'ORÇAMENTO '!$F$20:$M$847,3,FALSE),IF(CONCATENATE('ORÇAMENTO '!F60,'ORÇAMENTO '!G60,'ORÇAMENTO '!H60,'ORÇAMENTO '!I60,'ORÇAMENTO '!J60,'ORÇAMENTO '!K60,'ORÇAMENTO '!L60)='ORÇAMENTO '!H60,'ORÇAMENTO '!H60,""))</f>
        <v>TRANSPORTE COM CAMINHÃO BASCULANTE DE 14 M³, EM VIA URBANA PAVIMENTADA, DMT ATÉ 30 KM (UNIDADE: M3XKM). AF_07/2020</v>
      </c>
      <c r="D55" s="762" t="str">
        <f ca="1">IFERROR(IF(VLOOKUP($B55,'ORÇAMENTO '!$F$20:$O$847,10,FALSE)=0,"",VLOOKUP($B55,'ORÇAMENTO '!$F$20:$O$847,10,FALSE)),"")</f>
        <v>SERÁ REALIZADA A DEMOLIÇÃO EM VIAS QUE SÃO PAVIMENTADAS</v>
      </c>
      <c r="E55" s="836">
        <f ca="1">IFERROR(IF(VLOOKUP($B55,'ORÇAMENTO '!$F$20:$M$847,5,FALSE)=0,"",VLOOKUP($B55,'ORÇAMENTO '!$F$20:$M$847,5,FALSE)),"")</f>
        <v>1467.11</v>
      </c>
      <c r="F55" s="762" t="str">
        <f ca="1">IFERROR(IF(VLOOKUP($B55,'ORÇAMENTO '!$F$20:$M$847,4,FALSE)=0,"",VLOOKUP($B55,'ORÇAMENTO '!$F$20:$M$847,4,FALSE)),"")</f>
        <v>M3XKM</v>
      </c>
    </row>
    <row r="56" spans="2:6" s="58" customFormat="1" ht="75">
      <c r="B56" s="834" t="str">
        <f ca="1">'ORÇAMENTO '!F61</f>
        <v>3.23</v>
      </c>
      <c r="C56" s="835" t="str">
        <f ca="1">IFERROR(VLOOKUP($B56,'ORÇAMENTO '!$F$20:$M$847,3,FALSE),IF(CONCATENATE('ORÇAMENTO '!F61,'ORÇAMENTO '!G61,'ORÇAMENTO '!H61,'ORÇAMENTO '!I61,'ORÇAMENTO '!J61,'ORÇAMENTO '!K61,'ORÇAMENTO '!L61)='ORÇAMENTO '!H61,'ORÇAMENTO '!H61,""))</f>
        <v>TRANSPORTE COM CAMINHÃO BASCULANTE DE 14 M³, EM VIA URBANA PAVIMENTADA, ADICIONAL PARA DMT EXCEDENTE A 30 KM (UNIDADE: M3XKM). AF_07/2020</v>
      </c>
      <c r="D56" s="762" t="str">
        <f ca="1">IFERROR(IF(VLOOKUP($B56,'ORÇAMENTO '!$F$20:$O$847,10,FALSE)=0,"",VLOOKUP($B56,'ORÇAMENTO '!$F$20:$O$847,10,FALSE)),"")</f>
        <v xml:space="preserve">SERÁ REALIZADA A RECOMPOSIÇÃO DE PAVIMENTO NAS VIAS NECESSÁRIAS </v>
      </c>
      <c r="E56" s="836">
        <f ca="1">IFERROR(IF(VLOOKUP($B56,'ORÇAMENTO '!$F$20:$M$847,5,FALSE)=0,"",VLOOKUP($B56,'ORÇAMENTO '!$F$20:$M$847,5,FALSE)),"")</f>
        <v>6748.73</v>
      </c>
      <c r="F56" s="762" t="str">
        <f ca="1">IFERROR(IF(VLOOKUP($B56,'ORÇAMENTO '!$F$20:$M$847,4,FALSE)=0,"",VLOOKUP($B56,'ORÇAMENTO '!$F$20:$M$847,4,FALSE)),"")</f>
        <v>M3XKM</v>
      </c>
    </row>
    <row r="57" spans="2:6" s="58" customFormat="1" ht="75">
      <c r="B57" s="834" t="str">
        <f ca="1">'ORÇAMENTO '!F62</f>
        <v>3.24</v>
      </c>
      <c r="C57" s="835" t="str">
        <f ca="1">IFERROR(VLOOKUP($B57,'ORÇAMENTO '!$F$20:$M$847,3,FALSE),IF(CONCATENATE('ORÇAMENTO '!F62,'ORÇAMENTO '!G62,'ORÇAMENTO '!H62,'ORÇAMENTO '!I62,'ORÇAMENTO '!J62,'ORÇAMENTO '!K62,'ORÇAMENTO '!L62)='ORÇAMENTO '!H62,'ORÇAMENTO '!H62,""))</f>
        <v>TRANSPORTE COM CAMINHÃO TANQUE DE TRANSPORTE DE MATERIAL ASFÁLTICO DE 30000 L, EM VIA URBANA PAVIMENTADA, DMT ATÉ 30KM (UNIDADE: TXKM). AF_07/2020</v>
      </c>
      <c r="D57" s="762" t="str">
        <f ca="1">IFERROR(IF(VLOOKUP($B57,'ORÇAMENTO '!$F$20:$O$847,10,FALSE)=0,"",VLOOKUP($B57,'ORÇAMENTO '!$F$20:$O$847,10,FALSE)),"")</f>
        <v>SERÁ REALIZADA A DEMOLIÇÃO EM VIAS QUE SÃO PAVIMENTADAS</v>
      </c>
      <c r="E57" s="836">
        <f ca="1">IFERROR(IF(VLOOKUP($B57,'ORÇAMENTO '!$F$20:$M$847,5,FALSE)=0,"",VLOOKUP($B57,'ORÇAMENTO '!$F$20:$M$847,5,FALSE)),"")</f>
        <v>354.87</v>
      </c>
      <c r="F57" s="762" t="str">
        <f ca="1">IFERROR(IF(VLOOKUP($B57,'ORÇAMENTO '!$F$20:$M$847,4,FALSE)=0,"",VLOOKUP($B57,'ORÇAMENTO '!$F$20:$M$847,4,FALSE)),"")</f>
        <v>TXKM</v>
      </c>
    </row>
    <row r="58" spans="2:6" s="58" customFormat="1" ht="75">
      <c r="B58" s="834" t="str">
        <f ca="1">'ORÇAMENTO '!F63</f>
        <v>3.25</v>
      </c>
      <c r="C58" s="835" t="str">
        <f ca="1">IFERROR(VLOOKUP($B58,'ORÇAMENTO '!$F$20:$M$847,3,FALSE),IF(CONCATENATE('ORÇAMENTO '!F63,'ORÇAMENTO '!G63,'ORÇAMENTO '!H63,'ORÇAMENTO '!I63,'ORÇAMENTO '!J63,'ORÇAMENTO '!K63,'ORÇAMENTO '!L63)='ORÇAMENTO '!H63,'ORÇAMENTO '!H63,""))</f>
        <v>TRANSPORTE COM CAMINHÃO TANQUE DE TRANSPORTE DE MATERIAL ASFÁLTICO DE 30000 L, EM VIA URBANA PAVIMENTADA, ADICIONAL PARA DMT EXCEDENTE A 30 KM (UNIDADE: TXKM). AF_07/2020</v>
      </c>
      <c r="D58" s="762" t="str">
        <f ca="1">IFERROR(IF(VLOOKUP($B58,'ORÇAMENTO '!$F$20:$O$847,10,FALSE)=0,"",VLOOKUP($B58,'ORÇAMENTO '!$F$20:$O$847,10,FALSE)),"")</f>
        <v xml:space="preserve">SERÁ REALIZADA A RECOMPOSIÇÃO DE PAVIMENTO NAS VIAS NECESSÁRIAS </v>
      </c>
      <c r="E58" s="836">
        <f ca="1">IFERROR(IF(VLOOKUP($B58,'ORÇAMENTO '!$F$20:$M$847,5,FALSE)=0,"",VLOOKUP($B58,'ORÇAMENTO '!$F$20:$M$847,5,FALSE)),"")</f>
        <v>11142.91</v>
      </c>
      <c r="F58" s="762" t="str">
        <f ca="1">IFERROR(IF(VLOOKUP($B58,'ORÇAMENTO '!$F$20:$M$847,4,FALSE)=0,"",VLOOKUP($B58,'ORÇAMENTO '!$F$20:$M$847,4,FALSE)),"")</f>
        <v>TXKM</v>
      </c>
    </row>
    <row r="59" spans="2:6" s="58" customFormat="1" ht="15">
      <c r="B59" s="834" t="str">
        <f>'ORÇAMENTO '!F64</f>
        <v/>
      </c>
      <c r="C59" s="835">
        <f ca="1">IFERROR(VLOOKUP($B59,'ORÇAMENTO '!$F$20:$M$847,3,FALSE),IF(CONCATENATE('ORÇAMENTO '!#REF!,'ORÇAMENTO '!#REF!,'ORÇAMENTO '!#REF!,'ORÇAMENTO '!#REF!,'ORÇAMENTO '!#REF!,'ORÇAMENTO '!#REF!,'ORÇAMENTO '!#REF!)='ORÇAMENTO '!#REF!,'ORÇAMENTO '!#REF!,""))</f>
        <v>0</v>
      </c>
      <c r="D59" s="762" t="str">
        <f ca="1">IFERROR(IF(VLOOKUP($B59,'ORÇAMENTO '!$F$20:$O$847,10,FALSE)=0,"",VLOOKUP($B59,'ORÇAMENTO '!$F$20:$O$847,10,FALSE)),"")</f>
        <v/>
      </c>
      <c r="E59" s="836" t="str">
        <f ca="1">IFERROR(IF(VLOOKUP($B59,'ORÇAMENTO '!$F$20:$M$847,5,FALSE)=0,"",VLOOKUP($B59,'ORÇAMENTO '!$F$20:$M$847,5,FALSE)),"")</f>
        <v/>
      </c>
      <c r="F59" s="762" t="str">
        <f ca="1">IFERROR(IF(VLOOKUP($B59,'ORÇAMENTO '!$F$20:$M$847,4,FALSE)=0,"",VLOOKUP($B59,'ORÇAMENTO '!$F$20:$M$847,4,FALSE)),"")</f>
        <v/>
      </c>
    </row>
    <row r="60" spans="2:6" s="58" customFormat="1" ht="30">
      <c r="B60" s="834" t="str">
        <f ca="1">'ORÇAMENTO '!F65</f>
        <v>4.0</v>
      </c>
      <c r="C60" s="835" t="str">
        <f ca="1">IFERROR(VLOOKUP($B60,'ORÇAMENTO '!$F$20:$M$847,3,FALSE),IF(CONCATENATE('ORÇAMENTO '!#REF!,'ORÇAMENTO '!#REF!,'ORÇAMENTO '!#REF!,'ORÇAMENTO '!#REF!,'ORÇAMENTO '!#REF!,'ORÇAMENTO '!#REF!,'ORÇAMENTO '!#REF!)='ORÇAMENTO '!#REF!,'ORÇAMENTO '!#REF!,""))</f>
        <v>I N S T A L A Ç Õ E S  E L É T R I C A S - B O M B A 1 5 C V</v>
      </c>
      <c r="D60" s="762" t="str">
        <f ca="1">IFERROR(IF(VLOOKUP($B60,'ORÇAMENTO '!$F$20:$O$847,10,FALSE)=0,"",VLOOKUP($B60,'ORÇAMENTO '!$F$20:$O$847,10,FALSE)),"")</f>
        <v/>
      </c>
      <c r="E60" s="836" t="str">
        <f ca="1">IFERROR(IF(VLOOKUP($B60,'ORÇAMENTO '!$F$20:$M$847,5,FALSE)=0,"",VLOOKUP($B60,'ORÇAMENTO '!$F$20:$M$847,5,FALSE)),"")</f>
        <v/>
      </c>
      <c r="F60" s="762" t="str">
        <f ca="1">IFERROR(IF(VLOOKUP($B60,'ORÇAMENTO '!$F$20:$M$847,4,FALSE)=0,"",VLOOKUP($B60,'ORÇAMENTO '!$F$20:$M$847,4,FALSE)),"")</f>
        <v/>
      </c>
    </row>
    <row r="61" spans="2:6" s="58" customFormat="1" ht="75">
      <c r="B61" s="834" t="str">
        <f ca="1">'ORÇAMENTO '!F66</f>
        <v>4.1</v>
      </c>
      <c r="C61" s="1028" t="str">
        <f>'ORÇAMENTO '!H66</f>
        <v>CABO DE COBRE FLEXÍVEL ISOLADO, 70 MM², ANTI-CHAMA 0,6/1,0 KV, PARA REDE ENTERRADA DE DISTRIBUIÇÃO DE ENERGIA ELÉTRICA - FORNECIMENTO E INSTALAÇÃO. AF_12/2021</v>
      </c>
      <c r="D61" s="1029" t="str">
        <f ca="1">IFERROR(IF(VLOOKUP($B61,'ORÇAMENTO '!$F$20:$O$847,10,FALSE)=0,"",VLOOKUP($B61,'ORÇAMENTO '!$F$20:$O$847,10,FALSE)),"")</f>
        <v>CONFORME PROJETO ELÉTRICO</v>
      </c>
      <c r="E61" s="1030">
        <f ca="1">IFERROR(IF(VLOOKUP($B61,'ORÇAMENTO '!$F$20:$M$847,5,FALSE)=0,"",VLOOKUP($B61,'ORÇAMENTO '!$F$20:$M$847,5,FALSE)),"")</f>
        <v>51</v>
      </c>
      <c r="F61" s="1027" t="str">
        <f ca="1">IFERROR(IF(VLOOKUP($B61,'ORÇAMENTO '!$F$20:$M$847,4,FALSE)=0,"",VLOOKUP($B61,'ORÇAMENTO '!$F$20:$M$847,4,FALSE)),"")</f>
        <v>M</v>
      </c>
    </row>
    <row r="62" spans="2:6" s="58" customFormat="1" ht="60">
      <c r="B62" s="834" t="str">
        <f ca="1">'ORÇAMENTO '!F67</f>
        <v>4.2</v>
      </c>
      <c r="C62" s="835" t="str">
        <f ca="1">IFERROR(VLOOKUP($B62,'ORÇAMENTO '!$F$20:$M$847,3,FALSE),IF(CONCATENATE('ORÇAMENTO '!#REF!,'ORÇAMENTO '!#REF!,'ORÇAMENTO '!#REF!,'ORÇAMENTO '!#REF!,'ORÇAMENTO '!#REF!,'ORÇAMENTO '!#REF!,'ORÇAMENTO '!#REF!)='ORÇAMENTO '!#REF!,'ORÇAMENTO '!#REF!,""))</f>
        <v>CABO DE COBRE FLEXÍVEL ISOLADO, 10 MM², ANTI-CHAMA 0,6/1,0 KV, PARA DISTRIBUIÇÃO - FORNECIMENTO E INSTALAÇÃO. AF_12/2015</v>
      </c>
      <c r="D62" s="762" t="str">
        <f ca="1">IFERROR(IF(VLOOKUP($B62,'ORÇAMENTO '!$F$20:$O$847,10,FALSE)=0,"",VLOOKUP($B62,'ORÇAMENTO '!$F$20:$O$847,10,FALSE)),"")</f>
        <v>CONFORME PROJETO ELÉTRICO</v>
      </c>
      <c r="E62" s="836">
        <f ca="1">IFERROR(IF(VLOOKUP($B62,'ORÇAMENTO '!$F$20:$M$847,5,FALSE)=0,"",VLOOKUP($B62,'ORÇAMENTO '!$F$20:$M$847,5,FALSE)),"")</f>
        <v>113</v>
      </c>
      <c r="F62" s="762" t="str">
        <f ca="1">IFERROR(IF(VLOOKUP($B62,'ORÇAMENTO '!$F$20:$M$847,4,FALSE)=0,"",VLOOKUP($B62,'ORÇAMENTO '!$F$20:$M$847,4,FALSE)),"")</f>
        <v>M</v>
      </c>
    </row>
    <row r="63" spans="2:6" s="58" customFormat="1" ht="60">
      <c r="B63" s="834" t="str">
        <f ca="1">'ORÇAMENTO '!F68</f>
        <v>4.3</v>
      </c>
      <c r="C63" s="835" t="str">
        <f ca="1">IFERROR(VLOOKUP($B63,'ORÇAMENTO '!$F$20:$M$847,3,FALSE),IF(CONCATENATE('ORÇAMENTO '!#REF!,'ORÇAMENTO '!#REF!,'ORÇAMENTO '!#REF!,'ORÇAMENTO '!#REF!,'ORÇAMENTO '!#REF!,'ORÇAMENTO '!#REF!,'ORÇAMENTO '!#REF!)='ORÇAMENTO '!#REF!,'ORÇAMENTO '!#REF!,""))</f>
        <v>CABO DE COBRE FLEXÍVEL ISOLADO, 16 MM², ANTI-CHAMA 0,6/1,0 KV, PARA DISTRIBUIÇÃO - FORNECIMENTO E INSTALAÇÃO. AF_12/2015</v>
      </c>
      <c r="D63" s="762" t="str">
        <f ca="1">IFERROR(IF(VLOOKUP($B63,'ORÇAMENTO '!$F$20:$O$847,10,FALSE)=0,"",VLOOKUP($B63,'ORÇAMENTO '!$F$20:$O$847,10,FALSE)),"")</f>
        <v>CONFORME PROJETO ELÉTRICO</v>
      </c>
      <c r="E63" s="836">
        <f ca="1">IFERROR(IF(VLOOKUP($B63,'ORÇAMENTO '!$F$20:$M$847,5,FALSE)=0,"",VLOOKUP($B63,'ORÇAMENTO '!$F$20:$M$847,5,FALSE)),"")</f>
        <v>4</v>
      </c>
      <c r="F63" s="762" t="str">
        <f ca="1">IFERROR(IF(VLOOKUP($B63,'ORÇAMENTO '!$F$20:$M$847,4,FALSE)=0,"",VLOOKUP($B63,'ORÇAMENTO '!$F$20:$M$847,4,FALSE)),"")</f>
        <v>M</v>
      </c>
    </row>
    <row r="64" spans="2:6" s="58" customFormat="1" ht="75">
      <c r="B64" s="834" t="str">
        <f ca="1">'ORÇAMENTO '!F69</f>
        <v>4.4</v>
      </c>
      <c r="C64" s="835" t="str">
        <f ca="1">IFERROR(VLOOKUP($B64,'ORÇAMENTO '!$F$20:$M$847,3,FALSE),IF(CONCATENATE('ORÇAMENTO '!#REF!,'ORÇAMENTO '!#REF!,'ORÇAMENTO '!#REF!,'ORÇAMENTO '!#REF!,'ORÇAMENTO '!#REF!,'ORÇAMENTO '!#REF!,'ORÇAMENTO '!#REF!)='ORÇAMENTO '!#REF!,'ORÇAMENTO '!#REF!,""))</f>
        <v>CABO DE COBRE FLEXÍVEL ISOLADO, 50 MM², ANTI-CHAMA 0,6/1,0 KV, PARA REDE ENTERRADA DE DISTRIBUIÇÃO DE ENERGIA ELÉTRICA - FORNECIMENTO E INSTALAÇÃO. AF_12/2021</v>
      </c>
      <c r="D64" s="762" t="str">
        <f ca="1">IFERROR(IF(VLOOKUP($B64,'ORÇAMENTO '!$F$20:$O$847,10,FALSE)=0,"",VLOOKUP($B64,'ORÇAMENTO '!$F$20:$O$847,10,FALSE)),"")</f>
        <v>CONFORME PROJETO ELÉTRICO</v>
      </c>
      <c r="E64" s="836">
        <f ca="1">IFERROR(IF(VLOOKUP($B64,'ORÇAMENTO '!$F$20:$M$847,5,FALSE)=0,"",VLOOKUP($B64,'ORÇAMENTO '!$F$20:$M$847,5,FALSE)),"")</f>
        <v>13</v>
      </c>
      <c r="F64" s="762" t="str">
        <f ca="1">IFERROR(IF(VLOOKUP($B64,'ORÇAMENTO '!$F$20:$M$847,4,FALSE)=0,"",VLOOKUP($B64,'ORÇAMENTO '!$F$20:$M$847,4,FALSE)),"")</f>
        <v>M</v>
      </c>
    </row>
    <row r="65" spans="2:6" s="58" customFormat="1" ht="75">
      <c r="B65" s="834" t="str">
        <f ca="1">'ORÇAMENTO '!F70</f>
        <v>4.5</v>
      </c>
      <c r="C65" s="1028" t="str">
        <f>'ORÇAMENTO '!H69</f>
        <v>CABO DE COBRE FLEXÍVEL ISOLADO, 50 MM², ANTI-CHAMA 0,6/1,0 KV, PARA REDE ENTERRADA DE DISTRIBUIÇÃO DE ENERGIA ELÉTRICA - FORNECIMENTO E INSTALAÇÃO. AF_12/2021</v>
      </c>
      <c r="D65" s="1029" t="str">
        <f ca="1">IFERROR(IF(VLOOKUP($B65,'ORÇAMENTO '!$F$20:$O$847,10,FALSE)=0,"",VLOOKUP($B65,'ORÇAMENTO '!$F$20:$O$847,10,FALSE)),"")</f>
        <v>CONFORME PROJETO ELÉTRICO</v>
      </c>
      <c r="E65" s="1030">
        <f ca="1">IFERROR(IF(VLOOKUP($B65,'ORÇAMENTO '!$F$20:$M$847,5,FALSE)=0,"",VLOOKUP($B65,'ORÇAMENTO '!$F$20:$M$847,5,FALSE)),"")</f>
        <v>14</v>
      </c>
      <c r="F65" s="1027" t="str">
        <f ca="1">IFERROR(IF(VLOOKUP($B65,'ORÇAMENTO '!$F$20:$M$847,4,FALSE)=0,"",VLOOKUP($B65,'ORÇAMENTO '!$F$20:$M$847,4,FALSE)),"")</f>
        <v>M</v>
      </c>
    </row>
    <row r="66" spans="2:6" s="58" customFormat="1" ht="45">
      <c r="B66" s="834" t="str">
        <f ca="1">'ORÇAMENTO '!F71</f>
        <v>4.6</v>
      </c>
      <c r="C66" s="835" t="str">
        <f ca="1">IFERROR(VLOOKUP($B66,'ORÇAMENTO '!$F$20:$M$847,3,FALSE),IF(CONCATENATE('ORÇAMENTO '!F70,'ORÇAMENTO '!G70,'ORÇAMENTO '!H70,'ORÇAMENTO '!I70,'ORÇAMENTO '!J70,'ORÇAMENTO '!K70,'ORÇAMENTO '!L70)='ORÇAMENTO '!H70,'ORÇAMENTO '!H70,""))</f>
        <v>DISJUNTOR TRIPOLAR TIPO DIN, CORRENTE NOMINAL DE 50A - FORNECIMENTO E INSTALAÇÃO. AF_10/2020</v>
      </c>
      <c r="D66" s="762" t="str">
        <f ca="1">IFERROR(IF(VLOOKUP($B66,'ORÇAMENTO '!$F$20:$O$847,10,FALSE)=0,"",VLOOKUP($B66,'ORÇAMENTO '!$F$20:$O$847,10,FALSE)),"")</f>
        <v>CONFORME PROJETO ELÉTRICO</v>
      </c>
      <c r="E66" s="836">
        <f ca="1">IFERROR(IF(VLOOKUP($B66,'ORÇAMENTO '!$F$20:$M$847,5,FALSE)=0,"",VLOOKUP($B66,'ORÇAMENTO '!$F$20:$M$847,5,FALSE)),"")</f>
        <v>2</v>
      </c>
      <c r="F66" s="762" t="str">
        <f ca="1">IFERROR(IF(VLOOKUP($B66,'ORÇAMENTO '!$F$20:$M$847,4,FALSE)=0,"",VLOOKUP($B66,'ORÇAMENTO '!$F$20:$M$847,4,FALSE)),"")</f>
        <v>UN</v>
      </c>
    </row>
    <row r="67" spans="2:6" s="58" customFormat="1" ht="90">
      <c r="B67" s="834" t="str">
        <f ca="1">'ORÇAMENTO '!F72</f>
        <v>4.7</v>
      </c>
      <c r="C67" s="835" t="str">
        <f ca="1">IFERROR(VLOOKUP($B67,'ORÇAMENTO '!$F$20:$M$847,3,FALSE),IF(CONCATENATE('ORÇAMENTO '!F72,'ORÇAMENTO '!G72,'ORÇAMENTO '!H72,'ORÇAMENTO '!I72,'ORÇAMENTO '!J72,'ORÇAMENTO '!K72,'ORÇAMENTO '!L72)='ORÇAMENTO '!H72,'ORÇAMENTO '!H72,""))</f>
        <v>QUADRO DE DISTRIBUIÇÃO DE ENERGIA EM CHAPA DE AÇO GALVANIZADO, DE EMBUTIR, COM BARRAMENTO TRIFÁSICO, PARA 30 DISJUNTORES DIN 225A - FORNECIMENTO E INSTALAÇÃO. AF_10/2020</v>
      </c>
      <c r="D67" s="762" t="str">
        <f ca="1">IFERROR(IF(VLOOKUP($B67,'ORÇAMENTO '!$F$20:$O$847,10,FALSE)=0,"",VLOOKUP($B67,'ORÇAMENTO '!$F$20:$O$847,10,FALSE)),"")</f>
        <v>CONFORME PROJETO ELÉTRICO</v>
      </c>
      <c r="E67" s="836">
        <f ca="1">IFERROR(IF(VLOOKUP($B67,'ORÇAMENTO '!$F$20:$M$847,5,FALSE)=0,"",VLOOKUP($B67,'ORÇAMENTO '!$F$20:$M$847,5,FALSE)),"")</f>
        <v>1</v>
      </c>
      <c r="F67" s="762" t="str">
        <f ca="1">IFERROR(IF(VLOOKUP($B67,'ORÇAMENTO '!$F$20:$M$847,4,FALSE)=0,"",VLOOKUP($B67,'ORÇAMENTO '!$F$20:$M$847,4,FALSE)),"")</f>
        <v>UN</v>
      </c>
    </row>
    <row r="68" spans="2:6" s="58" customFormat="1" ht="75">
      <c r="B68" s="834" t="str">
        <f ca="1">'ORÇAMENTO '!F73</f>
        <v>4.8</v>
      </c>
      <c r="C68" s="1028" t="str">
        <f>'ORÇAMENTO '!H73</f>
        <v>ELETRODUTO FLEXÍVEL CORRUGADO, PEAD, DN 50 (1 1/2"), PARA REDE ENTERRADA DE DISTRIBUIÇÃO DE ENERGIA ELÉTRICA - FORNECIMENTO E INSTALAÇÃO. AF_12/2021</v>
      </c>
      <c r="D68" s="1029" t="str">
        <f ca="1">IFERROR(IF(VLOOKUP($B68,'ORÇAMENTO '!$F$20:$O$847,10,FALSE)=0,"",VLOOKUP($B68,'ORÇAMENTO '!$F$20:$O$847,10,FALSE)),"")</f>
        <v>CONFORME PROJETO ELÉTRICO</v>
      </c>
      <c r="E68" s="1030">
        <f ca="1">IFERROR(IF(VLOOKUP($B68,'ORÇAMENTO '!$F$20:$M$847,5,FALSE)=0,"",VLOOKUP($B68,'ORÇAMENTO '!$F$20:$M$847,5,FALSE)),"")</f>
        <v>50</v>
      </c>
      <c r="F68" s="1027" t="str">
        <f ca="1">IFERROR(IF(VLOOKUP($B68,'ORÇAMENTO '!$F$20:$M$847,4,FALSE)=0,"",VLOOKUP($B68,'ORÇAMENTO '!$F$20:$M$847,4,FALSE)),"")</f>
        <v>M</v>
      </c>
    </row>
    <row r="69" spans="2:6" s="58" customFormat="1" ht="75">
      <c r="B69" s="834" t="str">
        <f ca="1">'ORÇAMENTO '!F74</f>
        <v>4.9</v>
      </c>
      <c r="C69" s="835" t="str">
        <f ca="1">IFERROR(VLOOKUP($B69,'ORÇAMENTO '!$F$20:$M$847,3,FALSE),IF(CONCATENATE('ORÇAMENTO '!#REF!,'ORÇAMENTO '!#REF!,'ORÇAMENTO '!#REF!,'ORÇAMENTO '!#REF!,'ORÇAMENTO '!#REF!,'ORÇAMENTO '!#REF!,'ORÇAMENTO '!#REF!)='ORÇAMENTO '!#REF!,'ORÇAMENTO '!#REF!,""))</f>
        <v>CAIXA ENTERRADA ELÉTRICA RETANGULAR, EM ALVENARIA COM TIJOLOS CERÂMICOS MACIÇOS, FUNDO COM BRITA, DIMENSÕES INTERNAS: 0,3X0,3X0,3 M. AF_12/2020</v>
      </c>
      <c r="D69" s="762" t="str">
        <f ca="1">IFERROR(IF(VLOOKUP($B69,'ORÇAMENTO '!$F$20:$O$847,10,FALSE)=0,"",VLOOKUP($B69,'ORÇAMENTO '!$F$20:$O$847,10,FALSE)),"")</f>
        <v>CONFORME PROJETO ELÉTRICO</v>
      </c>
      <c r="E69" s="836">
        <f ca="1">IFERROR(IF(VLOOKUP($B69,'ORÇAMENTO '!$F$20:$M$847,5,FALSE)=0,"",VLOOKUP($B69,'ORÇAMENTO '!$F$20:$M$847,5,FALSE)),"")</f>
        <v>4</v>
      </c>
      <c r="F69" s="762" t="str">
        <f ca="1">IFERROR(IF(VLOOKUP($B69,'ORÇAMENTO '!$F$20:$M$847,4,FALSE)=0,"",VLOOKUP($B69,'ORÇAMENTO '!$F$20:$M$847,4,FALSE)),"")</f>
        <v>UN</v>
      </c>
    </row>
    <row r="70" spans="2:6" s="58" customFormat="1" ht="84.75" customHeight="1">
      <c r="B70" s="834" t="str">
        <f ca="1">'ORÇAMENTO '!F75</f>
        <v>4.10</v>
      </c>
      <c r="C70" s="835" t="str">
        <f ca="1">IFERROR(VLOOKUP($B70,'ORÇAMENTO '!$F$20:$M$847,3,FALSE),IF(CONCATENATE('ORÇAMENTO '!#REF!,'ORÇAMENTO '!#REF!,'ORÇAMENTO '!#REF!,'ORÇAMENTO '!#REF!,'ORÇAMENTO '!#REF!,'ORÇAMENTO '!#REF!,'ORÇAMENTO '!#REF!)='ORÇAMENTO '!#REF!,'ORÇAMENTO '!#REF!,""))</f>
        <v>CAIXA ENTERRADA ELÉTRICA RETANGULAR, EM ALVENARIA COM TIJOLOS CERÂMICOS MACIÇOS, FUNDO COM BRITA, DIMENSÕES INTERNAS: 0,6X0,6X0,6 M. AF_12/2020</v>
      </c>
      <c r="D70" s="762" t="str">
        <f ca="1">IFERROR(IF(VLOOKUP($B70,'ORÇAMENTO '!$F$20:$O$847,10,FALSE)=0,"",VLOOKUP($B70,'ORÇAMENTO '!$F$20:$O$847,10,FALSE)),"")</f>
        <v>CONFORME PROJETO ELÉTRICO</v>
      </c>
      <c r="E70" s="836">
        <f ca="1">IFERROR(IF(VLOOKUP($B70,'ORÇAMENTO '!$F$20:$M$847,5,FALSE)=0,"",VLOOKUP($B70,'ORÇAMENTO '!$F$20:$M$847,5,FALSE)),"")</f>
        <v>2</v>
      </c>
      <c r="F70" s="762" t="str">
        <f ca="1">IFERROR(IF(VLOOKUP($B70,'ORÇAMENTO '!$F$20:$M$847,4,FALSE)=0,"",VLOOKUP($B70,'ORÇAMENTO '!$F$20:$M$847,4,FALSE)),"")</f>
        <v>UN</v>
      </c>
    </row>
    <row r="71" spans="2:6" s="58" customFormat="1" ht="49.5" customHeight="1">
      <c r="B71" s="834" t="str">
        <f ca="1">'ORÇAMENTO '!F76</f>
        <v>4.11</v>
      </c>
      <c r="C71" s="835" t="str">
        <f ca="1">IFERROR(VLOOKUP($B71,'ORÇAMENTO '!$F$20:$M$847,3,FALSE),IF(CONCATENATE('ORÇAMENTO '!#REF!,'ORÇAMENTO '!#REF!,'ORÇAMENTO '!#REF!,'ORÇAMENTO '!#REF!,'ORÇAMENTO '!#REF!,'ORÇAMENTO '!#REF!,'ORÇAMENTO '!#REF!)='ORÇAMENTO '!#REF!,'ORÇAMENTO '!#REF!,""))</f>
        <v>ESCAVAÇÃO MANUAL DE VALA COM PROFUNDIDADE MENOR OU IGUAL A 1,30 M. AF_02/2021</v>
      </c>
      <c r="D71" s="762" t="str">
        <f ca="1">IFERROR(IF(VLOOKUP($B71,'ORÇAMENTO '!$F$20:$O$847,10,FALSE)=0,"",VLOOKUP($B71,'ORÇAMENTO '!$F$20:$O$847,10,FALSE)),"")</f>
        <v>CONFORME PROJETO ELÉTRICO</v>
      </c>
      <c r="E71" s="836">
        <f ca="1">IFERROR(IF(VLOOKUP($B71,'ORÇAMENTO '!$F$20:$M$847,5,FALSE)=0,"",VLOOKUP($B71,'ORÇAMENTO '!$F$20:$M$847,5,FALSE)),"")</f>
        <v>7.5</v>
      </c>
      <c r="F71" s="762" t="str">
        <f ca="1">IFERROR(IF(VLOOKUP($B71,'ORÇAMENTO '!$F$20:$M$847,4,FALSE)=0,"",VLOOKUP($B71,'ORÇAMENTO '!$F$20:$M$847,4,FALSE)),"")</f>
        <v>M3</v>
      </c>
    </row>
    <row r="72" spans="2:6" s="58" customFormat="1" ht="30">
      <c r="B72" s="834" t="str">
        <f ca="1">'ORÇAMENTO '!F77</f>
        <v>4.12</v>
      </c>
      <c r="C72" s="1028" t="str">
        <f>'ORÇAMENTO '!H77</f>
        <v>REATERRO MANUAL DE VALAS COM COMPACTAÇÃO MECANIZADA. AF_04/2016</v>
      </c>
      <c r="D72" s="1029" t="str">
        <f ca="1">IFERROR(IF(VLOOKUP($B72,'ORÇAMENTO '!$F$20:$O$847,10,FALSE)=0,"",VLOOKUP($B72,'ORÇAMENTO '!$F$20:$O$847,10,FALSE)),"")</f>
        <v>CONFORME PROJETO ELÉTRICO</v>
      </c>
      <c r="E72" s="1030">
        <f ca="1">IFERROR(IF(VLOOKUP($B72,'ORÇAMENTO '!$F$20:$M$847,5,FALSE)=0,"",VLOOKUP($B72,'ORÇAMENTO '!$F$20:$M$847,5,FALSE)),"")</f>
        <v>7.5</v>
      </c>
      <c r="F72" s="1027" t="str">
        <f ca="1">IFERROR(IF(VLOOKUP($B72,'ORÇAMENTO '!$F$20:$M$847,4,FALSE)=0,"",VLOOKUP($B72,'ORÇAMENTO '!$F$20:$M$847,4,FALSE)),"")</f>
        <v>M3</v>
      </c>
    </row>
    <row r="73" spans="2:6" s="58" customFormat="1" ht="45">
      <c r="B73" s="834" t="str">
        <f ca="1">'ORÇAMENTO '!F78</f>
        <v>4.13</v>
      </c>
      <c r="C73" s="835" t="str">
        <f ca="1">IFERROR(VLOOKUP($B73,'ORÇAMENTO '!$F$20:$M$847,3,FALSE),IF(CONCATENATE('ORÇAMENTO '!#REF!,'ORÇAMENTO '!#REF!,'ORÇAMENTO '!#REF!,'ORÇAMENTO '!#REF!,'ORÇAMENTO '!#REF!,'ORÇAMENTO '!#REF!,'ORÇAMENTO '!#REF!)='ORÇAMENTO '!#REF!,'ORÇAMENTO '!#REF!,""))</f>
        <v>HASTE DE ATERRAMENTO 5/8  PARA SPDA - FORNECIMENTO E INSTALAÇÃO. AF_12/2017</v>
      </c>
      <c r="D73" s="762" t="str">
        <f ca="1">IFERROR(IF(VLOOKUP($B73,'ORÇAMENTO '!$F$20:$O$847,10,FALSE)=0,"",VLOOKUP($B73,'ORÇAMENTO '!$F$20:$O$847,10,FALSE)),"")</f>
        <v>CONFORME PROJETO ELÉTRICO</v>
      </c>
      <c r="E73" s="836">
        <f ca="1">IFERROR(IF(VLOOKUP($B73,'ORÇAMENTO '!$F$20:$M$847,5,FALSE)=0,"",VLOOKUP($B73,'ORÇAMENTO '!$F$20:$M$847,5,FALSE)),"")</f>
        <v>3</v>
      </c>
      <c r="F73" s="762" t="str">
        <f ca="1">IFERROR(IF(VLOOKUP($B73,'ORÇAMENTO '!$F$20:$M$847,4,FALSE)=0,"",VLOOKUP($B73,'ORÇAMENTO '!$F$20:$M$847,4,FALSE)),"")</f>
        <v>UN</v>
      </c>
    </row>
    <row r="74" spans="2:6" s="58" customFormat="1" ht="60">
      <c r="B74" s="834" t="str">
        <f ca="1">'ORÇAMENTO '!F79</f>
        <v>4.14</v>
      </c>
      <c r="C74" s="835" t="str">
        <f ca="1">IFERROR(VLOOKUP($B74,'ORÇAMENTO '!$F$20:$M$847,3,FALSE),IF(CONCATENATE('ORÇAMENTO '!#REF!,'ORÇAMENTO '!#REF!,'ORÇAMENTO '!#REF!,'ORÇAMENTO '!#REF!,'ORÇAMENTO '!#REF!,'ORÇAMENTO '!#REF!,'ORÇAMENTO '!#REF!)='ORÇAMENTO '!#REF!,'ORÇAMENTO '!#REF!,""))</f>
        <v>CAIXA DE INSPEÇÃO PARA ATERRAMENTO, CIRCULAR, EM POLIETILENO, DIÂMETRO INTERNO = 0,3 M. AF_12/2020</v>
      </c>
      <c r="D74" s="762" t="str">
        <f ca="1">IFERROR(IF(VLOOKUP($B74,'ORÇAMENTO '!$F$20:$O$847,10,FALSE)=0,"",VLOOKUP($B74,'ORÇAMENTO '!$F$20:$O$847,10,FALSE)),"")</f>
        <v>CONFORME PROJETO ELÉTRICO</v>
      </c>
      <c r="E74" s="836">
        <f ca="1">IFERROR(IF(VLOOKUP($B74,'ORÇAMENTO '!$F$20:$M$847,5,FALSE)=0,"",VLOOKUP($B74,'ORÇAMENTO '!$F$20:$M$847,5,FALSE)),"")</f>
        <v>3</v>
      </c>
      <c r="F74" s="762" t="str">
        <f ca="1">IFERROR(IF(VLOOKUP($B74,'ORÇAMENTO '!$F$20:$M$847,4,FALSE)=0,"",VLOOKUP($B74,'ORÇAMENTO '!$F$20:$M$847,4,FALSE)),"")</f>
        <v>UN</v>
      </c>
    </row>
    <row r="75" spans="2:6" s="58" customFormat="1" ht="45">
      <c r="B75" s="834" t="str">
        <f ca="1">'ORÇAMENTO '!F80</f>
        <v>4.15</v>
      </c>
      <c r="C75" s="835" t="str">
        <f ca="1">IFERROR(VLOOKUP($B75,'ORÇAMENTO '!$F$20:$M$847,3,FALSE),IF(CONCATENATE('ORÇAMENTO '!#REF!,'ORÇAMENTO '!#REF!,'ORÇAMENTO '!#REF!,'ORÇAMENTO '!#REF!,'ORÇAMENTO '!#REF!,'ORÇAMENTO '!#REF!,'ORÇAMENTO '!#REF!)='ORÇAMENTO '!#REF!,'ORÇAMENTO '!#REF!,""))</f>
        <v>FORNECIMENTO E INSTALAÇÃO DE CONECTOR EM LATÃO TIPO MINI-GAR PARA CABOS DE 16 A 50MM²</v>
      </c>
      <c r="D75" s="762" t="str">
        <f ca="1">IFERROR(IF(VLOOKUP($B75,'ORÇAMENTO '!$F$20:$O$847,10,FALSE)=0,"",VLOOKUP($B75,'ORÇAMENTO '!$F$20:$O$847,10,FALSE)),"")</f>
        <v>CONFORME PROJETO ELÉTRICO</v>
      </c>
      <c r="E75" s="836">
        <f ca="1">IFERROR(IF(VLOOKUP($B75,'ORÇAMENTO '!$F$20:$M$847,5,FALSE)=0,"",VLOOKUP($B75,'ORÇAMENTO '!$F$20:$M$847,5,FALSE)),"")</f>
        <v>3</v>
      </c>
      <c r="F75" s="762" t="str">
        <f ca="1">IFERROR(IF(VLOOKUP($B75,'ORÇAMENTO '!$F$20:$M$847,4,FALSE)=0,"",VLOOKUP($B75,'ORÇAMENTO '!$F$20:$M$847,4,FALSE)),"")</f>
        <v>UN</v>
      </c>
    </row>
    <row r="76" spans="2:6" s="58" customFormat="1" ht="15">
      <c r="B76" s="834" t="str">
        <f>'ORÇAMENTO '!F81</f>
        <v/>
      </c>
      <c r="C76" s="1028" t="str">
        <f>'ORÇAMENTO '!H81</f>
        <v>COMPOSIÇÕES ELÉTRICA</v>
      </c>
      <c r="D76" s="1029" t="str">
        <f ca="1">IFERROR(IF(VLOOKUP($B76,'ORÇAMENTO '!$F$20:$O$847,10,FALSE)=0,"",VLOOKUP($B76,'ORÇAMENTO '!$F$20:$O$847,10,FALSE)),"")</f>
        <v/>
      </c>
      <c r="E76" s="1030" t="str">
        <f ca="1">IFERROR(IF(VLOOKUP($B76,'ORÇAMENTO '!$F$20:$M$847,5,FALSE)=0,"",VLOOKUP($B76,'ORÇAMENTO '!$F$20:$M$847,5,FALSE)),"")</f>
        <v/>
      </c>
      <c r="F76" s="1027" t="str">
        <f ca="1">IFERROR(IF(VLOOKUP($B76,'ORÇAMENTO '!$F$20:$M$847,4,FALSE)=0,"",VLOOKUP($B76,'ORÇAMENTO '!$F$20:$M$847,4,FALSE)),"")</f>
        <v/>
      </c>
    </row>
    <row r="77" spans="2:6" s="58" customFormat="1" ht="60">
      <c r="B77" s="834" t="str">
        <f ca="1">'ORÇAMENTO '!F82</f>
        <v>4.16</v>
      </c>
      <c r="C77" s="835" t="str">
        <f ca="1">IFERROR(VLOOKUP($B77,'ORÇAMENTO '!$F$20:$M$847,3,FALSE),IF(CONCATENATE('ORÇAMENTO '!F81,'ORÇAMENTO '!G81,'ORÇAMENTO '!H81,'ORÇAMENTO '!I81,'ORÇAMENTO '!J81,'ORÇAMENTO '!K81,'ORÇAMENTO '!L81)='ORÇAMENTO '!H81,'ORÇAMENTO '!H81,""))</f>
        <v>FORNECIMENTO E INSTALAÇÃO DE DISPOSITIVO DPS CLASSE II, 1 POLO, TENSAO MAXIMA DE 175 V, CORRENTE MAXIMA DE *45* KA (TIPO AC)</v>
      </c>
      <c r="D77" s="762" t="str">
        <f ca="1">IFERROR(IF(VLOOKUP($B77,'ORÇAMENTO '!$F$20:$O$847,10,FALSE)=0,"",VLOOKUP($B77,'ORÇAMENTO '!$F$20:$O$847,10,FALSE)),"")</f>
        <v>CONFORME PROJETO ELÉTRICO</v>
      </c>
      <c r="E77" s="836">
        <f ca="1">IFERROR(IF(VLOOKUP($B77,'ORÇAMENTO '!$F$20:$M$847,5,FALSE)=0,"",VLOOKUP($B77,'ORÇAMENTO '!$F$20:$M$847,5,FALSE)),"")</f>
        <v>4</v>
      </c>
      <c r="F77" s="762" t="str">
        <f ca="1">IFERROR(IF(VLOOKUP($B77,'ORÇAMENTO '!$F$20:$M$847,4,FALSE)=0,"",VLOOKUP($B77,'ORÇAMENTO '!$F$20:$M$847,4,FALSE)),"")</f>
        <v>UN</v>
      </c>
    </row>
    <row r="78" spans="2:6" s="58" customFormat="1" ht="30">
      <c r="B78" s="834" t="str">
        <f ca="1">'ORÇAMENTO '!F83</f>
        <v>4.17</v>
      </c>
      <c r="C78" s="1028" t="str">
        <f>'ORÇAMENTO '!H83</f>
        <v>FORNECIMENTO E INSTALAÇÃO DE PLACA DE SINALIZAÇÃO DE ENERGIA (20X20CM)</v>
      </c>
      <c r="D78" s="1029" t="str">
        <f ca="1">IFERROR(IF(VLOOKUP($B78,'ORÇAMENTO '!$F$20:$O$847,10,FALSE)=0,"",VLOOKUP($B78,'ORÇAMENTO '!$F$20:$O$847,10,FALSE)),"")</f>
        <v>CONFORME PROJETO ELÉTRICO</v>
      </c>
      <c r="E78" s="1030">
        <f ca="1">IFERROR(IF(VLOOKUP($B78,'ORÇAMENTO '!$F$20:$M$847,5,FALSE)=0,"",VLOOKUP($B78,'ORÇAMENTO '!$F$20:$M$847,5,FALSE)),"")</f>
        <v>1</v>
      </c>
      <c r="F78" s="1027" t="str">
        <f ca="1">IFERROR(IF(VLOOKUP($B78,'ORÇAMENTO '!$F$20:$M$847,4,FALSE)=0,"",VLOOKUP($B78,'ORÇAMENTO '!$F$20:$M$847,4,FALSE)),"")</f>
        <v>UN</v>
      </c>
    </row>
    <row r="79" spans="2:6" s="58" customFormat="1" ht="15">
      <c r="B79" s="834" t="str">
        <f ca="1">'ORÇAMENTO '!F84</f>
        <v>4.18</v>
      </c>
      <c r="C79" s="835" t="str">
        <f ca="1">IFERROR(VLOOKUP($B79,'ORÇAMENTO '!$F$20:$M$847,3,FALSE),IF(CONCATENATE('ORÇAMENTO '!#REF!,'ORÇAMENTO '!#REF!,'ORÇAMENTO '!#REF!,'ORÇAMENTO '!#REF!,'ORÇAMENTO '!#REF!,'ORÇAMENTO '!#REF!,'ORÇAMENTO '!#REF!)='ORÇAMENTO '!#REF!,'ORÇAMENTO '!#REF!,""))</f>
        <v xml:space="preserve">ARAME DE AÇO GALVANIZADO No. 12 BWG </v>
      </c>
      <c r="D79" s="762" t="str">
        <f ca="1">IFERROR(IF(VLOOKUP($B79,'ORÇAMENTO '!$F$20:$O$847,10,FALSE)=0,"",VLOOKUP($B79,'ORÇAMENTO '!$F$20:$O$847,10,FALSE)),"")</f>
        <v>CONFORME PROJETO ELÉTRICO</v>
      </c>
      <c r="E79" s="836">
        <f ca="1">IFERROR(IF(VLOOKUP($B79,'ORÇAMENTO '!$F$20:$M$847,5,FALSE)=0,"",VLOOKUP($B79,'ORÇAMENTO '!$F$20:$M$847,5,FALSE)),"")</f>
        <v>5</v>
      </c>
      <c r="F79" s="762" t="str">
        <f ca="1">IFERROR(IF(VLOOKUP($B79,'ORÇAMENTO '!$F$20:$M$847,4,FALSE)=0,"",VLOOKUP($B79,'ORÇAMENTO '!$F$20:$M$847,4,FALSE)),"")</f>
        <v>M</v>
      </c>
    </row>
    <row r="80" spans="2:6" s="58" customFormat="1" ht="45">
      <c r="B80" s="834" t="str">
        <f ca="1">'ORÇAMENTO '!F85</f>
        <v>4.19</v>
      </c>
      <c r="C80" s="835" t="str">
        <f ca="1">IFERROR(VLOOKUP($B80,'ORÇAMENTO '!$F$20:$M$847,3,FALSE),IF(CONCATENATE('ORÇAMENTO '!#REF!,'ORÇAMENTO '!#REF!,'ORÇAMENTO '!#REF!,'ORÇAMENTO '!#REF!,'ORÇAMENTO '!#REF!,'ORÇAMENTO '!#REF!,'ORÇAMENTO '!#REF!)='ORÇAMENTO '!#REF!,'ORÇAMENTO '!#REF!,""))</f>
        <v>FORNECIMENTO E INSTALAÇAO DE PADRÃO DE ENTRADA DE ENERGIA CATEGORIA "T5" (ENERGISA)</v>
      </c>
      <c r="D80" s="762" t="str">
        <f ca="1">IFERROR(IF(VLOOKUP($B80,'ORÇAMENTO '!$F$20:$O$847,10,FALSE)=0,"",VLOOKUP($B80,'ORÇAMENTO '!$F$20:$O$847,10,FALSE)),"")</f>
        <v>CONFORME PROJETO ELÉTRICO</v>
      </c>
      <c r="E80" s="836">
        <f ca="1">IFERROR(IF(VLOOKUP($B80,'ORÇAMENTO '!$F$20:$M$847,5,FALSE)=0,"",VLOOKUP($B80,'ORÇAMENTO '!$F$20:$M$847,5,FALSE)),"")</f>
        <v>1</v>
      </c>
      <c r="F80" s="762" t="str">
        <f ca="1">IFERROR(IF(VLOOKUP($B80,'ORÇAMENTO '!$F$20:$M$847,4,FALSE)=0,"",VLOOKUP($B80,'ORÇAMENTO '!$F$20:$M$847,4,FALSE)),"")</f>
        <v>UN</v>
      </c>
    </row>
    <row r="81" spans="2:6" s="58" customFormat="1" ht="75">
      <c r="B81" s="834" t="str">
        <f ca="1">'ORÇAMENTO '!F86</f>
        <v>4.20</v>
      </c>
      <c r="C81" s="835" t="str">
        <f ca="1">IFERROR(VLOOKUP($B81,'ORÇAMENTO '!$F$20:$M$847,3,FALSE),IF(CONCATENATE('ORÇAMENTO '!#REF!,'ORÇAMENTO '!#REF!,'ORÇAMENTO '!#REF!,'ORÇAMENTO '!#REF!,'ORÇAMENTO '!#REF!,'ORÇAMENTO '!#REF!,'ORÇAMENTO '!#REF!)='ORÇAMENTO '!#REF!,'ORÇAMENTO '!#REF!,""))</f>
        <v>MURETA MEDIÇÃO ALVEN. 1 1/2 V.(35CM) REBOC.C/PINTURA ACRÍL. E LAJE CONC. 20MPA MALHA 8.0MM CADA 10CM REVEST.C/ARGAMASSA 1:3 C/ IMPERMEABILIZANTE</v>
      </c>
      <c r="D81" s="762" t="str">
        <f ca="1">IFERROR(IF(VLOOKUP($B81,'ORÇAMENTO '!$F$20:$O$847,10,FALSE)=0,"",VLOOKUP($B81,'ORÇAMENTO '!$F$20:$O$847,10,FALSE)),"")</f>
        <v>CONFORME PROJETO ELÉTRICO</v>
      </c>
      <c r="E81" s="836">
        <f ca="1">IFERROR(IF(VLOOKUP($B81,'ORÇAMENTO '!$F$20:$M$847,5,FALSE)=0,"",VLOOKUP($B81,'ORÇAMENTO '!$F$20:$M$847,5,FALSE)),"")</f>
        <v>3</v>
      </c>
      <c r="F81" s="762" t="str">
        <f ca="1">IFERROR(IF(VLOOKUP($B81,'ORÇAMENTO '!$F$20:$M$847,4,FALSE)=0,"",VLOOKUP($B81,'ORÇAMENTO '!$F$20:$M$847,4,FALSE)),"")</f>
        <v>M2</v>
      </c>
    </row>
    <row r="82" spans="2:6" s="58" customFormat="1" ht="75">
      <c r="B82" s="834" t="str">
        <f ca="1">'ORÇAMENTO '!F87</f>
        <v>4.21</v>
      </c>
      <c r="C82" s="1028" t="str">
        <f>'ORÇAMENTO '!H86</f>
        <v>MURETA MEDIÇÃO ALVEN. 1 1/2 V.(35CM) REBOC.C/PINTURA ACRÍL. E LAJE CONC. 20MPA MALHA 8.0MM CADA 10CM REVEST.C/ARGAMASSA 1:3 C/ IMPERMEABILIZANTE</v>
      </c>
      <c r="D82" s="1029" t="str">
        <f ca="1">IFERROR(IF(VLOOKUP($B82,'ORÇAMENTO '!$F$20:$O$847,10,FALSE)=0,"",VLOOKUP($B82,'ORÇAMENTO '!$F$20:$O$847,10,FALSE)),"")</f>
        <v>CONFORME PROJETO ELÉTRICO</v>
      </c>
      <c r="E82" s="1030">
        <f ca="1">IFERROR(IF(VLOOKUP($B82,'ORÇAMENTO '!$F$20:$M$847,5,FALSE)=0,"",VLOOKUP($B82,'ORÇAMENTO '!$F$20:$M$847,5,FALSE)),"")</f>
        <v>7</v>
      </c>
      <c r="F82" s="1027" t="str">
        <f ca="1">IFERROR(IF(VLOOKUP($B82,'ORÇAMENTO '!$F$20:$M$847,4,FALSE)=0,"",VLOOKUP($B82,'ORÇAMENTO '!$F$20:$M$847,4,FALSE)),"")</f>
        <v>M</v>
      </c>
    </row>
    <row r="83" spans="2:6" s="58" customFormat="1" ht="45">
      <c r="B83" s="834" t="str">
        <f ca="1">'ORÇAMENTO '!F88</f>
        <v>4.22</v>
      </c>
      <c r="C83" s="835" t="str">
        <f ca="1">IFERROR(VLOOKUP($B83,'ORÇAMENTO '!$F$20:$M$847,3,FALSE),IF(CONCATENATE('ORÇAMENTO '!F87,'ORÇAMENTO '!G87,'ORÇAMENTO '!H87,'ORÇAMENTO '!I87,'ORÇAMENTO '!J87,'ORÇAMENTO '!K87,'ORÇAMENTO '!L87)='ORÇAMENTO '!H87,'ORÇAMENTO '!H87,""))</f>
        <v>TERMINAL OU CONECTOR DE PRESSAO - PARA CABO 10MM2 - FORNECIMENTO E INSTALACAO</v>
      </c>
      <c r="D83" s="762" t="str">
        <f ca="1">IFERROR(IF(VLOOKUP($B83,'ORÇAMENTO '!$F$20:$O$847,10,FALSE)=0,"",VLOOKUP($B83,'ORÇAMENTO '!$F$20:$O$847,10,FALSE)),"")</f>
        <v>CONFORME PROJETO ELÉTRICO</v>
      </c>
      <c r="E83" s="836">
        <f ca="1">IFERROR(IF(VLOOKUP($B83,'ORÇAMENTO '!$F$20:$M$847,5,FALSE)=0,"",VLOOKUP($B83,'ORÇAMENTO '!$F$20:$M$847,5,FALSE)),"")</f>
        <v>8</v>
      </c>
      <c r="F83" s="762" t="str">
        <f ca="1">IFERROR(IF(VLOOKUP($B83,'ORÇAMENTO '!$F$20:$M$847,4,FALSE)=0,"",VLOOKUP($B83,'ORÇAMENTO '!$F$20:$M$847,4,FALSE)),"")</f>
        <v>UN</v>
      </c>
    </row>
    <row r="84" spans="2:6" s="58" customFormat="1" ht="45">
      <c r="B84" s="834" t="str">
        <f ca="1">'ORÇAMENTO '!F89</f>
        <v>4.23</v>
      </c>
      <c r="C84" s="835" t="str">
        <f ca="1">IFERROR(VLOOKUP($B84,'ORÇAMENTO '!$F$20:$M$847,3,FALSE),IF(CONCATENATE('ORÇAMENTO '!F89,'ORÇAMENTO '!G89,'ORÇAMENTO '!H89,'ORÇAMENTO '!I89,'ORÇAMENTO '!J89,'ORÇAMENTO '!K89,'ORÇAMENTO '!L89)='ORÇAMENTO '!H89,'ORÇAMENTO '!H89,""))</f>
        <v>TERMINAL OU CONECTOR DE PRESSAO - PARA CABO 35MM2 - FORNECIMENTO E INSTALACAO</v>
      </c>
      <c r="D84" s="762" t="str">
        <f ca="1">IFERROR(IF(VLOOKUP($B84,'ORÇAMENTO '!$F$20:$O$847,10,FALSE)=0,"",VLOOKUP($B84,'ORÇAMENTO '!$F$20:$O$847,10,FALSE)),"")</f>
        <v>CONFORME PROJETO ELÉTRICO</v>
      </c>
      <c r="E84" s="836">
        <f ca="1">IFERROR(IF(VLOOKUP($B84,'ORÇAMENTO '!$F$20:$M$847,5,FALSE)=0,"",VLOOKUP($B84,'ORÇAMENTO '!$F$20:$M$847,5,FALSE)),"")</f>
        <v>2</v>
      </c>
      <c r="F84" s="762" t="str">
        <f ca="1">IFERROR(IF(VLOOKUP($B84,'ORÇAMENTO '!$F$20:$M$847,4,FALSE)=0,"",VLOOKUP($B84,'ORÇAMENTO '!$F$20:$M$847,4,FALSE)),"")</f>
        <v>UN</v>
      </c>
    </row>
    <row r="85" spans="2:6" s="58" customFormat="1" ht="45">
      <c r="B85" s="834" t="str">
        <f ca="1">'ORÇAMENTO '!F90</f>
        <v>4.24</v>
      </c>
      <c r="C85" s="1028" t="str">
        <f>'ORÇAMENTO '!H90</f>
        <v>TERMINAL OU CONECTOR DE PRESSAO - PARA CABO 70MM2 - FORNECIMENTO E INSTALACAO</v>
      </c>
      <c r="D85" s="1029" t="str">
        <f ca="1">IFERROR(IF(VLOOKUP($B85,'ORÇAMENTO '!$F$20:$O$847,10,FALSE)=0,"",VLOOKUP($B85,'ORÇAMENTO '!$F$20:$O$847,10,FALSE)),"")</f>
        <v>CONFORME PROJETO ELÉTRICO</v>
      </c>
      <c r="E85" s="1030">
        <f ca="1">IFERROR(IF(VLOOKUP($B85,'ORÇAMENTO '!$F$20:$M$847,5,FALSE)=0,"",VLOOKUP($B85,'ORÇAMENTO '!$F$20:$M$847,5,FALSE)),"")</f>
        <v>6</v>
      </c>
      <c r="F85" s="1027" t="str">
        <f ca="1">IFERROR(IF(VLOOKUP($B85,'ORÇAMENTO '!$F$20:$M$847,4,FALSE)=0,"",VLOOKUP($B85,'ORÇAMENTO '!$F$20:$M$847,4,FALSE)),"")</f>
        <v>UN</v>
      </c>
    </row>
    <row r="86" spans="2:6" s="58" customFormat="1" ht="45">
      <c r="B86" s="834" t="str">
        <f ca="1">'ORÇAMENTO '!F91</f>
        <v>4.25</v>
      </c>
      <c r="C86" s="835" t="str">
        <f ca="1">IFERROR(VLOOKUP($B86,'ORÇAMENTO '!$F$20:$M$847,3,FALSE),IF(CONCATENATE('ORÇAMENTO '!#REF!,'ORÇAMENTO '!#REF!,'ORÇAMENTO '!#REF!,'ORÇAMENTO '!#REF!,'ORÇAMENTO '!#REF!,'ORÇAMENTO '!#REF!,'ORÇAMENTO '!#REF!)='ORÇAMENTO '!#REF!,'ORÇAMENTO '!#REF!,""))</f>
        <v>FORNECIMENTO E INSTALAÇÃO DE DISJUNTOR TERMOMAGNETICO TRIPOLAR 150 A / 600 V, TIPO FXD / ICC - 35 KA</v>
      </c>
      <c r="D86" s="762" t="str">
        <f ca="1">IFERROR(IF(VLOOKUP($B86,'ORÇAMENTO '!$F$20:$O$847,10,FALSE)=0,"",VLOOKUP($B86,'ORÇAMENTO '!$F$20:$O$847,10,FALSE)),"")</f>
        <v>CONFORME PROJETO ELÉTRICO</v>
      </c>
      <c r="E86" s="836">
        <f ca="1">IFERROR(IF(VLOOKUP($B86,'ORÇAMENTO '!$F$20:$M$847,5,FALSE)=0,"",VLOOKUP($B86,'ORÇAMENTO '!$F$20:$M$847,5,FALSE)),"")</f>
        <v>2</v>
      </c>
      <c r="F86" s="762" t="str">
        <f ca="1">IFERROR(IF(VLOOKUP($B86,'ORÇAMENTO '!$F$20:$M$847,4,FALSE)=0,"",VLOOKUP($B86,'ORÇAMENTO '!$F$20:$M$847,4,FALSE)),"")</f>
        <v xml:space="preserve">UN    </v>
      </c>
    </row>
    <row r="87" spans="2:6" s="58" customFormat="1" ht="15">
      <c r="B87" s="834" t="str">
        <f>'ORÇAMENTO '!F92</f>
        <v/>
      </c>
      <c r="C87" s="835">
        <f ca="1">IFERROR(VLOOKUP($B87,'ORÇAMENTO '!$F$20:$M$847,3,FALSE),IF(CONCATENATE('ORÇAMENTO '!F92,'ORÇAMENTO '!G92,'ORÇAMENTO '!H92,'ORÇAMENTO '!I92,'ORÇAMENTO '!J92,'ORÇAMENTO '!K92,'ORÇAMENTO '!L92)='ORÇAMENTO '!H92,'ORÇAMENTO '!H92,""))</f>
        <v>0</v>
      </c>
      <c r="D87" s="762" t="str">
        <f ca="1">IFERROR(IF(VLOOKUP($B87,'ORÇAMENTO '!$F$20:$O$847,10,FALSE)=0,"",VLOOKUP($B87,'ORÇAMENTO '!$F$20:$O$847,10,FALSE)),"")</f>
        <v/>
      </c>
      <c r="E87" s="836" t="str">
        <f ca="1">IFERROR(IF(VLOOKUP($B87,'ORÇAMENTO '!$F$20:$M$847,5,FALSE)=0,"",VLOOKUP($B87,'ORÇAMENTO '!$F$20:$M$847,5,FALSE)),"")</f>
        <v/>
      </c>
      <c r="F87" s="762" t="str">
        <f ca="1">IFERROR(IF(VLOOKUP($B87,'ORÇAMENTO '!$F$20:$M$847,4,FALSE)=0,"",VLOOKUP($B87,'ORÇAMENTO '!$F$20:$M$847,4,FALSE)),"")</f>
        <v/>
      </c>
    </row>
    <row r="88" spans="2:6" s="58" customFormat="1" ht="15">
      <c r="B88" s="834" t="str">
        <f ca="1">'ORÇAMENTO '!F93</f>
        <v>5.0</v>
      </c>
      <c r="C88" s="835" t="str">
        <f ca="1">IFERROR(VLOOKUP($B88,'ORÇAMENTO '!$F$20:$M$847,3,FALSE),IF(CONCATENATE('ORÇAMENTO '!F93,'ORÇAMENTO '!G93,'ORÇAMENTO '!H93,'ORÇAMENTO '!I93,'ORÇAMENTO '!J93,'ORÇAMENTO '!K93,'ORÇAMENTO '!L93)='ORÇAMENTO '!H93,'ORÇAMENTO '!H93,""))</f>
        <v>B A S E  D O  R E S E R V A T Ó R I O</v>
      </c>
      <c r="D88" s="762" t="str">
        <f ca="1">IFERROR(IF(VLOOKUP($B88,'ORÇAMENTO '!$F$20:$O$847,10,FALSE)=0,"",VLOOKUP($B88,'ORÇAMENTO '!$F$20:$O$847,10,FALSE)),"")</f>
        <v/>
      </c>
      <c r="E88" s="836" t="str">
        <f ca="1">IFERROR(IF(VLOOKUP($B88,'ORÇAMENTO '!$F$20:$M$847,5,FALSE)=0,"",VLOOKUP($B88,'ORÇAMENTO '!$F$20:$M$847,5,FALSE)),"")</f>
        <v/>
      </c>
      <c r="F88" s="762" t="str">
        <f ca="1">IFERROR(IF(VLOOKUP($B88,'ORÇAMENTO '!$F$20:$M$847,4,FALSE)=0,"",VLOOKUP($B88,'ORÇAMENTO '!$F$20:$M$847,4,FALSE)),"")</f>
        <v/>
      </c>
    </row>
    <row r="89" spans="2:6" s="58" customFormat="1" ht="15">
      <c r="B89" s="1026" t="str">
        <f>'ORÇAMENTO '!F94</f>
        <v/>
      </c>
      <c r="C89" s="1028" t="str">
        <f>'ORÇAMENTO '!H94</f>
        <v>M O V I M E N T O  D E  T E R R A</v>
      </c>
      <c r="D89" s="1029" t="str">
        <f ca="1">IFERROR(IF(VLOOKUP($B89,'ORÇAMENTO '!$F$20:$O$847,10,FALSE)=0,"",VLOOKUP($B89,'ORÇAMENTO '!$F$20:$O$847,10,FALSE)),"")</f>
        <v/>
      </c>
      <c r="E89" s="1030" t="str">
        <f ca="1">IFERROR(IF(VLOOKUP($B89,'ORÇAMENTO '!$F$20:$M$847,5,FALSE)=0,"",VLOOKUP($B89,'ORÇAMENTO '!$F$20:$M$847,5,FALSE)),"")</f>
        <v/>
      </c>
      <c r="F89" s="1027" t="str">
        <f ca="1">IFERROR(IF(VLOOKUP($B89,'ORÇAMENTO '!$F$20:$M$847,4,FALSE)=0,"",VLOOKUP($B89,'ORÇAMENTO '!$F$20:$M$847,4,FALSE)),"")</f>
        <v/>
      </c>
    </row>
    <row r="90" spans="2:6" s="58" customFormat="1" ht="15">
      <c r="B90" s="1026" t="str">
        <f>'ORÇAMENTO '!F95</f>
        <v/>
      </c>
      <c r="C90" s="1028" t="str">
        <f>'ORÇAMENTO '!H95</f>
        <v>SAPATA OU BLOCO</v>
      </c>
      <c r="D90" s="1029" t="str">
        <f ca="1">IFERROR(IF(VLOOKUP($B90,'ORÇAMENTO '!$F$20:$O$847,10,FALSE)=0,"",VLOOKUP($B90,'ORÇAMENTO '!$F$20:$O$847,10,FALSE)),"")</f>
        <v/>
      </c>
      <c r="E90" s="1030" t="str">
        <f ca="1">IFERROR(IF(VLOOKUP($B90,'ORÇAMENTO '!$F$20:$M$847,5,FALSE)=0,"",VLOOKUP($B90,'ORÇAMENTO '!$F$20:$M$847,5,FALSE)),"")</f>
        <v/>
      </c>
      <c r="F90" s="1027" t="str">
        <f ca="1">IFERROR(IF(VLOOKUP($B90,'ORÇAMENTO '!$F$20:$M$847,4,FALSE)=0,"",VLOOKUP($B90,'ORÇAMENTO '!$F$20:$M$847,4,FALSE)),"")</f>
        <v/>
      </c>
    </row>
    <row r="91" spans="2:6" s="58" customFormat="1" ht="60">
      <c r="B91" s="834" t="str">
        <f ca="1">'ORÇAMENTO '!F96</f>
        <v>5.1</v>
      </c>
      <c r="C91" s="835" t="str">
        <f ca="1">IFERROR(VLOOKUP($B91,'ORÇAMENTO '!$F$20:$M$847,3,FALSE),IF(CONCATENATE('ORÇAMENTO '!F96,'ORÇAMENTO '!G96,'ORÇAMENTO '!H96,'ORÇAMENTO '!I96,'ORÇAMENTO '!J96,'ORÇAMENTO '!K96,'ORÇAMENTO '!L96)='ORÇAMENTO '!H96,'ORÇAMENTO '!H96,""))</f>
        <v>ESCAVAÇÃO MANUAL PARA BLOCO DE COROAMENTO OU SAPATA (SEM ESCAVAÇÃO PARA COLOCAÇÃO DE FÔRMAS). AF_06/2017</v>
      </c>
      <c r="D91" s="762" t="str">
        <f ca="1">IFERROR(IF(VLOOKUP($B91,'ORÇAMENTO '!$F$20:$O$847,10,FALSE)=0,"",VLOOKUP($B91,'ORÇAMENTO '!$F$20:$O$847,10,FALSE)),"")</f>
        <v>CONFORME MEMORIAL DE CÁLCULO DO RESERVATÓRIO</v>
      </c>
      <c r="E91" s="836">
        <f ca="1">IFERROR(IF(VLOOKUP($B91,'ORÇAMENTO '!$F$20:$M$847,5,FALSE)=0,"",VLOOKUP($B91,'ORÇAMENTO '!$F$20:$M$847,5,FALSE)),"")</f>
        <v>39.270000000000003</v>
      </c>
      <c r="F91" s="762" t="str">
        <f ca="1">IFERROR(IF(VLOOKUP($B91,'ORÇAMENTO '!$F$20:$M$847,4,FALSE)=0,"",VLOOKUP($B91,'ORÇAMENTO '!$F$20:$M$847,4,FALSE)),"")</f>
        <v>M3</v>
      </c>
    </row>
    <row r="92" spans="2:6" s="58" customFormat="1" ht="30">
      <c r="B92" s="834" t="str">
        <f ca="1">'ORÇAMENTO '!F97</f>
        <v>5.2</v>
      </c>
      <c r="C92" s="835" t="str">
        <f ca="1">IFERROR(VLOOKUP($B92,'ORÇAMENTO '!$F$20:$M$847,3,FALSE),IF(CONCATENATE('ORÇAMENTO '!F97,'ORÇAMENTO '!G97,'ORÇAMENTO '!H97,'ORÇAMENTO '!I97,'ORÇAMENTO '!J97,'ORÇAMENTO '!K97,'ORÇAMENTO '!L97)='ORÇAMENTO '!H97,'ORÇAMENTO '!H97,""))</f>
        <v>REATERRO MANUAL APILOADO COM SOQUETE. AF_10/2017</v>
      </c>
      <c r="D92" s="762" t="str">
        <f ca="1">IFERROR(IF(VLOOKUP($B92,'ORÇAMENTO '!$F$20:$O$847,10,FALSE)=0,"",VLOOKUP($B92,'ORÇAMENTO '!$F$20:$O$847,10,FALSE)),"")</f>
        <v>CONFORME PROJETO ESTRUTURAL</v>
      </c>
      <c r="E92" s="836">
        <f ca="1">IFERROR(IF(VLOOKUP($B92,'ORÇAMENTO '!$F$20:$M$847,5,FALSE)=0,"",VLOOKUP($B92,'ORÇAMENTO '!$F$20:$M$847,5,FALSE)),"")</f>
        <v>12.340000000000003</v>
      </c>
      <c r="F92" s="762" t="str">
        <f ca="1">IFERROR(IF(VLOOKUP($B92,'ORÇAMENTO '!$F$20:$M$847,4,FALSE)=0,"",VLOOKUP($B92,'ORÇAMENTO '!$F$20:$M$847,4,FALSE)),"")</f>
        <v>M3</v>
      </c>
    </row>
    <row r="93" spans="2:6" s="58" customFormat="1" ht="45">
      <c r="B93" s="834" t="str">
        <f ca="1">'ORÇAMENTO '!F98</f>
        <v>5.3</v>
      </c>
      <c r="C93" s="835" t="str">
        <f ca="1">IFERROR(VLOOKUP($B93,'ORÇAMENTO '!$F$20:$M$847,3,FALSE),IF(CONCATENATE('ORÇAMENTO '!F98,'ORÇAMENTO '!G98,'ORÇAMENTO '!H98,'ORÇAMENTO '!I98,'ORÇAMENTO '!J98,'ORÇAMENTO '!K98,'ORÇAMENTO '!L98)='ORÇAMENTO '!H98,'ORÇAMENTO '!H98,""))</f>
        <v>PREPARO DE FUNDO DE VALA COM LARGURA MENOR QUE 1,5 M (ACERTO DO SOLO NATURAL). AF_08/2020</v>
      </c>
      <c r="D93" s="762" t="str">
        <f ca="1">IFERROR(IF(VLOOKUP($B93,'ORÇAMENTO '!$F$20:$O$847,10,FALSE)=0,"",VLOOKUP($B93,'ORÇAMENTO '!$F$20:$O$847,10,FALSE)),"")</f>
        <v>CONFORME MEMORIAL DE CÁLCULO DO RESERVATÓRIO</v>
      </c>
      <c r="E93" s="836">
        <f ca="1">IFERROR(IF(VLOOKUP($B93,'ORÇAMENTO '!$F$20:$M$847,5,FALSE)=0,"",VLOOKUP($B93,'ORÇAMENTO '!$F$20:$M$847,5,FALSE)),"")</f>
        <v>22.14</v>
      </c>
      <c r="F93" s="762" t="str">
        <f ca="1">IFERROR(IF(VLOOKUP($B93,'ORÇAMENTO '!$F$20:$M$847,4,FALSE)=0,"",VLOOKUP($B93,'ORÇAMENTO '!$F$20:$M$847,4,FALSE)),"")</f>
        <v>M2</v>
      </c>
    </row>
    <row r="94" spans="2:6" s="58" customFormat="1" ht="15">
      <c r="B94" s="1026" t="str">
        <f>'ORÇAMENTO '!F99</f>
        <v/>
      </c>
      <c r="C94" s="1028" t="str">
        <f>'ORÇAMENTO '!H99</f>
        <v>F U N D A Ç Ã O</v>
      </c>
      <c r="D94" s="1029" t="str">
        <f ca="1">IFERROR(IF(VLOOKUP($B94,'ORÇAMENTO '!$F$20:$O$847,10,FALSE)=0,"",VLOOKUP($B94,'ORÇAMENTO '!$F$20:$O$847,10,FALSE)),"")</f>
        <v/>
      </c>
      <c r="E94" s="1030" t="str">
        <f ca="1">IFERROR(IF(VLOOKUP($B94,'ORÇAMENTO '!$F$20:$M$847,5,FALSE)=0,"",VLOOKUP($B94,'ORÇAMENTO '!$F$20:$M$847,5,FALSE)),"")</f>
        <v/>
      </c>
      <c r="F94" s="1027" t="str">
        <f ca="1">IFERROR(IF(VLOOKUP($B94,'ORÇAMENTO '!$F$20:$M$847,4,FALSE)=0,"",VLOOKUP($B94,'ORÇAMENTO '!$F$20:$M$847,4,FALSE)),"")</f>
        <v/>
      </c>
    </row>
    <row r="95" spans="2:6" s="58" customFormat="1" ht="15">
      <c r="B95" s="1026" t="str">
        <f>'ORÇAMENTO '!F100</f>
        <v/>
      </c>
      <c r="C95" s="1028" t="str">
        <f>'ORÇAMENTO '!H100</f>
        <v>BLOCOS</v>
      </c>
      <c r="D95" s="1029" t="str">
        <f ca="1">IFERROR(IF(VLOOKUP($B95,'ORÇAMENTO '!$F$20:$O$847,10,FALSE)=0,"",VLOOKUP($B95,'ORÇAMENTO '!$F$20:$O$847,10,FALSE)),"")</f>
        <v/>
      </c>
      <c r="E95" s="1030" t="str">
        <f ca="1">IFERROR(IF(VLOOKUP($B95,'ORÇAMENTO '!$F$20:$M$847,5,FALSE)=0,"",VLOOKUP($B95,'ORÇAMENTO '!$F$20:$M$847,5,FALSE)),"")</f>
        <v/>
      </c>
      <c r="F95" s="1027" t="str">
        <f ca="1">IFERROR(IF(VLOOKUP($B95,'ORÇAMENTO '!$F$20:$M$847,4,FALSE)=0,"",VLOOKUP($B95,'ORÇAMENTO '!$F$20:$M$847,4,FALSE)),"")</f>
        <v/>
      </c>
    </row>
    <row r="96" spans="2:6" s="58" customFormat="1" ht="60">
      <c r="B96" s="834" t="str">
        <f ca="1">'ORÇAMENTO '!F101</f>
        <v>5.4</v>
      </c>
      <c r="C96" s="835" t="str">
        <f ca="1">IFERROR(VLOOKUP($B96,'ORÇAMENTO '!$F$20:$M$847,3,FALSE),IF(CONCATENATE('ORÇAMENTO '!F101,'ORÇAMENTO '!G101,'ORÇAMENTO '!H101,'ORÇAMENTO '!I101,'ORÇAMENTO '!J101,'ORÇAMENTO '!K101,'ORÇAMENTO '!L101)='ORÇAMENTO '!H101,'ORÇAMENTO '!H101,""))</f>
        <v>LASTRO DE CONCRETO MAGRO, APLICADO EM BLOCOS DE COROAMENTO OU SAPATAS, ESPESSURA DE 5 CM. AF_08/2017</v>
      </c>
      <c r="D96" s="762" t="str">
        <f ca="1">IFERROR(IF(VLOOKUP($B96,'ORÇAMENTO '!$F$20:$O$847,10,FALSE)=0,"",VLOOKUP($B96,'ORÇAMENTO '!$F$20:$O$847,10,FALSE)),"")</f>
        <v>CONFORME MEMORIAL DE CÁLCULO DO RESERVATÓRIO</v>
      </c>
      <c r="E96" s="836">
        <f ca="1">IFERROR(IF(VLOOKUP($B96,'ORÇAMENTO '!$F$20:$M$847,5,FALSE)=0,"",VLOOKUP($B96,'ORÇAMENTO '!$F$20:$M$847,5,FALSE)),"")</f>
        <v>22.14</v>
      </c>
      <c r="F96" s="762" t="str">
        <f ca="1">IFERROR(IF(VLOOKUP($B96,'ORÇAMENTO '!$F$20:$M$847,4,FALSE)=0,"",VLOOKUP($B96,'ORÇAMENTO '!$F$20:$M$847,4,FALSE)),"")</f>
        <v>M2</v>
      </c>
    </row>
    <row r="97" spans="2:6" s="58" customFormat="1" ht="60">
      <c r="B97" s="834" t="str">
        <f ca="1">'ORÇAMENTO '!F102</f>
        <v>5.5</v>
      </c>
      <c r="C97" s="835" t="str">
        <f ca="1">IFERROR(VLOOKUP($B97,'ORÇAMENTO '!$F$20:$M$847,3,FALSE),IF(CONCATENATE('ORÇAMENTO '!F102,'ORÇAMENTO '!G102,'ORÇAMENTO '!H102,'ORÇAMENTO '!I102,'ORÇAMENTO '!J102,'ORÇAMENTO '!K102,'ORÇAMENTO '!L102)='ORÇAMENTO '!H102,'ORÇAMENTO '!H102,""))</f>
        <v>CONCRETO FCK = 25MPA, TRAÇO 1:2,3:2,7 (EM MASSA SECA DE CIMENTO/ AREIA MÉDIA/ BRITA 1) - PREPARO MECÂNICO COM BETONEIRA 400 L. AF_05/2021</v>
      </c>
      <c r="D97" s="762" t="str">
        <f ca="1">IFERROR(IF(VLOOKUP($B97,'ORÇAMENTO '!$F$20:$O$847,10,FALSE)=0,"",VLOOKUP($B97,'ORÇAMENTO '!$F$20:$O$847,10,FALSE)),"")</f>
        <v>CONFORME PROJETO ESTRUTURAL</v>
      </c>
      <c r="E97" s="836">
        <f ca="1">IFERROR(IF(VLOOKUP($B97,'ORÇAMENTO '!$F$20:$M$847,5,FALSE)=0,"",VLOOKUP($B97,'ORÇAMENTO '!$F$20:$M$847,5,FALSE)),"")</f>
        <v>26.93</v>
      </c>
      <c r="F97" s="762" t="str">
        <f ca="1">IFERROR(IF(VLOOKUP($B97,'ORÇAMENTO '!$F$20:$M$847,4,FALSE)=0,"",VLOOKUP($B97,'ORÇAMENTO '!$F$20:$M$847,4,FALSE)),"")</f>
        <v>M3</v>
      </c>
    </row>
    <row r="98" spans="2:6" s="58" customFormat="1" ht="45">
      <c r="B98" s="834" t="str">
        <f ca="1">'ORÇAMENTO '!F103</f>
        <v>5.6</v>
      </c>
      <c r="C98" s="835" t="str">
        <f ca="1">IFERROR(VLOOKUP($B98,'ORÇAMENTO '!$F$20:$M$847,3,FALSE),IF(CONCATENATE('ORÇAMENTO '!F103,'ORÇAMENTO '!G103,'ORÇAMENTO '!H103,'ORÇAMENTO '!I103,'ORÇAMENTO '!J103,'ORÇAMENTO '!K103,'ORÇAMENTO '!L103)='ORÇAMENTO '!H103,'ORÇAMENTO '!H103,""))</f>
        <v>LANÇAMENTO COM USO DE BALDES, ADENSAMENTO E ACABAMENTO DE CONCRETO EM ESTRUTURAS. AF_02/2022</v>
      </c>
      <c r="D98" s="762" t="str">
        <f ca="1">IFERROR(IF(VLOOKUP($B98,'ORÇAMENTO '!$F$20:$O$847,10,FALSE)=0,"",VLOOKUP($B98,'ORÇAMENTO '!$F$20:$O$847,10,FALSE)),"")</f>
        <v>CONFORME PROJETO ESTRUTURAL</v>
      </c>
      <c r="E98" s="836">
        <f ca="1">IFERROR(IF(VLOOKUP($B98,'ORÇAMENTO '!$F$20:$M$847,5,FALSE)=0,"",VLOOKUP($B98,'ORÇAMENTO '!$F$20:$M$847,5,FALSE)),"")</f>
        <v>26.93</v>
      </c>
      <c r="F98" s="762" t="str">
        <f ca="1">IFERROR(IF(VLOOKUP($B98,'ORÇAMENTO '!$F$20:$M$847,4,FALSE)=0,"",VLOOKUP($B98,'ORÇAMENTO '!$F$20:$M$847,4,FALSE)),"")</f>
        <v>M3</v>
      </c>
    </row>
    <row r="99" spans="2:6" s="58" customFormat="1" ht="60">
      <c r="B99" s="834" t="str">
        <f ca="1">'ORÇAMENTO '!F104</f>
        <v>5.7</v>
      </c>
      <c r="C99" s="835" t="str">
        <f ca="1">IFERROR(VLOOKUP($B99,'ORÇAMENTO '!$F$20:$M$847,3,FALSE),IF(CONCATENATE('ORÇAMENTO '!F104,'ORÇAMENTO '!G104,'ORÇAMENTO '!H104,'ORÇAMENTO '!I104,'ORÇAMENTO '!J104,'ORÇAMENTO '!K104,'ORÇAMENTO '!L104)='ORÇAMENTO '!H104,'ORÇAMENTO '!H104,""))</f>
        <v>FABRICAÇÃO, MONTAGEM E DESMONTAGEM DE FÔRMA PARA BLOCO DE COROAMENTO, EM MADEIRA SERRADA, E=25 MM, 4 UTILIZAÇÕES. AF_06/2017</v>
      </c>
      <c r="D99" s="762" t="str">
        <f ca="1">IFERROR(IF(VLOOKUP($B99,'ORÇAMENTO '!$F$20:$O$847,10,FALSE)=0,"",VLOOKUP($B99,'ORÇAMENTO '!$F$20:$O$847,10,FALSE)),"")</f>
        <v>CONFORME PROJETO ESTRUTURAL</v>
      </c>
      <c r="E99" s="836">
        <f ca="1">IFERROR(IF(VLOOKUP($B99,'ORÇAMENTO '!$F$20:$M$847,5,FALSE)=0,"",VLOOKUP($B99,'ORÇAMENTO '!$F$20:$M$847,5,FALSE)),"")</f>
        <v>24.32</v>
      </c>
      <c r="F99" s="762" t="str">
        <f ca="1">IFERROR(IF(VLOOKUP($B99,'ORÇAMENTO '!$F$20:$M$847,4,FALSE)=0,"",VLOOKUP($B99,'ORÇAMENTO '!$F$20:$M$847,4,FALSE)),"")</f>
        <v>M2</v>
      </c>
    </row>
    <row r="100" spans="2:6" s="58" customFormat="1" ht="45">
      <c r="B100" s="834" t="str">
        <f ca="1">'ORÇAMENTO '!F105</f>
        <v>5.8</v>
      </c>
      <c r="C100" s="835" t="str">
        <f ca="1">IFERROR(VLOOKUP($B100,'ORÇAMENTO '!$F$20:$M$847,3,FALSE),IF(CONCATENATE('ORÇAMENTO '!F105,'ORÇAMENTO '!G105,'ORÇAMENTO '!H105,'ORÇAMENTO '!I105,'ORÇAMENTO '!J105,'ORÇAMENTO '!K105,'ORÇAMENTO '!L105)='ORÇAMENTO '!H105,'ORÇAMENTO '!H105,""))</f>
        <v>ARMAÇÃO DE BLOCO, VIGA BALDRAME OU SAPATA UTILIZANDO AÇO CA-50 DE 6,3 MM - MONTAGEM. AF_06/2017</v>
      </c>
      <c r="D100" s="762" t="str">
        <f ca="1">IFERROR(IF(VLOOKUP($B100,'ORÇAMENTO '!$F$20:$O$847,10,FALSE)=0,"",VLOOKUP($B100,'ORÇAMENTO '!$F$20:$O$847,10,FALSE)),"")</f>
        <v>CONFORME PROJETO ESTRUTURAL</v>
      </c>
      <c r="E100" s="836">
        <f ca="1">IFERROR(IF(VLOOKUP($B100,'ORÇAMENTO '!$F$20:$M$847,5,FALSE)=0,"",VLOOKUP($B100,'ORÇAMENTO '!$F$20:$M$847,5,FALSE)),"")</f>
        <v>610.1</v>
      </c>
      <c r="F100" s="762" t="str">
        <f ca="1">IFERROR(IF(VLOOKUP($B100,'ORÇAMENTO '!$F$20:$M$847,4,FALSE)=0,"",VLOOKUP($B100,'ORÇAMENTO '!$F$20:$M$847,4,FALSE)),"")</f>
        <v>KG</v>
      </c>
    </row>
    <row r="101" spans="2:6" s="58" customFormat="1" ht="45">
      <c r="B101" s="834" t="str">
        <f ca="1">'ORÇAMENTO '!F106</f>
        <v>5.9</v>
      </c>
      <c r="C101" s="835" t="str">
        <f ca="1">IFERROR(VLOOKUP($B101,'ORÇAMENTO '!$F$20:$M$847,3,FALSE),IF(CONCATENATE('ORÇAMENTO '!F106,'ORÇAMENTO '!G106,'ORÇAMENTO '!H106,'ORÇAMENTO '!I106,'ORÇAMENTO '!J106,'ORÇAMENTO '!K106,'ORÇAMENTO '!L106)='ORÇAMENTO '!H106,'ORÇAMENTO '!H106,""))</f>
        <v>ARMAÇÃO DE BLOCO, VIGA BALDRAME OU SAPATA UTILIZANDO AÇO CA-50 DE 8 MM - MONTAGEM. AF_06/2017</v>
      </c>
      <c r="D101" s="762" t="str">
        <f ca="1">IFERROR(IF(VLOOKUP($B101,'ORÇAMENTO '!$F$20:$O$847,10,FALSE)=0,"",VLOOKUP($B101,'ORÇAMENTO '!$F$20:$O$847,10,FALSE)),"")</f>
        <v>CONFORME PROJETO ESTRUTURAL</v>
      </c>
      <c r="E101" s="836">
        <f ca="1">IFERROR(IF(VLOOKUP($B101,'ORÇAMENTO '!$F$20:$M$847,5,FALSE)=0,"",VLOOKUP($B101,'ORÇAMENTO '!$F$20:$M$847,5,FALSE)),"")</f>
        <v>55.5</v>
      </c>
      <c r="F101" s="762" t="str">
        <f ca="1">IFERROR(IF(VLOOKUP($B101,'ORÇAMENTO '!$F$20:$M$847,4,FALSE)=0,"",VLOOKUP($B101,'ORÇAMENTO '!$F$20:$M$847,4,FALSE)),"")</f>
        <v>KG</v>
      </c>
    </row>
    <row r="102" spans="2:6" s="58" customFormat="1" ht="15">
      <c r="B102" s="1026" t="str">
        <f>'ORÇAMENTO '!F107</f>
        <v/>
      </c>
      <c r="C102" s="1028" t="str">
        <f>'ORÇAMENTO '!H107</f>
        <v xml:space="preserve">E S T A C A </v>
      </c>
      <c r="D102" s="1029" t="str">
        <f ca="1">IFERROR(IF(VLOOKUP($B102,'ORÇAMENTO '!$F$20:$O$847,10,FALSE)=0,"",VLOOKUP($B102,'ORÇAMENTO '!$F$20:$O$847,10,FALSE)),"")</f>
        <v/>
      </c>
      <c r="E102" s="1030" t="str">
        <f ca="1">IFERROR(IF(VLOOKUP($B102,'ORÇAMENTO '!$F$20:$M$847,5,FALSE)=0,"",VLOOKUP($B102,'ORÇAMENTO '!$F$20:$M$847,5,FALSE)),"")</f>
        <v/>
      </c>
      <c r="F102" s="1027" t="str">
        <f ca="1">IFERROR(IF(VLOOKUP($B102,'ORÇAMENTO '!$F$20:$M$847,4,FALSE)=0,"",VLOOKUP($B102,'ORÇAMENTO '!$F$20:$M$847,4,FALSE)),"")</f>
        <v/>
      </c>
    </row>
    <row r="103" spans="2:6" s="58" customFormat="1" ht="45">
      <c r="B103" s="834" t="str">
        <f ca="1">'ORÇAMENTO '!F108</f>
        <v>5.10</v>
      </c>
      <c r="C103" s="835" t="str">
        <f ca="1">IFERROR(VLOOKUP($B103,'ORÇAMENTO '!$F$20:$M$847,3,FALSE),IF(CONCATENATE('ORÇAMENTO '!F108,'ORÇAMENTO '!G108,'ORÇAMENTO '!H108,'ORÇAMENTO '!I108,'ORÇAMENTO '!J108,'ORÇAMENTO '!K108,'ORÇAMENTO '!L108)='ORÇAMENTO '!H108,'ORÇAMENTO '!H108,""))</f>
        <v>ARRASAMENTO MECANICO DE ESTACA DE CONCRETO ARMADO, DIAMETROS DE 41 CM A 60 CM. AF_05/2021</v>
      </c>
      <c r="D103" s="762" t="str">
        <f ca="1">IFERROR(IF(VLOOKUP($B103,'ORÇAMENTO '!$F$20:$O$847,10,FALSE)=0,"",VLOOKUP($B103,'ORÇAMENTO '!$F$20:$O$847,10,FALSE)),"")</f>
        <v>CONFORME PROJETO ESTRUTURAL</v>
      </c>
      <c r="E103" s="836">
        <f ca="1">IFERROR(IF(VLOOKUP($B103,'ORÇAMENTO '!$F$20:$M$847,5,FALSE)=0,"",VLOOKUP($B103,'ORÇAMENTO '!$F$20:$M$847,5,FALSE)),"")</f>
        <v>10</v>
      </c>
      <c r="F103" s="762" t="str">
        <f ca="1">IFERROR(IF(VLOOKUP($B103,'ORÇAMENTO '!$F$20:$M$847,4,FALSE)=0,"",VLOOKUP($B103,'ORÇAMENTO '!$F$20:$M$847,4,FALSE)),"")</f>
        <v>UN</v>
      </c>
    </row>
    <row r="104" spans="2:6" s="58" customFormat="1" ht="75">
      <c r="B104" s="834" t="str">
        <f ca="1">'ORÇAMENTO '!F109</f>
        <v>5.11</v>
      </c>
      <c r="C104" s="835" t="str">
        <f ca="1">IFERROR(VLOOKUP($B104,'ORÇAMENTO '!$F$20:$M$847,3,FALSE),IF(CONCATENATE('ORÇAMENTO '!F109,'ORÇAMENTO '!G109,'ORÇAMENTO '!H109,'ORÇAMENTO '!I109,'ORÇAMENTO '!J109,'ORÇAMENTO '!K109,'ORÇAMENTO '!L109)='ORÇAMENTO '!H109,'ORÇAMENTO '!H109,""))</f>
        <v>ESTACA HÉLICE CONTÍNUA , DIÂMETRO DE 50 CM, INCLUSO CONCRETO FCK=30MPA E ARMADURA MÍNIMA (EXCLUSIVE MOBILIZAÇÃO, DESMOBILIZAÇÃO E BOMBEAMENTO). AF_12/2019</v>
      </c>
      <c r="D104" s="762" t="str">
        <f ca="1">IFERROR(IF(VLOOKUP($B104,'ORÇAMENTO '!$F$20:$O$847,10,FALSE)=0,"",VLOOKUP($B104,'ORÇAMENTO '!$F$20:$O$847,10,FALSE)),"")</f>
        <v>CONFORME PROJETO ESTRUTURAL</v>
      </c>
      <c r="E104" s="836">
        <f ca="1">IFERROR(IF(VLOOKUP($B104,'ORÇAMENTO '!$F$20:$M$847,5,FALSE)=0,"",VLOOKUP($B104,'ORÇAMENTO '!$F$20:$M$847,5,FALSE)),"")</f>
        <v>80</v>
      </c>
      <c r="F104" s="762" t="str">
        <f ca="1">IFERROR(IF(VLOOKUP($B104,'ORÇAMENTO '!$F$20:$M$847,4,FALSE)=0,"",VLOOKUP($B104,'ORÇAMENTO '!$F$20:$M$847,4,FALSE)),"")</f>
        <v>M</v>
      </c>
    </row>
    <row r="105" spans="2:6" s="58" customFormat="1" ht="15">
      <c r="B105" s="1026" t="str">
        <f>'ORÇAMENTO '!F110</f>
        <v/>
      </c>
      <c r="C105" s="1028" t="str">
        <f>'ORÇAMENTO '!H110</f>
        <v>E S T R U T U R A</v>
      </c>
      <c r="D105" s="1029" t="str">
        <f ca="1">IFERROR(IF(VLOOKUP($B105,'ORÇAMENTO '!$F$20:$O$847,10,FALSE)=0,"",VLOOKUP($B105,'ORÇAMENTO '!$F$20:$O$847,10,FALSE)),"")</f>
        <v/>
      </c>
      <c r="E105" s="1030" t="str">
        <f ca="1">IFERROR(IF(VLOOKUP($B105,'ORÇAMENTO '!$F$20:$M$847,5,FALSE)=0,"",VLOOKUP($B105,'ORÇAMENTO '!$F$20:$M$847,5,FALSE)),"")</f>
        <v/>
      </c>
      <c r="F105" s="1027" t="str">
        <f ca="1">IFERROR(IF(VLOOKUP($B105,'ORÇAMENTO '!$F$20:$M$847,4,FALSE)=0,"",VLOOKUP($B105,'ORÇAMENTO '!$F$20:$M$847,4,FALSE)),"")</f>
        <v/>
      </c>
    </row>
    <row r="106" spans="2:6" s="58" customFormat="1" ht="15">
      <c r="B106" s="1026" t="str">
        <f>'ORÇAMENTO '!F111</f>
        <v/>
      </c>
      <c r="C106" s="1028" t="str">
        <f>'ORÇAMENTO '!H111</f>
        <v>PILAR</v>
      </c>
      <c r="D106" s="1029" t="str">
        <f ca="1">IFERROR(IF(VLOOKUP($B106,'ORÇAMENTO '!$F$20:$O$847,10,FALSE)=0,"",VLOOKUP($B106,'ORÇAMENTO '!$F$20:$O$847,10,FALSE)),"")</f>
        <v/>
      </c>
      <c r="E106" s="1030" t="str">
        <f ca="1">IFERROR(IF(VLOOKUP($B106,'ORÇAMENTO '!$F$20:$M$847,5,FALSE)=0,"",VLOOKUP($B106,'ORÇAMENTO '!$F$20:$M$847,5,FALSE)),"")</f>
        <v/>
      </c>
      <c r="F106" s="1027" t="str">
        <f ca="1">IFERROR(IF(VLOOKUP($B106,'ORÇAMENTO '!$F$20:$M$847,4,FALSE)=0,"",VLOOKUP($B106,'ORÇAMENTO '!$F$20:$M$847,4,FALSE)),"")</f>
        <v/>
      </c>
    </row>
    <row r="107" spans="2:6" s="58" customFormat="1" ht="60">
      <c r="B107" s="834" t="str">
        <f ca="1">'ORÇAMENTO '!F112</f>
        <v>5.12</v>
      </c>
      <c r="C107" s="835" t="str">
        <f ca="1">IFERROR(VLOOKUP($B107,'ORÇAMENTO '!$F$20:$M$847,3,FALSE),IF(CONCATENATE('ORÇAMENTO '!F112,'ORÇAMENTO '!G112,'ORÇAMENTO '!H112,'ORÇAMENTO '!I112,'ORÇAMENTO '!J112,'ORÇAMENTO '!K112,'ORÇAMENTO '!L112)='ORÇAMENTO '!H112,'ORÇAMENTO '!H112,""))</f>
        <v>ARMAÇÃO DE PILAR OU VIGA DE ESTRUTURA CONVENCIONAL DE CONCRETO ARMADO UTILIZANDO AÇO CA-50 DE 12,5 MM - MONTAGEM. AF_06/2022</v>
      </c>
      <c r="D107" s="762" t="str">
        <f ca="1">IFERROR(IF(VLOOKUP($B107,'ORÇAMENTO '!$F$20:$O$847,10,FALSE)=0,"",VLOOKUP($B107,'ORÇAMENTO '!$F$20:$O$847,10,FALSE)),"")</f>
        <v>CONFORME PROJETO ESTRUTURAL</v>
      </c>
      <c r="E107" s="836">
        <f ca="1">IFERROR(IF(VLOOKUP($B107,'ORÇAMENTO '!$F$20:$M$847,5,FALSE)=0,"",VLOOKUP($B107,'ORÇAMENTO '!$F$20:$M$847,5,FALSE)),"")</f>
        <v>490.4</v>
      </c>
      <c r="F107" s="762" t="str">
        <f ca="1">IFERROR(IF(VLOOKUP($B107,'ORÇAMENTO '!$F$20:$M$847,4,FALSE)=0,"",VLOOKUP($B107,'ORÇAMENTO '!$F$20:$M$847,4,FALSE)),"")</f>
        <v>KG</v>
      </c>
    </row>
    <row r="108" spans="2:6" s="58" customFormat="1" ht="60">
      <c r="B108" s="834" t="str">
        <f ca="1">'ORÇAMENTO '!F113</f>
        <v>5.13</v>
      </c>
      <c r="C108" s="835" t="str">
        <f ca="1">IFERROR(VLOOKUP($B108,'ORÇAMENTO '!$F$20:$M$847,3,FALSE),IF(CONCATENATE('ORÇAMENTO '!F113,'ORÇAMENTO '!G113,'ORÇAMENTO '!H113,'ORÇAMENTO '!I113,'ORÇAMENTO '!J113,'ORÇAMENTO '!K113,'ORÇAMENTO '!L113)='ORÇAMENTO '!H113,'ORÇAMENTO '!H113,""))</f>
        <v>ARMAÇÃO DE PILAR OU VIGA DE ESTRUTURA CONVENCIONAL DE CONCRETO ARMADO UTILIZANDO AÇO CA-60 DE 5,0 MM - MONTAGEM. AF_06/2022</v>
      </c>
      <c r="D108" s="762" t="str">
        <f ca="1">IFERROR(IF(VLOOKUP($B108,'ORÇAMENTO '!$F$20:$O$847,10,FALSE)=0,"",VLOOKUP($B108,'ORÇAMENTO '!$F$20:$O$847,10,FALSE)),"")</f>
        <v>CONFORME PROJETO ESTRUTURAL</v>
      </c>
      <c r="E108" s="836">
        <f ca="1">IFERROR(IF(VLOOKUP($B108,'ORÇAMENTO '!$F$20:$M$847,5,FALSE)=0,"",VLOOKUP($B108,'ORÇAMENTO '!$F$20:$M$847,5,FALSE)),"")</f>
        <v>181.7</v>
      </c>
      <c r="F108" s="762" t="str">
        <f ca="1">IFERROR(IF(VLOOKUP($B108,'ORÇAMENTO '!$F$20:$M$847,4,FALSE)=0,"",VLOOKUP($B108,'ORÇAMENTO '!$F$20:$M$847,4,FALSE)),"")</f>
        <v>KG</v>
      </c>
    </row>
    <row r="109" spans="2:6" s="58" customFormat="1" ht="33.75" customHeight="1">
      <c r="B109" s="1026" t="str">
        <f>'ORÇAMENTO '!F114</f>
        <v/>
      </c>
      <c r="C109" s="1028" t="str">
        <f>'ORÇAMENTO '!H114</f>
        <v>M O B I L I Z A Ç Ã O  E  D E S M O B I L I Z A Ç Ã O</v>
      </c>
      <c r="D109" s="1029" t="str">
        <f ca="1">IFERROR(IF(VLOOKUP($B109,'ORÇAMENTO '!$F$20:$O$847,10,FALSE)=0,"",VLOOKUP($B109,'ORÇAMENTO '!$F$20:$O$847,10,FALSE)),"")</f>
        <v/>
      </c>
      <c r="E109" s="1030" t="str">
        <f ca="1">IFERROR(IF(VLOOKUP($B109,'ORÇAMENTO '!$F$20:$M$847,5,FALSE)=0,"",VLOOKUP($B109,'ORÇAMENTO '!$F$20:$M$847,5,FALSE)),"")</f>
        <v/>
      </c>
      <c r="F109" s="1027" t="str">
        <f ca="1">IFERROR(IF(VLOOKUP($B109,'ORÇAMENTO '!$F$20:$M$847,4,FALSE)=0,"",VLOOKUP($B109,'ORÇAMENTO '!$F$20:$M$847,4,FALSE)),"")</f>
        <v/>
      </c>
    </row>
    <row r="110" spans="2:6" s="58" customFormat="1" ht="75">
      <c r="B110" s="834" t="str">
        <f ca="1">'ORÇAMENTO '!F115</f>
        <v>5.14</v>
      </c>
      <c r="C110" s="835" t="str">
        <f ca="1">IFERROR(VLOOKUP($B110,'ORÇAMENTO '!$F$20:$M$847,3,FALSE),IF(CONCATENATE('ORÇAMENTO '!F115,'ORÇAMENTO '!G115,'ORÇAMENTO '!H115,'ORÇAMENTO '!I115,'ORÇAMENTO '!J115,'ORÇAMENTO '!K115,'ORÇAMENTO '!L115)='ORÇAMENTO '!H115,'ORÇAMENTO '!H115,""))</f>
        <v>MOBILIZAÇÃO DE PERFURATRIZ HIDRÁULICA SOBRE CAMINHÃO TRUCADO (C/ TERCEIRO EIXO) ELETRÔNICO - POTÊNCIA 231CV - PBT = 22000KG - DIST. ENTRE EIXOS 5170 MM</v>
      </c>
      <c r="D110" s="762" t="str">
        <f ca="1">IFERROR(IF(VLOOKUP($B110,'ORÇAMENTO '!$F$20:$O$847,10,FALSE)=0,"",VLOOKUP($B110,'ORÇAMENTO '!$F$20:$O$847,10,FALSE)),"")</f>
        <v>CONFORME PROJETO ESTRUTURAL</v>
      </c>
      <c r="E110" s="836">
        <f ca="1">IFERROR(IF(VLOOKUP($B110,'ORÇAMENTO '!$F$20:$M$847,5,FALSE)=0,"",VLOOKUP($B110,'ORÇAMENTO '!$F$20:$M$847,5,FALSE)),"")</f>
        <v>1</v>
      </c>
      <c r="F110" s="762" t="str">
        <f ca="1">IFERROR(IF(VLOOKUP($B110,'ORÇAMENTO '!$F$20:$M$847,4,FALSE)=0,"",VLOOKUP($B110,'ORÇAMENTO '!$F$20:$M$847,4,FALSE)),"")</f>
        <v>UN</v>
      </c>
    </row>
    <row r="111" spans="2:6" s="58" customFormat="1" ht="75">
      <c r="B111" s="834" t="str">
        <f ca="1">'ORÇAMENTO '!F116</f>
        <v>5.15</v>
      </c>
      <c r="C111" s="835" t="str">
        <f ca="1">IFERROR(VLOOKUP($B111,'ORÇAMENTO '!$F$20:$M$847,3,FALSE),IF(CONCATENATE('ORÇAMENTO '!F116,'ORÇAMENTO '!G116,'ORÇAMENTO '!H116,'ORÇAMENTO '!I116,'ORÇAMENTO '!J116,'ORÇAMENTO '!K116,'ORÇAMENTO '!L116)='ORÇAMENTO '!H116,'ORÇAMENTO '!H116,""))</f>
        <v>DESMOBILIZAÇÃO DE PERFURATRIZ HIDRÁULICA SOBRE CAMINHÃO TRUCADO (C/ TERCEIRO EIXO) ELETRÔNICO - POTÊNCIA 231CV - PBT = 22000KG - DIST. ENTRE EIXOS 5170 MM</v>
      </c>
      <c r="D111" s="762" t="str">
        <f ca="1">IFERROR(IF(VLOOKUP($B111,'ORÇAMENTO '!$F$20:$O$847,10,FALSE)=0,"",VLOOKUP($B111,'ORÇAMENTO '!$F$20:$O$847,10,FALSE)),"")</f>
        <v>CONFORME PROJETO ESTRUTURAL</v>
      </c>
      <c r="E111" s="836">
        <f ca="1">IFERROR(IF(VLOOKUP($B111,'ORÇAMENTO '!$F$20:$M$847,5,FALSE)=0,"",VLOOKUP($B111,'ORÇAMENTO '!$F$20:$M$847,5,FALSE)),"")</f>
        <v>1</v>
      </c>
      <c r="F111" s="762" t="str">
        <f ca="1">IFERROR(IF(VLOOKUP($B111,'ORÇAMENTO '!$F$20:$M$847,4,FALSE)=0,"",VLOOKUP($B111,'ORÇAMENTO '!$F$20:$M$847,4,FALSE)),"")</f>
        <v>UN</v>
      </c>
    </row>
    <row r="112" spans="2:6" s="58" customFormat="1" ht="15">
      <c r="B112" s="834" t="str">
        <f>'ORÇAMENTO '!F117</f>
        <v/>
      </c>
      <c r="C112" s="835">
        <f ca="1">IFERROR(VLOOKUP($B112,'ORÇAMENTO '!$F$20:$M$847,3,FALSE),IF(CONCATENATE('ORÇAMENTO '!F117,'ORÇAMENTO '!G117,'ORÇAMENTO '!H117,'ORÇAMENTO '!I117,'ORÇAMENTO '!J117,'ORÇAMENTO '!K117,'ORÇAMENTO '!L117)='ORÇAMENTO '!H117,'ORÇAMENTO '!H117,""))</f>
        <v>0</v>
      </c>
      <c r="D112" s="762" t="str">
        <f ca="1">IFERROR(IF(VLOOKUP($B112,'ORÇAMENTO '!$F$20:$O$847,10,FALSE)=0,"",VLOOKUP($B112,'ORÇAMENTO '!$F$20:$O$847,10,FALSE)),"")</f>
        <v/>
      </c>
      <c r="E112" s="836" t="str">
        <f ca="1">IFERROR(IF(VLOOKUP($B112,'ORÇAMENTO '!$F$20:$M$847,5,FALSE)=0,"",VLOOKUP($B112,'ORÇAMENTO '!$F$20:$M$847,5,FALSE)),"")</f>
        <v/>
      </c>
      <c r="F112" s="762" t="str">
        <f ca="1">IFERROR(IF(VLOOKUP($B112,'ORÇAMENTO '!$F$20:$M$847,4,FALSE)=0,"",VLOOKUP($B112,'ORÇAMENTO '!$F$20:$M$847,4,FALSE)),"")</f>
        <v/>
      </c>
    </row>
    <row r="113" spans="2:7" s="58" customFormat="1" ht="15">
      <c r="B113" s="834" t="str">
        <f ca="1">'ORÇAMENTO '!F118</f>
        <v>6.0</v>
      </c>
      <c r="C113" s="835" t="str">
        <f ca="1">IFERROR(VLOOKUP($B113,'ORÇAMENTO '!$F$20:$M$847,3,FALSE),IF(CONCATENATE('ORÇAMENTO '!F118,'ORÇAMENTO '!G118,'ORÇAMENTO '!H118,'ORÇAMENTO '!I118,'ORÇAMENTO '!J118,'ORÇAMENTO '!K118,'ORÇAMENTO '!L118)='ORÇAMENTO '!H118,'ORÇAMENTO '!H118,""))</f>
        <v>R E S E R V A T Ó R I O</v>
      </c>
      <c r="D113" s="762" t="str">
        <f ca="1">IFERROR(IF(VLOOKUP($B113,'ORÇAMENTO '!$F$20:$O$847,10,FALSE)=0,"",VLOOKUP($B113,'ORÇAMENTO '!$F$20:$O$847,10,FALSE)),"")</f>
        <v/>
      </c>
      <c r="E113" s="836" t="str">
        <f ca="1">IFERROR(IF(VLOOKUP($B113,'ORÇAMENTO '!$F$20:$M$847,5,FALSE)=0,"",VLOOKUP($B113,'ORÇAMENTO '!$F$20:$M$847,5,FALSE)),"")</f>
        <v/>
      </c>
      <c r="F113" s="762" t="str">
        <f ca="1">IFERROR(IF(VLOOKUP($B113,'ORÇAMENTO '!$F$20:$M$847,4,FALSE)=0,"",VLOOKUP($B113,'ORÇAMENTO '!$F$20:$M$847,4,FALSE)),"")</f>
        <v/>
      </c>
    </row>
    <row r="114" spans="2:7" s="58" customFormat="1" ht="135">
      <c r="B114" s="834" t="str">
        <f ca="1">'ORÇAMENTO '!F119</f>
        <v>6.1</v>
      </c>
      <c r="C114" s="835" t="str">
        <f ca="1">IFERROR(VLOOKUP($B114,'ORÇAMENTO '!$F$20:$M$847,3,FALSE),IF(CONCATENATE('ORÇAMENTO '!F119,'ORÇAMENTO '!G119,'ORÇAMENTO '!H119,'ORÇAMENTO '!I119,'ORÇAMENTO '!J119,'ORÇAMENTO '!K119,'ORÇAMENTO '!L119)='ORÇAMENTO '!H119,'ORÇAMENTO '!H119,""))</f>
        <v>FORNECIMENTO E INSTALAÇÃO DE RESERVATÓRIO METÁLICO TIPO TAÇA COLUNA SECA COM CAPACIDADE UTIL DE 150 M³, COM DRENO PARA LIMPEZA,  RESPIRO, BOCA DE VISITA, ESCADA INTERNA, ESCADA EXTERNA TIPO MARINHEIRO COM GUARDA CORPO, SUPORTE PARA PARA-RAIO E ISOLADORES E FRETE</v>
      </c>
      <c r="D114" s="762" t="str">
        <f ca="1">IFERROR(IF(VLOOKUP($B114,'ORÇAMENTO '!$F$20:$O$847,10,FALSE)=0,"",VLOOKUP($B114,'ORÇAMENTO '!$F$20:$O$847,10,FALSE)),"")</f>
        <v>SERÁ INSTALADO 1 (UM) RESERVATÓRIO DE 150M³ PARA ATENDIMENTO DO PROJETO</v>
      </c>
      <c r="E114" s="836">
        <f ca="1">IFERROR(IF(VLOOKUP($B114,'ORÇAMENTO '!$F$20:$M$847,5,FALSE)=0,"",VLOOKUP($B114,'ORÇAMENTO '!$F$20:$M$847,5,FALSE)),"")</f>
        <v>1</v>
      </c>
      <c r="F114" s="762" t="str">
        <f ca="1">IFERROR(IF(VLOOKUP($B114,'ORÇAMENTO '!$F$20:$M$847,4,FALSE)=0,"",VLOOKUP($B114,'ORÇAMENTO '!$F$20:$M$847,4,FALSE)),"")</f>
        <v>UN</v>
      </c>
    </row>
    <row r="115" spans="2:7" s="58" customFormat="1" ht="30">
      <c r="B115" s="834" t="str">
        <f ca="1">'ORÇAMENTO '!F120</f>
        <v>6.2</v>
      </c>
      <c r="C115" s="835" t="str">
        <f ca="1">IFERROR(VLOOKUP($B115,'ORÇAMENTO '!$F$20:$M$847,3,FALSE),IF(CONCATENATE('ORÇAMENTO '!F120,'ORÇAMENTO '!G120,'ORÇAMENTO '!H120,'ORÇAMENTO '!I120,'ORÇAMENTO '!J120,'ORÇAMENTO '!K120,'ORÇAMENTO '!L120)='ORÇAMENTO '!H120,'ORÇAMENTO '!H120,""))</f>
        <v>TRANSPORTE DO RESERVATÓRIO ATÉ O LOCAL DA OBRA</v>
      </c>
      <c r="D115" s="762" t="str">
        <f ca="1">IFERROR(IF(VLOOKUP($B115,'ORÇAMENTO '!$F$20:$O$847,10,FALSE)=0,"",VLOOKUP($B115,'ORÇAMENTO '!$F$20:$O$847,10,FALSE)),"")</f>
        <v>SERÁ TRANSPORTADO 1 (UM) RESERVATÓRIO ATÉ O LOCAL DA OBRA</v>
      </c>
      <c r="E115" s="836">
        <f ca="1">IFERROR(IF(VLOOKUP($B115,'ORÇAMENTO '!$F$20:$M$847,5,FALSE)=0,"",VLOOKUP($B115,'ORÇAMENTO '!$F$20:$M$847,5,FALSE)),"")</f>
        <v>1</v>
      </c>
      <c r="F115" s="762" t="str">
        <f ca="1">IFERROR(IF(VLOOKUP($B115,'ORÇAMENTO '!$F$20:$M$847,4,FALSE)=0,"",VLOOKUP($B115,'ORÇAMENTO '!$F$20:$M$847,4,FALSE)),"")</f>
        <v>UN</v>
      </c>
    </row>
    <row r="116" spans="2:7" s="58" customFormat="1" ht="60">
      <c r="B116" s="834" t="str">
        <f ca="1">'ORÇAMENTO '!F121</f>
        <v>6.3</v>
      </c>
      <c r="C116" s="835" t="str">
        <f ca="1">IFERROR(VLOOKUP($B116,'ORÇAMENTO '!$F$20:$M$847,3,FALSE),IF(CONCATENATE('ORÇAMENTO '!F121,'ORÇAMENTO '!G121,'ORÇAMENTO '!H121,'ORÇAMENTO '!I121,'ORÇAMENTO '!J121,'ORÇAMENTO '!K121,'ORÇAMENTO '!L121)='ORÇAMENTO '!H121,'ORÇAMENTO '!H121,""))</f>
        <v>FORNECIMENTO E INSTALAÇÃO DE ADESIVO DA LOGOMARCA DO ÓRGÃO FINANCIADOR PARA O RESERVATÓRIO 2,0 M X 1,5 M</v>
      </c>
      <c r="D116" s="762" t="str">
        <f ca="1">IFERROR(IF(VLOOKUP($B116,'ORÇAMENTO '!$F$20:$O$847,10,FALSE)=0,"",VLOOKUP($B116,'ORÇAMENTO '!$F$20:$O$847,10,FALSE)),"")</f>
        <v>SERÁ INSTALADO 1 (UM) ADESIVO NO RESERVATÓRIO</v>
      </c>
      <c r="E116" s="836">
        <f ca="1">IFERROR(IF(VLOOKUP($B116,'ORÇAMENTO '!$F$20:$M$847,5,FALSE)=0,"",VLOOKUP($B116,'ORÇAMENTO '!$F$20:$M$847,5,FALSE)),"")</f>
        <v>1</v>
      </c>
      <c r="F116" s="762" t="str">
        <f ca="1">IFERROR(IF(VLOOKUP($B116,'ORÇAMENTO '!$F$20:$M$847,4,FALSE)=0,"",VLOOKUP($B116,'ORÇAMENTO '!$F$20:$M$847,4,FALSE)),"")</f>
        <v>UN</v>
      </c>
    </row>
    <row r="117" spans="2:7" s="58" customFormat="1" ht="15">
      <c r="B117" s="1026" t="str">
        <f>'ORÇAMENTO '!F122</f>
        <v/>
      </c>
      <c r="C117" s="1028" t="str">
        <f>'ORÇAMENTO '!H122</f>
        <v>MATERIAIS HIDRÁULICOS</v>
      </c>
      <c r="D117" s="1029" t="str">
        <f ca="1">IFERROR(IF(VLOOKUP($B117,'ORÇAMENTO '!$F$20:$O$847,10,FALSE)=0,"",VLOOKUP($B117,'ORÇAMENTO '!$F$20:$O$847,10,FALSE)),"")</f>
        <v/>
      </c>
      <c r="E117" s="1030" t="str">
        <f ca="1">IFERROR(IF(VLOOKUP($B117,'ORÇAMENTO '!$F$20:$M$847,5,FALSE)=0,"",VLOOKUP($B117,'ORÇAMENTO '!$F$20:$M$847,5,FALSE)),"")</f>
        <v/>
      </c>
      <c r="F117" s="1027" t="str">
        <f ca="1">IFERROR(IF(VLOOKUP($B117,'ORÇAMENTO '!$F$20:$M$847,4,FALSE)=0,"",VLOOKUP($B117,'ORÇAMENTO '!$F$20:$M$847,4,FALSE)),"")</f>
        <v/>
      </c>
    </row>
    <row r="118" spans="2:7" s="58" customFormat="1" ht="60">
      <c r="B118" s="834" t="str">
        <f ca="1">'ORÇAMENTO '!F123</f>
        <v>6.4</v>
      </c>
      <c r="C118" s="835" t="str">
        <f ca="1">IFERROR(VLOOKUP($B118,'ORÇAMENTO '!$F$20:$M$847,3,FALSE),IF(CONCATENATE('ORÇAMENTO '!F123,'ORÇAMENTO '!G123,'ORÇAMENTO '!H123,'ORÇAMENTO '!I123,'ORÇAMENTO '!J123,'ORÇAMENTO '!K123,'ORÇAMENTO '!L123)='ORÇAMENTO '!H123,'ORÇAMENTO '!H123,""))</f>
        <v>FORNECIMENTO E ASSENTAMENTO DE MATERIAIS HIDRÁULICOS DA ADUTORA DE ÁGUA TRATADA ATÉ A ENTRADA DO RESERVATÓRIO</v>
      </c>
      <c r="D118" s="762" t="str">
        <f ca="1">IFERROR(IF(VLOOKUP($B118,'ORÇAMENTO '!$F$20:$O$847,10,FALSE)=0,"",VLOOKUP($B118,'ORÇAMENTO '!$F$20:$O$847,10,FALSE)),"")</f>
        <v>CONFORME PROJETO DE SANEAMENTO</v>
      </c>
      <c r="E118" s="836">
        <f ca="1">IFERROR(IF(VLOOKUP($B118,'ORÇAMENTO '!$F$20:$M$847,5,FALSE)=0,"",VLOOKUP($B118,'ORÇAMENTO '!$F$20:$M$847,5,FALSE)),"")</f>
        <v>1</v>
      </c>
      <c r="F118" s="762" t="str">
        <f ca="1">IFERROR(IF(VLOOKUP($B118,'ORÇAMENTO '!$F$20:$M$847,4,FALSE)=0,"",VLOOKUP($B118,'ORÇAMENTO '!$F$20:$M$847,4,FALSE)),"")</f>
        <v xml:space="preserve">UN </v>
      </c>
    </row>
    <row r="119" spans="2:7" s="58" customFormat="1" ht="45">
      <c r="B119" s="834" t="str">
        <f ca="1">'ORÇAMENTO '!F124</f>
        <v>6.5</v>
      </c>
      <c r="C119" s="835" t="str">
        <f ca="1">IFERROR(VLOOKUP($B119,'ORÇAMENTO '!$F$20:$M$847,3,FALSE),IF(CONCATENATE('ORÇAMENTO '!F124,'ORÇAMENTO '!G124,'ORÇAMENTO '!H124,'ORÇAMENTO '!I124,'ORÇAMENTO '!J124,'ORÇAMENTO '!K124,'ORÇAMENTO '!L124)='ORÇAMENTO '!H124,'ORÇAMENTO '!H124,""))</f>
        <v>FORNECIMENTO E ASSENTAMENTO DE MATERIAIS HIDRÁULICOS EXTRAVASOR DO RESERVATÓRIO</v>
      </c>
      <c r="D119" s="762" t="str">
        <f ca="1">IFERROR(IF(VLOOKUP($B119,'ORÇAMENTO '!$F$20:$O$847,10,FALSE)=0,"",VLOOKUP($B119,'ORÇAMENTO '!$F$20:$O$847,10,FALSE)),"")</f>
        <v>CONFORME PROJETO DE SANEAMENTO</v>
      </c>
      <c r="E119" s="836">
        <f ca="1">IFERROR(IF(VLOOKUP($B119,'ORÇAMENTO '!$F$20:$M$847,5,FALSE)=0,"",VLOOKUP($B119,'ORÇAMENTO '!$F$20:$M$847,5,FALSE)),"")</f>
        <v>1</v>
      </c>
      <c r="F119" s="762" t="str">
        <f ca="1">IFERROR(IF(VLOOKUP($B119,'ORÇAMENTO '!$F$20:$M$847,4,FALSE)=0,"",VLOOKUP($B119,'ORÇAMENTO '!$F$20:$M$847,4,FALSE)),"")</f>
        <v xml:space="preserve">UN </v>
      </c>
    </row>
    <row r="120" spans="2:7" s="58" customFormat="1" ht="45">
      <c r="B120" s="834" t="str">
        <f ca="1">'ORÇAMENTO '!F125</f>
        <v>6.6</v>
      </c>
      <c r="C120" s="835" t="str">
        <f ca="1">IFERROR(VLOOKUP($B120,'ORÇAMENTO '!$F$20:$M$847,3,FALSE),IF(CONCATENATE('ORÇAMENTO '!F125,'ORÇAMENTO '!G125,'ORÇAMENTO '!H125,'ORÇAMENTO '!I125,'ORÇAMENTO '!J125,'ORÇAMENTO '!K125,'ORÇAMENTO '!L125)='ORÇAMENTO '!H125,'ORÇAMENTO '!H125,""))</f>
        <v>FORNECIMENTO E ASSENTAMENTO DE MATERIAIS HIDRÁULICOS DO RESERVATÓRIO A REDE DE DISTRIBUIÇÃO</v>
      </c>
      <c r="D120" s="762" t="str">
        <f ca="1">IFERROR(IF(VLOOKUP($B120,'ORÇAMENTO '!$F$20:$O$847,10,FALSE)=0,"",VLOOKUP($B120,'ORÇAMENTO '!$F$20:$O$847,10,FALSE)),"")</f>
        <v>CONFORME PROJETO DE SANEAMENTO</v>
      </c>
      <c r="E120" s="836">
        <f ca="1">IFERROR(IF(VLOOKUP($B120,'ORÇAMENTO '!$F$20:$M$847,5,FALSE)=0,"",VLOOKUP($B120,'ORÇAMENTO '!$F$20:$M$847,5,FALSE)),"")</f>
        <v>1</v>
      </c>
      <c r="F120" s="762" t="str">
        <f ca="1">IFERROR(IF(VLOOKUP($B120,'ORÇAMENTO '!$F$20:$M$847,4,FALSE)=0,"",VLOOKUP($B120,'ORÇAMENTO '!$F$20:$M$847,4,FALSE)),"")</f>
        <v xml:space="preserve">UN </v>
      </c>
      <c r="G120" s="843"/>
    </row>
    <row r="121" spans="2:7" s="58" customFormat="1" ht="15">
      <c r="B121" s="834" t="str">
        <f>'ORÇAMENTO '!F126</f>
        <v/>
      </c>
      <c r="C121" s="835">
        <f ca="1">IFERROR(VLOOKUP($B121,'ORÇAMENTO '!$F$20:$M$847,3,FALSE),IF(CONCATENATE('ORÇAMENTO '!F126,'ORÇAMENTO '!G126,'ORÇAMENTO '!H126,'ORÇAMENTO '!I126,'ORÇAMENTO '!J126,'ORÇAMENTO '!K126,'ORÇAMENTO '!L126)='ORÇAMENTO '!H126,'ORÇAMENTO '!H126,""))</f>
        <v>0</v>
      </c>
      <c r="D121" s="762" t="str">
        <f ca="1">IFERROR(IF(VLOOKUP($B121,'ORÇAMENTO '!$F$20:$O$847,10,FALSE)=0,"",VLOOKUP($B121,'ORÇAMENTO '!$F$20:$O$847,10,FALSE)),"")</f>
        <v/>
      </c>
      <c r="E121" s="836" t="str">
        <f ca="1">IFERROR(IF(VLOOKUP($B121,'ORÇAMENTO '!$F$20:$M$847,5,FALSE)=0,"",VLOOKUP($B121,'ORÇAMENTO '!$F$20:$M$847,5,FALSE)),"")</f>
        <v/>
      </c>
      <c r="F121" s="762" t="str">
        <f ca="1">IFERROR(IF(VLOOKUP($B121,'ORÇAMENTO '!$F$20:$M$847,4,FALSE)=0,"",VLOOKUP($B121,'ORÇAMENTO '!$F$20:$M$847,4,FALSE)),"")</f>
        <v/>
      </c>
    </row>
    <row r="122" spans="2:7" s="58" customFormat="1" ht="30">
      <c r="B122" s="834" t="str">
        <f ca="1">'ORÇAMENTO '!F127</f>
        <v>7.0</v>
      </c>
      <c r="C122" s="835" t="str">
        <f ca="1">IFERROR(VLOOKUP($B122,'ORÇAMENTO '!$F$20:$M$847,3,FALSE),IF(CONCATENATE('ORÇAMENTO '!F127,'ORÇAMENTO '!G127,'ORÇAMENTO '!H127,'ORÇAMENTO '!I127,'ORÇAMENTO '!J127,'ORÇAMENTO '!K127,'ORÇAMENTO '!L127)='ORÇAMENTO '!H127,'ORÇAMENTO '!H127,""))</f>
        <v>R E D E  D E  D I S T R I B U I Ç Ã O  D E  Á G U A</v>
      </c>
      <c r="D122" s="762" t="str">
        <f ca="1">IFERROR(IF(VLOOKUP($B122,'ORÇAMENTO '!$F$20:$O$847,10,FALSE)=0,"",VLOOKUP($B122,'ORÇAMENTO '!$F$20:$O$847,10,FALSE)),"")</f>
        <v/>
      </c>
      <c r="E122" s="836" t="str">
        <f ca="1">IFERROR(IF(VLOOKUP($B122,'ORÇAMENTO '!$F$20:$M$847,5,FALSE)=0,"",VLOOKUP($B122,'ORÇAMENTO '!$F$20:$M$847,5,FALSE)),"")</f>
        <v/>
      </c>
      <c r="F122" s="762" t="str">
        <f ca="1">IFERROR(IF(VLOOKUP($B122,'ORÇAMENTO '!$F$20:$M$847,4,FALSE)=0,"",VLOOKUP($B122,'ORÇAMENTO '!$F$20:$M$847,4,FALSE)),"")</f>
        <v/>
      </c>
    </row>
    <row r="123" spans="2:7" s="58" customFormat="1" ht="15">
      <c r="B123" s="1026" t="str">
        <f>'ORÇAMENTO '!F128</f>
        <v/>
      </c>
      <c r="C123" s="1028" t="str">
        <f>'ORÇAMENTO '!H128</f>
        <v>MOVIMENTAÇÃO DE TERRA</v>
      </c>
      <c r="D123" s="1029" t="str">
        <f ca="1">IFERROR(IF(VLOOKUP($B123,'ORÇAMENTO '!$F$20:$O$847,10,FALSE)=0,"",VLOOKUP($B123,'ORÇAMENTO '!$F$20:$O$847,10,FALSE)),"")</f>
        <v/>
      </c>
      <c r="E123" s="1030" t="str">
        <f ca="1">IFERROR(IF(VLOOKUP($B123,'ORÇAMENTO '!$F$20:$M$847,5,FALSE)=0,"",VLOOKUP($B123,'ORÇAMENTO '!$F$20:$M$847,5,FALSE)),"")</f>
        <v/>
      </c>
      <c r="F123" s="1027" t="str">
        <f ca="1">IFERROR(IF(VLOOKUP($B123,'ORÇAMENTO '!$F$20:$M$847,4,FALSE)=0,"",VLOOKUP($B123,'ORÇAMENTO '!$F$20:$M$847,4,FALSE)),"")</f>
        <v/>
      </c>
    </row>
    <row r="124" spans="2:7" s="58" customFormat="1" ht="30">
      <c r="B124" s="834" t="str">
        <f ca="1">'ORÇAMENTO '!F129</f>
        <v>7.1</v>
      </c>
      <c r="C124" s="835" t="str">
        <f ca="1">IFERROR(VLOOKUP($B124,'ORÇAMENTO '!$F$20:$M$847,3,FALSE),IF(CONCATENATE('ORÇAMENTO '!F129,'ORÇAMENTO '!G129,'ORÇAMENTO '!H129,'ORÇAMENTO '!I129,'ORÇAMENTO '!J129,'ORÇAMENTO '!K129,'ORÇAMENTO '!L129)='ORÇAMENTO '!H129,'ORÇAMENTO '!H129,""))</f>
        <v>LOCAÇÃO DE REDE DE ÁGUA OU ESGOTO. AF_10/2018</v>
      </c>
      <c r="D124" s="762" t="str">
        <f ca="1">IFERROR(IF(VLOOKUP($B124,'ORÇAMENTO '!$F$20:$O$847,10,FALSE)=0,"",VLOOKUP($B124,'ORÇAMENTO '!$F$20:$O$847,10,FALSE)),"")</f>
        <v>SERÁ EXECUTADO 12.125,84 METROS DE REDE</v>
      </c>
      <c r="E124" s="836">
        <f ca="1">IFERROR(IF(VLOOKUP($B124,'ORÇAMENTO '!$F$20:$M$847,5,FALSE)=0,"",VLOOKUP($B124,'ORÇAMENTO '!$F$20:$M$847,5,FALSE)),"")</f>
        <v>12125.84</v>
      </c>
      <c r="F124" s="762" t="str">
        <f ca="1">IFERROR(IF(VLOOKUP($B124,'ORÇAMENTO '!$F$20:$M$847,4,FALSE)=0,"",VLOOKUP($B124,'ORÇAMENTO '!$F$20:$M$847,4,FALSE)),"")</f>
        <v>M</v>
      </c>
    </row>
    <row r="125" spans="2:7" s="58" customFormat="1" ht="30">
      <c r="B125" s="834" t="str">
        <f ca="1">'ORÇAMENTO '!F130</f>
        <v>7.2</v>
      </c>
      <c r="C125" s="835" t="str">
        <f ca="1">IFERROR(VLOOKUP($B125,'ORÇAMENTO '!$F$20:$M$847,3,FALSE),IF(CONCATENATE('ORÇAMENTO '!F130,'ORÇAMENTO '!G130,'ORÇAMENTO '!H130,'ORÇAMENTO '!I130,'ORÇAMENTO '!J130,'ORÇAMENTO '!K130,'ORÇAMENTO '!L130)='ORÇAMENTO '!H130,'ORÇAMENTO '!H130,""))</f>
        <v>ELABORAÇÃO DE CADASTRO DE REDE INCLUSIVE DESENHISTA</v>
      </c>
      <c r="D125" s="762" t="str">
        <f ca="1">IFERROR(IF(VLOOKUP($B125,'ORÇAMENTO '!$F$20:$O$847,10,FALSE)=0,"",VLOOKUP($B125,'ORÇAMENTO '!$F$20:$O$847,10,FALSE)),"")</f>
        <v>SERÁ EXECUTADO O CADASTRO DOS 12.125,84 METROS DE REDE</v>
      </c>
      <c r="E125" s="836">
        <f ca="1">IFERROR(IF(VLOOKUP($B125,'ORÇAMENTO '!$F$20:$M$847,5,FALSE)=0,"",VLOOKUP($B125,'ORÇAMENTO '!$F$20:$M$847,5,FALSE)),"")</f>
        <v>12125.84</v>
      </c>
      <c r="F125" s="762" t="str">
        <f ca="1">IFERROR(IF(VLOOKUP($B125,'ORÇAMENTO '!$F$20:$M$847,4,FALSE)=0,"",VLOOKUP($B125,'ORÇAMENTO '!$F$20:$M$847,4,FALSE)),"")</f>
        <v>M</v>
      </c>
    </row>
    <row r="126" spans="2:7" s="58" customFormat="1" ht="234.75" customHeight="1">
      <c r="B126" s="834" t="str">
        <f ca="1">'ORÇAMENTO '!F131</f>
        <v>7.3</v>
      </c>
      <c r="C126" s="835" t="str">
        <f ca="1">IFERROR(VLOOKUP($B126,'ORÇAMENTO '!$F$20:$M$847,3,FALSE),IF(CONCATENATE('ORÇAMENTO '!F131,'ORÇAMENTO '!G131,'ORÇAMENTO '!H131,'ORÇAMENTO '!I131,'ORÇAMENTO '!J131,'ORÇAMENTO '!K131,'ORÇAMENTO '!L131)='ORÇAMENTO '!H131,'ORÇAMENTO '!H131,""))</f>
        <v>ESCAVAÇÃO MECANIZADA DE VALA COM PROFUNDIDADE ATÉ 1,5 M (MÉDIA MONTANTE E JUSANTE/UMA COMPOSIÇÃO POR TRECHO), RETROESCAV. (0,26 M3), LARGURA MENOR QUE 0,8 M, EM SOLO DE 1A CATEGORIA, LOCAIS COM BAIXO NÍVEL DE INTERFERÊNCIA. AF_02/2021</v>
      </c>
      <c r="D126" s="762" t="str">
        <f ca="1">IFERROR(IF(VLOOKUP($B126,'ORÇAMENTO '!$F$20:$O$847,10,FALSE)=0,"",VLOOKUP($B126,'ORÇAMENTO '!$F$20:$O$847,10,FALSE)),"")</f>
        <v>PARA REDE DE DIÂMETRO 50MM = EXTENSÃO DA REDE (9.714,40M) X [PROFUNDIDADE DO RECOBRIMENTO (1,20 M)+ DIÂMETRO EXTERNO DO TUBO (0,06 M) + CAMADA DE AREIA (0,10M)] X LARGURA DA VALA (0,60 M) = 7.927,00 M3
PARA REDE DE DIÂMETRO 100MM = EXTENSÃO DA REDE (2.411,44M) X [PROFUNDIDADE DO RECOBRIMENTO (1,20 M)+ DIÂMETRO EXTERNO DO TUBO (0,10 M) + CAMADA DE AREIA (0,10M)] X LARGURA DA VALA (0,60 M) = 2.025,60 M3. VOLUME TOTAL DE ESCAVAÇÃO  = 9.952,56 M3</v>
      </c>
      <c r="E126" s="836">
        <f ca="1">IFERROR(IF(VLOOKUP($B126,'ORÇAMENTO '!$F$20:$M$847,5,FALSE)=0,"",VLOOKUP($B126,'ORÇAMENTO '!$F$20:$M$847,5,FALSE)),"")</f>
        <v>9952.56</v>
      </c>
      <c r="F126" s="762" t="str">
        <f ca="1">IFERROR(IF(VLOOKUP($B126,'ORÇAMENTO '!$F$20:$M$847,4,FALSE)=0,"",VLOOKUP($B126,'ORÇAMENTO '!$F$20:$M$847,4,FALSE)),"")</f>
        <v>M3</v>
      </c>
    </row>
    <row r="127" spans="2:7" s="58" customFormat="1" ht="116.25" customHeight="1">
      <c r="B127" s="834" t="str">
        <f ca="1">'ORÇAMENTO '!F132</f>
        <v>7.4</v>
      </c>
      <c r="C127" s="835" t="str">
        <f ca="1">IFERROR(VLOOKUP($B127,'ORÇAMENTO '!$F$20:$M$847,3,FALSE),IF(CONCATENATE('ORÇAMENTO '!F132,'ORÇAMENTO '!G132,'ORÇAMENTO '!H132,'ORÇAMENTO '!I132,'ORÇAMENTO '!J132,'ORÇAMENTO '!K132,'ORÇAMENTO '!L132)='ORÇAMENTO '!H132,'ORÇAMENTO '!H132,""))</f>
        <v>REATERRO MECANIZADO DE VALA COM RETROESCAVADEIRA (CAPACIDADE DA CAÇAMBA DA RETRO: 0,26 M³ / POTÊNCIA: 88 HP), LARGURA ATÉ 0,8 M, PROFUNDIDADE ATÉ 1,5 M, COM SOLO DE 1ª CATEGORIA EM LOCAIS COM BAIXO NÍVEL DE INTERFERÊNCIA. AF_04/2016</v>
      </c>
      <c r="D127" s="762" t="str">
        <f ca="1">IFERROR(IF(VLOOKUP($B127,'ORÇAMENTO '!$F$20:$O$847,10,FALSE)=0,"",VLOOKUP($B127,'ORÇAMENTO '!$F$20:$O$847,10,FALSE)),"")</f>
        <v>VOLUME DE ESCAVAÇÃO 9.952,56 M3 - [VOLUME DO TUBO 50MM (27,46 M³) +  VOLUME DO TUBO 100MM ( 22,91 M³)]= 9.948,01 M3</v>
      </c>
      <c r="E127" s="836">
        <f ca="1">IFERROR(IF(VLOOKUP($B127,'ORÇAMENTO '!$F$20:$M$847,5,FALSE)=0,"",VLOOKUP($B127,'ORÇAMENTO '!$F$20:$M$847,5,FALSE)),"")</f>
        <v>8077.51</v>
      </c>
      <c r="F127" s="762" t="str">
        <f ca="1">IFERROR(IF(VLOOKUP($B127,'ORÇAMENTO '!$F$20:$M$847,4,FALSE)=0,"",VLOOKUP($B127,'ORÇAMENTO '!$F$20:$M$847,4,FALSE)),"")</f>
        <v>M3</v>
      </c>
    </row>
    <row r="128" spans="2:7" s="58" customFormat="1" ht="60">
      <c r="B128" s="834" t="str">
        <f ca="1">'ORÇAMENTO '!F133</f>
        <v>7.5</v>
      </c>
      <c r="C128" s="835" t="str">
        <f ca="1">IFERROR(VLOOKUP($B128,'ORÇAMENTO '!$F$20:$M$847,3,FALSE),IF(CONCATENATE('ORÇAMENTO '!F133,'ORÇAMENTO '!G133,'ORÇAMENTO '!H133,'ORÇAMENTO '!I133,'ORÇAMENTO '!J133,'ORÇAMENTO '!K133,'ORÇAMENTO '!L133)='ORÇAMENTO '!H133,'ORÇAMENTO '!H133,""))</f>
        <v>PREPARO DE FUNDO DE VALA COM LARGURA MENOR QUE 1,5 M, COM CAMADA DE AREIA, LANÇAMENTO MANUAL. AF_08/2020</v>
      </c>
      <c r="D128" s="762" t="str">
        <f ca="1">IFERROR(IF(VLOOKUP($B128,'ORÇAMENTO '!$F$20:$O$847,10,FALSE)=0,"",VLOOKUP($B128,'ORÇAMENTO '!$F$20:$O$847,10,FALSE)),"")</f>
        <v>EXTENSÃO DA REDE (12.125,84 M) X LARGURA DA VALA (0,60 M) X ALTURA DO LASTRO (0,1 M)  = 727,55 M3</v>
      </c>
      <c r="E128" s="836">
        <f ca="1">IFERROR(IF(VLOOKUP($B128,'ORÇAMENTO '!$F$20:$M$847,5,FALSE)=0,"",VLOOKUP($B128,'ORÇAMENTO '!$F$20:$M$847,5,FALSE)),"")</f>
        <v>727.55</v>
      </c>
      <c r="F128" s="762" t="str">
        <f ca="1">IFERROR(IF(VLOOKUP($B128,'ORÇAMENTO '!$F$20:$M$847,4,FALSE)=0,"",VLOOKUP($B128,'ORÇAMENTO '!$F$20:$M$847,4,FALSE)),"")</f>
        <v>M3</v>
      </c>
    </row>
    <row r="129" spans="2:6" s="58" customFormat="1" ht="60">
      <c r="B129" s="834" t="str">
        <f ca="1">'ORÇAMENTO '!F134</f>
        <v>7.6</v>
      </c>
      <c r="C129" s="835" t="str">
        <f ca="1">IFERROR(VLOOKUP($B129,'ORÇAMENTO '!$F$20:$M$847,3,FALSE),IF(CONCATENATE('ORÇAMENTO '!F134,'ORÇAMENTO '!G134,'ORÇAMENTO '!H134,'ORÇAMENTO '!I134,'ORÇAMENTO '!J134,'ORÇAMENTO '!K134,'ORÇAMENTO '!L134)='ORÇAMENTO '!H134,'ORÇAMENTO '!H134,""))</f>
        <v>TRANSPORTE COM CAMINHÃO BASCULANTE DE 6 M³, EM VIA URBANA PAVIMENTADA, DMT ATÉ 30 KM (UNIDADE: M3XKM). AF_07/2020</v>
      </c>
      <c r="D129" s="762" t="str">
        <f ca="1">IFERROR(IF(VLOOKUP($B129,'ORÇAMENTO '!$F$20:$O$847,10,FALSE)=0,"",VLOOKUP($B129,'ORÇAMENTO '!$F$20:$O$847,10,FALSE)),"")</f>
        <v>VOLUME DE ESCAVAÇÃO (9.952,56 M3) - VOLUME DE REATERRO (8.077,51 M3) * DISTÂNCIA = 9.375,25 M3</v>
      </c>
      <c r="E129" s="836">
        <f ca="1">IFERROR(IF(VLOOKUP($B129,'ORÇAMENTO '!$F$20:$M$847,5,FALSE)=0,"",VLOOKUP($B129,'ORÇAMENTO '!$F$20:$M$847,5,FALSE)),"")</f>
        <v>9375.25</v>
      </c>
      <c r="F129" s="762" t="str">
        <f ca="1">IFERROR(IF(VLOOKUP($B129,'ORÇAMENTO '!$F$20:$M$847,4,FALSE)=0,"",VLOOKUP($B129,'ORÇAMENTO '!$F$20:$M$847,4,FALSE)),"")</f>
        <v>M3XKM</v>
      </c>
    </row>
    <row r="130" spans="2:6" s="58" customFormat="1" ht="15">
      <c r="B130" s="834" t="str">
        <f>'ORÇAMENTO '!F135</f>
        <v/>
      </c>
      <c r="C130" s="835" t="str">
        <f>'ORÇAMENTO '!H135</f>
        <v>MATERIAIS HIDRÁULICOS</v>
      </c>
      <c r="D130" s="762" t="str">
        <f ca="1">IFERROR(IF(VLOOKUP($B130,'ORÇAMENTO '!$F$20:$O$847,10,FALSE)=0,"",VLOOKUP($B130,'ORÇAMENTO '!$F$20:$O$847,10,FALSE)),"")</f>
        <v/>
      </c>
      <c r="E130" s="836" t="str">
        <f ca="1">IFERROR(IF(VLOOKUP($B130,'ORÇAMENTO '!$F$20:$M$847,5,FALSE)=0,"",VLOOKUP($B130,'ORÇAMENTO '!$F$20:$M$847,5,FALSE)),"")</f>
        <v/>
      </c>
      <c r="F130" s="762" t="str">
        <f ca="1">IFERROR(IF(VLOOKUP($B130,'ORÇAMENTO '!$F$20:$M$847,4,FALSE)=0,"",VLOOKUP($B130,'ORÇAMENTO '!$F$20:$M$847,4,FALSE)),"")</f>
        <v/>
      </c>
    </row>
    <row r="131" spans="2:6" s="58" customFormat="1" ht="45">
      <c r="B131" s="834" t="str">
        <f ca="1">'ORÇAMENTO '!F136</f>
        <v>7.7</v>
      </c>
      <c r="C131" s="835" t="str">
        <f ca="1">IFERROR(VLOOKUP($B131,'ORÇAMENTO '!$F$20:$M$847,3,FALSE),IF(CONCATENATE('ORÇAMENTO '!F136,'ORÇAMENTO '!G136,'ORÇAMENTO '!H136,'ORÇAMENTO '!I136,'ORÇAMENTO '!J136,'ORÇAMENTO '!K136,'ORÇAMENTO '!L136)='ORÇAMENTO '!H136,'ORÇAMENTO '!H136,""))</f>
        <v>FORNECIMENTO E ASSENTAMENTO DE TUBO PVC PBA JEI, CLASSE 12, DN 50MM, PARA REDE DE ÁGUA</v>
      </c>
      <c r="D131" s="762" t="str">
        <f ca="1">IFERROR(IF(VLOOKUP($B131,'ORÇAMENTO '!$F$20:$O$847,10,FALSE)=0,"",VLOOKUP($B131,'ORÇAMENTO '!$F$20:$O$847,10,FALSE)),"")</f>
        <v>CONFORME PROJETO DE SANEAMENTO</v>
      </c>
      <c r="E131" s="836">
        <f ca="1">IFERROR(IF(VLOOKUP($B131,'ORÇAMENTO '!$F$20:$M$847,5,FALSE)=0,"",VLOOKUP($B131,'ORÇAMENTO '!$F$20:$M$847,5,FALSE)),"")</f>
        <v>9714.4</v>
      </c>
      <c r="F131" s="762" t="str">
        <f ca="1">IFERROR(IF(VLOOKUP($B131,'ORÇAMENTO '!$F$20:$M$847,4,FALSE)=0,"",VLOOKUP($B131,'ORÇAMENTO '!$F$20:$M$847,4,FALSE)),"")</f>
        <v>M</v>
      </c>
    </row>
    <row r="132" spans="2:6" s="58" customFormat="1" ht="45">
      <c r="B132" s="834" t="str">
        <f ca="1">'ORÇAMENTO '!F137</f>
        <v>7.8</v>
      </c>
      <c r="C132" s="835" t="str">
        <f ca="1">IFERROR(VLOOKUP($B132,'ORÇAMENTO '!$F$20:$M$847,3,FALSE),IF(CONCATENATE('ORÇAMENTO '!F137,'ORÇAMENTO '!G137,'ORÇAMENTO '!H137,'ORÇAMENTO '!I137,'ORÇAMENTO '!J137,'ORÇAMENTO '!K137,'ORÇAMENTO '!L137)='ORÇAMENTO '!H137,'ORÇAMENTO '!H137,""))</f>
        <v>FORNECIMENTO E ASSENTAMENTO DE TUBO PVC PBA JEI, CLASSE 12, DN 100MM, PARA REDE DE ÁGUA</v>
      </c>
      <c r="D132" s="762" t="str">
        <f ca="1">IFERROR(IF(VLOOKUP($B132,'ORÇAMENTO '!$F$20:$O$847,10,FALSE)=0,"",VLOOKUP($B132,'ORÇAMENTO '!$F$20:$O$847,10,FALSE)),"")</f>
        <v>CONFORME PROJETO DE SANEAMENTO</v>
      </c>
      <c r="E132" s="836">
        <f ca="1">IFERROR(IF(VLOOKUP($B132,'ORÇAMENTO '!$F$20:$M$847,5,FALSE)=0,"",VLOOKUP($B132,'ORÇAMENTO '!$F$20:$M$847,5,FALSE)),"")</f>
        <v>2411.44</v>
      </c>
      <c r="F132" s="762" t="str">
        <f ca="1">IFERROR(IF(VLOOKUP($B132,'ORÇAMENTO '!$F$20:$M$847,4,FALSE)=0,"",VLOOKUP($B132,'ORÇAMENTO '!$F$20:$M$847,4,FALSE)),"")</f>
        <v>M</v>
      </c>
    </row>
    <row r="133" spans="2:6" s="58" customFormat="1" ht="45">
      <c r="B133" s="834" t="str">
        <f ca="1">'ORÇAMENTO '!F138</f>
        <v>7.9</v>
      </c>
      <c r="C133" s="835" t="str">
        <f ca="1">IFERROR(VLOOKUP($B133,'ORÇAMENTO '!$F$20:$M$847,3,FALSE),IF(CONCATENATE('ORÇAMENTO '!F138,'ORÇAMENTO '!G138,'ORÇAMENTO '!H138,'ORÇAMENTO '!I138,'ORÇAMENTO '!J138,'ORÇAMENTO '!K138,'ORÇAMENTO '!L138)='ORÇAMENTO '!H138,'ORÇAMENTO '!H138,""))</f>
        <v>FORNECIMENTO E ASSENTAMENTO DE MATERIAIS HIDRÁULICOS DA REDE DE DISTRIBUIÇÃO DE ÁGUA</v>
      </c>
      <c r="D133" s="762" t="str">
        <f ca="1">IFERROR(IF(VLOOKUP($B133,'ORÇAMENTO '!$F$20:$O$847,10,FALSE)=0,"",VLOOKUP($B133,'ORÇAMENTO '!$F$20:$O$847,10,FALSE)),"")</f>
        <v>CONFORME PROJETO DE SANEAMENTO</v>
      </c>
      <c r="E133" s="836">
        <f ca="1">IFERROR(IF(VLOOKUP($B133,'ORÇAMENTO '!$F$20:$M$847,5,FALSE)=0,"",VLOOKUP($B133,'ORÇAMENTO '!$F$20:$M$847,5,FALSE)),"")</f>
        <v>1</v>
      </c>
      <c r="F133" s="762" t="str">
        <f ca="1">IFERROR(IF(VLOOKUP($B133,'ORÇAMENTO '!$F$20:$M$847,4,FALSE)=0,"",VLOOKUP($B133,'ORÇAMENTO '!$F$20:$M$847,4,FALSE)),"")</f>
        <v xml:space="preserve">UN </v>
      </c>
    </row>
    <row r="134" spans="2:6" s="58" customFormat="1" ht="30">
      <c r="B134" s="834" t="str">
        <f>'ORÇAMENTO '!F139</f>
        <v/>
      </c>
      <c r="C134" s="835" t="str">
        <f>'ORÇAMENTO '!H139</f>
        <v>DEMOLIÇÃO/RECONSTITUIÇÃO DE PAVIMENTO</v>
      </c>
      <c r="D134" s="762" t="str">
        <f ca="1">IFERROR(IF(VLOOKUP($B134,'ORÇAMENTO '!$F$20:$O$847,10,FALSE)=0,"",VLOOKUP($B134,'ORÇAMENTO '!$F$20:$O$847,10,FALSE)),"")</f>
        <v/>
      </c>
      <c r="E134" s="836" t="str">
        <f ca="1">IFERROR(IF(VLOOKUP($B134,'ORÇAMENTO '!$F$20:$M$847,5,FALSE)=0,"",VLOOKUP($B134,'ORÇAMENTO '!$F$20:$M$847,5,FALSE)),"")</f>
        <v/>
      </c>
      <c r="F134" s="762" t="str">
        <f ca="1">IFERROR(IF(VLOOKUP($B134,'ORÇAMENTO '!$F$20:$M$847,4,FALSE)=0,"",VLOOKUP($B134,'ORÇAMENTO '!$F$20:$M$847,4,FALSE)),"")</f>
        <v/>
      </c>
    </row>
    <row r="135" spans="2:6" s="58" customFormat="1" ht="45">
      <c r="B135" s="834" t="str">
        <f ca="1">'ORÇAMENTO '!F140</f>
        <v>7.10</v>
      </c>
      <c r="C135" s="835" t="str">
        <f ca="1">IFERROR(VLOOKUP($B135,'ORÇAMENTO '!$F$20:$M$847,3,FALSE),IF(CONCATENATE('ORÇAMENTO '!F140,'ORÇAMENTO '!G140,'ORÇAMENTO '!H140,'ORÇAMENTO '!I140,'ORÇAMENTO '!J140,'ORÇAMENTO '!K140,'ORÇAMENTO '!L140)='ORÇAMENTO '!H140,'ORÇAMENTO '!H140,""))</f>
        <v>DEMOLIÇÃO PARCIAL DE PAVIMENTO ASFÁLTICO, DE FORMA MECANIZADA, SEM REAPROVEITAMENTO. AF_12/2017</v>
      </c>
      <c r="D135" s="762" t="str">
        <f ca="1">IFERROR(IF(VLOOKUP($B135,'ORÇAMENTO '!$F$20:$O$847,10,FALSE)=0,"",VLOOKUP($B135,'ORÇAMENTO '!$F$20:$O$847,10,FALSE)),"")</f>
        <v>CONFORME PROJETO DE PAVIMENTAÇÃO</v>
      </c>
      <c r="E135" s="836">
        <f ca="1">IFERROR(IF(VLOOKUP($B135,'ORÇAMENTO '!$F$20:$M$847,5,FALSE)=0,"",VLOOKUP($B135,'ORÇAMENTO '!$F$20:$M$847,5,FALSE)),"")</f>
        <v>2857.13</v>
      </c>
      <c r="F135" s="762" t="str">
        <f ca="1">IFERROR(IF(VLOOKUP($B135,'ORÇAMENTO '!$F$20:$M$847,4,FALSE)=0,"",VLOOKUP($B135,'ORÇAMENTO '!$F$20:$M$847,4,FALSE)),"")</f>
        <v>M2</v>
      </c>
    </row>
    <row r="136" spans="2:6" s="58" customFormat="1" ht="75">
      <c r="B136" s="834" t="str">
        <f ca="1">'ORÇAMENTO '!F141</f>
        <v>7.11</v>
      </c>
      <c r="C136" s="835" t="str">
        <f ca="1">IFERROR(VLOOKUP($B136,'ORÇAMENTO '!$F$20:$M$847,3,FALSE),IF(CONCATENATE('ORÇAMENTO '!F141,'ORÇAMENTO '!G141,'ORÇAMENTO '!H141,'ORÇAMENTO '!I141,'ORÇAMENTO '!J141,'ORÇAMENTO '!K141,'ORÇAMENTO '!L141)='ORÇAMENTO '!H141,'ORÇAMENTO '!H141,""))</f>
        <v>RECOMPOSIÇÃO DE BASE E OU SUB-BASE PARA FECHAMENTO DE VALAS DE SOLOS DE COMPORTAMENTO LATERÍTICO (ARENOSO) - INCLUSO RETIRADA E COLOCAÇÃO DO MATERIAL. AF_12/2020</v>
      </c>
      <c r="D136" s="762" t="str">
        <f ca="1">IFERROR(IF(VLOOKUP($B136,'ORÇAMENTO '!$F$20:$O$847,10,FALSE)=0,"",VLOOKUP($B136,'ORÇAMENTO '!$F$20:$O$847,10,FALSE)),"")</f>
        <v>CONFORME PROJETO DE PAVIMENTAÇÃO</v>
      </c>
      <c r="E136" s="836">
        <f ca="1">IFERROR(IF(VLOOKUP($B136,'ORÇAMENTO '!$F$20:$M$847,5,FALSE)=0,"",VLOOKUP($B136,'ORÇAMENTO '!$F$20:$M$847,5,FALSE)),"")</f>
        <v>1142.8499999999999</v>
      </c>
      <c r="F136" s="762" t="str">
        <f ca="1">IFERROR(IF(VLOOKUP($B136,'ORÇAMENTO '!$F$20:$M$847,4,FALSE)=0,"",VLOOKUP($B136,'ORÇAMENTO '!$F$20:$M$847,4,FALSE)),"")</f>
        <v>M3</v>
      </c>
    </row>
    <row r="137" spans="2:6" s="58" customFormat="1" ht="30">
      <c r="B137" s="834" t="str">
        <f ca="1">'ORÇAMENTO '!F142</f>
        <v>7.12</v>
      </c>
      <c r="C137" s="835" t="str">
        <f ca="1">IFERROR(VLOOKUP($B137,'ORÇAMENTO '!$F$20:$M$847,3,FALSE),IF(CONCATENATE('ORÇAMENTO '!F142,'ORÇAMENTO '!G142,'ORÇAMENTO '!H142,'ORÇAMENTO '!I142,'ORÇAMENTO '!J142,'ORÇAMENTO '!K142,'ORÇAMENTO '!L142)='ORÇAMENTO '!H142,'ORÇAMENTO '!H142,""))</f>
        <v>EXECUÇÃO DE IMPRIMAÇÃO COM ASFALTO DILUÍDO CM-30. AF_11/2019</v>
      </c>
      <c r="D137" s="762" t="str">
        <f ca="1">IFERROR(IF(VLOOKUP($B137,'ORÇAMENTO '!$F$20:$O$847,10,FALSE)=0,"",VLOOKUP($B137,'ORÇAMENTO '!$F$20:$O$847,10,FALSE)),"")</f>
        <v>CONFORME PROJETO DE PAVIMENTAÇÃO</v>
      </c>
      <c r="E137" s="836">
        <f ca="1">IFERROR(IF(VLOOKUP($B137,'ORÇAMENTO '!$F$20:$M$847,5,FALSE)=0,"",VLOOKUP($B137,'ORÇAMENTO '!$F$20:$M$847,5,FALSE)),"")</f>
        <v>2857.13</v>
      </c>
      <c r="F137" s="762" t="str">
        <f ca="1">IFERROR(IF(VLOOKUP($B137,'ORÇAMENTO '!$F$20:$M$847,4,FALSE)=0,"",VLOOKUP($B137,'ORÇAMENTO '!$F$20:$M$847,4,FALSE)),"")</f>
        <v>M2</v>
      </c>
    </row>
    <row r="138" spans="2:6" s="58" customFormat="1" ht="60">
      <c r="B138" s="834" t="str">
        <f ca="1">'ORÇAMENTO '!F143</f>
        <v>7.13</v>
      </c>
      <c r="C138" s="835" t="str">
        <f ca="1">IFERROR(VLOOKUP($B138,'ORÇAMENTO '!$F$20:$M$847,3,FALSE),IF(CONCATENATE('ORÇAMENTO '!F143,'ORÇAMENTO '!G143,'ORÇAMENTO '!H143,'ORÇAMENTO '!I143,'ORÇAMENTO '!J143,'ORÇAMENTO '!K143,'ORÇAMENTO '!L143)='ORÇAMENTO '!H143,'ORÇAMENTO '!H143,""))</f>
        <v>PAVIMENTO COM TRATAMENTO SUPERFICIAL DUPLO, COM EMULSÃO ASFÁLTICA RR-2C, COM BANHO DILUÍDO. AF_01/2020</v>
      </c>
      <c r="D138" s="762" t="str">
        <f ca="1">IFERROR(IF(VLOOKUP($B138,'ORÇAMENTO '!$F$20:$O$847,10,FALSE)=0,"",VLOOKUP($B138,'ORÇAMENTO '!$F$20:$O$847,10,FALSE)),"")</f>
        <v>CONFORME PROJETO DE PAVIMENTAÇÃO</v>
      </c>
      <c r="E138" s="836">
        <f ca="1">IFERROR(IF(VLOOKUP($B138,'ORÇAMENTO '!$F$20:$M$847,5,FALSE)=0,"",VLOOKUP($B138,'ORÇAMENTO '!$F$20:$M$847,5,FALSE)),"")</f>
        <v>2857.13</v>
      </c>
      <c r="F138" s="762" t="str">
        <f ca="1">IFERROR(IF(VLOOKUP($B138,'ORÇAMENTO '!$F$20:$M$847,4,FALSE)=0,"",VLOOKUP($B138,'ORÇAMENTO '!$F$20:$M$847,4,FALSE)),"")</f>
        <v>M2</v>
      </c>
    </row>
    <row r="139" spans="2:6" s="58" customFormat="1" ht="60">
      <c r="B139" s="834" t="str">
        <f ca="1">'ORÇAMENTO '!F144</f>
        <v>7.14</v>
      </c>
      <c r="C139" s="835" t="str">
        <f ca="1">IFERROR(VLOOKUP($B139,'ORÇAMENTO '!$F$20:$M$847,3,FALSE),IF(CONCATENATE('ORÇAMENTO '!F144,'ORÇAMENTO '!G144,'ORÇAMENTO '!H144,'ORÇAMENTO '!I144,'ORÇAMENTO '!J144,'ORÇAMENTO '!K144,'ORÇAMENTO '!L144)='ORÇAMENTO '!H144,'ORÇAMENTO '!H144,""))</f>
        <v>TRANSPORTE COM CAMINHÃO BASCULANTE DE 14 M³, EM VIA URBANA PAVIMENTADA, DMT ATÉ 30 KM (UNIDADE: M3XKM). AF_07/2020</v>
      </c>
      <c r="D139" s="762" t="str">
        <f ca="1">IFERROR(IF(VLOOKUP($B139,'ORÇAMENTO '!$F$20:$O$847,10,FALSE)=0,"",VLOOKUP($B139,'ORÇAMENTO '!$F$20:$O$847,10,FALSE)),"")</f>
        <v>CONFORME PROJETO DE PAVIMENTAÇÃO</v>
      </c>
      <c r="E139" s="836">
        <f ca="1">IFERROR(IF(VLOOKUP($B139,'ORÇAMENTO '!$F$20:$M$847,5,FALSE)=0,"",VLOOKUP($B139,'ORÇAMENTO '!$F$20:$M$847,5,FALSE)),"")</f>
        <v>1911.39</v>
      </c>
      <c r="F139" s="762" t="str">
        <f ca="1">IFERROR(IF(VLOOKUP($B139,'ORÇAMENTO '!$F$20:$M$847,4,FALSE)=0,"",VLOOKUP($B139,'ORÇAMENTO '!$F$20:$M$847,4,FALSE)),"")</f>
        <v>M3XKM</v>
      </c>
    </row>
    <row r="140" spans="2:6" s="58" customFormat="1" ht="75">
      <c r="B140" s="834" t="str">
        <f ca="1">'ORÇAMENTO '!F145</f>
        <v>7.15</v>
      </c>
      <c r="C140" s="835" t="str">
        <f ca="1">IFERROR(VLOOKUP($B140,'ORÇAMENTO '!$F$20:$M$847,3,FALSE),IF(CONCATENATE('ORÇAMENTO '!F145,'ORÇAMENTO '!G145,'ORÇAMENTO '!H145,'ORÇAMENTO '!I145,'ORÇAMENTO '!J145,'ORÇAMENTO '!K145,'ORÇAMENTO '!L145)='ORÇAMENTO '!H145,'ORÇAMENTO '!H145,""))</f>
        <v>TRANSPORTE COM CAMINHÃO BASCULANTE DE 14 M³, EM VIA URBANA PAVIMENTADA, ADICIONAL PARA DMT EXCEDENTE A 30 KM (UNIDADE: M3XKM). AF_07/2020</v>
      </c>
      <c r="D140" s="762" t="str">
        <f ca="1">IFERROR(IF(VLOOKUP($B140,'ORÇAMENTO '!$F$20:$O$847,10,FALSE)=0,"",VLOOKUP($B140,'ORÇAMENTO '!$F$20:$O$847,10,FALSE)),"")</f>
        <v>CONFORME PROJETO DE PAVIMENTAÇÃO</v>
      </c>
      <c r="E140" s="836">
        <f ca="1">IFERROR(IF(VLOOKUP($B140,'ORÇAMENTO '!$F$20:$M$847,5,FALSE)=0,"",VLOOKUP($B140,'ORÇAMENTO '!$F$20:$M$847,5,FALSE)),"")</f>
        <v>8792.5</v>
      </c>
      <c r="F140" s="762" t="str">
        <f ca="1">IFERROR(IF(VLOOKUP($B140,'ORÇAMENTO '!$F$20:$M$847,4,FALSE)=0,"",VLOOKUP($B140,'ORÇAMENTO '!$F$20:$M$847,4,FALSE)),"")</f>
        <v>M3XKM</v>
      </c>
    </row>
    <row r="141" spans="2:6" s="58" customFormat="1" ht="75">
      <c r="B141" s="834" t="str">
        <f ca="1">'ORÇAMENTO '!F146</f>
        <v>7.16</v>
      </c>
      <c r="C141" s="835" t="str">
        <f ca="1">IFERROR(VLOOKUP($B141,'ORÇAMENTO '!$F$20:$M$847,3,FALSE),IF(CONCATENATE('ORÇAMENTO '!F146,'ORÇAMENTO '!G146,'ORÇAMENTO '!H146,'ORÇAMENTO '!I146,'ORÇAMENTO '!J146,'ORÇAMENTO '!K146,'ORÇAMENTO '!L146)='ORÇAMENTO '!H146,'ORÇAMENTO '!H146,""))</f>
        <v>TRANSPORTE COM CAMINHÃO TANQUE DE TRANSPORTE DE MATERIAL ASFÁLTICO DE 30000 L, EM VIA URBANA PAVIMENTADA, DMT ATÉ 30KM (UNIDADE: TXKM). AF_07/2020</v>
      </c>
      <c r="D141" s="762" t="str">
        <f ca="1">IFERROR(IF(VLOOKUP($B141,'ORÇAMENTO '!$F$20:$O$847,10,FALSE)=0,"",VLOOKUP($B141,'ORÇAMENTO '!$F$20:$O$847,10,FALSE)),"")</f>
        <v>CONFORME PROJETO DE PAVIMENTAÇÃO</v>
      </c>
      <c r="E141" s="836">
        <f ca="1">IFERROR(IF(VLOOKUP($B141,'ORÇAMENTO '!$F$20:$M$847,5,FALSE)=0,"",VLOOKUP($B141,'ORÇAMENTO '!$F$20:$M$847,5,FALSE)),"")</f>
        <v>461.4</v>
      </c>
      <c r="F141" s="762" t="str">
        <f ca="1">IFERROR(IF(VLOOKUP($B141,'ORÇAMENTO '!$F$20:$M$847,4,FALSE)=0,"",VLOOKUP($B141,'ORÇAMENTO '!$F$20:$M$847,4,FALSE)),"")</f>
        <v>TXKM</v>
      </c>
    </row>
    <row r="142" spans="2:6" s="58" customFormat="1" ht="75">
      <c r="B142" s="834" t="str">
        <f ca="1">'ORÇAMENTO '!F147</f>
        <v>7.17</v>
      </c>
      <c r="C142" s="835" t="str">
        <f ca="1">IFERROR(VLOOKUP($B142,'ORÇAMENTO '!$F$20:$M$847,3,FALSE),IF(CONCATENATE('ORÇAMENTO '!F147,'ORÇAMENTO '!G147,'ORÇAMENTO '!H147,'ORÇAMENTO '!I147,'ORÇAMENTO '!J147,'ORÇAMENTO '!K147,'ORÇAMENTO '!L147)='ORÇAMENTO '!H147,'ORÇAMENTO '!H147,""))</f>
        <v>TRANSPORTE COM CAMINHÃO TANQUE DE TRANSPORTE DE MATERIAL ASFÁLTICO DE 30000 L, EM VIA URBANA PAVIMENTADA, ADICIONAL PARA DMT EXCEDENTE A 30 KM (UNIDADE: TXKM). AF_07/2020</v>
      </c>
      <c r="D142" s="762" t="str">
        <f ca="1">IFERROR(IF(VLOOKUP($B142,'ORÇAMENTO '!$F$20:$O$847,10,FALSE)=0,"",VLOOKUP($B142,'ORÇAMENTO '!$F$20:$O$847,10,FALSE)),"")</f>
        <v>CONFORME PROJETO DE PAVIMENTAÇÃO</v>
      </c>
      <c r="E142" s="836">
        <f ca="1">IFERROR(IF(VLOOKUP($B142,'ORÇAMENTO '!$F$20:$M$847,5,FALSE)=0,"",VLOOKUP($B142,'ORÇAMENTO '!$F$20:$M$847,5,FALSE)),"")</f>
        <v>14487.96</v>
      </c>
      <c r="F142" s="762" t="str">
        <f ca="1">IFERROR(IF(VLOOKUP($B142,'ORÇAMENTO '!$F$20:$M$847,4,FALSE)=0,"",VLOOKUP($B142,'ORÇAMENTO '!$F$20:$M$847,4,FALSE)),"")</f>
        <v>TXKM</v>
      </c>
    </row>
    <row r="143" spans="2:6" s="58" customFormat="1" ht="15">
      <c r="B143" s="834" t="str">
        <f>'ORÇAMENTO '!F148</f>
        <v/>
      </c>
      <c r="C143" s="835">
        <f ca="1">IFERROR(VLOOKUP($B143,'ORÇAMENTO '!$F$20:$M$847,3,FALSE),IF(CONCATENATE('ORÇAMENTO '!F148,'ORÇAMENTO '!G148,'ORÇAMENTO '!H148,'ORÇAMENTO '!I148,'ORÇAMENTO '!J148,'ORÇAMENTO '!K148,'ORÇAMENTO '!L148)='ORÇAMENTO '!H148,'ORÇAMENTO '!H148,""))</f>
        <v>0</v>
      </c>
      <c r="D143" s="762" t="str">
        <f ca="1">IFERROR(IF(VLOOKUP($B143,'ORÇAMENTO '!$F$20:$O$847,10,FALSE)=0,"",VLOOKUP($B143,'ORÇAMENTO '!$F$20:$O$847,10,FALSE)),"")</f>
        <v/>
      </c>
      <c r="E143" s="836" t="str">
        <f ca="1">IFERROR(IF(VLOOKUP($B143,'ORÇAMENTO '!$F$20:$M$847,5,FALSE)=0,"",VLOOKUP($B143,'ORÇAMENTO '!$F$20:$M$847,5,FALSE)),"")</f>
        <v/>
      </c>
      <c r="F143" s="762" t="str">
        <f ca="1">IFERROR(IF(VLOOKUP($B143,'ORÇAMENTO '!$F$20:$M$847,4,FALSE)=0,"",VLOOKUP($B143,'ORÇAMENTO '!$F$20:$M$847,4,FALSE)),"")</f>
        <v/>
      </c>
    </row>
    <row r="144" spans="2:6" s="58" customFormat="1" ht="15">
      <c r="B144" s="834" t="str">
        <f ca="1">'ORÇAMENTO '!F149</f>
        <v>8.0</v>
      </c>
      <c r="C144" s="835" t="str">
        <f ca="1">IFERROR(VLOOKUP($B144,'ORÇAMENTO '!$F$20:$M$847,3,FALSE),IF(CONCATENATE('ORÇAMENTO '!F149,'ORÇAMENTO '!G149,'ORÇAMENTO '!H149,'ORÇAMENTO '!I149,'ORÇAMENTO '!J149,'ORÇAMENTO '!K149,'ORÇAMENTO '!L149)='ORÇAMENTO '!H149,'ORÇAMENTO '!H149,""))</f>
        <v>L I G A Ç Õ E S  D O M I C I L I A R E S</v>
      </c>
      <c r="D144" s="762" t="str">
        <f ca="1">IFERROR(IF(VLOOKUP($B144,'ORÇAMENTO '!$F$20:$O$847,10,FALSE)=0,"",VLOOKUP($B144,'ORÇAMENTO '!$F$20:$O$847,10,FALSE)),"")</f>
        <v/>
      </c>
      <c r="E144" s="836" t="str">
        <f ca="1">IFERROR(IF(VLOOKUP($B144,'ORÇAMENTO '!$F$20:$M$847,5,FALSE)=0,"",VLOOKUP($B144,'ORÇAMENTO '!$F$20:$M$847,5,FALSE)),"")</f>
        <v/>
      </c>
      <c r="F144" s="762" t="str">
        <f ca="1">IFERROR(IF(VLOOKUP($B144,'ORÇAMENTO '!$F$20:$M$847,4,FALSE)=0,"",VLOOKUP($B144,'ORÇAMENTO '!$F$20:$M$847,4,FALSE)),"")</f>
        <v/>
      </c>
    </row>
    <row r="145" spans="2:6" s="58" customFormat="1" ht="30">
      <c r="B145" s="834" t="str">
        <f ca="1">'ORÇAMENTO '!F150</f>
        <v>8.1</v>
      </c>
      <c r="C145" s="835" t="str">
        <f ca="1">IFERROR(VLOOKUP($B145,'ORÇAMENTO '!$F$20:$M$847,3,FALSE),IF(CONCATENATE('ORÇAMENTO '!F150,'ORÇAMENTO '!G150,'ORÇAMENTO '!H150,'ORÇAMENTO '!I150,'ORÇAMENTO '!J150,'ORÇAMENTO '!K150,'ORÇAMENTO '!L150)='ORÇAMENTO '!H150,'ORÇAMENTO '!H150,""))</f>
        <v>ELABORAÇÃO DE CADASTRO LIGAÇÕES PREDIAIS, INCLUSIVE DESENHISTA</v>
      </c>
      <c r="D145" s="762" t="str">
        <f ca="1">IFERROR(IF(VLOOKUP($B145,'ORÇAMENTO '!$F$20:$O$847,10,FALSE)=0,"",VLOOKUP($B145,'ORÇAMENTO '!$F$20:$O$847,10,FALSE)),"")</f>
        <v>CONFORME PROJETO DE SANEAMENTO</v>
      </c>
      <c r="E145" s="836">
        <f ca="1">IFERROR(IF(VLOOKUP($B145,'ORÇAMENTO '!$F$20:$M$847,5,FALSE)=0,"",VLOOKUP($B145,'ORÇAMENTO '!$F$20:$M$847,5,FALSE)),"")</f>
        <v>478</v>
      </c>
      <c r="F145" s="762" t="str">
        <f ca="1">IFERROR(IF(VLOOKUP($B145,'ORÇAMENTO '!$F$20:$M$847,4,FALSE)=0,"",VLOOKUP($B145,'ORÇAMENTO '!$F$20:$M$847,4,FALSE)),"")</f>
        <v xml:space="preserve">UN </v>
      </c>
    </row>
    <row r="146" spans="2:6" s="58" customFormat="1" ht="30">
      <c r="B146" s="834" t="str">
        <f ca="1">'ORÇAMENTO '!F151</f>
        <v>8.2</v>
      </c>
      <c r="C146" s="835" t="str">
        <f ca="1">IFERROR(VLOOKUP($B146,'ORÇAMENTO '!$F$20:$M$847,3,FALSE),IF(CONCATENATE('ORÇAMENTO '!F151,'ORÇAMENTO '!G151,'ORÇAMENTO '!H151,'ORÇAMENTO '!I151,'ORÇAMENTO '!J151,'ORÇAMENTO '!K151,'ORÇAMENTO '!L151)='ORÇAMENTO '!H151,'ORÇAMENTO '!H151,""))</f>
        <v>RAMAL DE LIGAÇÃO DE ÁGUA (REDE DE DISTRIBUIÇÃO À FACHADA DO LOTE)</v>
      </c>
      <c r="D146" s="762" t="str">
        <f ca="1">IFERROR(IF(VLOOKUP($B146,'ORÇAMENTO '!$F$20:$O$847,10,FALSE)=0,"",VLOOKUP($B146,'ORÇAMENTO '!$F$20:$O$847,10,FALSE)),"")</f>
        <v>CONFORME PROJETO DE SANEAMENTO</v>
      </c>
      <c r="E146" s="836">
        <f ca="1">IFERROR(IF(VLOOKUP($B146,'ORÇAMENTO '!$F$20:$M$847,5,FALSE)=0,"",VLOOKUP($B146,'ORÇAMENTO '!$F$20:$M$847,5,FALSE)),"")</f>
        <v>478</v>
      </c>
      <c r="F146" s="762" t="str">
        <f ca="1">IFERROR(IF(VLOOKUP($B146,'ORÇAMENTO '!$F$20:$M$847,4,FALSE)=0,"",VLOOKUP($B146,'ORÇAMENTO '!$F$20:$M$847,4,FALSE)),"")</f>
        <v>UN</v>
      </c>
    </row>
    <row r="147" spans="2:6" s="58" customFormat="1" ht="75">
      <c r="B147" s="834" t="str">
        <f ca="1">'ORÇAMENTO '!F152</f>
        <v>8.3</v>
      </c>
      <c r="C147" s="835" t="str">
        <f ca="1">IFERROR(VLOOKUP($B147,'ORÇAMENTO '!$F$20:$M$847,3,FALSE),IF(CONCATENATE('ORÇAMENTO '!F152,'ORÇAMENTO '!G152,'ORÇAMENTO '!H152,'ORÇAMENTO '!I152,'ORÇAMENTO '!J152,'ORÇAMENTO '!K152,'ORÇAMENTO '!L152)='ORÇAMENTO '!H152,'ORÇAMENTO '!H152,""))</f>
        <v>KIT CAVALETE PARA MEDIÇÃO DE ÁGUA COM TUBETE - ENTRADA PRINCIPAL, EM PVC SOLDÁVEL DN 25 (¾")   FORNECIMENTO E INSTALAÇÃO (EXCLUSIVE HIDRÔMETRO). AF_11/2016</v>
      </c>
      <c r="D147" s="762" t="str">
        <f ca="1">IFERROR(IF(VLOOKUP($B147,'ORÇAMENTO '!$F$20:$O$847,10,FALSE)=0,"",VLOOKUP($B147,'ORÇAMENTO '!$F$20:$O$847,10,FALSE)),"")</f>
        <v>CONFORME PROJETO DE SANEAMENTO</v>
      </c>
      <c r="E147" s="836">
        <f ca="1">IFERROR(IF(VLOOKUP($B147,'ORÇAMENTO '!$F$20:$M$847,5,FALSE)=0,"",VLOOKUP($B147,'ORÇAMENTO '!$F$20:$M$847,5,FALSE)),"")</f>
        <v>478</v>
      </c>
      <c r="F147" s="762" t="str">
        <f ca="1">IFERROR(IF(VLOOKUP($B147,'ORÇAMENTO '!$F$20:$M$847,4,FALSE)=0,"",VLOOKUP($B147,'ORÇAMENTO '!$F$20:$M$847,4,FALSE)),"")</f>
        <v>UN</v>
      </c>
    </row>
    <row r="148" spans="2:6" s="58" customFormat="1" ht="30">
      <c r="B148" s="834" t="str">
        <f ca="1">'ORÇAMENTO '!F153</f>
        <v>8.4</v>
      </c>
      <c r="C148" s="835" t="str">
        <f ca="1">IFERROR(VLOOKUP($B148,'ORÇAMENTO '!$F$20:$M$847,3,FALSE),IF(CONCATENATE('ORÇAMENTO '!F153,'ORÇAMENTO '!G153,'ORÇAMENTO '!H153,'ORÇAMENTO '!I153,'ORÇAMENTO '!J153,'ORÇAMENTO '!K153,'ORÇAMENTO '!L153)='ORÇAMENTO '!H153,'ORÇAMENTO '!H153,""))</f>
        <v>HIDRÔMETRO DN 25 (¾ ), QMÁX 3,5 M³/H - FORNECIMENTO E INSTALAÇÃO</v>
      </c>
      <c r="D148" s="762" t="str">
        <f ca="1">IFERROR(IF(VLOOKUP($B148,'ORÇAMENTO '!$F$20:$O$847,10,FALSE)=0,"",VLOOKUP($B148,'ORÇAMENTO '!$F$20:$O$847,10,FALSE)),"")</f>
        <v>CONFORME PROJETO DE SANEAMENTO</v>
      </c>
      <c r="E148" s="836">
        <f ca="1">IFERROR(IF(VLOOKUP($B148,'ORÇAMENTO '!$F$20:$M$847,5,FALSE)=0,"",VLOOKUP($B148,'ORÇAMENTO '!$F$20:$M$847,5,FALSE)),"")</f>
        <v>478</v>
      </c>
      <c r="F148" s="762" t="str">
        <f ca="1">IFERROR(IF(VLOOKUP($B148,'ORÇAMENTO '!$F$20:$M$847,4,FALSE)=0,"",VLOOKUP($B148,'ORÇAMENTO '!$F$20:$M$847,4,FALSE)),"")</f>
        <v>UN</v>
      </c>
    </row>
    <row r="149" spans="2:6" s="58" customFormat="1" ht="15">
      <c r="B149" s="834" t="str">
        <f>'ORÇAMENTO '!F154</f>
        <v/>
      </c>
      <c r="C149" s="835">
        <f ca="1">IFERROR(VLOOKUP($B149,'ORÇAMENTO '!$F$20:$M$847,3,FALSE),IF(CONCATENATE('ORÇAMENTO '!F154,'ORÇAMENTO '!G154,'ORÇAMENTO '!H154,'ORÇAMENTO '!I154,'ORÇAMENTO '!J154,'ORÇAMENTO '!K154,'ORÇAMENTO '!L154)='ORÇAMENTO '!H154,'ORÇAMENTO '!H154,""))</f>
        <v>0</v>
      </c>
      <c r="D149" s="762" t="str">
        <f ca="1">IFERROR(IF(VLOOKUP($B149,'ORÇAMENTO '!$F$20:$O$847,10,FALSE)=0,"",VLOOKUP($B149,'ORÇAMENTO '!$F$20:$O$847,10,FALSE)),"")</f>
        <v/>
      </c>
      <c r="E149" s="836" t="str">
        <f ca="1">IFERROR(IF(VLOOKUP($B149,'ORÇAMENTO '!$F$20:$M$847,5,FALSE)=0,"",VLOOKUP($B149,'ORÇAMENTO '!$F$20:$M$847,5,FALSE)),"")</f>
        <v/>
      </c>
      <c r="F149" s="762" t="str">
        <f ca="1">IFERROR(IF(VLOOKUP($B149,'ORÇAMENTO '!$F$20:$M$847,4,FALSE)=0,"",VLOOKUP($B149,'ORÇAMENTO '!$F$20:$M$847,4,FALSE)),"")</f>
        <v/>
      </c>
    </row>
    <row r="150" spans="2:6" s="58" customFormat="1" ht="30">
      <c r="B150" s="834" t="str">
        <f ca="1">'ORÇAMENTO '!F155</f>
        <v>9.0</v>
      </c>
      <c r="C150" s="835" t="str">
        <f ca="1">IFERROR(VLOOKUP($B150,'ORÇAMENTO '!$F$20:$M$847,3,FALSE),IF(CONCATENATE('ORÇAMENTO '!F155,'ORÇAMENTO '!G155,'ORÇAMENTO '!H155,'ORÇAMENTO '!I155,'ORÇAMENTO '!J155,'ORÇAMENTO '!K155,'ORÇAMENTO '!L155)='ORÇAMENTO '!H155,'ORÇAMENTO '!H155,""))</f>
        <v>I N S T A L A Ç Õ E S  E L É T R I C A S - Á R E A  D O  R E S E R V A T Ó R I O</v>
      </c>
      <c r="D150" s="762" t="str">
        <f ca="1">IFERROR(IF(VLOOKUP($B150,'ORÇAMENTO '!$F$20:$O$847,10,FALSE)=0,"",VLOOKUP($B150,'ORÇAMENTO '!$F$20:$O$847,10,FALSE)),"")</f>
        <v/>
      </c>
      <c r="E150" s="836" t="str">
        <f ca="1">IFERROR(IF(VLOOKUP($B150,'ORÇAMENTO '!$F$20:$M$847,5,FALSE)=0,"",VLOOKUP($B150,'ORÇAMENTO '!$F$20:$M$847,5,FALSE)),"")</f>
        <v/>
      </c>
      <c r="F150" s="762" t="str">
        <f ca="1">IFERROR(IF(VLOOKUP($B150,'ORÇAMENTO '!$F$20:$M$847,4,FALSE)=0,"",VLOOKUP($B150,'ORÇAMENTO '!$F$20:$M$847,4,FALSE)),"")</f>
        <v/>
      </c>
    </row>
    <row r="151" spans="2:6" s="58" customFormat="1" ht="60">
      <c r="B151" s="834" t="str">
        <f ca="1">'ORÇAMENTO '!F156</f>
        <v>9.1</v>
      </c>
      <c r="C151" s="835" t="str">
        <f ca="1">IFERROR(VLOOKUP($B151,'ORÇAMENTO '!$F$20:$M$847,3,FALSE),IF(CONCATENATE('ORÇAMENTO '!F156,'ORÇAMENTO '!G156,'ORÇAMENTO '!H156,'ORÇAMENTO '!I156,'ORÇAMENTO '!J156,'ORÇAMENTO '!K156,'ORÇAMENTO '!L156)='ORÇAMENTO '!H156,'ORÇAMENTO '!H156,""))</f>
        <v>CABO DE COBRE FLEXÍVEL ISOLADO, 2,5 MM², ANTI-CHAMA 0,6/1,0 KV, PARA CIRCUITOS TERMINAIS - FORNECIMENTO E INSTALAÇÃO. AF_12/2015</v>
      </c>
      <c r="D151" s="762" t="str">
        <f ca="1">IFERROR(IF(VLOOKUP($B151,'ORÇAMENTO '!$F$20:$O$847,10,FALSE)=0,"",VLOOKUP($B151,'ORÇAMENTO '!$F$20:$O$847,10,FALSE)),"")</f>
        <v>CONFORME PROJETO ELÉTRICO</v>
      </c>
      <c r="E151" s="836">
        <f ca="1">IFERROR(IF(VLOOKUP($B151,'ORÇAMENTO '!$F$20:$M$847,5,FALSE)=0,"",VLOOKUP($B151,'ORÇAMENTO '!$F$20:$M$847,5,FALSE)),"")</f>
        <v>215</v>
      </c>
      <c r="F151" s="762" t="str">
        <f ca="1">IFERROR(IF(VLOOKUP($B151,'ORÇAMENTO '!$F$20:$M$847,4,FALSE)=0,"",VLOOKUP($B151,'ORÇAMENTO '!$F$20:$M$847,4,FALSE)),"")</f>
        <v>M</v>
      </c>
    </row>
    <row r="152" spans="2:6" s="58" customFormat="1" ht="60">
      <c r="B152" s="834" t="str">
        <f ca="1">'ORÇAMENTO '!F157</f>
        <v>9.2</v>
      </c>
      <c r="C152" s="835" t="str">
        <f ca="1">IFERROR(VLOOKUP($B152,'ORÇAMENTO '!$F$20:$M$847,3,FALSE),IF(CONCATENATE('ORÇAMENTO '!F157,'ORÇAMENTO '!G157,'ORÇAMENTO '!H157,'ORÇAMENTO '!I157,'ORÇAMENTO '!J157,'ORÇAMENTO '!K157,'ORÇAMENTO '!L157)='ORÇAMENTO '!H157,'ORÇAMENTO '!H157,""))</f>
        <v>CABO DE COBRE FLEXÍVEL ISOLADO, 6 MM², ANTI-CHAMA 0,6/1,0 KV, PARA CIRCUITOS TERMINAIS - FORNECIMENTO E INSTALAÇÃO. AF_12/2015</v>
      </c>
      <c r="D152" s="762" t="str">
        <f ca="1">IFERROR(IF(VLOOKUP($B152,'ORÇAMENTO '!$F$20:$O$847,10,FALSE)=0,"",VLOOKUP($B152,'ORÇAMENTO '!$F$20:$O$847,10,FALSE)),"")</f>
        <v>CONFORME PROJETO ELÉTRICO</v>
      </c>
      <c r="E152" s="836">
        <f ca="1">IFERROR(IF(VLOOKUP($B152,'ORÇAMENTO '!$F$20:$M$847,5,FALSE)=0,"",VLOOKUP($B152,'ORÇAMENTO '!$F$20:$M$847,5,FALSE)),"")</f>
        <v>15</v>
      </c>
      <c r="F152" s="762" t="str">
        <f ca="1">IFERROR(IF(VLOOKUP($B152,'ORÇAMENTO '!$F$20:$M$847,4,FALSE)=0,"",VLOOKUP($B152,'ORÇAMENTO '!$F$20:$M$847,4,FALSE)),"")</f>
        <v>M</v>
      </c>
    </row>
    <row r="153" spans="2:6" s="58" customFormat="1" ht="75">
      <c r="B153" s="834" t="str">
        <f ca="1">'ORÇAMENTO '!F158</f>
        <v>9.3</v>
      </c>
      <c r="C153" s="835" t="str">
        <f ca="1">IFERROR(VLOOKUP($B153,'ORÇAMENTO '!$F$20:$M$847,3,FALSE),IF(CONCATENATE('ORÇAMENTO '!F158,'ORÇAMENTO '!G158,'ORÇAMENTO '!H158,'ORÇAMENTO '!I158,'ORÇAMENTO '!J158,'ORÇAMENTO '!K158,'ORÇAMENTO '!L158)='ORÇAMENTO '!H158,'ORÇAMENTO '!H158,""))</f>
        <v>ELETRODUTO DE AÇO GALVANIZADO, CLASSE LEVE, DN 25 MM (1 ), APARENTE, INSTALADO EM
PAREDE - FORNECIMENTO E INSTALAÇÃO. AF_11/2016_P</v>
      </c>
      <c r="D153" s="762" t="str">
        <f ca="1">IFERROR(IF(VLOOKUP($B153,'ORÇAMENTO '!$F$20:$O$847,10,FALSE)=0,"",VLOOKUP($B153,'ORÇAMENTO '!$F$20:$O$847,10,FALSE)),"")</f>
        <v>CONFORME PROJETO ELÉTRICO</v>
      </c>
      <c r="E153" s="836">
        <f ca="1">IFERROR(IF(VLOOKUP($B153,'ORÇAMENTO '!$F$20:$M$847,5,FALSE)=0,"",VLOOKUP($B153,'ORÇAMENTO '!$F$20:$M$847,5,FALSE)),"")</f>
        <v>28</v>
      </c>
      <c r="F153" s="762" t="str">
        <f ca="1">IFERROR(IF(VLOOKUP($B153,'ORÇAMENTO '!$F$20:$M$847,4,FALSE)=0,"",VLOOKUP($B153,'ORÇAMENTO '!$F$20:$M$847,4,FALSE)),"")</f>
        <v xml:space="preserve">UN </v>
      </c>
    </row>
    <row r="154" spans="2:6" s="58" customFormat="1" ht="75">
      <c r="B154" s="834" t="str">
        <f ca="1">'ORÇAMENTO '!F159</f>
        <v>9.4</v>
      </c>
      <c r="C154" s="835" t="str">
        <f ca="1">IFERROR(VLOOKUP($B154,'ORÇAMENTO '!$F$20:$M$847,3,FALSE),IF(CONCATENATE('ORÇAMENTO '!F159,'ORÇAMENTO '!G159,'ORÇAMENTO '!H159,'ORÇAMENTO '!I159,'ORÇAMENTO '!J159,'ORÇAMENTO '!K159,'ORÇAMENTO '!L159)='ORÇAMENTO '!H159,'ORÇAMENTO '!H159,""))</f>
        <v>LUVA DE EMENDA PARA ELETRODUTO, AÇO GALVANIZADO, DN 25 MM (1''), APARENTE, INSTALADA EM PAREDE - FORNECIMENTO E INSTALAÇÃO. AF_11/2016_P</v>
      </c>
      <c r="D154" s="762" t="str">
        <f ca="1">IFERROR(IF(VLOOKUP($B154,'ORÇAMENTO '!$F$20:$O$847,10,FALSE)=0,"",VLOOKUP($B154,'ORÇAMENTO '!$F$20:$O$847,10,FALSE)),"")</f>
        <v>CONFORME PROJETO ELÉTRICO</v>
      </c>
      <c r="E154" s="836">
        <f ca="1">IFERROR(IF(VLOOKUP($B154,'ORÇAMENTO '!$F$20:$M$847,5,FALSE)=0,"",VLOOKUP($B154,'ORÇAMENTO '!$F$20:$M$847,5,FALSE)),"")</f>
        <v>10</v>
      </c>
      <c r="F154" s="762" t="str">
        <f ca="1">IFERROR(IF(VLOOKUP($B154,'ORÇAMENTO '!$F$20:$M$847,4,FALSE)=0,"",VLOOKUP($B154,'ORÇAMENTO '!$F$20:$M$847,4,FALSE)),"")</f>
        <v xml:space="preserve">UN </v>
      </c>
    </row>
    <row r="155" spans="2:6" s="58" customFormat="1" ht="60">
      <c r="B155" s="834" t="str">
        <f ca="1">'ORÇAMENTO '!F160</f>
        <v>9.5</v>
      </c>
      <c r="C155" s="835" t="str">
        <f ca="1">IFERROR(VLOOKUP($B155,'ORÇAMENTO '!$F$20:$M$847,3,FALSE),IF(CONCATENATE('ORÇAMENTO '!F160,'ORÇAMENTO '!G160,'ORÇAMENTO '!H160,'ORÇAMENTO '!I160,'ORÇAMENTO '!J160,'ORÇAMENTO '!K160,'ORÇAMENTO '!L160)='ORÇAMENTO '!H160,'ORÇAMENTO '!H160,""))</f>
        <v>RELÉ FOTOELÉTRICO PARA COMANDO DE ILUMINAÇÃO EXTERNA 1000 W - FORNECIMENTO E INSTALAÇÃO. AF_08/2020</v>
      </c>
      <c r="D155" s="762" t="str">
        <f ca="1">IFERROR(IF(VLOOKUP($B155,'ORÇAMENTO '!$F$20:$O$847,10,FALSE)=0,"",VLOOKUP($B155,'ORÇAMENTO '!$F$20:$O$847,10,FALSE)),"")</f>
        <v>CONFORME PROJETO ELÉTRICO</v>
      </c>
      <c r="E155" s="836">
        <f ca="1">IFERROR(IF(VLOOKUP($B155,'ORÇAMENTO '!$F$20:$M$847,5,FALSE)=0,"",VLOOKUP($B155,'ORÇAMENTO '!$F$20:$M$847,5,FALSE)),"")</f>
        <v>2</v>
      </c>
      <c r="F155" s="762" t="str">
        <f ca="1">IFERROR(IF(VLOOKUP($B155,'ORÇAMENTO '!$F$20:$M$847,4,FALSE)=0,"",VLOOKUP($B155,'ORÇAMENTO '!$F$20:$M$847,4,FALSE)),"")</f>
        <v>UN</v>
      </c>
    </row>
    <row r="156" spans="2:6" s="58" customFormat="1" ht="60">
      <c r="B156" s="834" t="str">
        <f ca="1">'ORÇAMENTO '!F161</f>
        <v>9.6</v>
      </c>
      <c r="C156" s="835" t="str">
        <f ca="1">IFERROR(VLOOKUP($B156,'ORÇAMENTO '!$F$20:$M$847,3,FALSE),IF(CONCATENATE('ORÇAMENTO '!F161,'ORÇAMENTO '!G161,'ORÇAMENTO '!H161,'ORÇAMENTO '!I161,'ORÇAMENTO '!J161,'ORÇAMENTO '!K161,'ORÇAMENTO '!L161)='ORÇAMENTO '!H161,'ORÇAMENTO '!H161,""))</f>
        <v>QUADRO DE DISTRIBUIÇÃO DE ENERGIA EM PVC, DE EMBUTIR, SEM BARRAMENTO, PARA 6 DISJUNTORES - FORNECIMENTO E INSTALAÇÃO. AF_10/2020</v>
      </c>
      <c r="D156" s="762" t="str">
        <f ca="1">IFERROR(IF(VLOOKUP($B156,'ORÇAMENTO '!$F$20:$O$847,10,FALSE)=0,"",VLOOKUP($B156,'ORÇAMENTO '!$F$20:$O$847,10,FALSE)),"")</f>
        <v>CONFORME PROJETO ELÉTRICO</v>
      </c>
      <c r="E156" s="836">
        <f ca="1">IFERROR(IF(VLOOKUP($B156,'ORÇAMENTO '!$F$20:$M$847,5,FALSE)=0,"",VLOOKUP($B156,'ORÇAMENTO '!$F$20:$M$847,5,FALSE)),"")</f>
        <v>1</v>
      </c>
      <c r="F156" s="762" t="str">
        <f ca="1">IFERROR(IF(VLOOKUP($B156,'ORÇAMENTO '!$F$20:$M$847,4,FALSE)=0,"",VLOOKUP($B156,'ORÇAMENTO '!$F$20:$M$847,4,FALSE)),"")</f>
        <v>UN</v>
      </c>
    </row>
    <row r="157" spans="2:6" s="58" customFormat="1" ht="30">
      <c r="B157" s="834" t="str">
        <f ca="1">'ORÇAMENTO '!F162</f>
        <v>9.7</v>
      </c>
      <c r="C157" s="835" t="str">
        <f ca="1">IFERROR(VLOOKUP($B157,'ORÇAMENTO '!$F$20:$M$847,3,FALSE),IF(CONCATENATE('ORÇAMENTO '!F162,'ORÇAMENTO '!G162,'ORÇAMENTO '!H162,'ORÇAMENTO '!I162,'ORÇAMENTO '!J162,'ORÇAMENTO '!K162,'ORÇAMENTO '!L162)='ORÇAMENTO '!H162,'ORÇAMENTO '!H162,""))</f>
        <v>INSTALAÇÃO DE SINALIZADOR NOTURNO LED. AF_11/2017</v>
      </c>
      <c r="D157" s="762" t="str">
        <f ca="1">IFERROR(IF(VLOOKUP($B157,'ORÇAMENTO '!$F$20:$O$847,10,FALSE)=0,"",VLOOKUP($B157,'ORÇAMENTO '!$F$20:$O$847,10,FALSE)),"")</f>
        <v>CONFORME PROJETO ELÉTRICO</v>
      </c>
      <c r="E157" s="836">
        <f ca="1">IFERROR(IF(VLOOKUP($B157,'ORÇAMENTO '!$F$20:$M$847,5,FALSE)=0,"",VLOOKUP($B157,'ORÇAMENTO '!$F$20:$M$847,5,FALSE)),"")</f>
        <v>1</v>
      </c>
      <c r="F157" s="762" t="str">
        <f ca="1">IFERROR(IF(VLOOKUP($B157,'ORÇAMENTO '!$F$20:$M$847,4,FALSE)=0,"",VLOOKUP($B157,'ORÇAMENTO '!$F$20:$M$847,4,FALSE)),"")</f>
        <v>UN</v>
      </c>
    </row>
    <row r="158" spans="2:6" s="58" customFormat="1" ht="75">
      <c r="B158" s="834" t="str">
        <f ca="1">'ORÇAMENTO '!F163</f>
        <v>9.8</v>
      </c>
      <c r="C158" s="835" t="str">
        <f ca="1">IFERROR(VLOOKUP($B158,'ORÇAMENTO '!$F$20:$M$847,3,FALSE),IF(CONCATENATE('ORÇAMENTO '!F163,'ORÇAMENTO '!G163,'ORÇAMENTO '!H163,'ORÇAMENTO '!I163,'ORÇAMENTO '!J163,'ORÇAMENTO '!K163,'ORÇAMENTO '!L163)='ORÇAMENTO '!H163,'ORÇAMENTO '!H163,""))</f>
        <v>BRAÇO PARA ILUMINAÇÃO PÚBLICA, EM TUBO DE AÇO GALVANIZADO, COMPRIMENTO DE 1,50 M, PARA FIXAÇÃO EM POSTE METÁLICO - FORNECIMENTO E INSTALAÇÃO. AF_08/2020</v>
      </c>
      <c r="D158" s="762" t="str">
        <f ca="1">IFERROR(IF(VLOOKUP($B158,'ORÇAMENTO '!$F$20:$O$847,10,FALSE)=0,"",VLOOKUP($B158,'ORÇAMENTO '!$F$20:$O$847,10,FALSE)),"")</f>
        <v>CONFORME PROJETO ELÉTRICO</v>
      </c>
      <c r="E158" s="836">
        <f ca="1">IFERROR(IF(VLOOKUP($B158,'ORÇAMENTO '!$F$20:$M$847,5,FALSE)=0,"",VLOOKUP($B158,'ORÇAMENTO '!$F$20:$M$847,5,FALSE)),"")</f>
        <v>1</v>
      </c>
      <c r="F158" s="762" t="str">
        <f ca="1">IFERROR(IF(VLOOKUP($B158,'ORÇAMENTO '!$F$20:$M$847,4,FALSE)=0,"",VLOOKUP($B158,'ORÇAMENTO '!$F$20:$M$847,4,FALSE)),"")</f>
        <v>UN</v>
      </c>
    </row>
    <row r="159" spans="2:6" s="58" customFormat="1" ht="60">
      <c r="B159" s="834" t="str">
        <f ca="1">'ORÇAMENTO '!F164</f>
        <v>9.9</v>
      </c>
      <c r="C159" s="835" t="str">
        <f ca="1">IFERROR(VLOOKUP($B159,'ORÇAMENTO '!$F$20:$M$847,3,FALSE),IF(CONCATENATE('ORÇAMENTO '!F164,'ORÇAMENTO '!G164,'ORÇAMENTO '!H164,'ORÇAMENTO '!I164,'ORÇAMENTO '!J164,'ORÇAMENTO '!K164,'ORÇAMENTO '!L164)='ORÇAMENTO '!H164,'ORÇAMENTO '!H164,""))</f>
        <v>LUMINÁRIA DE LED PARA ILUMINAÇÃO PÚBLICA, DE 181 W ATÉ 239 W - FORNECIMENTO E INSTALAÇÃO. AF_08/2020</v>
      </c>
      <c r="D159" s="762" t="str">
        <f ca="1">IFERROR(IF(VLOOKUP($B159,'ORÇAMENTO '!$F$20:$O$847,10,FALSE)=0,"",VLOOKUP($B159,'ORÇAMENTO '!$F$20:$O$847,10,FALSE)),"")</f>
        <v>CONFORME PROJETO ELÉTRICO</v>
      </c>
      <c r="E159" s="836">
        <f ca="1">IFERROR(IF(VLOOKUP($B159,'ORÇAMENTO '!$F$20:$M$847,5,FALSE)=0,"",VLOOKUP($B159,'ORÇAMENTO '!$F$20:$M$847,5,FALSE)),"")</f>
        <v>1</v>
      </c>
      <c r="F159" s="762" t="str">
        <f ca="1">IFERROR(IF(VLOOKUP($B159,'ORÇAMENTO '!$F$20:$M$847,4,FALSE)=0,"",VLOOKUP($B159,'ORÇAMENTO '!$F$20:$M$847,4,FALSE)),"")</f>
        <v>UN</v>
      </c>
    </row>
    <row r="160" spans="2:6" s="58" customFormat="1" ht="75">
      <c r="B160" s="834" t="str">
        <f ca="1">'ORÇAMENTO '!F165</f>
        <v>9.10</v>
      </c>
      <c r="C160" s="835" t="str">
        <f ca="1">IFERROR(VLOOKUP($B160,'ORÇAMENTO '!$F$20:$M$847,3,FALSE),IF(CONCATENATE('ORÇAMENTO '!F165,'ORÇAMENTO '!G165,'ORÇAMENTO '!H165,'ORÇAMENTO '!I165,'ORÇAMENTO '!J165,'ORÇAMENTO '!K165,'ORÇAMENTO '!L165)='ORÇAMENTO '!H165,'ORÇAMENTO '!H165,""))</f>
        <v>ELETRODUTO FLEXÍVEL CORRUGADO, PEAD, DN 50 (1 1/2"), PARA REDE ENTERRADA DE DISTRIBUIÇÃO DE ENERGIA ELÉTRICA - FORNECIMENTO E INSTALAÇÃO. AF_12/2021</v>
      </c>
      <c r="D160" s="762" t="str">
        <f ca="1">IFERROR(IF(VLOOKUP($B160,'ORÇAMENTO '!$F$20:$O$847,10,FALSE)=0,"",VLOOKUP($B160,'ORÇAMENTO '!$F$20:$O$847,10,FALSE)),"")</f>
        <v>CONFORME PROJETO ELÉTRICO</v>
      </c>
      <c r="E160" s="836">
        <f ca="1">IFERROR(IF(VLOOKUP($B160,'ORÇAMENTO '!$F$20:$M$847,5,FALSE)=0,"",VLOOKUP($B160,'ORÇAMENTO '!$F$20:$M$847,5,FALSE)),"")</f>
        <v>40</v>
      </c>
      <c r="F160" s="762" t="str">
        <f ca="1">IFERROR(IF(VLOOKUP($B160,'ORÇAMENTO '!$F$20:$M$847,4,FALSE)=0,"",VLOOKUP($B160,'ORÇAMENTO '!$F$20:$M$847,4,FALSE)),"")</f>
        <v>M</v>
      </c>
    </row>
    <row r="161" spans="2:6" s="58" customFormat="1" ht="75">
      <c r="B161" s="834" t="str">
        <f ca="1">'ORÇAMENTO '!F166</f>
        <v>9.11</v>
      </c>
      <c r="C161" s="835" t="str">
        <f ca="1">IFERROR(VLOOKUP($B161,'ORÇAMENTO '!$F$20:$M$847,3,FALSE),IF(CONCATENATE('ORÇAMENTO '!F166,'ORÇAMENTO '!G166,'ORÇAMENTO '!H166,'ORÇAMENTO '!I166,'ORÇAMENTO '!J166,'ORÇAMENTO '!K166,'ORÇAMENTO '!L166)='ORÇAMENTO '!H166,'ORÇAMENTO '!H166,""))</f>
        <v>CAIXA ENTERRADA ELÉTRICA RETANGULAR, EM ALVENARIA COM TIJOLOS CERÂMICOS MACIÇOS, FUNDO COM BRITA, DIMENSÕES INTERNAS: 0,4X0,4X0,4 M. AF_12/2020</v>
      </c>
      <c r="D161" s="762" t="str">
        <f ca="1">IFERROR(IF(VLOOKUP($B161,'ORÇAMENTO '!$F$20:$O$847,10,FALSE)=0,"",VLOOKUP($B161,'ORÇAMENTO '!$F$20:$O$847,10,FALSE)),"")</f>
        <v>CONFORME PROJETO ELÉTRICO</v>
      </c>
      <c r="E161" s="836">
        <f ca="1">IFERROR(IF(VLOOKUP($B161,'ORÇAMENTO '!$F$20:$M$847,5,FALSE)=0,"",VLOOKUP($B161,'ORÇAMENTO '!$F$20:$M$847,5,FALSE)),"")</f>
        <v>3</v>
      </c>
      <c r="F161" s="762" t="str">
        <f ca="1">IFERROR(IF(VLOOKUP($B161,'ORÇAMENTO '!$F$20:$M$847,4,FALSE)=0,"",VLOOKUP($B161,'ORÇAMENTO '!$F$20:$M$847,4,FALSE)),"")</f>
        <v>UN</v>
      </c>
    </row>
    <row r="162" spans="2:6" s="58" customFormat="1" ht="45">
      <c r="B162" s="834" t="str">
        <f ca="1">'ORÇAMENTO '!F167</f>
        <v>9.12</v>
      </c>
      <c r="C162" s="835" t="str">
        <f ca="1">IFERROR(VLOOKUP($B162,'ORÇAMENTO '!$F$20:$M$847,3,FALSE),IF(CONCATENATE('ORÇAMENTO '!F167,'ORÇAMENTO '!G167,'ORÇAMENTO '!H167,'ORÇAMENTO '!I167,'ORÇAMENTO '!J167,'ORÇAMENTO '!K167,'ORÇAMENTO '!L167)='ORÇAMENTO '!H167,'ORÇAMENTO '!H167,""))</f>
        <v>HASTE DE ATERRAMENTO 5/8  PARA SPDA - FORNECIMENTO E INSTALAÇÃO. AF_12/2017</v>
      </c>
      <c r="D162" s="762" t="str">
        <f ca="1">IFERROR(IF(VLOOKUP($B162,'ORÇAMENTO '!$F$20:$O$847,10,FALSE)=0,"",VLOOKUP($B162,'ORÇAMENTO '!$F$20:$O$847,10,FALSE)),"")</f>
        <v>CONFORME PROJETO ELÉTRICO</v>
      </c>
      <c r="E162" s="836">
        <f ca="1">IFERROR(IF(VLOOKUP($B162,'ORÇAMENTO '!$F$20:$M$847,5,FALSE)=0,"",VLOOKUP($B162,'ORÇAMENTO '!$F$20:$M$847,5,FALSE)),"")</f>
        <v>1</v>
      </c>
      <c r="F162" s="762" t="str">
        <f ca="1">IFERROR(IF(VLOOKUP($B162,'ORÇAMENTO '!$F$20:$M$847,4,FALSE)=0,"",VLOOKUP($B162,'ORÇAMENTO '!$F$20:$M$847,4,FALSE)),"")</f>
        <v>UN</v>
      </c>
    </row>
    <row r="163" spans="2:6" s="58" customFormat="1" ht="60">
      <c r="B163" s="834" t="str">
        <f ca="1">'ORÇAMENTO '!F168</f>
        <v>9.13</v>
      </c>
      <c r="C163" s="835" t="str">
        <f ca="1">IFERROR(VLOOKUP($B163,'ORÇAMENTO '!$F$20:$M$847,3,FALSE),IF(CONCATENATE('ORÇAMENTO '!F168,'ORÇAMENTO '!G168,'ORÇAMENTO '!H168,'ORÇAMENTO '!I168,'ORÇAMENTO '!J168,'ORÇAMENTO '!K168,'ORÇAMENTO '!L168)='ORÇAMENTO '!H168,'ORÇAMENTO '!H168,""))</f>
        <v>CAIXA DE INSPEÇÃO PARA ATERRAMENTO, CIRCULAR, EM POLIETILENO, DIÂMETRO INTERNO = 0,3 M. AF_12/2020</v>
      </c>
      <c r="D163" s="762" t="str">
        <f ca="1">IFERROR(IF(VLOOKUP($B163,'ORÇAMENTO '!$F$20:$O$847,10,FALSE)=0,"",VLOOKUP($B163,'ORÇAMENTO '!$F$20:$O$847,10,FALSE)),"")</f>
        <v>CONFORME PROJETO ELÉTRICO</v>
      </c>
      <c r="E163" s="836">
        <f ca="1">IFERROR(IF(VLOOKUP($B163,'ORÇAMENTO '!$F$20:$M$847,5,FALSE)=0,"",VLOOKUP($B163,'ORÇAMENTO '!$F$20:$M$847,5,FALSE)),"")</f>
        <v>1</v>
      </c>
      <c r="F163" s="762" t="str">
        <f ca="1">IFERROR(IF(VLOOKUP($B163,'ORÇAMENTO '!$F$20:$M$847,4,FALSE)=0,"",VLOOKUP($B163,'ORÇAMENTO '!$F$20:$M$847,4,FALSE)),"")</f>
        <v>UN</v>
      </c>
    </row>
    <row r="164" spans="2:6" s="58" customFormat="1" ht="45">
      <c r="B164" s="834" t="str">
        <f ca="1">'ORÇAMENTO '!F169</f>
        <v>9.14</v>
      </c>
      <c r="C164" s="835" t="str">
        <f ca="1">IFERROR(VLOOKUP($B164,'ORÇAMENTO '!$F$20:$M$847,3,FALSE),IF(CONCATENATE('ORÇAMENTO '!F169,'ORÇAMENTO '!G169,'ORÇAMENTO '!H169,'ORÇAMENTO '!I169,'ORÇAMENTO '!J169,'ORÇAMENTO '!K169,'ORÇAMENTO '!L169)='ORÇAMENTO '!H169,'ORÇAMENTO '!H169,""))</f>
        <v>FORNECIMENTO E INSTALAÇÃO DE CONECTOR EM LATÃO TIPO MINI-GAR PARA CABOS DE 16 A 50MM²</v>
      </c>
      <c r="D164" s="762" t="str">
        <f ca="1">IFERROR(IF(VLOOKUP($B164,'ORÇAMENTO '!$F$20:$O$847,10,FALSE)=0,"",VLOOKUP($B164,'ORÇAMENTO '!$F$20:$O$847,10,FALSE)),"")</f>
        <v>CONFORME PROJETO ELÉTRICO</v>
      </c>
      <c r="E164" s="836">
        <f ca="1">IFERROR(IF(VLOOKUP($B164,'ORÇAMENTO '!$F$20:$M$847,5,FALSE)=0,"",VLOOKUP($B164,'ORÇAMENTO '!$F$20:$M$847,5,FALSE)),"")</f>
        <v>2</v>
      </c>
      <c r="F164" s="762" t="str">
        <f ca="1">IFERROR(IF(VLOOKUP($B164,'ORÇAMENTO '!$F$20:$M$847,4,FALSE)=0,"",VLOOKUP($B164,'ORÇAMENTO '!$F$20:$M$847,4,FALSE)),"")</f>
        <v>UN</v>
      </c>
    </row>
    <row r="165" spans="2:6" s="58" customFormat="1" ht="15">
      <c r="B165" s="834" t="str">
        <f>'ORÇAMENTO '!F170</f>
        <v/>
      </c>
      <c r="C165" s="835" t="str">
        <f>'ORÇAMENTO '!H170</f>
        <v xml:space="preserve">COMPOSIÇÕES ELÉTRICA </v>
      </c>
      <c r="D165" s="762" t="str">
        <f ca="1">IFERROR(IF(VLOOKUP($B165,'ORÇAMENTO '!$F$20:$O$847,10,FALSE)=0,"",VLOOKUP($B165,'ORÇAMENTO '!$F$20:$O$847,10,FALSE)),"")</f>
        <v/>
      </c>
      <c r="E165" s="836" t="str">
        <f ca="1">IFERROR(IF(VLOOKUP($B165,'ORÇAMENTO '!$F$20:$M$847,5,FALSE)=0,"",VLOOKUP($B165,'ORÇAMENTO '!$F$20:$M$847,5,FALSE)),"")</f>
        <v/>
      </c>
      <c r="F165" s="762" t="str">
        <f ca="1">IFERROR(IF(VLOOKUP($B165,'ORÇAMENTO '!$F$20:$M$847,4,FALSE)=0,"",VLOOKUP($B165,'ORÇAMENTO '!$F$20:$M$847,4,FALSE)),"")</f>
        <v/>
      </c>
    </row>
    <row r="166" spans="2:6" s="58" customFormat="1" ht="60">
      <c r="B166" s="834" t="str">
        <f ca="1">'ORÇAMENTO '!F171</f>
        <v>9.15</v>
      </c>
      <c r="C166" s="835" t="str">
        <f ca="1">IFERROR(VLOOKUP($B166,'ORÇAMENTO '!$F$20:$M$847,3,FALSE),IF(CONCATENATE('ORÇAMENTO '!F171,'ORÇAMENTO '!G171,'ORÇAMENTO '!H171,'ORÇAMENTO '!I171,'ORÇAMENTO '!J171,'ORÇAMENTO '!K171,'ORÇAMENTO '!L171)='ORÇAMENTO '!H171,'ORÇAMENTO '!H171,""))</f>
        <v>FORNECIMENTO E INSTALAÇÃO DE DISPOSITIVO DPS CLASSE II, 1 POLO, TENSAO MAXIMA DE 175 V, CORRENTE MAXIMA DE *45* KA (TIPO AC)</v>
      </c>
      <c r="D166" s="762" t="str">
        <f ca="1">IFERROR(IF(VLOOKUP($B166,'ORÇAMENTO '!$F$20:$O$847,10,FALSE)=0,"",VLOOKUP($B166,'ORÇAMENTO '!$F$20:$O$847,10,FALSE)),"")</f>
        <v>CONFORME PROJETO ELÉTRICO</v>
      </c>
      <c r="E166" s="836">
        <f ca="1">IFERROR(IF(VLOOKUP($B166,'ORÇAMENTO '!$F$20:$M$847,5,FALSE)=0,"",VLOOKUP($B166,'ORÇAMENTO '!$F$20:$M$847,5,FALSE)),"")</f>
        <v>2</v>
      </c>
      <c r="F166" s="762" t="str">
        <f ca="1">IFERROR(IF(VLOOKUP($B166,'ORÇAMENTO '!$F$20:$M$847,4,FALSE)=0,"",VLOOKUP($B166,'ORÇAMENTO '!$F$20:$M$847,4,FALSE)),"")</f>
        <v>UN</v>
      </c>
    </row>
    <row r="167" spans="2:6" s="58" customFormat="1" ht="30">
      <c r="B167" s="834" t="str">
        <f ca="1">'ORÇAMENTO '!F172</f>
        <v>9.16</v>
      </c>
      <c r="C167" s="835" t="str">
        <f ca="1">IFERROR(VLOOKUP($B167,'ORÇAMENTO '!$F$20:$M$847,3,FALSE),IF(CONCATENATE('ORÇAMENTO '!F172,'ORÇAMENTO '!G172,'ORÇAMENTO '!H172,'ORÇAMENTO '!I172,'ORÇAMENTO '!J172,'ORÇAMENTO '!K172,'ORÇAMENTO '!L172)='ORÇAMENTO '!H172,'ORÇAMENTO '!H172,""))</f>
        <v>FORNECIMENTO E INSTALAÇÃO DE PLACA DE SINALIZAÇÃO DE ENERGIA (20X20CM)</v>
      </c>
      <c r="D167" s="762" t="str">
        <f ca="1">IFERROR(IF(VLOOKUP($B167,'ORÇAMENTO '!$F$20:$O$847,10,FALSE)=0,"",VLOOKUP($B167,'ORÇAMENTO '!$F$20:$O$847,10,FALSE)),"")</f>
        <v>CONFORME PROJETO ELÉTRICO</v>
      </c>
      <c r="E167" s="836">
        <f ca="1">IFERROR(IF(VLOOKUP($B167,'ORÇAMENTO '!$F$20:$M$847,5,FALSE)=0,"",VLOOKUP($B167,'ORÇAMENTO '!$F$20:$M$847,5,FALSE)),"")</f>
        <v>1</v>
      </c>
      <c r="F167" s="762" t="str">
        <f ca="1">IFERROR(IF(VLOOKUP($B167,'ORÇAMENTO '!$F$20:$M$847,4,FALSE)=0,"",VLOOKUP($B167,'ORÇAMENTO '!$F$20:$M$847,4,FALSE)),"")</f>
        <v>UN</v>
      </c>
    </row>
    <row r="168" spans="2:6" s="58" customFormat="1" ht="60">
      <c r="B168" s="834" t="str">
        <f ca="1">'ORÇAMENTO '!F173</f>
        <v>9.17</v>
      </c>
      <c r="C168" s="835" t="str">
        <f ca="1">IFERROR(VLOOKUP($B168,'ORÇAMENTO '!$F$20:$M$847,3,FALSE),IF(CONCATENATE('ORÇAMENTO '!F173,'ORÇAMENTO '!G173,'ORÇAMENTO '!H173,'ORÇAMENTO '!I173,'ORÇAMENTO '!J173,'ORÇAMENTO '!K173,'ORÇAMENTO '!L173)='ORÇAMENTO '!H173,'ORÇAMENTO '!H173,""))</f>
        <v>POSTE DE AÇO CONICO CONTÍNUO CURVO SIMPLES, FLANGEADO, H=9M, INVOLUCRO EM ALUMINIO OU ACO INOX - FORNECIMENTO E INSTALAÇÃO</v>
      </c>
      <c r="D168" s="762" t="str">
        <f ca="1">IFERROR(IF(VLOOKUP($B168,'ORÇAMENTO '!$F$20:$O$847,10,FALSE)=0,"",VLOOKUP($B168,'ORÇAMENTO '!$F$20:$O$847,10,FALSE)),"")</f>
        <v>CONFORME PROJETO ELÉTRICO</v>
      </c>
      <c r="E168" s="836">
        <f ca="1">IFERROR(IF(VLOOKUP($B168,'ORÇAMENTO '!$F$20:$M$847,5,FALSE)=0,"",VLOOKUP($B168,'ORÇAMENTO '!$F$20:$M$847,5,FALSE)),"")</f>
        <v>1</v>
      </c>
      <c r="F168" s="762" t="str">
        <f ca="1">IFERROR(IF(VLOOKUP($B168,'ORÇAMENTO '!$F$20:$M$847,4,FALSE)=0,"",VLOOKUP($B168,'ORÇAMENTO '!$F$20:$M$847,4,FALSE)),"")</f>
        <v xml:space="preserve">UN    </v>
      </c>
    </row>
    <row r="169" spans="2:6" s="58" customFormat="1" ht="45">
      <c r="B169" s="834" t="str">
        <f ca="1">'ORÇAMENTO '!F174</f>
        <v>9.18</v>
      </c>
      <c r="C169" s="835" t="str">
        <f ca="1">IFERROR(VLOOKUP($B169,'ORÇAMENTO '!$F$20:$M$847,3,FALSE),IF(CONCATENATE('ORÇAMENTO '!F174,'ORÇAMENTO '!G174,'ORÇAMENTO '!H174,'ORÇAMENTO '!I174,'ORÇAMENTO '!J174,'ORÇAMENTO '!K174,'ORÇAMENTO '!L174)='ORÇAMENTO '!H174,'ORÇAMENTO '!H174,""))</f>
        <v>FORNECIMENTO E INSTALAÇAO DE PADRÃO DE ENTRADA DE ENERGIA CATEGORIA "M1" (ENERGISA)</v>
      </c>
      <c r="D169" s="762" t="str">
        <f ca="1">IFERROR(IF(VLOOKUP($B169,'ORÇAMENTO '!$F$20:$O$847,10,FALSE)=0,"",VLOOKUP($B169,'ORÇAMENTO '!$F$20:$O$847,10,FALSE)),"")</f>
        <v>CONFORME PROJETO ELÉTRICO</v>
      </c>
      <c r="E169" s="836">
        <f ca="1">IFERROR(IF(VLOOKUP($B169,'ORÇAMENTO '!$F$20:$M$847,5,FALSE)=0,"",VLOOKUP($B169,'ORÇAMENTO '!$F$20:$M$847,5,FALSE)),"")</f>
        <v>1</v>
      </c>
      <c r="F169" s="762" t="str">
        <f ca="1">IFERROR(IF(VLOOKUP($B169,'ORÇAMENTO '!$F$20:$M$847,4,FALSE)=0,"",VLOOKUP($B169,'ORÇAMENTO '!$F$20:$M$847,4,FALSE)),"")</f>
        <v>UN</v>
      </c>
    </row>
    <row r="170" spans="2:6" s="58" customFormat="1" ht="15">
      <c r="B170" s="834" t="str">
        <f>'ORÇAMENTO '!F175</f>
        <v/>
      </c>
      <c r="C170" s="835">
        <f ca="1">IFERROR(VLOOKUP($B170,'ORÇAMENTO '!$F$20:$M$847,3,FALSE),IF(CONCATENATE('ORÇAMENTO '!F175,'ORÇAMENTO '!G175,'ORÇAMENTO '!H175,'ORÇAMENTO '!I175,'ORÇAMENTO '!J175,'ORÇAMENTO '!K175,'ORÇAMENTO '!L175)='ORÇAMENTO '!H175,'ORÇAMENTO '!H175,""))</f>
        <v>0</v>
      </c>
      <c r="D170" s="762" t="str">
        <f ca="1">IFERROR(IF(VLOOKUP($B170,'ORÇAMENTO '!$F$20:$O$847,10,FALSE)=0,"",VLOOKUP($B170,'ORÇAMENTO '!$F$20:$O$847,10,FALSE)),"")</f>
        <v/>
      </c>
      <c r="E170" s="836" t="str">
        <f ca="1">IFERROR(IF(VLOOKUP($B170,'ORÇAMENTO '!$F$20:$M$847,5,FALSE)=0,"",VLOOKUP($B170,'ORÇAMENTO '!$F$20:$M$847,5,FALSE)),"")</f>
        <v/>
      </c>
      <c r="F170" s="762" t="str">
        <f ca="1">IFERROR(IF(VLOOKUP($B170,'ORÇAMENTO '!$F$20:$M$847,4,FALSE)=0,"",VLOOKUP($B170,'ORÇAMENTO '!$F$20:$M$847,4,FALSE)),"")</f>
        <v/>
      </c>
    </row>
    <row r="171" spans="2:6" s="58" customFormat="1" ht="15">
      <c r="B171" s="834" t="str">
        <f ca="1">'ORÇAMENTO '!F176</f>
        <v>10.0</v>
      </c>
      <c r="C171" s="835" t="str">
        <f ca="1">IFERROR(VLOOKUP($B171,'ORÇAMENTO '!$F$20:$M$847,3,FALSE),IF(CONCATENATE('ORÇAMENTO '!F176,'ORÇAMENTO '!G176,'ORÇAMENTO '!H176,'ORÇAMENTO '!I176,'ORÇAMENTO '!J176,'ORÇAMENTO '!K176,'ORÇAMENTO '!L176)='ORÇAMENTO '!H176,'ORÇAMENTO '!H176,""))</f>
        <v>S P D A  - R E S E R V A T Ó R I O</v>
      </c>
      <c r="D171" s="762" t="str">
        <f ca="1">IFERROR(IF(VLOOKUP($B171,'ORÇAMENTO '!$F$20:$O$847,10,FALSE)=0,"",VLOOKUP($B171,'ORÇAMENTO '!$F$20:$O$847,10,FALSE)),"")</f>
        <v/>
      </c>
      <c r="E171" s="836" t="str">
        <f ca="1">IFERROR(IF(VLOOKUP($B171,'ORÇAMENTO '!$F$20:$M$847,5,FALSE)=0,"",VLOOKUP($B171,'ORÇAMENTO '!$F$20:$M$847,5,FALSE)),"")</f>
        <v/>
      </c>
      <c r="F171" s="762" t="str">
        <f ca="1">IFERROR(IF(VLOOKUP($B171,'ORÇAMENTO '!$F$20:$M$847,4,FALSE)=0,"",VLOOKUP($B171,'ORÇAMENTO '!$F$20:$M$847,4,FALSE)),"")</f>
        <v/>
      </c>
    </row>
    <row r="172" spans="2:6" s="58" customFormat="1" ht="45">
      <c r="B172" s="834" t="str">
        <f ca="1">'ORÇAMENTO '!F177</f>
        <v>10.1</v>
      </c>
      <c r="C172" s="835" t="str">
        <f ca="1">IFERROR(VLOOKUP($B172,'ORÇAMENTO '!$F$20:$M$847,3,FALSE),IF(CONCATENATE('ORÇAMENTO '!F177,'ORÇAMENTO '!G177,'ORÇAMENTO '!H177,'ORÇAMENTO '!I177,'ORÇAMENTO '!J177,'ORÇAMENTO '!K177,'ORÇAMENTO '!L177)='ORÇAMENTO '!H177,'ORÇAMENTO '!H177,""))</f>
        <v>CAPTOR TIPO FRANKLIN PARA SPDA - FORNECIMENTO E INSTALAÇÃO. AF_12/2017</v>
      </c>
      <c r="D172" s="762" t="str">
        <f ca="1">IFERROR(IF(VLOOKUP($B172,'ORÇAMENTO '!$F$20:$O$847,10,FALSE)=0,"",VLOOKUP($B172,'ORÇAMENTO '!$F$20:$O$847,10,FALSE)),"")</f>
        <v>CONFORME PROJETO SPDA</v>
      </c>
      <c r="E172" s="836">
        <f ca="1">IFERROR(IF(VLOOKUP($B172,'ORÇAMENTO '!$F$20:$M$847,5,FALSE)=0,"",VLOOKUP($B172,'ORÇAMENTO '!$F$20:$M$847,5,FALSE)),"")</f>
        <v>10</v>
      </c>
      <c r="F172" s="762" t="str">
        <f ca="1">IFERROR(IF(VLOOKUP($B172,'ORÇAMENTO '!$F$20:$M$847,4,FALSE)=0,"",VLOOKUP($B172,'ORÇAMENTO '!$F$20:$M$847,4,FALSE)),"")</f>
        <v>UN</v>
      </c>
    </row>
    <row r="173" spans="2:6" s="58" customFormat="1" ht="60">
      <c r="B173" s="834" t="str">
        <f ca="1">'ORÇAMENTO '!F178</f>
        <v>10.2</v>
      </c>
      <c r="C173" s="835" t="str">
        <f ca="1">IFERROR(VLOOKUP($B173,'ORÇAMENTO '!$F$20:$M$847,3,FALSE),IF(CONCATENATE('ORÇAMENTO '!F178,'ORÇAMENTO '!G178,'ORÇAMENTO '!H178,'ORÇAMENTO '!I178,'ORÇAMENTO '!J178,'ORÇAMENTO '!K178,'ORÇAMENTO '!L178)='ORÇAMENTO '!H178,'ORÇAMENTO '!H178,""))</f>
        <v>ELETRODUTO RÍGIDO ROSCÁVEL, PVC, DN 32 MM (1"), PARA CIRCUITOS TERMINAIS, INSTALADO EM PAREDE - FORNECIMENTO E INSTALAÇÃO. AF_12/2015</v>
      </c>
      <c r="D173" s="762" t="str">
        <f ca="1">IFERROR(IF(VLOOKUP($B173,'ORÇAMENTO '!$F$20:$O$847,10,FALSE)=0,"",VLOOKUP($B173,'ORÇAMENTO '!$F$20:$O$847,10,FALSE)),"")</f>
        <v>CONFORME PROJETO SPDA</v>
      </c>
      <c r="E173" s="836">
        <f ca="1">IFERROR(IF(VLOOKUP($B173,'ORÇAMENTO '!$F$20:$M$847,5,FALSE)=0,"",VLOOKUP($B173,'ORÇAMENTO '!$F$20:$M$847,5,FALSE)),"")</f>
        <v>3</v>
      </c>
      <c r="F173" s="762" t="str">
        <f ca="1">IFERROR(IF(VLOOKUP($B173,'ORÇAMENTO '!$F$20:$M$847,4,FALSE)=0,"",VLOOKUP($B173,'ORÇAMENTO '!$F$20:$M$847,4,FALSE)),"")</f>
        <v>M</v>
      </c>
    </row>
    <row r="174" spans="2:6" s="58" customFormat="1" ht="45">
      <c r="B174" s="834" t="str">
        <f ca="1">'ORÇAMENTO '!F179</f>
        <v>10.3</v>
      </c>
      <c r="C174" s="835" t="str">
        <f ca="1">IFERROR(VLOOKUP($B174,'ORÇAMENTO '!$F$20:$M$847,3,FALSE),IF(CONCATENATE('ORÇAMENTO '!F179,'ORÇAMENTO '!G179,'ORÇAMENTO '!H179,'ORÇAMENTO '!I179,'ORÇAMENTO '!J179,'ORÇAMENTO '!K179,'ORÇAMENTO '!L179)='ORÇAMENTO '!H179,'ORÇAMENTO '!H179,""))</f>
        <v>HASTE DE ATERRAMENTO 5/8  PARA SPDA - FORNECIMENTO E INSTALAÇÃO. AF_12/2017</v>
      </c>
      <c r="D174" s="762" t="str">
        <f ca="1">IFERROR(IF(VLOOKUP($B174,'ORÇAMENTO '!$F$20:$O$847,10,FALSE)=0,"",VLOOKUP($B174,'ORÇAMENTO '!$F$20:$O$847,10,FALSE)),"")</f>
        <v>CONFORME PROJETO SPDA</v>
      </c>
      <c r="E174" s="836">
        <f ca="1">IFERROR(IF(VLOOKUP($B174,'ORÇAMENTO '!$F$20:$M$847,5,FALSE)=0,"",VLOOKUP($B174,'ORÇAMENTO '!$F$20:$M$847,5,FALSE)),"")</f>
        <v>1</v>
      </c>
      <c r="F174" s="762" t="str">
        <f ca="1">IFERROR(IF(VLOOKUP($B174,'ORÇAMENTO '!$F$20:$M$847,4,FALSE)=0,"",VLOOKUP($B174,'ORÇAMENTO '!$F$20:$M$847,4,FALSE)),"")</f>
        <v>UN</v>
      </c>
    </row>
    <row r="175" spans="2:6" s="58" customFormat="1" ht="60">
      <c r="B175" s="834" t="str">
        <f ca="1">'ORÇAMENTO '!F180</f>
        <v>10.4</v>
      </c>
      <c r="C175" s="835" t="str">
        <f ca="1">IFERROR(VLOOKUP($B175,'ORÇAMENTO '!$F$20:$M$847,3,FALSE),IF(CONCATENATE('ORÇAMENTO '!F180,'ORÇAMENTO '!G180,'ORÇAMENTO '!H180,'ORÇAMENTO '!I180,'ORÇAMENTO '!J180,'ORÇAMENTO '!K180,'ORÇAMENTO '!L180)='ORÇAMENTO '!H180,'ORÇAMENTO '!H180,""))</f>
        <v>CAIXA DE INSPEÇÃO PARA ATERRAMENTO, CIRCULAR, EM POLIETILENO, DIÂMETRO INTERNO = 0,3 M. AF_12/2020</v>
      </c>
      <c r="D175" s="762" t="str">
        <f ca="1">IFERROR(IF(VLOOKUP($B175,'ORÇAMENTO '!$F$20:$O$847,10,FALSE)=0,"",VLOOKUP($B175,'ORÇAMENTO '!$F$20:$O$847,10,FALSE)),"")</f>
        <v>CONFORME PROJETO SPDA</v>
      </c>
      <c r="E175" s="836">
        <f ca="1">IFERROR(IF(VLOOKUP($B175,'ORÇAMENTO '!$F$20:$M$847,5,FALSE)=0,"",VLOOKUP($B175,'ORÇAMENTO '!$F$20:$M$847,5,FALSE)),"")</f>
        <v>1.5</v>
      </c>
      <c r="F175" s="762" t="str">
        <f ca="1">IFERROR(IF(VLOOKUP($B175,'ORÇAMENTO '!$F$20:$M$847,4,FALSE)=0,"",VLOOKUP($B175,'ORÇAMENTO '!$F$20:$M$847,4,FALSE)),"")</f>
        <v>UN</v>
      </c>
    </row>
    <row r="176" spans="2:6" s="58" customFormat="1" ht="45">
      <c r="B176" s="834" t="str">
        <f ca="1">'ORÇAMENTO '!F181</f>
        <v>10.5</v>
      </c>
      <c r="C176" s="835" t="str">
        <f ca="1">IFERROR(VLOOKUP($B176,'ORÇAMENTO '!$F$20:$M$847,3,FALSE),IF(CONCATENATE('ORÇAMENTO '!F181,'ORÇAMENTO '!G181,'ORÇAMENTO '!H181,'ORÇAMENTO '!I181,'ORÇAMENTO '!J181,'ORÇAMENTO '!K181,'ORÇAMENTO '!L181)='ORÇAMENTO '!H181,'ORÇAMENTO '!H181,""))</f>
        <v>ESCAVAÇÃO MANUAL DE VALA COM PROFUNDIDADE MENOR OU IGUAL A 1,30 M. AF_02/2021</v>
      </c>
      <c r="D176" s="762" t="str">
        <f ca="1">IFERROR(IF(VLOOKUP($B176,'ORÇAMENTO '!$F$20:$O$847,10,FALSE)=0,"",VLOOKUP($B176,'ORÇAMENTO '!$F$20:$O$847,10,FALSE)),"")</f>
        <v>CONFORME PROJETO SPDA</v>
      </c>
      <c r="E176" s="836">
        <f ca="1">IFERROR(IF(VLOOKUP($B176,'ORÇAMENTO '!$F$20:$M$847,5,FALSE)=0,"",VLOOKUP($B176,'ORÇAMENTO '!$F$20:$M$847,5,FALSE)),"")</f>
        <v>1.5</v>
      </c>
      <c r="F176" s="762" t="str">
        <f ca="1">IFERROR(IF(VLOOKUP($B176,'ORÇAMENTO '!$F$20:$M$847,4,FALSE)=0,"",VLOOKUP($B176,'ORÇAMENTO '!$F$20:$M$847,4,FALSE)),"")</f>
        <v>M3</v>
      </c>
    </row>
    <row r="177" spans="2:6" s="58" customFormat="1" ht="30">
      <c r="B177" s="834" t="str">
        <f ca="1">'ORÇAMENTO '!F182</f>
        <v>10.6</v>
      </c>
      <c r="C177" s="835" t="str">
        <f ca="1">IFERROR(VLOOKUP($B177,'ORÇAMENTO '!$F$20:$M$847,3,FALSE),IF(CONCATENATE('ORÇAMENTO '!F182,'ORÇAMENTO '!G182,'ORÇAMENTO '!H182,'ORÇAMENTO '!I182,'ORÇAMENTO '!J182,'ORÇAMENTO '!K182,'ORÇAMENTO '!L182)='ORÇAMENTO '!H182,'ORÇAMENTO '!H182,""))</f>
        <v>REATERRO MANUAL DE VALAS COM COMPACTAÇÃO MECANIZADA. AF_04/2016</v>
      </c>
      <c r="D177" s="762" t="str">
        <f ca="1">IFERROR(IF(VLOOKUP($B177,'ORÇAMENTO '!$F$20:$O$847,10,FALSE)=0,"",VLOOKUP($B177,'ORÇAMENTO '!$F$20:$O$847,10,FALSE)),"")</f>
        <v>CONFORME PROJETO SPDA</v>
      </c>
      <c r="E177" s="836">
        <f ca="1">IFERROR(IF(VLOOKUP($B177,'ORÇAMENTO '!$F$20:$M$847,5,FALSE)=0,"",VLOOKUP($B177,'ORÇAMENTO '!$F$20:$M$847,5,FALSE)),"")</f>
        <v>1.5</v>
      </c>
      <c r="F177" s="762" t="str">
        <f ca="1">IFERROR(IF(VLOOKUP($B177,'ORÇAMENTO '!$F$20:$M$847,4,FALSE)=0,"",VLOOKUP($B177,'ORÇAMENTO '!$F$20:$M$847,4,FALSE)),"")</f>
        <v>M3</v>
      </c>
    </row>
    <row r="178" spans="2:6" s="58" customFormat="1" ht="15">
      <c r="B178" s="834" t="str">
        <f>'ORÇAMENTO '!F183</f>
        <v/>
      </c>
      <c r="C178" s="835" t="str">
        <f>'ORÇAMENTO '!H183</f>
        <v>COMPOSIÇÕES SPDA</v>
      </c>
      <c r="D178" s="762" t="str">
        <f ca="1">IFERROR(IF(VLOOKUP($B178,'ORÇAMENTO '!$F$20:$O$847,10,FALSE)=0,"",VLOOKUP($B178,'ORÇAMENTO '!$F$20:$O$847,10,FALSE)),"")</f>
        <v/>
      </c>
      <c r="E178" s="836" t="str">
        <f ca="1">IFERROR(IF(VLOOKUP($B178,'ORÇAMENTO '!$F$20:$M$847,5,FALSE)=0,"",VLOOKUP($B178,'ORÇAMENTO '!$F$20:$M$847,5,FALSE)),"")</f>
        <v/>
      </c>
      <c r="F178" s="762" t="str">
        <f ca="1">IFERROR(IF(VLOOKUP($B178,'ORÇAMENTO '!$F$20:$M$847,4,FALSE)=0,"",VLOOKUP($B178,'ORÇAMENTO '!$F$20:$M$847,4,FALSE)),"")</f>
        <v/>
      </c>
    </row>
    <row r="179" spans="2:6" s="58" customFormat="1" ht="60">
      <c r="B179" s="834" t="str">
        <f ca="1">'ORÇAMENTO '!F184</f>
        <v>10.7</v>
      </c>
      <c r="C179" s="835" t="str">
        <f ca="1">IFERROR(VLOOKUP($B179,'ORÇAMENTO '!$F$20:$M$847,3,FALSE),IF(CONCATENATE('ORÇAMENTO '!F184,'ORÇAMENTO '!G184,'ORÇAMENTO '!H184,'ORÇAMENTO '!I184,'ORÇAMENTO '!J184,'ORÇAMENTO '!K184,'ORÇAMENTO '!L184)='ORÇAMENTO '!H184,'ORÇAMENTO '!H184,""))</f>
        <v>CORDOALHA DE COBRE NU 35 MM², NÃO ENTERRADA, COM ISOLADOR - FORNECIMENTO E INSTALAÇÃO. AF_12/2017</v>
      </c>
      <c r="D179" s="762" t="str">
        <f ca="1">IFERROR(IF(VLOOKUP($B179,'ORÇAMENTO '!$F$20:$O$847,10,FALSE)=0,"",VLOOKUP($B179,'ORÇAMENTO '!$F$20:$O$847,10,FALSE)),"")</f>
        <v>CONFORME PROJETO SPDA</v>
      </c>
      <c r="E179" s="836">
        <f ca="1">IFERROR(IF(VLOOKUP($B179,'ORÇAMENTO '!$F$20:$M$847,5,FALSE)=0,"",VLOOKUP($B179,'ORÇAMENTO '!$F$20:$M$847,5,FALSE)),"")</f>
        <v>30</v>
      </c>
      <c r="F179" s="762" t="str">
        <f ca="1">IFERROR(IF(VLOOKUP($B179,'ORÇAMENTO '!$F$20:$M$847,4,FALSE)=0,"",VLOOKUP($B179,'ORÇAMENTO '!$F$20:$M$847,4,FALSE)),"")</f>
        <v>M</v>
      </c>
    </row>
    <row r="180" spans="2:6" s="58" customFormat="1" ht="45">
      <c r="B180" s="834" t="str">
        <f ca="1">'ORÇAMENTO '!F185</f>
        <v>10.8</v>
      </c>
      <c r="C180" s="835" t="str">
        <f ca="1">IFERROR(VLOOKUP($B180,'ORÇAMENTO '!$F$20:$M$847,3,FALSE),IF(CONCATENATE('ORÇAMENTO '!F185,'ORÇAMENTO '!G185,'ORÇAMENTO '!H185,'ORÇAMENTO '!I185,'ORÇAMENTO '!J185,'ORÇAMENTO '!K185,'ORÇAMENTO '!L185)='ORÇAMENTO '!H185,'ORÇAMENTO '!H185,""))</f>
        <v>TERMINAL OU CONECTOR DE PRESSAO - PARA CABO 35MM2 - FORNECIMENTO E INSTALACAO</v>
      </c>
      <c r="D180" s="762" t="str">
        <f ca="1">IFERROR(IF(VLOOKUP($B180,'ORÇAMENTO '!$F$20:$O$847,10,FALSE)=0,"",VLOOKUP($B180,'ORÇAMENTO '!$F$20:$O$847,10,FALSE)),"")</f>
        <v>CONFORME PROJETO SPDA</v>
      </c>
      <c r="E180" s="836">
        <f ca="1">IFERROR(IF(VLOOKUP($B180,'ORÇAMENTO '!$F$20:$M$847,5,FALSE)=0,"",VLOOKUP($B180,'ORÇAMENTO '!$F$20:$M$847,5,FALSE)),"")</f>
        <v>2</v>
      </c>
      <c r="F180" s="762" t="str">
        <f ca="1">IFERROR(IF(VLOOKUP($B180,'ORÇAMENTO '!$F$20:$M$847,4,FALSE)=0,"",VLOOKUP($B180,'ORÇAMENTO '!$F$20:$M$847,4,FALSE)),"")</f>
        <v>UN</v>
      </c>
    </row>
    <row r="181" spans="2:6" s="58" customFormat="1" ht="15">
      <c r="B181" s="834" t="str">
        <f>'ORÇAMENTO '!F186</f>
        <v/>
      </c>
      <c r="C181" s="835">
        <f ca="1">IFERROR(VLOOKUP($B181,'ORÇAMENTO '!$F$20:$M$847,3,FALSE),IF(CONCATENATE('ORÇAMENTO '!F186,'ORÇAMENTO '!G186,'ORÇAMENTO '!H186,'ORÇAMENTO '!I186,'ORÇAMENTO '!J186,'ORÇAMENTO '!K186,'ORÇAMENTO '!L186)='ORÇAMENTO '!H186,'ORÇAMENTO '!H186,""))</f>
        <v>0</v>
      </c>
      <c r="D181" s="762" t="str">
        <f ca="1">IFERROR(IF(VLOOKUP($B181,'ORÇAMENTO '!$F$20:$O$847,10,FALSE)=0,"",VLOOKUP($B181,'ORÇAMENTO '!$F$20:$O$847,10,FALSE)),"")</f>
        <v/>
      </c>
      <c r="E181" s="836" t="str">
        <f ca="1">IFERROR(IF(VLOOKUP($B181,'ORÇAMENTO '!$F$20:$M$847,5,FALSE)=0,"",VLOOKUP($B181,'ORÇAMENTO '!$F$20:$M$847,5,FALSE)),"")</f>
        <v/>
      </c>
      <c r="F181" s="762" t="str">
        <f ca="1">IFERROR(IF(VLOOKUP($B181,'ORÇAMENTO '!$F$20:$M$847,4,FALSE)=0,"",VLOOKUP($B181,'ORÇAMENTO '!$F$20:$M$847,4,FALSE)),"")</f>
        <v/>
      </c>
    </row>
    <row r="182" spans="2:6" s="58" customFormat="1" ht="15">
      <c r="B182" s="834" t="str">
        <f ca="1">'ORÇAMENTO '!F187</f>
        <v>11.0</v>
      </c>
      <c r="C182" s="835" t="str">
        <f ca="1">IFERROR(VLOOKUP($B182,'ORÇAMENTO '!$F$20:$M$847,3,FALSE),IF(CONCATENATE('ORÇAMENTO '!F187,'ORÇAMENTO '!G187,'ORÇAMENTO '!H187,'ORÇAMENTO '!I187,'ORÇAMENTO '!J187,'ORÇAMENTO '!K187,'ORÇAMENTO '!L187)='ORÇAMENTO '!H187,'ORÇAMENTO '!H187,""))</f>
        <v>U R B A N I Z A Ç Ã O  D A  Á R E A</v>
      </c>
      <c r="D182" s="762" t="str">
        <f ca="1">IFERROR(IF(VLOOKUP($B182,'ORÇAMENTO '!$F$20:$O$847,10,FALSE)=0,"",VLOOKUP($B182,'ORÇAMENTO '!$F$20:$O$847,10,FALSE)),"")</f>
        <v/>
      </c>
      <c r="E182" s="836" t="str">
        <f ca="1">IFERROR(IF(VLOOKUP($B182,'ORÇAMENTO '!$F$20:$M$847,5,FALSE)=0,"",VLOOKUP($B182,'ORÇAMENTO '!$F$20:$M$847,5,FALSE)),"")</f>
        <v/>
      </c>
      <c r="F182" s="762" t="str">
        <f ca="1">IFERROR(IF(VLOOKUP($B182,'ORÇAMENTO '!$F$20:$M$847,4,FALSE)=0,"",VLOOKUP($B182,'ORÇAMENTO '!$F$20:$M$847,4,FALSE)),"")</f>
        <v/>
      </c>
    </row>
    <row r="183" spans="2:6" s="58" customFormat="1" ht="45">
      <c r="B183" s="834" t="str">
        <f ca="1">'ORÇAMENTO '!F188</f>
        <v>11.1</v>
      </c>
      <c r="C183" s="835" t="str">
        <f ca="1">IFERROR(VLOOKUP($B183,'ORÇAMENTO '!$F$20:$M$847,3,FALSE),IF(CONCATENATE('ORÇAMENTO '!F188,'ORÇAMENTO '!G188,'ORÇAMENTO '!H188,'ORÇAMENTO '!I188,'ORÇAMENTO '!J188,'ORÇAMENTO '!K188,'ORÇAMENTO '!L188)='ORÇAMENTO '!H188,'ORÇAMENTO '!H188,""))</f>
        <v>LIMPEZA MANUAL DE VEGETAÇÃO EM TERRENO COM ENXADA.AF_05/2018</v>
      </c>
      <c r="D183" s="762" t="str">
        <f ca="1">IFERROR(IF(VLOOKUP($B183,'ORÇAMENTO '!$F$20:$O$847,10,FALSE)=0,"",VLOOKUP($B183,'ORÇAMENTO '!$F$20:$O$847,10,FALSE)),"")</f>
        <v>SERÁ REALIZADA A LIMPEZA EM TODA A ÁREA DE INTALAÇÃO DO RESERVATÓRIO</v>
      </c>
      <c r="E183" s="836">
        <f ca="1">IFERROR(IF(VLOOKUP($B183,'ORÇAMENTO '!$F$20:$M$847,5,FALSE)=0,"",VLOOKUP($B183,'ORÇAMENTO '!$F$20:$M$847,5,FALSE)),"")</f>
        <v>600</v>
      </c>
      <c r="F183" s="762" t="str">
        <f ca="1">IFERROR(IF(VLOOKUP($B183,'ORÇAMENTO '!$F$20:$M$847,4,FALSE)=0,"",VLOOKUP($B183,'ORÇAMENTO '!$F$20:$M$847,4,FALSE)),"")</f>
        <v>M2</v>
      </c>
    </row>
    <row r="184" spans="2:6" s="58" customFormat="1" ht="60">
      <c r="B184" s="834" t="str">
        <f ca="1">'ORÇAMENTO '!F189</f>
        <v>11.2</v>
      </c>
      <c r="C184" s="835" t="str">
        <f ca="1">IFERROR(VLOOKUP($B184,'ORÇAMENTO '!$F$20:$M$847,3,FALSE),IF(CONCATENATE('ORÇAMENTO '!F189,'ORÇAMENTO '!G189,'ORÇAMENTO '!H189,'ORÇAMENTO '!I189,'ORÇAMENTO '!J189,'ORÇAMENTO '!K189,'ORÇAMENTO '!L189)='ORÇAMENTO '!H189,'ORÇAMENTO '!H189,""))</f>
        <v>ALAMBRADO EM MOURÕES DE CONCRETO, COM TELA DE ARAME GALVANIZADO (INCLUSIVE MURETA EM CONCRETO). AF_05/2018</v>
      </c>
      <c r="D184" s="762" t="str">
        <f ca="1">IFERROR(IF(VLOOKUP($B184,'ORÇAMENTO '!$F$20:$O$847,10,FALSE)=0,"",VLOOKUP($B184,'ORÇAMENTO '!$F$20:$O$847,10,FALSE)),"")</f>
        <v>SERÁ FEITO O FECHAMENTO DA ÁREA ONDE SERÁ INSTALADO O RESERVATÓRIO</v>
      </c>
      <c r="E184" s="836">
        <f ca="1">IFERROR(IF(VLOOKUP($B184,'ORÇAMENTO '!$F$20:$M$847,5,FALSE)=0,"",VLOOKUP($B184,'ORÇAMENTO '!$F$20:$M$847,5,FALSE)),"")</f>
        <v>100</v>
      </c>
      <c r="F184" s="762" t="str">
        <f ca="1">IFERROR(IF(VLOOKUP($B184,'ORÇAMENTO '!$F$20:$M$847,4,FALSE)=0,"",VLOOKUP($B184,'ORÇAMENTO '!$F$20:$M$847,4,FALSE)),"")</f>
        <v>M</v>
      </c>
    </row>
    <row r="185" spans="2:6" s="58" customFormat="1" ht="45">
      <c r="B185" s="834" t="str">
        <f ca="1">'ORÇAMENTO '!F190</f>
        <v>11.3</v>
      </c>
      <c r="C185" s="835" t="str">
        <f ca="1">IFERROR(VLOOKUP($B185,'ORÇAMENTO '!$F$20:$M$847,3,FALSE),IF(CONCATENATE('ORÇAMENTO '!F190,'ORÇAMENTO '!G190,'ORÇAMENTO '!H190,'ORÇAMENTO '!I190,'ORÇAMENTO '!J190,'ORÇAMENTO '!K190,'ORÇAMENTO '!L190)='ORÇAMENTO '!H190,'ORÇAMENTO '!H190,""))</f>
        <v>PORTÃO EM TUBO DE AÇO GALVANIZADO COM QUADRO DE DN 1 1/4", E BARRAS VERTICAIS DE DN 1" A CADA 10CM</v>
      </c>
      <c r="D185" s="762" t="str">
        <f ca="1">IFERROR(IF(VLOOKUP($B185,'ORÇAMENTO '!$F$20:$O$847,10,FALSE)=0,"",VLOOKUP($B185,'ORÇAMENTO '!$F$20:$O$847,10,FALSE)),"")</f>
        <v>INSTALAÇÃO DE 1 (UM) PORTÃO PARA ACESSO A ÁREA DO RESERVATÓRIO</v>
      </c>
      <c r="E185" s="836">
        <f ca="1">IFERROR(IF(VLOOKUP($B185,'ORÇAMENTO '!$F$20:$M$847,5,FALSE)=0,"",VLOOKUP($B185,'ORÇAMENTO '!$F$20:$M$847,5,FALSE)),"")</f>
        <v>1</v>
      </c>
      <c r="F185" s="762" t="str">
        <f ca="1">IFERROR(IF(VLOOKUP($B185,'ORÇAMENTO '!$F$20:$M$847,4,FALSE)=0,"",VLOOKUP($B185,'ORÇAMENTO '!$F$20:$M$847,4,FALSE)),"")</f>
        <v>M2</v>
      </c>
    </row>
    <row r="186" spans="2:6" s="58" customFormat="1" ht="90">
      <c r="B186" s="834" t="str">
        <f ca="1">'ORÇAMENTO '!F191</f>
        <v>11.4</v>
      </c>
      <c r="C186" s="835" t="str">
        <f ca="1">IFERROR(VLOOKUP($B186,'ORÇAMENTO '!$F$20:$M$847,3,FALSE),IF(CONCATENATE('ORÇAMENTO '!F191,'ORÇAMENTO '!G191,'ORÇAMENTO '!H191,'ORÇAMENTO '!I191,'ORÇAMENTO '!J191,'ORÇAMENTO '!K191,'ORÇAMENTO '!L191)='ORÇAMENTO '!H191,'ORÇAMENTO '!H191,""))</f>
        <v>CADEADO SIMPLES, CORPO EM LATAO MACICO, COM LARGURA DE 25 MM E ALTURA DE APROX 25 MM, HASTE CEMENTADA (NAO LONGA), EM ACO TEMPERADO COM DIAMETRO DE APROX 5,0 MM, INCLUINDO 2 CHAVES</v>
      </c>
      <c r="D186" s="762" t="str">
        <f ca="1">IFERROR(IF(VLOOKUP($B186,'ORÇAMENTO '!$F$20:$O$847,10,FALSE)=0,"",VLOOKUP($B186,'ORÇAMENTO '!$F$20:$O$847,10,FALSE)),"")</f>
        <v>INSTALAÇÃO DE 1 (UM) CADEADO PARA O PORTÃO DE ACESSO AO RESERVATÓRIO</v>
      </c>
      <c r="E186" s="836">
        <f ca="1">IFERROR(IF(VLOOKUP($B186,'ORÇAMENTO '!$F$20:$M$847,5,FALSE)=0,"",VLOOKUP($B186,'ORÇAMENTO '!$F$20:$M$847,5,FALSE)),"")</f>
        <v>1</v>
      </c>
      <c r="F186" s="762" t="str">
        <f ca="1">IFERROR(IF(VLOOKUP($B186,'ORÇAMENTO '!$F$20:$M$847,4,FALSE)=0,"",VLOOKUP($B186,'ORÇAMENTO '!$F$20:$M$847,4,FALSE)),"")</f>
        <v xml:space="preserve">UN    </v>
      </c>
    </row>
    <row r="187" spans="2:6" s="58" customFormat="1" ht="15">
      <c r="B187" s="834" t="str">
        <f ca="1">'ORÇAMENTO '!F192</f>
        <v>11.5</v>
      </c>
      <c r="C187" s="835" t="str">
        <f ca="1">IFERROR(VLOOKUP($B187,'ORÇAMENTO '!$F$20:$M$847,3,FALSE),IF(CONCATENATE('ORÇAMENTO '!F192,'ORÇAMENTO '!G192,'ORÇAMENTO '!H192,'ORÇAMENTO '!I192,'ORÇAMENTO '!J192,'ORÇAMENTO '!K192,'ORÇAMENTO '!L192)='ORÇAMENTO '!H192,'ORÇAMENTO '!H192,""))</f>
        <v>LASTRO DE BRITA 1</v>
      </c>
      <c r="D187" s="762" t="str">
        <f ca="1">IFERROR(IF(VLOOKUP($B187,'ORÇAMENTO '!$F$20:$O$847,10,FALSE)=0,"",VLOOKUP($B187,'ORÇAMENTO '!$F$20:$O$847,10,FALSE)),"")</f>
        <v>CONFORME PROJETO DE SANEAMENTO</v>
      </c>
      <c r="E187" s="836">
        <f ca="1">IFERROR(IF(VLOOKUP($B187,'ORÇAMENTO '!$F$20:$M$847,5,FALSE)=0,"",VLOOKUP($B187,'ORÇAMENTO '!$F$20:$M$847,5,FALSE)),"")</f>
        <v>30</v>
      </c>
      <c r="F187" s="762" t="str">
        <f ca="1">IFERROR(IF(VLOOKUP($B187,'ORÇAMENTO '!$F$20:$M$847,4,FALSE)=0,"",VLOOKUP($B187,'ORÇAMENTO '!$F$20:$M$847,4,FALSE)),"")</f>
        <v>M3</v>
      </c>
    </row>
    <row r="188" spans="2:6" ht="15.75" thickBot="1">
      <c r="B188" s="850">
        <f>'ORÇAMENTO '!F194</f>
        <v>0</v>
      </c>
      <c r="C188" s="369"/>
      <c r="D188" s="370"/>
      <c r="E188" s="371"/>
      <c r="F188" s="842"/>
    </row>
    <row r="189" spans="2:6" ht="15.75" thickBot="1">
      <c r="B189" s="837">
        <f>'ORÇAMENTO '!F195</f>
        <v>0</v>
      </c>
      <c r="C189" s="369"/>
      <c r="D189" s="370"/>
      <c r="E189" s="371"/>
      <c r="F189" s="842"/>
    </row>
    <row r="190" spans="2:6" ht="15.75" thickBot="1">
      <c r="B190" s="837">
        <f>'ORÇAMENTO '!F196</f>
        <v>0</v>
      </c>
      <c r="C190" s="369"/>
      <c r="D190" s="370"/>
      <c r="E190" s="371"/>
      <c r="F190" s="842"/>
    </row>
    <row r="191" spans="2:6" ht="15.75" thickBot="1">
      <c r="B191" s="837">
        <f>'ORÇAMENTO '!F197</f>
        <v>0</v>
      </c>
      <c r="C191" s="369"/>
      <c r="D191" s="370"/>
      <c r="E191" s="371"/>
      <c r="F191" s="842"/>
    </row>
    <row r="192" spans="2:6" ht="15.75" thickBot="1">
      <c r="B192" s="837">
        <f>'ORÇAMENTO '!F198</f>
        <v>0</v>
      </c>
      <c r="C192" s="369"/>
      <c r="D192" s="370"/>
      <c r="E192" s="371"/>
      <c r="F192" s="842"/>
    </row>
    <row r="193" spans="2:6" ht="15.75" thickBot="1">
      <c r="B193" s="837">
        <f>'ORÇAMENTO '!F199</f>
        <v>0</v>
      </c>
      <c r="C193" s="369"/>
      <c r="D193" s="370"/>
      <c r="E193" s="371"/>
      <c r="F193" s="842"/>
    </row>
    <row r="194" spans="2:6" ht="15.75" thickBot="1">
      <c r="B194" s="837">
        <f>'ORÇAMENTO '!F200</f>
        <v>0</v>
      </c>
      <c r="C194" s="369"/>
      <c r="D194" s="370"/>
      <c r="E194" s="371"/>
      <c r="F194" s="842"/>
    </row>
    <row r="195" spans="2:6" ht="15.75" thickBot="1">
      <c r="B195" s="837">
        <f>'ORÇAMENTO '!F201</f>
        <v>0</v>
      </c>
      <c r="C195" s="369"/>
      <c r="D195" s="370"/>
      <c r="E195" s="371"/>
      <c r="F195" s="842"/>
    </row>
    <row r="196" spans="2:6" ht="15.75" thickBot="1">
      <c r="B196" s="837">
        <f>'ORÇAMENTO '!F202</f>
        <v>0</v>
      </c>
      <c r="C196" s="369"/>
      <c r="D196" s="370"/>
      <c r="E196" s="371"/>
      <c r="F196" s="842"/>
    </row>
    <row r="197" spans="2:6" ht="15.75" thickBot="1">
      <c r="B197" s="837">
        <f>'ORÇAMENTO '!F203</f>
        <v>0</v>
      </c>
      <c r="C197" s="369"/>
      <c r="D197" s="370"/>
      <c r="E197" s="371"/>
      <c r="F197" s="842"/>
    </row>
    <row r="198" spans="2:6" ht="15">
      <c r="B198" s="837">
        <f>'ORÇAMENTO '!F204</f>
        <v>0</v>
      </c>
      <c r="C198" s="369"/>
      <c r="D198" s="370"/>
      <c r="E198" s="371"/>
      <c r="F198" s="842"/>
    </row>
    <row r="199" spans="2:6" ht="15">
      <c r="B199" s="368"/>
      <c r="C199" s="369"/>
      <c r="D199" s="370"/>
      <c r="E199" s="371"/>
      <c r="F199" s="842"/>
    </row>
    <row r="200" spans="2:6" ht="15">
      <c r="B200" s="368"/>
      <c r="C200" s="369"/>
      <c r="D200" s="370"/>
      <c r="E200" s="371"/>
      <c r="F200" s="842"/>
    </row>
    <row r="201" spans="2:6" ht="15">
      <c r="B201" s="368"/>
      <c r="C201" s="369"/>
      <c r="D201" s="370"/>
      <c r="E201" s="371"/>
      <c r="F201" s="842"/>
    </row>
    <row r="202" spans="2:6" ht="15">
      <c r="B202" s="368"/>
      <c r="C202" s="369"/>
      <c r="D202" s="370"/>
      <c r="E202" s="371"/>
      <c r="F202" s="842"/>
    </row>
    <row r="203" spans="2:6" ht="15">
      <c r="B203" s="368"/>
      <c r="C203" s="369"/>
      <c r="D203" s="370"/>
      <c r="E203" s="371"/>
      <c r="F203" s="842"/>
    </row>
    <row r="204" spans="2:6" ht="15">
      <c r="B204" s="368"/>
      <c r="C204" s="369"/>
      <c r="D204" s="370"/>
      <c r="E204" s="371"/>
      <c r="F204" s="842"/>
    </row>
    <row r="205" spans="2:6" ht="15">
      <c r="B205" s="368"/>
      <c r="C205" s="369"/>
      <c r="D205" s="370"/>
      <c r="E205" s="371"/>
      <c r="F205" s="842"/>
    </row>
    <row r="206" spans="2:6" ht="15">
      <c r="B206" s="368"/>
      <c r="C206" s="369"/>
      <c r="D206" s="370"/>
      <c r="E206" s="371"/>
      <c r="F206" s="842"/>
    </row>
    <row r="207" spans="2:6" ht="15">
      <c r="B207" s="368"/>
      <c r="C207" s="369"/>
      <c r="D207" s="370"/>
      <c r="E207" s="371"/>
      <c r="F207" s="842"/>
    </row>
    <row r="208" spans="2:6" ht="15">
      <c r="B208" s="368"/>
      <c r="C208" s="369"/>
      <c r="D208" s="370"/>
      <c r="E208" s="371"/>
      <c r="F208" s="842"/>
    </row>
    <row r="209" spans="2:6" ht="15">
      <c r="B209" s="368"/>
      <c r="C209" s="369"/>
      <c r="D209" s="370"/>
      <c r="E209" s="371"/>
      <c r="F209" s="842"/>
    </row>
    <row r="210" spans="2:6" ht="15">
      <c r="B210" s="368"/>
      <c r="C210" s="369"/>
      <c r="D210" s="370"/>
      <c r="E210" s="371"/>
      <c r="F210" s="842"/>
    </row>
    <row r="211" spans="2:6" ht="15">
      <c r="B211" s="368"/>
      <c r="C211" s="369"/>
      <c r="D211" s="370"/>
      <c r="E211" s="371"/>
      <c r="F211" s="842"/>
    </row>
    <row r="212" spans="2:6" ht="15">
      <c r="B212" s="368"/>
      <c r="C212" s="369"/>
      <c r="D212" s="370"/>
      <c r="E212" s="371"/>
      <c r="F212" s="842"/>
    </row>
    <row r="213" spans="2:6" ht="15">
      <c r="B213" s="368"/>
      <c r="C213" s="369"/>
      <c r="D213" s="370"/>
      <c r="E213" s="371"/>
      <c r="F213" s="842"/>
    </row>
    <row r="214" spans="2:6" ht="15">
      <c r="B214" s="368"/>
      <c r="C214" s="369"/>
      <c r="D214" s="370"/>
      <c r="E214" s="371"/>
      <c r="F214" s="842"/>
    </row>
    <row r="215" spans="2:6" ht="15">
      <c r="B215" s="368"/>
      <c r="C215" s="369"/>
      <c r="D215" s="370"/>
      <c r="E215" s="371"/>
      <c r="F215" s="842"/>
    </row>
    <row r="216" spans="2:6" ht="15">
      <c r="B216" s="368"/>
      <c r="C216" s="369"/>
      <c r="D216" s="370"/>
      <c r="E216" s="371"/>
      <c r="F216" s="842"/>
    </row>
    <row r="217" spans="2:6" ht="15">
      <c r="B217" s="368"/>
      <c r="C217" s="369"/>
      <c r="D217" s="370"/>
      <c r="E217" s="371"/>
      <c r="F217" s="842"/>
    </row>
    <row r="218" spans="2:6" ht="15">
      <c r="B218" s="368"/>
      <c r="C218" s="369"/>
      <c r="D218" s="370"/>
      <c r="E218" s="371"/>
      <c r="F218" s="842"/>
    </row>
    <row r="219" spans="2:6" ht="15">
      <c r="B219" s="368"/>
      <c r="C219" s="369"/>
      <c r="D219" s="370"/>
      <c r="E219" s="371"/>
      <c r="F219" s="842"/>
    </row>
    <row r="220" spans="2:6" ht="15">
      <c r="B220" s="368"/>
      <c r="C220" s="369"/>
      <c r="D220" s="370"/>
      <c r="E220" s="371"/>
      <c r="F220" s="842"/>
    </row>
    <row r="221" spans="2:6" ht="15">
      <c r="B221" s="368"/>
      <c r="C221" s="369"/>
      <c r="D221" s="370"/>
      <c r="E221" s="371"/>
      <c r="F221" s="842"/>
    </row>
    <row r="222" spans="2:6" ht="15">
      <c r="B222" s="368"/>
      <c r="C222" s="369"/>
      <c r="D222" s="370"/>
      <c r="E222" s="371"/>
      <c r="F222" s="842"/>
    </row>
    <row r="223" spans="2:6" ht="15">
      <c r="B223" s="368"/>
      <c r="C223" s="369"/>
      <c r="D223" s="370"/>
      <c r="E223" s="371"/>
      <c r="F223" s="842"/>
    </row>
    <row r="224" spans="2:6" ht="15">
      <c r="B224" s="368"/>
      <c r="C224" s="369"/>
      <c r="D224" s="370"/>
      <c r="E224" s="371"/>
      <c r="F224" s="842"/>
    </row>
    <row r="225" spans="2:6" ht="15">
      <c r="B225" s="368"/>
      <c r="C225" s="369"/>
      <c r="D225" s="370"/>
      <c r="E225" s="371"/>
      <c r="F225" s="842"/>
    </row>
    <row r="226" spans="2:6" ht="15">
      <c r="B226" s="368"/>
      <c r="C226" s="369"/>
      <c r="D226" s="370"/>
      <c r="E226" s="371"/>
      <c r="F226" s="842"/>
    </row>
    <row r="227" spans="2:6" ht="15">
      <c r="B227" s="368"/>
      <c r="C227" s="369"/>
      <c r="D227" s="370"/>
      <c r="E227" s="371"/>
      <c r="F227" s="842"/>
    </row>
    <row r="228" spans="2:6" ht="15">
      <c r="B228" s="368"/>
      <c r="C228" s="369"/>
      <c r="D228" s="370"/>
      <c r="E228" s="371"/>
      <c r="F228" s="842"/>
    </row>
    <row r="229" spans="2:6" ht="15">
      <c r="B229" s="368"/>
      <c r="C229" s="369"/>
      <c r="D229" s="370"/>
      <c r="E229" s="371"/>
      <c r="F229" s="842"/>
    </row>
    <row r="230" spans="2:6" ht="15">
      <c r="B230" s="368"/>
      <c r="C230" s="369"/>
      <c r="D230" s="370"/>
      <c r="E230" s="371"/>
      <c r="F230" s="842"/>
    </row>
    <row r="231" spans="2:6" ht="15">
      <c r="B231" s="368"/>
      <c r="C231" s="369"/>
      <c r="D231" s="370"/>
      <c r="E231" s="371"/>
      <c r="F231" s="842"/>
    </row>
    <row r="232" spans="2:6" ht="15">
      <c r="B232" s="368"/>
      <c r="C232" s="369"/>
      <c r="D232" s="370"/>
      <c r="E232" s="371"/>
      <c r="F232" s="842"/>
    </row>
    <row r="233" spans="2:6" ht="15">
      <c r="B233" s="368"/>
      <c r="C233" s="369"/>
      <c r="D233" s="370"/>
      <c r="E233" s="371"/>
      <c r="F233" s="842"/>
    </row>
    <row r="234" spans="2:6" ht="15">
      <c r="B234" s="368"/>
      <c r="C234" s="369"/>
      <c r="D234" s="370"/>
      <c r="E234" s="371"/>
      <c r="F234" s="842"/>
    </row>
    <row r="235" spans="2:6" ht="15">
      <c r="B235" s="368"/>
      <c r="C235" s="369"/>
      <c r="D235" s="370"/>
      <c r="E235" s="371"/>
      <c r="F235" s="842"/>
    </row>
    <row r="236" spans="2:6" ht="15">
      <c r="B236" s="368"/>
      <c r="C236" s="369"/>
      <c r="D236" s="370"/>
      <c r="E236" s="371"/>
      <c r="F236" s="842"/>
    </row>
    <row r="237" spans="2:6" ht="15">
      <c r="B237" s="368"/>
      <c r="C237" s="369"/>
      <c r="D237" s="370"/>
      <c r="E237" s="371"/>
      <c r="F237" s="842"/>
    </row>
    <row r="238" spans="2:6" ht="15">
      <c r="B238" s="368"/>
      <c r="C238" s="369"/>
      <c r="D238" s="370"/>
      <c r="E238" s="371"/>
      <c r="F238" s="842"/>
    </row>
    <row r="239" spans="2:6" ht="15">
      <c r="B239" s="368"/>
      <c r="C239" s="369"/>
      <c r="D239" s="370"/>
      <c r="E239" s="371"/>
      <c r="F239" s="842"/>
    </row>
    <row r="240" spans="2:6" ht="15">
      <c r="B240" s="368"/>
      <c r="C240" s="369"/>
      <c r="D240" s="370"/>
      <c r="E240" s="371"/>
      <c r="F240" s="842"/>
    </row>
    <row r="241" spans="2:6" ht="15">
      <c r="B241" s="368"/>
      <c r="C241" s="369"/>
      <c r="D241" s="370"/>
      <c r="E241" s="371"/>
      <c r="F241" s="842"/>
    </row>
    <row r="242" spans="2:6" ht="15">
      <c r="B242" s="368"/>
      <c r="C242" s="369"/>
      <c r="D242" s="370"/>
      <c r="E242" s="371"/>
      <c r="F242" s="842"/>
    </row>
    <row r="243" spans="2:6" ht="15">
      <c r="B243" s="368"/>
      <c r="C243" s="369"/>
      <c r="D243" s="370"/>
      <c r="E243" s="371"/>
      <c r="F243" s="842"/>
    </row>
    <row r="244" spans="2:6" ht="15">
      <c r="B244" s="368"/>
      <c r="C244" s="369"/>
      <c r="D244" s="370"/>
      <c r="E244" s="371"/>
      <c r="F244" s="842"/>
    </row>
    <row r="245" spans="2:6" ht="15">
      <c r="B245" s="368"/>
      <c r="C245" s="369"/>
      <c r="D245" s="370"/>
      <c r="E245" s="371"/>
      <c r="F245" s="842"/>
    </row>
    <row r="246" spans="2:6" ht="15">
      <c r="B246" s="368"/>
      <c r="C246" s="369"/>
      <c r="D246" s="370"/>
      <c r="E246" s="371"/>
      <c r="F246" s="842"/>
    </row>
    <row r="247" spans="2:6" ht="15">
      <c r="B247" s="368"/>
      <c r="C247" s="369"/>
      <c r="D247" s="370"/>
      <c r="E247" s="371"/>
      <c r="F247" s="842"/>
    </row>
    <row r="248" spans="2:6" ht="15">
      <c r="B248" s="368"/>
      <c r="C248" s="369"/>
      <c r="D248" s="370"/>
      <c r="E248" s="371"/>
      <c r="F248" s="842"/>
    </row>
    <row r="249" spans="2:6" ht="15">
      <c r="B249" s="368"/>
      <c r="C249" s="369"/>
      <c r="D249" s="370"/>
      <c r="E249" s="371"/>
      <c r="F249" s="842"/>
    </row>
    <row r="250" spans="2:6" ht="15">
      <c r="B250" s="368"/>
      <c r="C250" s="369"/>
      <c r="D250" s="370"/>
      <c r="E250" s="371"/>
      <c r="F250" s="842"/>
    </row>
    <row r="251" spans="2:6" ht="15">
      <c r="B251" s="368"/>
      <c r="C251" s="369"/>
      <c r="D251" s="370"/>
      <c r="E251" s="371"/>
      <c r="F251" s="842"/>
    </row>
    <row r="252" spans="2:6" ht="15">
      <c r="B252" s="368"/>
      <c r="C252" s="369"/>
      <c r="D252" s="370"/>
      <c r="E252" s="371"/>
      <c r="F252" s="842"/>
    </row>
    <row r="253" spans="2:6" ht="15">
      <c r="B253" s="368"/>
      <c r="C253" s="369"/>
      <c r="D253" s="370"/>
      <c r="E253" s="371"/>
      <c r="F253" s="842"/>
    </row>
    <row r="254" spans="2:6" ht="15">
      <c r="B254" s="368"/>
      <c r="C254" s="369"/>
      <c r="D254" s="370"/>
      <c r="E254" s="371"/>
      <c r="F254" s="842"/>
    </row>
    <row r="255" spans="2:6" ht="15">
      <c r="B255" s="368"/>
      <c r="C255" s="369"/>
      <c r="D255" s="370"/>
      <c r="E255" s="371"/>
      <c r="F255" s="842"/>
    </row>
    <row r="256" spans="2:6" ht="15">
      <c r="B256" s="368"/>
      <c r="C256" s="369"/>
      <c r="D256" s="370"/>
      <c r="E256" s="371"/>
      <c r="F256" s="842"/>
    </row>
    <row r="257" spans="2:6" ht="15">
      <c r="B257" s="368"/>
      <c r="C257" s="369"/>
      <c r="D257" s="370"/>
      <c r="E257" s="371"/>
      <c r="F257" s="842"/>
    </row>
    <row r="258" spans="2:6" ht="15">
      <c r="B258" s="368"/>
      <c r="C258" s="369"/>
      <c r="D258" s="370"/>
      <c r="E258" s="371"/>
      <c r="F258" s="842"/>
    </row>
    <row r="259" spans="2:6" ht="15">
      <c r="B259" s="368"/>
      <c r="C259" s="369"/>
      <c r="D259" s="370"/>
      <c r="E259" s="371"/>
      <c r="F259" s="842"/>
    </row>
    <row r="260" spans="2:6" ht="15">
      <c r="B260" s="368"/>
      <c r="C260" s="369"/>
      <c r="D260" s="370"/>
      <c r="E260" s="371"/>
      <c r="F260" s="842"/>
    </row>
    <row r="261" spans="2:6" ht="15">
      <c r="B261" s="368"/>
      <c r="C261" s="369"/>
      <c r="D261" s="370"/>
      <c r="E261" s="371"/>
      <c r="F261" s="842"/>
    </row>
    <row r="262" spans="2:6" ht="15">
      <c r="B262" s="368"/>
      <c r="C262" s="369"/>
      <c r="D262" s="370"/>
      <c r="E262" s="371"/>
      <c r="F262" s="842"/>
    </row>
    <row r="263" spans="2:6" ht="15">
      <c r="B263" s="368"/>
      <c r="C263" s="369"/>
      <c r="D263" s="370"/>
      <c r="E263" s="371"/>
      <c r="F263" s="842"/>
    </row>
    <row r="264" spans="2:6" ht="15">
      <c r="B264" s="368"/>
      <c r="C264" s="369"/>
      <c r="D264" s="370"/>
      <c r="E264" s="371"/>
      <c r="F264" s="842"/>
    </row>
    <row r="265" spans="2:6" ht="15">
      <c r="B265" s="368"/>
      <c r="C265" s="369"/>
      <c r="D265" s="370"/>
      <c r="E265" s="371"/>
      <c r="F265" s="842"/>
    </row>
    <row r="266" spans="2:6" ht="15">
      <c r="B266" s="368"/>
      <c r="C266" s="369"/>
      <c r="D266" s="370"/>
      <c r="E266" s="371"/>
      <c r="F266" s="842"/>
    </row>
    <row r="267" spans="2:6" ht="15">
      <c r="B267" s="368"/>
      <c r="C267" s="369"/>
      <c r="D267" s="370"/>
      <c r="E267" s="371"/>
      <c r="F267" s="842"/>
    </row>
    <row r="268" spans="2:6" ht="15">
      <c r="B268" s="368"/>
      <c r="C268" s="369"/>
      <c r="D268" s="370"/>
      <c r="E268" s="371"/>
      <c r="F268" s="842"/>
    </row>
    <row r="269" spans="2:6" ht="15">
      <c r="B269" s="368"/>
      <c r="C269" s="369"/>
      <c r="D269" s="370"/>
      <c r="E269" s="371"/>
      <c r="F269" s="842"/>
    </row>
    <row r="270" spans="2:6" ht="15">
      <c r="B270" s="368"/>
      <c r="C270" s="369"/>
      <c r="D270" s="370"/>
      <c r="E270" s="371"/>
      <c r="F270" s="842"/>
    </row>
    <row r="271" spans="2:6" ht="15">
      <c r="B271" s="368"/>
      <c r="C271" s="369"/>
      <c r="D271" s="370"/>
      <c r="E271" s="371"/>
      <c r="F271" s="842"/>
    </row>
    <row r="272" spans="2:6" ht="15">
      <c r="B272" s="368"/>
      <c r="C272" s="369"/>
      <c r="D272" s="370"/>
      <c r="E272" s="371"/>
      <c r="F272" s="842"/>
    </row>
    <row r="273" spans="2:6" ht="15">
      <c r="B273" s="368"/>
      <c r="C273" s="369"/>
      <c r="D273" s="370"/>
      <c r="E273" s="371"/>
      <c r="F273" s="842"/>
    </row>
    <row r="274" spans="2:6" ht="15">
      <c r="B274" s="368"/>
      <c r="C274" s="369"/>
      <c r="D274" s="370"/>
      <c r="E274" s="371"/>
      <c r="F274" s="842"/>
    </row>
    <row r="275" spans="2:6" ht="15">
      <c r="B275" s="368"/>
      <c r="C275" s="369"/>
      <c r="D275" s="370"/>
      <c r="E275" s="371"/>
      <c r="F275" s="842"/>
    </row>
    <row r="276" spans="2:6" ht="15">
      <c r="B276" s="368"/>
      <c r="C276" s="369"/>
      <c r="D276" s="370"/>
      <c r="E276" s="371"/>
      <c r="F276" s="842"/>
    </row>
    <row r="277" spans="2:6" ht="15">
      <c r="B277" s="368"/>
      <c r="C277" s="369"/>
      <c r="D277" s="370"/>
      <c r="E277" s="371"/>
      <c r="F277" s="842"/>
    </row>
    <row r="278" spans="2:6" ht="15">
      <c r="B278" s="368"/>
      <c r="C278" s="369"/>
      <c r="D278" s="370"/>
      <c r="E278" s="371"/>
      <c r="F278" s="842"/>
    </row>
    <row r="279" spans="2:6" ht="15">
      <c r="B279" s="368"/>
      <c r="C279" s="369"/>
      <c r="D279" s="370"/>
      <c r="E279" s="371"/>
      <c r="F279" s="842"/>
    </row>
    <row r="280" spans="2:6" ht="15">
      <c r="B280" s="368"/>
      <c r="C280" s="369"/>
      <c r="D280" s="370"/>
      <c r="E280" s="371"/>
      <c r="F280" s="842"/>
    </row>
    <row r="281" spans="2:6" ht="15">
      <c r="B281" s="368"/>
      <c r="C281" s="369"/>
      <c r="D281" s="370"/>
      <c r="E281" s="371"/>
      <c r="F281" s="842"/>
    </row>
    <row r="282" spans="2:6" ht="15">
      <c r="B282" s="368"/>
      <c r="C282" s="369"/>
      <c r="D282" s="370"/>
      <c r="E282" s="371"/>
      <c r="F282" s="842"/>
    </row>
    <row r="283" spans="2:6" ht="15">
      <c r="B283" s="368"/>
      <c r="C283" s="369"/>
      <c r="D283" s="370"/>
      <c r="E283" s="371"/>
      <c r="F283" s="842"/>
    </row>
    <row r="284" spans="2:6" ht="15">
      <c r="B284" s="368"/>
      <c r="C284" s="369"/>
      <c r="D284" s="370"/>
      <c r="E284" s="371"/>
      <c r="F284" s="842"/>
    </row>
    <row r="285" spans="2:6" ht="15">
      <c r="B285" s="368"/>
      <c r="C285" s="369"/>
      <c r="D285" s="370"/>
      <c r="E285" s="371"/>
      <c r="F285" s="842"/>
    </row>
    <row r="286" spans="2:6" ht="15">
      <c r="B286" s="368"/>
      <c r="C286" s="369"/>
      <c r="D286" s="370"/>
      <c r="E286" s="371"/>
      <c r="F286" s="842"/>
    </row>
    <row r="287" spans="2:6" ht="15">
      <c r="B287" s="368"/>
      <c r="C287" s="369"/>
      <c r="D287" s="370"/>
      <c r="E287" s="371"/>
      <c r="F287" s="842"/>
    </row>
    <row r="288" spans="2:6" ht="15">
      <c r="B288" s="368"/>
      <c r="C288" s="369"/>
      <c r="D288" s="370"/>
      <c r="E288" s="371"/>
      <c r="F288" s="842"/>
    </row>
    <row r="289" spans="2:6" ht="15">
      <c r="B289" s="368"/>
      <c r="C289" s="369"/>
      <c r="D289" s="370"/>
      <c r="E289" s="371"/>
      <c r="F289" s="842"/>
    </row>
    <row r="290" spans="2:6" ht="15">
      <c r="B290" s="368"/>
      <c r="C290" s="369"/>
      <c r="D290" s="370"/>
      <c r="E290" s="371"/>
      <c r="F290" s="842"/>
    </row>
    <row r="291" spans="2:6" ht="15">
      <c r="B291" s="368"/>
      <c r="C291" s="369"/>
      <c r="D291" s="370"/>
      <c r="E291" s="371"/>
      <c r="F291" s="842"/>
    </row>
    <row r="292" spans="2:6" ht="15">
      <c r="B292" s="368"/>
      <c r="C292" s="369"/>
      <c r="D292" s="370"/>
      <c r="E292" s="371"/>
      <c r="F292" s="842"/>
    </row>
    <row r="293" spans="2:6" ht="15">
      <c r="B293" s="368"/>
      <c r="C293" s="369"/>
      <c r="D293" s="370"/>
      <c r="E293" s="371"/>
      <c r="F293" s="842"/>
    </row>
    <row r="294" spans="2:6" ht="15">
      <c r="B294" s="368"/>
      <c r="C294" s="369"/>
      <c r="D294" s="370"/>
      <c r="E294" s="371"/>
      <c r="F294" s="842"/>
    </row>
    <row r="295" spans="2:6" ht="15">
      <c r="B295" s="368"/>
      <c r="C295" s="369"/>
      <c r="D295" s="370"/>
      <c r="E295" s="371"/>
      <c r="F295" s="842"/>
    </row>
    <row r="296" spans="2:6" ht="15">
      <c r="B296" s="368"/>
      <c r="C296" s="369"/>
      <c r="D296" s="370"/>
      <c r="E296" s="371"/>
      <c r="F296" s="842"/>
    </row>
    <row r="297" spans="2:6" ht="15">
      <c r="B297" s="368"/>
      <c r="C297" s="369"/>
      <c r="D297" s="370"/>
      <c r="E297" s="371"/>
      <c r="F297" s="842"/>
    </row>
    <row r="298" spans="2:6" ht="15">
      <c r="B298" s="368"/>
      <c r="C298" s="369"/>
      <c r="D298" s="370"/>
      <c r="E298" s="371"/>
      <c r="F298" s="842"/>
    </row>
    <row r="299" spans="2:6" ht="15">
      <c r="B299" s="368"/>
      <c r="C299" s="369"/>
      <c r="D299" s="370"/>
      <c r="E299" s="371"/>
      <c r="F299" s="842"/>
    </row>
    <row r="300" spans="2:6" ht="15">
      <c r="B300" s="368"/>
      <c r="C300" s="369"/>
      <c r="D300" s="370"/>
      <c r="E300" s="371"/>
      <c r="F300" s="842"/>
    </row>
    <row r="301" spans="2:6" ht="15">
      <c r="B301" s="368"/>
      <c r="C301" s="369"/>
      <c r="D301" s="370"/>
      <c r="E301" s="371"/>
      <c r="F301" s="842"/>
    </row>
    <row r="302" spans="2:6" ht="15">
      <c r="B302" s="368"/>
      <c r="C302" s="369"/>
      <c r="D302" s="370"/>
      <c r="E302" s="371"/>
      <c r="F302" s="842"/>
    </row>
    <row r="303" spans="2:6" ht="15">
      <c r="B303" s="368"/>
      <c r="C303" s="369"/>
      <c r="D303" s="370"/>
      <c r="E303" s="371"/>
      <c r="F303" s="842"/>
    </row>
    <row r="304" spans="2:6" ht="15">
      <c r="B304" s="368"/>
      <c r="C304" s="369"/>
      <c r="D304" s="370"/>
      <c r="E304" s="371"/>
      <c r="F304" s="842"/>
    </row>
    <row r="305" spans="2:6" ht="15">
      <c r="B305" s="368"/>
      <c r="C305" s="369"/>
      <c r="D305" s="370"/>
      <c r="E305" s="371"/>
      <c r="F305" s="842"/>
    </row>
    <row r="306" spans="2:6" ht="15">
      <c r="B306" s="368"/>
      <c r="C306" s="369"/>
      <c r="D306" s="370"/>
      <c r="E306" s="371"/>
      <c r="F306" s="842"/>
    </row>
    <row r="307" spans="2:6" ht="15">
      <c r="B307" s="368"/>
      <c r="C307" s="369"/>
      <c r="D307" s="370"/>
      <c r="E307" s="371"/>
      <c r="F307" s="842"/>
    </row>
    <row r="308" spans="2:6" ht="15">
      <c r="B308" s="368"/>
      <c r="C308" s="369"/>
      <c r="D308" s="370"/>
      <c r="E308" s="371"/>
      <c r="F308" s="842"/>
    </row>
    <row r="309" spans="2:6" ht="15">
      <c r="B309" s="368"/>
      <c r="C309" s="369"/>
      <c r="D309" s="370"/>
      <c r="E309" s="371"/>
      <c r="F309" s="842"/>
    </row>
    <row r="310" spans="2:6" ht="15">
      <c r="B310" s="368"/>
      <c r="C310" s="369"/>
      <c r="D310" s="370"/>
      <c r="E310" s="371"/>
      <c r="F310" s="842"/>
    </row>
    <row r="311" spans="2:6" ht="15">
      <c r="B311" s="368"/>
      <c r="C311" s="369"/>
      <c r="D311" s="370"/>
      <c r="E311" s="371"/>
      <c r="F311" s="842"/>
    </row>
    <row r="312" spans="2:6" ht="15">
      <c r="B312" s="368"/>
      <c r="C312" s="369"/>
      <c r="D312" s="370"/>
      <c r="E312" s="371"/>
      <c r="F312" s="842"/>
    </row>
    <row r="313" spans="2:6" ht="15">
      <c r="B313" s="368"/>
      <c r="C313" s="369"/>
      <c r="D313" s="370"/>
      <c r="E313" s="371"/>
      <c r="F313" s="842"/>
    </row>
    <row r="314" spans="2:6" ht="15">
      <c r="B314" s="368"/>
      <c r="C314" s="369"/>
      <c r="D314" s="370"/>
      <c r="E314" s="371"/>
      <c r="F314" s="842"/>
    </row>
    <row r="315" spans="2:6" ht="15">
      <c r="B315" s="368"/>
      <c r="C315" s="369"/>
      <c r="D315" s="370"/>
      <c r="E315" s="371"/>
      <c r="F315" s="842"/>
    </row>
    <row r="316" spans="2:6" ht="15">
      <c r="B316" s="368"/>
      <c r="C316" s="369"/>
      <c r="D316" s="370"/>
      <c r="E316" s="371"/>
      <c r="F316" s="842"/>
    </row>
    <row r="317" spans="2:6" ht="15">
      <c r="B317" s="368"/>
      <c r="C317" s="369"/>
      <c r="D317" s="370"/>
      <c r="E317" s="371"/>
      <c r="F317" s="842"/>
    </row>
    <row r="318" spans="2:6" ht="15">
      <c r="B318" s="368"/>
      <c r="C318" s="369"/>
      <c r="D318" s="370"/>
      <c r="E318" s="371"/>
      <c r="F318" s="842"/>
    </row>
    <row r="319" spans="2:6" ht="15">
      <c r="B319" s="368"/>
      <c r="C319" s="369"/>
      <c r="D319" s="370"/>
      <c r="E319" s="371"/>
      <c r="F319" s="842"/>
    </row>
    <row r="320" spans="2:6" ht="15">
      <c r="B320" s="368"/>
      <c r="C320" s="369"/>
      <c r="D320" s="370"/>
      <c r="E320" s="371"/>
      <c r="F320" s="842"/>
    </row>
    <row r="321" spans="2:6" ht="15">
      <c r="B321" s="368"/>
      <c r="C321" s="369"/>
      <c r="D321" s="370"/>
      <c r="E321" s="371"/>
      <c r="F321" s="842"/>
    </row>
    <row r="322" spans="2:6" ht="15">
      <c r="B322" s="368"/>
      <c r="C322" s="369"/>
      <c r="D322" s="370"/>
      <c r="E322" s="371"/>
      <c r="F322" s="842"/>
    </row>
    <row r="323" spans="2:6" ht="15">
      <c r="B323" s="368"/>
      <c r="C323" s="369"/>
      <c r="D323" s="370"/>
      <c r="E323" s="371"/>
      <c r="F323" s="842"/>
    </row>
    <row r="324" spans="2:6" ht="15">
      <c r="B324" s="368"/>
      <c r="C324" s="369"/>
      <c r="D324" s="370"/>
      <c r="E324" s="371"/>
      <c r="F324" s="842"/>
    </row>
    <row r="325" spans="2:6" ht="15">
      <c r="B325" s="368"/>
      <c r="C325" s="369"/>
      <c r="D325" s="370"/>
      <c r="E325" s="371"/>
      <c r="F325" s="842"/>
    </row>
    <row r="326" spans="2:6" ht="15">
      <c r="B326" s="368"/>
      <c r="C326" s="369"/>
      <c r="D326" s="370"/>
      <c r="E326" s="371"/>
      <c r="F326" s="842"/>
    </row>
    <row r="327" spans="2:6" ht="15">
      <c r="B327" s="368"/>
      <c r="C327" s="369"/>
      <c r="D327" s="370"/>
      <c r="E327" s="371"/>
      <c r="F327" s="842"/>
    </row>
    <row r="328" spans="2:6" ht="15">
      <c r="B328" s="368"/>
      <c r="C328" s="369"/>
      <c r="D328" s="370"/>
      <c r="E328" s="371"/>
      <c r="F328" s="842"/>
    </row>
    <row r="329" spans="2:6" ht="15">
      <c r="B329" s="368"/>
      <c r="C329" s="369"/>
      <c r="D329" s="370"/>
      <c r="E329" s="371"/>
      <c r="F329" s="842"/>
    </row>
    <row r="330" spans="2:6" ht="15">
      <c r="B330" s="368"/>
      <c r="C330" s="369"/>
      <c r="D330" s="370"/>
      <c r="E330" s="371"/>
      <c r="F330" s="842"/>
    </row>
    <row r="331" spans="2:6" ht="15">
      <c r="B331" s="368"/>
      <c r="C331" s="369"/>
      <c r="D331" s="370"/>
      <c r="E331" s="371"/>
      <c r="F331" s="842"/>
    </row>
    <row r="332" spans="2:6" ht="15">
      <c r="B332" s="368"/>
      <c r="C332" s="369"/>
      <c r="D332" s="370"/>
      <c r="E332" s="371"/>
      <c r="F332" s="842"/>
    </row>
    <row r="333" spans="2:6" ht="15">
      <c r="B333" s="368"/>
      <c r="C333" s="369"/>
      <c r="D333" s="370"/>
      <c r="E333" s="371"/>
      <c r="F333" s="842"/>
    </row>
    <row r="334" spans="2:6" ht="15">
      <c r="B334" s="368"/>
      <c r="C334" s="369"/>
      <c r="D334" s="370"/>
      <c r="E334" s="371"/>
      <c r="F334" s="842"/>
    </row>
    <row r="335" spans="2:6" ht="15">
      <c r="B335" s="368"/>
      <c r="C335" s="369"/>
      <c r="D335" s="370"/>
      <c r="E335" s="371"/>
      <c r="F335" s="842"/>
    </row>
    <row r="336" spans="2:6" ht="15">
      <c r="B336" s="368"/>
      <c r="C336" s="369"/>
      <c r="D336" s="370"/>
      <c r="E336" s="371"/>
      <c r="F336" s="842"/>
    </row>
    <row r="337" spans="2:6" ht="15">
      <c r="B337" s="368"/>
      <c r="C337" s="369"/>
      <c r="D337" s="370"/>
      <c r="E337" s="371"/>
      <c r="F337" s="842"/>
    </row>
    <row r="338" spans="2:6" ht="15">
      <c r="B338" s="368"/>
      <c r="C338" s="369"/>
      <c r="D338" s="370"/>
      <c r="E338" s="371"/>
      <c r="F338" s="842"/>
    </row>
    <row r="339" spans="2:6" ht="15">
      <c r="B339" s="368"/>
      <c r="C339" s="369"/>
      <c r="D339" s="370"/>
      <c r="E339" s="371"/>
      <c r="F339" s="842"/>
    </row>
    <row r="340" spans="2:6" ht="15">
      <c r="B340" s="368"/>
      <c r="C340" s="369"/>
      <c r="D340" s="370"/>
      <c r="E340" s="371"/>
      <c r="F340" s="842"/>
    </row>
    <row r="341" spans="2:6" ht="15">
      <c r="B341" s="368"/>
      <c r="C341" s="369"/>
      <c r="D341" s="370"/>
      <c r="E341" s="371"/>
      <c r="F341" s="842"/>
    </row>
    <row r="342" spans="2:6" ht="15">
      <c r="B342" s="368"/>
      <c r="C342" s="369"/>
      <c r="D342" s="370"/>
      <c r="E342" s="371"/>
      <c r="F342" s="842"/>
    </row>
    <row r="343" spans="2:6" ht="15">
      <c r="B343" s="368"/>
      <c r="C343" s="369"/>
      <c r="D343" s="370"/>
      <c r="E343" s="371"/>
      <c r="F343" s="842"/>
    </row>
    <row r="344" spans="2:6" ht="15">
      <c r="B344" s="368"/>
      <c r="C344" s="369"/>
      <c r="D344" s="370"/>
      <c r="E344" s="371"/>
      <c r="F344" s="842"/>
    </row>
    <row r="345" spans="2:6" ht="15">
      <c r="B345" s="368"/>
      <c r="C345" s="369"/>
      <c r="D345" s="370"/>
      <c r="E345" s="371"/>
      <c r="F345" s="842"/>
    </row>
    <row r="346" spans="2:6" ht="15">
      <c r="B346" s="368"/>
      <c r="C346" s="369"/>
      <c r="D346" s="370"/>
      <c r="E346" s="371"/>
      <c r="F346" s="842"/>
    </row>
    <row r="347" spans="2:6" ht="15">
      <c r="B347" s="368"/>
      <c r="C347" s="369"/>
      <c r="D347" s="370"/>
      <c r="E347" s="371"/>
      <c r="F347" s="842"/>
    </row>
    <row r="348" spans="2:6" ht="15">
      <c r="B348" s="368"/>
      <c r="C348" s="369"/>
      <c r="D348" s="370"/>
      <c r="E348" s="371"/>
      <c r="F348" s="842"/>
    </row>
    <row r="349" spans="2:6" ht="15">
      <c r="B349" s="368"/>
      <c r="C349" s="369"/>
      <c r="D349" s="370"/>
      <c r="E349" s="371"/>
      <c r="F349" s="842"/>
    </row>
    <row r="350" spans="2:6" ht="15">
      <c r="B350" s="368"/>
      <c r="C350" s="369"/>
      <c r="D350" s="370"/>
      <c r="E350" s="371"/>
      <c r="F350" s="842"/>
    </row>
    <row r="351" spans="2:6" ht="15">
      <c r="B351" s="368"/>
      <c r="C351" s="369"/>
      <c r="D351" s="370"/>
      <c r="E351" s="371"/>
      <c r="F351" s="842"/>
    </row>
    <row r="352" spans="2:6" ht="15">
      <c r="B352" s="368"/>
      <c r="C352" s="369"/>
      <c r="D352" s="370"/>
      <c r="E352" s="371"/>
      <c r="F352" s="842"/>
    </row>
    <row r="353" spans="2:6" ht="15">
      <c r="B353" s="368"/>
      <c r="C353" s="369"/>
      <c r="D353" s="370"/>
      <c r="E353" s="371"/>
      <c r="F353" s="842"/>
    </row>
    <row r="354" spans="2:6" ht="15">
      <c r="B354" s="368"/>
      <c r="C354" s="369"/>
      <c r="D354" s="370"/>
      <c r="E354" s="371"/>
      <c r="F354" s="842"/>
    </row>
    <row r="355" spans="2:6" ht="15">
      <c r="B355" s="368"/>
      <c r="C355" s="369"/>
      <c r="D355" s="370"/>
      <c r="E355" s="371"/>
      <c r="F355" s="842"/>
    </row>
    <row r="356" spans="2:6" ht="15">
      <c r="B356" s="368"/>
      <c r="C356" s="369"/>
      <c r="D356" s="370"/>
      <c r="E356" s="371"/>
      <c r="F356" s="842"/>
    </row>
    <row r="357" spans="2:6" ht="15">
      <c r="B357" s="368"/>
      <c r="C357" s="369"/>
      <c r="D357" s="370"/>
      <c r="E357" s="371"/>
      <c r="F357" s="842"/>
    </row>
    <row r="358" spans="2:6" ht="15">
      <c r="B358" s="368"/>
      <c r="C358" s="369"/>
      <c r="D358" s="370"/>
      <c r="E358" s="371"/>
      <c r="F358" s="842"/>
    </row>
    <row r="359" spans="2:6" ht="15">
      <c r="B359" s="368"/>
      <c r="C359" s="369"/>
      <c r="D359" s="370"/>
      <c r="E359" s="371"/>
      <c r="F359" s="842"/>
    </row>
    <row r="360" spans="2:6" ht="15">
      <c r="B360" s="368"/>
      <c r="C360" s="369"/>
      <c r="D360" s="370"/>
      <c r="E360" s="371"/>
      <c r="F360" s="842"/>
    </row>
    <row r="361" spans="2:6" ht="15">
      <c r="B361" s="368"/>
      <c r="C361" s="369"/>
      <c r="D361" s="370"/>
      <c r="E361" s="371"/>
      <c r="F361" s="842"/>
    </row>
    <row r="362" spans="2:6" ht="15">
      <c r="B362" s="368"/>
      <c r="C362" s="369"/>
      <c r="D362" s="370"/>
      <c r="E362" s="371"/>
      <c r="F362" s="842"/>
    </row>
    <row r="363" spans="2:6" ht="15">
      <c r="B363" s="368"/>
      <c r="C363" s="369"/>
      <c r="D363" s="370"/>
      <c r="E363" s="371"/>
      <c r="F363" s="842"/>
    </row>
    <row r="364" spans="2:6" ht="15">
      <c r="B364" s="368"/>
      <c r="C364" s="369"/>
      <c r="D364" s="370"/>
      <c r="E364" s="371"/>
      <c r="F364" s="842"/>
    </row>
    <row r="365" spans="2:6" ht="15">
      <c r="B365" s="368"/>
      <c r="C365" s="369"/>
      <c r="D365" s="370"/>
      <c r="E365" s="371"/>
      <c r="F365" s="842"/>
    </row>
    <row r="366" spans="2:6" ht="15">
      <c r="B366" s="368"/>
      <c r="C366" s="369"/>
      <c r="D366" s="370"/>
      <c r="E366" s="371"/>
      <c r="F366" s="842"/>
    </row>
    <row r="367" spans="2:6" ht="15">
      <c r="B367" s="368"/>
      <c r="C367" s="369"/>
      <c r="D367" s="370"/>
      <c r="E367" s="371"/>
      <c r="F367" s="842"/>
    </row>
    <row r="368" spans="2:6" ht="15">
      <c r="B368" s="368"/>
      <c r="C368" s="369"/>
      <c r="D368" s="370"/>
      <c r="E368" s="371"/>
      <c r="F368" s="842"/>
    </row>
    <row r="369" spans="2:6" ht="15">
      <c r="B369" s="368"/>
      <c r="C369" s="369"/>
      <c r="D369" s="370"/>
      <c r="E369" s="371"/>
      <c r="F369" s="842"/>
    </row>
    <row r="370" spans="2:6" ht="15">
      <c r="B370" s="368"/>
      <c r="C370" s="369"/>
      <c r="D370" s="370"/>
      <c r="E370" s="371"/>
      <c r="F370" s="842"/>
    </row>
    <row r="371" spans="2:6" ht="15">
      <c r="B371" s="368"/>
      <c r="C371" s="369"/>
      <c r="D371" s="370"/>
      <c r="E371" s="371"/>
      <c r="F371" s="842"/>
    </row>
    <row r="372" spans="2:6" ht="15">
      <c r="B372" s="368"/>
      <c r="C372" s="369"/>
      <c r="D372" s="370"/>
      <c r="E372" s="371"/>
      <c r="F372" s="842"/>
    </row>
    <row r="373" spans="2:6" ht="15">
      <c r="B373" s="368"/>
      <c r="C373" s="369"/>
      <c r="D373" s="370"/>
      <c r="E373" s="371"/>
      <c r="F373" s="842"/>
    </row>
    <row r="374" spans="2:6" ht="15">
      <c r="B374" s="368"/>
      <c r="C374" s="369"/>
      <c r="D374" s="370"/>
      <c r="E374" s="371"/>
      <c r="F374" s="842"/>
    </row>
    <row r="375" spans="2:6" ht="15">
      <c r="B375" s="368"/>
      <c r="C375" s="369"/>
      <c r="D375" s="370"/>
      <c r="E375" s="371"/>
      <c r="F375" s="842"/>
    </row>
    <row r="376" spans="2:6" ht="15">
      <c r="B376" s="368"/>
      <c r="C376" s="369"/>
      <c r="D376" s="370"/>
      <c r="E376" s="371"/>
      <c r="F376" s="842"/>
    </row>
    <row r="377" spans="2:6" ht="15">
      <c r="B377" s="368"/>
      <c r="C377" s="369"/>
      <c r="D377" s="370"/>
      <c r="E377" s="371"/>
      <c r="F377" s="842"/>
    </row>
    <row r="378" spans="2:6" ht="15">
      <c r="B378" s="368"/>
      <c r="C378" s="369"/>
      <c r="D378" s="370"/>
      <c r="E378" s="371"/>
      <c r="F378" s="842"/>
    </row>
    <row r="379" spans="2:6" ht="15">
      <c r="B379" s="368"/>
      <c r="C379" s="369"/>
      <c r="D379" s="370"/>
      <c r="E379" s="371"/>
      <c r="F379" s="842"/>
    </row>
    <row r="380" spans="2:6" ht="15">
      <c r="B380" s="368"/>
      <c r="C380" s="369"/>
      <c r="D380" s="370"/>
      <c r="E380" s="371"/>
      <c r="F380" s="842"/>
    </row>
    <row r="381" spans="2:6" ht="15">
      <c r="B381" s="368"/>
      <c r="C381" s="369"/>
      <c r="D381" s="370"/>
      <c r="E381" s="371"/>
      <c r="F381" s="842"/>
    </row>
    <row r="382" spans="2:6" ht="15">
      <c r="B382" s="368"/>
      <c r="C382" s="369"/>
      <c r="D382" s="370"/>
      <c r="E382" s="371"/>
      <c r="F382" s="842"/>
    </row>
    <row r="383" spans="2:6" ht="15">
      <c r="B383" s="368"/>
      <c r="C383" s="369"/>
      <c r="D383" s="370"/>
      <c r="E383" s="371"/>
      <c r="F383" s="842"/>
    </row>
    <row r="384" spans="2:6" ht="15">
      <c r="B384" s="368"/>
      <c r="C384" s="369"/>
      <c r="D384" s="370"/>
      <c r="E384" s="371"/>
      <c r="F384" s="842"/>
    </row>
    <row r="385" spans="2:6" ht="15">
      <c r="B385" s="368"/>
      <c r="C385" s="369"/>
      <c r="D385" s="370"/>
      <c r="E385" s="371"/>
      <c r="F385" s="842"/>
    </row>
    <row r="386" spans="2:6" ht="15">
      <c r="B386" s="368"/>
      <c r="C386" s="369"/>
      <c r="D386" s="370"/>
      <c r="E386" s="371"/>
      <c r="F386" s="842"/>
    </row>
    <row r="387" spans="2:6" ht="15">
      <c r="B387" s="368"/>
      <c r="C387" s="369"/>
      <c r="D387" s="370"/>
      <c r="E387" s="371"/>
      <c r="F387" s="842"/>
    </row>
    <row r="388" spans="2:6" ht="15">
      <c r="B388" s="368"/>
      <c r="C388" s="369"/>
      <c r="D388" s="370"/>
      <c r="E388" s="371"/>
      <c r="F388" s="842"/>
    </row>
    <row r="389" spans="2:6" ht="15">
      <c r="B389" s="368"/>
      <c r="C389" s="369"/>
      <c r="D389" s="370"/>
      <c r="E389" s="371"/>
      <c r="F389" s="842"/>
    </row>
    <row r="390" spans="2:6" ht="15">
      <c r="B390" s="368"/>
      <c r="C390" s="369"/>
      <c r="D390" s="370"/>
      <c r="E390" s="371"/>
      <c r="F390" s="842"/>
    </row>
    <row r="391" spans="2:6" ht="15">
      <c r="B391" s="368"/>
      <c r="C391" s="369"/>
      <c r="D391" s="370"/>
      <c r="E391" s="371"/>
      <c r="F391" s="842"/>
    </row>
    <row r="392" spans="2:6" ht="15">
      <c r="B392" s="368"/>
      <c r="C392" s="369"/>
      <c r="D392" s="370"/>
      <c r="E392" s="371"/>
      <c r="F392" s="842"/>
    </row>
    <row r="393" spans="2:6" ht="15">
      <c r="B393" s="368"/>
      <c r="C393" s="369"/>
      <c r="D393" s="370"/>
      <c r="E393" s="371"/>
      <c r="F393" s="842"/>
    </row>
    <row r="394" spans="2:6" ht="15">
      <c r="B394" s="368"/>
      <c r="C394" s="369"/>
      <c r="D394" s="370"/>
      <c r="E394" s="371"/>
      <c r="F394" s="842"/>
    </row>
    <row r="395" spans="2:6" ht="15">
      <c r="B395" s="368"/>
      <c r="C395" s="369"/>
      <c r="D395" s="370"/>
      <c r="E395" s="371"/>
      <c r="F395" s="842"/>
    </row>
    <row r="396" spans="2:6" ht="15">
      <c r="B396" s="368"/>
      <c r="C396" s="369"/>
      <c r="D396" s="370"/>
      <c r="E396" s="371"/>
      <c r="F396" s="842"/>
    </row>
    <row r="397" spans="2:6" ht="15">
      <c r="B397" s="368"/>
      <c r="C397" s="369"/>
      <c r="D397" s="370"/>
      <c r="E397" s="371"/>
      <c r="F397" s="842"/>
    </row>
    <row r="398" spans="2:6" ht="15">
      <c r="B398" s="368"/>
      <c r="C398" s="369"/>
      <c r="D398" s="370"/>
      <c r="E398" s="371"/>
      <c r="F398" s="842"/>
    </row>
    <row r="399" spans="2:6" ht="15">
      <c r="B399" s="368"/>
      <c r="C399" s="369"/>
      <c r="D399" s="370"/>
      <c r="E399" s="371"/>
      <c r="F399" s="842"/>
    </row>
    <row r="400" spans="2:6" ht="15">
      <c r="B400" s="368"/>
      <c r="C400" s="369"/>
      <c r="D400" s="370"/>
      <c r="E400" s="371"/>
      <c r="F400" s="842"/>
    </row>
    <row r="401" spans="2:6" ht="15">
      <c r="B401" s="368"/>
      <c r="C401" s="369"/>
      <c r="D401" s="370"/>
      <c r="E401" s="371"/>
      <c r="F401" s="842"/>
    </row>
    <row r="402" spans="2:6" ht="15">
      <c r="B402" s="368"/>
      <c r="C402" s="369"/>
      <c r="D402" s="370"/>
      <c r="E402" s="371"/>
      <c r="F402" s="842"/>
    </row>
    <row r="403" spans="2:6" ht="15">
      <c r="B403" s="368"/>
      <c r="C403" s="369"/>
      <c r="D403" s="370"/>
      <c r="E403" s="371"/>
      <c r="F403" s="842"/>
    </row>
    <row r="404" spans="2:6" ht="15">
      <c r="B404" s="368"/>
      <c r="C404" s="369"/>
      <c r="D404" s="370"/>
      <c r="E404" s="371"/>
      <c r="F404" s="842"/>
    </row>
    <row r="405" spans="2:6" ht="15">
      <c r="B405" s="368"/>
      <c r="C405" s="369"/>
      <c r="D405" s="370"/>
      <c r="E405" s="371"/>
      <c r="F405" s="842"/>
    </row>
    <row r="406" spans="2:6" ht="15">
      <c r="B406" s="368"/>
      <c r="C406" s="369"/>
      <c r="D406" s="370"/>
      <c r="E406" s="371"/>
      <c r="F406" s="842"/>
    </row>
    <row r="407" spans="2:6" ht="15">
      <c r="B407" s="368"/>
      <c r="C407" s="369"/>
      <c r="D407" s="370"/>
      <c r="E407" s="371"/>
      <c r="F407" s="842"/>
    </row>
    <row r="408" spans="2:6" ht="15">
      <c r="B408" s="368"/>
      <c r="C408" s="369"/>
      <c r="D408" s="370"/>
      <c r="E408" s="371"/>
      <c r="F408" s="842"/>
    </row>
    <row r="409" spans="2:6" ht="15">
      <c r="B409" s="368"/>
      <c r="C409" s="369"/>
      <c r="D409" s="370"/>
      <c r="E409" s="371"/>
      <c r="F409" s="842"/>
    </row>
    <row r="410" spans="2:6" ht="15">
      <c r="B410" s="368"/>
      <c r="C410" s="369"/>
      <c r="D410" s="370"/>
      <c r="E410" s="371"/>
      <c r="F410" s="842"/>
    </row>
    <row r="411" spans="2:6" ht="15">
      <c r="B411" s="368"/>
      <c r="C411" s="369"/>
      <c r="D411" s="370"/>
      <c r="E411" s="371"/>
      <c r="F411" s="842"/>
    </row>
    <row r="412" spans="2:6" ht="15">
      <c r="B412" s="368"/>
      <c r="C412" s="369"/>
      <c r="D412" s="370"/>
      <c r="E412" s="371"/>
      <c r="F412" s="842"/>
    </row>
    <row r="413" spans="2:6" ht="15">
      <c r="B413" s="368"/>
      <c r="C413" s="369"/>
      <c r="D413" s="370"/>
      <c r="E413" s="371"/>
      <c r="F413" s="842"/>
    </row>
    <row r="414" spans="2:6" ht="15">
      <c r="B414" s="368"/>
      <c r="C414" s="369"/>
      <c r="D414" s="370"/>
      <c r="E414" s="371"/>
      <c r="F414" s="842"/>
    </row>
    <row r="415" spans="2:6" ht="15">
      <c r="B415" s="368"/>
      <c r="C415" s="369"/>
      <c r="D415" s="370"/>
      <c r="E415" s="371"/>
      <c r="F415" s="842"/>
    </row>
    <row r="416" spans="2:6" ht="15">
      <c r="B416" s="368"/>
      <c r="C416" s="369"/>
      <c r="D416" s="370"/>
      <c r="E416" s="371"/>
      <c r="F416" s="842"/>
    </row>
    <row r="417" spans="2:6" ht="15">
      <c r="B417" s="368"/>
      <c r="C417" s="369"/>
      <c r="D417" s="370"/>
      <c r="E417" s="371"/>
      <c r="F417" s="842"/>
    </row>
    <row r="418" spans="2:6" ht="15">
      <c r="B418" s="368"/>
      <c r="C418" s="369"/>
      <c r="D418" s="370"/>
      <c r="E418" s="371"/>
      <c r="F418" s="842"/>
    </row>
    <row r="419" spans="2:6" ht="15">
      <c r="B419" s="368"/>
      <c r="C419" s="369"/>
      <c r="D419" s="370"/>
      <c r="E419" s="371"/>
      <c r="F419" s="842"/>
    </row>
    <row r="420" spans="2:6" ht="15">
      <c r="B420" s="368"/>
      <c r="C420" s="369"/>
      <c r="D420" s="370"/>
      <c r="E420" s="371"/>
      <c r="F420" s="842"/>
    </row>
    <row r="421" spans="2:6" ht="15">
      <c r="B421" s="368"/>
      <c r="C421" s="369"/>
      <c r="D421" s="370"/>
      <c r="E421" s="371"/>
      <c r="F421" s="842"/>
    </row>
    <row r="422" spans="2:6" ht="15">
      <c r="B422" s="368"/>
      <c r="C422" s="369"/>
      <c r="D422" s="370"/>
      <c r="E422" s="371"/>
      <c r="F422" s="842"/>
    </row>
    <row r="423" spans="2:6" ht="15">
      <c r="B423" s="368"/>
      <c r="C423" s="369"/>
      <c r="D423" s="370"/>
      <c r="E423" s="371"/>
      <c r="F423" s="842"/>
    </row>
    <row r="424" spans="2:6" ht="15">
      <c r="B424" s="368"/>
      <c r="C424" s="369"/>
      <c r="D424" s="370"/>
      <c r="E424" s="371"/>
      <c r="F424" s="842"/>
    </row>
    <row r="425" spans="2:6" ht="15">
      <c r="B425" s="368"/>
      <c r="C425" s="369"/>
      <c r="D425" s="370"/>
      <c r="E425" s="371"/>
      <c r="F425" s="842"/>
    </row>
    <row r="426" spans="2:6" ht="15">
      <c r="B426" s="368"/>
      <c r="C426" s="369"/>
      <c r="D426" s="370"/>
      <c r="E426" s="371"/>
      <c r="F426" s="842"/>
    </row>
    <row r="427" spans="2:6" ht="15">
      <c r="B427" s="368"/>
      <c r="C427" s="369"/>
      <c r="D427" s="370"/>
      <c r="E427" s="371"/>
      <c r="F427" s="842"/>
    </row>
    <row r="428" spans="2:6" ht="15">
      <c r="B428" s="368"/>
      <c r="C428" s="369"/>
      <c r="D428" s="370"/>
      <c r="E428" s="371"/>
      <c r="F428" s="842"/>
    </row>
    <row r="429" spans="2:6" ht="15">
      <c r="B429" s="368"/>
      <c r="C429" s="369"/>
      <c r="D429" s="370"/>
      <c r="E429" s="371"/>
      <c r="F429" s="842"/>
    </row>
    <row r="430" spans="2:6" ht="15">
      <c r="B430" s="368"/>
      <c r="C430" s="369"/>
      <c r="D430" s="370"/>
      <c r="E430" s="371"/>
      <c r="F430" s="842"/>
    </row>
    <row r="431" spans="2:6" ht="15">
      <c r="B431" s="368"/>
      <c r="C431" s="369"/>
      <c r="D431" s="370"/>
      <c r="E431" s="371"/>
      <c r="F431" s="842"/>
    </row>
    <row r="432" spans="2:6" ht="15">
      <c r="B432" s="368"/>
      <c r="C432" s="369"/>
      <c r="D432" s="370"/>
      <c r="E432" s="371"/>
      <c r="F432" s="842"/>
    </row>
    <row r="433" spans="2:6" ht="15">
      <c r="B433" s="368"/>
      <c r="C433" s="369"/>
      <c r="D433" s="370"/>
      <c r="E433" s="371"/>
      <c r="F433" s="842"/>
    </row>
    <row r="434" spans="2:6" ht="15">
      <c r="B434" s="368"/>
      <c r="C434" s="369"/>
      <c r="D434" s="370"/>
      <c r="E434" s="371"/>
      <c r="F434" s="842"/>
    </row>
    <row r="435" spans="2:6" ht="15">
      <c r="B435" s="368"/>
      <c r="C435" s="369"/>
      <c r="D435" s="370"/>
      <c r="E435" s="371"/>
      <c r="F435" s="842"/>
    </row>
    <row r="436" spans="2:6" ht="15">
      <c r="B436" s="368"/>
      <c r="C436" s="369"/>
      <c r="D436" s="370"/>
      <c r="E436" s="371"/>
      <c r="F436" s="842"/>
    </row>
    <row r="437" spans="2:6" ht="15">
      <c r="B437" s="368"/>
      <c r="C437" s="369"/>
      <c r="D437" s="370"/>
      <c r="E437" s="371"/>
      <c r="F437" s="842"/>
    </row>
    <row r="438" spans="2:6" ht="15">
      <c r="B438" s="368"/>
      <c r="C438" s="369"/>
      <c r="D438" s="370"/>
      <c r="E438" s="371"/>
      <c r="F438" s="842"/>
    </row>
    <row r="439" spans="2:6" ht="15">
      <c r="B439" s="368"/>
      <c r="C439" s="369"/>
      <c r="D439" s="370"/>
      <c r="E439" s="371"/>
      <c r="F439" s="842"/>
    </row>
    <row r="440" spans="2:6" ht="15">
      <c r="B440" s="368"/>
      <c r="C440" s="369"/>
      <c r="D440" s="370"/>
      <c r="E440" s="371"/>
      <c r="F440" s="842"/>
    </row>
    <row r="441" spans="2:6" ht="15">
      <c r="B441" s="368"/>
      <c r="C441" s="369"/>
      <c r="D441" s="370"/>
      <c r="E441" s="371"/>
      <c r="F441" s="842"/>
    </row>
    <row r="442" spans="2:6" ht="15">
      <c r="B442" s="368"/>
      <c r="C442" s="369"/>
      <c r="D442" s="370"/>
      <c r="E442" s="371"/>
      <c r="F442" s="842"/>
    </row>
    <row r="443" spans="2:6" ht="15">
      <c r="B443" s="368"/>
      <c r="C443" s="369"/>
      <c r="D443" s="370"/>
      <c r="E443" s="371"/>
      <c r="F443" s="842"/>
    </row>
    <row r="444" spans="2:6" ht="15">
      <c r="B444" s="368"/>
      <c r="C444" s="369"/>
      <c r="D444" s="370"/>
      <c r="E444" s="371"/>
      <c r="F444" s="842"/>
    </row>
    <row r="445" spans="2:6" ht="15">
      <c r="B445" s="368"/>
      <c r="C445" s="369"/>
      <c r="D445" s="370"/>
      <c r="E445" s="371"/>
      <c r="F445" s="842"/>
    </row>
    <row r="446" spans="2:6" ht="15">
      <c r="B446" s="368"/>
      <c r="C446" s="369"/>
      <c r="D446" s="370"/>
      <c r="E446" s="371"/>
      <c r="F446" s="842"/>
    </row>
    <row r="447" spans="2:6" ht="15">
      <c r="B447" s="368"/>
      <c r="C447" s="369"/>
      <c r="D447" s="370"/>
      <c r="E447" s="371"/>
      <c r="F447" s="842"/>
    </row>
    <row r="448" spans="2:6" ht="15">
      <c r="B448" s="368"/>
      <c r="C448" s="369"/>
      <c r="D448" s="370"/>
      <c r="E448" s="371"/>
      <c r="F448" s="842"/>
    </row>
    <row r="449" spans="2:6" ht="15">
      <c r="B449" s="368"/>
      <c r="C449" s="369"/>
      <c r="D449" s="370"/>
      <c r="E449" s="371"/>
      <c r="F449" s="842"/>
    </row>
    <row r="450" spans="2:6" ht="15">
      <c r="B450" s="368"/>
      <c r="C450" s="369"/>
      <c r="D450" s="370"/>
      <c r="E450" s="371"/>
      <c r="F450" s="842"/>
    </row>
    <row r="451" spans="2:6" ht="15">
      <c r="B451" s="368"/>
      <c r="C451" s="369"/>
      <c r="D451" s="370"/>
      <c r="E451" s="371"/>
      <c r="F451" s="842"/>
    </row>
    <row r="452" spans="2:6" ht="15">
      <c r="B452" s="368"/>
      <c r="C452" s="369"/>
      <c r="D452" s="370"/>
      <c r="E452" s="371"/>
      <c r="F452" s="842"/>
    </row>
    <row r="453" spans="2:6" ht="15">
      <c r="B453" s="368"/>
      <c r="C453" s="369"/>
      <c r="D453" s="370"/>
      <c r="E453" s="371"/>
      <c r="F453" s="842"/>
    </row>
    <row r="454" spans="2:6" ht="15">
      <c r="B454" s="368"/>
      <c r="C454" s="369"/>
      <c r="D454" s="370"/>
      <c r="E454" s="371"/>
      <c r="F454" s="842"/>
    </row>
    <row r="455" spans="2:6" ht="15">
      <c r="B455" s="368"/>
      <c r="C455" s="369"/>
      <c r="D455" s="370"/>
      <c r="E455" s="371"/>
      <c r="F455" s="842"/>
    </row>
    <row r="456" spans="2:6" ht="15">
      <c r="B456" s="368"/>
      <c r="C456" s="369"/>
      <c r="D456" s="370"/>
      <c r="E456" s="371"/>
      <c r="F456" s="842"/>
    </row>
    <row r="457" spans="2:6" ht="15">
      <c r="B457" s="368"/>
      <c r="C457" s="369"/>
      <c r="D457" s="370"/>
      <c r="E457" s="371"/>
      <c r="F457" s="842"/>
    </row>
    <row r="458" spans="2:6" ht="15">
      <c r="B458" s="368"/>
      <c r="C458" s="369"/>
      <c r="D458" s="370"/>
      <c r="E458" s="371"/>
      <c r="F458" s="842"/>
    </row>
    <row r="459" spans="2:6" ht="15">
      <c r="B459" s="368"/>
      <c r="C459" s="369"/>
      <c r="D459" s="370"/>
      <c r="E459" s="371"/>
      <c r="F459" s="842"/>
    </row>
    <row r="460" spans="2:6" ht="15">
      <c r="B460" s="368"/>
      <c r="C460" s="369"/>
      <c r="D460" s="370"/>
      <c r="E460" s="371"/>
      <c r="F460" s="842"/>
    </row>
    <row r="461" spans="2:6" ht="15">
      <c r="B461" s="368"/>
      <c r="C461" s="369"/>
      <c r="D461" s="370"/>
      <c r="E461" s="371"/>
      <c r="F461" s="842"/>
    </row>
    <row r="462" spans="2:6" ht="15">
      <c r="B462" s="368"/>
      <c r="C462" s="369"/>
      <c r="D462" s="370"/>
      <c r="E462" s="371"/>
      <c r="F462" s="842"/>
    </row>
    <row r="463" spans="2:6" ht="15">
      <c r="B463" s="368"/>
      <c r="C463" s="369"/>
      <c r="D463" s="370"/>
      <c r="E463" s="371"/>
      <c r="F463" s="842"/>
    </row>
    <row r="464" spans="2:6" ht="15">
      <c r="B464" s="368"/>
      <c r="C464" s="369"/>
      <c r="D464" s="370"/>
      <c r="E464" s="371"/>
      <c r="F464" s="842"/>
    </row>
    <row r="465" spans="2:6" ht="15">
      <c r="B465" s="368"/>
      <c r="C465" s="369"/>
      <c r="D465" s="370"/>
      <c r="E465" s="371"/>
      <c r="F465" s="842"/>
    </row>
    <row r="466" spans="2:6" ht="15">
      <c r="B466" s="368"/>
      <c r="C466" s="369"/>
      <c r="D466" s="370"/>
      <c r="E466" s="371"/>
      <c r="F466" s="842"/>
    </row>
    <row r="467" spans="2:6" ht="15">
      <c r="B467" s="368"/>
      <c r="C467" s="369"/>
      <c r="D467" s="370"/>
      <c r="E467" s="371"/>
      <c r="F467" s="842"/>
    </row>
    <row r="468" spans="2:6" ht="15">
      <c r="B468" s="368"/>
      <c r="C468" s="369"/>
      <c r="D468" s="370"/>
      <c r="E468" s="371"/>
      <c r="F468" s="842"/>
    </row>
    <row r="469" spans="2:6" ht="15">
      <c r="B469" s="368"/>
      <c r="C469" s="369"/>
      <c r="D469" s="370"/>
      <c r="E469" s="371"/>
      <c r="F469" s="842"/>
    </row>
    <row r="470" spans="2:6" ht="15">
      <c r="B470" s="368"/>
      <c r="C470" s="369"/>
      <c r="D470" s="370"/>
      <c r="E470" s="371"/>
      <c r="F470" s="842"/>
    </row>
    <row r="471" spans="2:6" ht="15">
      <c r="B471" s="368"/>
      <c r="C471" s="369"/>
      <c r="D471" s="370"/>
      <c r="E471" s="371"/>
      <c r="F471" s="842"/>
    </row>
    <row r="472" spans="2:6" ht="15">
      <c r="B472" s="368"/>
      <c r="C472" s="369"/>
      <c r="D472" s="370"/>
      <c r="E472" s="371"/>
      <c r="F472" s="842"/>
    </row>
    <row r="473" spans="2:6" ht="15">
      <c r="B473" s="368"/>
      <c r="C473" s="369"/>
      <c r="D473" s="370"/>
      <c r="E473" s="371"/>
      <c r="F473" s="842"/>
    </row>
    <row r="474" spans="2:6" ht="15">
      <c r="B474" s="368"/>
      <c r="C474" s="369"/>
      <c r="D474" s="370"/>
      <c r="E474" s="371"/>
      <c r="F474" s="842"/>
    </row>
    <row r="475" spans="2:6" ht="15">
      <c r="B475" s="368"/>
      <c r="C475" s="369"/>
      <c r="D475" s="370"/>
      <c r="E475" s="371"/>
      <c r="F475" s="842"/>
    </row>
    <row r="476" spans="2:6" ht="15">
      <c r="B476" s="368"/>
      <c r="C476" s="369"/>
      <c r="D476" s="370"/>
      <c r="E476" s="371"/>
      <c r="F476" s="842"/>
    </row>
    <row r="477" spans="2:6" ht="15">
      <c r="B477" s="368"/>
      <c r="C477" s="369"/>
      <c r="D477" s="370"/>
      <c r="E477" s="371"/>
      <c r="F477" s="842"/>
    </row>
    <row r="478" spans="2:6" ht="15">
      <c r="B478" s="368"/>
      <c r="C478" s="369"/>
      <c r="D478" s="370"/>
      <c r="E478" s="371"/>
      <c r="F478" s="842"/>
    </row>
    <row r="479" spans="2:6" ht="15">
      <c r="B479" s="368"/>
      <c r="C479" s="369"/>
      <c r="D479" s="370"/>
      <c r="E479" s="371"/>
      <c r="F479" s="842"/>
    </row>
    <row r="480" spans="2:6" ht="15">
      <c r="B480" s="368"/>
      <c r="C480" s="369"/>
      <c r="D480" s="370"/>
      <c r="E480" s="371"/>
      <c r="F480" s="842"/>
    </row>
    <row r="481" spans="2:6" ht="15">
      <c r="B481" s="368"/>
      <c r="C481" s="369"/>
      <c r="D481" s="370"/>
      <c r="E481" s="371"/>
      <c r="F481" s="842"/>
    </row>
    <row r="482" spans="2:6" ht="15">
      <c r="B482" s="368"/>
      <c r="C482" s="369"/>
      <c r="D482" s="370"/>
      <c r="E482" s="371"/>
      <c r="F482" s="842"/>
    </row>
    <row r="483" spans="2:6" ht="15">
      <c r="B483" s="368"/>
      <c r="C483" s="369"/>
      <c r="D483" s="370"/>
      <c r="E483" s="371"/>
      <c r="F483" s="842"/>
    </row>
    <row r="484" spans="2:6" ht="15">
      <c r="B484" s="368"/>
      <c r="C484" s="369"/>
      <c r="D484" s="370"/>
      <c r="E484" s="371"/>
      <c r="F484" s="842"/>
    </row>
    <row r="485" spans="2:6" ht="15">
      <c r="B485" s="368"/>
      <c r="C485" s="369"/>
      <c r="D485" s="370"/>
      <c r="E485" s="371"/>
      <c r="F485" s="842"/>
    </row>
    <row r="486" spans="2:6" ht="15">
      <c r="B486" s="368"/>
      <c r="C486" s="369"/>
      <c r="D486" s="370"/>
      <c r="E486" s="371"/>
      <c r="F486" s="842"/>
    </row>
    <row r="487" spans="2:6" ht="15">
      <c r="B487" s="368"/>
      <c r="C487" s="369"/>
      <c r="D487" s="370"/>
      <c r="E487" s="371"/>
      <c r="F487" s="842"/>
    </row>
    <row r="488" spans="2:6" ht="15">
      <c r="B488" s="368"/>
      <c r="C488" s="369"/>
      <c r="D488" s="370"/>
      <c r="E488" s="371"/>
      <c r="F488" s="842"/>
    </row>
    <row r="489" spans="2:6" ht="15">
      <c r="B489" s="368"/>
      <c r="C489" s="369"/>
      <c r="D489" s="370"/>
      <c r="E489" s="371"/>
      <c r="F489" s="842"/>
    </row>
    <row r="490" spans="2:6" ht="15">
      <c r="B490" s="368"/>
      <c r="C490" s="369"/>
      <c r="D490" s="370"/>
      <c r="E490" s="371"/>
      <c r="F490" s="842"/>
    </row>
    <row r="491" spans="2:6" ht="15">
      <c r="B491" s="368"/>
      <c r="C491" s="369"/>
      <c r="D491" s="370"/>
      <c r="E491" s="371"/>
      <c r="F491" s="842"/>
    </row>
    <row r="492" spans="2:6" ht="15">
      <c r="B492" s="368"/>
      <c r="C492" s="369"/>
      <c r="D492" s="370"/>
      <c r="E492" s="371"/>
      <c r="F492" s="842"/>
    </row>
    <row r="493" spans="2:6" ht="15">
      <c r="B493" s="368"/>
      <c r="C493" s="369"/>
      <c r="D493" s="370"/>
      <c r="E493" s="371"/>
      <c r="F493" s="842"/>
    </row>
    <row r="494" spans="2:6" ht="15">
      <c r="B494" s="368"/>
      <c r="C494" s="369"/>
      <c r="D494" s="370"/>
      <c r="E494" s="371"/>
      <c r="F494" s="842"/>
    </row>
    <row r="495" spans="2:6" ht="15">
      <c r="B495" s="368"/>
      <c r="C495" s="369"/>
      <c r="D495" s="370"/>
      <c r="E495" s="371"/>
      <c r="F495" s="842"/>
    </row>
    <row r="496" spans="2:6" ht="15">
      <c r="B496" s="368"/>
      <c r="C496" s="369"/>
      <c r="D496" s="370"/>
      <c r="E496" s="371"/>
      <c r="F496" s="842"/>
    </row>
    <row r="497" spans="2:6" ht="15">
      <c r="B497" s="368"/>
      <c r="C497" s="369"/>
      <c r="D497" s="370"/>
      <c r="E497" s="371"/>
      <c r="F497" s="842"/>
    </row>
    <row r="498" spans="2:6" ht="15">
      <c r="B498" s="368"/>
      <c r="C498" s="369"/>
      <c r="D498" s="370"/>
      <c r="E498" s="371"/>
      <c r="F498" s="842"/>
    </row>
    <row r="499" spans="2:6" ht="15">
      <c r="B499" s="368"/>
      <c r="C499" s="369"/>
      <c r="D499" s="370"/>
      <c r="E499" s="371"/>
      <c r="F499" s="842"/>
    </row>
    <row r="500" spans="2:6" ht="15">
      <c r="B500" s="368"/>
      <c r="C500" s="369"/>
      <c r="D500" s="370"/>
      <c r="E500" s="371"/>
      <c r="F500" s="842"/>
    </row>
    <row r="501" spans="2:6" ht="15">
      <c r="B501" s="368"/>
      <c r="C501" s="369"/>
      <c r="D501" s="370"/>
      <c r="E501" s="371"/>
      <c r="F501" s="842"/>
    </row>
    <row r="502" spans="2:6" ht="15">
      <c r="B502" s="368"/>
      <c r="C502" s="369"/>
      <c r="D502" s="370"/>
      <c r="E502" s="371"/>
      <c r="F502" s="842"/>
    </row>
    <row r="503" spans="2:6" ht="15">
      <c r="B503" s="368"/>
      <c r="C503" s="369"/>
      <c r="D503" s="370"/>
      <c r="E503" s="371"/>
      <c r="F503" s="842"/>
    </row>
    <row r="504" spans="2:6" ht="15">
      <c r="B504" s="368"/>
      <c r="C504" s="369"/>
      <c r="D504" s="370"/>
      <c r="E504" s="371"/>
      <c r="F504" s="842"/>
    </row>
    <row r="505" spans="2:6" ht="15">
      <c r="B505" s="368"/>
      <c r="C505" s="369"/>
      <c r="D505" s="370"/>
      <c r="E505" s="371"/>
      <c r="F505" s="842"/>
    </row>
    <row r="506" spans="2:6" ht="15">
      <c r="B506" s="368"/>
      <c r="C506" s="369"/>
      <c r="D506" s="370"/>
      <c r="E506" s="371"/>
      <c r="F506" s="842"/>
    </row>
    <row r="507" spans="2:6" ht="15">
      <c r="B507" s="368"/>
      <c r="C507" s="369"/>
      <c r="D507" s="370"/>
      <c r="E507" s="371"/>
      <c r="F507" s="842"/>
    </row>
    <row r="508" spans="2:6" ht="15">
      <c r="B508" s="368"/>
      <c r="C508" s="369"/>
      <c r="D508" s="370"/>
      <c r="E508" s="371"/>
      <c r="F508" s="842"/>
    </row>
    <row r="509" spans="2:6" ht="15">
      <c r="B509" s="368"/>
      <c r="C509" s="369"/>
      <c r="D509" s="370"/>
      <c r="E509" s="371"/>
      <c r="F509" s="842"/>
    </row>
    <row r="510" spans="2:6" ht="15">
      <c r="B510" s="368"/>
      <c r="C510" s="369"/>
      <c r="D510" s="370"/>
      <c r="E510" s="371"/>
      <c r="F510" s="842"/>
    </row>
    <row r="511" spans="2:6" ht="15">
      <c r="B511" s="368"/>
      <c r="C511" s="369"/>
      <c r="D511" s="370"/>
      <c r="E511" s="371"/>
      <c r="F511" s="842"/>
    </row>
    <row r="512" spans="2:6" ht="15">
      <c r="B512" s="368"/>
      <c r="C512" s="369"/>
      <c r="D512" s="370"/>
      <c r="E512" s="371"/>
      <c r="F512" s="842"/>
    </row>
    <row r="513" spans="2:6" ht="15">
      <c r="B513" s="368"/>
      <c r="C513" s="369"/>
      <c r="D513" s="370"/>
      <c r="E513" s="371"/>
      <c r="F513" s="842"/>
    </row>
    <row r="514" spans="2:6" ht="15">
      <c r="B514" s="368"/>
      <c r="C514" s="369"/>
      <c r="D514" s="370"/>
      <c r="E514" s="371"/>
      <c r="F514" s="842"/>
    </row>
    <row r="515" spans="2:6" ht="15">
      <c r="B515" s="368"/>
      <c r="C515" s="369"/>
      <c r="D515" s="370"/>
      <c r="E515" s="371"/>
      <c r="F515" s="842"/>
    </row>
    <row r="516" spans="2:6" ht="15">
      <c r="B516" s="368"/>
      <c r="C516" s="369"/>
      <c r="D516" s="370"/>
      <c r="E516" s="371"/>
      <c r="F516" s="842"/>
    </row>
    <row r="517" spans="2:6" ht="15">
      <c r="B517" s="368"/>
      <c r="C517" s="369"/>
      <c r="D517" s="370"/>
      <c r="E517" s="371"/>
      <c r="F517" s="842"/>
    </row>
    <row r="518" spans="2:6" ht="15">
      <c r="B518" s="368"/>
      <c r="C518" s="369"/>
      <c r="D518" s="370"/>
      <c r="E518" s="371"/>
      <c r="F518" s="842"/>
    </row>
    <row r="519" spans="2:6" ht="15">
      <c r="B519" s="368"/>
      <c r="C519" s="369"/>
      <c r="D519" s="370"/>
      <c r="E519" s="371"/>
      <c r="F519" s="842"/>
    </row>
    <row r="520" spans="2:6" ht="15">
      <c r="B520" s="368"/>
      <c r="C520" s="369"/>
      <c r="D520" s="370"/>
      <c r="E520" s="371"/>
      <c r="F520" s="842"/>
    </row>
    <row r="521" spans="2:6" ht="15">
      <c r="B521" s="368"/>
      <c r="C521" s="369"/>
      <c r="D521" s="370"/>
      <c r="E521" s="371"/>
      <c r="F521" s="842"/>
    </row>
    <row r="522" spans="2:6" ht="15">
      <c r="B522" s="368"/>
      <c r="C522" s="369"/>
      <c r="D522" s="370"/>
      <c r="E522" s="371"/>
      <c r="F522" s="842"/>
    </row>
    <row r="523" spans="2:6" ht="15">
      <c r="B523" s="368"/>
      <c r="C523" s="369"/>
      <c r="D523" s="370"/>
      <c r="E523" s="371"/>
      <c r="F523" s="842"/>
    </row>
    <row r="524" spans="2:6" ht="15">
      <c r="B524" s="368"/>
      <c r="C524" s="369"/>
      <c r="D524" s="370"/>
      <c r="E524" s="371"/>
      <c r="F524" s="842"/>
    </row>
    <row r="525" spans="2:6" ht="15">
      <c r="B525" s="368"/>
      <c r="C525" s="369"/>
      <c r="D525" s="370"/>
      <c r="E525" s="371"/>
      <c r="F525" s="842"/>
    </row>
    <row r="526" spans="2:6" ht="15">
      <c r="B526" s="368"/>
      <c r="C526" s="369"/>
      <c r="D526" s="370"/>
      <c r="E526" s="371"/>
      <c r="F526" s="842"/>
    </row>
    <row r="527" spans="2:6" ht="15">
      <c r="B527" s="368"/>
      <c r="C527" s="369"/>
      <c r="D527" s="370"/>
      <c r="E527" s="371"/>
      <c r="F527" s="842"/>
    </row>
    <row r="528" spans="2:6" ht="15">
      <c r="B528" s="368"/>
      <c r="C528" s="369"/>
      <c r="D528" s="370"/>
      <c r="E528" s="371"/>
      <c r="F528" s="842"/>
    </row>
    <row r="529" spans="2:6" ht="15">
      <c r="B529" s="368"/>
      <c r="C529" s="369"/>
      <c r="D529" s="370"/>
      <c r="E529" s="371"/>
      <c r="F529" s="842"/>
    </row>
    <row r="530" spans="2:6" ht="15">
      <c r="B530" s="368"/>
      <c r="C530" s="369"/>
      <c r="D530" s="370"/>
      <c r="E530" s="371"/>
      <c r="F530" s="842"/>
    </row>
    <row r="531" spans="2:6" ht="15">
      <c r="B531" s="368"/>
      <c r="C531" s="369"/>
      <c r="D531" s="370"/>
      <c r="E531" s="371"/>
      <c r="F531" s="842"/>
    </row>
    <row r="532" spans="2:6" ht="15">
      <c r="B532" s="368"/>
      <c r="C532" s="369"/>
      <c r="D532" s="370"/>
      <c r="E532" s="371"/>
      <c r="F532" s="842"/>
    </row>
    <row r="533" spans="2:6" ht="15">
      <c r="B533" s="368"/>
      <c r="C533" s="369"/>
      <c r="D533" s="370"/>
      <c r="E533" s="371"/>
      <c r="F533" s="842"/>
    </row>
    <row r="534" spans="2:6" ht="15">
      <c r="B534" s="368"/>
      <c r="C534" s="369"/>
      <c r="D534" s="370"/>
      <c r="E534" s="371"/>
      <c r="F534" s="842"/>
    </row>
    <row r="535" spans="2:6" ht="15">
      <c r="B535" s="368"/>
      <c r="C535" s="369"/>
      <c r="D535" s="370"/>
      <c r="E535" s="371"/>
      <c r="F535" s="842"/>
    </row>
    <row r="536" spans="2:6" ht="15">
      <c r="B536" s="368"/>
      <c r="C536" s="369"/>
      <c r="D536" s="370"/>
      <c r="E536" s="371"/>
      <c r="F536" s="842"/>
    </row>
    <row r="537" spans="2:6" ht="15">
      <c r="B537" s="368"/>
      <c r="C537" s="369"/>
      <c r="D537" s="370"/>
      <c r="E537" s="371"/>
      <c r="F537" s="842"/>
    </row>
    <row r="538" spans="2:6" ht="15">
      <c r="B538" s="368"/>
      <c r="C538" s="369"/>
      <c r="D538" s="370"/>
      <c r="E538" s="371"/>
      <c r="F538" s="842"/>
    </row>
    <row r="539" spans="2:6" ht="15">
      <c r="B539" s="368"/>
      <c r="C539" s="369"/>
      <c r="D539" s="370"/>
      <c r="E539" s="371"/>
      <c r="F539" s="842"/>
    </row>
    <row r="540" spans="2:6" ht="15">
      <c r="B540" s="368"/>
      <c r="C540" s="369"/>
      <c r="D540" s="370"/>
      <c r="E540" s="371"/>
      <c r="F540" s="842"/>
    </row>
    <row r="541" spans="2:6" ht="15">
      <c r="B541" s="368"/>
      <c r="C541" s="369"/>
      <c r="D541" s="370"/>
      <c r="E541" s="371"/>
      <c r="F541" s="842"/>
    </row>
    <row r="542" spans="2:6" ht="15">
      <c r="B542" s="368"/>
      <c r="C542" s="369"/>
      <c r="D542" s="370"/>
      <c r="E542" s="371"/>
      <c r="F542" s="842"/>
    </row>
    <row r="543" spans="2:6" ht="15">
      <c r="B543" s="368"/>
      <c r="C543" s="369"/>
      <c r="D543" s="370"/>
      <c r="E543" s="371"/>
      <c r="F543" s="842"/>
    </row>
    <row r="544" spans="2:6" ht="15">
      <c r="B544" s="368"/>
      <c r="C544" s="369"/>
      <c r="D544" s="370"/>
      <c r="E544" s="371"/>
      <c r="F544" s="842"/>
    </row>
    <row r="545" spans="2:6" ht="15">
      <c r="B545" s="368"/>
      <c r="C545" s="369"/>
      <c r="D545" s="370"/>
      <c r="E545" s="371"/>
      <c r="F545" s="842"/>
    </row>
    <row r="546" spans="2:6" ht="15">
      <c r="B546" s="368"/>
      <c r="C546" s="369"/>
      <c r="D546" s="370"/>
      <c r="E546" s="371"/>
      <c r="F546" s="842"/>
    </row>
    <row r="547" spans="2:6" ht="15">
      <c r="B547" s="368"/>
      <c r="C547" s="369"/>
      <c r="D547" s="370"/>
      <c r="E547" s="371"/>
      <c r="F547" s="842"/>
    </row>
    <row r="548" spans="2:6" ht="15">
      <c r="B548" s="368"/>
      <c r="C548" s="369"/>
      <c r="D548" s="370"/>
      <c r="E548" s="371"/>
      <c r="F548" s="842"/>
    </row>
    <row r="549" spans="2:6" ht="15">
      <c r="B549" s="368"/>
      <c r="C549" s="369"/>
      <c r="D549" s="370"/>
      <c r="E549" s="371"/>
      <c r="F549" s="842"/>
    </row>
    <row r="550" spans="2:6" ht="15">
      <c r="B550" s="368"/>
      <c r="C550" s="369"/>
      <c r="D550" s="370"/>
      <c r="E550" s="371"/>
      <c r="F550" s="842"/>
    </row>
    <row r="551" spans="2:6" ht="15">
      <c r="B551" s="368"/>
      <c r="C551" s="369"/>
      <c r="D551" s="370"/>
      <c r="E551" s="371"/>
      <c r="F551" s="842"/>
    </row>
    <row r="552" spans="2:6" ht="15">
      <c r="B552" s="368"/>
      <c r="C552" s="369"/>
      <c r="D552" s="370"/>
      <c r="E552" s="371"/>
      <c r="F552" s="842"/>
    </row>
    <row r="553" spans="2:6" ht="15">
      <c r="B553" s="368"/>
      <c r="C553" s="369"/>
      <c r="D553" s="370"/>
      <c r="E553" s="371"/>
      <c r="F553" s="842"/>
    </row>
    <row r="554" spans="2:6" ht="15">
      <c r="B554" s="368"/>
      <c r="C554" s="369"/>
      <c r="D554" s="370"/>
      <c r="E554" s="371"/>
      <c r="F554" s="842"/>
    </row>
    <row r="555" spans="2:6" ht="15">
      <c r="B555" s="368"/>
      <c r="C555" s="369"/>
      <c r="D555" s="370"/>
      <c r="E555" s="371"/>
      <c r="F555" s="842"/>
    </row>
    <row r="556" spans="2:6" ht="15">
      <c r="B556" s="368"/>
      <c r="C556" s="369"/>
      <c r="D556" s="370"/>
      <c r="E556" s="371"/>
      <c r="F556" s="842"/>
    </row>
    <row r="557" spans="2:6" ht="15">
      <c r="B557" s="368"/>
      <c r="C557" s="369"/>
      <c r="D557" s="370"/>
      <c r="E557" s="371"/>
      <c r="F557" s="842"/>
    </row>
    <row r="558" spans="2:6" ht="15">
      <c r="B558" s="368"/>
      <c r="C558" s="369"/>
      <c r="D558" s="370"/>
      <c r="E558" s="371"/>
      <c r="F558" s="842"/>
    </row>
    <row r="559" spans="2:6" ht="15">
      <c r="B559" s="368"/>
      <c r="C559" s="369"/>
      <c r="D559" s="370"/>
      <c r="E559" s="371"/>
      <c r="F559" s="842"/>
    </row>
    <row r="560" spans="2:6" ht="15">
      <c r="B560" s="368"/>
      <c r="C560" s="369"/>
      <c r="D560" s="370"/>
      <c r="E560" s="371"/>
      <c r="F560" s="842"/>
    </row>
    <row r="561" spans="2:6" ht="15">
      <c r="B561" s="368"/>
      <c r="C561" s="369"/>
      <c r="D561" s="370"/>
      <c r="E561" s="371"/>
      <c r="F561" s="842"/>
    </row>
    <row r="562" spans="2:6" ht="15">
      <c r="B562" s="368"/>
      <c r="C562" s="369"/>
      <c r="D562" s="370"/>
      <c r="E562" s="371"/>
      <c r="F562" s="842"/>
    </row>
    <row r="563" spans="2:6" ht="15">
      <c r="B563" s="368"/>
      <c r="C563" s="369"/>
      <c r="D563" s="370"/>
      <c r="E563" s="371"/>
      <c r="F563" s="842"/>
    </row>
    <row r="564" spans="2:6" ht="15">
      <c r="B564" s="368"/>
      <c r="C564" s="369"/>
      <c r="D564" s="370"/>
      <c r="E564" s="371"/>
      <c r="F564" s="842"/>
    </row>
    <row r="565" spans="2:6" ht="15">
      <c r="B565" s="368"/>
      <c r="C565" s="369"/>
      <c r="D565" s="370"/>
      <c r="E565" s="371"/>
      <c r="F565" s="842"/>
    </row>
    <row r="566" spans="2:6" ht="15">
      <c r="B566" s="368"/>
      <c r="C566" s="369"/>
      <c r="D566" s="370"/>
      <c r="E566" s="371"/>
      <c r="F566" s="842"/>
    </row>
    <row r="567" spans="2:6" ht="15">
      <c r="B567" s="368"/>
      <c r="C567" s="369"/>
      <c r="D567" s="370"/>
      <c r="E567" s="371"/>
      <c r="F567" s="842"/>
    </row>
    <row r="568" spans="2:6" ht="15">
      <c r="B568" s="368"/>
      <c r="C568" s="369"/>
      <c r="D568" s="370"/>
      <c r="E568" s="371"/>
      <c r="F568" s="842"/>
    </row>
    <row r="569" spans="2:6" ht="15">
      <c r="B569" s="368"/>
      <c r="C569" s="369"/>
      <c r="D569" s="370"/>
      <c r="E569" s="371"/>
      <c r="F569" s="842"/>
    </row>
    <row r="570" spans="2:6" ht="15">
      <c r="B570" s="368"/>
      <c r="C570" s="369"/>
      <c r="D570" s="370"/>
      <c r="E570" s="371"/>
      <c r="F570" s="842"/>
    </row>
    <row r="571" spans="2:6" ht="15">
      <c r="B571" s="368"/>
      <c r="C571" s="369"/>
      <c r="D571" s="370"/>
      <c r="E571" s="371"/>
      <c r="F571" s="842"/>
    </row>
    <row r="572" spans="2:6" ht="15">
      <c r="B572" s="368"/>
      <c r="C572" s="369"/>
      <c r="D572" s="370"/>
      <c r="E572" s="371"/>
      <c r="F572" s="842"/>
    </row>
    <row r="573" spans="2:6" ht="15">
      <c r="B573" s="368"/>
      <c r="C573" s="369"/>
      <c r="D573" s="370"/>
      <c r="E573" s="371"/>
      <c r="F573" s="842"/>
    </row>
    <row r="574" spans="2:6" ht="15">
      <c r="B574" s="368"/>
      <c r="C574" s="369"/>
      <c r="D574" s="370"/>
      <c r="E574" s="371"/>
      <c r="F574" s="842"/>
    </row>
    <row r="575" spans="2:6" ht="15">
      <c r="B575" s="368"/>
      <c r="C575" s="369"/>
      <c r="D575" s="370"/>
      <c r="E575" s="371"/>
      <c r="F575" s="842"/>
    </row>
    <row r="576" spans="2:6" ht="15">
      <c r="B576" s="368"/>
      <c r="C576" s="369"/>
      <c r="D576" s="370"/>
      <c r="E576" s="371"/>
      <c r="F576" s="842"/>
    </row>
    <row r="577" spans="2:6" ht="15">
      <c r="B577" s="368"/>
      <c r="C577" s="369"/>
      <c r="D577" s="370"/>
      <c r="E577" s="371"/>
      <c r="F577" s="842"/>
    </row>
    <row r="578" spans="2:6" ht="15">
      <c r="B578" s="368"/>
      <c r="C578" s="369"/>
      <c r="D578" s="370"/>
      <c r="E578" s="371"/>
      <c r="F578" s="842"/>
    </row>
    <row r="579" spans="2:6" ht="15">
      <c r="B579" s="368"/>
      <c r="C579" s="369"/>
      <c r="D579" s="370"/>
      <c r="E579" s="371"/>
      <c r="F579" s="842"/>
    </row>
    <row r="580" spans="2:6" ht="15">
      <c r="B580" s="368"/>
      <c r="C580" s="369"/>
      <c r="D580" s="370"/>
      <c r="E580" s="371"/>
      <c r="F580" s="842"/>
    </row>
    <row r="581" spans="2:6" ht="15">
      <c r="B581" s="368"/>
      <c r="C581" s="369"/>
      <c r="D581" s="370"/>
      <c r="E581" s="371"/>
      <c r="F581" s="842"/>
    </row>
    <row r="582" spans="2:6" ht="15">
      <c r="B582" s="368"/>
      <c r="C582" s="369"/>
      <c r="D582" s="370"/>
      <c r="E582" s="371"/>
      <c r="F582" s="842"/>
    </row>
    <row r="583" spans="2:6" ht="15">
      <c r="B583" s="368"/>
      <c r="C583" s="369"/>
      <c r="D583" s="370"/>
      <c r="E583" s="371"/>
      <c r="F583" s="842"/>
    </row>
    <row r="584" spans="2:6" ht="15">
      <c r="B584" s="368"/>
      <c r="C584" s="369"/>
      <c r="D584" s="370"/>
      <c r="E584" s="371"/>
      <c r="F584" s="842"/>
    </row>
    <row r="585" spans="2:6" ht="15">
      <c r="B585" s="368"/>
      <c r="C585" s="369"/>
      <c r="D585" s="370"/>
      <c r="E585" s="371"/>
      <c r="F585" s="842"/>
    </row>
    <row r="586" spans="2:6" ht="15">
      <c r="B586" s="368"/>
      <c r="C586" s="369"/>
      <c r="D586" s="370"/>
      <c r="E586" s="371"/>
      <c r="F586" s="842"/>
    </row>
    <row r="587" spans="2:6" ht="15">
      <c r="B587" s="368"/>
      <c r="C587" s="369"/>
      <c r="D587" s="370"/>
      <c r="E587" s="371"/>
      <c r="F587" s="842"/>
    </row>
    <row r="588" spans="2:6" ht="15">
      <c r="B588" s="368"/>
      <c r="C588" s="369"/>
      <c r="D588" s="370"/>
      <c r="E588" s="371"/>
      <c r="F588" s="842"/>
    </row>
    <row r="589" spans="2:6" ht="15">
      <c r="B589" s="368"/>
      <c r="C589" s="369"/>
      <c r="D589" s="370"/>
      <c r="E589" s="371"/>
      <c r="F589" s="842"/>
    </row>
    <row r="590" spans="2:6" ht="15">
      <c r="B590" s="368"/>
      <c r="C590" s="369"/>
      <c r="D590" s="370"/>
      <c r="E590" s="371"/>
      <c r="F590" s="842"/>
    </row>
    <row r="591" spans="2:6" ht="15">
      <c r="B591" s="368"/>
      <c r="C591" s="369"/>
      <c r="D591" s="370"/>
      <c r="E591" s="371"/>
      <c r="F591" s="842"/>
    </row>
    <row r="592" spans="2:6" ht="15">
      <c r="B592" s="368"/>
      <c r="C592" s="369"/>
      <c r="D592" s="370"/>
      <c r="E592" s="371"/>
      <c r="F592" s="842"/>
    </row>
    <row r="593" spans="2:6" ht="15">
      <c r="B593" s="368"/>
      <c r="C593" s="369"/>
      <c r="D593" s="370"/>
      <c r="E593" s="371"/>
      <c r="F593" s="842"/>
    </row>
    <row r="594" spans="2:6" ht="15">
      <c r="B594" s="368"/>
      <c r="C594" s="369"/>
      <c r="D594" s="370"/>
      <c r="E594" s="371"/>
      <c r="F594" s="842"/>
    </row>
    <row r="595" spans="2:6" ht="15">
      <c r="B595" s="368"/>
      <c r="C595" s="369"/>
      <c r="D595" s="370"/>
      <c r="E595" s="371"/>
      <c r="F595" s="842"/>
    </row>
    <row r="596" spans="2:6" ht="15">
      <c r="B596" s="368"/>
      <c r="C596" s="369"/>
      <c r="D596" s="370"/>
      <c r="E596" s="371"/>
      <c r="F596" s="842"/>
    </row>
    <row r="597" spans="2:6" ht="15">
      <c r="B597" s="368"/>
      <c r="C597" s="369"/>
      <c r="D597" s="370"/>
      <c r="E597" s="371"/>
      <c r="F597" s="842"/>
    </row>
    <row r="598" spans="2:6" ht="15">
      <c r="B598" s="368"/>
      <c r="C598" s="369"/>
      <c r="D598" s="370"/>
      <c r="E598" s="371"/>
      <c r="F598" s="842"/>
    </row>
    <row r="599" spans="2:6" ht="15">
      <c r="B599" s="368"/>
      <c r="C599" s="369"/>
      <c r="D599" s="370"/>
      <c r="E599" s="371"/>
      <c r="F599" s="842"/>
    </row>
    <row r="600" spans="2:6" ht="15">
      <c r="B600" s="368"/>
      <c r="C600" s="369"/>
      <c r="D600" s="370"/>
      <c r="E600" s="371"/>
      <c r="F600" s="842"/>
    </row>
    <row r="601" spans="2:6" ht="15">
      <c r="B601" s="368"/>
      <c r="C601" s="369"/>
      <c r="D601" s="370"/>
      <c r="E601" s="371"/>
      <c r="F601" s="842"/>
    </row>
    <row r="602" spans="2:6" ht="15">
      <c r="B602" s="368"/>
      <c r="C602" s="369"/>
      <c r="D602" s="370"/>
      <c r="E602" s="371"/>
      <c r="F602" s="842"/>
    </row>
    <row r="603" spans="2:6" ht="15">
      <c r="B603" s="368"/>
      <c r="C603" s="369"/>
      <c r="D603" s="370"/>
      <c r="E603" s="371"/>
      <c r="F603" s="842"/>
    </row>
    <row r="604" spans="2:6" ht="15">
      <c r="B604" s="368"/>
      <c r="C604" s="369"/>
      <c r="D604" s="370"/>
      <c r="E604" s="371"/>
      <c r="F604" s="842"/>
    </row>
    <row r="605" spans="2:6" ht="15">
      <c r="B605" s="368"/>
      <c r="C605" s="369"/>
      <c r="D605" s="370"/>
      <c r="E605" s="371"/>
      <c r="F605" s="842"/>
    </row>
    <row r="606" spans="2:6" ht="15">
      <c r="B606" s="368"/>
      <c r="C606" s="369"/>
      <c r="D606" s="370"/>
      <c r="E606" s="371"/>
      <c r="F606" s="842"/>
    </row>
    <row r="607" spans="2:6" ht="15">
      <c r="B607" s="368"/>
      <c r="C607" s="369"/>
      <c r="D607" s="370"/>
      <c r="E607" s="371"/>
      <c r="F607" s="842"/>
    </row>
    <row r="608" spans="2:6" ht="15">
      <c r="B608" s="368"/>
      <c r="C608" s="369"/>
      <c r="D608" s="370"/>
      <c r="E608" s="371"/>
      <c r="F608" s="842"/>
    </row>
    <row r="609" spans="2:6" ht="15">
      <c r="B609" s="368"/>
      <c r="C609" s="369"/>
      <c r="D609" s="370"/>
      <c r="E609" s="371"/>
      <c r="F609" s="842"/>
    </row>
    <row r="610" spans="2:6" ht="15">
      <c r="B610" s="368"/>
      <c r="C610" s="369"/>
      <c r="D610" s="370"/>
      <c r="E610" s="371"/>
      <c r="F610" s="842"/>
    </row>
    <row r="611" spans="2:6" ht="15">
      <c r="B611" s="368"/>
      <c r="C611" s="369"/>
      <c r="D611" s="370"/>
      <c r="E611" s="371"/>
      <c r="F611" s="842"/>
    </row>
    <row r="612" spans="2:6" ht="15">
      <c r="B612" s="368"/>
      <c r="C612" s="369"/>
      <c r="D612" s="370"/>
      <c r="E612" s="371"/>
      <c r="F612" s="842"/>
    </row>
    <row r="613" spans="2:6" ht="15">
      <c r="B613" s="368"/>
      <c r="C613" s="369"/>
      <c r="D613" s="370"/>
      <c r="E613" s="371"/>
      <c r="F613" s="842"/>
    </row>
    <row r="614" spans="2:6" ht="15">
      <c r="B614" s="368"/>
      <c r="C614" s="369"/>
      <c r="D614" s="370"/>
      <c r="E614" s="371"/>
      <c r="F614" s="842"/>
    </row>
    <row r="615" spans="2:6" ht="15">
      <c r="B615" s="368"/>
      <c r="C615" s="369"/>
      <c r="D615" s="370"/>
      <c r="E615" s="371"/>
      <c r="F615" s="842"/>
    </row>
    <row r="616" spans="2:6" ht="15">
      <c r="B616" s="368"/>
      <c r="C616" s="369"/>
      <c r="D616" s="370"/>
      <c r="E616" s="371"/>
      <c r="F616" s="842"/>
    </row>
    <row r="617" spans="2:6" ht="15">
      <c r="B617" s="368"/>
      <c r="C617" s="369"/>
      <c r="D617" s="370"/>
      <c r="E617" s="371"/>
      <c r="F617" s="842"/>
    </row>
    <row r="618" spans="2:6" ht="15">
      <c r="B618" s="368"/>
      <c r="C618" s="369"/>
      <c r="D618" s="370"/>
      <c r="E618" s="371"/>
      <c r="F618" s="842"/>
    </row>
    <row r="619" spans="2:6" ht="15">
      <c r="B619" s="368"/>
      <c r="C619" s="369"/>
      <c r="D619" s="370"/>
      <c r="E619" s="371"/>
      <c r="F619" s="842"/>
    </row>
    <row r="620" spans="2:6" ht="15">
      <c r="B620" s="368"/>
      <c r="C620" s="369"/>
      <c r="D620" s="370"/>
      <c r="E620" s="371"/>
      <c r="F620" s="842"/>
    </row>
    <row r="621" spans="2:6" ht="15">
      <c r="B621" s="368"/>
      <c r="C621" s="369"/>
      <c r="D621" s="370"/>
      <c r="E621" s="371"/>
      <c r="F621" s="842"/>
    </row>
    <row r="622" spans="2:6" ht="15">
      <c r="B622" s="368"/>
      <c r="C622" s="369"/>
      <c r="D622" s="370"/>
      <c r="E622" s="371"/>
      <c r="F622" s="842"/>
    </row>
    <row r="623" spans="2:6" ht="15">
      <c r="B623" s="368"/>
      <c r="C623" s="369"/>
      <c r="D623" s="370"/>
      <c r="E623" s="371"/>
      <c r="F623" s="842"/>
    </row>
    <row r="624" spans="2:6" ht="15">
      <c r="B624" s="368"/>
      <c r="C624" s="369"/>
      <c r="D624" s="370"/>
      <c r="E624" s="371"/>
      <c r="F624" s="842"/>
    </row>
    <row r="625" spans="2:6" ht="15">
      <c r="B625" s="368"/>
      <c r="C625" s="369"/>
      <c r="D625" s="370"/>
      <c r="E625" s="371"/>
      <c r="F625" s="842"/>
    </row>
    <row r="626" spans="2:6" ht="15">
      <c r="B626" s="368"/>
      <c r="C626" s="369"/>
      <c r="D626" s="370"/>
      <c r="E626" s="371"/>
      <c r="F626" s="842"/>
    </row>
    <row r="627" spans="2:6" ht="15">
      <c r="B627" s="368"/>
      <c r="C627" s="369"/>
      <c r="D627" s="370"/>
      <c r="E627" s="371"/>
      <c r="F627" s="842"/>
    </row>
    <row r="628" spans="2:6" ht="15">
      <c r="B628" s="368"/>
      <c r="C628" s="369"/>
      <c r="D628" s="370"/>
      <c r="E628" s="371"/>
      <c r="F628" s="842"/>
    </row>
    <row r="629" spans="2:6" ht="15">
      <c r="B629" s="368"/>
      <c r="C629" s="369"/>
      <c r="D629" s="370"/>
      <c r="E629" s="371"/>
      <c r="F629" s="842"/>
    </row>
    <row r="630" spans="2:6" ht="15">
      <c r="B630" s="368"/>
      <c r="C630" s="369"/>
      <c r="D630" s="370"/>
      <c r="E630" s="371"/>
      <c r="F630" s="842"/>
    </row>
    <row r="631" spans="2:6" ht="15">
      <c r="B631" s="368"/>
      <c r="C631" s="369"/>
      <c r="D631" s="370"/>
      <c r="E631" s="371"/>
      <c r="F631" s="842"/>
    </row>
    <row r="632" spans="2:6" ht="15">
      <c r="B632" s="368"/>
      <c r="C632" s="369"/>
      <c r="D632" s="370"/>
      <c r="E632" s="371"/>
      <c r="F632" s="842"/>
    </row>
    <row r="633" spans="2:6" ht="15">
      <c r="B633" s="368"/>
      <c r="C633" s="369"/>
      <c r="D633" s="370"/>
      <c r="E633" s="371"/>
      <c r="F633" s="842"/>
    </row>
    <row r="634" spans="2:6" ht="15">
      <c r="B634" s="368"/>
      <c r="C634" s="369"/>
      <c r="D634" s="370"/>
      <c r="E634" s="371"/>
      <c r="F634" s="842"/>
    </row>
    <row r="635" spans="2:6" ht="15">
      <c r="B635" s="368"/>
      <c r="C635" s="369"/>
      <c r="D635" s="370"/>
      <c r="E635" s="371"/>
      <c r="F635" s="842"/>
    </row>
    <row r="636" spans="2:6" ht="15">
      <c r="B636" s="368"/>
      <c r="C636" s="369"/>
      <c r="D636" s="370"/>
      <c r="E636" s="371"/>
      <c r="F636" s="842"/>
    </row>
    <row r="637" spans="2:6" ht="15">
      <c r="B637" s="368"/>
      <c r="C637" s="369"/>
      <c r="D637" s="370"/>
      <c r="E637" s="371"/>
      <c r="F637" s="842"/>
    </row>
    <row r="638" spans="2:6" ht="15">
      <c r="B638" s="368"/>
      <c r="C638" s="369"/>
      <c r="D638" s="370"/>
      <c r="E638" s="371"/>
      <c r="F638" s="842"/>
    </row>
    <row r="639" spans="2:6" ht="15">
      <c r="B639" s="368"/>
      <c r="C639" s="369"/>
      <c r="D639" s="370"/>
      <c r="E639" s="371"/>
      <c r="F639" s="842"/>
    </row>
    <row r="640" spans="2:6" ht="15">
      <c r="B640" s="368"/>
      <c r="C640" s="369"/>
      <c r="D640" s="370"/>
      <c r="E640" s="371"/>
      <c r="F640" s="842"/>
    </row>
    <row r="641" spans="2:6" ht="15">
      <c r="B641" s="368"/>
      <c r="C641" s="369"/>
      <c r="D641" s="370"/>
      <c r="E641" s="371"/>
      <c r="F641" s="842"/>
    </row>
    <row r="642" spans="2:6" ht="15">
      <c r="B642" s="368"/>
      <c r="C642" s="369"/>
      <c r="D642" s="370"/>
      <c r="E642" s="371"/>
      <c r="F642" s="842"/>
    </row>
    <row r="643" spans="2:6" ht="15">
      <c r="B643" s="368"/>
      <c r="C643" s="369"/>
      <c r="D643" s="370"/>
      <c r="E643" s="371"/>
      <c r="F643" s="842"/>
    </row>
    <row r="644" spans="2:6" ht="15">
      <c r="B644" s="368"/>
      <c r="C644" s="369"/>
      <c r="D644" s="370"/>
      <c r="E644" s="371"/>
      <c r="F644" s="842"/>
    </row>
    <row r="645" spans="2:6" ht="15">
      <c r="B645" s="368"/>
      <c r="C645" s="369"/>
      <c r="D645" s="370"/>
      <c r="E645" s="371"/>
      <c r="F645" s="842"/>
    </row>
    <row r="646" spans="2:6" ht="15">
      <c r="B646" s="368"/>
      <c r="C646" s="369"/>
      <c r="D646" s="370"/>
      <c r="E646" s="371"/>
      <c r="F646" s="842"/>
    </row>
    <row r="647" spans="2:6" ht="15">
      <c r="B647" s="368"/>
      <c r="C647" s="369"/>
      <c r="D647" s="370"/>
      <c r="E647" s="371"/>
      <c r="F647" s="842"/>
    </row>
    <row r="648" spans="2:6" ht="15">
      <c r="B648" s="368"/>
      <c r="C648" s="369"/>
      <c r="D648" s="370"/>
      <c r="E648" s="371"/>
      <c r="F648" s="842"/>
    </row>
    <row r="649" spans="2:6" ht="15">
      <c r="B649" s="368"/>
      <c r="C649" s="369"/>
      <c r="D649" s="370"/>
      <c r="E649" s="371"/>
      <c r="F649" s="842"/>
    </row>
    <row r="650" spans="2:6" ht="15">
      <c r="B650" s="368"/>
      <c r="C650" s="369"/>
      <c r="D650" s="370"/>
      <c r="E650" s="371"/>
      <c r="F650" s="842"/>
    </row>
    <row r="651" spans="2:6" ht="15">
      <c r="B651" s="368"/>
      <c r="C651" s="369"/>
      <c r="D651" s="370"/>
      <c r="E651" s="371"/>
      <c r="F651" s="842"/>
    </row>
    <row r="652" spans="2:6" ht="15">
      <c r="B652" s="368"/>
      <c r="C652" s="369"/>
      <c r="D652" s="370"/>
      <c r="E652" s="371"/>
      <c r="F652" s="842"/>
    </row>
    <row r="653" spans="2:6" ht="15">
      <c r="B653" s="368"/>
      <c r="C653" s="369"/>
      <c r="D653" s="370"/>
      <c r="E653" s="371"/>
      <c r="F653" s="842"/>
    </row>
    <row r="654" spans="2:6" ht="15">
      <c r="B654" s="368"/>
      <c r="C654" s="369"/>
      <c r="D654" s="370"/>
      <c r="E654" s="371"/>
      <c r="F654" s="842"/>
    </row>
    <row r="655" spans="2:6" ht="15">
      <c r="B655" s="368"/>
      <c r="C655" s="369"/>
      <c r="D655" s="370"/>
      <c r="E655" s="371"/>
      <c r="F655" s="842"/>
    </row>
    <row r="656" spans="2:6" ht="15">
      <c r="B656" s="368"/>
      <c r="C656" s="369"/>
      <c r="D656" s="370"/>
      <c r="E656" s="371"/>
      <c r="F656" s="842"/>
    </row>
    <row r="657" spans="2:6" ht="15">
      <c r="B657" s="368"/>
      <c r="C657" s="369"/>
      <c r="D657" s="370"/>
      <c r="E657" s="371"/>
      <c r="F657" s="842"/>
    </row>
    <row r="658" spans="2:6" ht="15">
      <c r="B658" s="368"/>
      <c r="C658" s="369"/>
      <c r="D658" s="370"/>
      <c r="E658" s="371"/>
      <c r="F658" s="842"/>
    </row>
    <row r="659" spans="2:6" ht="15">
      <c r="B659" s="368"/>
      <c r="C659" s="369"/>
      <c r="D659" s="370"/>
      <c r="E659" s="371"/>
      <c r="F659" s="842"/>
    </row>
    <row r="660" spans="2:6" ht="15">
      <c r="B660" s="368"/>
      <c r="C660" s="369"/>
      <c r="D660" s="370"/>
      <c r="E660" s="371"/>
      <c r="F660" s="842"/>
    </row>
  </sheetData>
  <mergeCells count="9">
    <mergeCell ref="B3:B7"/>
    <mergeCell ref="B13:F13"/>
    <mergeCell ref="C3:D3"/>
    <mergeCell ref="C4:D4"/>
    <mergeCell ref="E3:F7"/>
    <mergeCell ref="C9:F9"/>
    <mergeCell ref="C10:F10"/>
    <mergeCell ref="C11:F11"/>
    <mergeCell ref="C5:D7"/>
  </mergeCells>
  <conditionalFormatting sqref="B15:F23 B25:F27 B87:F101 B119:F128 B130:F131 B133:F133 B178:F178 B180:F186 B188:F660 B104:F105 B107:F108 B112:F117 B143:F176 B59:B77 B30:F50 B139:F140">
    <cfRule type="expression" dxfId="113" priority="225">
      <formula>AND($B15&lt;&gt;"",$D15&lt;&gt;"",$F15&lt;&gt;"")</formula>
    </cfRule>
    <cfRule type="expression" dxfId="112" priority="226">
      <formula>CONCATENATE($C15,$D15,$E15,$F15)=""</formula>
    </cfRule>
    <cfRule type="expression" dxfId="111" priority="227">
      <formula>AND(CONCATENATE($D15,$E15,$F15)="",LEN($C15)&gt;2)</formula>
    </cfRule>
    <cfRule type="expression" dxfId="110" priority="228">
      <formula>RIGHT($B15,2)=".0"</formula>
    </cfRule>
  </conditionalFormatting>
  <conditionalFormatting sqref="B78:B86">
    <cfRule type="expression" dxfId="109" priority="113">
      <formula>AND($B78&lt;&gt;"",$D78&lt;&gt;"",$F78&lt;&gt;"")</formula>
    </cfRule>
    <cfRule type="expression" dxfId="108" priority="114">
      <formula>CONCATENATE($C78,$D78,$E78,$F78)=""</formula>
    </cfRule>
    <cfRule type="expression" dxfId="107" priority="115">
      <formula>AND(CONCATENATE($D78,$E78,$F78)="",LEN($C78)&gt;2)</formula>
    </cfRule>
    <cfRule type="expression" dxfId="106" priority="116">
      <formula>RIGHT($B78,2)=".0"</formula>
    </cfRule>
  </conditionalFormatting>
  <conditionalFormatting sqref="C59:F66">
    <cfRule type="expression" dxfId="105" priority="121">
      <formula>AND($B59&lt;&gt;"",$D59&lt;&gt;"",$F59&lt;&gt;"")</formula>
    </cfRule>
    <cfRule type="expression" dxfId="104" priority="122">
      <formula>CONCATENATE($C59,$D59,$E59,$F59)=""</formula>
    </cfRule>
    <cfRule type="expression" dxfId="103" priority="123">
      <formula>AND(CONCATENATE($D59,$E59,$F59)="",LEN($C59)&gt;2)</formula>
    </cfRule>
    <cfRule type="expression" dxfId="102" priority="124">
      <formula>RIGHT($B59,2)=".0"</formula>
    </cfRule>
  </conditionalFormatting>
  <conditionalFormatting sqref="C67:F77">
    <cfRule type="expression" dxfId="101" priority="117">
      <formula>AND($B67&lt;&gt;"",$D67&lt;&gt;"",$F67&lt;&gt;"")</formula>
    </cfRule>
    <cfRule type="expression" dxfId="100" priority="118">
      <formula>CONCATENATE($C67,$D67,$E67,$F67)=""</formula>
    </cfRule>
    <cfRule type="expression" dxfId="99" priority="119">
      <formula>AND(CONCATENATE($D67,$E67,$F67)="",LEN($C67)&gt;2)</formula>
    </cfRule>
    <cfRule type="expression" dxfId="98" priority="120">
      <formula>RIGHT($B67,2)=".0"</formula>
    </cfRule>
  </conditionalFormatting>
  <conditionalFormatting sqref="C78:F83">
    <cfRule type="expression" dxfId="97" priority="109">
      <formula>AND($B78&lt;&gt;"",$D78&lt;&gt;"",$F78&lt;&gt;"")</formula>
    </cfRule>
    <cfRule type="expression" dxfId="96" priority="110">
      <formula>CONCATENATE($C78,$D78,$E78,$F78)=""</formula>
    </cfRule>
    <cfRule type="expression" dxfId="95" priority="111">
      <formula>AND(CONCATENATE($D78,$E78,$F78)="",LEN($C78)&gt;2)</formula>
    </cfRule>
    <cfRule type="expression" dxfId="94" priority="112">
      <formula>RIGHT($B78,2)=".0"</formula>
    </cfRule>
  </conditionalFormatting>
  <conditionalFormatting sqref="C84:F86">
    <cfRule type="expression" dxfId="93" priority="105">
      <formula>AND($B84&lt;&gt;"",$D84&lt;&gt;"",$F84&lt;&gt;"")</formula>
    </cfRule>
    <cfRule type="expression" dxfId="92" priority="106">
      <formula>CONCATENATE($C84,$D84,$E84,$F84)=""</formula>
    </cfRule>
    <cfRule type="expression" dxfId="91" priority="107">
      <formula>AND(CONCATENATE($D84,$E84,$F84)="",LEN($C84)&gt;2)</formula>
    </cfRule>
    <cfRule type="expression" dxfId="90" priority="108">
      <formula>RIGHT($B84,2)=".0"</formula>
    </cfRule>
  </conditionalFormatting>
  <conditionalFormatting sqref="B118:F118">
    <cfRule type="expression" dxfId="89" priority="101">
      <formula>AND($B118&lt;&gt;"",$D118&lt;&gt;"",$F118&lt;&gt;"")</formula>
    </cfRule>
    <cfRule type="expression" dxfId="88" priority="102">
      <formula>CONCATENATE($C118,$D118,$E118,$F118)=""</formula>
    </cfRule>
    <cfRule type="expression" dxfId="87" priority="103">
      <formula>AND(CONCATENATE($D118,$E118,$F118)="",LEN($C118)&gt;2)</formula>
    </cfRule>
    <cfRule type="expression" dxfId="86" priority="104">
      <formula>RIGHT($B118,2)=".0"</formula>
    </cfRule>
  </conditionalFormatting>
  <conditionalFormatting sqref="B129:F129">
    <cfRule type="expression" dxfId="85" priority="97">
      <formula>AND($B129&lt;&gt;"",$D129&lt;&gt;"",$F129&lt;&gt;"")</formula>
    </cfRule>
    <cfRule type="expression" dxfId="84" priority="98">
      <formula>CONCATENATE($C129,$D129,$E129,$F129)=""</formula>
    </cfRule>
    <cfRule type="expression" dxfId="83" priority="99">
      <formula>AND(CONCATENATE($D129,$E129,$F129)="",LEN($C129)&gt;2)</formula>
    </cfRule>
    <cfRule type="expression" dxfId="82" priority="100">
      <formula>RIGHT($B129,2)=".0"</formula>
    </cfRule>
  </conditionalFormatting>
  <conditionalFormatting sqref="B132:F132">
    <cfRule type="expression" dxfId="81" priority="93">
      <formula>AND($B132&lt;&gt;"",$D132&lt;&gt;"",$F132&lt;&gt;"")</formula>
    </cfRule>
    <cfRule type="expression" dxfId="80" priority="94">
      <formula>CONCATENATE($C132,$D132,$E132,$F132)=""</formula>
    </cfRule>
    <cfRule type="expression" dxfId="79" priority="95">
      <formula>AND(CONCATENATE($D132,$E132,$F132)="",LEN($C132)&gt;2)</formula>
    </cfRule>
    <cfRule type="expression" dxfId="78" priority="96">
      <formula>RIGHT($B132,2)=".0"</formula>
    </cfRule>
  </conditionalFormatting>
  <conditionalFormatting sqref="B134:F134 B142:F142">
    <cfRule type="expression" dxfId="77" priority="89">
      <formula>AND($B134&lt;&gt;"",$D134&lt;&gt;"",$F134&lt;&gt;"")</formula>
    </cfRule>
    <cfRule type="expression" dxfId="76" priority="90">
      <formula>CONCATENATE($C134,$D134,$E134,$F134)=""</formula>
    </cfRule>
    <cfRule type="expression" dxfId="75" priority="91">
      <formula>AND(CONCATENATE($D134,$E134,$F134)="",LEN($C134)&gt;2)</formula>
    </cfRule>
    <cfRule type="expression" dxfId="74" priority="92">
      <formula>RIGHT($B134,2)=".0"</formula>
    </cfRule>
  </conditionalFormatting>
  <conditionalFormatting sqref="B177:F177">
    <cfRule type="expression" dxfId="73" priority="77">
      <formula>AND($B177&lt;&gt;"",$D177&lt;&gt;"",$F177&lt;&gt;"")</formula>
    </cfRule>
    <cfRule type="expression" dxfId="72" priority="78">
      <formula>CONCATENATE($C177,$D177,$E177,$F177)=""</formula>
    </cfRule>
    <cfRule type="expression" dxfId="71" priority="79">
      <formula>AND(CONCATENATE($D177,$E177,$F177)="",LEN($C177)&gt;2)</formula>
    </cfRule>
    <cfRule type="expression" dxfId="70" priority="80">
      <formula>RIGHT($B177,2)=".0"</formula>
    </cfRule>
  </conditionalFormatting>
  <conditionalFormatting sqref="B179:F179">
    <cfRule type="expression" dxfId="69" priority="73">
      <formula>AND($B179&lt;&gt;"",$D179&lt;&gt;"",$F179&lt;&gt;"")</formula>
    </cfRule>
    <cfRule type="expression" dxfId="68" priority="74">
      <formula>CONCATENATE($C179,$D179,$E179,$F179)=""</formula>
    </cfRule>
    <cfRule type="expression" dxfId="67" priority="75">
      <formula>AND(CONCATENATE($D179,$E179,$F179)="",LEN($C179)&gt;2)</formula>
    </cfRule>
    <cfRule type="expression" dxfId="66" priority="76">
      <formula>RIGHT($B179,2)=".0"</formula>
    </cfRule>
  </conditionalFormatting>
  <conditionalFormatting sqref="B187:F187">
    <cfRule type="expression" dxfId="65" priority="69">
      <formula>AND($B187&lt;&gt;"",$D187&lt;&gt;"",$F187&lt;&gt;"")</formula>
    </cfRule>
    <cfRule type="expression" dxfId="64" priority="70">
      <formula>CONCATENATE($C187,$D187,$E187,$F187)=""</formula>
    </cfRule>
    <cfRule type="expression" dxfId="63" priority="71">
      <formula>AND(CONCATENATE($D187,$E187,$F187)="",LEN($C187)&gt;2)</formula>
    </cfRule>
    <cfRule type="expression" dxfId="62" priority="72">
      <formula>RIGHT($B187,2)=".0"</formula>
    </cfRule>
  </conditionalFormatting>
  <conditionalFormatting sqref="B24:F24">
    <cfRule type="expression" dxfId="61" priority="65">
      <formula>AND($B24&lt;&gt;"",$D24&lt;&gt;"",$F24&lt;&gt;"")</formula>
    </cfRule>
    <cfRule type="expression" dxfId="60" priority="66">
      <formula>CONCATENATE($C24,$D24,$E24,$F24)=""</formula>
    </cfRule>
    <cfRule type="expression" dxfId="59" priority="67">
      <formula>AND(CONCATENATE($D24,$E24,$F24)="",LEN($C24)&gt;2)</formula>
    </cfRule>
    <cfRule type="expression" dxfId="58" priority="68">
      <formula>RIGHT($B24,2)=".0"</formula>
    </cfRule>
  </conditionalFormatting>
  <conditionalFormatting sqref="B102:F102">
    <cfRule type="expression" dxfId="57" priority="61">
      <formula>AND($B102&lt;&gt;"",$D102&lt;&gt;"",$F102&lt;&gt;"")</formula>
    </cfRule>
    <cfRule type="expression" dxfId="56" priority="62">
      <formula>CONCATENATE($C102,$D102,$E102,$F102)=""</formula>
    </cfRule>
    <cfRule type="expression" dxfId="55" priority="63">
      <formula>AND(CONCATENATE($D102,$E102,$F102)="",LEN($C102)&gt;2)</formula>
    </cfRule>
    <cfRule type="expression" dxfId="54" priority="64">
      <formula>RIGHT($B102,2)=".0"</formula>
    </cfRule>
  </conditionalFormatting>
  <conditionalFormatting sqref="B103:F103">
    <cfRule type="expression" dxfId="53" priority="57">
      <formula>AND($B103&lt;&gt;"",$D103&lt;&gt;"",$F103&lt;&gt;"")</formula>
    </cfRule>
    <cfRule type="expression" dxfId="52" priority="58">
      <formula>CONCATENATE($C103,$D103,$E103,$F103)=""</formula>
    </cfRule>
    <cfRule type="expression" dxfId="51" priority="59">
      <formula>AND(CONCATENATE($D103,$E103,$F103)="",LEN($C103)&gt;2)</formula>
    </cfRule>
    <cfRule type="expression" dxfId="50" priority="60">
      <formula>RIGHT($B103,2)=".0"</formula>
    </cfRule>
  </conditionalFormatting>
  <conditionalFormatting sqref="B106:F106">
    <cfRule type="expression" dxfId="49" priority="53">
      <formula>AND($B106&lt;&gt;"",$D106&lt;&gt;"",$F106&lt;&gt;"")</formula>
    </cfRule>
    <cfRule type="expression" dxfId="48" priority="54">
      <formula>CONCATENATE($C106,$D106,$E106,$F106)=""</formula>
    </cfRule>
    <cfRule type="expression" dxfId="47" priority="55">
      <formula>AND(CONCATENATE($D106,$E106,$F106)="",LEN($C106)&gt;2)</formula>
    </cfRule>
    <cfRule type="expression" dxfId="46" priority="56">
      <formula>RIGHT($B106,2)=".0"</formula>
    </cfRule>
  </conditionalFormatting>
  <conditionalFormatting sqref="B110:F111">
    <cfRule type="expression" dxfId="45" priority="49">
      <formula>AND($B110&lt;&gt;"",$D110&lt;&gt;"",$F110&lt;&gt;"")</formula>
    </cfRule>
    <cfRule type="expression" dxfId="44" priority="50">
      <formula>CONCATENATE($C110,$D110,$E110,$F110)=""</formula>
    </cfRule>
    <cfRule type="expression" dxfId="43" priority="51">
      <formula>AND(CONCATENATE($D110,$E110,$F110)="",LEN($C110)&gt;2)</formula>
    </cfRule>
    <cfRule type="expression" dxfId="42" priority="52">
      <formula>RIGHT($B110,2)=".0"</formula>
    </cfRule>
  </conditionalFormatting>
  <conditionalFormatting sqref="B109:F109">
    <cfRule type="expression" dxfId="41" priority="45">
      <formula>AND($B109&lt;&gt;"",$D109&lt;&gt;"",$F109&lt;&gt;"")</formula>
    </cfRule>
    <cfRule type="expression" dxfId="40" priority="46">
      <formula>CONCATENATE($C109,$D109,$E109,$F109)=""</formula>
    </cfRule>
    <cfRule type="expression" dxfId="39" priority="47">
      <formula>AND(CONCATENATE($D109,$E109,$F109)="",LEN($C109)&gt;2)</formula>
    </cfRule>
    <cfRule type="expression" dxfId="38" priority="48">
      <formula>RIGHT($B109,2)=".0"</formula>
    </cfRule>
  </conditionalFormatting>
  <conditionalFormatting sqref="B51:F51 B53:F54">
    <cfRule type="expression" dxfId="37" priority="41">
      <formula>AND($B51&lt;&gt;"",$D51&lt;&gt;"",$F51&lt;&gt;"")</formula>
    </cfRule>
    <cfRule type="expression" dxfId="36" priority="42">
      <formula>CONCATENATE($C51,$D51,$E51,$F51)=""</formula>
    </cfRule>
    <cfRule type="expression" dxfId="35" priority="43">
      <formula>AND(CONCATENATE($D51,$E51,$F51)="",LEN($C51)&gt;2)</formula>
    </cfRule>
    <cfRule type="expression" dxfId="34" priority="44">
      <formula>RIGHT($B51,2)=".0"</formula>
    </cfRule>
  </conditionalFormatting>
  <conditionalFormatting sqref="B55:F57">
    <cfRule type="expression" dxfId="33" priority="33">
      <formula>AND($B55&lt;&gt;"",$D55&lt;&gt;"",$F55&lt;&gt;"")</formula>
    </cfRule>
    <cfRule type="expression" dxfId="32" priority="34">
      <formula>CONCATENATE($C55,$D55,$E55,$F55)=""</formula>
    </cfRule>
    <cfRule type="expression" dxfId="31" priority="35">
      <formula>AND(CONCATENATE($D55,$E55,$F55)="",LEN($C55)&gt;2)</formula>
    </cfRule>
    <cfRule type="expression" dxfId="30" priority="36">
      <formula>RIGHT($B55,2)=".0"</formula>
    </cfRule>
  </conditionalFormatting>
  <conditionalFormatting sqref="B58:F58">
    <cfRule type="expression" dxfId="29" priority="29">
      <formula>AND($B58&lt;&gt;"",$D58&lt;&gt;"",$F58&lt;&gt;"")</formula>
    </cfRule>
    <cfRule type="expression" dxfId="28" priority="30">
      <formula>CONCATENATE($C58,$D58,$E58,$F58)=""</formula>
    </cfRule>
    <cfRule type="expression" dxfId="27" priority="31">
      <formula>AND(CONCATENATE($D58,$E58,$F58)="",LEN($C58)&gt;2)</formula>
    </cfRule>
    <cfRule type="expression" dxfId="26" priority="32">
      <formula>RIGHT($B58,2)=".0"</formula>
    </cfRule>
  </conditionalFormatting>
  <conditionalFormatting sqref="B135:F135 B137:F138">
    <cfRule type="expression" dxfId="25" priority="25">
      <formula>AND($B135&lt;&gt;"",$D135&lt;&gt;"",$F135&lt;&gt;"")</formula>
    </cfRule>
    <cfRule type="expression" dxfId="24" priority="26">
      <formula>CONCATENATE($C135,$D135,$E135,$F135)=""</formula>
    </cfRule>
    <cfRule type="expression" dxfId="23" priority="27">
      <formula>AND(CONCATENATE($D135,$E135,$F135)="",LEN($C135)&gt;2)</formula>
    </cfRule>
    <cfRule type="expression" dxfId="22" priority="28">
      <formula>RIGHT($B135,2)=".0"</formula>
    </cfRule>
  </conditionalFormatting>
  <conditionalFormatting sqref="B141:F141">
    <cfRule type="expression" dxfId="21" priority="13">
      <formula>AND($B141&lt;&gt;"",$D141&lt;&gt;"",$F141&lt;&gt;"")</formula>
    </cfRule>
    <cfRule type="expression" dxfId="20" priority="14">
      <formula>CONCATENATE($C141,$D141,$E141,$F141)=""</formula>
    </cfRule>
    <cfRule type="expression" dxfId="19" priority="15">
      <formula>AND(CONCATENATE($D141,$E141,$F141)="",LEN($C141)&gt;2)</formula>
    </cfRule>
    <cfRule type="expression" dxfId="18" priority="16">
      <formula>RIGHT($B141,2)=".0"</formula>
    </cfRule>
  </conditionalFormatting>
  <conditionalFormatting sqref="B28:F29">
    <cfRule type="expression" dxfId="17" priority="9">
      <formula>AND($B28&lt;&gt;"",$D28&lt;&gt;"",$F28&lt;&gt;"")</formula>
    </cfRule>
    <cfRule type="expression" dxfId="16" priority="10">
      <formula>CONCATENATE($C28,$D28,$E28,$F28)=""</formula>
    </cfRule>
    <cfRule type="expression" dxfId="15" priority="11">
      <formula>AND(CONCATENATE($D28,$E28,$F28)="",LEN($C28)&gt;2)</formula>
    </cfRule>
    <cfRule type="expression" dxfId="14" priority="12">
      <formula>RIGHT($B28,2)=".0"</formula>
    </cfRule>
  </conditionalFormatting>
  <conditionalFormatting sqref="B52:F52">
    <cfRule type="expression" dxfId="13" priority="5">
      <formula>AND($B52&lt;&gt;"",$D52&lt;&gt;"",$F52&lt;&gt;"")</formula>
    </cfRule>
    <cfRule type="expression" dxfId="12" priority="6">
      <formula>CONCATENATE($C52,$D52,$E52,$F52)=""</formula>
    </cfRule>
    <cfRule type="expression" dxfId="11" priority="7">
      <formula>AND(CONCATENATE($D52,$E52,$F52)="",LEN($C52)&gt;2)</formula>
    </cfRule>
    <cfRule type="expression" dxfId="10" priority="8">
      <formula>RIGHT($B52,2)=".0"</formula>
    </cfRule>
  </conditionalFormatting>
  <conditionalFormatting sqref="B136:F136">
    <cfRule type="expression" dxfId="9" priority="1">
      <formula>AND($B136&lt;&gt;"",$D136&lt;&gt;"",$F136&lt;&gt;"")</formula>
    </cfRule>
    <cfRule type="expression" dxfId="8" priority="2">
      <formula>CONCATENATE($C136,$D136,$E136,$F136)=""</formula>
    </cfRule>
    <cfRule type="expression" dxfId="7" priority="3">
      <formula>AND(CONCATENATE($D136,$E136,$F136)="",LEN($C136)&gt;2)</formula>
    </cfRule>
    <cfRule type="expression" dxfId="6" priority="4">
      <formula>RIGHT($B136,2)=".0"</formula>
    </cfRule>
  </conditionalFormatting>
  <printOptions horizontalCentered="1"/>
  <pageMargins left="0.78740157480314965" right="0.19685039370078741" top="0.39370078740157483" bottom="0.78740157480314965" header="0.19685039370078741" footer="0.19685039370078741"/>
  <pageSetup paperSize="9" scale="62" orientation="portrait" r:id="rId1"/>
  <headerFooter scaleWithDoc="0" alignWithMargins="0">
    <oddHeader>&amp;RPágina &amp;P de &amp;N</oddHeader>
  </headerFooter>
  <rowBreaks count="2" manualBreakCount="2">
    <brk id="59" min="1" max="5" man="1"/>
    <brk id="75" min="1" max="5" man="1"/>
  </rowBreaks>
  <drawing r:id="rId2"/>
</worksheet>
</file>

<file path=xl/worksheets/sheet5.xml><?xml version="1.0" encoding="utf-8"?>
<worksheet xmlns="http://schemas.openxmlformats.org/spreadsheetml/2006/main" xmlns:r="http://schemas.openxmlformats.org/officeDocument/2006/relationships">
  <sheetPr codeName="Planilha24">
    <tabColor rgb="FFFFCCFF"/>
    <pageSetUpPr fitToPage="1"/>
  </sheetPr>
  <dimension ref="B2:IK38"/>
  <sheetViews>
    <sheetView view="pageBreakPreview" topLeftCell="D1" zoomScale="70" zoomScaleSheetLayoutView="70" workbookViewId="0">
      <selection activeCell="B9" sqref="B9:R9"/>
    </sheetView>
  </sheetViews>
  <sheetFormatPr defaultRowHeight="12.75"/>
  <cols>
    <col min="1" max="1" width="9.140625" style="411"/>
    <col min="2" max="2" width="4" style="411" customWidth="1"/>
    <col min="3" max="3" width="11" style="411" customWidth="1"/>
    <col min="4" max="4" width="41.85546875" style="411" customWidth="1"/>
    <col min="5" max="5" width="15.28515625" style="411" bestFit="1" customWidth="1"/>
    <col min="6" max="6" width="14.85546875" style="411" bestFit="1" customWidth="1"/>
    <col min="7" max="7" width="16.140625" style="411" customWidth="1"/>
    <col min="8" max="8" width="14.85546875" style="411" bestFit="1" customWidth="1"/>
    <col min="9" max="9" width="17.28515625" style="411" bestFit="1" customWidth="1"/>
    <col min="10" max="10" width="14.85546875" style="411" bestFit="1" customWidth="1"/>
    <col min="11" max="11" width="17.28515625" style="411" bestFit="1" customWidth="1"/>
    <col min="12" max="12" width="14.85546875" style="411" bestFit="1" customWidth="1"/>
    <col min="13" max="13" width="17.28515625" style="411" bestFit="1" customWidth="1"/>
    <col min="14" max="14" width="14.85546875" style="411" bestFit="1" customWidth="1"/>
    <col min="15" max="15" width="17.28515625" style="411" bestFit="1" customWidth="1"/>
    <col min="16" max="16" width="14.85546875" style="411" bestFit="1" customWidth="1"/>
    <col min="17" max="17" width="18" style="411" bestFit="1" customWidth="1"/>
    <col min="18" max="18" width="11.42578125" style="411" customWidth="1"/>
    <col min="19" max="19" width="9.140625" style="411"/>
    <col min="20" max="20" width="16.28515625" style="411" customWidth="1"/>
    <col min="21" max="246" width="9.140625" style="411"/>
    <col min="247" max="247" width="4" style="411" customWidth="1"/>
    <col min="248" max="248" width="34.5703125" style="411" customWidth="1"/>
    <col min="249" max="249" width="11.85546875" style="411" bestFit="1" customWidth="1"/>
    <col min="250" max="250" width="8.140625" style="411" customWidth="1"/>
    <col min="251" max="251" width="13.85546875" style="411" bestFit="1" customWidth="1"/>
    <col min="252" max="252" width="8.140625" style="411" customWidth="1"/>
    <col min="253" max="253" width="13.85546875" style="411" bestFit="1" customWidth="1"/>
    <col min="254" max="254" width="8.7109375" style="411" customWidth="1"/>
    <col min="255" max="255" width="13.5703125" style="411" bestFit="1" customWidth="1"/>
    <col min="256" max="256" width="9" style="411" customWidth="1"/>
    <col min="257" max="257" width="13.5703125" style="411" bestFit="1" customWidth="1"/>
    <col min="258" max="258" width="9" style="411" bestFit="1" customWidth="1"/>
    <col min="259" max="259" width="13.5703125" style="411" bestFit="1" customWidth="1"/>
    <col min="260" max="260" width="9" style="411" bestFit="1" customWidth="1"/>
    <col min="261" max="261" width="13.85546875" style="411" bestFit="1" customWidth="1"/>
    <col min="262" max="262" width="8.7109375" style="411" bestFit="1" customWidth="1"/>
    <col min="263" max="263" width="13.85546875" style="411" bestFit="1" customWidth="1"/>
    <col min="264" max="264" width="8.7109375" style="411" bestFit="1" customWidth="1"/>
    <col min="265" max="265" width="13.85546875" style="411" bestFit="1" customWidth="1"/>
    <col min="266" max="266" width="8.7109375" style="411" bestFit="1" customWidth="1"/>
    <col min="267" max="267" width="13.85546875" style="411" bestFit="1" customWidth="1"/>
    <col min="268" max="268" width="8.7109375" style="411" bestFit="1" customWidth="1"/>
    <col min="269" max="269" width="13.85546875" style="411" bestFit="1" customWidth="1"/>
    <col min="270" max="270" width="8.7109375" style="411" bestFit="1" customWidth="1"/>
    <col min="271" max="271" width="13.85546875" style="411" bestFit="1" customWidth="1"/>
    <col min="272" max="272" width="8.7109375" style="411" bestFit="1" customWidth="1"/>
    <col min="273" max="273" width="17.85546875" style="411" bestFit="1" customWidth="1"/>
    <col min="274" max="275" width="9.140625" style="411"/>
    <col min="276" max="276" width="10" style="411" bestFit="1" customWidth="1"/>
    <col min="277" max="502" width="9.140625" style="411"/>
    <col min="503" max="503" width="4" style="411" customWidth="1"/>
    <col min="504" max="504" width="34.5703125" style="411" customWidth="1"/>
    <col min="505" max="505" width="11.85546875" style="411" bestFit="1" customWidth="1"/>
    <col min="506" max="506" width="8.140625" style="411" customWidth="1"/>
    <col min="507" max="507" width="13.85546875" style="411" bestFit="1" customWidth="1"/>
    <col min="508" max="508" width="8.140625" style="411" customWidth="1"/>
    <col min="509" max="509" width="13.85546875" style="411" bestFit="1" customWidth="1"/>
    <col min="510" max="510" width="8.7109375" style="411" customWidth="1"/>
    <col min="511" max="511" width="13.5703125" style="411" bestFit="1" customWidth="1"/>
    <col min="512" max="512" width="9" style="411" customWidth="1"/>
    <col min="513" max="513" width="13.5703125" style="411" bestFit="1" customWidth="1"/>
    <col min="514" max="514" width="9" style="411" bestFit="1" customWidth="1"/>
    <col min="515" max="515" width="13.5703125" style="411" bestFit="1" customWidth="1"/>
    <col min="516" max="516" width="9" style="411" bestFit="1" customWidth="1"/>
    <col min="517" max="517" width="13.85546875" style="411" bestFit="1" customWidth="1"/>
    <col min="518" max="518" width="8.7109375" style="411" bestFit="1" customWidth="1"/>
    <col min="519" max="519" width="13.85546875" style="411" bestFit="1" customWidth="1"/>
    <col min="520" max="520" width="8.7109375" style="411" bestFit="1" customWidth="1"/>
    <col min="521" max="521" width="13.85546875" style="411" bestFit="1" customWidth="1"/>
    <col min="522" max="522" width="8.7109375" style="411" bestFit="1" customWidth="1"/>
    <col min="523" max="523" width="13.85546875" style="411" bestFit="1" customWidth="1"/>
    <col min="524" max="524" width="8.7109375" style="411" bestFit="1" customWidth="1"/>
    <col min="525" max="525" width="13.85546875" style="411" bestFit="1" customWidth="1"/>
    <col min="526" max="526" width="8.7109375" style="411" bestFit="1" customWidth="1"/>
    <col min="527" max="527" width="13.85546875" style="411" bestFit="1" customWidth="1"/>
    <col min="528" max="528" width="8.7109375" style="411" bestFit="1" customWidth="1"/>
    <col min="529" max="529" width="17.85546875" style="411" bestFit="1" customWidth="1"/>
    <col min="530" max="531" width="9.140625" style="411"/>
    <col min="532" max="532" width="10" style="411" bestFit="1" customWidth="1"/>
    <col min="533" max="758" width="9.140625" style="411"/>
    <col min="759" max="759" width="4" style="411" customWidth="1"/>
    <col min="760" max="760" width="34.5703125" style="411" customWidth="1"/>
    <col min="761" max="761" width="11.85546875" style="411" bestFit="1" customWidth="1"/>
    <col min="762" max="762" width="8.140625" style="411" customWidth="1"/>
    <col min="763" max="763" width="13.85546875" style="411" bestFit="1" customWidth="1"/>
    <col min="764" max="764" width="8.140625" style="411" customWidth="1"/>
    <col min="765" max="765" width="13.85546875" style="411" bestFit="1" customWidth="1"/>
    <col min="766" max="766" width="8.7109375" style="411" customWidth="1"/>
    <col min="767" max="767" width="13.5703125" style="411" bestFit="1" customWidth="1"/>
    <col min="768" max="768" width="9" style="411" customWidth="1"/>
    <col min="769" max="769" width="13.5703125" style="411" bestFit="1" customWidth="1"/>
    <col min="770" max="770" width="9" style="411" bestFit="1" customWidth="1"/>
    <col min="771" max="771" width="13.5703125" style="411" bestFit="1" customWidth="1"/>
    <col min="772" max="772" width="9" style="411" bestFit="1" customWidth="1"/>
    <col min="773" max="773" width="13.85546875" style="411" bestFit="1" customWidth="1"/>
    <col min="774" max="774" width="8.7109375" style="411" bestFit="1" customWidth="1"/>
    <col min="775" max="775" width="13.85546875" style="411" bestFit="1" customWidth="1"/>
    <col min="776" max="776" width="8.7109375" style="411" bestFit="1" customWidth="1"/>
    <col min="777" max="777" width="13.85546875" style="411" bestFit="1" customWidth="1"/>
    <col min="778" max="778" width="8.7109375" style="411" bestFit="1" customWidth="1"/>
    <col min="779" max="779" width="13.85546875" style="411" bestFit="1" customWidth="1"/>
    <col min="780" max="780" width="8.7109375" style="411" bestFit="1" customWidth="1"/>
    <col min="781" max="781" width="13.85546875" style="411" bestFit="1" customWidth="1"/>
    <col min="782" max="782" width="8.7109375" style="411" bestFit="1" customWidth="1"/>
    <col min="783" max="783" width="13.85546875" style="411" bestFit="1" customWidth="1"/>
    <col min="784" max="784" width="8.7109375" style="411" bestFit="1" customWidth="1"/>
    <col min="785" max="785" width="17.85546875" style="411" bestFit="1" customWidth="1"/>
    <col min="786" max="787" width="9.140625" style="411"/>
    <col min="788" max="788" width="10" style="411" bestFit="1" customWidth="1"/>
    <col min="789" max="1014" width="9.140625" style="411"/>
    <col min="1015" max="1015" width="4" style="411" customWidth="1"/>
    <col min="1016" max="1016" width="34.5703125" style="411" customWidth="1"/>
    <col min="1017" max="1017" width="11.85546875" style="411" bestFit="1" customWidth="1"/>
    <col min="1018" max="1018" width="8.140625" style="411" customWidth="1"/>
    <col min="1019" max="1019" width="13.85546875" style="411" bestFit="1" customWidth="1"/>
    <col min="1020" max="1020" width="8.140625" style="411" customWidth="1"/>
    <col min="1021" max="1021" width="13.85546875" style="411" bestFit="1" customWidth="1"/>
    <col min="1022" max="1022" width="8.7109375" style="411" customWidth="1"/>
    <col min="1023" max="1023" width="13.5703125" style="411" bestFit="1" customWidth="1"/>
    <col min="1024" max="1024" width="9" style="411" customWidth="1"/>
    <col min="1025" max="1025" width="13.5703125" style="411" bestFit="1" customWidth="1"/>
    <col min="1026" max="1026" width="9" style="411" bestFit="1" customWidth="1"/>
    <col min="1027" max="1027" width="13.5703125" style="411" bestFit="1" customWidth="1"/>
    <col min="1028" max="1028" width="9" style="411" bestFit="1" customWidth="1"/>
    <col min="1029" max="1029" width="13.85546875" style="411" bestFit="1" customWidth="1"/>
    <col min="1030" max="1030" width="8.7109375" style="411" bestFit="1" customWidth="1"/>
    <col min="1031" max="1031" width="13.85546875" style="411" bestFit="1" customWidth="1"/>
    <col min="1032" max="1032" width="8.7109375" style="411" bestFit="1" customWidth="1"/>
    <col min="1033" max="1033" width="13.85546875" style="411" bestFit="1" customWidth="1"/>
    <col min="1034" max="1034" width="8.7109375" style="411" bestFit="1" customWidth="1"/>
    <col min="1035" max="1035" width="13.85546875" style="411" bestFit="1" customWidth="1"/>
    <col min="1036" max="1036" width="8.7109375" style="411" bestFit="1" customWidth="1"/>
    <col min="1037" max="1037" width="13.85546875" style="411" bestFit="1" customWidth="1"/>
    <col min="1038" max="1038" width="8.7109375" style="411" bestFit="1" customWidth="1"/>
    <col min="1039" max="1039" width="13.85546875" style="411" bestFit="1" customWidth="1"/>
    <col min="1040" max="1040" width="8.7109375" style="411" bestFit="1" customWidth="1"/>
    <col min="1041" max="1041" width="17.85546875" style="411" bestFit="1" customWidth="1"/>
    <col min="1042" max="1043" width="9.140625" style="411"/>
    <col min="1044" max="1044" width="10" style="411" bestFit="1" customWidth="1"/>
    <col min="1045" max="1270" width="9.140625" style="411"/>
    <col min="1271" max="1271" width="4" style="411" customWidth="1"/>
    <col min="1272" max="1272" width="34.5703125" style="411" customWidth="1"/>
    <col min="1273" max="1273" width="11.85546875" style="411" bestFit="1" customWidth="1"/>
    <col min="1274" max="1274" width="8.140625" style="411" customWidth="1"/>
    <col min="1275" max="1275" width="13.85546875" style="411" bestFit="1" customWidth="1"/>
    <col min="1276" max="1276" width="8.140625" style="411" customWidth="1"/>
    <col min="1277" max="1277" width="13.85546875" style="411" bestFit="1" customWidth="1"/>
    <col min="1278" max="1278" width="8.7109375" style="411" customWidth="1"/>
    <col min="1279" max="1279" width="13.5703125" style="411" bestFit="1" customWidth="1"/>
    <col min="1280" max="1280" width="9" style="411" customWidth="1"/>
    <col min="1281" max="1281" width="13.5703125" style="411" bestFit="1" customWidth="1"/>
    <col min="1282" max="1282" width="9" style="411" bestFit="1" customWidth="1"/>
    <col min="1283" max="1283" width="13.5703125" style="411" bestFit="1" customWidth="1"/>
    <col min="1284" max="1284" width="9" style="411" bestFit="1" customWidth="1"/>
    <col min="1285" max="1285" width="13.85546875" style="411" bestFit="1" customWidth="1"/>
    <col min="1286" max="1286" width="8.7109375" style="411" bestFit="1" customWidth="1"/>
    <col min="1287" max="1287" width="13.85546875" style="411" bestFit="1" customWidth="1"/>
    <col min="1288" max="1288" width="8.7109375" style="411" bestFit="1" customWidth="1"/>
    <col min="1289" max="1289" width="13.85546875" style="411" bestFit="1" customWidth="1"/>
    <col min="1290" max="1290" width="8.7109375" style="411" bestFit="1" customWidth="1"/>
    <col min="1291" max="1291" width="13.85546875" style="411" bestFit="1" customWidth="1"/>
    <col min="1292" max="1292" width="8.7109375" style="411" bestFit="1" customWidth="1"/>
    <col min="1293" max="1293" width="13.85546875" style="411" bestFit="1" customWidth="1"/>
    <col min="1294" max="1294" width="8.7109375" style="411" bestFit="1" customWidth="1"/>
    <col min="1295" max="1295" width="13.85546875" style="411" bestFit="1" customWidth="1"/>
    <col min="1296" max="1296" width="8.7109375" style="411" bestFit="1" customWidth="1"/>
    <col min="1297" max="1297" width="17.85546875" style="411" bestFit="1" customWidth="1"/>
    <col min="1298" max="1299" width="9.140625" style="411"/>
    <col min="1300" max="1300" width="10" style="411" bestFit="1" customWidth="1"/>
    <col min="1301" max="1526" width="9.140625" style="411"/>
    <col min="1527" max="1527" width="4" style="411" customWidth="1"/>
    <col min="1528" max="1528" width="34.5703125" style="411" customWidth="1"/>
    <col min="1529" max="1529" width="11.85546875" style="411" bestFit="1" customWidth="1"/>
    <col min="1530" max="1530" width="8.140625" style="411" customWidth="1"/>
    <col min="1531" max="1531" width="13.85546875" style="411" bestFit="1" customWidth="1"/>
    <col min="1532" max="1532" width="8.140625" style="411" customWidth="1"/>
    <col min="1533" max="1533" width="13.85546875" style="411" bestFit="1" customWidth="1"/>
    <col min="1534" max="1534" width="8.7109375" style="411" customWidth="1"/>
    <col min="1535" max="1535" width="13.5703125" style="411" bestFit="1" customWidth="1"/>
    <col min="1536" max="1536" width="9" style="411" customWidth="1"/>
    <col min="1537" max="1537" width="13.5703125" style="411" bestFit="1" customWidth="1"/>
    <col min="1538" max="1538" width="9" style="411" bestFit="1" customWidth="1"/>
    <col min="1539" max="1539" width="13.5703125" style="411" bestFit="1" customWidth="1"/>
    <col min="1540" max="1540" width="9" style="411" bestFit="1" customWidth="1"/>
    <col min="1541" max="1541" width="13.85546875" style="411" bestFit="1" customWidth="1"/>
    <col min="1542" max="1542" width="8.7109375" style="411" bestFit="1" customWidth="1"/>
    <col min="1543" max="1543" width="13.85546875" style="411" bestFit="1" customWidth="1"/>
    <col min="1544" max="1544" width="8.7109375" style="411" bestFit="1" customWidth="1"/>
    <col min="1545" max="1545" width="13.85546875" style="411" bestFit="1" customWidth="1"/>
    <col min="1546" max="1546" width="8.7109375" style="411" bestFit="1" customWidth="1"/>
    <col min="1547" max="1547" width="13.85546875" style="411" bestFit="1" customWidth="1"/>
    <col min="1548" max="1548" width="8.7109375" style="411" bestFit="1" customWidth="1"/>
    <col min="1549" max="1549" width="13.85546875" style="411" bestFit="1" customWidth="1"/>
    <col min="1550" max="1550" width="8.7109375" style="411" bestFit="1" customWidth="1"/>
    <col min="1551" max="1551" width="13.85546875" style="411" bestFit="1" customWidth="1"/>
    <col min="1552" max="1552" width="8.7109375" style="411" bestFit="1" customWidth="1"/>
    <col min="1553" max="1553" width="17.85546875" style="411" bestFit="1" customWidth="1"/>
    <col min="1554" max="1555" width="9.140625" style="411"/>
    <col min="1556" max="1556" width="10" style="411" bestFit="1" customWidth="1"/>
    <col min="1557" max="1782" width="9.140625" style="411"/>
    <col min="1783" max="1783" width="4" style="411" customWidth="1"/>
    <col min="1784" max="1784" width="34.5703125" style="411" customWidth="1"/>
    <col min="1785" max="1785" width="11.85546875" style="411" bestFit="1" customWidth="1"/>
    <col min="1786" max="1786" width="8.140625" style="411" customWidth="1"/>
    <col min="1787" max="1787" width="13.85546875" style="411" bestFit="1" customWidth="1"/>
    <col min="1788" max="1788" width="8.140625" style="411" customWidth="1"/>
    <col min="1789" max="1789" width="13.85546875" style="411" bestFit="1" customWidth="1"/>
    <col min="1790" max="1790" width="8.7109375" style="411" customWidth="1"/>
    <col min="1791" max="1791" width="13.5703125" style="411" bestFit="1" customWidth="1"/>
    <col min="1792" max="1792" width="9" style="411" customWidth="1"/>
    <col min="1793" max="1793" width="13.5703125" style="411" bestFit="1" customWidth="1"/>
    <col min="1794" max="1794" width="9" style="411" bestFit="1" customWidth="1"/>
    <col min="1795" max="1795" width="13.5703125" style="411" bestFit="1" customWidth="1"/>
    <col min="1796" max="1796" width="9" style="411" bestFit="1" customWidth="1"/>
    <col min="1797" max="1797" width="13.85546875" style="411" bestFit="1" customWidth="1"/>
    <col min="1798" max="1798" width="8.7109375" style="411" bestFit="1" customWidth="1"/>
    <col min="1799" max="1799" width="13.85546875" style="411" bestFit="1" customWidth="1"/>
    <col min="1800" max="1800" width="8.7109375" style="411" bestFit="1" customWidth="1"/>
    <col min="1801" max="1801" width="13.85546875" style="411" bestFit="1" customWidth="1"/>
    <col min="1802" max="1802" width="8.7109375" style="411" bestFit="1" customWidth="1"/>
    <col min="1803" max="1803" width="13.85546875" style="411" bestFit="1" customWidth="1"/>
    <col min="1804" max="1804" width="8.7109375" style="411" bestFit="1" customWidth="1"/>
    <col min="1805" max="1805" width="13.85546875" style="411" bestFit="1" customWidth="1"/>
    <col min="1806" max="1806" width="8.7109375" style="411" bestFit="1" customWidth="1"/>
    <col min="1807" max="1807" width="13.85546875" style="411" bestFit="1" customWidth="1"/>
    <col min="1808" max="1808" width="8.7109375" style="411" bestFit="1" customWidth="1"/>
    <col min="1809" max="1809" width="17.85546875" style="411" bestFit="1" customWidth="1"/>
    <col min="1810" max="1811" width="9.140625" style="411"/>
    <col min="1812" max="1812" width="10" style="411" bestFit="1" customWidth="1"/>
    <col min="1813" max="2038" width="9.140625" style="411"/>
    <col min="2039" max="2039" width="4" style="411" customWidth="1"/>
    <col min="2040" max="2040" width="34.5703125" style="411" customWidth="1"/>
    <col min="2041" max="2041" width="11.85546875" style="411" bestFit="1" customWidth="1"/>
    <col min="2042" max="2042" width="8.140625" style="411" customWidth="1"/>
    <col min="2043" max="2043" width="13.85546875" style="411" bestFit="1" customWidth="1"/>
    <col min="2044" max="2044" width="8.140625" style="411" customWidth="1"/>
    <col min="2045" max="2045" width="13.85546875" style="411" bestFit="1" customWidth="1"/>
    <col min="2046" max="2046" width="8.7109375" style="411" customWidth="1"/>
    <col min="2047" max="2047" width="13.5703125" style="411" bestFit="1" customWidth="1"/>
    <col min="2048" max="2048" width="9" style="411" customWidth="1"/>
    <col min="2049" max="2049" width="13.5703125" style="411" bestFit="1" customWidth="1"/>
    <col min="2050" max="2050" width="9" style="411" bestFit="1" customWidth="1"/>
    <col min="2051" max="2051" width="13.5703125" style="411" bestFit="1" customWidth="1"/>
    <col min="2052" max="2052" width="9" style="411" bestFit="1" customWidth="1"/>
    <col min="2053" max="2053" width="13.85546875" style="411" bestFit="1" customWidth="1"/>
    <col min="2054" max="2054" width="8.7109375" style="411" bestFit="1" customWidth="1"/>
    <col min="2055" max="2055" width="13.85546875" style="411" bestFit="1" customWidth="1"/>
    <col min="2056" max="2056" width="8.7109375" style="411" bestFit="1" customWidth="1"/>
    <col min="2057" max="2057" width="13.85546875" style="411" bestFit="1" customWidth="1"/>
    <col min="2058" max="2058" width="8.7109375" style="411" bestFit="1" customWidth="1"/>
    <col min="2059" max="2059" width="13.85546875" style="411" bestFit="1" customWidth="1"/>
    <col min="2060" max="2060" width="8.7109375" style="411" bestFit="1" customWidth="1"/>
    <col min="2061" max="2061" width="13.85546875" style="411" bestFit="1" customWidth="1"/>
    <col min="2062" max="2062" width="8.7109375" style="411" bestFit="1" customWidth="1"/>
    <col min="2063" max="2063" width="13.85546875" style="411" bestFit="1" customWidth="1"/>
    <col min="2064" max="2064" width="8.7109375" style="411" bestFit="1" customWidth="1"/>
    <col min="2065" max="2065" width="17.85546875" style="411" bestFit="1" customWidth="1"/>
    <col min="2066" max="2067" width="9.140625" style="411"/>
    <col min="2068" max="2068" width="10" style="411" bestFit="1" customWidth="1"/>
    <col min="2069" max="2294" width="9.140625" style="411"/>
    <col min="2295" max="2295" width="4" style="411" customWidth="1"/>
    <col min="2296" max="2296" width="34.5703125" style="411" customWidth="1"/>
    <col min="2297" max="2297" width="11.85546875" style="411" bestFit="1" customWidth="1"/>
    <col min="2298" max="2298" width="8.140625" style="411" customWidth="1"/>
    <col min="2299" max="2299" width="13.85546875" style="411" bestFit="1" customWidth="1"/>
    <col min="2300" max="2300" width="8.140625" style="411" customWidth="1"/>
    <col min="2301" max="2301" width="13.85546875" style="411" bestFit="1" customWidth="1"/>
    <col min="2302" max="2302" width="8.7109375" style="411" customWidth="1"/>
    <col min="2303" max="2303" width="13.5703125" style="411" bestFit="1" customWidth="1"/>
    <col min="2304" max="2304" width="9" style="411" customWidth="1"/>
    <col min="2305" max="2305" width="13.5703125" style="411" bestFit="1" customWidth="1"/>
    <col min="2306" max="2306" width="9" style="411" bestFit="1" customWidth="1"/>
    <col min="2307" max="2307" width="13.5703125" style="411" bestFit="1" customWidth="1"/>
    <col min="2308" max="2308" width="9" style="411" bestFit="1" customWidth="1"/>
    <col min="2309" max="2309" width="13.85546875" style="411" bestFit="1" customWidth="1"/>
    <col min="2310" max="2310" width="8.7109375" style="411" bestFit="1" customWidth="1"/>
    <col min="2311" max="2311" width="13.85546875" style="411" bestFit="1" customWidth="1"/>
    <col min="2312" max="2312" width="8.7109375" style="411" bestFit="1" customWidth="1"/>
    <col min="2313" max="2313" width="13.85546875" style="411" bestFit="1" customWidth="1"/>
    <col min="2314" max="2314" width="8.7109375" style="411" bestFit="1" customWidth="1"/>
    <col min="2315" max="2315" width="13.85546875" style="411" bestFit="1" customWidth="1"/>
    <col min="2316" max="2316" width="8.7109375" style="411" bestFit="1" customWidth="1"/>
    <col min="2317" max="2317" width="13.85546875" style="411" bestFit="1" customWidth="1"/>
    <col min="2318" max="2318" width="8.7109375" style="411" bestFit="1" customWidth="1"/>
    <col min="2319" max="2319" width="13.85546875" style="411" bestFit="1" customWidth="1"/>
    <col min="2320" max="2320" width="8.7109375" style="411" bestFit="1" customWidth="1"/>
    <col min="2321" max="2321" width="17.85546875" style="411" bestFit="1" customWidth="1"/>
    <col min="2322" max="2323" width="9.140625" style="411"/>
    <col min="2324" max="2324" width="10" style="411" bestFit="1" customWidth="1"/>
    <col min="2325" max="2550" width="9.140625" style="411"/>
    <col min="2551" max="2551" width="4" style="411" customWidth="1"/>
    <col min="2552" max="2552" width="34.5703125" style="411" customWidth="1"/>
    <col min="2553" max="2553" width="11.85546875" style="411" bestFit="1" customWidth="1"/>
    <col min="2554" max="2554" width="8.140625" style="411" customWidth="1"/>
    <col min="2555" max="2555" width="13.85546875" style="411" bestFit="1" customWidth="1"/>
    <col min="2556" max="2556" width="8.140625" style="411" customWidth="1"/>
    <col min="2557" max="2557" width="13.85546875" style="411" bestFit="1" customWidth="1"/>
    <col min="2558" max="2558" width="8.7109375" style="411" customWidth="1"/>
    <col min="2559" max="2559" width="13.5703125" style="411" bestFit="1" customWidth="1"/>
    <col min="2560" max="2560" width="9" style="411" customWidth="1"/>
    <col min="2561" max="2561" width="13.5703125" style="411" bestFit="1" customWidth="1"/>
    <col min="2562" max="2562" width="9" style="411" bestFit="1" customWidth="1"/>
    <col min="2563" max="2563" width="13.5703125" style="411" bestFit="1" customWidth="1"/>
    <col min="2564" max="2564" width="9" style="411" bestFit="1" customWidth="1"/>
    <col min="2565" max="2565" width="13.85546875" style="411" bestFit="1" customWidth="1"/>
    <col min="2566" max="2566" width="8.7109375" style="411" bestFit="1" customWidth="1"/>
    <col min="2567" max="2567" width="13.85546875" style="411" bestFit="1" customWidth="1"/>
    <col min="2568" max="2568" width="8.7109375" style="411" bestFit="1" customWidth="1"/>
    <col min="2569" max="2569" width="13.85546875" style="411" bestFit="1" customWidth="1"/>
    <col min="2570" max="2570" width="8.7109375" style="411" bestFit="1" customWidth="1"/>
    <col min="2571" max="2571" width="13.85546875" style="411" bestFit="1" customWidth="1"/>
    <col min="2572" max="2572" width="8.7109375" style="411" bestFit="1" customWidth="1"/>
    <col min="2573" max="2573" width="13.85546875" style="411" bestFit="1" customWidth="1"/>
    <col min="2574" max="2574" width="8.7109375" style="411" bestFit="1" customWidth="1"/>
    <col min="2575" max="2575" width="13.85546875" style="411" bestFit="1" customWidth="1"/>
    <col min="2576" max="2576" width="8.7109375" style="411" bestFit="1" customWidth="1"/>
    <col min="2577" max="2577" width="17.85546875" style="411" bestFit="1" customWidth="1"/>
    <col min="2578" max="2579" width="9.140625" style="411"/>
    <col min="2580" max="2580" width="10" style="411" bestFit="1" customWidth="1"/>
    <col min="2581" max="2806" width="9.140625" style="411"/>
    <col min="2807" max="2807" width="4" style="411" customWidth="1"/>
    <col min="2808" max="2808" width="34.5703125" style="411" customWidth="1"/>
    <col min="2809" max="2809" width="11.85546875" style="411" bestFit="1" customWidth="1"/>
    <col min="2810" max="2810" width="8.140625" style="411" customWidth="1"/>
    <col min="2811" max="2811" width="13.85546875" style="411" bestFit="1" customWidth="1"/>
    <col min="2812" max="2812" width="8.140625" style="411" customWidth="1"/>
    <col min="2813" max="2813" width="13.85546875" style="411" bestFit="1" customWidth="1"/>
    <col min="2814" max="2814" width="8.7109375" style="411" customWidth="1"/>
    <col min="2815" max="2815" width="13.5703125" style="411" bestFit="1" customWidth="1"/>
    <col min="2816" max="2816" width="9" style="411" customWidth="1"/>
    <col min="2817" max="2817" width="13.5703125" style="411" bestFit="1" customWidth="1"/>
    <col min="2818" max="2818" width="9" style="411" bestFit="1" customWidth="1"/>
    <col min="2819" max="2819" width="13.5703125" style="411" bestFit="1" customWidth="1"/>
    <col min="2820" max="2820" width="9" style="411" bestFit="1" customWidth="1"/>
    <col min="2821" max="2821" width="13.85546875" style="411" bestFit="1" customWidth="1"/>
    <col min="2822" max="2822" width="8.7109375" style="411" bestFit="1" customWidth="1"/>
    <col min="2823" max="2823" width="13.85546875" style="411" bestFit="1" customWidth="1"/>
    <col min="2824" max="2824" width="8.7109375" style="411" bestFit="1" customWidth="1"/>
    <col min="2825" max="2825" width="13.85546875" style="411" bestFit="1" customWidth="1"/>
    <col min="2826" max="2826" width="8.7109375" style="411" bestFit="1" customWidth="1"/>
    <col min="2827" max="2827" width="13.85546875" style="411" bestFit="1" customWidth="1"/>
    <col min="2828" max="2828" width="8.7109375" style="411" bestFit="1" customWidth="1"/>
    <col min="2829" max="2829" width="13.85546875" style="411" bestFit="1" customWidth="1"/>
    <col min="2830" max="2830" width="8.7109375" style="411" bestFit="1" customWidth="1"/>
    <col min="2831" max="2831" width="13.85546875" style="411" bestFit="1" customWidth="1"/>
    <col min="2832" max="2832" width="8.7109375" style="411" bestFit="1" customWidth="1"/>
    <col min="2833" max="2833" width="17.85546875" style="411" bestFit="1" customWidth="1"/>
    <col min="2834" max="2835" width="9.140625" style="411"/>
    <col min="2836" max="2836" width="10" style="411" bestFit="1" customWidth="1"/>
    <col min="2837" max="3062" width="9.140625" style="411"/>
    <col min="3063" max="3063" width="4" style="411" customWidth="1"/>
    <col min="3064" max="3064" width="34.5703125" style="411" customWidth="1"/>
    <col min="3065" max="3065" width="11.85546875" style="411" bestFit="1" customWidth="1"/>
    <col min="3066" max="3066" width="8.140625" style="411" customWidth="1"/>
    <col min="3067" max="3067" width="13.85546875" style="411" bestFit="1" customWidth="1"/>
    <col min="3068" max="3068" width="8.140625" style="411" customWidth="1"/>
    <col min="3069" max="3069" width="13.85546875" style="411" bestFit="1" customWidth="1"/>
    <col min="3070" max="3070" width="8.7109375" style="411" customWidth="1"/>
    <col min="3071" max="3071" width="13.5703125" style="411" bestFit="1" customWidth="1"/>
    <col min="3072" max="3072" width="9" style="411" customWidth="1"/>
    <col min="3073" max="3073" width="13.5703125" style="411" bestFit="1" customWidth="1"/>
    <col min="3074" max="3074" width="9" style="411" bestFit="1" customWidth="1"/>
    <col min="3075" max="3075" width="13.5703125" style="411" bestFit="1" customWidth="1"/>
    <col min="3076" max="3076" width="9" style="411" bestFit="1" customWidth="1"/>
    <col min="3077" max="3077" width="13.85546875" style="411" bestFit="1" customWidth="1"/>
    <col min="3078" max="3078" width="8.7109375" style="411" bestFit="1" customWidth="1"/>
    <col min="3079" max="3079" width="13.85546875" style="411" bestFit="1" customWidth="1"/>
    <col min="3080" max="3080" width="8.7109375" style="411" bestFit="1" customWidth="1"/>
    <col min="3081" max="3081" width="13.85546875" style="411" bestFit="1" customWidth="1"/>
    <col min="3082" max="3082" width="8.7109375" style="411" bestFit="1" customWidth="1"/>
    <col min="3083" max="3083" width="13.85546875" style="411" bestFit="1" customWidth="1"/>
    <col min="3084" max="3084" width="8.7109375" style="411" bestFit="1" customWidth="1"/>
    <col min="3085" max="3085" width="13.85546875" style="411" bestFit="1" customWidth="1"/>
    <col min="3086" max="3086" width="8.7109375" style="411" bestFit="1" customWidth="1"/>
    <col min="3087" max="3087" width="13.85546875" style="411" bestFit="1" customWidth="1"/>
    <col min="3088" max="3088" width="8.7109375" style="411" bestFit="1" customWidth="1"/>
    <col min="3089" max="3089" width="17.85546875" style="411" bestFit="1" customWidth="1"/>
    <col min="3090" max="3091" width="9.140625" style="411"/>
    <col min="3092" max="3092" width="10" style="411" bestFit="1" customWidth="1"/>
    <col min="3093" max="3318" width="9.140625" style="411"/>
    <col min="3319" max="3319" width="4" style="411" customWidth="1"/>
    <col min="3320" max="3320" width="34.5703125" style="411" customWidth="1"/>
    <col min="3321" max="3321" width="11.85546875" style="411" bestFit="1" customWidth="1"/>
    <col min="3322" max="3322" width="8.140625" style="411" customWidth="1"/>
    <col min="3323" max="3323" width="13.85546875" style="411" bestFit="1" customWidth="1"/>
    <col min="3324" max="3324" width="8.140625" style="411" customWidth="1"/>
    <col min="3325" max="3325" width="13.85546875" style="411" bestFit="1" customWidth="1"/>
    <col min="3326" max="3326" width="8.7109375" style="411" customWidth="1"/>
    <col min="3327" max="3327" width="13.5703125" style="411" bestFit="1" customWidth="1"/>
    <col min="3328" max="3328" width="9" style="411" customWidth="1"/>
    <col min="3329" max="3329" width="13.5703125" style="411" bestFit="1" customWidth="1"/>
    <col min="3330" max="3330" width="9" style="411" bestFit="1" customWidth="1"/>
    <col min="3331" max="3331" width="13.5703125" style="411" bestFit="1" customWidth="1"/>
    <col min="3332" max="3332" width="9" style="411" bestFit="1" customWidth="1"/>
    <col min="3333" max="3333" width="13.85546875" style="411" bestFit="1" customWidth="1"/>
    <col min="3334" max="3334" width="8.7109375" style="411" bestFit="1" customWidth="1"/>
    <col min="3335" max="3335" width="13.85546875" style="411" bestFit="1" customWidth="1"/>
    <col min="3336" max="3336" width="8.7109375" style="411" bestFit="1" customWidth="1"/>
    <col min="3337" max="3337" width="13.85546875" style="411" bestFit="1" customWidth="1"/>
    <col min="3338" max="3338" width="8.7109375" style="411" bestFit="1" customWidth="1"/>
    <col min="3339" max="3339" width="13.85546875" style="411" bestFit="1" customWidth="1"/>
    <col min="3340" max="3340" width="8.7109375" style="411" bestFit="1" customWidth="1"/>
    <col min="3341" max="3341" width="13.85546875" style="411" bestFit="1" customWidth="1"/>
    <col min="3342" max="3342" width="8.7109375" style="411" bestFit="1" customWidth="1"/>
    <col min="3343" max="3343" width="13.85546875" style="411" bestFit="1" customWidth="1"/>
    <col min="3344" max="3344" width="8.7109375" style="411" bestFit="1" customWidth="1"/>
    <col min="3345" max="3345" width="17.85546875" style="411" bestFit="1" customWidth="1"/>
    <col min="3346" max="3347" width="9.140625" style="411"/>
    <col min="3348" max="3348" width="10" style="411" bestFit="1" customWidth="1"/>
    <col min="3349" max="3574" width="9.140625" style="411"/>
    <col min="3575" max="3575" width="4" style="411" customWidth="1"/>
    <col min="3576" max="3576" width="34.5703125" style="411" customWidth="1"/>
    <col min="3577" max="3577" width="11.85546875" style="411" bestFit="1" customWidth="1"/>
    <col min="3578" max="3578" width="8.140625" style="411" customWidth="1"/>
    <col min="3579" max="3579" width="13.85546875" style="411" bestFit="1" customWidth="1"/>
    <col min="3580" max="3580" width="8.140625" style="411" customWidth="1"/>
    <col min="3581" max="3581" width="13.85546875" style="411" bestFit="1" customWidth="1"/>
    <col min="3582" max="3582" width="8.7109375" style="411" customWidth="1"/>
    <col min="3583" max="3583" width="13.5703125" style="411" bestFit="1" customWidth="1"/>
    <col min="3584" max="3584" width="9" style="411" customWidth="1"/>
    <col min="3585" max="3585" width="13.5703125" style="411" bestFit="1" customWidth="1"/>
    <col min="3586" max="3586" width="9" style="411" bestFit="1" customWidth="1"/>
    <col min="3587" max="3587" width="13.5703125" style="411" bestFit="1" customWidth="1"/>
    <col min="3588" max="3588" width="9" style="411" bestFit="1" customWidth="1"/>
    <col min="3589" max="3589" width="13.85546875" style="411" bestFit="1" customWidth="1"/>
    <col min="3590" max="3590" width="8.7109375" style="411" bestFit="1" customWidth="1"/>
    <col min="3591" max="3591" width="13.85546875" style="411" bestFit="1" customWidth="1"/>
    <col min="3592" max="3592" width="8.7109375" style="411" bestFit="1" customWidth="1"/>
    <col min="3593" max="3593" width="13.85546875" style="411" bestFit="1" customWidth="1"/>
    <col min="3594" max="3594" width="8.7109375" style="411" bestFit="1" customWidth="1"/>
    <col min="3595" max="3595" width="13.85546875" style="411" bestFit="1" customWidth="1"/>
    <col min="3596" max="3596" width="8.7109375" style="411" bestFit="1" customWidth="1"/>
    <col min="3597" max="3597" width="13.85546875" style="411" bestFit="1" customWidth="1"/>
    <col min="3598" max="3598" width="8.7109375" style="411" bestFit="1" customWidth="1"/>
    <col min="3599" max="3599" width="13.85546875" style="411" bestFit="1" customWidth="1"/>
    <col min="3600" max="3600" width="8.7109375" style="411" bestFit="1" customWidth="1"/>
    <col min="3601" max="3601" width="17.85546875" style="411" bestFit="1" customWidth="1"/>
    <col min="3602" max="3603" width="9.140625" style="411"/>
    <col min="3604" max="3604" width="10" style="411" bestFit="1" customWidth="1"/>
    <col min="3605" max="3830" width="9.140625" style="411"/>
    <col min="3831" max="3831" width="4" style="411" customWidth="1"/>
    <col min="3832" max="3832" width="34.5703125" style="411" customWidth="1"/>
    <col min="3833" max="3833" width="11.85546875" style="411" bestFit="1" customWidth="1"/>
    <col min="3834" max="3834" width="8.140625" style="411" customWidth="1"/>
    <col min="3835" max="3835" width="13.85546875" style="411" bestFit="1" customWidth="1"/>
    <col min="3836" max="3836" width="8.140625" style="411" customWidth="1"/>
    <col min="3837" max="3837" width="13.85546875" style="411" bestFit="1" customWidth="1"/>
    <col min="3838" max="3838" width="8.7109375" style="411" customWidth="1"/>
    <col min="3839" max="3839" width="13.5703125" style="411" bestFit="1" customWidth="1"/>
    <col min="3840" max="3840" width="9" style="411" customWidth="1"/>
    <col min="3841" max="3841" width="13.5703125" style="411" bestFit="1" customWidth="1"/>
    <col min="3842" max="3842" width="9" style="411" bestFit="1" customWidth="1"/>
    <col min="3843" max="3843" width="13.5703125" style="411" bestFit="1" customWidth="1"/>
    <col min="3844" max="3844" width="9" style="411" bestFit="1" customWidth="1"/>
    <col min="3845" max="3845" width="13.85546875" style="411" bestFit="1" customWidth="1"/>
    <col min="3846" max="3846" width="8.7109375" style="411" bestFit="1" customWidth="1"/>
    <col min="3847" max="3847" width="13.85546875" style="411" bestFit="1" customWidth="1"/>
    <col min="3848" max="3848" width="8.7109375" style="411" bestFit="1" customWidth="1"/>
    <col min="3849" max="3849" width="13.85546875" style="411" bestFit="1" customWidth="1"/>
    <col min="3850" max="3850" width="8.7109375" style="411" bestFit="1" customWidth="1"/>
    <col min="3851" max="3851" width="13.85546875" style="411" bestFit="1" customWidth="1"/>
    <col min="3852" max="3852" width="8.7109375" style="411" bestFit="1" customWidth="1"/>
    <col min="3853" max="3853" width="13.85546875" style="411" bestFit="1" customWidth="1"/>
    <col min="3854" max="3854" width="8.7109375" style="411" bestFit="1" customWidth="1"/>
    <col min="3855" max="3855" width="13.85546875" style="411" bestFit="1" customWidth="1"/>
    <col min="3856" max="3856" width="8.7109375" style="411" bestFit="1" customWidth="1"/>
    <col min="3857" max="3857" width="17.85546875" style="411" bestFit="1" customWidth="1"/>
    <col min="3858" max="3859" width="9.140625" style="411"/>
    <col min="3860" max="3860" width="10" style="411" bestFit="1" customWidth="1"/>
    <col min="3861" max="4086" width="9.140625" style="411"/>
    <col min="4087" max="4087" width="4" style="411" customWidth="1"/>
    <col min="4088" max="4088" width="34.5703125" style="411" customWidth="1"/>
    <col min="4089" max="4089" width="11.85546875" style="411" bestFit="1" customWidth="1"/>
    <col min="4090" max="4090" width="8.140625" style="411" customWidth="1"/>
    <col min="4091" max="4091" width="13.85546875" style="411" bestFit="1" customWidth="1"/>
    <col min="4092" max="4092" width="8.140625" style="411" customWidth="1"/>
    <col min="4093" max="4093" width="13.85546875" style="411" bestFit="1" customWidth="1"/>
    <col min="4094" max="4094" width="8.7109375" style="411" customWidth="1"/>
    <col min="4095" max="4095" width="13.5703125" style="411" bestFit="1" customWidth="1"/>
    <col min="4096" max="4096" width="9" style="411" customWidth="1"/>
    <col min="4097" max="4097" width="13.5703125" style="411" bestFit="1" customWidth="1"/>
    <col min="4098" max="4098" width="9" style="411" bestFit="1" customWidth="1"/>
    <col min="4099" max="4099" width="13.5703125" style="411" bestFit="1" customWidth="1"/>
    <col min="4100" max="4100" width="9" style="411" bestFit="1" customWidth="1"/>
    <col min="4101" max="4101" width="13.85546875" style="411" bestFit="1" customWidth="1"/>
    <col min="4102" max="4102" width="8.7109375" style="411" bestFit="1" customWidth="1"/>
    <col min="4103" max="4103" width="13.85546875" style="411" bestFit="1" customWidth="1"/>
    <col min="4104" max="4104" width="8.7109375" style="411" bestFit="1" customWidth="1"/>
    <col min="4105" max="4105" width="13.85546875" style="411" bestFit="1" customWidth="1"/>
    <col min="4106" max="4106" width="8.7109375" style="411" bestFit="1" customWidth="1"/>
    <col min="4107" max="4107" width="13.85546875" style="411" bestFit="1" customWidth="1"/>
    <col min="4108" max="4108" width="8.7109375" style="411" bestFit="1" customWidth="1"/>
    <col min="4109" max="4109" width="13.85546875" style="411" bestFit="1" customWidth="1"/>
    <col min="4110" max="4110" width="8.7109375" style="411" bestFit="1" customWidth="1"/>
    <col min="4111" max="4111" width="13.85546875" style="411" bestFit="1" customWidth="1"/>
    <col min="4112" max="4112" width="8.7109375" style="411" bestFit="1" customWidth="1"/>
    <col min="4113" max="4113" width="17.85546875" style="411" bestFit="1" customWidth="1"/>
    <col min="4114" max="4115" width="9.140625" style="411"/>
    <col min="4116" max="4116" width="10" style="411" bestFit="1" customWidth="1"/>
    <col min="4117" max="4342" width="9.140625" style="411"/>
    <col min="4343" max="4343" width="4" style="411" customWidth="1"/>
    <col min="4344" max="4344" width="34.5703125" style="411" customWidth="1"/>
    <col min="4345" max="4345" width="11.85546875" style="411" bestFit="1" customWidth="1"/>
    <col min="4346" max="4346" width="8.140625" style="411" customWidth="1"/>
    <col min="4347" max="4347" width="13.85546875" style="411" bestFit="1" customWidth="1"/>
    <col min="4348" max="4348" width="8.140625" style="411" customWidth="1"/>
    <col min="4349" max="4349" width="13.85546875" style="411" bestFit="1" customWidth="1"/>
    <col min="4350" max="4350" width="8.7109375" style="411" customWidth="1"/>
    <col min="4351" max="4351" width="13.5703125" style="411" bestFit="1" customWidth="1"/>
    <col min="4352" max="4352" width="9" style="411" customWidth="1"/>
    <col min="4353" max="4353" width="13.5703125" style="411" bestFit="1" customWidth="1"/>
    <col min="4354" max="4354" width="9" style="411" bestFit="1" customWidth="1"/>
    <col min="4355" max="4355" width="13.5703125" style="411" bestFit="1" customWidth="1"/>
    <col min="4356" max="4356" width="9" style="411" bestFit="1" customWidth="1"/>
    <col min="4357" max="4357" width="13.85546875" style="411" bestFit="1" customWidth="1"/>
    <col min="4358" max="4358" width="8.7109375" style="411" bestFit="1" customWidth="1"/>
    <col min="4359" max="4359" width="13.85546875" style="411" bestFit="1" customWidth="1"/>
    <col min="4360" max="4360" width="8.7109375" style="411" bestFit="1" customWidth="1"/>
    <col min="4361" max="4361" width="13.85546875" style="411" bestFit="1" customWidth="1"/>
    <col min="4362" max="4362" width="8.7109375" style="411" bestFit="1" customWidth="1"/>
    <col min="4363" max="4363" width="13.85546875" style="411" bestFit="1" customWidth="1"/>
    <col min="4364" max="4364" width="8.7109375" style="411" bestFit="1" customWidth="1"/>
    <col min="4365" max="4365" width="13.85546875" style="411" bestFit="1" customWidth="1"/>
    <col min="4366" max="4366" width="8.7109375" style="411" bestFit="1" customWidth="1"/>
    <col min="4367" max="4367" width="13.85546875" style="411" bestFit="1" customWidth="1"/>
    <col min="4368" max="4368" width="8.7109375" style="411" bestFit="1" customWidth="1"/>
    <col min="4369" max="4369" width="17.85546875" style="411" bestFit="1" customWidth="1"/>
    <col min="4370" max="4371" width="9.140625" style="411"/>
    <col min="4372" max="4372" width="10" style="411" bestFit="1" customWidth="1"/>
    <col min="4373" max="4598" width="9.140625" style="411"/>
    <col min="4599" max="4599" width="4" style="411" customWidth="1"/>
    <col min="4600" max="4600" width="34.5703125" style="411" customWidth="1"/>
    <col min="4601" max="4601" width="11.85546875" style="411" bestFit="1" customWidth="1"/>
    <col min="4602" max="4602" width="8.140625" style="411" customWidth="1"/>
    <col min="4603" max="4603" width="13.85546875" style="411" bestFit="1" customWidth="1"/>
    <col min="4604" max="4604" width="8.140625" style="411" customWidth="1"/>
    <col min="4605" max="4605" width="13.85546875" style="411" bestFit="1" customWidth="1"/>
    <col min="4606" max="4606" width="8.7109375" style="411" customWidth="1"/>
    <col min="4607" max="4607" width="13.5703125" style="411" bestFit="1" customWidth="1"/>
    <col min="4608" max="4608" width="9" style="411" customWidth="1"/>
    <col min="4609" max="4609" width="13.5703125" style="411" bestFit="1" customWidth="1"/>
    <col min="4610" max="4610" width="9" style="411" bestFit="1" customWidth="1"/>
    <col min="4611" max="4611" width="13.5703125" style="411" bestFit="1" customWidth="1"/>
    <col min="4612" max="4612" width="9" style="411" bestFit="1" customWidth="1"/>
    <col min="4613" max="4613" width="13.85546875" style="411" bestFit="1" customWidth="1"/>
    <col min="4614" max="4614" width="8.7109375" style="411" bestFit="1" customWidth="1"/>
    <col min="4615" max="4615" width="13.85546875" style="411" bestFit="1" customWidth="1"/>
    <col min="4616" max="4616" width="8.7109375" style="411" bestFit="1" customWidth="1"/>
    <col min="4617" max="4617" width="13.85546875" style="411" bestFit="1" customWidth="1"/>
    <col min="4618" max="4618" width="8.7109375" style="411" bestFit="1" customWidth="1"/>
    <col min="4619" max="4619" width="13.85546875" style="411" bestFit="1" customWidth="1"/>
    <col min="4620" max="4620" width="8.7109375" style="411" bestFit="1" customWidth="1"/>
    <col min="4621" max="4621" width="13.85546875" style="411" bestFit="1" customWidth="1"/>
    <col min="4622" max="4622" width="8.7109375" style="411" bestFit="1" customWidth="1"/>
    <col min="4623" max="4623" width="13.85546875" style="411" bestFit="1" customWidth="1"/>
    <col min="4624" max="4624" width="8.7109375" style="411" bestFit="1" customWidth="1"/>
    <col min="4625" max="4625" width="17.85546875" style="411" bestFit="1" customWidth="1"/>
    <col min="4626" max="4627" width="9.140625" style="411"/>
    <col min="4628" max="4628" width="10" style="411" bestFit="1" customWidth="1"/>
    <col min="4629" max="4854" width="9.140625" style="411"/>
    <col min="4855" max="4855" width="4" style="411" customWidth="1"/>
    <col min="4856" max="4856" width="34.5703125" style="411" customWidth="1"/>
    <col min="4857" max="4857" width="11.85546875" style="411" bestFit="1" customWidth="1"/>
    <col min="4858" max="4858" width="8.140625" style="411" customWidth="1"/>
    <col min="4859" max="4859" width="13.85546875" style="411" bestFit="1" customWidth="1"/>
    <col min="4860" max="4860" width="8.140625" style="411" customWidth="1"/>
    <col min="4861" max="4861" width="13.85546875" style="411" bestFit="1" customWidth="1"/>
    <col min="4862" max="4862" width="8.7109375" style="411" customWidth="1"/>
    <col min="4863" max="4863" width="13.5703125" style="411" bestFit="1" customWidth="1"/>
    <col min="4864" max="4864" width="9" style="411" customWidth="1"/>
    <col min="4865" max="4865" width="13.5703125" style="411" bestFit="1" customWidth="1"/>
    <col min="4866" max="4866" width="9" style="411" bestFit="1" customWidth="1"/>
    <col min="4867" max="4867" width="13.5703125" style="411" bestFit="1" customWidth="1"/>
    <col min="4868" max="4868" width="9" style="411" bestFit="1" customWidth="1"/>
    <col min="4869" max="4869" width="13.85546875" style="411" bestFit="1" customWidth="1"/>
    <col min="4870" max="4870" width="8.7109375" style="411" bestFit="1" customWidth="1"/>
    <col min="4871" max="4871" width="13.85546875" style="411" bestFit="1" customWidth="1"/>
    <col min="4872" max="4872" width="8.7109375" style="411" bestFit="1" customWidth="1"/>
    <col min="4873" max="4873" width="13.85546875" style="411" bestFit="1" customWidth="1"/>
    <col min="4874" max="4874" width="8.7109375" style="411" bestFit="1" customWidth="1"/>
    <col min="4875" max="4875" width="13.85546875" style="411" bestFit="1" customWidth="1"/>
    <col min="4876" max="4876" width="8.7109375" style="411" bestFit="1" customWidth="1"/>
    <col min="4877" max="4877" width="13.85546875" style="411" bestFit="1" customWidth="1"/>
    <col min="4878" max="4878" width="8.7109375" style="411" bestFit="1" customWidth="1"/>
    <col min="4879" max="4879" width="13.85546875" style="411" bestFit="1" customWidth="1"/>
    <col min="4880" max="4880" width="8.7109375" style="411" bestFit="1" customWidth="1"/>
    <col min="4881" max="4881" width="17.85546875" style="411" bestFit="1" customWidth="1"/>
    <col min="4882" max="4883" width="9.140625" style="411"/>
    <col min="4884" max="4884" width="10" style="411" bestFit="1" customWidth="1"/>
    <col min="4885" max="5110" width="9.140625" style="411"/>
    <col min="5111" max="5111" width="4" style="411" customWidth="1"/>
    <col min="5112" max="5112" width="34.5703125" style="411" customWidth="1"/>
    <col min="5113" max="5113" width="11.85546875" style="411" bestFit="1" customWidth="1"/>
    <col min="5114" max="5114" width="8.140625" style="411" customWidth="1"/>
    <col min="5115" max="5115" width="13.85546875" style="411" bestFit="1" customWidth="1"/>
    <col min="5116" max="5116" width="8.140625" style="411" customWidth="1"/>
    <col min="5117" max="5117" width="13.85546875" style="411" bestFit="1" customWidth="1"/>
    <col min="5118" max="5118" width="8.7109375" style="411" customWidth="1"/>
    <col min="5119" max="5119" width="13.5703125" style="411" bestFit="1" customWidth="1"/>
    <col min="5120" max="5120" width="9" style="411" customWidth="1"/>
    <col min="5121" max="5121" width="13.5703125" style="411" bestFit="1" customWidth="1"/>
    <col min="5122" max="5122" width="9" style="411" bestFit="1" customWidth="1"/>
    <col min="5123" max="5123" width="13.5703125" style="411" bestFit="1" customWidth="1"/>
    <col min="5124" max="5124" width="9" style="411" bestFit="1" customWidth="1"/>
    <col min="5125" max="5125" width="13.85546875" style="411" bestFit="1" customWidth="1"/>
    <col min="5126" max="5126" width="8.7109375" style="411" bestFit="1" customWidth="1"/>
    <col min="5127" max="5127" width="13.85546875" style="411" bestFit="1" customWidth="1"/>
    <col min="5128" max="5128" width="8.7109375" style="411" bestFit="1" customWidth="1"/>
    <col min="5129" max="5129" width="13.85546875" style="411" bestFit="1" customWidth="1"/>
    <col min="5130" max="5130" width="8.7109375" style="411" bestFit="1" customWidth="1"/>
    <col min="5131" max="5131" width="13.85546875" style="411" bestFit="1" customWidth="1"/>
    <col min="5132" max="5132" width="8.7109375" style="411" bestFit="1" customWidth="1"/>
    <col min="5133" max="5133" width="13.85546875" style="411" bestFit="1" customWidth="1"/>
    <col min="5134" max="5134" width="8.7109375" style="411" bestFit="1" customWidth="1"/>
    <col min="5135" max="5135" width="13.85546875" style="411" bestFit="1" customWidth="1"/>
    <col min="5136" max="5136" width="8.7109375" style="411" bestFit="1" customWidth="1"/>
    <col min="5137" max="5137" width="17.85546875" style="411" bestFit="1" customWidth="1"/>
    <col min="5138" max="5139" width="9.140625" style="411"/>
    <col min="5140" max="5140" width="10" style="411" bestFit="1" customWidth="1"/>
    <col min="5141" max="5366" width="9.140625" style="411"/>
    <col min="5367" max="5367" width="4" style="411" customWidth="1"/>
    <col min="5368" max="5368" width="34.5703125" style="411" customWidth="1"/>
    <col min="5369" max="5369" width="11.85546875" style="411" bestFit="1" customWidth="1"/>
    <col min="5370" max="5370" width="8.140625" style="411" customWidth="1"/>
    <col min="5371" max="5371" width="13.85546875" style="411" bestFit="1" customWidth="1"/>
    <col min="5372" max="5372" width="8.140625" style="411" customWidth="1"/>
    <col min="5373" max="5373" width="13.85546875" style="411" bestFit="1" customWidth="1"/>
    <col min="5374" max="5374" width="8.7109375" style="411" customWidth="1"/>
    <col min="5375" max="5375" width="13.5703125" style="411" bestFit="1" customWidth="1"/>
    <col min="5376" max="5376" width="9" style="411" customWidth="1"/>
    <col min="5377" max="5377" width="13.5703125" style="411" bestFit="1" customWidth="1"/>
    <col min="5378" max="5378" width="9" style="411" bestFit="1" customWidth="1"/>
    <col min="5379" max="5379" width="13.5703125" style="411" bestFit="1" customWidth="1"/>
    <col min="5380" max="5380" width="9" style="411" bestFit="1" customWidth="1"/>
    <col min="5381" max="5381" width="13.85546875" style="411" bestFit="1" customWidth="1"/>
    <col min="5382" max="5382" width="8.7109375" style="411" bestFit="1" customWidth="1"/>
    <col min="5383" max="5383" width="13.85546875" style="411" bestFit="1" customWidth="1"/>
    <col min="5384" max="5384" width="8.7109375" style="411" bestFit="1" customWidth="1"/>
    <col min="5385" max="5385" width="13.85546875" style="411" bestFit="1" customWidth="1"/>
    <col min="5386" max="5386" width="8.7109375" style="411" bestFit="1" customWidth="1"/>
    <col min="5387" max="5387" width="13.85546875" style="411" bestFit="1" customWidth="1"/>
    <col min="5388" max="5388" width="8.7109375" style="411" bestFit="1" customWidth="1"/>
    <col min="5389" max="5389" width="13.85546875" style="411" bestFit="1" customWidth="1"/>
    <col min="5390" max="5390" width="8.7109375" style="411" bestFit="1" customWidth="1"/>
    <col min="5391" max="5391" width="13.85546875" style="411" bestFit="1" customWidth="1"/>
    <col min="5392" max="5392" width="8.7109375" style="411" bestFit="1" customWidth="1"/>
    <col min="5393" max="5393" width="17.85546875" style="411" bestFit="1" customWidth="1"/>
    <col min="5394" max="5395" width="9.140625" style="411"/>
    <col min="5396" max="5396" width="10" style="411" bestFit="1" customWidth="1"/>
    <col min="5397" max="5622" width="9.140625" style="411"/>
    <col min="5623" max="5623" width="4" style="411" customWidth="1"/>
    <col min="5624" max="5624" width="34.5703125" style="411" customWidth="1"/>
    <col min="5625" max="5625" width="11.85546875" style="411" bestFit="1" customWidth="1"/>
    <col min="5626" max="5626" width="8.140625" style="411" customWidth="1"/>
    <col min="5627" max="5627" width="13.85546875" style="411" bestFit="1" customWidth="1"/>
    <col min="5628" max="5628" width="8.140625" style="411" customWidth="1"/>
    <col min="5629" max="5629" width="13.85546875" style="411" bestFit="1" customWidth="1"/>
    <col min="5630" max="5630" width="8.7109375" style="411" customWidth="1"/>
    <col min="5631" max="5631" width="13.5703125" style="411" bestFit="1" customWidth="1"/>
    <col min="5632" max="5632" width="9" style="411" customWidth="1"/>
    <col min="5633" max="5633" width="13.5703125" style="411" bestFit="1" customWidth="1"/>
    <col min="5634" max="5634" width="9" style="411" bestFit="1" customWidth="1"/>
    <col min="5635" max="5635" width="13.5703125" style="411" bestFit="1" customWidth="1"/>
    <col min="5636" max="5636" width="9" style="411" bestFit="1" customWidth="1"/>
    <col min="5637" max="5637" width="13.85546875" style="411" bestFit="1" customWidth="1"/>
    <col min="5638" max="5638" width="8.7109375" style="411" bestFit="1" customWidth="1"/>
    <col min="5639" max="5639" width="13.85546875" style="411" bestFit="1" customWidth="1"/>
    <col min="5640" max="5640" width="8.7109375" style="411" bestFit="1" customWidth="1"/>
    <col min="5641" max="5641" width="13.85546875" style="411" bestFit="1" customWidth="1"/>
    <col min="5642" max="5642" width="8.7109375" style="411" bestFit="1" customWidth="1"/>
    <col min="5643" max="5643" width="13.85546875" style="411" bestFit="1" customWidth="1"/>
    <col min="5644" max="5644" width="8.7109375" style="411" bestFit="1" customWidth="1"/>
    <col min="5645" max="5645" width="13.85546875" style="411" bestFit="1" customWidth="1"/>
    <col min="5646" max="5646" width="8.7109375" style="411" bestFit="1" customWidth="1"/>
    <col min="5647" max="5647" width="13.85546875" style="411" bestFit="1" customWidth="1"/>
    <col min="5648" max="5648" width="8.7109375" style="411" bestFit="1" customWidth="1"/>
    <col min="5649" max="5649" width="17.85546875" style="411" bestFit="1" customWidth="1"/>
    <col min="5650" max="5651" width="9.140625" style="411"/>
    <col min="5652" max="5652" width="10" style="411" bestFit="1" customWidth="1"/>
    <col min="5653" max="5878" width="9.140625" style="411"/>
    <col min="5879" max="5879" width="4" style="411" customWidth="1"/>
    <col min="5880" max="5880" width="34.5703125" style="411" customWidth="1"/>
    <col min="5881" max="5881" width="11.85546875" style="411" bestFit="1" customWidth="1"/>
    <col min="5882" max="5882" width="8.140625" style="411" customWidth="1"/>
    <col min="5883" max="5883" width="13.85546875" style="411" bestFit="1" customWidth="1"/>
    <col min="5884" max="5884" width="8.140625" style="411" customWidth="1"/>
    <col min="5885" max="5885" width="13.85546875" style="411" bestFit="1" customWidth="1"/>
    <col min="5886" max="5886" width="8.7109375" style="411" customWidth="1"/>
    <col min="5887" max="5887" width="13.5703125" style="411" bestFit="1" customWidth="1"/>
    <col min="5888" max="5888" width="9" style="411" customWidth="1"/>
    <col min="5889" max="5889" width="13.5703125" style="411" bestFit="1" customWidth="1"/>
    <col min="5890" max="5890" width="9" style="411" bestFit="1" customWidth="1"/>
    <col min="5891" max="5891" width="13.5703125" style="411" bestFit="1" customWidth="1"/>
    <col min="5892" max="5892" width="9" style="411" bestFit="1" customWidth="1"/>
    <col min="5893" max="5893" width="13.85546875" style="411" bestFit="1" customWidth="1"/>
    <col min="5894" max="5894" width="8.7109375" style="411" bestFit="1" customWidth="1"/>
    <col min="5895" max="5895" width="13.85546875" style="411" bestFit="1" customWidth="1"/>
    <col min="5896" max="5896" width="8.7109375" style="411" bestFit="1" customWidth="1"/>
    <col min="5897" max="5897" width="13.85546875" style="411" bestFit="1" customWidth="1"/>
    <col min="5898" max="5898" width="8.7109375" style="411" bestFit="1" customWidth="1"/>
    <col min="5899" max="5899" width="13.85546875" style="411" bestFit="1" customWidth="1"/>
    <col min="5900" max="5900" width="8.7109375" style="411" bestFit="1" customWidth="1"/>
    <col min="5901" max="5901" width="13.85546875" style="411" bestFit="1" customWidth="1"/>
    <col min="5902" max="5902" width="8.7109375" style="411" bestFit="1" customWidth="1"/>
    <col min="5903" max="5903" width="13.85546875" style="411" bestFit="1" customWidth="1"/>
    <col min="5904" max="5904" width="8.7109375" style="411" bestFit="1" customWidth="1"/>
    <col min="5905" max="5905" width="17.85546875" style="411" bestFit="1" customWidth="1"/>
    <col min="5906" max="5907" width="9.140625" style="411"/>
    <col min="5908" max="5908" width="10" style="411" bestFit="1" customWidth="1"/>
    <col min="5909" max="6134" width="9.140625" style="411"/>
    <col min="6135" max="6135" width="4" style="411" customWidth="1"/>
    <col min="6136" max="6136" width="34.5703125" style="411" customWidth="1"/>
    <col min="6137" max="6137" width="11.85546875" style="411" bestFit="1" customWidth="1"/>
    <col min="6138" max="6138" width="8.140625" style="411" customWidth="1"/>
    <col min="6139" max="6139" width="13.85546875" style="411" bestFit="1" customWidth="1"/>
    <col min="6140" max="6140" width="8.140625" style="411" customWidth="1"/>
    <col min="6141" max="6141" width="13.85546875" style="411" bestFit="1" customWidth="1"/>
    <col min="6142" max="6142" width="8.7109375" style="411" customWidth="1"/>
    <col min="6143" max="6143" width="13.5703125" style="411" bestFit="1" customWidth="1"/>
    <col min="6144" max="6144" width="9" style="411" customWidth="1"/>
    <col min="6145" max="6145" width="13.5703125" style="411" bestFit="1" customWidth="1"/>
    <col min="6146" max="6146" width="9" style="411" bestFit="1" customWidth="1"/>
    <col min="6147" max="6147" width="13.5703125" style="411" bestFit="1" customWidth="1"/>
    <col min="6148" max="6148" width="9" style="411" bestFit="1" customWidth="1"/>
    <col min="6149" max="6149" width="13.85546875" style="411" bestFit="1" customWidth="1"/>
    <col min="6150" max="6150" width="8.7109375" style="411" bestFit="1" customWidth="1"/>
    <col min="6151" max="6151" width="13.85546875" style="411" bestFit="1" customWidth="1"/>
    <col min="6152" max="6152" width="8.7109375" style="411" bestFit="1" customWidth="1"/>
    <col min="6153" max="6153" width="13.85546875" style="411" bestFit="1" customWidth="1"/>
    <col min="6154" max="6154" width="8.7109375" style="411" bestFit="1" customWidth="1"/>
    <col min="6155" max="6155" width="13.85546875" style="411" bestFit="1" customWidth="1"/>
    <col min="6156" max="6156" width="8.7109375" style="411" bestFit="1" customWidth="1"/>
    <col min="6157" max="6157" width="13.85546875" style="411" bestFit="1" customWidth="1"/>
    <col min="6158" max="6158" width="8.7109375" style="411" bestFit="1" customWidth="1"/>
    <col min="6159" max="6159" width="13.85546875" style="411" bestFit="1" customWidth="1"/>
    <col min="6160" max="6160" width="8.7109375" style="411" bestFit="1" customWidth="1"/>
    <col min="6161" max="6161" width="17.85546875" style="411" bestFit="1" customWidth="1"/>
    <col min="6162" max="6163" width="9.140625" style="411"/>
    <col min="6164" max="6164" width="10" style="411" bestFit="1" customWidth="1"/>
    <col min="6165" max="6390" width="9.140625" style="411"/>
    <col min="6391" max="6391" width="4" style="411" customWidth="1"/>
    <col min="6392" max="6392" width="34.5703125" style="411" customWidth="1"/>
    <col min="6393" max="6393" width="11.85546875" style="411" bestFit="1" customWidth="1"/>
    <col min="6394" max="6394" width="8.140625" style="411" customWidth="1"/>
    <col min="6395" max="6395" width="13.85546875" style="411" bestFit="1" customWidth="1"/>
    <col min="6396" max="6396" width="8.140625" style="411" customWidth="1"/>
    <col min="6397" max="6397" width="13.85546875" style="411" bestFit="1" customWidth="1"/>
    <col min="6398" max="6398" width="8.7109375" style="411" customWidth="1"/>
    <col min="6399" max="6399" width="13.5703125" style="411" bestFit="1" customWidth="1"/>
    <col min="6400" max="6400" width="9" style="411" customWidth="1"/>
    <col min="6401" max="6401" width="13.5703125" style="411" bestFit="1" customWidth="1"/>
    <col min="6402" max="6402" width="9" style="411" bestFit="1" customWidth="1"/>
    <col min="6403" max="6403" width="13.5703125" style="411" bestFit="1" customWidth="1"/>
    <col min="6404" max="6404" width="9" style="411" bestFit="1" customWidth="1"/>
    <col min="6405" max="6405" width="13.85546875" style="411" bestFit="1" customWidth="1"/>
    <col min="6406" max="6406" width="8.7109375" style="411" bestFit="1" customWidth="1"/>
    <col min="6407" max="6407" width="13.85546875" style="411" bestFit="1" customWidth="1"/>
    <col min="6408" max="6408" width="8.7109375" style="411" bestFit="1" customWidth="1"/>
    <col min="6409" max="6409" width="13.85546875" style="411" bestFit="1" customWidth="1"/>
    <col min="6410" max="6410" width="8.7109375" style="411" bestFit="1" customWidth="1"/>
    <col min="6411" max="6411" width="13.85546875" style="411" bestFit="1" customWidth="1"/>
    <col min="6412" max="6412" width="8.7109375" style="411" bestFit="1" customWidth="1"/>
    <col min="6413" max="6413" width="13.85546875" style="411" bestFit="1" customWidth="1"/>
    <col min="6414" max="6414" width="8.7109375" style="411" bestFit="1" customWidth="1"/>
    <col min="6415" max="6415" width="13.85546875" style="411" bestFit="1" customWidth="1"/>
    <col min="6416" max="6416" width="8.7109375" style="411" bestFit="1" customWidth="1"/>
    <col min="6417" max="6417" width="17.85546875" style="411" bestFit="1" customWidth="1"/>
    <col min="6418" max="6419" width="9.140625" style="411"/>
    <col min="6420" max="6420" width="10" style="411" bestFit="1" customWidth="1"/>
    <col min="6421" max="6646" width="9.140625" style="411"/>
    <col min="6647" max="6647" width="4" style="411" customWidth="1"/>
    <col min="6648" max="6648" width="34.5703125" style="411" customWidth="1"/>
    <col min="6649" max="6649" width="11.85546875" style="411" bestFit="1" customWidth="1"/>
    <col min="6650" max="6650" width="8.140625" style="411" customWidth="1"/>
    <col min="6651" max="6651" width="13.85546875" style="411" bestFit="1" customWidth="1"/>
    <col min="6652" max="6652" width="8.140625" style="411" customWidth="1"/>
    <col min="6653" max="6653" width="13.85546875" style="411" bestFit="1" customWidth="1"/>
    <col min="6654" max="6654" width="8.7109375" style="411" customWidth="1"/>
    <col min="6655" max="6655" width="13.5703125" style="411" bestFit="1" customWidth="1"/>
    <col min="6656" max="6656" width="9" style="411" customWidth="1"/>
    <col min="6657" max="6657" width="13.5703125" style="411" bestFit="1" customWidth="1"/>
    <col min="6658" max="6658" width="9" style="411" bestFit="1" customWidth="1"/>
    <col min="6659" max="6659" width="13.5703125" style="411" bestFit="1" customWidth="1"/>
    <col min="6660" max="6660" width="9" style="411" bestFit="1" customWidth="1"/>
    <col min="6661" max="6661" width="13.85546875" style="411" bestFit="1" customWidth="1"/>
    <col min="6662" max="6662" width="8.7109375" style="411" bestFit="1" customWidth="1"/>
    <col min="6663" max="6663" width="13.85546875" style="411" bestFit="1" customWidth="1"/>
    <col min="6664" max="6664" width="8.7109375" style="411" bestFit="1" customWidth="1"/>
    <col min="6665" max="6665" width="13.85546875" style="411" bestFit="1" customWidth="1"/>
    <col min="6666" max="6666" width="8.7109375" style="411" bestFit="1" customWidth="1"/>
    <col min="6667" max="6667" width="13.85546875" style="411" bestFit="1" customWidth="1"/>
    <col min="6668" max="6668" width="8.7109375" style="411" bestFit="1" customWidth="1"/>
    <col min="6669" max="6669" width="13.85546875" style="411" bestFit="1" customWidth="1"/>
    <col min="6670" max="6670" width="8.7109375" style="411" bestFit="1" customWidth="1"/>
    <col min="6671" max="6671" width="13.85546875" style="411" bestFit="1" customWidth="1"/>
    <col min="6672" max="6672" width="8.7109375" style="411" bestFit="1" customWidth="1"/>
    <col min="6673" max="6673" width="17.85546875" style="411" bestFit="1" customWidth="1"/>
    <col min="6674" max="6675" width="9.140625" style="411"/>
    <col min="6676" max="6676" width="10" style="411" bestFit="1" customWidth="1"/>
    <col min="6677" max="6902" width="9.140625" style="411"/>
    <col min="6903" max="6903" width="4" style="411" customWidth="1"/>
    <col min="6904" max="6904" width="34.5703125" style="411" customWidth="1"/>
    <col min="6905" max="6905" width="11.85546875" style="411" bestFit="1" customWidth="1"/>
    <col min="6906" max="6906" width="8.140625" style="411" customWidth="1"/>
    <col min="6907" max="6907" width="13.85546875" style="411" bestFit="1" customWidth="1"/>
    <col min="6908" max="6908" width="8.140625" style="411" customWidth="1"/>
    <col min="6909" max="6909" width="13.85546875" style="411" bestFit="1" customWidth="1"/>
    <col min="6910" max="6910" width="8.7109375" style="411" customWidth="1"/>
    <col min="6911" max="6911" width="13.5703125" style="411" bestFit="1" customWidth="1"/>
    <col min="6912" max="6912" width="9" style="411" customWidth="1"/>
    <col min="6913" max="6913" width="13.5703125" style="411" bestFit="1" customWidth="1"/>
    <col min="6914" max="6914" width="9" style="411" bestFit="1" customWidth="1"/>
    <col min="6915" max="6915" width="13.5703125" style="411" bestFit="1" customWidth="1"/>
    <col min="6916" max="6916" width="9" style="411" bestFit="1" customWidth="1"/>
    <col min="6917" max="6917" width="13.85546875" style="411" bestFit="1" customWidth="1"/>
    <col min="6918" max="6918" width="8.7109375" style="411" bestFit="1" customWidth="1"/>
    <col min="6919" max="6919" width="13.85546875" style="411" bestFit="1" customWidth="1"/>
    <col min="6920" max="6920" width="8.7109375" style="411" bestFit="1" customWidth="1"/>
    <col min="6921" max="6921" width="13.85546875" style="411" bestFit="1" customWidth="1"/>
    <col min="6922" max="6922" width="8.7109375" style="411" bestFit="1" customWidth="1"/>
    <col min="6923" max="6923" width="13.85546875" style="411" bestFit="1" customWidth="1"/>
    <col min="6924" max="6924" width="8.7109375" style="411" bestFit="1" customWidth="1"/>
    <col min="6925" max="6925" width="13.85546875" style="411" bestFit="1" customWidth="1"/>
    <col min="6926" max="6926" width="8.7109375" style="411" bestFit="1" customWidth="1"/>
    <col min="6927" max="6927" width="13.85546875" style="411" bestFit="1" customWidth="1"/>
    <col min="6928" max="6928" width="8.7109375" style="411" bestFit="1" customWidth="1"/>
    <col min="6929" max="6929" width="17.85546875" style="411" bestFit="1" customWidth="1"/>
    <col min="6930" max="6931" width="9.140625" style="411"/>
    <col min="6932" max="6932" width="10" style="411" bestFit="1" customWidth="1"/>
    <col min="6933" max="7158" width="9.140625" style="411"/>
    <col min="7159" max="7159" width="4" style="411" customWidth="1"/>
    <col min="7160" max="7160" width="34.5703125" style="411" customWidth="1"/>
    <col min="7161" max="7161" width="11.85546875" style="411" bestFit="1" customWidth="1"/>
    <col min="7162" max="7162" width="8.140625" style="411" customWidth="1"/>
    <col min="7163" max="7163" width="13.85546875" style="411" bestFit="1" customWidth="1"/>
    <col min="7164" max="7164" width="8.140625" style="411" customWidth="1"/>
    <col min="7165" max="7165" width="13.85546875" style="411" bestFit="1" customWidth="1"/>
    <col min="7166" max="7166" width="8.7109375" style="411" customWidth="1"/>
    <col min="7167" max="7167" width="13.5703125" style="411" bestFit="1" customWidth="1"/>
    <col min="7168" max="7168" width="9" style="411" customWidth="1"/>
    <col min="7169" max="7169" width="13.5703125" style="411" bestFit="1" customWidth="1"/>
    <col min="7170" max="7170" width="9" style="411" bestFit="1" customWidth="1"/>
    <col min="7171" max="7171" width="13.5703125" style="411" bestFit="1" customWidth="1"/>
    <col min="7172" max="7172" width="9" style="411" bestFit="1" customWidth="1"/>
    <col min="7173" max="7173" width="13.85546875" style="411" bestFit="1" customWidth="1"/>
    <col min="7174" max="7174" width="8.7109375" style="411" bestFit="1" customWidth="1"/>
    <col min="7175" max="7175" width="13.85546875" style="411" bestFit="1" customWidth="1"/>
    <col min="7176" max="7176" width="8.7109375" style="411" bestFit="1" customWidth="1"/>
    <col min="7177" max="7177" width="13.85546875" style="411" bestFit="1" customWidth="1"/>
    <col min="7178" max="7178" width="8.7109375" style="411" bestFit="1" customWidth="1"/>
    <col min="7179" max="7179" width="13.85546875" style="411" bestFit="1" customWidth="1"/>
    <col min="7180" max="7180" width="8.7109375" style="411" bestFit="1" customWidth="1"/>
    <col min="7181" max="7181" width="13.85546875" style="411" bestFit="1" customWidth="1"/>
    <col min="7182" max="7182" width="8.7109375" style="411" bestFit="1" customWidth="1"/>
    <col min="7183" max="7183" width="13.85546875" style="411" bestFit="1" customWidth="1"/>
    <col min="7184" max="7184" width="8.7109375" style="411" bestFit="1" customWidth="1"/>
    <col min="7185" max="7185" width="17.85546875" style="411" bestFit="1" customWidth="1"/>
    <col min="7186" max="7187" width="9.140625" style="411"/>
    <col min="7188" max="7188" width="10" style="411" bestFit="1" customWidth="1"/>
    <col min="7189" max="7414" width="9.140625" style="411"/>
    <col min="7415" max="7415" width="4" style="411" customWidth="1"/>
    <col min="7416" max="7416" width="34.5703125" style="411" customWidth="1"/>
    <col min="7417" max="7417" width="11.85546875" style="411" bestFit="1" customWidth="1"/>
    <col min="7418" max="7418" width="8.140625" style="411" customWidth="1"/>
    <col min="7419" max="7419" width="13.85546875" style="411" bestFit="1" customWidth="1"/>
    <col min="7420" max="7420" width="8.140625" style="411" customWidth="1"/>
    <col min="7421" max="7421" width="13.85546875" style="411" bestFit="1" customWidth="1"/>
    <col min="7422" max="7422" width="8.7109375" style="411" customWidth="1"/>
    <col min="7423" max="7423" width="13.5703125" style="411" bestFit="1" customWidth="1"/>
    <col min="7424" max="7424" width="9" style="411" customWidth="1"/>
    <col min="7425" max="7425" width="13.5703125" style="411" bestFit="1" customWidth="1"/>
    <col min="7426" max="7426" width="9" style="411" bestFit="1" customWidth="1"/>
    <col min="7427" max="7427" width="13.5703125" style="411" bestFit="1" customWidth="1"/>
    <col min="7428" max="7428" width="9" style="411" bestFit="1" customWidth="1"/>
    <col min="7429" max="7429" width="13.85546875" style="411" bestFit="1" customWidth="1"/>
    <col min="7430" max="7430" width="8.7109375" style="411" bestFit="1" customWidth="1"/>
    <col min="7431" max="7431" width="13.85546875" style="411" bestFit="1" customWidth="1"/>
    <col min="7432" max="7432" width="8.7109375" style="411" bestFit="1" customWidth="1"/>
    <col min="7433" max="7433" width="13.85546875" style="411" bestFit="1" customWidth="1"/>
    <col min="7434" max="7434" width="8.7109375" style="411" bestFit="1" customWidth="1"/>
    <col min="7435" max="7435" width="13.85546875" style="411" bestFit="1" customWidth="1"/>
    <col min="7436" max="7436" width="8.7109375" style="411" bestFit="1" customWidth="1"/>
    <col min="7437" max="7437" width="13.85546875" style="411" bestFit="1" customWidth="1"/>
    <col min="7438" max="7438" width="8.7109375" style="411" bestFit="1" customWidth="1"/>
    <col min="7439" max="7439" width="13.85546875" style="411" bestFit="1" customWidth="1"/>
    <col min="7440" max="7440" width="8.7109375" style="411" bestFit="1" customWidth="1"/>
    <col min="7441" max="7441" width="17.85546875" style="411" bestFit="1" customWidth="1"/>
    <col min="7442" max="7443" width="9.140625" style="411"/>
    <col min="7444" max="7444" width="10" style="411" bestFit="1" customWidth="1"/>
    <col min="7445" max="7670" width="9.140625" style="411"/>
    <col min="7671" max="7671" width="4" style="411" customWidth="1"/>
    <col min="7672" max="7672" width="34.5703125" style="411" customWidth="1"/>
    <col min="7673" max="7673" width="11.85546875" style="411" bestFit="1" customWidth="1"/>
    <col min="7674" max="7674" width="8.140625" style="411" customWidth="1"/>
    <col min="7675" max="7675" width="13.85546875" style="411" bestFit="1" customWidth="1"/>
    <col min="7676" max="7676" width="8.140625" style="411" customWidth="1"/>
    <col min="7677" max="7677" width="13.85546875" style="411" bestFit="1" customWidth="1"/>
    <col min="7678" max="7678" width="8.7109375" style="411" customWidth="1"/>
    <col min="7679" max="7679" width="13.5703125" style="411" bestFit="1" customWidth="1"/>
    <col min="7680" max="7680" width="9" style="411" customWidth="1"/>
    <col min="7681" max="7681" width="13.5703125" style="411" bestFit="1" customWidth="1"/>
    <col min="7682" max="7682" width="9" style="411" bestFit="1" customWidth="1"/>
    <col min="7683" max="7683" width="13.5703125" style="411" bestFit="1" customWidth="1"/>
    <col min="7684" max="7684" width="9" style="411" bestFit="1" customWidth="1"/>
    <col min="7685" max="7685" width="13.85546875" style="411" bestFit="1" customWidth="1"/>
    <col min="7686" max="7686" width="8.7109375" style="411" bestFit="1" customWidth="1"/>
    <col min="7687" max="7687" width="13.85546875" style="411" bestFit="1" customWidth="1"/>
    <col min="7688" max="7688" width="8.7109375" style="411" bestFit="1" customWidth="1"/>
    <col min="7689" max="7689" width="13.85546875" style="411" bestFit="1" customWidth="1"/>
    <col min="7690" max="7690" width="8.7109375" style="411" bestFit="1" customWidth="1"/>
    <col min="7691" max="7691" width="13.85546875" style="411" bestFit="1" customWidth="1"/>
    <col min="7692" max="7692" width="8.7109375" style="411" bestFit="1" customWidth="1"/>
    <col min="7693" max="7693" width="13.85546875" style="411" bestFit="1" customWidth="1"/>
    <col min="7694" max="7694" width="8.7109375" style="411" bestFit="1" customWidth="1"/>
    <col min="7695" max="7695" width="13.85546875" style="411" bestFit="1" customWidth="1"/>
    <col min="7696" max="7696" width="8.7109375" style="411" bestFit="1" customWidth="1"/>
    <col min="7697" max="7697" width="17.85546875" style="411" bestFit="1" customWidth="1"/>
    <col min="7698" max="7699" width="9.140625" style="411"/>
    <col min="7700" max="7700" width="10" style="411" bestFit="1" customWidth="1"/>
    <col min="7701" max="7926" width="9.140625" style="411"/>
    <col min="7927" max="7927" width="4" style="411" customWidth="1"/>
    <col min="7928" max="7928" width="34.5703125" style="411" customWidth="1"/>
    <col min="7929" max="7929" width="11.85546875" style="411" bestFit="1" customWidth="1"/>
    <col min="7930" max="7930" width="8.140625" style="411" customWidth="1"/>
    <col min="7931" max="7931" width="13.85546875" style="411" bestFit="1" customWidth="1"/>
    <col min="7932" max="7932" width="8.140625" style="411" customWidth="1"/>
    <col min="7933" max="7933" width="13.85546875" style="411" bestFit="1" customWidth="1"/>
    <col min="7934" max="7934" width="8.7109375" style="411" customWidth="1"/>
    <col min="7935" max="7935" width="13.5703125" style="411" bestFit="1" customWidth="1"/>
    <col min="7936" max="7936" width="9" style="411" customWidth="1"/>
    <col min="7937" max="7937" width="13.5703125" style="411" bestFit="1" customWidth="1"/>
    <col min="7938" max="7938" width="9" style="411" bestFit="1" customWidth="1"/>
    <col min="7939" max="7939" width="13.5703125" style="411" bestFit="1" customWidth="1"/>
    <col min="7940" max="7940" width="9" style="411" bestFit="1" customWidth="1"/>
    <col min="7941" max="7941" width="13.85546875" style="411" bestFit="1" customWidth="1"/>
    <col min="7942" max="7942" width="8.7109375" style="411" bestFit="1" customWidth="1"/>
    <col min="7943" max="7943" width="13.85546875" style="411" bestFit="1" customWidth="1"/>
    <col min="7944" max="7944" width="8.7109375" style="411" bestFit="1" customWidth="1"/>
    <col min="7945" max="7945" width="13.85546875" style="411" bestFit="1" customWidth="1"/>
    <col min="7946" max="7946" width="8.7109375" style="411" bestFit="1" customWidth="1"/>
    <col min="7947" max="7947" width="13.85546875" style="411" bestFit="1" customWidth="1"/>
    <col min="7948" max="7948" width="8.7109375" style="411" bestFit="1" customWidth="1"/>
    <col min="7949" max="7949" width="13.85546875" style="411" bestFit="1" customWidth="1"/>
    <col min="7950" max="7950" width="8.7109375" style="411" bestFit="1" customWidth="1"/>
    <col min="7951" max="7951" width="13.85546875" style="411" bestFit="1" customWidth="1"/>
    <col min="7952" max="7952" width="8.7109375" style="411" bestFit="1" customWidth="1"/>
    <col min="7953" max="7953" width="17.85546875" style="411" bestFit="1" customWidth="1"/>
    <col min="7954" max="7955" width="9.140625" style="411"/>
    <col min="7956" max="7956" width="10" style="411" bestFit="1" customWidth="1"/>
    <col min="7957" max="8182" width="9.140625" style="411"/>
    <col min="8183" max="8183" width="4" style="411" customWidth="1"/>
    <col min="8184" max="8184" width="34.5703125" style="411" customWidth="1"/>
    <col min="8185" max="8185" width="11.85546875" style="411" bestFit="1" customWidth="1"/>
    <col min="8186" max="8186" width="8.140625" style="411" customWidth="1"/>
    <col min="8187" max="8187" width="13.85546875" style="411" bestFit="1" customWidth="1"/>
    <col min="8188" max="8188" width="8.140625" style="411" customWidth="1"/>
    <col min="8189" max="8189" width="13.85546875" style="411" bestFit="1" customWidth="1"/>
    <col min="8190" max="8190" width="8.7109375" style="411" customWidth="1"/>
    <col min="8191" max="8191" width="13.5703125" style="411" bestFit="1" customWidth="1"/>
    <col min="8192" max="8192" width="9" style="411" customWidth="1"/>
    <col min="8193" max="8193" width="13.5703125" style="411" bestFit="1" customWidth="1"/>
    <col min="8194" max="8194" width="9" style="411" bestFit="1" customWidth="1"/>
    <col min="8195" max="8195" width="13.5703125" style="411" bestFit="1" customWidth="1"/>
    <col min="8196" max="8196" width="9" style="411" bestFit="1" customWidth="1"/>
    <col min="8197" max="8197" width="13.85546875" style="411" bestFit="1" customWidth="1"/>
    <col min="8198" max="8198" width="8.7109375" style="411" bestFit="1" customWidth="1"/>
    <col min="8199" max="8199" width="13.85546875" style="411" bestFit="1" customWidth="1"/>
    <col min="8200" max="8200" width="8.7109375" style="411" bestFit="1" customWidth="1"/>
    <col min="8201" max="8201" width="13.85546875" style="411" bestFit="1" customWidth="1"/>
    <col min="8202" max="8202" width="8.7109375" style="411" bestFit="1" customWidth="1"/>
    <col min="8203" max="8203" width="13.85546875" style="411" bestFit="1" customWidth="1"/>
    <col min="8204" max="8204" width="8.7109375" style="411" bestFit="1" customWidth="1"/>
    <col min="8205" max="8205" width="13.85546875" style="411" bestFit="1" customWidth="1"/>
    <col min="8206" max="8206" width="8.7109375" style="411" bestFit="1" customWidth="1"/>
    <col min="8207" max="8207" width="13.85546875" style="411" bestFit="1" customWidth="1"/>
    <col min="8208" max="8208" width="8.7109375" style="411" bestFit="1" customWidth="1"/>
    <col min="8209" max="8209" width="17.85546875" style="411" bestFit="1" customWidth="1"/>
    <col min="8210" max="8211" width="9.140625" style="411"/>
    <col min="8212" max="8212" width="10" style="411" bestFit="1" customWidth="1"/>
    <col min="8213" max="8438" width="9.140625" style="411"/>
    <col min="8439" max="8439" width="4" style="411" customWidth="1"/>
    <col min="8440" max="8440" width="34.5703125" style="411" customWidth="1"/>
    <col min="8441" max="8441" width="11.85546875" style="411" bestFit="1" customWidth="1"/>
    <col min="8442" max="8442" width="8.140625" style="411" customWidth="1"/>
    <col min="8443" max="8443" width="13.85546875" style="411" bestFit="1" customWidth="1"/>
    <col min="8444" max="8444" width="8.140625" style="411" customWidth="1"/>
    <col min="8445" max="8445" width="13.85546875" style="411" bestFit="1" customWidth="1"/>
    <col min="8446" max="8446" width="8.7109375" style="411" customWidth="1"/>
    <col min="8447" max="8447" width="13.5703125" style="411" bestFit="1" customWidth="1"/>
    <col min="8448" max="8448" width="9" style="411" customWidth="1"/>
    <col min="8449" max="8449" width="13.5703125" style="411" bestFit="1" customWidth="1"/>
    <col min="8450" max="8450" width="9" style="411" bestFit="1" customWidth="1"/>
    <col min="8451" max="8451" width="13.5703125" style="411" bestFit="1" customWidth="1"/>
    <col min="8452" max="8452" width="9" style="411" bestFit="1" customWidth="1"/>
    <col min="8453" max="8453" width="13.85546875" style="411" bestFit="1" customWidth="1"/>
    <col min="8454" max="8454" width="8.7109375" style="411" bestFit="1" customWidth="1"/>
    <col min="8455" max="8455" width="13.85546875" style="411" bestFit="1" customWidth="1"/>
    <col min="8456" max="8456" width="8.7109375" style="411" bestFit="1" customWidth="1"/>
    <col min="8457" max="8457" width="13.85546875" style="411" bestFit="1" customWidth="1"/>
    <col min="8458" max="8458" width="8.7109375" style="411" bestFit="1" customWidth="1"/>
    <col min="8459" max="8459" width="13.85546875" style="411" bestFit="1" customWidth="1"/>
    <col min="8460" max="8460" width="8.7109375" style="411" bestFit="1" customWidth="1"/>
    <col min="8461" max="8461" width="13.85546875" style="411" bestFit="1" customWidth="1"/>
    <col min="8462" max="8462" width="8.7109375" style="411" bestFit="1" customWidth="1"/>
    <col min="8463" max="8463" width="13.85546875" style="411" bestFit="1" customWidth="1"/>
    <col min="8464" max="8464" width="8.7109375" style="411" bestFit="1" customWidth="1"/>
    <col min="8465" max="8465" width="17.85546875" style="411" bestFit="1" customWidth="1"/>
    <col min="8466" max="8467" width="9.140625" style="411"/>
    <col min="8468" max="8468" width="10" style="411" bestFit="1" customWidth="1"/>
    <col min="8469" max="8694" width="9.140625" style="411"/>
    <col min="8695" max="8695" width="4" style="411" customWidth="1"/>
    <col min="8696" max="8696" width="34.5703125" style="411" customWidth="1"/>
    <col min="8697" max="8697" width="11.85546875" style="411" bestFit="1" customWidth="1"/>
    <col min="8698" max="8698" width="8.140625" style="411" customWidth="1"/>
    <col min="8699" max="8699" width="13.85546875" style="411" bestFit="1" customWidth="1"/>
    <col min="8700" max="8700" width="8.140625" style="411" customWidth="1"/>
    <col min="8701" max="8701" width="13.85546875" style="411" bestFit="1" customWidth="1"/>
    <col min="8702" max="8702" width="8.7109375" style="411" customWidth="1"/>
    <col min="8703" max="8703" width="13.5703125" style="411" bestFit="1" customWidth="1"/>
    <col min="8704" max="8704" width="9" style="411" customWidth="1"/>
    <col min="8705" max="8705" width="13.5703125" style="411" bestFit="1" customWidth="1"/>
    <col min="8706" max="8706" width="9" style="411" bestFit="1" customWidth="1"/>
    <col min="8707" max="8707" width="13.5703125" style="411" bestFit="1" customWidth="1"/>
    <col min="8708" max="8708" width="9" style="411" bestFit="1" customWidth="1"/>
    <col min="8709" max="8709" width="13.85546875" style="411" bestFit="1" customWidth="1"/>
    <col min="8710" max="8710" width="8.7109375" style="411" bestFit="1" customWidth="1"/>
    <col min="8711" max="8711" width="13.85546875" style="411" bestFit="1" customWidth="1"/>
    <col min="8712" max="8712" width="8.7109375" style="411" bestFit="1" customWidth="1"/>
    <col min="8713" max="8713" width="13.85546875" style="411" bestFit="1" customWidth="1"/>
    <col min="8714" max="8714" width="8.7109375" style="411" bestFit="1" customWidth="1"/>
    <col min="8715" max="8715" width="13.85546875" style="411" bestFit="1" customWidth="1"/>
    <col min="8716" max="8716" width="8.7109375" style="411" bestFit="1" customWidth="1"/>
    <col min="8717" max="8717" width="13.85546875" style="411" bestFit="1" customWidth="1"/>
    <col min="8718" max="8718" width="8.7109375" style="411" bestFit="1" customWidth="1"/>
    <col min="8719" max="8719" width="13.85546875" style="411" bestFit="1" customWidth="1"/>
    <col min="8720" max="8720" width="8.7109375" style="411" bestFit="1" customWidth="1"/>
    <col min="8721" max="8721" width="17.85546875" style="411" bestFit="1" customWidth="1"/>
    <col min="8722" max="8723" width="9.140625" style="411"/>
    <col min="8724" max="8724" width="10" style="411" bestFit="1" customWidth="1"/>
    <col min="8725" max="8950" width="9.140625" style="411"/>
    <col min="8951" max="8951" width="4" style="411" customWidth="1"/>
    <col min="8952" max="8952" width="34.5703125" style="411" customWidth="1"/>
    <col min="8953" max="8953" width="11.85546875" style="411" bestFit="1" customWidth="1"/>
    <col min="8954" max="8954" width="8.140625" style="411" customWidth="1"/>
    <col min="8955" max="8955" width="13.85546875" style="411" bestFit="1" customWidth="1"/>
    <col min="8956" max="8956" width="8.140625" style="411" customWidth="1"/>
    <col min="8957" max="8957" width="13.85546875" style="411" bestFit="1" customWidth="1"/>
    <col min="8958" max="8958" width="8.7109375" style="411" customWidth="1"/>
    <col min="8959" max="8959" width="13.5703125" style="411" bestFit="1" customWidth="1"/>
    <col min="8960" max="8960" width="9" style="411" customWidth="1"/>
    <col min="8961" max="8961" width="13.5703125" style="411" bestFit="1" customWidth="1"/>
    <col min="8962" max="8962" width="9" style="411" bestFit="1" customWidth="1"/>
    <col min="8963" max="8963" width="13.5703125" style="411" bestFit="1" customWidth="1"/>
    <col min="8964" max="8964" width="9" style="411" bestFit="1" customWidth="1"/>
    <col min="8965" max="8965" width="13.85546875" style="411" bestFit="1" customWidth="1"/>
    <col min="8966" max="8966" width="8.7109375" style="411" bestFit="1" customWidth="1"/>
    <col min="8967" max="8967" width="13.85546875" style="411" bestFit="1" customWidth="1"/>
    <col min="8968" max="8968" width="8.7109375" style="411" bestFit="1" customWidth="1"/>
    <col min="8969" max="8969" width="13.85546875" style="411" bestFit="1" customWidth="1"/>
    <col min="8970" max="8970" width="8.7109375" style="411" bestFit="1" customWidth="1"/>
    <col min="8971" max="8971" width="13.85546875" style="411" bestFit="1" customWidth="1"/>
    <col min="8972" max="8972" width="8.7109375" style="411" bestFit="1" customWidth="1"/>
    <col min="8973" max="8973" width="13.85546875" style="411" bestFit="1" customWidth="1"/>
    <col min="8974" max="8974" width="8.7109375" style="411" bestFit="1" customWidth="1"/>
    <col min="8975" max="8975" width="13.85546875" style="411" bestFit="1" customWidth="1"/>
    <col min="8976" max="8976" width="8.7109375" style="411" bestFit="1" customWidth="1"/>
    <col min="8977" max="8977" width="17.85546875" style="411" bestFit="1" customWidth="1"/>
    <col min="8978" max="8979" width="9.140625" style="411"/>
    <col min="8980" max="8980" width="10" style="411" bestFit="1" customWidth="1"/>
    <col min="8981" max="9206" width="9.140625" style="411"/>
    <col min="9207" max="9207" width="4" style="411" customWidth="1"/>
    <col min="9208" max="9208" width="34.5703125" style="411" customWidth="1"/>
    <col min="9209" max="9209" width="11.85546875" style="411" bestFit="1" customWidth="1"/>
    <col min="9210" max="9210" width="8.140625" style="411" customWidth="1"/>
    <col min="9211" max="9211" width="13.85546875" style="411" bestFit="1" customWidth="1"/>
    <col min="9212" max="9212" width="8.140625" style="411" customWidth="1"/>
    <col min="9213" max="9213" width="13.85546875" style="411" bestFit="1" customWidth="1"/>
    <col min="9214" max="9214" width="8.7109375" style="411" customWidth="1"/>
    <col min="9215" max="9215" width="13.5703125" style="411" bestFit="1" customWidth="1"/>
    <col min="9216" max="9216" width="9" style="411" customWidth="1"/>
    <col min="9217" max="9217" width="13.5703125" style="411" bestFit="1" customWidth="1"/>
    <col min="9218" max="9218" width="9" style="411" bestFit="1" customWidth="1"/>
    <col min="9219" max="9219" width="13.5703125" style="411" bestFit="1" customWidth="1"/>
    <col min="9220" max="9220" width="9" style="411" bestFit="1" customWidth="1"/>
    <col min="9221" max="9221" width="13.85546875" style="411" bestFit="1" customWidth="1"/>
    <col min="9222" max="9222" width="8.7109375" style="411" bestFit="1" customWidth="1"/>
    <col min="9223" max="9223" width="13.85546875" style="411" bestFit="1" customWidth="1"/>
    <col min="9224" max="9224" width="8.7109375" style="411" bestFit="1" customWidth="1"/>
    <col min="9225" max="9225" width="13.85546875" style="411" bestFit="1" customWidth="1"/>
    <col min="9226" max="9226" width="8.7109375" style="411" bestFit="1" customWidth="1"/>
    <col min="9227" max="9227" width="13.85546875" style="411" bestFit="1" customWidth="1"/>
    <col min="9228" max="9228" width="8.7109375" style="411" bestFit="1" customWidth="1"/>
    <col min="9229" max="9229" width="13.85546875" style="411" bestFit="1" customWidth="1"/>
    <col min="9230" max="9230" width="8.7109375" style="411" bestFit="1" customWidth="1"/>
    <col min="9231" max="9231" width="13.85546875" style="411" bestFit="1" customWidth="1"/>
    <col min="9232" max="9232" width="8.7109375" style="411" bestFit="1" customWidth="1"/>
    <col min="9233" max="9233" width="17.85546875" style="411" bestFit="1" customWidth="1"/>
    <col min="9234" max="9235" width="9.140625" style="411"/>
    <col min="9236" max="9236" width="10" style="411" bestFit="1" customWidth="1"/>
    <col min="9237" max="9462" width="9.140625" style="411"/>
    <col min="9463" max="9463" width="4" style="411" customWidth="1"/>
    <col min="9464" max="9464" width="34.5703125" style="411" customWidth="1"/>
    <col min="9465" max="9465" width="11.85546875" style="411" bestFit="1" customWidth="1"/>
    <col min="9466" max="9466" width="8.140625" style="411" customWidth="1"/>
    <col min="9467" max="9467" width="13.85546875" style="411" bestFit="1" customWidth="1"/>
    <col min="9468" max="9468" width="8.140625" style="411" customWidth="1"/>
    <col min="9469" max="9469" width="13.85546875" style="411" bestFit="1" customWidth="1"/>
    <col min="9470" max="9470" width="8.7109375" style="411" customWidth="1"/>
    <col min="9471" max="9471" width="13.5703125" style="411" bestFit="1" customWidth="1"/>
    <col min="9472" max="9472" width="9" style="411" customWidth="1"/>
    <col min="9473" max="9473" width="13.5703125" style="411" bestFit="1" customWidth="1"/>
    <col min="9474" max="9474" width="9" style="411" bestFit="1" customWidth="1"/>
    <col min="9475" max="9475" width="13.5703125" style="411" bestFit="1" customWidth="1"/>
    <col min="9476" max="9476" width="9" style="411" bestFit="1" customWidth="1"/>
    <col min="9477" max="9477" width="13.85546875" style="411" bestFit="1" customWidth="1"/>
    <col min="9478" max="9478" width="8.7109375" style="411" bestFit="1" customWidth="1"/>
    <col min="9479" max="9479" width="13.85546875" style="411" bestFit="1" customWidth="1"/>
    <col min="9480" max="9480" width="8.7109375" style="411" bestFit="1" customWidth="1"/>
    <col min="9481" max="9481" width="13.85546875" style="411" bestFit="1" customWidth="1"/>
    <col min="9482" max="9482" width="8.7109375" style="411" bestFit="1" customWidth="1"/>
    <col min="9483" max="9483" width="13.85546875" style="411" bestFit="1" customWidth="1"/>
    <col min="9484" max="9484" width="8.7109375" style="411" bestFit="1" customWidth="1"/>
    <col min="9485" max="9485" width="13.85546875" style="411" bestFit="1" customWidth="1"/>
    <col min="9486" max="9486" width="8.7109375" style="411" bestFit="1" customWidth="1"/>
    <col min="9487" max="9487" width="13.85546875" style="411" bestFit="1" customWidth="1"/>
    <col min="9488" max="9488" width="8.7109375" style="411" bestFit="1" customWidth="1"/>
    <col min="9489" max="9489" width="17.85546875" style="411" bestFit="1" customWidth="1"/>
    <col min="9490" max="9491" width="9.140625" style="411"/>
    <col min="9492" max="9492" width="10" style="411" bestFit="1" customWidth="1"/>
    <col min="9493" max="9718" width="9.140625" style="411"/>
    <col min="9719" max="9719" width="4" style="411" customWidth="1"/>
    <col min="9720" max="9720" width="34.5703125" style="411" customWidth="1"/>
    <col min="9721" max="9721" width="11.85546875" style="411" bestFit="1" customWidth="1"/>
    <col min="9722" max="9722" width="8.140625" style="411" customWidth="1"/>
    <col min="9723" max="9723" width="13.85546875" style="411" bestFit="1" customWidth="1"/>
    <col min="9724" max="9724" width="8.140625" style="411" customWidth="1"/>
    <col min="9725" max="9725" width="13.85546875" style="411" bestFit="1" customWidth="1"/>
    <col min="9726" max="9726" width="8.7109375" style="411" customWidth="1"/>
    <col min="9727" max="9727" width="13.5703125" style="411" bestFit="1" customWidth="1"/>
    <col min="9728" max="9728" width="9" style="411" customWidth="1"/>
    <col min="9729" max="9729" width="13.5703125" style="411" bestFit="1" customWidth="1"/>
    <col min="9730" max="9730" width="9" style="411" bestFit="1" customWidth="1"/>
    <col min="9731" max="9731" width="13.5703125" style="411" bestFit="1" customWidth="1"/>
    <col min="9732" max="9732" width="9" style="411" bestFit="1" customWidth="1"/>
    <col min="9733" max="9733" width="13.85546875" style="411" bestFit="1" customWidth="1"/>
    <col min="9734" max="9734" width="8.7109375" style="411" bestFit="1" customWidth="1"/>
    <col min="9735" max="9735" width="13.85546875" style="411" bestFit="1" customWidth="1"/>
    <col min="9736" max="9736" width="8.7109375" style="411" bestFit="1" customWidth="1"/>
    <col min="9737" max="9737" width="13.85546875" style="411" bestFit="1" customWidth="1"/>
    <col min="9738" max="9738" width="8.7109375" style="411" bestFit="1" customWidth="1"/>
    <col min="9739" max="9739" width="13.85546875" style="411" bestFit="1" customWidth="1"/>
    <col min="9740" max="9740" width="8.7109375" style="411" bestFit="1" customWidth="1"/>
    <col min="9741" max="9741" width="13.85546875" style="411" bestFit="1" customWidth="1"/>
    <col min="9742" max="9742" width="8.7109375" style="411" bestFit="1" customWidth="1"/>
    <col min="9743" max="9743" width="13.85546875" style="411" bestFit="1" customWidth="1"/>
    <col min="9744" max="9744" width="8.7109375" style="411" bestFit="1" customWidth="1"/>
    <col min="9745" max="9745" width="17.85546875" style="411" bestFit="1" customWidth="1"/>
    <col min="9746" max="9747" width="9.140625" style="411"/>
    <col min="9748" max="9748" width="10" style="411" bestFit="1" customWidth="1"/>
    <col min="9749" max="9974" width="9.140625" style="411"/>
    <col min="9975" max="9975" width="4" style="411" customWidth="1"/>
    <col min="9976" max="9976" width="34.5703125" style="411" customWidth="1"/>
    <col min="9977" max="9977" width="11.85546875" style="411" bestFit="1" customWidth="1"/>
    <col min="9978" max="9978" width="8.140625" style="411" customWidth="1"/>
    <col min="9979" max="9979" width="13.85546875" style="411" bestFit="1" customWidth="1"/>
    <col min="9980" max="9980" width="8.140625" style="411" customWidth="1"/>
    <col min="9981" max="9981" width="13.85546875" style="411" bestFit="1" customWidth="1"/>
    <col min="9982" max="9982" width="8.7109375" style="411" customWidth="1"/>
    <col min="9983" max="9983" width="13.5703125" style="411" bestFit="1" customWidth="1"/>
    <col min="9984" max="9984" width="9" style="411" customWidth="1"/>
    <col min="9985" max="9985" width="13.5703125" style="411" bestFit="1" customWidth="1"/>
    <col min="9986" max="9986" width="9" style="411" bestFit="1" customWidth="1"/>
    <col min="9987" max="9987" width="13.5703125" style="411" bestFit="1" customWidth="1"/>
    <col min="9988" max="9988" width="9" style="411" bestFit="1" customWidth="1"/>
    <col min="9989" max="9989" width="13.85546875" style="411" bestFit="1" customWidth="1"/>
    <col min="9990" max="9990" width="8.7109375" style="411" bestFit="1" customWidth="1"/>
    <col min="9991" max="9991" width="13.85546875" style="411" bestFit="1" customWidth="1"/>
    <col min="9992" max="9992" width="8.7109375" style="411" bestFit="1" customWidth="1"/>
    <col min="9993" max="9993" width="13.85546875" style="411" bestFit="1" customWidth="1"/>
    <col min="9994" max="9994" width="8.7109375" style="411" bestFit="1" customWidth="1"/>
    <col min="9995" max="9995" width="13.85546875" style="411" bestFit="1" customWidth="1"/>
    <col min="9996" max="9996" width="8.7109375" style="411" bestFit="1" customWidth="1"/>
    <col min="9997" max="9997" width="13.85546875" style="411" bestFit="1" customWidth="1"/>
    <col min="9998" max="9998" width="8.7109375" style="411" bestFit="1" customWidth="1"/>
    <col min="9999" max="9999" width="13.85546875" style="411" bestFit="1" customWidth="1"/>
    <col min="10000" max="10000" width="8.7109375" style="411" bestFit="1" customWidth="1"/>
    <col min="10001" max="10001" width="17.85546875" style="411" bestFit="1" customWidth="1"/>
    <col min="10002" max="10003" width="9.140625" style="411"/>
    <col min="10004" max="10004" width="10" style="411" bestFit="1" customWidth="1"/>
    <col min="10005" max="10230" width="9.140625" style="411"/>
    <col min="10231" max="10231" width="4" style="411" customWidth="1"/>
    <col min="10232" max="10232" width="34.5703125" style="411" customWidth="1"/>
    <col min="10233" max="10233" width="11.85546875" style="411" bestFit="1" customWidth="1"/>
    <col min="10234" max="10234" width="8.140625" style="411" customWidth="1"/>
    <col min="10235" max="10235" width="13.85546875" style="411" bestFit="1" customWidth="1"/>
    <col min="10236" max="10236" width="8.140625" style="411" customWidth="1"/>
    <col min="10237" max="10237" width="13.85546875" style="411" bestFit="1" customWidth="1"/>
    <col min="10238" max="10238" width="8.7109375" style="411" customWidth="1"/>
    <col min="10239" max="10239" width="13.5703125" style="411" bestFit="1" customWidth="1"/>
    <col min="10240" max="10240" width="9" style="411" customWidth="1"/>
    <col min="10241" max="10241" width="13.5703125" style="411" bestFit="1" customWidth="1"/>
    <col min="10242" max="10242" width="9" style="411" bestFit="1" customWidth="1"/>
    <col min="10243" max="10243" width="13.5703125" style="411" bestFit="1" customWidth="1"/>
    <col min="10244" max="10244" width="9" style="411" bestFit="1" customWidth="1"/>
    <col min="10245" max="10245" width="13.85546875" style="411" bestFit="1" customWidth="1"/>
    <col min="10246" max="10246" width="8.7109375" style="411" bestFit="1" customWidth="1"/>
    <col min="10247" max="10247" width="13.85546875" style="411" bestFit="1" customWidth="1"/>
    <col min="10248" max="10248" width="8.7109375" style="411" bestFit="1" customWidth="1"/>
    <col min="10249" max="10249" width="13.85546875" style="411" bestFit="1" customWidth="1"/>
    <col min="10250" max="10250" width="8.7109375" style="411" bestFit="1" customWidth="1"/>
    <col min="10251" max="10251" width="13.85546875" style="411" bestFit="1" customWidth="1"/>
    <col min="10252" max="10252" width="8.7109375" style="411" bestFit="1" customWidth="1"/>
    <col min="10253" max="10253" width="13.85546875" style="411" bestFit="1" customWidth="1"/>
    <col min="10254" max="10254" width="8.7109375" style="411" bestFit="1" customWidth="1"/>
    <col min="10255" max="10255" width="13.85546875" style="411" bestFit="1" customWidth="1"/>
    <col min="10256" max="10256" width="8.7109375" style="411" bestFit="1" customWidth="1"/>
    <col min="10257" max="10257" width="17.85546875" style="411" bestFit="1" customWidth="1"/>
    <col min="10258" max="10259" width="9.140625" style="411"/>
    <col min="10260" max="10260" width="10" style="411" bestFit="1" customWidth="1"/>
    <col min="10261" max="10486" width="9.140625" style="411"/>
    <col min="10487" max="10487" width="4" style="411" customWidth="1"/>
    <col min="10488" max="10488" width="34.5703125" style="411" customWidth="1"/>
    <col min="10489" max="10489" width="11.85546875" style="411" bestFit="1" customWidth="1"/>
    <col min="10490" max="10490" width="8.140625" style="411" customWidth="1"/>
    <col min="10491" max="10491" width="13.85546875" style="411" bestFit="1" customWidth="1"/>
    <col min="10492" max="10492" width="8.140625" style="411" customWidth="1"/>
    <col min="10493" max="10493" width="13.85546875" style="411" bestFit="1" customWidth="1"/>
    <col min="10494" max="10494" width="8.7109375" style="411" customWidth="1"/>
    <col min="10495" max="10495" width="13.5703125" style="411" bestFit="1" customWidth="1"/>
    <col min="10496" max="10496" width="9" style="411" customWidth="1"/>
    <col min="10497" max="10497" width="13.5703125" style="411" bestFit="1" customWidth="1"/>
    <col min="10498" max="10498" width="9" style="411" bestFit="1" customWidth="1"/>
    <col min="10499" max="10499" width="13.5703125" style="411" bestFit="1" customWidth="1"/>
    <col min="10500" max="10500" width="9" style="411" bestFit="1" customWidth="1"/>
    <col min="10501" max="10501" width="13.85546875" style="411" bestFit="1" customWidth="1"/>
    <col min="10502" max="10502" width="8.7109375" style="411" bestFit="1" customWidth="1"/>
    <col min="10503" max="10503" width="13.85546875" style="411" bestFit="1" customWidth="1"/>
    <col min="10504" max="10504" width="8.7109375" style="411" bestFit="1" customWidth="1"/>
    <col min="10505" max="10505" width="13.85546875" style="411" bestFit="1" customWidth="1"/>
    <col min="10506" max="10506" width="8.7109375" style="411" bestFit="1" customWidth="1"/>
    <col min="10507" max="10507" width="13.85546875" style="411" bestFit="1" customWidth="1"/>
    <col min="10508" max="10508" width="8.7109375" style="411" bestFit="1" customWidth="1"/>
    <col min="10509" max="10509" width="13.85546875" style="411" bestFit="1" customWidth="1"/>
    <col min="10510" max="10510" width="8.7109375" style="411" bestFit="1" customWidth="1"/>
    <col min="10511" max="10511" width="13.85546875" style="411" bestFit="1" customWidth="1"/>
    <col min="10512" max="10512" width="8.7109375" style="411" bestFit="1" customWidth="1"/>
    <col min="10513" max="10513" width="17.85546875" style="411" bestFit="1" customWidth="1"/>
    <col min="10514" max="10515" width="9.140625" style="411"/>
    <col min="10516" max="10516" width="10" style="411" bestFit="1" customWidth="1"/>
    <col min="10517" max="10742" width="9.140625" style="411"/>
    <col min="10743" max="10743" width="4" style="411" customWidth="1"/>
    <col min="10744" max="10744" width="34.5703125" style="411" customWidth="1"/>
    <col min="10745" max="10745" width="11.85546875" style="411" bestFit="1" customWidth="1"/>
    <col min="10746" max="10746" width="8.140625" style="411" customWidth="1"/>
    <col min="10747" max="10747" width="13.85546875" style="411" bestFit="1" customWidth="1"/>
    <col min="10748" max="10748" width="8.140625" style="411" customWidth="1"/>
    <col min="10749" max="10749" width="13.85546875" style="411" bestFit="1" customWidth="1"/>
    <col min="10750" max="10750" width="8.7109375" style="411" customWidth="1"/>
    <col min="10751" max="10751" width="13.5703125" style="411" bestFit="1" customWidth="1"/>
    <col min="10752" max="10752" width="9" style="411" customWidth="1"/>
    <col min="10753" max="10753" width="13.5703125" style="411" bestFit="1" customWidth="1"/>
    <col min="10754" max="10754" width="9" style="411" bestFit="1" customWidth="1"/>
    <col min="10755" max="10755" width="13.5703125" style="411" bestFit="1" customWidth="1"/>
    <col min="10756" max="10756" width="9" style="411" bestFit="1" customWidth="1"/>
    <col min="10757" max="10757" width="13.85546875" style="411" bestFit="1" customWidth="1"/>
    <col min="10758" max="10758" width="8.7109375" style="411" bestFit="1" customWidth="1"/>
    <col min="10759" max="10759" width="13.85546875" style="411" bestFit="1" customWidth="1"/>
    <col min="10760" max="10760" width="8.7109375" style="411" bestFit="1" customWidth="1"/>
    <col min="10761" max="10761" width="13.85546875" style="411" bestFit="1" customWidth="1"/>
    <col min="10762" max="10762" width="8.7109375" style="411" bestFit="1" customWidth="1"/>
    <col min="10763" max="10763" width="13.85546875" style="411" bestFit="1" customWidth="1"/>
    <col min="10764" max="10764" width="8.7109375" style="411" bestFit="1" customWidth="1"/>
    <col min="10765" max="10765" width="13.85546875" style="411" bestFit="1" customWidth="1"/>
    <col min="10766" max="10766" width="8.7109375" style="411" bestFit="1" customWidth="1"/>
    <col min="10767" max="10767" width="13.85546875" style="411" bestFit="1" customWidth="1"/>
    <col min="10768" max="10768" width="8.7109375" style="411" bestFit="1" customWidth="1"/>
    <col min="10769" max="10769" width="17.85546875" style="411" bestFit="1" customWidth="1"/>
    <col min="10770" max="10771" width="9.140625" style="411"/>
    <col min="10772" max="10772" width="10" style="411" bestFit="1" customWidth="1"/>
    <col min="10773" max="10998" width="9.140625" style="411"/>
    <col min="10999" max="10999" width="4" style="411" customWidth="1"/>
    <col min="11000" max="11000" width="34.5703125" style="411" customWidth="1"/>
    <col min="11001" max="11001" width="11.85546875" style="411" bestFit="1" customWidth="1"/>
    <col min="11002" max="11002" width="8.140625" style="411" customWidth="1"/>
    <col min="11003" max="11003" width="13.85546875" style="411" bestFit="1" customWidth="1"/>
    <col min="11004" max="11004" width="8.140625" style="411" customWidth="1"/>
    <col min="11005" max="11005" width="13.85546875" style="411" bestFit="1" customWidth="1"/>
    <col min="11006" max="11006" width="8.7109375" style="411" customWidth="1"/>
    <col min="11007" max="11007" width="13.5703125" style="411" bestFit="1" customWidth="1"/>
    <col min="11008" max="11008" width="9" style="411" customWidth="1"/>
    <col min="11009" max="11009" width="13.5703125" style="411" bestFit="1" customWidth="1"/>
    <col min="11010" max="11010" width="9" style="411" bestFit="1" customWidth="1"/>
    <col min="11011" max="11011" width="13.5703125" style="411" bestFit="1" customWidth="1"/>
    <col min="11012" max="11012" width="9" style="411" bestFit="1" customWidth="1"/>
    <col min="11013" max="11013" width="13.85546875" style="411" bestFit="1" customWidth="1"/>
    <col min="11014" max="11014" width="8.7109375" style="411" bestFit="1" customWidth="1"/>
    <col min="11015" max="11015" width="13.85546875" style="411" bestFit="1" customWidth="1"/>
    <col min="11016" max="11016" width="8.7109375" style="411" bestFit="1" customWidth="1"/>
    <col min="11017" max="11017" width="13.85546875" style="411" bestFit="1" customWidth="1"/>
    <col min="11018" max="11018" width="8.7109375" style="411" bestFit="1" customWidth="1"/>
    <col min="11019" max="11019" width="13.85546875" style="411" bestFit="1" customWidth="1"/>
    <col min="11020" max="11020" width="8.7109375" style="411" bestFit="1" customWidth="1"/>
    <col min="11021" max="11021" width="13.85546875" style="411" bestFit="1" customWidth="1"/>
    <col min="11022" max="11022" width="8.7109375" style="411" bestFit="1" customWidth="1"/>
    <col min="11023" max="11023" width="13.85546875" style="411" bestFit="1" customWidth="1"/>
    <col min="11024" max="11024" width="8.7109375" style="411" bestFit="1" customWidth="1"/>
    <col min="11025" max="11025" width="17.85546875" style="411" bestFit="1" customWidth="1"/>
    <col min="11026" max="11027" width="9.140625" style="411"/>
    <col min="11028" max="11028" width="10" style="411" bestFit="1" customWidth="1"/>
    <col min="11029" max="11254" width="9.140625" style="411"/>
    <col min="11255" max="11255" width="4" style="411" customWidth="1"/>
    <col min="11256" max="11256" width="34.5703125" style="411" customWidth="1"/>
    <col min="11257" max="11257" width="11.85546875" style="411" bestFit="1" customWidth="1"/>
    <col min="11258" max="11258" width="8.140625" style="411" customWidth="1"/>
    <col min="11259" max="11259" width="13.85546875" style="411" bestFit="1" customWidth="1"/>
    <col min="11260" max="11260" width="8.140625" style="411" customWidth="1"/>
    <col min="11261" max="11261" width="13.85546875" style="411" bestFit="1" customWidth="1"/>
    <col min="11262" max="11262" width="8.7109375" style="411" customWidth="1"/>
    <col min="11263" max="11263" width="13.5703125" style="411" bestFit="1" customWidth="1"/>
    <col min="11264" max="11264" width="9" style="411" customWidth="1"/>
    <col min="11265" max="11265" width="13.5703125" style="411" bestFit="1" customWidth="1"/>
    <col min="11266" max="11266" width="9" style="411" bestFit="1" customWidth="1"/>
    <col min="11267" max="11267" width="13.5703125" style="411" bestFit="1" customWidth="1"/>
    <col min="11268" max="11268" width="9" style="411" bestFit="1" customWidth="1"/>
    <col min="11269" max="11269" width="13.85546875" style="411" bestFit="1" customWidth="1"/>
    <col min="11270" max="11270" width="8.7109375" style="411" bestFit="1" customWidth="1"/>
    <col min="11271" max="11271" width="13.85546875" style="411" bestFit="1" customWidth="1"/>
    <col min="11272" max="11272" width="8.7109375" style="411" bestFit="1" customWidth="1"/>
    <col min="11273" max="11273" width="13.85546875" style="411" bestFit="1" customWidth="1"/>
    <col min="11274" max="11274" width="8.7109375" style="411" bestFit="1" customWidth="1"/>
    <col min="11275" max="11275" width="13.85546875" style="411" bestFit="1" customWidth="1"/>
    <col min="11276" max="11276" width="8.7109375" style="411" bestFit="1" customWidth="1"/>
    <col min="11277" max="11277" width="13.85546875" style="411" bestFit="1" customWidth="1"/>
    <col min="11278" max="11278" width="8.7109375" style="411" bestFit="1" customWidth="1"/>
    <col min="11279" max="11279" width="13.85546875" style="411" bestFit="1" customWidth="1"/>
    <col min="11280" max="11280" width="8.7109375" style="411" bestFit="1" customWidth="1"/>
    <col min="11281" max="11281" width="17.85546875" style="411" bestFit="1" customWidth="1"/>
    <col min="11282" max="11283" width="9.140625" style="411"/>
    <col min="11284" max="11284" width="10" style="411" bestFit="1" customWidth="1"/>
    <col min="11285" max="11510" width="9.140625" style="411"/>
    <col min="11511" max="11511" width="4" style="411" customWidth="1"/>
    <col min="11512" max="11512" width="34.5703125" style="411" customWidth="1"/>
    <col min="11513" max="11513" width="11.85546875" style="411" bestFit="1" customWidth="1"/>
    <col min="11514" max="11514" width="8.140625" style="411" customWidth="1"/>
    <col min="11515" max="11515" width="13.85546875" style="411" bestFit="1" customWidth="1"/>
    <col min="11516" max="11516" width="8.140625" style="411" customWidth="1"/>
    <col min="11517" max="11517" width="13.85546875" style="411" bestFit="1" customWidth="1"/>
    <col min="11518" max="11518" width="8.7109375" style="411" customWidth="1"/>
    <col min="11519" max="11519" width="13.5703125" style="411" bestFit="1" customWidth="1"/>
    <col min="11520" max="11520" width="9" style="411" customWidth="1"/>
    <col min="11521" max="11521" width="13.5703125" style="411" bestFit="1" customWidth="1"/>
    <col min="11522" max="11522" width="9" style="411" bestFit="1" customWidth="1"/>
    <col min="11523" max="11523" width="13.5703125" style="411" bestFit="1" customWidth="1"/>
    <col min="11524" max="11524" width="9" style="411" bestFit="1" customWidth="1"/>
    <col min="11525" max="11525" width="13.85546875" style="411" bestFit="1" customWidth="1"/>
    <col min="11526" max="11526" width="8.7109375" style="411" bestFit="1" customWidth="1"/>
    <col min="11527" max="11527" width="13.85546875" style="411" bestFit="1" customWidth="1"/>
    <col min="11528" max="11528" width="8.7109375" style="411" bestFit="1" customWidth="1"/>
    <col min="11529" max="11529" width="13.85546875" style="411" bestFit="1" customWidth="1"/>
    <col min="11530" max="11530" width="8.7109375" style="411" bestFit="1" customWidth="1"/>
    <col min="11531" max="11531" width="13.85546875" style="411" bestFit="1" customWidth="1"/>
    <col min="11532" max="11532" width="8.7109375" style="411" bestFit="1" customWidth="1"/>
    <col min="11533" max="11533" width="13.85546875" style="411" bestFit="1" customWidth="1"/>
    <col min="11534" max="11534" width="8.7109375" style="411" bestFit="1" customWidth="1"/>
    <col min="11535" max="11535" width="13.85546875" style="411" bestFit="1" customWidth="1"/>
    <col min="11536" max="11536" width="8.7109375" style="411" bestFit="1" customWidth="1"/>
    <col min="11537" max="11537" width="17.85546875" style="411" bestFit="1" customWidth="1"/>
    <col min="11538" max="11539" width="9.140625" style="411"/>
    <col min="11540" max="11540" width="10" style="411" bestFit="1" customWidth="1"/>
    <col min="11541" max="11766" width="9.140625" style="411"/>
    <col min="11767" max="11767" width="4" style="411" customWidth="1"/>
    <col min="11768" max="11768" width="34.5703125" style="411" customWidth="1"/>
    <col min="11769" max="11769" width="11.85546875" style="411" bestFit="1" customWidth="1"/>
    <col min="11770" max="11770" width="8.140625" style="411" customWidth="1"/>
    <col min="11771" max="11771" width="13.85546875" style="411" bestFit="1" customWidth="1"/>
    <col min="11772" max="11772" width="8.140625" style="411" customWidth="1"/>
    <col min="11773" max="11773" width="13.85546875" style="411" bestFit="1" customWidth="1"/>
    <col min="11774" max="11774" width="8.7109375" style="411" customWidth="1"/>
    <col min="11775" max="11775" width="13.5703125" style="411" bestFit="1" customWidth="1"/>
    <col min="11776" max="11776" width="9" style="411" customWidth="1"/>
    <col min="11777" max="11777" width="13.5703125" style="411" bestFit="1" customWidth="1"/>
    <col min="11778" max="11778" width="9" style="411" bestFit="1" customWidth="1"/>
    <col min="11779" max="11779" width="13.5703125" style="411" bestFit="1" customWidth="1"/>
    <col min="11780" max="11780" width="9" style="411" bestFit="1" customWidth="1"/>
    <col min="11781" max="11781" width="13.85546875" style="411" bestFit="1" customWidth="1"/>
    <col min="11782" max="11782" width="8.7109375" style="411" bestFit="1" customWidth="1"/>
    <col min="11783" max="11783" width="13.85546875" style="411" bestFit="1" customWidth="1"/>
    <col min="11784" max="11784" width="8.7109375" style="411" bestFit="1" customWidth="1"/>
    <col min="11785" max="11785" width="13.85546875" style="411" bestFit="1" customWidth="1"/>
    <col min="11786" max="11786" width="8.7109375" style="411" bestFit="1" customWidth="1"/>
    <col min="11787" max="11787" width="13.85546875" style="411" bestFit="1" customWidth="1"/>
    <col min="11788" max="11788" width="8.7109375" style="411" bestFit="1" customWidth="1"/>
    <col min="11789" max="11789" width="13.85546875" style="411" bestFit="1" customWidth="1"/>
    <col min="11790" max="11790" width="8.7109375" style="411" bestFit="1" customWidth="1"/>
    <col min="11791" max="11791" width="13.85546875" style="411" bestFit="1" customWidth="1"/>
    <col min="11792" max="11792" width="8.7109375" style="411" bestFit="1" customWidth="1"/>
    <col min="11793" max="11793" width="17.85546875" style="411" bestFit="1" customWidth="1"/>
    <col min="11794" max="11795" width="9.140625" style="411"/>
    <col min="11796" max="11796" width="10" style="411" bestFit="1" customWidth="1"/>
    <col min="11797" max="12022" width="9.140625" style="411"/>
    <col min="12023" max="12023" width="4" style="411" customWidth="1"/>
    <col min="12024" max="12024" width="34.5703125" style="411" customWidth="1"/>
    <col min="12025" max="12025" width="11.85546875" style="411" bestFit="1" customWidth="1"/>
    <col min="12026" max="12026" width="8.140625" style="411" customWidth="1"/>
    <col min="12027" max="12027" width="13.85546875" style="411" bestFit="1" customWidth="1"/>
    <col min="12028" max="12028" width="8.140625" style="411" customWidth="1"/>
    <col min="12029" max="12029" width="13.85546875" style="411" bestFit="1" customWidth="1"/>
    <col min="12030" max="12030" width="8.7109375" style="411" customWidth="1"/>
    <col min="12031" max="12031" width="13.5703125" style="411" bestFit="1" customWidth="1"/>
    <col min="12032" max="12032" width="9" style="411" customWidth="1"/>
    <col min="12033" max="12033" width="13.5703125" style="411" bestFit="1" customWidth="1"/>
    <col min="12034" max="12034" width="9" style="411" bestFit="1" customWidth="1"/>
    <col min="12035" max="12035" width="13.5703125" style="411" bestFit="1" customWidth="1"/>
    <col min="12036" max="12036" width="9" style="411" bestFit="1" customWidth="1"/>
    <col min="12037" max="12037" width="13.85546875" style="411" bestFit="1" customWidth="1"/>
    <col min="12038" max="12038" width="8.7109375" style="411" bestFit="1" customWidth="1"/>
    <col min="12039" max="12039" width="13.85546875" style="411" bestFit="1" customWidth="1"/>
    <col min="12040" max="12040" width="8.7109375" style="411" bestFit="1" customWidth="1"/>
    <col min="12041" max="12041" width="13.85546875" style="411" bestFit="1" customWidth="1"/>
    <col min="12042" max="12042" width="8.7109375" style="411" bestFit="1" customWidth="1"/>
    <col min="12043" max="12043" width="13.85546875" style="411" bestFit="1" customWidth="1"/>
    <col min="12044" max="12044" width="8.7109375" style="411" bestFit="1" customWidth="1"/>
    <col min="12045" max="12045" width="13.85546875" style="411" bestFit="1" customWidth="1"/>
    <col min="12046" max="12046" width="8.7109375" style="411" bestFit="1" customWidth="1"/>
    <col min="12047" max="12047" width="13.85546875" style="411" bestFit="1" customWidth="1"/>
    <col min="12048" max="12048" width="8.7109375" style="411" bestFit="1" customWidth="1"/>
    <col min="12049" max="12049" width="17.85546875" style="411" bestFit="1" customWidth="1"/>
    <col min="12050" max="12051" width="9.140625" style="411"/>
    <col min="12052" max="12052" width="10" style="411" bestFit="1" customWidth="1"/>
    <col min="12053" max="12278" width="9.140625" style="411"/>
    <col min="12279" max="12279" width="4" style="411" customWidth="1"/>
    <col min="12280" max="12280" width="34.5703125" style="411" customWidth="1"/>
    <col min="12281" max="12281" width="11.85546875" style="411" bestFit="1" customWidth="1"/>
    <col min="12282" max="12282" width="8.140625" style="411" customWidth="1"/>
    <col min="12283" max="12283" width="13.85546875" style="411" bestFit="1" customWidth="1"/>
    <col min="12284" max="12284" width="8.140625" style="411" customWidth="1"/>
    <col min="12285" max="12285" width="13.85546875" style="411" bestFit="1" customWidth="1"/>
    <col min="12286" max="12286" width="8.7109375" style="411" customWidth="1"/>
    <col min="12287" max="12287" width="13.5703125" style="411" bestFit="1" customWidth="1"/>
    <col min="12288" max="12288" width="9" style="411" customWidth="1"/>
    <col min="12289" max="12289" width="13.5703125" style="411" bestFit="1" customWidth="1"/>
    <col min="12290" max="12290" width="9" style="411" bestFit="1" customWidth="1"/>
    <col min="12291" max="12291" width="13.5703125" style="411" bestFit="1" customWidth="1"/>
    <col min="12292" max="12292" width="9" style="411" bestFit="1" customWidth="1"/>
    <col min="12293" max="12293" width="13.85546875" style="411" bestFit="1" customWidth="1"/>
    <col min="12294" max="12294" width="8.7109375" style="411" bestFit="1" customWidth="1"/>
    <col min="12295" max="12295" width="13.85546875" style="411" bestFit="1" customWidth="1"/>
    <col min="12296" max="12296" width="8.7109375" style="411" bestFit="1" customWidth="1"/>
    <col min="12297" max="12297" width="13.85546875" style="411" bestFit="1" customWidth="1"/>
    <col min="12298" max="12298" width="8.7109375" style="411" bestFit="1" customWidth="1"/>
    <col min="12299" max="12299" width="13.85546875" style="411" bestFit="1" customWidth="1"/>
    <col min="12300" max="12300" width="8.7109375" style="411" bestFit="1" customWidth="1"/>
    <col min="12301" max="12301" width="13.85546875" style="411" bestFit="1" customWidth="1"/>
    <col min="12302" max="12302" width="8.7109375" style="411" bestFit="1" customWidth="1"/>
    <col min="12303" max="12303" width="13.85546875" style="411" bestFit="1" customWidth="1"/>
    <col min="12304" max="12304" width="8.7109375" style="411" bestFit="1" customWidth="1"/>
    <col min="12305" max="12305" width="17.85546875" style="411" bestFit="1" customWidth="1"/>
    <col min="12306" max="12307" width="9.140625" style="411"/>
    <col min="12308" max="12308" width="10" style="411" bestFit="1" customWidth="1"/>
    <col min="12309" max="12534" width="9.140625" style="411"/>
    <col min="12535" max="12535" width="4" style="411" customWidth="1"/>
    <col min="12536" max="12536" width="34.5703125" style="411" customWidth="1"/>
    <col min="12537" max="12537" width="11.85546875" style="411" bestFit="1" customWidth="1"/>
    <col min="12538" max="12538" width="8.140625" style="411" customWidth="1"/>
    <col min="12539" max="12539" width="13.85546875" style="411" bestFit="1" customWidth="1"/>
    <col min="12540" max="12540" width="8.140625" style="411" customWidth="1"/>
    <col min="12541" max="12541" width="13.85546875" style="411" bestFit="1" customWidth="1"/>
    <col min="12542" max="12542" width="8.7109375" style="411" customWidth="1"/>
    <col min="12543" max="12543" width="13.5703125" style="411" bestFit="1" customWidth="1"/>
    <col min="12544" max="12544" width="9" style="411" customWidth="1"/>
    <col min="12545" max="12545" width="13.5703125" style="411" bestFit="1" customWidth="1"/>
    <col min="12546" max="12546" width="9" style="411" bestFit="1" customWidth="1"/>
    <col min="12547" max="12547" width="13.5703125" style="411" bestFit="1" customWidth="1"/>
    <col min="12548" max="12548" width="9" style="411" bestFit="1" customWidth="1"/>
    <col min="12549" max="12549" width="13.85546875" style="411" bestFit="1" customWidth="1"/>
    <col min="12550" max="12550" width="8.7109375" style="411" bestFit="1" customWidth="1"/>
    <col min="12551" max="12551" width="13.85546875" style="411" bestFit="1" customWidth="1"/>
    <col min="12552" max="12552" width="8.7109375" style="411" bestFit="1" customWidth="1"/>
    <col min="12553" max="12553" width="13.85546875" style="411" bestFit="1" customWidth="1"/>
    <col min="12554" max="12554" width="8.7109375" style="411" bestFit="1" customWidth="1"/>
    <col min="12555" max="12555" width="13.85546875" style="411" bestFit="1" customWidth="1"/>
    <col min="12556" max="12556" width="8.7109375" style="411" bestFit="1" customWidth="1"/>
    <col min="12557" max="12557" width="13.85546875" style="411" bestFit="1" customWidth="1"/>
    <col min="12558" max="12558" width="8.7109375" style="411" bestFit="1" customWidth="1"/>
    <col min="12559" max="12559" width="13.85546875" style="411" bestFit="1" customWidth="1"/>
    <col min="12560" max="12560" width="8.7109375" style="411" bestFit="1" customWidth="1"/>
    <col min="12561" max="12561" width="17.85546875" style="411" bestFit="1" customWidth="1"/>
    <col min="12562" max="12563" width="9.140625" style="411"/>
    <col min="12564" max="12564" width="10" style="411" bestFit="1" customWidth="1"/>
    <col min="12565" max="12790" width="9.140625" style="411"/>
    <col min="12791" max="12791" width="4" style="411" customWidth="1"/>
    <col min="12792" max="12792" width="34.5703125" style="411" customWidth="1"/>
    <col min="12793" max="12793" width="11.85546875" style="411" bestFit="1" customWidth="1"/>
    <col min="12794" max="12794" width="8.140625" style="411" customWidth="1"/>
    <col min="12795" max="12795" width="13.85546875" style="411" bestFit="1" customWidth="1"/>
    <col min="12796" max="12796" width="8.140625" style="411" customWidth="1"/>
    <col min="12797" max="12797" width="13.85546875" style="411" bestFit="1" customWidth="1"/>
    <col min="12798" max="12798" width="8.7109375" style="411" customWidth="1"/>
    <col min="12799" max="12799" width="13.5703125" style="411" bestFit="1" customWidth="1"/>
    <col min="12800" max="12800" width="9" style="411" customWidth="1"/>
    <col min="12801" max="12801" width="13.5703125" style="411" bestFit="1" customWidth="1"/>
    <col min="12802" max="12802" width="9" style="411" bestFit="1" customWidth="1"/>
    <col min="12803" max="12803" width="13.5703125" style="411" bestFit="1" customWidth="1"/>
    <col min="12804" max="12804" width="9" style="411" bestFit="1" customWidth="1"/>
    <col min="12805" max="12805" width="13.85546875" style="411" bestFit="1" customWidth="1"/>
    <col min="12806" max="12806" width="8.7109375" style="411" bestFit="1" customWidth="1"/>
    <col min="12807" max="12807" width="13.85546875" style="411" bestFit="1" customWidth="1"/>
    <col min="12808" max="12808" width="8.7109375" style="411" bestFit="1" customWidth="1"/>
    <col min="12809" max="12809" width="13.85546875" style="411" bestFit="1" customWidth="1"/>
    <col min="12810" max="12810" width="8.7109375" style="411" bestFit="1" customWidth="1"/>
    <col min="12811" max="12811" width="13.85546875" style="411" bestFit="1" customWidth="1"/>
    <col min="12812" max="12812" width="8.7109375" style="411" bestFit="1" customWidth="1"/>
    <col min="12813" max="12813" width="13.85546875" style="411" bestFit="1" customWidth="1"/>
    <col min="12814" max="12814" width="8.7109375" style="411" bestFit="1" customWidth="1"/>
    <col min="12815" max="12815" width="13.85546875" style="411" bestFit="1" customWidth="1"/>
    <col min="12816" max="12816" width="8.7109375" style="411" bestFit="1" customWidth="1"/>
    <col min="12817" max="12817" width="17.85546875" style="411" bestFit="1" customWidth="1"/>
    <col min="12818" max="12819" width="9.140625" style="411"/>
    <col min="12820" max="12820" width="10" style="411" bestFit="1" customWidth="1"/>
    <col min="12821" max="13046" width="9.140625" style="411"/>
    <col min="13047" max="13047" width="4" style="411" customWidth="1"/>
    <col min="13048" max="13048" width="34.5703125" style="411" customWidth="1"/>
    <col min="13049" max="13049" width="11.85546875" style="411" bestFit="1" customWidth="1"/>
    <col min="13050" max="13050" width="8.140625" style="411" customWidth="1"/>
    <col min="13051" max="13051" width="13.85546875" style="411" bestFit="1" customWidth="1"/>
    <col min="13052" max="13052" width="8.140625" style="411" customWidth="1"/>
    <col min="13053" max="13053" width="13.85546875" style="411" bestFit="1" customWidth="1"/>
    <col min="13054" max="13054" width="8.7109375" style="411" customWidth="1"/>
    <col min="13055" max="13055" width="13.5703125" style="411" bestFit="1" customWidth="1"/>
    <col min="13056" max="13056" width="9" style="411" customWidth="1"/>
    <col min="13057" max="13057" width="13.5703125" style="411" bestFit="1" customWidth="1"/>
    <col min="13058" max="13058" width="9" style="411" bestFit="1" customWidth="1"/>
    <col min="13059" max="13059" width="13.5703125" style="411" bestFit="1" customWidth="1"/>
    <col min="13060" max="13060" width="9" style="411" bestFit="1" customWidth="1"/>
    <col min="13061" max="13061" width="13.85546875" style="411" bestFit="1" customWidth="1"/>
    <col min="13062" max="13062" width="8.7109375" style="411" bestFit="1" customWidth="1"/>
    <col min="13063" max="13063" width="13.85546875" style="411" bestFit="1" customWidth="1"/>
    <col min="13064" max="13064" width="8.7109375" style="411" bestFit="1" customWidth="1"/>
    <col min="13065" max="13065" width="13.85546875" style="411" bestFit="1" customWidth="1"/>
    <col min="13066" max="13066" width="8.7109375" style="411" bestFit="1" customWidth="1"/>
    <col min="13067" max="13067" width="13.85546875" style="411" bestFit="1" customWidth="1"/>
    <col min="13068" max="13068" width="8.7109375" style="411" bestFit="1" customWidth="1"/>
    <col min="13069" max="13069" width="13.85546875" style="411" bestFit="1" customWidth="1"/>
    <col min="13070" max="13070" width="8.7109375" style="411" bestFit="1" customWidth="1"/>
    <col min="13071" max="13071" width="13.85546875" style="411" bestFit="1" customWidth="1"/>
    <col min="13072" max="13072" width="8.7109375" style="411" bestFit="1" customWidth="1"/>
    <col min="13073" max="13073" width="17.85546875" style="411" bestFit="1" customWidth="1"/>
    <col min="13074" max="13075" width="9.140625" style="411"/>
    <col min="13076" max="13076" width="10" style="411" bestFit="1" customWidth="1"/>
    <col min="13077" max="13302" width="9.140625" style="411"/>
    <col min="13303" max="13303" width="4" style="411" customWidth="1"/>
    <col min="13304" max="13304" width="34.5703125" style="411" customWidth="1"/>
    <col min="13305" max="13305" width="11.85546875" style="411" bestFit="1" customWidth="1"/>
    <col min="13306" max="13306" width="8.140625" style="411" customWidth="1"/>
    <col min="13307" max="13307" width="13.85546875" style="411" bestFit="1" customWidth="1"/>
    <col min="13308" max="13308" width="8.140625" style="411" customWidth="1"/>
    <col min="13309" max="13309" width="13.85546875" style="411" bestFit="1" customWidth="1"/>
    <col min="13310" max="13310" width="8.7109375" style="411" customWidth="1"/>
    <col min="13311" max="13311" width="13.5703125" style="411" bestFit="1" customWidth="1"/>
    <col min="13312" max="13312" width="9" style="411" customWidth="1"/>
    <col min="13313" max="13313" width="13.5703125" style="411" bestFit="1" customWidth="1"/>
    <col min="13314" max="13314" width="9" style="411" bestFit="1" customWidth="1"/>
    <col min="13315" max="13315" width="13.5703125" style="411" bestFit="1" customWidth="1"/>
    <col min="13316" max="13316" width="9" style="411" bestFit="1" customWidth="1"/>
    <col min="13317" max="13317" width="13.85546875" style="411" bestFit="1" customWidth="1"/>
    <col min="13318" max="13318" width="8.7109375" style="411" bestFit="1" customWidth="1"/>
    <col min="13319" max="13319" width="13.85546875" style="411" bestFit="1" customWidth="1"/>
    <col min="13320" max="13320" width="8.7109375" style="411" bestFit="1" customWidth="1"/>
    <col min="13321" max="13321" width="13.85546875" style="411" bestFit="1" customWidth="1"/>
    <col min="13322" max="13322" width="8.7109375" style="411" bestFit="1" customWidth="1"/>
    <col min="13323" max="13323" width="13.85546875" style="411" bestFit="1" customWidth="1"/>
    <col min="13324" max="13324" width="8.7109375" style="411" bestFit="1" customWidth="1"/>
    <col min="13325" max="13325" width="13.85546875" style="411" bestFit="1" customWidth="1"/>
    <col min="13326" max="13326" width="8.7109375" style="411" bestFit="1" customWidth="1"/>
    <col min="13327" max="13327" width="13.85546875" style="411" bestFit="1" customWidth="1"/>
    <col min="13328" max="13328" width="8.7109375" style="411" bestFit="1" customWidth="1"/>
    <col min="13329" max="13329" width="17.85546875" style="411" bestFit="1" customWidth="1"/>
    <col min="13330" max="13331" width="9.140625" style="411"/>
    <col min="13332" max="13332" width="10" style="411" bestFit="1" customWidth="1"/>
    <col min="13333" max="13558" width="9.140625" style="411"/>
    <col min="13559" max="13559" width="4" style="411" customWidth="1"/>
    <col min="13560" max="13560" width="34.5703125" style="411" customWidth="1"/>
    <col min="13561" max="13561" width="11.85546875" style="411" bestFit="1" customWidth="1"/>
    <col min="13562" max="13562" width="8.140625" style="411" customWidth="1"/>
    <col min="13563" max="13563" width="13.85546875" style="411" bestFit="1" customWidth="1"/>
    <col min="13564" max="13564" width="8.140625" style="411" customWidth="1"/>
    <col min="13565" max="13565" width="13.85546875" style="411" bestFit="1" customWidth="1"/>
    <col min="13566" max="13566" width="8.7109375" style="411" customWidth="1"/>
    <col min="13567" max="13567" width="13.5703125" style="411" bestFit="1" customWidth="1"/>
    <col min="13568" max="13568" width="9" style="411" customWidth="1"/>
    <col min="13569" max="13569" width="13.5703125" style="411" bestFit="1" customWidth="1"/>
    <col min="13570" max="13570" width="9" style="411" bestFit="1" customWidth="1"/>
    <col min="13571" max="13571" width="13.5703125" style="411" bestFit="1" customWidth="1"/>
    <col min="13572" max="13572" width="9" style="411" bestFit="1" customWidth="1"/>
    <col min="13573" max="13573" width="13.85546875" style="411" bestFit="1" customWidth="1"/>
    <col min="13574" max="13574" width="8.7109375" style="411" bestFit="1" customWidth="1"/>
    <col min="13575" max="13575" width="13.85546875" style="411" bestFit="1" customWidth="1"/>
    <col min="13576" max="13576" width="8.7109375" style="411" bestFit="1" customWidth="1"/>
    <col min="13577" max="13577" width="13.85546875" style="411" bestFit="1" customWidth="1"/>
    <col min="13578" max="13578" width="8.7109375" style="411" bestFit="1" customWidth="1"/>
    <col min="13579" max="13579" width="13.85546875" style="411" bestFit="1" customWidth="1"/>
    <col min="13580" max="13580" width="8.7109375" style="411" bestFit="1" customWidth="1"/>
    <col min="13581" max="13581" width="13.85546875" style="411" bestFit="1" customWidth="1"/>
    <col min="13582" max="13582" width="8.7109375" style="411" bestFit="1" customWidth="1"/>
    <col min="13583" max="13583" width="13.85546875" style="411" bestFit="1" customWidth="1"/>
    <col min="13584" max="13584" width="8.7109375" style="411" bestFit="1" customWidth="1"/>
    <col min="13585" max="13585" width="17.85546875" style="411" bestFit="1" customWidth="1"/>
    <col min="13586" max="13587" width="9.140625" style="411"/>
    <col min="13588" max="13588" width="10" style="411" bestFit="1" customWidth="1"/>
    <col min="13589" max="13814" width="9.140625" style="411"/>
    <col min="13815" max="13815" width="4" style="411" customWidth="1"/>
    <col min="13816" max="13816" width="34.5703125" style="411" customWidth="1"/>
    <col min="13817" max="13817" width="11.85546875" style="411" bestFit="1" customWidth="1"/>
    <col min="13818" max="13818" width="8.140625" style="411" customWidth="1"/>
    <col min="13819" max="13819" width="13.85546875" style="411" bestFit="1" customWidth="1"/>
    <col min="13820" max="13820" width="8.140625" style="411" customWidth="1"/>
    <col min="13821" max="13821" width="13.85546875" style="411" bestFit="1" customWidth="1"/>
    <col min="13822" max="13822" width="8.7109375" style="411" customWidth="1"/>
    <col min="13823" max="13823" width="13.5703125" style="411" bestFit="1" customWidth="1"/>
    <col min="13824" max="13824" width="9" style="411" customWidth="1"/>
    <col min="13825" max="13825" width="13.5703125" style="411" bestFit="1" customWidth="1"/>
    <col min="13826" max="13826" width="9" style="411" bestFit="1" customWidth="1"/>
    <col min="13827" max="13827" width="13.5703125" style="411" bestFit="1" customWidth="1"/>
    <col min="13828" max="13828" width="9" style="411" bestFit="1" customWidth="1"/>
    <col min="13829" max="13829" width="13.85546875" style="411" bestFit="1" customWidth="1"/>
    <col min="13830" max="13830" width="8.7109375" style="411" bestFit="1" customWidth="1"/>
    <col min="13831" max="13831" width="13.85546875" style="411" bestFit="1" customWidth="1"/>
    <col min="13832" max="13832" width="8.7109375" style="411" bestFit="1" customWidth="1"/>
    <col min="13833" max="13833" width="13.85546875" style="411" bestFit="1" customWidth="1"/>
    <col min="13834" max="13834" width="8.7109375" style="411" bestFit="1" customWidth="1"/>
    <col min="13835" max="13835" width="13.85546875" style="411" bestFit="1" customWidth="1"/>
    <col min="13836" max="13836" width="8.7109375" style="411" bestFit="1" customWidth="1"/>
    <col min="13837" max="13837" width="13.85546875" style="411" bestFit="1" customWidth="1"/>
    <col min="13838" max="13838" width="8.7109375" style="411" bestFit="1" customWidth="1"/>
    <col min="13839" max="13839" width="13.85546875" style="411" bestFit="1" customWidth="1"/>
    <col min="13840" max="13840" width="8.7109375" style="411" bestFit="1" customWidth="1"/>
    <col min="13841" max="13841" width="17.85546875" style="411" bestFit="1" customWidth="1"/>
    <col min="13842" max="13843" width="9.140625" style="411"/>
    <col min="13844" max="13844" width="10" style="411" bestFit="1" customWidth="1"/>
    <col min="13845" max="14070" width="9.140625" style="411"/>
    <col min="14071" max="14071" width="4" style="411" customWidth="1"/>
    <col min="14072" max="14072" width="34.5703125" style="411" customWidth="1"/>
    <col min="14073" max="14073" width="11.85546875" style="411" bestFit="1" customWidth="1"/>
    <col min="14074" max="14074" width="8.140625" style="411" customWidth="1"/>
    <col min="14075" max="14075" width="13.85546875" style="411" bestFit="1" customWidth="1"/>
    <col min="14076" max="14076" width="8.140625" style="411" customWidth="1"/>
    <col min="14077" max="14077" width="13.85546875" style="411" bestFit="1" customWidth="1"/>
    <col min="14078" max="14078" width="8.7109375" style="411" customWidth="1"/>
    <col min="14079" max="14079" width="13.5703125" style="411" bestFit="1" customWidth="1"/>
    <col min="14080" max="14080" width="9" style="411" customWidth="1"/>
    <col min="14081" max="14081" width="13.5703125" style="411" bestFit="1" customWidth="1"/>
    <col min="14082" max="14082" width="9" style="411" bestFit="1" customWidth="1"/>
    <col min="14083" max="14083" width="13.5703125" style="411" bestFit="1" customWidth="1"/>
    <col min="14084" max="14084" width="9" style="411" bestFit="1" customWidth="1"/>
    <col min="14085" max="14085" width="13.85546875" style="411" bestFit="1" customWidth="1"/>
    <col min="14086" max="14086" width="8.7109375" style="411" bestFit="1" customWidth="1"/>
    <col min="14087" max="14087" width="13.85546875" style="411" bestFit="1" customWidth="1"/>
    <col min="14088" max="14088" width="8.7109375" style="411" bestFit="1" customWidth="1"/>
    <col min="14089" max="14089" width="13.85546875" style="411" bestFit="1" customWidth="1"/>
    <col min="14090" max="14090" width="8.7109375" style="411" bestFit="1" customWidth="1"/>
    <col min="14091" max="14091" width="13.85546875" style="411" bestFit="1" customWidth="1"/>
    <col min="14092" max="14092" width="8.7109375" style="411" bestFit="1" customWidth="1"/>
    <col min="14093" max="14093" width="13.85546875" style="411" bestFit="1" customWidth="1"/>
    <col min="14094" max="14094" width="8.7109375" style="411" bestFit="1" customWidth="1"/>
    <col min="14095" max="14095" width="13.85546875" style="411" bestFit="1" customWidth="1"/>
    <col min="14096" max="14096" width="8.7109375" style="411" bestFit="1" customWidth="1"/>
    <col min="14097" max="14097" width="17.85546875" style="411" bestFit="1" customWidth="1"/>
    <col min="14098" max="14099" width="9.140625" style="411"/>
    <col min="14100" max="14100" width="10" style="411" bestFit="1" customWidth="1"/>
    <col min="14101" max="14326" width="9.140625" style="411"/>
    <col min="14327" max="14327" width="4" style="411" customWidth="1"/>
    <col min="14328" max="14328" width="34.5703125" style="411" customWidth="1"/>
    <col min="14329" max="14329" width="11.85546875" style="411" bestFit="1" customWidth="1"/>
    <col min="14330" max="14330" width="8.140625" style="411" customWidth="1"/>
    <col min="14331" max="14331" width="13.85546875" style="411" bestFit="1" customWidth="1"/>
    <col min="14332" max="14332" width="8.140625" style="411" customWidth="1"/>
    <col min="14333" max="14333" width="13.85546875" style="411" bestFit="1" customWidth="1"/>
    <col min="14334" max="14334" width="8.7109375" style="411" customWidth="1"/>
    <col min="14335" max="14335" width="13.5703125" style="411" bestFit="1" customWidth="1"/>
    <col min="14336" max="14336" width="9" style="411" customWidth="1"/>
    <col min="14337" max="14337" width="13.5703125" style="411" bestFit="1" customWidth="1"/>
    <col min="14338" max="14338" width="9" style="411" bestFit="1" customWidth="1"/>
    <col min="14339" max="14339" width="13.5703125" style="411" bestFit="1" customWidth="1"/>
    <col min="14340" max="14340" width="9" style="411" bestFit="1" customWidth="1"/>
    <col min="14341" max="14341" width="13.85546875" style="411" bestFit="1" customWidth="1"/>
    <col min="14342" max="14342" width="8.7109375" style="411" bestFit="1" customWidth="1"/>
    <col min="14343" max="14343" width="13.85546875" style="411" bestFit="1" customWidth="1"/>
    <col min="14344" max="14344" width="8.7109375" style="411" bestFit="1" customWidth="1"/>
    <col min="14345" max="14345" width="13.85546875" style="411" bestFit="1" customWidth="1"/>
    <col min="14346" max="14346" width="8.7109375" style="411" bestFit="1" customWidth="1"/>
    <col min="14347" max="14347" width="13.85546875" style="411" bestFit="1" customWidth="1"/>
    <col min="14348" max="14348" width="8.7109375" style="411" bestFit="1" customWidth="1"/>
    <col min="14349" max="14349" width="13.85546875" style="411" bestFit="1" customWidth="1"/>
    <col min="14350" max="14350" width="8.7109375" style="411" bestFit="1" customWidth="1"/>
    <col min="14351" max="14351" width="13.85546875" style="411" bestFit="1" customWidth="1"/>
    <col min="14352" max="14352" width="8.7109375" style="411" bestFit="1" customWidth="1"/>
    <col min="14353" max="14353" width="17.85546875" style="411" bestFit="1" customWidth="1"/>
    <col min="14354" max="14355" width="9.140625" style="411"/>
    <col min="14356" max="14356" width="10" style="411" bestFit="1" customWidth="1"/>
    <col min="14357" max="14582" width="9.140625" style="411"/>
    <col min="14583" max="14583" width="4" style="411" customWidth="1"/>
    <col min="14584" max="14584" width="34.5703125" style="411" customWidth="1"/>
    <col min="14585" max="14585" width="11.85546875" style="411" bestFit="1" customWidth="1"/>
    <col min="14586" max="14586" width="8.140625" style="411" customWidth="1"/>
    <col min="14587" max="14587" width="13.85546875" style="411" bestFit="1" customWidth="1"/>
    <col min="14588" max="14588" width="8.140625" style="411" customWidth="1"/>
    <col min="14589" max="14589" width="13.85546875" style="411" bestFit="1" customWidth="1"/>
    <col min="14590" max="14590" width="8.7109375" style="411" customWidth="1"/>
    <col min="14591" max="14591" width="13.5703125" style="411" bestFit="1" customWidth="1"/>
    <col min="14592" max="14592" width="9" style="411" customWidth="1"/>
    <col min="14593" max="14593" width="13.5703125" style="411" bestFit="1" customWidth="1"/>
    <col min="14594" max="14594" width="9" style="411" bestFit="1" customWidth="1"/>
    <col min="14595" max="14595" width="13.5703125" style="411" bestFit="1" customWidth="1"/>
    <col min="14596" max="14596" width="9" style="411" bestFit="1" customWidth="1"/>
    <col min="14597" max="14597" width="13.85546875" style="411" bestFit="1" customWidth="1"/>
    <col min="14598" max="14598" width="8.7109375" style="411" bestFit="1" customWidth="1"/>
    <col min="14599" max="14599" width="13.85546875" style="411" bestFit="1" customWidth="1"/>
    <col min="14600" max="14600" width="8.7109375" style="411" bestFit="1" customWidth="1"/>
    <col min="14601" max="14601" width="13.85546875" style="411" bestFit="1" customWidth="1"/>
    <col min="14602" max="14602" width="8.7109375" style="411" bestFit="1" customWidth="1"/>
    <col min="14603" max="14603" width="13.85546875" style="411" bestFit="1" customWidth="1"/>
    <col min="14604" max="14604" width="8.7109375" style="411" bestFit="1" customWidth="1"/>
    <col min="14605" max="14605" width="13.85546875" style="411" bestFit="1" customWidth="1"/>
    <col min="14606" max="14606" width="8.7109375" style="411" bestFit="1" customWidth="1"/>
    <col min="14607" max="14607" width="13.85546875" style="411" bestFit="1" customWidth="1"/>
    <col min="14608" max="14608" width="8.7109375" style="411" bestFit="1" customWidth="1"/>
    <col min="14609" max="14609" width="17.85546875" style="411" bestFit="1" customWidth="1"/>
    <col min="14610" max="14611" width="9.140625" style="411"/>
    <col min="14612" max="14612" width="10" style="411" bestFit="1" customWidth="1"/>
    <col min="14613" max="14838" width="9.140625" style="411"/>
    <col min="14839" max="14839" width="4" style="411" customWidth="1"/>
    <col min="14840" max="14840" width="34.5703125" style="411" customWidth="1"/>
    <col min="14841" max="14841" width="11.85546875" style="411" bestFit="1" customWidth="1"/>
    <col min="14842" max="14842" width="8.140625" style="411" customWidth="1"/>
    <col min="14843" max="14843" width="13.85546875" style="411" bestFit="1" customWidth="1"/>
    <col min="14844" max="14844" width="8.140625" style="411" customWidth="1"/>
    <col min="14845" max="14845" width="13.85546875" style="411" bestFit="1" customWidth="1"/>
    <col min="14846" max="14846" width="8.7109375" style="411" customWidth="1"/>
    <col min="14847" max="14847" width="13.5703125" style="411" bestFit="1" customWidth="1"/>
    <col min="14848" max="14848" width="9" style="411" customWidth="1"/>
    <col min="14849" max="14849" width="13.5703125" style="411" bestFit="1" customWidth="1"/>
    <col min="14850" max="14850" width="9" style="411" bestFit="1" customWidth="1"/>
    <col min="14851" max="14851" width="13.5703125" style="411" bestFit="1" customWidth="1"/>
    <col min="14852" max="14852" width="9" style="411" bestFit="1" customWidth="1"/>
    <col min="14853" max="14853" width="13.85546875" style="411" bestFit="1" customWidth="1"/>
    <col min="14854" max="14854" width="8.7109375" style="411" bestFit="1" customWidth="1"/>
    <col min="14855" max="14855" width="13.85546875" style="411" bestFit="1" customWidth="1"/>
    <col min="14856" max="14856" width="8.7109375" style="411" bestFit="1" customWidth="1"/>
    <col min="14857" max="14857" width="13.85546875" style="411" bestFit="1" customWidth="1"/>
    <col min="14858" max="14858" width="8.7109375" style="411" bestFit="1" customWidth="1"/>
    <col min="14859" max="14859" width="13.85546875" style="411" bestFit="1" customWidth="1"/>
    <col min="14860" max="14860" width="8.7109375" style="411" bestFit="1" customWidth="1"/>
    <col min="14861" max="14861" width="13.85546875" style="411" bestFit="1" customWidth="1"/>
    <col min="14862" max="14862" width="8.7109375" style="411" bestFit="1" customWidth="1"/>
    <col min="14863" max="14863" width="13.85546875" style="411" bestFit="1" customWidth="1"/>
    <col min="14864" max="14864" width="8.7109375" style="411" bestFit="1" customWidth="1"/>
    <col min="14865" max="14865" width="17.85546875" style="411" bestFit="1" customWidth="1"/>
    <col min="14866" max="14867" width="9.140625" style="411"/>
    <col min="14868" max="14868" width="10" style="411" bestFit="1" customWidth="1"/>
    <col min="14869" max="15094" width="9.140625" style="411"/>
    <col min="15095" max="15095" width="4" style="411" customWidth="1"/>
    <col min="15096" max="15096" width="34.5703125" style="411" customWidth="1"/>
    <col min="15097" max="15097" width="11.85546875" style="411" bestFit="1" customWidth="1"/>
    <col min="15098" max="15098" width="8.140625" style="411" customWidth="1"/>
    <col min="15099" max="15099" width="13.85546875" style="411" bestFit="1" customWidth="1"/>
    <col min="15100" max="15100" width="8.140625" style="411" customWidth="1"/>
    <col min="15101" max="15101" width="13.85546875" style="411" bestFit="1" customWidth="1"/>
    <col min="15102" max="15102" width="8.7109375" style="411" customWidth="1"/>
    <col min="15103" max="15103" width="13.5703125" style="411" bestFit="1" customWidth="1"/>
    <col min="15104" max="15104" width="9" style="411" customWidth="1"/>
    <col min="15105" max="15105" width="13.5703125" style="411" bestFit="1" customWidth="1"/>
    <col min="15106" max="15106" width="9" style="411" bestFit="1" customWidth="1"/>
    <col min="15107" max="15107" width="13.5703125" style="411" bestFit="1" customWidth="1"/>
    <col min="15108" max="15108" width="9" style="411" bestFit="1" customWidth="1"/>
    <col min="15109" max="15109" width="13.85546875" style="411" bestFit="1" customWidth="1"/>
    <col min="15110" max="15110" width="8.7109375" style="411" bestFit="1" customWidth="1"/>
    <col min="15111" max="15111" width="13.85546875" style="411" bestFit="1" customWidth="1"/>
    <col min="15112" max="15112" width="8.7109375" style="411" bestFit="1" customWidth="1"/>
    <col min="15113" max="15113" width="13.85546875" style="411" bestFit="1" customWidth="1"/>
    <col min="15114" max="15114" width="8.7109375" style="411" bestFit="1" customWidth="1"/>
    <col min="15115" max="15115" width="13.85546875" style="411" bestFit="1" customWidth="1"/>
    <col min="15116" max="15116" width="8.7109375" style="411" bestFit="1" customWidth="1"/>
    <col min="15117" max="15117" width="13.85546875" style="411" bestFit="1" customWidth="1"/>
    <col min="15118" max="15118" width="8.7109375" style="411" bestFit="1" customWidth="1"/>
    <col min="15119" max="15119" width="13.85546875" style="411" bestFit="1" customWidth="1"/>
    <col min="15120" max="15120" width="8.7109375" style="411" bestFit="1" customWidth="1"/>
    <col min="15121" max="15121" width="17.85546875" style="411" bestFit="1" customWidth="1"/>
    <col min="15122" max="15123" width="9.140625" style="411"/>
    <col min="15124" max="15124" width="10" style="411" bestFit="1" customWidth="1"/>
    <col min="15125" max="15350" width="9.140625" style="411"/>
    <col min="15351" max="15351" width="4" style="411" customWidth="1"/>
    <col min="15352" max="15352" width="34.5703125" style="411" customWidth="1"/>
    <col min="15353" max="15353" width="11.85546875" style="411" bestFit="1" customWidth="1"/>
    <col min="15354" max="15354" width="8.140625" style="411" customWidth="1"/>
    <col min="15355" max="15355" width="13.85546875" style="411" bestFit="1" customWidth="1"/>
    <col min="15356" max="15356" width="8.140625" style="411" customWidth="1"/>
    <col min="15357" max="15357" width="13.85546875" style="411" bestFit="1" customWidth="1"/>
    <col min="15358" max="15358" width="8.7109375" style="411" customWidth="1"/>
    <col min="15359" max="15359" width="13.5703125" style="411" bestFit="1" customWidth="1"/>
    <col min="15360" max="15360" width="9" style="411" customWidth="1"/>
    <col min="15361" max="15361" width="13.5703125" style="411" bestFit="1" customWidth="1"/>
    <col min="15362" max="15362" width="9" style="411" bestFit="1" customWidth="1"/>
    <col min="15363" max="15363" width="13.5703125" style="411" bestFit="1" customWidth="1"/>
    <col min="15364" max="15364" width="9" style="411" bestFit="1" customWidth="1"/>
    <col min="15365" max="15365" width="13.85546875" style="411" bestFit="1" customWidth="1"/>
    <col min="15366" max="15366" width="8.7109375" style="411" bestFit="1" customWidth="1"/>
    <col min="15367" max="15367" width="13.85546875" style="411" bestFit="1" customWidth="1"/>
    <col min="15368" max="15368" width="8.7109375" style="411" bestFit="1" customWidth="1"/>
    <col min="15369" max="15369" width="13.85546875" style="411" bestFit="1" customWidth="1"/>
    <col min="15370" max="15370" width="8.7109375" style="411" bestFit="1" customWidth="1"/>
    <col min="15371" max="15371" width="13.85546875" style="411" bestFit="1" customWidth="1"/>
    <col min="15372" max="15372" width="8.7109375" style="411" bestFit="1" customWidth="1"/>
    <col min="15373" max="15373" width="13.85546875" style="411" bestFit="1" customWidth="1"/>
    <col min="15374" max="15374" width="8.7109375" style="411" bestFit="1" customWidth="1"/>
    <col min="15375" max="15375" width="13.85546875" style="411" bestFit="1" customWidth="1"/>
    <col min="15376" max="15376" width="8.7109375" style="411" bestFit="1" customWidth="1"/>
    <col min="15377" max="15377" width="17.85546875" style="411" bestFit="1" customWidth="1"/>
    <col min="15378" max="15379" width="9.140625" style="411"/>
    <col min="15380" max="15380" width="10" style="411" bestFit="1" customWidth="1"/>
    <col min="15381" max="15606" width="9.140625" style="411"/>
    <col min="15607" max="15607" width="4" style="411" customWidth="1"/>
    <col min="15608" max="15608" width="34.5703125" style="411" customWidth="1"/>
    <col min="15609" max="15609" width="11.85546875" style="411" bestFit="1" customWidth="1"/>
    <col min="15610" max="15610" width="8.140625" style="411" customWidth="1"/>
    <col min="15611" max="15611" width="13.85546875" style="411" bestFit="1" customWidth="1"/>
    <col min="15612" max="15612" width="8.140625" style="411" customWidth="1"/>
    <col min="15613" max="15613" width="13.85546875" style="411" bestFit="1" customWidth="1"/>
    <col min="15614" max="15614" width="8.7109375" style="411" customWidth="1"/>
    <col min="15615" max="15615" width="13.5703125" style="411" bestFit="1" customWidth="1"/>
    <col min="15616" max="15616" width="9" style="411" customWidth="1"/>
    <col min="15617" max="15617" width="13.5703125" style="411" bestFit="1" customWidth="1"/>
    <col min="15618" max="15618" width="9" style="411" bestFit="1" customWidth="1"/>
    <col min="15619" max="15619" width="13.5703125" style="411" bestFit="1" customWidth="1"/>
    <col min="15620" max="15620" width="9" style="411" bestFit="1" customWidth="1"/>
    <col min="15621" max="15621" width="13.85546875" style="411" bestFit="1" customWidth="1"/>
    <col min="15622" max="15622" width="8.7109375" style="411" bestFit="1" customWidth="1"/>
    <col min="15623" max="15623" width="13.85546875" style="411" bestFit="1" customWidth="1"/>
    <col min="15624" max="15624" width="8.7109375" style="411" bestFit="1" customWidth="1"/>
    <col min="15625" max="15625" width="13.85546875" style="411" bestFit="1" customWidth="1"/>
    <col min="15626" max="15626" width="8.7109375" style="411" bestFit="1" customWidth="1"/>
    <col min="15627" max="15627" width="13.85546875" style="411" bestFit="1" customWidth="1"/>
    <col min="15628" max="15628" width="8.7109375" style="411" bestFit="1" customWidth="1"/>
    <col min="15629" max="15629" width="13.85546875" style="411" bestFit="1" customWidth="1"/>
    <col min="15630" max="15630" width="8.7109375" style="411" bestFit="1" customWidth="1"/>
    <col min="15631" max="15631" width="13.85546875" style="411" bestFit="1" customWidth="1"/>
    <col min="15632" max="15632" width="8.7109375" style="411" bestFit="1" customWidth="1"/>
    <col min="15633" max="15633" width="17.85546875" style="411" bestFit="1" customWidth="1"/>
    <col min="15634" max="15635" width="9.140625" style="411"/>
    <col min="15636" max="15636" width="10" style="411" bestFit="1" customWidth="1"/>
    <col min="15637" max="15862" width="9.140625" style="411"/>
    <col min="15863" max="15863" width="4" style="411" customWidth="1"/>
    <col min="15864" max="15864" width="34.5703125" style="411" customWidth="1"/>
    <col min="15865" max="15865" width="11.85546875" style="411" bestFit="1" customWidth="1"/>
    <col min="15866" max="15866" width="8.140625" style="411" customWidth="1"/>
    <col min="15867" max="15867" width="13.85546875" style="411" bestFit="1" customWidth="1"/>
    <col min="15868" max="15868" width="8.140625" style="411" customWidth="1"/>
    <col min="15869" max="15869" width="13.85546875" style="411" bestFit="1" customWidth="1"/>
    <col min="15870" max="15870" width="8.7109375" style="411" customWidth="1"/>
    <col min="15871" max="15871" width="13.5703125" style="411" bestFit="1" customWidth="1"/>
    <col min="15872" max="15872" width="9" style="411" customWidth="1"/>
    <col min="15873" max="15873" width="13.5703125" style="411" bestFit="1" customWidth="1"/>
    <col min="15874" max="15874" width="9" style="411" bestFit="1" customWidth="1"/>
    <col min="15875" max="15875" width="13.5703125" style="411" bestFit="1" customWidth="1"/>
    <col min="15876" max="15876" width="9" style="411" bestFit="1" customWidth="1"/>
    <col min="15877" max="15877" width="13.85546875" style="411" bestFit="1" customWidth="1"/>
    <col min="15878" max="15878" width="8.7109375" style="411" bestFit="1" customWidth="1"/>
    <col min="15879" max="15879" width="13.85546875" style="411" bestFit="1" customWidth="1"/>
    <col min="15880" max="15880" width="8.7109375" style="411" bestFit="1" customWidth="1"/>
    <col min="15881" max="15881" width="13.85546875" style="411" bestFit="1" customWidth="1"/>
    <col min="15882" max="15882" width="8.7109375" style="411" bestFit="1" customWidth="1"/>
    <col min="15883" max="15883" width="13.85546875" style="411" bestFit="1" customWidth="1"/>
    <col min="15884" max="15884" width="8.7109375" style="411" bestFit="1" customWidth="1"/>
    <col min="15885" max="15885" width="13.85546875" style="411" bestFit="1" customWidth="1"/>
    <col min="15886" max="15886" width="8.7109375" style="411" bestFit="1" customWidth="1"/>
    <col min="15887" max="15887" width="13.85546875" style="411" bestFit="1" customWidth="1"/>
    <col min="15888" max="15888" width="8.7109375" style="411" bestFit="1" customWidth="1"/>
    <col min="15889" max="15889" width="17.85546875" style="411" bestFit="1" customWidth="1"/>
    <col min="15890" max="15891" width="9.140625" style="411"/>
    <col min="15892" max="15892" width="10" style="411" bestFit="1" customWidth="1"/>
    <col min="15893" max="16118" width="9.140625" style="411"/>
    <col min="16119" max="16119" width="4" style="411" customWidth="1"/>
    <col min="16120" max="16120" width="34.5703125" style="411" customWidth="1"/>
    <col min="16121" max="16121" width="11.85546875" style="411" bestFit="1" customWidth="1"/>
    <col min="16122" max="16122" width="8.140625" style="411" customWidth="1"/>
    <col min="16123" max="16123" width="13.85546875" style="411" bestFit="1" customWidth="1"/>
    <col min="16124" max="16124" width="8.140625" style="411" customWidth="1"/>
    <col min="16125" max="16125" width="13.85546875" style="411" bestFit="1" customWidth="1"/>
    <col min="16126" max="16126" width="8.7109375" style="411" customWidth="1"/>
    <col min="16127" max="16127" width="13.5703125" style="411" bestFit="1" customWidth="1"/>
    <col min="16128" max="16128" width="9" style="411" customWidth="1"/>
    <col min="16129" max="16129" width="13.5703125" style="411" bestFit="1" customWidth="1"/>
    <col min="16130" max="16130" width="9" style="411" bestFit="1" customWidth="1"/>
    <col min="16131" max="16131" width="13.5703125" style="411" bestFit="1" customWidth="1"/>
    <col min="16132" max="16132" width="9" style="411" bestFit="1" customWidth="1"/>
    <col min="16133" max="16133" width="13.85546875" style="411" bestFit="1" customWidth="1"/>
    <col min="16134" max="16134" width="8.7109375" style="411" bestFit="1" customWidth="1"/>
    <col min="16135" max="16135" width="13.85546875" style="411" bestFit="1" customWidth="1"/>
    <col min="16136" max="16136" width="8.7109375" style="411" bestFit="1" customWidth="1"/>
    <col min="16137" max="16137" width="13.85546875" style="411" bestFit="1" customWidth="1"/>
    <col min="16138" max="16138" width="8.7109375" style="411" bestFit="1" customWidth="1"/>
    <col min="16139" max="16139" width="13.85546875" style="411" bestFit="1" customWidth="1"/>
    <col min="16140" max="16140" width="8.7109375" style="411" bestFit="1" customWidth="1"/>
    <col min="16141" max="16141" width="13.85546875" style="411" bestFit="1" customWidth="1"/>
    <col min="16142" max="16142" width="8.7109375" style="411" bestFit="1" customWidth="1"/>
    <col min="16143" max="16143" width="13.85546875" style="411" bestFit="1" customWidth="1"/>
    <col min="16144" max="16144" width="8.7109375" style="411" bestFit="1" customWidth="1"/>
    <col min="16145" max="16145" width="17.85546875" style="411" bestFit="1" customWidth="1"/>
    <col min="16146" max="16147" width="9.140625" style="411"/>
    <col min="16148" max="16148" width="10" style="411" bestFit="1" customWidth="1"/>
    <col min="16149" max="16384" width="9.140625" style="411"/>
  </cols>
  <sheetData>
    <row r="2" spans="2:245" s="412" customFormat="1" ht="6.75" thickBot="1">
      <c r="B2" s="413"/>
      <c r="C2" s="478"/>
      <c r="D2" s="478"/>
      <c r="E2" s="478"/>
      <c r="F2" s="479"/>
      <c r="G2" s="478"/>
      <c r="H2" s="480"/>
      <c r="I2" s="480"/>
      <c r="J2" s="480"/>
      <c r="K2" s="480"/>
      <c r="L2" s="480"/>
      <c r="M2" s="480"/>
      <c r="N2" s="480"/>
      <c r="O2" s="480"/>
      <c r="P2" s="480"/>
      <c r="Q2" s="480"/>
      <c r="R2" s="480"/>
    </row>
    <row r="3" spans="2:245" ht="30" customHeight="1">
      <c r="C3" s="644"/>
      <c r="D3" s="645"/>
      <c r="E3" s="1640" t="str">
        <f>'ORÇAMENTO '!H5</f>
        <v>ASSOCIAÇÃO MATO-GROSSENSE
 DOS MUNICÍPIOS</v>
      </c>
      <c r="F3" s="1641"/>
      <c r="G3" s="1641"/>
      <c r="H3" s="1641"/>
      <c r="I3" s="1641"/>
      <c r="J3" s="1641"/>
      <c r="K3" s="1641"/>
      <c r="L3" s="1641"/>
      <c r="M3" s="1641"/>
      <c r="N3" s="1641"/>
      <c r="O3" s="1641"/>
      <c r="P3" s="1641"/>
      <c r="Q3" s="1644"/>
      <c r="R3" s="1645"/>
      <c r="S3" s="224"/>
      <c r="T3" s="224"/>
      <c r="U3" s="224"/>
      <c r="V3" s="224"/>
      <c r="W3" s="224"/>
      <c r="X3" s="224"/>
      <c r="Y3" s="224"/>
      <c r="Z3" s="224"/>
      <c r="AA3" s="224"/>
      <c r="AB3" s="224"/>
      <c r="AC3" s="224"/>
      <c r="AD3" s="224"/>
      <c r="AE3" s="224"/>
      <c r="AF3" s="224"/>
      <c r="AG3" s="224"/>
      <c r="AH3" s="224"/>
      <c r="AI3" s="224"/>
      <c r="AJ3" s="224"/>
      <c r="AK3" s="224"/>
      <c r="AL3" s="224"/>
      <c r="AM3" s="224"/>
      <c r="AN3" s="224"/>
      <c r="AO3" s="224"/>
      <c r="AP3" s="224"/>
      <c r="AQ3" s="224"/>
      <c r="AR3" s="224"/>
      <c r="AS3" s="224"/>
      <c r="AT3" s="224"/>
      <c r="AU3" s="224"/>
      <c r="AV3" s="224"/>
      <c r="AW3" s="224"/>
      <c r="AX3" s="224"/>
      <c r="AY3" s="224"/>
      <c r="AZ3" s="224"/>
      <c r="BA3" s="224"/>
      <c r="BB3" s="224"/>
      <c r="BC3" s="224"/>
      <c r="BD3" s="224"/>
      <c r="BE3" s="224"/>
      <c r="BF3" s="224"/>
      <c r="BG3" s="224"/>
      <c r="BH3" s="224"/>
      <c r="BI3" s="224"/>
      <c r="BJ3" s="224"/>
      <c r="BK3" s="224"/>
      <c r="BL3" s="224"/>
      <c r="BM3" s="224"/>
      <c r="BN3" s="224"/>
      <c r="BO3" s="224"/>
      <c r="BP3" s="224"/>
      <c r="BQ3" s="224"/>
      <c r="BR3" s="224"/>
      <c r="BS3" s="224"/>
      <c r="BT3" s="224"/>
      <c r="BU3" s="224"/>
      <c r="BV3" s="224"/>
      <c r="BW3" s="224"/>
      <c r="BX3" s="224"/>
      <c r="BY3" s="224"/>
      <c r="BZ3" s="224"/>
      <c r="CA3" s="224"/>
      <c r="CB3" s="224"/>
      <c r="CC3" s="224"/>
      <c r="CD3" s="224"/>
      <c r="CE3" s="224"/>
      <c r="CF3" s="224"/>
      <c r="CG3" s="224"/>
      <c r="CH3" s="224"/>
      <c r="CI3" s="224"/>
      <c r="CJ3" s="224"/>
      <c r="CK3" s="224"/>
      <c r="CL3" s="224"/>
      <c r="CM3" s="224"/>
      <c r="CN3" s="224"/>
      <c r="CO3" s="224"/>
      <c r="CP3" s="224"/>
      <c r="CQ3" s="224"/>
      <c r="CR3" s="224"/>
      <c r="CS3" s="224"/>
      <c r="CT3" s="224"/>
      <c r="CU3" s="224"/>
      <c r="CV3" s="224"/>
      <c r="CW3" s="224"/>
      <c r="CX3" s="224"/>
      <c r="CY3" s="224"/>
      <c r="CZ3" s="224"/>
      <c r="DA3" s="224"/>
      <c r="DB3" s="224"/>
      <c r="DC3" s="224"/>
      <c r="DD3" s="224"/>
      <c r="DE3" s="224"/>
      <c r="DF3" s="224"/>
      <c r="DG3" s="224"/>
      <c r="DH3" s="224"/>
      <c r="DI3" s="224"/>
      <c r="DJ3" s="224"/>
      <c r="DK3" s="224"/>
      <c r="DL3" s="224"/>
      <c r="DM3" s="224"/>
      <c r="DN3" s="224"/>
      <c r="DO3" s="224"/>
      <c r="DP3" s="224"/>
      <c r="DQ3" s="224"/>
      <c r="DR3" s="224"/>
      <c r="DS3" s="224"/>
      <c r="DT3" s="224"/>
      <c r="DU3" s="224"/>
      <c r="DV3" s="224"/>
      <c r="DW3" s="224"/>
      <c r="DX3" s="224"/>
      <c r="DY3" s="224"/>
      <c r="DZ3" s="224"/>
      <c r="EA3" s="224"/>
      <c r="EB3" s="224"/>
      <c r="EC3" s="224"/>
      <c r="ED3" s="224"/>
      <c r="EE3" s="224"/>
      <c r="EF3" s="224"/>
      <c r="EG3" s="224"/>
      <c r="EH3" s="224"/>
      <c r="EI3" s="224"/>
      <c r="EJ3" s="224"/>
      <c r="EK3" s="224"/>
      <c r="EL3" s="224"/>
      <c r="EM3" s="224"/>
      <c r="EN3" s="224"/>
      <c r="EO3" s="224"/>
      <c r="EP3" s="224"/>
      <c r="EQ3" s="224"/>
      <c r="ER3" s="224"/>
      <c r="ES3" s="224"/>
      <c r="ET3" s="224"/>
      <c r="EU3" s="224"/>
      <c r="EV3" s="224"/>
      <c r="EW3" s="224"/>
      <c r="EX3" s="224"/>
      <c r="EY3" s="224"/>
      <c r="EZ3" s="224"/>
      <c r="FA3" s="224"/>
      <c r="FB3" s="224"/>
      <c r="FC3" s="224"/>
      <c r="FD3" s="224"/>
      <c r="FE3" s="224"/>
      <c r="FF3" s="224"/>
      <c r="FG3" s="224"/>
      <c r="FH3" s="224"/>
      <c r="FI3" s="224"/>
      <c r="FJ3" s="224"/>
      <c r="FK3" s="224"/>
      <c r="FL3" s="224"/>
      <c r="FM3" s="224"/>
      <c r="FN3" s="224"/>
      <c r="FO3" s="224"/>
      <c r="FP3" s="224"/>
      <c r="FQ3" s="224"/>
      <c r="FR3" s="224"/>
      <c r="FS3" s="224"/>
      <c r="FT3" s="224"/>
      <c r="FU3" s="224"/>
      <c r="FV3" s="224"/>
      <c r="FW3" s="224"/>
      <c r="FX3" s="224"/>
      <c r="FY3" s="224"/>
      <c r="FZ3" s="224"/>
      <c r="GA3" s="224"/>
      <c r="GB3" s="224"/>
      <c r="GC3" s="224"/>
      <c r="GD3" s="224"/>
      <c r="GE3" s="224"/>
      <c r="GF3" s="224"/>
      <c r="GG3" s="224"/>
      <c r="GH3" s="224"/>
      <c r="GI3" s="224"/>
      <c r="GJ3" s="224"/>
      <c r="GK3" s="224"/>
      <c r="GL3" s="224"/>
      <c r="GM3" s="224"/>
      <c r="GN3" s="224"/>
      <c r="GO3" s="224"/>
      <c r="GP3" s="224"/>
      <c r="GQ3" s="224"/>
      <c r="GR3" s="224"/>
      <c r="GS3" s="224"/>
      <c r="GT3" s="224"/>
      <c r="GU3" s="224"/>
      <c r="GV3" s="224"/>
      <c r="GW3" s="224"/>
      <c r="GX3" s="224"/>
      <c r="GY3" s="224"/>
      <c r="GZ3" s="224"/>
      <c r="HA3" s="224"/>
      <c r="HB3" s="224"/>
      <c r="HC3" s="224"/>
      <c r="HD3" s="224"/>
      <c r="HE3" s="224"/>
      <c r="HF3" s="224"/>
      <c r="HG3" s="224"/>
      <c r="HH3" s="224"/>
      <c r="HI3" s="224"/>
      <c r="HJ3" s="224"/>
      <c r="HK3" s="224"/>
      <c r="HL3" s="224"/>
      <c r="HM3" s="224"/>
      <c r="HN3" s="224"/>
      <c r="HO3" s="224"/>
      <c r="HP3" s="224"/>
      <c r="HQ3" s="224"/>
      <c r="HR3" s="224"/>
      <c r="HS3" s="224"/>
      <c r="HT3" s="224"/>
      <c r="HU3" s="224"/>
      <c r="HV3" s="224"/>
      <c r="HW3" s="224"/>
      <c r="HX3" s="224"/>
      <c r="HY3" s="224"/>
      <c r="HZ3" s="224"/>
      <c r="IA3" s="224"/>
      <c r="IB3" s="224"/>
      <c r="IC3" s="224"/>
      <c r="ID3" s="224"/>
      <c r="IE3" s="224"/>
      <c r="IF3" s="224"/>
      <c r="IG3" s="224"/>
      <c r="IH3" s="224"/>
      <c r="II3" s="224"/>
      <c r="IJ3" s="224"/>
      <c r="IK3" s="224"/>
    </row>
    <row r="4" spans="2:245" ht="30" customHeight="1">
      <c r="C4" s="646"/>
      <c r="D4" s="647"/>
      <c r="E4" s="1642"/>
      <c r="F4" s="1643"/>
      <c r="G4" s="1643"/>
      <c r="H4" s="1643"/>
      <c r="I4" s="1643"/>
      <c r="J4" s="1643"/>
      <c r="K4" s="1643"/>
      <c r="L4" s="1643"/>
      <c r="M4" s="1643"/>
      <c r="N4" s="1643"/>
      <c r="O4" s="1643"/>
      <c r="P4" s="1643"/>
      <c r="Q4" s="1646"/>
      <c r="R4" s="1647"/>
      <c r="S4" s="224"/>
      <c r="T4" s="224"/>
      <c r="U4" s="224"/>
      <c r="V4" s="224"/>
      <c r="W4" s="224"/>
      <c r="X4" s="224"/>
      <c r="Y4" s="224"/>
      <c r="Z4" s="224"/>
      <c r="AA4" s="224"/>
      <c r="AB4" s="224"/>
      <c r="AC4" s="224"/>
      <c r="AD4" s="224"/>
      <c r="AE4" s="224"/>
      <c r="AF4" s="224"/>
      <c r="AG4" s="224"/>
      <c r="AH4" s="224"/>
      <c r="AI4" s="224"/>
      <c r="AJ4" s="224"/>
      <c r="AK4" s="224"/>
      <c r="AL4" s="224"/>
      <c r="AM4" s="224"/>
      <c r="AN4" s="224"/>
      <c r="AO4" s="224"/>
      <c r="AP4" s="224"/>
      <c r="AQ4" s="224"/>
      <c r="AR4" s="224"/>
      <c r="AS4" s="224"/>
      <c r="AT4" s="224"/>
      <c r="AU4" s="224"/>
      <c r="AV4" s="224"/>
      <c r="AW4" s="224"/>
      <c r="AX4" s="224"/>
      <c r="AY4" s="224"/>
      <c r="AZ4" s="224"/>
      <c r="BA4" s="224"/>
      <c r="BB4" s="224"/>
      <c r="BC4" s="224"/>
      <c r="BD4" s="224"/>
      <c r="BE4" s="224"/>
      <c r="BF4" s="224"/>
      <c r="BG4" s="224"/>
      <c r="BH4" s="224"/>
      <c r="BI4" s="224"/>
      <c r="BJ4" s="224"/>
      <c r="BK4" s="224"/>
      <c r="BL4" s="224"/>
      <c r="BM4" s="224"/>
      <c r="BN4" s="224"/>
      <c r="BO4" s="224"/>
      <c r="BP4" s="224"/>
      <c r="BQ4" s="224"/>
      <c r="BR4" s="224"/>
      <c r="BS4" s="224"/>
      <c r="BT4" s="224"/>
      <c r="BU4" s="224"/>
      <c r="BV4" s="224"/>
      <c r="BW4" s="224"/>
      <c r="BX4" s="224"/>
      <c r="BY4" s="224"/>
      <c r="BZ4" s="224"/>
      <c r="CA4" s="224"/>
      <c r="CB4" s="224"/>
      <c r="CC4" s="224"/>
      <c r="CD4" s="224"/>
      <c r="CE4" s="224"/>
      <c r="CF4" s="224"/>
      <c r="CG4" s="224"/>
      <c r="CH4" s="224"/>
      <c r="CI4" s="224"/>
      <c r="CJ4" s="224"/>
      <c r="CK4" s="224"/>
      <c r="CL4" s="224"/>
      <c r="CM4" s="224"/>
      <c r="CN4" s="224"/>
      <c r="CO4" s="224"/>
      <c r="CP4" s="224"/>
      <c r="CQ4" s="224"/>
      <c r="CR4" s="224"/>
      <c r="CS4" s="224"/>
      <c r="CT4" s="224"/>
      <c r="CU4" s="224"/>
      <c r="CV4" s="224"/>
      <c r="CW4" s="224"/>
      <c r="CX4" s="224"/>
      <c r="CY4" s="224"/>
      <c r="CZ4" s="224"/>
      <c r="DA4" s="224"/>
      <c r="DB4" s="224"/>
      <c r="DC4" s="224"/>
      <c r="DD4" s="224"/>
      <c r="DE4" s="224"/>
      <c r="DF4" s="224"/>
      <c r="DG4" s="224"/>
      <c r="DH4" s="224"/>
      <c r="DI4" s="224"/>
      <c r="DJ4" s="224"/>
      <c r="DK4" s="224"/>
      <c r="DL4" s="224"/>
      <c r="DM4" s="224"/>
      <c r="DN4" s="224"/>
      <c r="DO4" s="224"/>
      <c r="DP4" s="224"/>
      <c r="DQ4" s="224"/>
      <c r="DR4" s="224"/>
      <c r="DS4" s="224"/>
      <c r="DT4" s="224"/>
      <c r="DU4" s="224"/>
      <c r="DV4" s="224"/>
      <c r="DW4" s="224"/>
      <c r="DX4" s="224"/>
      <c r="DY4" s="224"/>
      <c r="DZ4" s="224"/>
      <c r="EA4" s="224"/>
      <c r="EB4" s="224"/>
      <c r="EC4" s="224"/>
      <c r="ED4" s="224"/>
      <c r="EE4" s="224"/>
      <c r="EF4" s="224"/>
      <c r="EG4" s="224"/>
      <c r="EH4" s="224"/>
      <c r="EI4" s="224"/>
      <c r="EJ4" s="224"/>
      <c r="EK4" s="224"/>
      <c r="EL4" s="224"/>
      <c r="EM4" s="224"/>
      <c r="EN4" s="224"/>
      <c r="EO4" s="224"/>
      <c r="EP4" s="224"/>
      <c r="EQ4" s="224"/>
      <c r="ER4" s="224"/>
      <c r="ES4" s="224"/>
      <c r="ET4" s="224"/>
      <c r="EU4" s="224"/>
      <c r="EV4" s="224"/>
      <c r="EW4" s="224"/>
      <c r="EX4" s="224"/>
      <c r="EY4" s="224"/>
      <c r="EZ4" s="224"/>
      <c r="FA4" s="224"/>
      <c r="FB4" s="224"/>
      <c r="FC4" s="224"/>
      <c r="FD4" s="224"/>
      <c r="FE4" s="224"/>
      <c r="FF4" s="224"/>
      <c r="FG4" s="224"/>
      <c r="FH4" s="224"/>
      <c r="FI4" s="224"/>
      <c r="FJ4" s="224"/>
      <c r="FK4" s="224"/>
      <c r="FL4" s="224"/>
      <c r="FM4" s="224"/>
      <c r="FN4" s="224"/>
      <c r="FO4" s="224"/>
      <c r="FP4" s="224"/>
      <c r="FQ4" s="224"/>
      <c r="FR4" s="224"/>
      <c r="FS4" s="224"/>
      <c r="FT4" s="224"/>
      <c r="FU4" s="224"/>
      <c r="FV4" s="224"/>
      <c r="FW4" s="224"/>
      <c r="FX4" s="224"/>
      <c r="FY4" s="224"/>
      <c r="FZ4" s="224"/>
      <c r="GA4" s="224"/>
      <c r="GB4" s="224"/>
      <c r="GC4" s="224"/>
      <c r="GD4" s="224"/>
      <c r="GE4" s="224"/>
      <c r="GF4" s="224"/>
      <c r="GG4" s="224"/>
      <c r="GH4" s="224"/>
      <c r="GI4" s="224"/>
      <c r="GJ4" s="224"/>
      <c r="GK4" s="224"/>
      <c r="GL4" s="224"/>
      <c r="GM4" s="224"/>
      <c r="GN4" s="224"/>
      <c r="GO4" s="224"/>
      <c r="GP4" s="224"/>
      <c r="GQ4" s="224"/>
      <c r="GR4" s="224"/>
      <c r="GS4" s="224"/>
      <c r="GT4" s="224"/>
      <c r="GU4" s="224"/>
      <c r="GV4" s="224"/>
      <c r="GW4" s="224"/>
      <c r="GX4" s="224"/>
      <c r="GY4" s="224"/>
      <c r="GZ4" s="224"/>
      <c r="HA4" s="224"/>
      <c r="HB4" s="224"/>
      <c r="HC4" s="224"/>
      <c r="HD4" s="224"/>
      <c r="HE4" s="224"/>
      <c r="HF4" s="224"/>
      <c r="HG4" s="224"/>
      <c r="HH4" s="224"/>
      <c r="HI4" s="224"/>
      <c r="HJ4" s="224"/>
      <c r="HK4" s="224"/>
      <c r="HL4" s="224"/>
      <c r="HM4" s="224"/>
      <c r="HN4" s="224"/>
      <c r="HO4" s="224"/>
      <c r="HP4" s="224"/>
      <c r="HQ4" s="224"/>
      <c r="HR4" s="224"/>
      <c r="HS4" s="224"/>
      <c r="HT4" s="224"/>
      <c r="HU4" s="224"/>
      <c r="HV4" s="224"/>
      <c r="HW4" s="224"/>
      <c r="HX4" s="224"/>
      <c r="HY4" s="224"/>
      <c r="HZ4" s="224"/>
      <c r="IA4" s="224"/>
      <c r="IB4" s="224"/>
      <c r="IC4" s="224"/>
      <c r="ID4" s="224"/>
      <c r="IE4" s="224"/>
      <c r="IF4" s="224"/>
      <c r="IG4" s="224"/>
      <c r="IH4" s="224"/>
      <c r="II4" s="224"/>
      <c r="IJ4" s="224"/>
      <c r="IK4" s="224"/>
    </row>
    <row r="5" spans="2:245" ht="30" customHeight="1">
      <c r="C5" s="646"/>
      <c r="D5" s="647"/>
      <c r="E5" s="1642"/>
      <c r="F5" s="1643"/>
      <c r="G5" s="1643"/>
      <c r="H5" s="1643"/>
      <c r="I5" s="1643"/>
      <c r="J5" s="1643"/>
      <c r="K5" s="1643"/>
      <c r="L5" s="1643"/>
      <c r="M5" s="1643"/>
      <c r="N5" s="1643"/>
      <c r="O5" s="1643"/>
      <c r="P5" s="1643"/>
      <c r="Q5" s="1646"/>
      <c r="R5" s="1647"/>
      <c r="S5" s="224"/>
      <c r="T5" s="224"/>
      <c r="U5" s="224"/>
      <c r="V5" s="224"/>
      <c r="W5" s="224"/>
      <c r="X5" s="224"/>
      <c r="Y5" s="224"/>
      <c r="Z5" s="224"/>
      <c r="AA5" s="224"/>
      <c r="AB5" s="224"/>
      <c r="AC5" s="224"/>
      <c r="AD5" s="224"/>
      <c r="AE5" s="224"/>
      <c r="AF5" s="224"/>
      <c r="AG5" s="224"/>
      <c r="AH5" s="224"/>
      <c r="AI5" s="224"/>
      <c r="AJ5" s="224"/>
      <c r="AK5" s="224"/>
      <c r="AL5" s="224"/>
      <c r="AM5" s="224"/>
      <c r="AN5" s="224"/>
      <c r="AO5" s="224"/>
      <c r="AP5" s="224"/>
      <c r="AQ5" s="224"/>
      <c r="AR5" s="224"/>
      <c r="AS5" s="224"/>
      <c r="AT5" s="224"/>
      <c r="AU5" s="224"/>
      <c r="AV5" s="224"/>
      <c r="AW5" s="224"/>
      <c r="AX5" s="224"/>
      <c r="AY5" s="224"/>
      <c r="AZ5" s="224"/>
      <c r="BA5" s="224"/>
      <c r="BB5" s="224"/>
      <c r="BC5" s="224"/>
      <c r="BD5" s="224"/>
      <c r="BE5" s="224"/>
      <c r="BF5" s="224"/>
      <c r="BG5" s="224"/>
      <c r="BH5" s="224"/>
      <c r="BI5" s="224"/>
      <c r="BJ5" s="224"/>
      <c r="BK5" s="224"/>
      <c r="BL5" s="224"/>
      <c r="BM5" s="224"/>
      <c r="BN5" s="224"/>
      <c r="BO5" s="224"/>
      <c r="BP5" s="224"/>
      <c r="BQ5" s="224"/>
      <c r="BR5" s="224"/>
      <c r="BS5" s="224"/>
      <c r="BT5" s="224"/>
      <c r="BU5" s="224"/>
      <c r="BV5" s="224"/>
      <c r="BW5" s="224"/>
      <c r="BX5" s="224"/>
      <c r="BY5" s="224"/>
      <c r="BZ5" s="224"/>
      <c r="CA5" s="224"/>
      <c r="CB5" s="224"/>
      <c r="CC5" s="224"/>
      <c r="CD5" s="224"/>
      <c r="CE5" s="224"/>
      <c r="CF5" s="224"/>
      <c r="CG5" s="224"/>
      <c r="CH5" s="224"/>
      <c r="CI5" s="224"/>
      <c r="CJ5" s="224"/>
      <c r="CK5" s="224"/>
      <c r="CL5" s="224"/>
      <c r="CM5" s="224"/>
      <c r="CN5" s="224"/>
      <c r="CO5" s="224"/>
      <c r="CP5" s="224"/>
      <c r="CQ5" s="224"/>
      <c r="CR5" s="224"/>
      <c r="CS5" s="224"/>
      <c r="CT5" s="224"/>
      <c r="CU5" s="224"/>
      <c r="CV5" s="224"/>
      <c r="CW5" s="224"/>
      <c r="CX5" s="224"/>
      <c r="CY5" s="224"/>
      <c r="CZ5" s="224"/>
      <c r="DA5" s="224"/>
      <c r="DB5" s="224"/>
      <c r="DC5" s="224"/>
      <c r="DD5" s="224"/>
      <c r="DE5" s="224"/>
      <c r="DF5" s="224"/>
      <c r="DG5" s="224"/>
      <c r="DH5" s="224"/>
      <c r="DI5" s="224"/>
      <c r="DJ5" s="224"/>
      <c r="DK5" s="224"/>
      <c r="DL5" s="224"/>
      <c r="DM5" s="224"/>
      <c r="DN5" s="224"/>
      <c r="DO5" s="224"/>
      <c r="DP5" s="224"/>
      <c r="DQ5" s="224"/>
      <c r="DR5" s="224"/>
      <c r="DS5" s="224"/>
      <c r="DT5" s="224"/>
      <c r="DU5" s="224"/>
      <c r="DV5" s="224"/>
      <c r="DW5" s="224"/>
      <c r="DX5" s="224"/>
      <c r="DY5" s="224"/>
      <c r="DZ5" s="224"/>
      <c r="EA5" s="224"/>
      <c r="EB5" s="224"/>
      <c r="EC5" s="224"/>
      <c r="ED5" s="224"/>
      <c r="EE5" s="224"/>
      <c r="EF5" s="224"/>
      <c r="EG5" s="224"/>
      <c r="EH5" s="224"/>
      <c r="EI5" s="224"/>
      <c r="EJ5" s="224"/>
      <c r="EK5" s="224"/>
      <c r="EL5" s="224"/>
      <c r="EM5" s="224"/>
      <c r="EN5" s="224"/>
      <c r="EO5" s="224"/>
      <c r="EP5" s="224"/>
      <c r="EQ5" s="224"/>
      <c r="ER5" s="224"/>
      <c r="ES5" s="224"/>
      <c r="ET5" s="224"/>
      <c r="EU5" s="224"/>
      <c r="EV5" s="224"/>
      <c r="EW5" s="224"/>
      <c r="EX5" s="224"/>
      <c r="EY5" s="224"/>
      <c r="EZ5" s="224"/>
      <c r="FA5" s="224"/>
      <c r="FB5" s="224"/>
      <c r="FC5" s="224"/>
      <c r="FD5" s="224"/>
      <c r="FE5" s="224"/>
      <c r="FF5" s="224"/>
      <c r="FG5" s="224"/>
      <c r="FH5" s="224"/>
      <c r="FI5" s="224"/>
      <c r="FJ5" s="224"/>
      <c r="FK5" s="224"/>
      <c r="FL5" s="224"/>
      <c r="FM5" s="224"/>
      <c r="FN5" s="224"/>
      <c r="FO5" s="224"/>
      <c r="FP5" s="224"/>
      <c r="FQ5" s="224"/>
      <c r="FR5" s="224"/>
      <c r="FS5" s="224"/>
      <c r="FT5" s="224"/>
      <c r="FU5" s="224"/>
      <c r="FV5" s="224"/>
      <c r="FW5" s="224"/>
      <c r="FX5" s="224"/>
      <c r="FY5" s="224"/>
      <c r="FZ5" s="224"/>
      <c r="GA5" s="224"/>
      <c r="GB5" s="224"/>
      <c r="GC5" s="224"/>
      <c r="GD5" s="224"/>
      <c r="GE5" s="224"/>
      <c r="GF5" s="224"/>
      <c r="GG5" s="224"/>
      <c r="GH5" s="224"/>
      <c r="GI5" s="224"/>
      <c r="GJ5" s="224"/>
      <c r="GK5" s="224"/>
      <c r="GL5" s="224"/>
      <c r="GM5" s="224"/>
      <c r="GN5" s="224"/>
      <c r="GO5" s="224"/>
      <c r="GP5" s="224"/>
      <c r="GQ5" s="224"/>
      <c r="GR5" s="224"/>
      <c r="GS5" s="224"/>
      <c r="GT5" s="224"/>
      <c r="GU5" s="224"/>
      <c r="GV5" s="224"/>
      <c r="GW5" s="224"/>
      <c r="GX5" s="224"/>
      <c r="GY5" s="224"/>
      <c r="GZ5" s="224"/>
      <c r="HA5" s="224"/>
      <c r="HB5" s="224"/>
      <c r="HC5" s="224"/>
      <c r="HD5" s="224"/>
      <c r="HE5" s="224"/>
      <c r="HF5" s="224"/>
      <c r="HG5" s="224"/>
      <c r="HH5" s="224"/>
      <c r="HI5" s="224"/>
      <c r="HJ5" s="224"/>
      <c r="HK5" s="224"/>
      <c r="HL5" s="224"/>
      <c r="HM5" s="224"/>
      <c r="HN5" s="224"/>
      <c r="HO5" s="224"/>
      <c r="HP5" s="224"/>
      <c r="HQ5" s="224"/>
      <c r="HR5" s="224"/>
      <c r="HS5" s="224"/>
      <c r="HT5" s="224"/>
      <c r="HU5" s="224"/>
      <c r="HV5" s="224"/>
      <c r="HW5" s="224"/>
      <c r="HX5" s="224"/>
      <c r="HY5" s="224"/>
      <c r="HZ5" s="224"/>
      <c r="IA5" s="224"/>
      <c r="IB5" s="224"/>
      <c r="IC5" s="224"/>
      <c r="ID5" s="224"/>
      <c r="IE5" s="224"/>
      <c r="IF5" s="224"/>
      <c r="IG5" s="224"/>
      <c r="IH5" s="224"/>
      <c r="II5" s="224"/>
      <c r="IJ5" s="224"/>
      <c r="IK5" s="224"/>
    </row>
    <row r="6" spans="2:245" ht="35.1" customHeight="1">
      <c r="C6" s="646"/>
      <c r="D6" s="647"/>
      <c r="E6" s="1650" t="str">
        <f>'ORÇAMENTO '!H7</f>
        <v>SITE: www.amm.org.br   -   e-mail: centraldeprojetosamm@gmail.com
 AV. RUBENS DE MENDONÇA Nº 3.920 - CEP: 78,049-938 - CUIABÁ - MT  
FONE: (65) 2123-1200  -  FAX: 2123-1251</v>
      </c>
      <c r="F6" s="1651"/>
      <c r="G6" s="1651"/>
      <c r="H6" s="1651"/>
      <c r="I6" s="1651"/>
      <c r="J6" s="1651"/>
      <c r="K6" s="1651"/>
      <c r="L6" s="1651"/>
      <c r="M6" s="1651"/>
      <c r="N6" s="1651"/>
      <c r="O6" s="1651"/>
      <c r="P6" s="1651"/>
      <c r="Q6" s="1646"/>
      <c r="R6" s="1647"/>
      <c r="S6" s="224"/>
      <c r="T6" s="224"/>
      <c r="U6" s="224"/>
      <c r="V6" s="224"/>
      <c r="W6" s="224"/>
      <c r="X6" s="224"/>
      <c r="Y6" s="224"/>
      <c r="Z6" s="224"/>
      <c r="AA6" s="224"/>
      <c r="AB6" s="224"/>
      <c r="AC6" s="224"/>
      <c r="AD6" s="224"/>
      <c r="AE6" s="224"/>
      <c r="AF6" s="224"/>
      <c r="AG6" s="224"/>
      <c r="AH6" s="224"/>
      <c r="AI6" s="224"/>
      <c r="AJ6" s="224"/>
      <c r="AK6" s="224"/>
      <c r="AL6" s="224"/>
      <c r="AM6" s="224"/>
      <c r="AN6" s="224"/>
      <c r="AO6" s="224"/>
      <c r="AP6" s="224"/>
      <c r="AQ6" s="224"/>
      <c r="AR6" s="224"/>
      <c r="AS6" s="224"/>
      <c r="AT6" s="224"/>
      <c r="AU6" s="224"/>
      <c r="AV6" s="224"/>
      <c r="AW6" s="224"/>
      <c r="AX6" s="224"/>
      <c r="AY6" s="224"/>
      <c r="AZ6" s="224"/>
      <c r="BA6" s="224"/>
      <c r="BB6" s="224"/>
      <c r="BC6" s="224"/>
      <c r="BD6" s="224"/>
      <c r="BE6" s="224"/>
      <c r="BF6" s="224"/>
      <c r="BG6" s="224"/>
      <c r="BH6" s="224"/>
      <c r="BI6" s="224"/>
      <c r="BJ6" s="224"/>
      <c r="BK6" s="224"/>
      <c r="BL6" s="224"/>
      <c r="BM6" s="224"/>
      <c r="BN6" s="224"/>
      <c r="BO6" s="224"/>
      <c r="BP6" s="224"/>
      <c r="BQ6" s="224"/>
      <c r="BR6" s="224"/>
      <c r="BS6" s="224"/>
      <c r="BT6" s="224"/>
      <c r="BU6" s="224"/>
      <c r="BV6" s="224"/>
      <c r="BW6" s="224"/>
      <c r="BX6" s="224"/>
      <c r="BY6" s="224"/>
      <c r="BZ6" s="224"/>
      <c r="CA6" s="224"/>
      <c r="CB6" s="224"/>
      <c r="CC6" s="224"/>
      <c r="CD6" s="224"/>
      <c r="CE6" s="224"/>
      <c r="CF6" s="224"/>
      <c r="CG6" s="224"/>
      <c r="CH6" s="224"/>
      <c r="CI6" s="224"/>
      <c r="CJ6" s="224"/>
      <c r="CK6" s="224"/>
      <c r="CL6" s="224"/>
      <c r="CM6" s="224"/>
      <c r="CN6" s="224"/>
      <c r="CO6" s="224"/>
      <c r="CP6" s="224"/>
      <c r="CQ6" s="224"/>
      <c r="CR6" s="224"/>
      <c r="CS6" s="224"/>
      <c r="CT6" s="224"/>
      <c r="CU6" s="224"/>
      <c r="CV6" s="224"/>
      <c r="CW6" s="224"/>
      <c r="CX6" s="224"/>
      <c r="CY6" s="224"/>
      <c r="CZ6" s="224"/>
      <c r="DA6" s="224"/>
      <c r="DB6" s="224"/>
      <c r="DC6" s="224"/>
      <c r="DD6" s="224"/>
      <c r="DE6" s="224"/>
      <c r="DF6" s="224"/>
      <c r="DG6" s="224"/>
      <c r="DH6" s="224"/>
      <c r="DI6" s="224"/>
      <c r="DJ6" s="224"/>
      <c r="DK6" s="224"/>
      <c r="DL6" s="224"/>
      <c r="DM6" s="224"/>
      <c r="DN6" s="224"/>
      <c r="DO6" s="224"/>
      <c r="DP6" s="224"/>
      <c r="DQ6" s="224"/>
      <c r="DR6" s="224"/>
      <c r="DS6" s="224"/>
      <c r="DT6" s="224"/>
      <c r="DU6" s="224"/>
      <c r="DV6" s="224"/>
      <c r="DW6" s="224"/>
      <c r="DX6" s="224"/>
      <c r="DY6" s="224"/>
      <c r="DZ6" s="224"/>
      <c r="EA6" s="224"/>
      <c r="EB6" s="224"/>
      <c r="EC6" s="224"/>
      <c r="ED6" s="224"/>
      <c r="EE6" s="224"/>
      <c r="EF6" s="224"/>
      <c r="EG6" s="224"/>
      <c r="EH6" s="224"/>
      <c r="EI6" s="224"/>
      <c r="EJ6" s="224"/>
      <c r="EK6" s="224"/>
      <c r="EL6" s="224"/>
      <c r="EM6" s="224"/>
      <c r="EN6" s="224"/>
      <c r="EO6" s="224"/>
      <c r="EP6" s="224"/>
      <c r="EQ6" s="224"/>
      <c r="ER6" s="224"/>
      <c r="ES6" s="224"/>
      <c r="ET6" s="224"/>
      <c r="EU6" s="224"/>
      <c r="EV6" s="224"/>
      <c r="EW6" s="224"/>
      <c r="EX6" s="224"/>
      <c r="EY6" s="224"/>
      <c r="EZ6" s="224"/>
      <c r="FA6" s="224"/>
      <c r="FB6" s="224"/>
      <c r="FC6" s="224"/>
      <c r="FD6" s="224"/>
      <c r="FE6" s="224"/>
      <c r="FF6" s="224"/>
      <c r="FG6" s="224"/>
      <c r="FH6" s="224"/>
      <c r="FI6" s="224"/>
      <c r="FJ6" s="224"/>
      <c r="FK6" s="224"/>
      <c r="FL6" s="224"/>
      <c r="FM6" s="224"/>
      <c r="FN6" s="224"/>
      <c r="FO6" s="224"/>
      <c r="FP6" s="224"/>
      <c r="FQ6" s="224"/>
      <c r="FR6" s="224"/>
      <c r="FS6" s="224"/>
      <c r="FT6" s="224"/>
      <c r="FU6" s="224"/>
      <c r="FV6" s="224"/>
      <c r="FW6" s="224"/>
      <c r="FX6" s="224"/>
      <c r="FY6" s="224"/>
      <c r="FZ6" s="224"/>
      <c r="GA6" s="224"/>
      <c r="GB6" s="224"/>
      <c r="GC6" s="224"/>
      <c r="GD6" s="224"/>
      <c r="GE6" s="224"/>
      <c r="GF6" s="224"/>
      <c r="GG6" s="224"/>
      <c r="GH6" s="224"/>
      <c r="GI6" s="224"/>
      <c r="GJ6" s="224"/>
      <c r="GK6" s="224"/>
      <c r="GL6" s="224"/>
      <c r="GM6" s="224"/>
      <c r="GN6" s="224"/>
      <c r="GO6" s="224"/>
      <c r="GP6" s="224"/>
      <c r="GQ6" s="224"/>
      <c r="GR6" s="224"/>
      <c r="GS6" s="224"/>
      <c r="GT6" s="224"/>
      <c r="GU6" s="224"/>
      <c r="GV6" s="224"/>
      <c r="GW6" s="224"/>
      <c r="GX6" s="224"/>
      <c r="GY6" s="224"/>
      <c r="GZ6" s="224"/>
      <c r="HA6" s="224"/>
      <c r="HB6" s="224"/>
      <c r="HC6" s="224"/>
      <c r="HD6" s="224"/>
      <c r="HE6" s="224"/>
      <c r="HF6" s="224"/>
      <c r="HG6" s="224"/>
      <c r="HH6" s="224"/>
      <c r="HI6" s="224"/>
      <c r="HJ6" s="224"/>
      <c r="HK6" s="224"/>
      <c r="HL6" s="224"/>
      <c r="HM6" s="224"/>
      <c r="HN6" s="224"/>
      <c r="HO6" s="224"/>
      <c r="HP6" s="224"/>
      <c r="HQ6" s="224"/>
      <c r="HR6" s="224"/>
      <c r="HS6" s="224"/>
      <c r="HT6" s="224"/>
      <c r="HU6" s="224"/>
      <c r="HV6" s="224"/>
      <c r="HW6" s="224"/>
      <c r="HX6" s="224"/>
      <c r="HY6" s="224"/>
      <c r="HZ6" s="224"/>
      <c r="IA6" s="224"/>
      <c r="IB6" s="224"/>
      <c r="IC6" s="224"/>
      <c r="ID6" s="224"/>
      <c r="IE6" s="224"/>
      <c r="IF6" s="224"/>
      <c r="IG6" s="224"/>
      <c r="IH6" s="224"/>
      <c r="II6" s="224"/>
      <c r="IJ6" s="224"/>
      <c r="IK6" s="224"/>
    </row>
    <row r="7" spans="2:245" ht="35.1" customHeight="1" thickBot="1">
      <c r="C7" s="660"/>
      <c r="D7" s="661"/>
      <c r="E7" s="1652"/>
      <c r="F7" s="1653"/>
      <c r="G7" s="1653"/>
      <c r="H7" s="1653"/>
      <c r="I7" s="1653"/>
      <c r="J7" s="1653"/>
      <c r="K7" s="1653"/>
      <c r="L7" s="1653"/>
      <c r="M7" s="1653"/>
      <c r="N7" s="1653"/>
      <c r="O7" s="1653"/>
      <c r="P7" s="1653"/>
      <c r="Q7" s="1648"/>
      <c r="R7" s="1649"/>
      <c r="S7" s="224"/>
      <c r="T7" s="224"/>
      <c r="U7" s="224"/>
      <c r="V7" s="224"/>
      <c r="W7" s="224"/>
      <c r="X7" s="224"/>
      <c r="Y7" s="224"/>
      <c r="Z7" s="224"/>
      <c r="AA7" s="224"/>
      <c r="AB7" s="224"/>
      <c r="AC7" s="224"/>
      <c r="AD7" s="224"/>
      <c r="AE7" s="224"/>
      <c r="AF7" s="224"/>
      <c r="AG7" s="224"/>
      <c r="AH7" s="224"/>
      <c r="AI7" s="224"/>
      <c r="AJ7" s="224"/>
      <c r="AK7" s="224"/>
      <c r="AL7" s="224"/>
      <c r="AM7" s="224"/>
      <c r="AN7" s="224"/>
      <c r="AO7" s="224"/>
      <c r="AP7" s="224"/>
      <c r="AQ7" s="224"/>
      <c r="AR7" s="224"/>
      <c r="AS7" s="224"/>
      <c r="AT7" s="224"/>
      <c r="AU7" s="224"/>
      <c r="AV7" s="224"/>
      <c r="AW7" s="224"/>
      <c r="AX7" s="224"/>
      <c r="AY7" s="224"/>
      <c r="AZ7" s="224"/>
      <c r="BA7" s="224"/>
      <c r="BB7" s="224"/>
      <c r="BC7" s="224"/>
      <c r="BD7" s="224"/>
      <c r="BE7" s="224"/>
      <c r="BF7" s="224"/>
      <c r="BG7" s="224"/>
      <c r="BH7" s="224"/>
      <c r="BI7" s="224"/>
      <c r="BJ7" s="224"/>
      <c r="BK7" s="224"/>
      <c r="BL7" s="224"/>
      <c r="BM7" s="224"/>
      <c r="BN7" s="224"/>
      <c r="BO7" s="224"/>
      <c r="BP7" s="224"/>
      <c r="BQ7" s="224"/>
      <c r="BR7" s="224"/>
      <c r="BS7" s="224"/>
      <c r="BT7" s="224"/>
      <c r="BU7" s="224"/>
      <c r="BV7" s="224"/>
      <c r="BW7" s="224"/>
      <c r="BX7" s="224"/>
      <c r="BY7" s="224"/>
      <c r="BZ7" s="224"/>
      <c r="CA7" s="224"/>
      <c r="CB7" s="224"/>
      <c r="CC7" s="224"/>
      <c r="CD7" s="224"/>
      <c r="CE7" s="224"/>
      <c r="CF7" s="224"/>
      <c r="CG7" s="224"/>
      <c r="CH7" s="224"/>
      <c r="CI7" s="224"/>
      <c r="CJ7" s="224"/>
      <c r="CK7" s="224"/>
      <c r="CL7" s="224"/>
      <c r="CM7" s="224"/>
      <c r="CN7" s="224"/>
      <c r="CO7" s="224"/>
      <c r="CP7" s="224"/>
      <c r="CQ7" s="224"/>
      <c r="CR7" s="224"/>
      <c r="CS7" s="224"/>
      <c r="CT7" s="224"/>
      <c r="CU7" s="224"/>
      <c r="CV7" s="224"/>
      <c r="CW7" s="224"/>
      <c r="CX7" s="224"/>
      <c r="CY7" s="224"/>
      <c r="CZ7" s="224"/>
      <c r="DA7" s="224"/>
      <c r="DB7" s="224"/>
      <c r="DC7" s="224"/>
      <c r="DD7" s="224"/>
      <c r="DE7" s="224"/>
      <c r="DF7" s="224"/>
      <c r="DG7" s="224"/>
      <c r="DH7" s="224"/>
      <c r="DI7" s="224"/>
      <c r="DJ7" s="224"/>
      <c r="DK7" s="224"/>
      <c r="DL7" s="224"/>
      <c r="DM7" s="224"/>
      <c r="DN7" s="224"/>
      <c r="DO7" s="224"/>
      <c r="DP7" s="224"/>
      <c r="DQ7" s="224"/>
      <c r="DR7" s="224"/>
      <c r="DS7" s="224"/>
      <c r="DT7" s="224"/>
      <c r="DU7" s="224"/>
      <c r="DV7" s="224"/>
      <c r="DW7" s="224"/>
      <c r="DX7" s="224"/>
      <c r="DY7" s="224"/>
      <c r="DZ7" s="224"/>
      <c r="EA7" s="224"/>
      <c r="EB7" s="224"/>
      <c r="EC7" s="224"/>
      <c r="ED7" s="224"/>
      <c r="EE7" s="224"/>
      <c r="EF7" s="224"/>
      <c r="EG7" s="224"/>
      <c r="EH7" s="224"/>
      <c r="EI7" s="224"/>
      <c r="EJ7" s="224"/>
      <c r="EK7" s="224"/>
      <c r="EL7" s="224"/>
      <c r="EM7" s="224"/>
      <c r="EN7" s="224"/>
      <c r="EO7" s="224"/>
      <c r="EP7" s="224"/>
      <c r="EQ7" s="224"/>
      <c r="ER7" s="224"/>
      <c r="ES7" s="224"/>
      <c r="ET7" s="224"/>
      <c r="EU7" s="224"/>
      <c r="EV7" s="224"/>
      <c r="EW7" s="224"/>
      <c r="EX7" s="224"/>
      <c r="EY7" s="224"/>
      <c r="EZ7" s="224"/>
      <c r="FA7" s="224"/>
      <c r="FB7" s="224"/>
      <c r="FC7" s="224"/>
      <c r="FD7" s="224"/>
      <c r="FE7" s="224"/>
      <c r="FF7" s="224"/>
      <c r="FG7" s="224"/>
      <c r="FH7" s="224"/>
      <c r="FI7" s="224"/>
      <c r="FJ7" s="224"/>
      <c r="FK7" s="224"/>
      <c r="FL7" s="224"/>
      <c r="FM7" s="224"/>
      <c r="FN7" s="224"/>
      <c r="FO7" s="224"/>
      <c r="FP7" s="224"/>
      <c r="FQ7" s="224"/>
      <c r="FR7" s="224"/>
      <c r="FS7" s="224"/>
      <c r="FT7" s="224"/>
      <c r="FU7" s="224"/>
      <c r="FV7" s="224"/>
      <c r="FW7" s="224"/>
      <c r="FX7" s="224"/>
      <c r="FY7" s="224"/>
      <c r="FZ7" s="224"/>
      <c r="GA7" s="224"/>
      <c r="GB7" s="224"/>
      <c r="GC7" s="224"/>
      <c r="GD7" s="224"/>
      <c r="GE7" s="224"/>
      <c r="GF7" s="224"/>
      <c r="GG7" s="224"/>
      <c r="GH7" s="224"/>
      <c r="GI7" s="224"/>
      <c r="GJ7" s="224"/>
      <c r="GK7" s="224"/>
      <c r="GL7" s="224"/>
      <c r="GM7" s="224"/>
      <c r="GN7" s="224"/>
      <c r="GO7" s="224"/>
      <c r="GP7" s="224"/>
      <c r="GQ7" s="224"/>
      <c r="GR7" s="224"/>
      <c r="GS7" s="224"/>
      <c r="GT7" s="224"/>
      <c r="GU7" s="224"/>
      <c r="GV7" s="224"/>
      <c r="GW7" s="224"/>
      <c r="GX7" s="224"/>
      <c r="GY7" s="224"/>
      <c r="GZ7" s="224"/>
      <c r="HA7" s="224"/>
      <c r="HB7" s="224"/>
      <c r="HC7" s="224"/>
      <c r="HD7" s="224"/>
      <c r="HE7" s="224"/>
      <c r="HF7" s="224"/>
      <c r="HG7" s="224"/>
      <c r="HH7" s="224"/>
      <c r="HI7" s="224"/>
      <c r="HJ7" s="224"/>
      <c r="HK7" s="224"/>
      <c r="HL7" s="224"/>
      <c r="HM7" s="224"/>
      <c r="HN7" s="224"/>
      <c r="HO7" s="224"/>
      <c r="HP7" s="224"/>
      <c r="HQ7" s="224"/>
      <c r="HR7" s="224"/>
      <c r="HS7" s="224"/>
      <c r="HT7" s="224"/>
      <c r="HU7" s="224"/>
      <c r="HV7" s="224"/>
      <c r="HW7" s="224"/>
      <c r="HX7" s="224"/>
      <c r="HY7" s="224"/>
      <c r="HZ7" s="224"/>
      <c r="IA7" s="224"/>
      <c r="IB7" s="224"/>
      <c r="IC7" s="224"/>
      <c r="ID7" s="224"/>
      <c r="IE7" s="224"/>
      <c r="IF7" s="224"/>
      <c r="IG7" s="224"/>
      <c r="IH7" s="224"/>
      <c r="II7" s="224"/>
      <c r="IJ7" s="224"/>
      <c r="IK7" s="224"/>
    </row>
    <row r="8" spans="2:245" ht="22.5" customHeight="1">
      <c r="C8" s="482" t="s">
        <v>6</v>
      </c>
      <c r="D8" s="1638" t="str">
        <f>'ORÇAMENTO '!G11</f>
        <v xml:space="preserve">SISTEMA DE ABASTECIMENTO DE ÁGUA </v>
      </c>
      <c r="E8" s="1638"/>
      <c r="F8" s="1638"/>
      <c r="G8" s="1638"/>
      <c r="H8" s="1638"/>
      <c r="I8" s="1638"/>
      <c r="J8" s="1638"/>
      <c r="K8" s="1638"/>
      <c r="L8" s="1638"/>
      <c r="M8" s="1638"/>
      <c r="N8" s="1638"/>
      <c r="O8" s="1638"/>
      <c r="P8" s="1638"/>
      <c r="Q8" s="1638"/>
      <c r="R8" s="1639"/>
      <c r="S8" s="224"/>
      <c r="T8" s="224"/>
      <c r="U8" s="224"/>
      <c r="V8" s="224"/>
      <c r="W8" s="224"/>
      <c r="X8" s="224"/>
      <c r="Y8" s="224"/>
      <c r="Z8" s="224"/>
      <c r="AA8" s="224"/>
      <c r="AB8" s="224"/>
      <c r="AC8" s="224"/>
      <c r="AD8" s="224"/>
      <c r="AE8" s="224"/>
      <c r="AF8" s="224"/>
      <c r="AG8" s="224"/>
      <c r="AH8" s="224"/>
      <c r="AI8" s="224"/>
      <c r="AJ8" s="224"/>
      <c r="AK8" s="224"/>
      <c r="AL8" s="224"/>
      <c r="AM8" s="224"/>
      <c r="AN8" s="224"/>
      <c r="AO8" s="224"/>
      <c r="AP8" s="224"/>
      <c r="AQ8" s="224"/>
      <c r="AR8" s="224"/>
      <c r="AS8" s="224"/>
      <c r="AT8" s="224"/>
      <c r="AU8" s="224"/>
      <c r="AV8" s="224"/>
      <c r="AW8" s="224"/>
      <c r="AX8" s="224"/>
      <c r="AY8" s="224"/>
      <c r="AZ8" s="224"/>
      <c r="BA8" s="224"/>
      <c r="BB8" s="224"/>
      <c r="BC8" s="224"/>
      <c r="BD8" s="224"/>
      <c r="BE8" s="224"/>
      <c r="BF8" s="224"/>
      <c r="BG8" s="224"/>
      <c r="BH8" s="224"/>
      <c r="BI8" s="224"/>
      <c r="BJ8" s="224"/>
      <c r="BK8" s="224"/>
      <c r="BL8" s="224"/>
      <c r="BM8" s="224"/>
      <c r="BN8" s="224"/>
      <c r="BO8" s="224"/>
      <c r="BP8" s="224"/>
      <c r="BQ8" s="224"/>
      <c r="BR8" s="224"/>
      <c r="BS8" s="224"/>
      <c r="BT8" s="224"/>
      <c r="BU8" s="224"/>
      <c r="BV8" s="224"/>
      <c r="BW8" s="224"/>
      <c r="BX8" s="224"/>
      <c r="BY8" s="224"/>
      <c r="BZ8" s="224"/>
      <c r="CA8" s="224"/>
      <c r="CB8" s="224"/>
      <c r="CC8" s="224"/>
      <c r="CD8" s="224"/>
      <c r="CE8" s="224"/>
      <c r="CF8" s="224"/>
      <c r="CG8" s="224"/>
      <c r="CH8" s="224"/>
      <c r="CI8" s="224"/>
      <c r="CJ8" s="224"/>
      <c r="CK8" s="224"/>
      <c r="CL8" s="224"/>
      <c r="CM8" s="224"/>
      <c r="CN8" s="224"/>
      <c r="CO8" s="224"/>
      <c r="CP8" s="224"/>
      <c r="CQ8" s="224"/>
      <c r="CR8" s="224"/>
      <c r="CS8" s="224"/>
      <c r="CT8" s="224"/>
      <c r="CU8" s="224"/>
      <c r="CV8" s="224"/>
      <c r="CW8" s="224"/>
      <c r="CX8" s="224"/>
      <c r="CY8" s="224"/>
      <c r="CZ8" s="224"/>
      <c r="DA8" s="224"/>
      <c r="DB8" s="224"/>
      <c r="DC8" s="224"/>
      <c r="DD8" s="224"/>
      <c r="DE8" s="224"/>
      <c r="DF8" s="224"/>
      <c r="DG8" s="224"/>
      <c r="DH8" s="224"/>
      <c r="DI8" s="224"/>
      <c r="DJ8" s="224"/>
      <c r="DK8" s="224"/>
      <c r="DL8" s="224"/>
      <c r="DM8" s="224"/>
      <c r="DN8" s="224"/>
      <c r="DO8" s="224"/>
      <c r="DP8" s="224"/>
      <c r="DQ8" s="224"/>
      <c r="DR8" s="224"/>
      <c r="DS8" s="224"/>
      <c r="DT8" s="224"/>
      <c r="DU8" s="224"/>
      <c r="DV8" s="224"/>
      <c r="DW8" s="224"/>
      <c r="DX8" s="224"/>
      <c r="DY8" s="224"/>
      <c r="DZ8" s="224"/>
      <c r="EA8" s="224"/>
      <c r="EB8" s="224"/>
      <c r="EC8" s="224"/>
      <c r="ED8" s="224"/>
      <c r="EE8" s="224"/>
      <c r="EF8" s="224"/>
      <c r="EG8" s="224"/>
      <c r="EH8" s="224"/>
      <c r="EI8" s="224"/>
      <c r="EJ8" s="224"/>
      <c r="EK8" s="224"/>
      <c r="EL8" s="224"/>
      <c r="EM8" s="224"/>
      <c r="EN8" s="224"/>
      <c r="EO8" s="224"/>
      <c r="EP8" s="224"/>
      <c r="EQ8" s="224"/>
      <c r="ER8" s="224"/>
      <c r="ES8" s="224"/>
      <c r="ET8" s="224"/>
      <c r="EU8" s="224"/>
      <c r="EV8" s="224"/>
      <c r="EW8" s="224"/>
      <c r="EX8" s="224"/>
      <c r="EY8" s="224"/>
      <c r="EZ8" s="224"/>
      <c r="FA8" s="224"/>
      <c r="FB8" s="224"/>
      <c r="FC8" s="224"/>
      <c r="FD8" s="224"/>
      <c r="FE8" s="224"/>
      <c r="FF8" s="224"/>
      <c r="FG8" s="224"/>
      <c r="FH8" s="224"/>
      <c r="FI8" s="224"/>
      <c r="FJ8" s="224"/>
      <c r="FK8" s="224"/>
      <c r="FL8" s="224"/>
      <c r="FM8" s="224"/>
      <c r="FN8" s="224"/>
      <c r="FO8" s="224"/>
      <c r="FP8" s="224"/>
      <c r="FQ8" s="224"/>
      <c r="FR8" s="224"/>
      <c r="FS8" s="224"/>
      <c r="FT8" s="224"/>
      <c r="FU8" s="224"/>
      <c r="FV8" s="224"/>
      <c r="FW8" s="224"/>
      <c r="FX8" s="224"/>
      <c r="FY8" s="224"/>
      <c r="FZ8" s="224"/>
      <c r="GA8" s="224"/>
      <c r="GB8" s="224"/>
      <c r="GC8" s="224"/>
      <c r="GD8" s="224"/>
      <c r="GE8" s="224"/>
      <c r="GF8" s="224"/>
      <c r="GG8" s="224"/>
      <c r="GH8" s="224"/>
      <c r="GI8" s="224"/>
      <c r="GJ8" s="224"/>
      <c r="GK8" s="224"/>
      <c r="GL8" s="224"/>
      <c r="GM8" s="224"/>
      <c r="GN8" s="224"/>
      <c r="GO8" s="224"/>
      <c r="GP8" s="224"/>
      <c r="GQ8" s="224"/>
      <c r="GR8" s="224"/>
      <c r="GS8" s="224"/>
      <c r="GT8" s="224"/>
      <c r="GU8" s="224"/>
      <c r="GV8" s="224"/>
      <c r="GW8" s="224"/>
      <c r="GX8" s="224"/>
      <c r="GY8" s="224"/>
      <c r="GZ8" s="224"/>
      <c r="HA8" s="224"/>
      <c r="HB8" s="224"/>
      <c r="HC8" s="224"/>
      <c r="HD8" s="224"/>
      <c r="HE8" s="224"/>
      <c r="HF8" s="224"/>
      <c r="HG8" s="224"/>
      <c r="HH8" s="224"/>
      <c r="HI8" s="224"/>
      <c r="HJ8" s="224"/>
      <c r="HK8" s="224"/>
      <c r="HL8" s="224"/>
      <c r="HM8" s="224"/>
      <c r="HN8" s="224"/>
      <c r="HO8" s="224"/>
      <c r="HP8" s="224"/>
      <c r="HQ8" s="224"/>
      <c r="HR8" s="224"/>
      <c r="HS8" s="224"/>
      <c r="HT8" s="224"/>
      <c r="HU8" s="224"/>
      <c r="HV8" s="224"/>
      <c r="HW8" s="224"/>
      <c r="HX8" s="224"/>
      <c r="HY8" s="224"/>
      <c r="HZ8" s="224"/>
      <c r="IA8" s="224"/>
      <c r="IB8" s="224"/>
      <c r="IC8" s="224"/>
      <c r="ID8" s="224"/>
      <c r="IE8" s="224"/>
      <c r="IF8" s="224"/>
      <c r="IG8" s="224"/>
      <c r="IH8" s="224"/>
      <c r="II8" s="224"/>
      <c r="IJ8" s="224"/>
      <c r="IK8" s="224"/>
    </row>
    <row r="9" spans="2:245" ht="16.5" customHeight="1">
      <c r="C9" s="482" t="s">
        <v>8</v>
      </c>
      <c r="D9" s="1638" t="str">
        <f>'ORÇAMENTO '!G12</f>
        <v>SETOR PIONEIRO - MUNICÍPIO DE APIACÁS</v>
      </c>
      <c r="E9" s="1638"/>
      <c r="F9" s="1638"/>
      <c r="G9" s="1638"/>
      <c r="H9" s="1638"/>
      <c r="I9" s="1638"/>
      <c r="J9" s="1638"/>
      <c r="K9" s="1638"/>
      <c r="L9" s="1638"/>
      <c r="M9" s="1638"/>
      <c r="N9" s="1638"/>
      <c r="O9" s="1638"/>
      <c r="P9" s="1638"/>
      <c r="Q9" s="1638"/>
      <c r="R9" s="1639"/>
      <c r="S9" s="224"/>
      <c r="T9" s="224"/>
      <c r="U9" s="224"/>
      <c r="V9" s="224"/>
      <c r="W9" s="224"/>
      <c r="X9" s="224"/>
      <c r="Y9" s="224"/>
      <c r="Z9" s="224"/>
      <c r="AA9" s="224"/>
      <c r="AB9" s="224"/>
      <c r="AC9" s="224"/>
      <c r="AD9" s="224"/>
      <c r="AE9" s="224"/>
      <c r="AF9" s="224"/>
      <c r="AG9" s="224"/>
      <c r="AH9" s="224"/>
      <c r="AI9" s="224"/>
      <c r="AJ9" s="224"/>
      <c r="AK9" s="224"/>
      <c r="AL9" s="224"/>
      <c r="AM9" s="224"/>
      <c r="AN9" s="224"/>
      <c r="AO9" s="224"/>
      <c r="AP9" s="224"/>
      <c r="AQ9" s="224"/>
      <c r="AR9" s="224"/>
      <c r="AS9" s="224"/>
      <c r="AT9" s="224"/>
      <c r="AU9" s="224"/>
      <c r="AV9" s="224"/>
      <c r="AW9" s="224"/>
      <c r="AX9" s="224"/>
      <c r="AY9" s="224"/>
      <c r="AZ9" s="224"/>
      <c r="BA9" s="224"/>
      <c r="BB9" s="224"/>
      <c r="BC9" s="224"/>
      <c r="BD9" s="224"/>
      <c r="BE9" s="224"/>
      <c r="BF9" s="224"/>
      <c r="BG9" s="224"/>
      <c r="BH9" s="224"/>
      <c r="BI9" s="224"/>
      <c r="BJ9" s="224"/>
      <c r="BK9" s="224"/>
      <c r="BL9" s="224"/>
      <c r="BM9" s="224"/>
      <c r="BN9" s="224"/>
      <c r="BO9" s="224"/>
      <c r="BP9" s="224"/>
      <c r="BQ9" s="224"/>
      <c r="BR9" s="224"/>
      <c r="BS9" s="224"/>
      <c r="BT9" s="224"/>
      <c r="BU9" s="224"/>
      <c r="BV9" s="224"/>
      <c r="BW9" s="224"/>
      <c r="BX9" s="224"/>
      <c r="BY9" s="224"/>
      <c r="BZ9" s="224"/>
      <c r="CA9" s="224"/>
      <c r="CB9" s="224"/>
      <c r="CC9" s="224"/>
      <c r="CD9" s="224"/>
      <c r="CE9" s="224"/>
      <c r="CF9" s="224"/>
      <c r="CG9" s="224"/>
      <c r="CH9" s="224"/>
      <c r="CI9" s="224"/>
      <c r="CJ9" s="224"/>
      <c r="CK9" s="224"/>
      <c r="CL9" s="224"/>
      <c r="CM9" s="224"/>
      <c r="CN9" s="224"/>
      <c r="CO9" s="224"/>
      <c r="CP9" s="224"/>
      <c r="CQ9" s="224"/>
      <c r="CR9" s="224"/>
      <c r="CS9" s="224"/>
      <c r="CT9" s="224"/>
      <c r="CU9" s="224"/>
      <c r="CV9" s="224"/>
      <c r="CW9" s="224"/>
      <c r="CX9" s="224"/>
      <c r="CY9" s="224"/>
      <c r="CZ9" s="224"/>
      <c r="DA9" s="224"/>
      <c r="DB9" s="224"/>
      <c r="DC9" s="224"/>
      <c r="DD9" s="224"/>
      <c r="DE9" s="224"/>
      <c r="DF9" s="224"/>
      <c r="DG9" s="224"/>
      <c r="DH9" s="224"/>
      <c r="DI9" s="224"/>
      <c r="DJ9" s="224"/>
      <c r="DK9" s="224"/>
      <c r="DL9" s="224"/>
      <c r="DM9" s="224"/>
      <c r="DN9" s="224"/>
      <c r="DO9" s="224"/>
      <c r="DP9" s="224"/>
      <c r="DQ9" s="224"/>
      <c r="DR9" s="224"/>
      <c r="DS9" s="224"/>
      <c r="DT9" s="224"/>
      <c r="DU9" s="224"/>
      <c r="DV9" s="224"/>
      <c r="DW9" s="224"/>
      <c r="DX9" s="224"/>
      <c r="DY9" s="224"/>
      <c r="DZ9" s="224"/>
      <c r="EA9" s="224"/>
      <c r="EB9" s="224"/>
      <c r="EC9" s="224"/>
      <c r="ED9" s="224"/>
      <c r="EE9" s="224"/>
      <c r="EF9" s="224"/>
      <c r="EG9" s="224"/>
      <c r="EH9" s="224"/>
      <c r="EI9" s="224"/>
      <c r="EJ9" s="224"/>
      <c r="EK9" s="224"/>
      <c r="EL9" s="224"/>
      <c r="EM9" s="224"/>
      <c r="EN9" s="224"/>
      <c r="EO9" s="224"/>
      <c r="EP9" s="224"/>
      <c r="EQ9" s="224"/>
      <c r="ER9" s="224"/>
      <c r="ES9" s="224"/>
      <c r="ET9" s="224"/>
      <c r="EU9" s="224"/>
      <c r="EV9" s="224"/>
      <c r="EW9" s="224"/>
      <c r="EX9" s="224"/>
      <c r="EY9" s="224"/>
      <c r="EZ9" s="224"/>
      <c r="FA9" s="224"/>
      <c r="FB9" s="224"/>
      <c r="FC9" s="224"/>
      <c r="FD9" s="224"/>
      <c r="FE9" s="224"/>
      <c r="FF9" s="224"/>
      <c r="FG9" s="224"/>
      <c r="FH9" s="224"/>
      <c r="FI9" s="224"/>
      <c r="FJ9" s="224"/>
      <c r="FK9" s="224"/>
      <c r="FL9" s="224"/>
      <c r="FM9" s="224"/>
      <c r="FN9" s="224"/>
      <c r="FO9" s="224"/>
      <c r="FP9" s="224"/>
      <c r="FQ9" s="224"/>
      <c r="FR9" s="224"/>
      <c r="FS9" s="224"/>
      <c r="FT9" s="224"/>
      <c r="FU9" s="224"/>
      <c r="FV9" s="224"/>
      <c r="FW9" s="224"/>
      <c r="FX9" s="224"/>
      <c r="FY9" s="224"/>
      <c r="FZ9" s="224"/>
      <c r="GA9" s="224"/>
      <c r="GB9" s="224"/>
      <c r="GC9" s="224"/>
      <c r="GD9" s="224"/>
      <c r="GE9" s="224"/>
      <c r="GF9" s="224"/>
      <c r="GG9" s="224"/>
      <c r="GH9" s="224"/>
      <c r="GI9" s="224"/>
      <c r="GJ9" s="224"/>
      <c r="GK9" s="224"/>
      <c r="GL9" s="224"/>
      <c r="GM9" s="224"/>
      <c r="GN9" s="224"/>
      <c r="GO9" s="224"/>
      <c r="GP9" s="224"/>
      <c r="GQ9" s="224"/>
      <c r="GR9" s="224"/>
      <c r="GS9" s="224"/>
      <c r="GT9" s="224"/>
      <c r="GU9" s="224"/>
      <c r="GV9" s="224"/>
      <c r="GW9" s="224"/>
      <c r="GX9" s="224"/>
      <c r="GY9" s="224"/>
      <c r="GZ9" s="224"/>
      <c r="HA9" s="224"/>
      <c r="HB9" s="224"/>
      <c r="HC9" s="224"/>
      <c r="HD9" s="224"/>
      <c r="HE9" s="224"/>
      <c r="HF9" s="224"/>
      <c r="HG9" s="224"/>
      <c r="HH9" s="224"/>
      <c r="HI9" s="224"/>
      <c r="HJ9" s="224"/>
      <c r="HK9" s="224"/>
      <c r="HL9" s="224"/>
      <c r="HM9" s="224"/>
      <c r="HN9" s="224"/>
      <c r="HO9" s="224"/>
      <c r="HP9" s="224"/>
      <c r="HQ9" s="224"/>
      <c r="HR9" s="224"/>
      <c r="HS9" s="224"/>
      <c r="HT9" s="224"/>
      <c r="HU9" s="224"/>
      <c r="HV9" s="224"/>
      <c r="HW9" s="224"/>
      <c r="HX9" s="224"/>
      <c r="HY9" s="224"/>
      <c r="HZ9" s="224"/>
      <c r="IA9" s="224"/>
      <c r="IB9" s="224"/>
      <c r="IC9" s="224"/>
      <c r="ID9" s="224"/>
      <c r="IE9" s="224"/>
      <c r="IF9" s="224"/>
      <c r="IG9" s="224"/>
      <c r="IH9" s="224"/>
      <c r="II9" s="224"/>
      <c r="IJ9" s="224"/>
      <c r="IK9" s="224"/>
    </row>
    <row r="10" spans="2:245" ht="15.75" customHeight="1" thickBot="1">
      <c r="C10" s="483" t="s">
        <v>7</v>
      </c>
      <c r="D10" s="1654">
        <f ca="1">'ORÇAMENTO '!M11</f>
        <v>45167</v>
      </c>
      <c r="E10" s="1654"/>
      <c r="F10" s="1654"/>
      <c r="G10" s="1654"/>
      <c r="H10" s="1654"/>
      <c r="I10" s="1654"/>
      <c r="J10" s="1654"/>
      <c r="K10" s="1654"/>
      <c r="L10" s="1654"/>
      <c r="M10" s="1654"/>
      <c r="N10" s="1654"/>
      <c r="O10" s="1654"/>
      <c r="P10" s="1654"/>
      <c r="Q10" s="1654"/>
      <c r="R10" s="1655"/>
      <c r="S10" s="224"/>
      <c r="T10" s="224"/>
      <c r="U10" s="224"/>
      <c r="V10" s="224"/>
      <c r="W10" s="224"/>
      <c r="X10" s="224"/>
      <c r="Y10" s="224"/>
      <c r="Z10" s="224"/>
      <c r="AA10" s="224"/>
      <c r="AB10" s="224"/>
      <c r="AC10" s="224"/>
      <c r="AD10" s="224"/>
      <c r="AE10" s="224"/>
      <c r="AF10" s="224"/>
      <c r="AG10" s="224"/>
      <c r="AH10" s="224"/>
      <c r="AI10" s="224"/>
      <c r="AJ10" s="224"/>
      <c r="AK10" s="224"/>
      <c r="AL10" s="224"/>
      <c r="AM10" s="224"/>
      <c r="AN10" s="224"/>
      <c r="AO10" s="224"/>
      <c r="AP10" s="224"/>
      <c r="AQ10" s="224"/>
      <c r="AR10" s="224"/>
      <c r="AS10" s="224"/>
      <c r="AT10" s="224"/>
      <c r="AU10" s="224"/>
      <c r="AV10" s="224"/>
      <c r="AW10" s="224"/>
      <c r="AX10" s="224"/>
      <c r="AY10" s="224"/>
      <c r="AZ10" s="224"/>
      <c r="BA10" s="224"/>
      <c r="BB10" s="224"/>
      <c r="BC10" s="224"/>
      <c r="BD10" s="224"/>
      <c r="BE10" s="224"/>
      <c r="BF10" s="224"/>
      <c r="BG10" s="224"/>
      <c r="BH10" s="224"/>
      <c r="BI10" s="224"/>
      <c r="BJ10" s="224"/>
      <c r="BK10" s="224"/>
      <c r="BL10" s="224"/>
      <c r="BM10" s="224"/>
      <c r="BN10" s="224"/>
      <c r="BO10" s="224"/>
      <c r="BP10" s="224"/>
      <c r="BQ10" s="224"/>
      <c r="BR10" s="224"/>
      <c r="BS10" s="224"/>
      <c r="BT10" s="224"/>
      <c r="BU10" s="224"/>
      <c r="BV10" s="224"/>
      <c r="BW10" s="224"/>
      <c r="BX10" s="224"/>
      <c r="BY10" s="224"/>
      <c r="BZ10" s="224"/>
      <c r="CA10" s="224"/>
      <c r="CB10" s="224"/>
      <c r="CC10" s="224"/>
      <c r="CD10" s="224"/>
      <c r="CE10" s="224"/>
      <c r="CF10" s="224"/>
      <c r="CG10" s="224"/>
      <c r="CH10" s="224"/>
      <c r="CI10" s="224"/>
      <c r="CJ10" s="224"/>
      <c r="CK10" s="224"/>
      <c r="CL10" s="224"/>
      <c r="CM10" s="224"/>
      <c r="CN10" s="224"/>
      <c r="CO10" s="224"/>
      <c r="CP10" s="224"/>
      <c r="CQ10" s="224"/>
      <c r="CR10" s="224"/>
      <c r="CS10" s="224"/>
      <c r="CT10" s="224"/>
      <c r="CU10" s="224"/>
      <c r="CV10" s="224"/>
      <c r="CW10" s="224"/>
      <c r="CX10" s="224"/>
      <c r="CY10" s="224"/>
      <c r="CZ10" s="224"/>
      <c r="DA10" s="224"/>
      <c r="DB10" s="224"/>
      <c r="DC10" s="224"/>
      <c r="DD10" s="224"/>
      <c r="DE10" s="224"/>
      <c r="DF10" s="224"/>
      <c r="DG10" s="224"/>
      <c r="DH10" s="224"/>
      <c r="DI10" s="224"/>
      <c r="DJ10" s="224"/>
      <c r="DK10" s="224"/>
      <c r="DL10" s="224"/>
      <c r="DM10" s="224"/>
      <c r="DN10" s="224"/>
      <c r="DO10" s="224"/>
      <c r="DP10" s="224"/>
      <c r="DQ10" s="224"/>
      <c r="DR10" s="224"/>
      <c r="DS10" s="224"/>
      <c r="DT10" s="224"/>
      <c r="DU10" s="224"/>
      <c r="DV10" s="224"/>
      <c r="DW10" s="224"/>
      <c r="DX10" s="224"/>
      <c r="DY10" s="224"/>
      <c r="DZ10" s="224"/>
      <c r="EA10" s="224"/>
      <c r="EB10" s="224"/>
      <c r="EC10" s="224"/>
      <c r="ED10" s="224"/>
      <c r="EE10" s="224"/>
      <c r="EF10" s="224"/>
      <c r="EG10" s="224"/>
      <c r="EH10" s="224"/>
      <c r="EI10" s="224"/>
      <c r="EJ10" s="224"/>
      <c r="EK10" s="224"/>
      <c r="EL10" s="224"/>
      <c r="EM10" s="224"/>
      <c r="EN10" s="224"/>
      <c r="EO10" s="224"/>
      <c r="EP10" s="224"/>
      <c r="EQ10" s="224"/>
      <c r="ER10" s="224"/>
      <c r="ES10" s="224"/>
      <c r="ET10" s="224"/>
      <c r="EU10" s="224"/>
      <c r="EV10" s="224"/>
      <c r="EW10" s="224"/>
      <c r="EX10" s="224"/>
      <c r="EY10" s="224"/>
      <c r="EZ10" s="224"/>
      <c r="FA10" s="224"/>
      <c r="FB10" s="224"/>
      <c r="FC10" s="224"/>
      <c r="FD10" s="224"/>
      <c r="FE10" s="224"/>
      <c r="FF10" s="224"/>
      <c r="FG10" s="224"/>
      <c r="FH10" s="224"/>
      <c r="FI10" s="224"/>
      <c r="FJ10" s="224"/>
      <c r="FK10" s="224"/>
      <c r="FL10" s="224"/>
      <c r="FM10" s="224"/>
      <c r="FN10" s="224"/>
      <c r="FO10" s="224"/>
      <c r="FP10" s="224"/>
      <c r="FQ10" s="224"/>
      <c r="FR10" s="224"/>
      <c r="FS10" s="224"/>
      <c r="FT10" s="224"/>
      <c r="FU10" s="224"/>
      <c r="FV10" s="224"/>
      <c r="FW10" s="224"/>
      <c r="FX10" s="224"/>
      <c r="FY10" s="224"/>
      <c r="FZ10" s="224"/>
      <c r="GA10" s="224"/>
      <c r="GB10" s="224"/>
      <c r="GC10" s="224"/>
      <c r="GD10" s="224"/>
      <c r="GE10" s="224"/>
      <c r="GF10" s="224"/>
      <c r="GG10" s="224"/>
      <c r="GH10" s="224"/>
      <c r="GI10" s="224"/>
      <c r="GJ10" s="224"/>
      <c r="GK10" s="224"/>
      <c r="GL10" s="224"/>
      <c r="GM10" s="224"/>
      <c r="GN10" s="224"/>
      <c r="GO10" s="224"/>
      <c r="GP10" s="224"/>
      <c r="GQ10" s="224"/>
      <c r="GR10" s="224"/>
      <c r="GS10" s="224"/>
      <c r="GT10" s="224"/>
      <c r="GU10" s="224"/>
      <c r="GV10" s="224"/>
      <c r="GW10" s="224"/>
      <c r="GX10" s="224"/>
      <c r="GY10" s="224"/>
      <c r="GZ10" s="224"/>
      <c r="HA10" s="224"/>
      <c r="HB10" s="224"/>
      <c r="HC10" s="224"/>
      <c r="HD10" s="224"/>
      <c r="HE10" s="224"/>
      <c r="HF10" s="224"/>
      <c r="HG10" s="224"/>
      <c r="HH10" s="224"/>
      <c r="HI10" s="224"/>
      <c r="HJ10" s="224"/>
      <c r="HK10" s="224"/>
      <c r="HL10" s="224"/>
      <c r="HM10" s="224"/>
      <c r="HN10" s="224"/>
      <c r="HO10" s="224"/>
      <c r="HP10" s="224"/>
      <c r="HQ10" s="224"/>
      <c r="HR10" s="224"/>
      <c r="HS10" s="224"/>
      <c r="HT10" s="224"/>
      <c r="HU10" s="224"/>
      <c r="HV10" s="224"/>
      <c r="HW10" s="224"/>
      <c r="HX10" s="224"/>
      <c r="HY10" s="224"/>
      <c r="HZ10" s="224"/>
      <c r="IA10" s="224"/>
      <c r="IB10" s="224"/>
      <c r="IC10" s="224"/>
      <c r="ID10" s="224"/>
      <c r="IE10" s="224"/>
      <c r="IF10" s="224"/>
      <c r="IG10" s="224"/>
      <c r="IH10" s="224"/>
      <c r="II10" s="224"/>
      <c r="IJ10" s="224"/>
      <c r="IK10" s="224"/>
    </row>
    <row r="11" spans="2:245" s="414" customFormat="1" ht="16.5" thickBot="1">
      <c r="B11" s="415"/>
      <c r="C11" s="1634" t="s">
        <v>3001</v>
      </c>
      <c r="D11" s="1635"/>
      <c r="E11" s="1635"/>
      <c r="F11" s="1635"/>
      <c r="G11" s="1635"/>
      <c r="H11" s="1635"/>
      <c r="I11" s="1635"/>
      <c r="J11" s="1635"/>
      <c r="K11" s="1635"/>
      <c r="L11" s="1635"/>
      <c r="M11" s="1635"/>
      <c r="N11" s="1635"/>
      <c r="O11" s="1635"/>
      <c r="P11" s="1635"/>
      <c r="Q11" s="1635"/>
      <c r="R11" s="1636"/>
      <c r="S11" s="1174"/>
      <c r="T11" s="1174"/>
    </row>
    <row r="12" spans="2:245" s="416" customFormat="1" ht="15.75">
      <c r="B12" s="417"/>
      <c r="C12" s="1175"/>
      <c r="D12" s="1176"/>
      <c r="E12" s="1176"/>
      <c r="F12" s="1176"/>
      <c r="G12" s="1176"/>
      <c r="H12" s="1176"/>
      <c r="I12" s="1176"/>
      <c r="J12" s="1176"/>
      <c r="K12" s="1176"/>
      <c r="L12" s="1177"/>
      <c r="M12" s="1178"/>
      <c r="N12" s="1178"/>
      <c r="O12" s="1178"/>
      <c r="P12" s="1178"/>
      <c r="Q12" s="1178"/>
      <c r="R12" s="1179"/>
      <c r="S12" s="1180"/>
      <c r="T12" s="1180"/>
    </row>
    <row r="13" spans="2:245" ht="15.75">
      <c r="C13" s="696" t="s">
        <v>11</v>
      </c>
      <c r="D13" s="481" t="s">
        <v>13</v>
      </c>
      <c r="E13" s="481" t="s">
        <v>398</v>
      </c>
      <c r="F13" s="481" t="s">
        <v>399</v>
      </c>
      <c r="G13" s="481" t="s">
        <v>400</v>
      </c>
      <c r="H13" s="481" t="s">
        <v>399</v>
      </c>
      <c r="I13" s="481" t="s">
        <v>401</v>
      </c>
      <c r="J13" s="481" t="s">
        <v>399</v>
      </c>
      <c r="K13" s="481" t="s">
        <v>402</v>
      </c>
      <c r="L13" s="481" t="s">
        <v>399</v>
      </c>
      <c r="M13" s="481" t="s">
        <v>403</v>
      </c>
      <c r="N13" s="481" t="s">
        <v>399</v>
      </c>
      <c r="O13" s="481" t="s">
        <v>404</v>
      </c>
      <c r="P13" s="481" t="s">
        <v>399</v>
      </c>
      <c r="Q13" s="481" t="s">
        <v>190</v>
      </c>
      <c r="R13" s="481" t="s">
        <v>399</v>
      </c>
      <c r="S13" s="294"/>
      <c r="T13" s="294"/>
      <c r="U13" s="224"/>
      <c r="V13" s="224"/>
      <c r="W13" s="224"/>
      <c r="X13" s="224"/>
      <c r="Y13" s="224"/>
      <c r="Z13" s="224"/>
      <c r="AA13" s="224"/>
      <c r="AB13" s="224"/>
      <c r="AC13" s="224"/>
      <c r="AD13" s="224"/>
      <c r="AE13" s="224"/>
      <c r="AF13" s="224"/>
      <c r="AG13" s="224"/>
      <c r="AH13" s="224"/>
      <c r="AI13" s="224"/>
      <c r="AJ13" s="224"/>
      <c r="AK13" s="224"/>
      <c r="AL13" s="224"/>
      <c r="AM13" s="224"/>
      <c r="AN13" s="224"/>
      <c r="AO13" s="224"/>
      <c r="AP13" s="224"/>
      <c r="AQ13" s="224"/>
      <c r="AR13" s="224"/>
      <c r="AS13" s="224"/>
      <c r="AT13" s="224"/>
      <c r="AU13" s="224"/>
      <c r="AV13" s="224"/>
      <c r="AW13" s="224"/>
      <c r="AX13" s="224"/>
      <c r="AY13" s="224"/>
      <c r="AZ13" s="224"/>
      <c r="BA13" s="224"/>
      <c r="BB13" s="224"/>
      <c r="BC13" s="224"/>
      <c r="BD13" s="224"/>
      <c r="BE13" s="224"/>
      <c r="BF13" s="224"/>
      <c r="BG13" s="224"/>
      <c r="BH13" s="224"/>
      <c r="BI13" s="224"/>
      <c r="BJ13" s="224"/>
      <c r="BK13" s="224"/>
      <c r="BL13" s="224"/>
      <c r="BM13" s="224"/>
      <c r="BN13" s="224"/>
      <c r="BO13" s="224"/>
      <c r="BP13" s="224"/>
      <c r="BQ13" s="224"/>
      <c r="BR13" s="224"/>
      <c r="BS13" s="224"/>
      <c r="BT13" s="224"/>
      <c r="BU13" s="224"/>
      <c r="BV13" s="224"/>
      <c r="BW13" s="224"/>
      <c r="BX13" s="224"/>
      <c r="BY13" s="224"/>
      <c r="BZ13" s="224"/>
      <c r="CA13" s="224"/>
      <c r="CB13" s="224"/>
      <c r="CC13" s="224"/>
      <c r="CD13" s="224"/>
      <c r="CE13" s="224"/>
      <c r="CF13" s="224"/>
      <c r="CG13" s="224"/>
      <c r="CH13" s="224"/>
      <c r="CI13" s="224"/>
      <c r="CJ13" s="224"/>
      <c r="CK13" s="224"/>
      <c r="CL13" s="224"/>
      <c r="CM13" s="224"/>
      <c r="CN13" s="224"/>
      <c r="CO13" s="224"/>
      <c r="CP13" s="224"/>
      <c r="CQ13" s="224"/>
      <c r="CR13" s="224"/>
      <c r="CS13" s="224"/>
      <c r="CT13" s="224"/>
      <c r="CU13" s="224"/>
      <c r="CV13" s="224"/>
      <c r="CW13" s="224"/>
      <c r="CX13" s="224"/>
      <c r="CY13" s="224"/>
      <c r="CZ13" s="224"/>
      <c r="DA13" s="224"/>
      <c r="DB13" s="224"/>
      <c r="DC13" s="224"/>
      <c r="DD13" s="224"/>
      <c r="DE13" s="224"/>
      <c r="DF13" s="224"/>
      <c r="DG13" s="224"/>
      <c r="DH13" s="224"/>
      <c r="DI13" s="224"/>
      <c r="DJ13" s="224"/>
      <c r="DK13" s="224"/>
      <c r="DL13" s="224"/>
      <c r="DM13" s="224"/>
      <c r="DN13" s="224"/>
      <c r="DO13" s="224"/>
      <c r="DP13" s="224"/>
      <c r="DQ13" s="224"/>
      <c r="DR13" s="224"/>
      <c r="DS13" s="224"/>
      <c r="DT13" s="224"/>
      <c r="DU13" s="224"/>
      <c r="DV13" s="224"/>
      <c r="DW13" s="224"/>
      <c r="DX13" s="224"/>
      <c r="DY13" s="224"/>
      <c r="DZ13" s="224"/>
      <c r="EA13" s="224"/>
      <c r="EB13" s="224"/>
      <c r="EC13" s="224"/>
      <c r="ED13" s="224"/>
      <c r="EE13" s="224"/>
      <c r="EF13" s="224"/>
      <c r="EG13" s="224"/>
      <c r="EH13" s="224"/>
      <c r="EI13" s="224"/>
      <c r="EJ13" s="224"/>
      <c r="EK13" s="224"/>
      <c r="EL13" s="224"/>
      <c r="EM13" s="224"/>
      <c r="EN13" s="224"/>
      <c r="EO13" s="224"/>
      <c r="EP13" s="224"/>
      <c r="EQ13" s="224"/>
      <c r="ER13" s="224"/>
      <c r="ES13" s="224"/>
      <c r="ET13" s="224"/>
      <c r="EU13" s="224"/>
      <c r="EV13" s="224"/>
      <c r="EW13" s="224"/>
      <c r="EX13" s="224"/>
      <c r="EY13" s="224"/>
      <c r="EZ13" s="224"/>
      <c r="FA13" s="224"/>
      <c r="FB13" s="224"/>
      <c r="FC13" s="224"/>
      <c r="FD13" s="224"/>
      <c r="FE13" s="224"/>
      <c r="FF13" s="224"/>
      <c r="FG13" s="224"/>
      <c r="FH13" s="224"/>
      <c r="FI13" s="224"/>
      <c r="FJ13" s="224"/>
      <c r="FK13" s="224"/>
      <c r="FL13" s="224"/>
      <c r="FM13" s="224"/>
      <c r="FN13" s="224"/>
      <c r="FO13" s="224"/>
      <c r="FP13" s="224"/>
      <c r="FQ13" s="224"/>
      <c r="FR13" s="224"/>
      <c r="FS13" s="224"/>
      <c r="FT13" s="224"/>
      <c r="FU13" s="224"/>
      <c r="FV13" s="224"/>
      <c r="FW13" s="224"/>
      <c r="FX13" s="224"/>
      <c r="FY13" s="224"/>
      <c r="FZ13" s="224"/>
      <c r="GA13" s="224"/>
      <c r="GB13" s="224"/>
      <c r="GC13" s="224"/>
      <c r="GD13" s="224"/>
      <c r="GE13" s="224"/>
      <c r="GF13" s="224"/>
      <c r="GG13" s="224"/>
      <c r="GH13" s="224"/>
      <c r="GI13" s="224"/>
      <c r="GJ13" s="224"/>
      <c r="GK13" s="224"/>
      <c r="GL13" s="224"/>
      <c r="GM13" s="224"/>
      <c r="GN13" s="224"/>
      <c r="GO13" s="224"/>
      <c r="GP13" s="224"/>
      <c r="GQ13" s="224"/>
      <c r="GR13" s="224"/>
      <c r="GS13" s="224"/>
      <c r="GT13" s="224"/>
      <c r="GU13" s="224"/>
      <c r="GV13" s="224"/>
      <c r="GW13" s="224"/>
      <c r="GX13" s="224"/>
      <c r="GY13" s="224"/>
      <c r="GZ13" s="224"/>
      <c r="HA13" s="224"/>
      <c r="HB13" s="224"/>
      <c r="HC13" s="224"/>
      <c r="HD13" s="224"/>
      <c r="HE13" s="224"/>
      <c r="HF13" s="224"/>
      <c r="HG13" s="224"/>
      <c r="HH13" s="224"/>
      <c r="HI13" s="224"/>
      <c r="HJ13" s="224"/>
      <c r="HK13" s="224"/>
      <c r="HL13" s="224"/>
      <c r="HM13" s="224"/>
      <c r="HN13" s="224"/>
      <c r="HO13" s="224"/>
      <c r="HP13" s="224"/>
      <c r="HQ13" s="224"/>
      <c r="HR13" s="224"/>
      <c r="HS13" s="224"/>
      <c r="HT13" s="224"/>
      <c r="HU13" s="224"/>
      <c r="HV13" s="224"/>
      <c r="HW13" s="224"/>
      <c r="HX13" s="224"/>
      <c r="HY13" s="224"/>
      <c r="HZ13" s="224"/>
      <c r="IA13" s="224"/>
      <c r="IB13" s="224"/>
      <c r="IC13" s="224"/>
      <c r="ID13" s="224"/>
      <c r="IE13" s="224"/>
      <c r="IF13" s="224"/>
      <c r="IG13" s="224"/>
      <c r="IH13" s="224"/>
      <c r="II13" s="224"/>
      <c r="IJ13" s="224"/>
      <c r="IK13" s="224"/>
    </row>
    <row r="14" spans="2:245" s="418" customFormat="1" ht="6" customHeight="1">
      <c r="C14" s="477"/>
      <c r="D14" s="1181"/>
      <c r="E14" s="1183"/>
      <c r="F14" s="1183"/>
      <c r="G14" s="1183"/>
      <c r="H14" s="1183"/>
      <c r="I14" s="1183"/>
      <c r="J14" s="1183"/>
      <c r="K14" s="1183"/>
      <c r="L14" s="1183"/>
      <c r="M14" s="1183"/>
      <c r="N14" s="1183"/>
      <c r="O14" s="1183"/>
      <c r="P14" s="1183"/>
      <c r="Q14" s="1183"/>
      <c r="R14" s="1184"/>
      <c r="S14" s="294"/>
      <c r="T14" s="294"/>
      <c r="U14" s="340"/>
      <c r="V14" s="340"/>
      <c r="W14" s="340"/>
      <c r="X14" s="340"/>
      <c r="Y14" s="340"/>
      <c r="Z14" s="340"/>
      <c r="AA14" s="340"/>
      <c r="AB14" s="340"/>
      <c r="AC14" s="340"/>
      <c r="AD14" s="340"/>
      <c r="AE14" s="340"/>
      <c r="AF14" s="340"/>
      <c r="AG14" s="340"/>
      <c r="AH14" s="340"/>
      <c r="AI14" s="340"/>
      <c r="AJ14" s="340"/>
      <c r="AK14" s="340"/>
      <c r="AL14" s="340"/>
      <c r="AM14" s="340"/>
      <c r="AN14" s="340"/>
      <c r="AO14" s="340"/>
      <c r="AP14" s="340"/>
      <c r="AQ14" s="340"/>
      <c r="AR14" s="340"/>
      <c r="AS14" s="340"/>
      <c r="AT14" s="340"/>
      <c r="AU14" s="340"/>
      <c r="AV14" s="340"/>
      <c r="AW14" s="340"/>
      <c r="AX14" s="340"/>
      <c r="AY14" s="340"/>
      <c r="AZ14" s="340"/>
      <c r="BA14" s="340"/>
      <c r="BB14" s="340"/>
      <c r="BC14" s="340"/>
      <c r="BD14" s="340"/>
      <c r="BE14" s="340"/>
      <c r="BF14" s="340"/>
      <c r="BG14" s="340"/>
      <c r="BH14" s="340"/>
      <c r="BI14" s="340"/>
      <c r="BJ14" s="340"/>
      <c r="BK14" s="340"/>
      <c r="BL14" s="340"/>
      <c r="BM14" s="340"/>
      <c r="BN14" s="340"/>
      <c r="BO14" s="340"/>
      <c r="BP14" s="340"/>
      <c r="BQ14" s="340"/>
      <c r="BR14" s="340"/>
      <c r="BS14" s="340"/>
      <c r="BT14" s="340"/>
      <c r="BU14" s="340"/>
      <c r="BV14" s="340"/>
      <c r="BW14" s="340"/>
      <c r="BX14" s="340"/>
      <c r="BY14" s="340"/>
      <c r="BZ14" s="340"/>
      <c r="CA14" s="340"/>
      <c r="CB14" s="340"/>
      <c r="CC14" s="340"/>
      <c r="CD14" s="340"/>
      <c r="CE14" s="340"/>
      <c r="CF14" s="340"/>
      <c r="CG14" s="340"/>
      <c r="CH14" s="340"/>
      <c r="CI14" s="340"/>
      <c r="CJ14" s="340"/>
      <c r="CK14" s="340"/>
      <c r="CL14" s="340"/>
      <c r="CM14" s="340"/>
      <c r="CN14" s="340"/>
      <c r="CO14" s="340"/>
      <c r="CP14" s="340"/>
      <c r="CQ14" s="340"/>
      <c r="CR14" s="340"/>
      <c r="CS14" s="340"/>
      <c r="CT14" s="340"/>
      <c r="CU14" s="340"/>
      <c r="CV14" s="340"/>
      <c r="CW14" s="340"/>
      <c r="CX14" s="340"/>
      <c r="CY14" s="340"/>
      <c r="CZ14" s="340"/>
      <c r="DA14" s="340"/>
      <c r="DB14" s="340"/>
      <c r="DC14" s="340"/>
      <c r="DD14" s="340"/>
      <c r="DE14" s="340"/>
      <c r="DF14" s="340"/>
      <c r="DG14" s="340"/>
      <c r="DH14" s="340"/>
      <c r="DI14" s="340"/>
      <c r="DJ14" s="340"/>
      <c r="DK14" s="340"/>
      <c r="DL14" s="340"/>
      <c r="DM14" s="340"/>
      <c r="DN14" s="340"/>
      <c r="DO14" s="340"/>
      <c r="DP14" s="340"/>
      <c r="DQ14" s="340"/>
      <c r="DR14" s="340"/>
      <c r="DS14" s="340"/>
      <c r="DT14" s="340"/>
      <c r="DU14" s="340"/>
      <c r="DV14" s="340"/>
      <c r="DW14" s="340"/>
      <c r="DX14" s="340"/>
      <c r="DY14" s="340"/>
      <c r="DZ14" s="340"/>
      <c r="EA14" s="340"/>
      <c r="EB14" s="340"/>
      <c r="EC14" s="340"/>
      <c r="ED14" s="340"/>
      <c r="EE14" s="340"/>
      <c r="EF14" s="340"/>
      <c r="EG14" s="340"/>
      <c r="EH14" s="340"/>
      <c r="EI14" s="340"/>
      <c r="EJ14" s="340"/>
      <c r="EK14" s="340"/>
      <c r="EL14" s="340"/>
      <c r="EM14" s="340"/>
      <c r="EN14" s="340"/>
      <c r="EO14" s="340"/>
      <c r="EP14" s="340"/>
      <c r="EQ14" s="340"/>
      <c r="ER14" s="340"/>
      <c r="ES14" s="340"/>
      <c r="ET14" s="340"/>
      <c r="EU14" s="340"/>
      <c r="EV14" s="340"/>
      <c r="EW14" s="340"/>
      <c r="EX14" s="340"/>
      <c r="EY14" s="340"/>
      <c r="EZ14" s="340"/>
      <c r="FA14" s="340"/>
      <c r="FB14" s="340"/>
      <c r="FC14" s="340"/>
      <c r="FD14" s="340"/>
      <c r="FE14" s="340"/>
      <c r="FF14" s="340"/>
      <c r="FG14" s="340"/>
      <c r="FH14" s="340"/>
      <c r="FI14" s="340"/>
      <c r="FJ14" s="340"/>
      <c r="FK14" s="340"/>
      <c r="FL14" s="340"/>
      <c r="FM14" s="340"/>
      <c r="FN14" s="340"/>
      <c r="FO14" s="340"/>
      <c r="FP14" s="340"/>
      <c r="FQ14" s="340"/>
      <c r="FR14" s="340"/>
      <c r="FS14" s="340"/>
      <c r="FT14" s="340"/>
      <c r="FU14" s="340"/>
      <c r="FV14" s="340"/>
      <c r="FW14" s="340"/>
      <c r="FX14" s="340"/>
      <c r="FY14" s="340"/>
      <c r="FZ14" s="340"/>
      <c r="GA14" s="340"/>
      <c r="GB14" s="340"/>
      <c r="GC14" s="340"/>
      <c r="GD14" s="340"/>
      <c r="GE14" s="340"/>
      <c r="GF14" s="340"/>
      <c r="GG14" s="340"/>
      <c r="GH14" s="340"/>
      <c r="GI14" s="340"/>
      <c r="GJ14" s="340"/>
      <c r="GK14" s="340"/>
      <c r="GL14" s="340"/>
      <c r="GM14" s="340"/>
      <c r="GN14" s="340"/>
      <c r="GO14" s="340"/>
      <c r="GP14" s="340"/>
      <c r="GQ14" s="340"/>
      <c r="GR14" s="340"/>
      <c r="GS14" s="340"/>
      <c r="GT14" s="340"/>
      <c r="GU14" s="340"/>
      <c r="GV14" s="340"/>
      <c r="GW14" s="340"/>
      <c r="GX14" s="340"/>
      <c r="GY14" s="340"/>
      <c r="GZ14" s="340"/>
      <c r="HA14" s="340"/>
      <c r="HB14" s="340"/>
      <c r="HC14" s="340"/>
      <c r="HD14" s="340"/>
      <c r="HE14" s="340"/>
      <c r="HF14" s="340"/>
      <c r="HG14" s="340"/>
      <c r="HH14" s="340"/>
      <c r="HI14" s="340"/>
      <c r="HJ14" s="340"/>
      <c r="HK14" s="340"/>
      <c r="HL14" s="340"/>
      <c r="HM14" s="340"/>
      <c r="HN14" s="340"/>
      <c r="HO14" s="340"/>
      <c r="HP14" s="340"/>
      <c r="HQ14" s="340"/>
      <c r="HR14" s="340"/>
      <c r="HS14" s="340"/>
      <c r="HT14" s="340"/>
      <c r="HU14" s="340"/>
      <c r="HV14" s="340"/>
      <c r="HW14" s="340"/>
      <c r="HX14" s="340"/>
      <c r="HY14" s="340"/>
      <c r="HZ14" s="340"/>
      <c r="IA14" s="340"/>
      <c r="IB14" s="340"/>
      <c r="IC14" s="340"/>
      <c r="ID14" s="340"/>
      <c r="IE14" s="340"/>
      <c r="IF14" s="340"/>
      <c r="IG14" s="340"/>
      <c r="IH14" s="340"/>
      <c r="II14" s="340"/>
      <c r="IJ14" s="340"/>
      <c r="IK14" s="340"/>
    </row>
    <row r="15" spans="2:245" s="414" customFormat="1" ht="15">
      <c r="B15" s="419">
        <v>1</v>
      </c>
      <c r="C15" s="172" t="str">
        <f>SUM($A$14:B15)&amp;".0"</f>
        <v>1.0</v>
      </c>
      <c r="D15" s="1460" t="str">
        <f ca="1">VLOOKUP(C15,RESUMO!$B$14:$I$36,3,0)</f>
        <v>A D M I N I S T R A Ç Ã O  O B R A</v>
      </c>
      <c r="E15" s="1461">
        <f ca="1">($Q15*F15/100)</f>
        <v>29985.200253900002</v>
      </c>
      <c r="F15" s="1462">
        <f ca="1">ROUND(SUM(E17:E33)/SUM($Q$17:$Q$33)*100,3)</f>
        <v>18.971</v>
      </c>
      <c r="G15" s="1461">
        <f ca="1">($Q15*H15/100)</f>
        <v>28221.271969499998</v>
      </c>
      <c r="H15" s="1462">
        <f ca="1">ROUND(SUM(G17:G33)/SUM($Q$17:$Q$33)*100,3)</f>
        <v>17.855</v>
      </c>
      <c r="I15" s="1461">
        <f ca="1">($Q15*J15/100)</f>
        <v>30587.401576800003</v>
      </c>
      <c r="J15" s="1462">
        <f ca="1">ROUND(SUM(I17:I33)/SUM($Q$17:$Q$33)*100,3)</f>
        <v>19.352</v>
      </c>
      <c r="K15" s="1461">
        <f ca="1">($Q15*L15/100)</f>
        <v>28708.0908867</v>
      </c>
      <c r="L15" s="1462">
        <f ca="1">ROUND(SUM(K17:K33)/SUM($Q$17:$Q$33)*100,3)</f>
        <v>18.163</v>
      </c>
      <c r="M15" s="1461">
        <f ca="1">($Q15*N15/100)</f>
        <v>23729.261051699999</v>
      </c>
      <c r="N15" s="1462">
        <f ca="1">ROUND(SUM(M17:M33)/SUM($Q$17:$Q$33)*100,3)</f>
        <v>15.013</v>
      </c>
      <c r="O15" s="1461">
        <f ca="1">($Q15*P15/100)</f>
        <v>16826.864261400002</v>
      </c>
      <c r="P15" s="1462">
        <f ca="1">ROUND(SUM(O17:O33)/SUM($Q$17:$Q$33)*100,3)</f>
        <v>10.646000000000001</v>
      </c>
      <c r="Q15" s="1461">
        <f ca="1">VLOOKUP(C15,RESUMO!$B$14:$I$36,8,0)</f>
        <v>158058.09</v>
      </c>
      <c r="R15" s="1462">
        <f ca="1">Q15/$Q$37*100</f>
        <v>4.3024938294358304</v>
      </c>
      <c r="S15" s="229"/>
      <c r="T15" s="1463">
        <f ca="1">F15+H15+J15+P15+L15+N15</f>
        <v>100</v>
      </c>
      <c r="U15" s="228"/>
      <c r="V15" s="228"/>
      <c r="W15" s="228"/>
      <c r="X15" s="228"/>
      <c r="Y15" s="228"/>
      <c r="Z15" s="228"/>
      <c r="AA15" s="228"/>
      <c r="AB15" s="228"/>
      <c r="AC15" s="228"/>
      <c r="AD15" s="228"/>
      <c r="AE15" s="228"/>
      <c r="AF15" s="228"/>
      <c r="AG15" s="228"/>
      <c r="AH15" s="228"/>
      <c r="AI15" s="228"/>
      <c r="AJ15" s="228"/>
      <c r="AK15" s="228"/>
      <c r="AL15" s="228"/>
      <c r="AM15" s="228"/>
      <c r="AN15" s="228"/>
      <c r="AO15" s="228"/>
      <c r="AP15" s="228"/>
      <c r="AQ15" s="228"/>
      <c r="AR15" s="228"/>
      <c r="AS15" s="228"/>
      <c r="AT15" s="228"/>
      <c r="AU15" s="228"/>
      <c r="AV15" s="228"/>
      <c r="AW15" s="228"/>
      <c r="AX15" s="228"/>
      <c r="AY15" s="228"/>
      <c r="AZ15" s="228"/>
      <c r="BA15" s="228"/>
      <c r="BB15" s="228"/>
      <c r="BC15" s="228"/>
      <c r="BD15" s="228"/>
      <c r="BE15" s="228"/>
      <c r="BF15" s="228"/>
      <c r="BG15" s="228"/>
      <c r="BH15" s="228"/>
      <c r="BI15" s="228"/>
      <c r="BJ15" s="228"/>
      <c r="BK15" s="228"/>
      <c r="BL15" s="228"/>
      <c r="BM15" s="228"/>
      <c r="BN15" s="228"/>
      <c r="BO15" s="228"/>
      <c r="BP15" s="228"/>
      <c r="BQ15" s="228"/>
      <c r="BR15" s="228"/>
      <c r="BS15" s="228"/>
      <c r="BT15" s="228"/>
      <c r="BU15" s="228"/>
      <c r="BV15" s="228"/>
      <c r="BW15" s="228"/>
      <c r="BX15" s="228"/>
      <c r="BY15" s="228"/>
      <c r="BZ15" s="228"/>
      <c r="CA15" s="228"/>
      <c r="CB15" s="228"/>
      <c r="CC15" s="228"/>
      <c r="CD15" s="228"/>
      <c r="CE15" s="228"/>
      <c r="CF15" s="228"/>
      <c r="CG15" s="228"/>
      <c r="CH15" s="228"/>
      <c r="CI15" s="228"/>
      <c r="CJ15" s="228"/>
      <c r="CK15" s="228"/>
      <c r="CL15" s="228"/>
      <c r="CM15" s="228"/>
      <c r="CN15" s="228"/>
      <c r="CO15" s="228"/>
      <c r="CP15" s="228"/>
      <c r="CQ15" s="228"/>
      <c r="CR15" s="228"/>
      <c r="CS15" s="228"/>
      <c r="CT15" s="228"/>
      <c r="CU15" s="228"/>
      <c r="CV15" s="228"/>
      <c r="CW15" s="228"/>
      <c r="CX15" s="228"/>
      <c r="CY15" s="228"/>
      <c r="CZ15" s="228"/>
      <c r="DA15" s="228"/>
      <c r="DB15" s="228"/>
      <c r="DC15" s="228"/>
      <c r="DD15" s="228"/>
      <c r="DE15" s="228"/>
      <c r="DF15" s="228"/>
      <c r="DG15" s="228"/>
      <c r="DH15" s="228"/>
      <c r="DI15" s="228"/>
      <c r="DJ15" s="228"/>
      <c r="DK15" s="228"/>
      <c r="DL15" s="228"/>
      <c r="DM15" s="228"/>
      <c r="DN15" s="228"/>
      <c r="DO15" s="228"/>
      <c r="DP15" s="228"/>
      <c r="DQ15" s="228"/>
      <c r="DR15" s="228"/>
      <c r="DS15" s="228"/>
      <c r="DT15" s="228"/>
      <c r="DU15" s="228"/>
      <c r="DV15" s="228"/>
      <c r="DW15" s="228"/>
      <c r="DX15" s="228"/>
      <c r="DY15" s="228"/>
      <c r="DZ15" s="228"/>
      <c r="EA15" s="228"/>
      <c r="EB15" s="228"/>
      <c r="EC15" s="228"/>
      <c r="ED15" s="228"/>
      <c r="EE15" s="228"/>
      <c r="EF15" s="228"/>
      <c r="EG15" s="228"/>
      <c r="EH15" s="228"/>
      <c r="EI15" s="228"/>
      <c r="EJ15" s="228"/>
      <c r="EK15" s="228"/>
      <c r="EL15" s="228"/>
      <c r="EM15" s="228"/>
      <c r="EN15" s="228"/>
      <c r="EO15" s="228"/>
      <c r="EP15" s="228"/>
      <c r="EQ15" s="228"/>
      <c r="ER15" s="228"/>
      <c r="ES15" s="228"/>
      <c r="ET15" s="228"/>
      <c r="EU15" s="228"/>
      <c r="EV15" s="228"/>
      <c r="EW15" s="228"/>
      <c r="EX15" s="228"/>
      <c r="EY15" s="228"/>
      <c r="EZ15" s="228"/>
      <c r="FA15" s="228"/>
      <c r="FB15" s="228"/>
      <c r="FC15" s="228"/>
      <c r="FD15" s="228"/>
      <c r="FE15" s="228"/>
      <c r="FF15" s="228"/>
      <c r="FG15" s="228"/>
      <c r="FH15" s="228"/>
      <c r="FI15" s="228"/>
      <c r="FJ15" s="228"/>
      <c r="FK15" s="228"/>
      <c r="FL15" s="228"/>
      <c r="FM15" s="228"/>
      <c r="FN15" s="228"/>
      <c r="FO15" s="228"/>
      <c r="FP15" s="228"/>
      <c r="FQ15" s="228"/>
      <c r="FR15" s="228"/>
      <c r="FS15" s="228"/>
      <c r="FT15" s="228"/>
      <c r="FU15" s="228"/>
      <c r="FV15" s="228"/>
      <c r="FW15" s="228"/>
      <c r="FX15" s="228"/>
      <c r="FY15" s="228"/>
      <c r="FZ15" s="228"/>
      <c r="GA15" s="228"/>
      <c r="GB15" s="228"/>
      <c r="GC15" s="228"/>
      <c r="GD15" s="228"/>
      <c r="GE15" s="228"/>
      <c r="GF15" s="228"/>
      <c r="GG15" s="228"/>
      <c r="GH15" s="228"/>
      <c r="GI15" s="228"/>
      <c r="GJ15" s="228"/>
      <c r="GK15" s="228"/>
      <c r="GL15" s="228"/>
      <c r="GM15" s="228"/>
      <c r="GN15" s="228"/>
      <c r="GO15" s="228"/>
      <c r="GP15" s="228"/>
      <c r="GQ15" s="228"/>
      <c r="GR15" s="228"/>
      <c r="GS15" s="228"/>
      <c r="GT15" s="228"/>
      <c r="GU15" s="228"/>
      <c r="GV15" s="228"/>
      <c r="GW15" s="228"/>
      <c r="GX15" s="228"/>
      <c r="GY15" s="228"/>
      <c r="GZ15" s="228"/>
      <c r="HA15" s="228"/>
      <c r="HB15" s="228"/>
      <c r="HC15" s="228"/>
      <c r="HD15" s="228"/>
      <c r="HE15" s="228"/>
      <c r="HF15" s="228"/>
      <c r="HG15" s="228"/>
      <c r="HH15" s="228"/>
      <c r="HI15" s="228"/>
      <c r="HJ15" s="228"/>
      <c r="HK15" s="228"/>
      <c r="HL15" s="228"/>
      <c r="HM15" s="228"/>
      <c r="HN15" s="228"/>
      <c r="HO15" s="228"/>
      <c r="HP15" s="228"/>
      <c r="HQ15" s="228"/>
      <c r="HR15" s="228"/>
      <c r="HS15" s="228"/>
      <c r="HT15" s="228"/>
      <c r="HU15" s="228"/>
      <c r="HV15" s="228"/>
      <c r="HW15" s="228"/>
      <c r="HX15" s="228"/>
      <c r="HY15" s="228"/>
      <c r="HZ15" s="228"/>
      <c r="IA15" s="228"/>
      <c r="IB15" s="228"/>
      <c r="IC15" s="228"/>
      <c r="ID15" s="228"/>
      <c r="IE15" s="228"/>
      <c r="IF15" s="228"/>
      <c r="IG15" s="228"/>
      <c r="IH15" s="228"/>
      <c r="II15" s="228"/>
      <c r="IJ15" s="228"/>
      <c r="IK15" s="228"/>
    </row>
    <row r="16" spans="2:245" s="1464" customFormat="1" ht="6" customHeight="1">
      <c r="C16" s="1465"/>
      <c r="D16" s="1466"/>
      <c r="E16" s="1467"/>
      <c r="F16" s="1467"/>
      <c r="G16" s="1467"/>
      <c r="H16" s="1467"/>
      <c r="I16" s="1467"/>
      <c r="J16" s="1467"/>
      <c r="K16" s="1467"/>
      <c r="L16" s="1467"/>
      <c r="M16" s="1467"/>
      <c r="N16" s="1467"/>
      <c r="O16" s="1467"/>
      <c r="P16" s="1467"/>
      <c r="Q16" s="1467"/>
      <c r="R16" s="1468"/>
      <c r="S16" s="229"/>
      <c r="T16" s="1463"/>
      <c r="U16" s="235"/>
      <c r="V16" s="235"/>
      <c r="W16" s="235"/>
      <c r="X16" s="235"/>
      <c r="Y16" s="235"/>
      <c r="Z16" s="235"/>
      <c r="AA16" s="235"/>
      <c r="AB16" s="235"/>
      <c r="AC16" s="235"/>
      <c r="AD16" s="235"/>
      <c r="AE16" s="235"/>
      <c r="AF16" s="235"/>
      <c r="AG16" s="235"/>
      <c r="AH16" s="235"/>
      <c r="AI16" s="235"/>
      <c r="AJ16" s="235"/>
      <c r="AK16" s="235"/>
      <c r="AL16" s="235"/>
      <c r="AM16" s="235"/>
      <c r="AN16" s="235"/>
      <c r="AO16" s="235"/>
      <c r="AP16" s="235"/>
      <c r="AQ16" s="235"/>
      <c r="AR16" s="235"/>
      <c r="AS16" s="235"/>
      <c r="AT16" s="235"/>
      <c r="AU16" s="235"/>
      <c r="AV16" s="235"/>
      <c r="AW16" s="235"/>
      <c r="AX16" s="235"/>
      <c r="AY16" s="235"/>
      <c r="AZ16" s="235"/>
      <c r="BA16" s="235"/>
      <c r="BB16" s="235"/>
      <c r="BC16" s="235"/>
      <c r="BD16" s="235"/>
      <c r="BE16" s="235"/>
      <c r="BF16" s="235"/>
      <c r="BG16" s="235"/>
      <c r="BH16" s="235"/>
      <c r="BI16" s="235"/>
      <c r="BJ16" s="235"/>
      <c r="BK16" s="235"/>
      <c r="BL16" s="235"/>
      <c r="BM16" s="235"/>
      <c r="BN16" s="235"/>
      <c r="BO16" s="235"/>
      <c r="BP16" s="235"/>
      <c r="BQ16" s="235"/>
      <c r="BR16" s="235"/>
      <c r="BS16" s="235"/>
      <c r="BT16" s="235"/>
      <c r="BU16" s="235"/>
      <c r="BV16" s="235"/>
      <c r="BW16" s="235"/>
      <c r="BX16" s="235"/>
      <c r="BY16" s="235"/>
      <c r="BZ16" s="235"/>
      <c r="CA16" s="235"/>
      <c r="CB16" s="235"/>
      <c r="CC16" s="235"/>
      <c r="CD16" s="235"/>
      <c r="CE16" s="235"/>
      <c r="CF16" s="235"/>
      <c r="CG16" s="235"/>
      <c r="CH16" s="235"/>
      <c r="CI16" s="235"/>
      <c r="CJ16" s="235"/>
      <c r="CK16" s="235"/>
      <c r="CL16" s="235"/>
      <c r="CM16" s="235"/>
      <c r="CN16" s="235"/>
      <c r="CO16" s="235"/>
      <c r="CP16" s="235"/>
      <c r="CQ16" s="235"/>
      <c r="CR16" s="235"/>
      <c r="CS16" s="235"/>
      <c r="CT16" s="235"/>
      <c r="CU16" s="235"/>
      <c r="CV16" s="235"/>
      <c r="CW16" s="235"/>
      <c r="CX16" s="235"/>
      <c r="CY16" s="235"/>
      <c r="CZ16" s="235"/>
      <c r="DA16" s="235"/>
      <c r="DB16" s="235"/>
      <c r="DC16" s="235"/>
      <c r="DD16" s="235"/>
      <c r="DE16" s="235"/>
      <c r="DF16" s="235"/>
      <c r="DG16" s="235"/>
      <c r="DH16" s="235"/>
      <c r="DI16" s="235"/>
      <c r="DJ16" s="235"/>
      <c r="DK16" s="235"/>
      <c r="DL16" s="235"/>
      <c r="DM16" s="235"/>
      <c r="DN16" s="235"/>
      <c r="DO16" s="235"/>
      <c r="DP16" s="235"/>
      <c r="DQ16" s="235"/>
      <c r="DR16" s="235"/>
      <c r="DS16" s="235"/>
      <c r="DT16" s="235"/>
      <c r="DU16" s="235"/>
      <c r="DV16" s="235"/>
      <c r="DW16" s="235"/>
      <c r="DX16" s="235"/>
      <c r="DY16" s="235"/>
      <c r="DZ16" s="235"/>
      <c r="EA16" s="235"/>
      <c r="EB16" s="235"/>
      <c r="EC16" s="235"/>
      <c r="ED16" s="235"/>
      <c r="EE16" s="235"/>
      <c r="EF16" s="235"/>
      <c r="EG16" s="235"/>
      <c r="EH16" s="235"/>
      <c r="EI16" s="235"/>
      <c r="EJ16" s="235"/>
      <c r="EK16" s="235"/>
      <c r="EL16" s="235"/>
      <c r="EM16" s="235"/>
      <c r="EN16" s="235"/>
      <c r="EO16" s="235"/>
      <c r="EP16" s="235"/>
      <c r="EQ16" s="235"/>
      <c r="ER16" s="235"/>
      <c r="ES16" s="235"/>
      <c r="ET16" s="235"/>
      <c r="EU16" s="235"/>
      <c r="EV16" s="235"/>
      <c r="EW16" s="235"/>
      <c r="EX16" s="235"/>
      <c r="EY16" s="235"/>
      <c r="EZ16" s="235"/>
      <c r="FA16" s="235"/>
      <c r="FB16" s="235"/>
      <c r="FC16" s="235"/>
      <c r="FD16" s="235"/>
      <c r="FE16" s="235"/>
      <c r="FF16" s="235"/>
      <c r="FG16" s="235"/>
      <c r="FH16" s="235"/>
      <c r="FI16" s="235"/>
      <c r="FJ16" s="235"/>
      <c r="FK16" s="235"/>
      <c r="FL16" s="235"/>
      <c r="FM16" s="235"/>
      <c r="FN16" s="235"/>
      <c r="FO16" s="235"/>
      <c r="FP16" s="235"/>
      <c r="FQ16" s="235"/>
      <c r="FR16" s="235"/>
      <c r="FS16" s="235"/>
      <c r="FT16" s="235"/>
      <c r="FU16" s="235"/>
      <c r="FV16" s="235"/>
      <c r="FW16" s="235"/>
      <c r="FX16" s="235"/>
      <c r="FY16" s="235"/>
      <c r="FZ16" s="235"/>
      <c r="GA16" s="235"/>
      <c r="GB16" s="235"/>
      <c r="GC16" s="235"/>
      <c r="GD16" s="235"/>
      <c r="GE16" s="235"/>
      <c r="GF16" s="235"/>
      <c r="GG16" s="235"/>
      <c r="GH16" s="235"/>
      <c r="GI16" s="235"/>
      <c r="GJ16" s="235"/>
      <c r="GK16" s="235"/>
      <c r="GL16" s="235"/>
      <c r="GM16" s="235"/>
      <c r="GN16" s="235"/>
      <c r="GO16" s="235"/>
      <c r="GP16" s="235"/>
      <c r="GQ16" s="235"/>
      <c r="GR16" s="235"/>
      <c r="GS16" s="235"/>
      <c r="GT16" s="235"/>
      <c r="GU16" s="235"/>
      <c r="GV16" s="235"/>
      <c r="GW16" s="235"/>
      <c r="GX16" s="235"/>
      <c r="GY16" s="235"/>
      <c r="GZ16" s="235"/>
      <c r="HA16" s="235"/>
      <c r="HB16" s="235"/>
      <c r="HC16" s="235"/>
      <c r="HD16" s="235"/>
      <c r="HE16" s="235"/>
      <c r="HF16" s="235"/>
      <c r="HG16" s="235"/>
      <c r="HH16" s="235"/>
      <c r="HI16" s="235"/>
      <c r="HJ16" s="235"/>
      <c r="HK16" s="235"/>
      <c r="HL16" s="235"/>
      <c r="HM16" s="235"/>
      <c r="HN16" s="235"/>
      <c r="HO16" s="235"/>
      <c r="HP16" s="235"/>
      <c r="HQ16" s="235"/>
      <c r="HR16" s="235"/>
      <c r="HS16" s="235"/>
      <c r="HT16" s="235"/>
      <c r="HU16" s="235"/>
      <c r="HV16" s="235"/>
      <c r="HW16" s="235"/>
      <c r="HX16" s="235"/>
      <c r="HY16" s="235"/>
      <c r="HZ16" s="235"/>
      <c r="IA16" s="235"/>
      <c r="IB16" s="235"/>
      <c r="IC16" s="235"/>
      <c r="ID16" s="235"/>
      <c r="IE16" s="235"/>
      <c r="IF16" s="235"/>
      <c r="IG16" s="235"/>
      <c r="IH16" s="235"/>
      <c r="II16" s="235"/>
      <c r="IJ16" s="235"/>
      <c r="IK16" s="235"/>
    </row>
    <row r="17" spans="2:245" s="414" customFormat="1" ht="15">
      <c r="B17" s="419">
        <v>1</v>
      </c>
      <c r="C17" s="172" t="str">
        <f>SUM($A$14:B17)&amp;".0"</f>
        <v>2.0</v>
      </c>
      <c r="D17" s="1460" t="str">
        <f ca="1">VLOOKUP(C17,RESUMO!$B$14:$I$36,3,0)</f>
        <v>S E R V I Ç O S   I N I C I A I S</v>
      </c>
      <c r="E17" s="1461">
        <f ca="1">($Q17*F17/100)</f>
        <v>59725.23</v>
      </c>
      <c r="F17" s="1462">
        <v>100</v>
      </c>
      <c r="G17" s="1461">
        <f ca="1">($Q17*H17/100)</f>
        <v>0</v>
      </c>
      <c r="H17" s="1462"/>
      <c r="I17" s="1461">
        <f ca="1">($Q17*J17/100)</f>
        <v>0</v>
      </c>
      <c r="J17" s="1462"/>
      <c r="K17" s="1461">
        <f ca="1">($Q17*L17/100)</f>
        <v>0</v>
      </c>
      <c r="L17" s="1462"/>
      <c r="M17" s="1461">
        <f ca="1">($Q17*N17/100)</f>
        <v>0</v>
      </c>
      <c r="N17" s="1462"/>
      <c r="O17" s="1461">
        <f ca="1">($Q17*P17/100)</f>
        <v>0</v>
      </c>
      <c r="P17" s="1462"/>
      <c r="Q17" s="1461">
        <f ca="1">VLOOKUP(C17,RESUMO!$B$14:$I$36,8,0)</f>
        <v>59725.23</v>
      </c>
      <c r="R17" s="1462">
        <f ca="1">Q17/$Q$37*100</f>
        <v>1.6257784308075327</v>
      </c>
      <c r="S17" s="229"/>
      <c r="T17" s="1463">
        <f>F17+H17+J17+P17+L17+N17</f>
        <v>100</v>
      </c>
      <c r="U17" s="228"/>
      <c r="V17" s="228"/>
      <c r="W17" s="228"/>
      <c r="X17" s="228"/>
      <c r="Y17" s="228"/>
      <c r="Z17" s="228"/>
      <c r="AA17" s="228"/>
      <c r="AB17" s="228"/>
      <c r="AC17" s="228"/>
      <c r="AD17" s="228"/>
      <c r="AE17" s="228"/>
      <c r="AF17" s="228"/>
      <c r="AG17" s="228"/>
      <c r="AH17" s="228"/>
      <c r="AI17" s="228"/>
      <c r="AJ17" s="228"/>
      <c r="AK17" s="228"/>
      <c r="AL17" s="228"/>
      <c r="AM17" s="228"/>
      <c r="AN17" s="228"/>
      <c r="AO17" s="228"/>
      <c r="AP17" s="228"/>
      <c r="AQ17" s="228"/>
      <c r="AR17" s="228"/>
      <c r="AS17" s="228"/>
      <c r="AT17" s="228"/>
      <c r="AU17" s="228"/>
      <c r="AV17" s="228"/>
      <c r="AW17" s="228"/>
      <c r="AX17" s="228"/>
      <c r="AY17" s="228"/>
      <c r="AZ17" s="228"/>
      <c r="BA17" s="228"/>
      <c r="BB17" s="228"/>
      <c r="BC17" s="228"/>
      <c r="BD17" s="228"/>
      <c r="BE17" s="228"/>
      <c r="BF17" s="228"/>
      <c r="BG17" s="228"/>
      <c r="BH17" s="228"/>
      <c r="BI17" s="228"/>
      <c r="BJ17" s="228"/>
      <c r="BK17" s="228"/>
      <c r="BL17" s="228"/>
      <c r="BM17" s="228"/>
      <c r="BN17" s="228"/>
      <c r="BO17" s="228"/>
      <c r="BP17" s="228"/>
      <c r="BQ17" s="228"/>
      <c r="BR17" s="228"/>
      <c r="BS17" s="228"/>
      <c r="BT17" s="228"/>
      <c r="BU17" s="228"/>
      <c r="BV17" s="228"/>
      <c r="BW17" s="228"/>
      <c r="BX17" s="228"/>
      <c r="BY17" s="228"/>
      <c r="BZ17" s="228"/>
      <c r="CA17" s="228"/>
      <c r="CB17" s="228"/>
      <c r="CC17" s="228"/>
      <c r="CD17" s="228"/>
      <c r="CE17" s="228"/>
      <c r="CF17" s="228"/>
      <c r="CG17" s="228"/>
      <c r="CH17" s="228"/>
      <c r="CI17" s="228"/>
      <c r="CJ17" s="228"/>
      <c r="CK17" s="228"/>
      <c r="CL17" s="228"/>
      <c r="CM17" s="228"/>
      <c r="CN17" s="228"/>
      <c r="CO17" s="228"/>
      <c r="CP17" s="228"/>
      <c r="CQ17" s="228"/>
      <c r="CR17" s="228"/>
      <c r="CS17" s="228"/>
      <c r="CT17" s="228"/>
      <c r="CU17" s="228"/>
      <c r="CV17" s="228"/>
      <c r="CW17" s="228"/>
      <c r="CX17" s="228"/>
      <c r="CY17" s="228"/>
      <c r="CZ17" s="228"/>
      <c r="DA17" s="228"/>
      <c r="DB17" s="228"/>
      <c r="DC17" s="228"/>
      <c r="DD17" s="228"/>
      <c r="DE17" s="228"/>
      <c r="DF17" s="228"/>
      <c r="DG17" s="228"/>
      <c r="DH17" s="228"/>
      <c r="DI17" s="228"/>
      <c r="DJ17" s="228"/>
      <c r="DK17" s="228"/>
      <c r="DL17" s="228"/>
      <c r="DM17" s="228"/>
      <c r="DN17" s="228"/>
      <c r="DO17" s="228"/>
      <c r="DP17" s="228"/>
      <c r="DQ17" s="228"/>
      <c r="DR17" s="228"/>
      <c r="DS17" s="228"/>
      <c r="DT17" s="228"/>
      <c r="DU17" s="228"/>
      <c r="DV17" s="228"/>
      <c r="DW17" s="228"/>
      <c r="DX17" s="228"/>
      <c r="DY17" s="228"/>
      <c r="DZ17" s="228"/>
      <c r="EA17" s="228"/>
      <c r="EB17" s="228"/>
      <c r="EC17" s="228"/>
      <c r="ED17" s="228"/>
      <c r="EE17" s="228"/>
      <c r="EF17" s="228"/>
      <c r="EG17" s="228"/>
      <c r="EH17" s="228"/>
      <c r="EI17" s="228"/>
      <c r="EJ17" s="228"/>
      <c r="EK17" s="228"/>
      <c r="EL17" s="228"/>
      <c r="EM17" s="228"/>
      <c r="EN17" s="228"/>
      <c r="EO17" s="228"/>
      <c r="EP17" s="228"/>
      <c r="EQ17" s="228"/>
      <c r="ER17" s="228"/>
      <c r="ES17" s="228"/>
      <c r="ET17" s="228"/>
      <c r="EU17" s="228"/>
      <c r="EV17" s="228"/>
      <c r="EW17" s="228"/>
      <c r="EX17" s="228"/>
      <c r="EY17" s="228"/>
      <c r="EZ17" s="228"/>
      <c r="FA17" s="228"/>
      <c r="FB17" s="228"/>
      <c r="FC17" s="228"/>
      <c r="FD17" s="228"/>
      <c r="FE17" s="228"/>
      <c r="FF17" s="228"/>
      <c r="FG17" s="228"/>
      <c r="FH17" s="228"/>
      <c r="FI17" s="228"/>
      <c r="FJ17" s="228"/>
      <c r="FK17" s="228"/>
      <c r="FL17" s="228"/>
      <c r="FM17" s="228"/>
      <c r="FN17" s="228"/>
      <c r="FO17" s="228"/>
      <c r="FP17" s="228"/>
      <c r="FQ17" s="228"/>
      <c r="FR17" s="228"/>
      <c r="FS17" s="228"/>
      <c r="FT17" s="228"/>
      <c r="FU17" s="228"/>
      <c r="FV17" s="228"/>
      <c r="FW17" s="228"/>
      <c r="FX17" s="228"/>
      <c r="FY17" s="228"/>
      <c r="FZ17" s="228"/>
      <c r="GA17" s="228"/>
      <c r="GB17" s="228"/>
      <c r="GC17" s="228"/>
      <c r="GD17" s="228"/>
      <c r="GE17" s="228"/>
      <c r="GF17" s="228"/>
      <c r="GG17" s="228"/>
      <c r="GH17" s="228"/>
      <c r="GI17" s="228"/>
      <c r="GJ17" s="228"/>
      <c r="GK17" s="228"/>
      <c r="GL17" s="228"/>
      <c r="GM17" s="228"/>
      <c r="GN17" s="228"/>
      <c r="GO17" s="228"/>
      <c r="GP17" s="228"/>
      <c r="GQ17" s="228"/>
      <c r="GR17" s="228"/>
      <c r="GS17" s="228"/>
      <c r="GT17" s="228"/>
      <c r="GU17" s="228"/>
      <c r="GV17" s="228"/>
      <c r="GW17" s="228"/>
      <c r="GX17" s="228"/>
      <c r="GY17" s="228"/>
      <c r="GZ17" s="228"/>
      <c r="HA17" s="228"/>
      <c r="HB17" s="228"/>
      <c r="HC17" s="228"/>
      <c r="HD17" s="228"/>
      <c r="HE17" s="228"/>
      <c r="HF17" s="228"/>
      <c r="HG17" s="228"/>
      <c r="HH17" s="228"/>
      <c r="HI17" s="228"/>
      <c r="HJ17" s="228"/>
      <c r="HK17" s="228"/>
      <c r="HL17" s="228"/>
      <c r="HM17" s="228"/>
      <c r="HN17" s="228"/>
      <c r="HO17" s="228"/>
      <c r="HP17" s="228"/>
      <c r="HQ17" s="228"/>
      <c r="HR17" s="228"/>
      <c r="HS17" s="228"/>
      <c r="HT17" s="228"/>
      <c r="HU17" s="228"/>
      <c r="HV17" s="228"/>
      <c r="HW17" s="228"/>
      <c r="HX17" s="228"/>
      <c r="HY17" s="228"/>
      <c r="HZ17" s="228"/>
      <c r="IA17" s="228"/>
      <c r="IB17" s="228"/>
      <c r="IC17" s="228"/>
      <c r="ID17" s="228"/>
      <c r="IE17" s="228"/>
      <c r="IF17" s="228"/>
      <c r="IG17" s="228"/>
      <c r="IH17" s="228"/>
      <c r="II17" s="228"/>
      <c r="IJ17" s="228"/>
      <c r="IK17" s="228"/>
    </row>
    <row r="18" spans="2:245" s="1464" customFormat="1" ht="6" customHeight="1">
      <c r="C18" s="1465"/>
      <c r="D18" s="1466"/>
      <c r="E18" s="1467"/>
      <c r="F18" s="1467"/>
      <c r="G18" s="1467"/>
      <c r="H18" s="1467"/>
      <c r="I18" s="1467"/>
      <c r="J18" s="1467"/>
      <c r="K18" s="1467"/>
      <c r="L18" s="1467"/>
      <c r="M18" s="1467"/>
      <c r="N18" s="1467"/>
      <c r="O18" s="1467"/>
      <c r="P18" s="1467"/>
      <c r="Q18" s="1467"/>
      <c r="R18" s="1468"/>
      <c r="S18" s="229"/>
      <c r="T18" s="1463"/>
      <c r="U18" s="235"/>
      <c r="V18" s="235"/>
      <c r="W18" s="235"/>
      <c r="X18" s="235"/>
      <c r="Y18" s="235"/>
      <c r="Z18" s="235"/>
      <c r="AA18" s="235"/>
      <c r="AB18" s="235"/>
      <c r="AC18" s="235"/>
      <c r="AD18" s="235"/>
      <c r="AE18" s="235"/>
      <c r="AF18" s="235"/>
      <c r="AG18" s="235"/>
      <c r="AH18" s="235"/>
      <c r="AI18" s="235"/>
      <c r="AJ18" s="235"/>
      <c r="AK18" s="235"/>
      <c r="AL18" s="235"/>
      <c r="AM18" s="235"/>
      <c r="AN18" s="235"/>
      <c r="AO18" s="235"/>
      <c r="AP18" s="235"/>
      <c r="AQ18" s="235"/>
      <c r="AR18" s="235"/>
      <c r="AS18" s="235"/>
      <c r="AT18" s="235"/>
      <c r="AU18" s="235"/>
      <c r="AV18" s="235"/>
      <c r="AW18" s="235"/>
      <c r="AX18" s="235"/>
      <c r="AY18" s="235"/>
      <c r="AZ18" s="235"/>
      <c r="BA18" s="235"/>
      <c r="BB18" s="235"/>
      <c r="BC18" s="235"/>
      <c r="BD18" s="235"/>
      <c r="BE18" s="235"/>
      <c r="BF18" s="235"/>
      <c r="BG18" s="235"/>
      <c r="BH18" s="235"/>
      <c r="BI18" s="235"/>
      <c r="BJ18" s="235"/>
      <c r="BK18" s="235"/>
      <c r="BL18" s="235"/>
      <c r="BM18" s="235"/>
      <c r="BN18" s="235"/>
      <c r="BO18" s="235"/>
      <c r="BP18" s="235"/>
      <c r="BQ18" s="235"/>
      <c r="BR18" s="235"/>
      <c r="BS18" s="235"/>
      <c r="BT18" s="235"/>
      <c r="BU18" s="235"/>
      <c r="BV18" s="235"/>
      <c r="BW18" s="235"/>
      <c r="BX18" s="235"/>
      <c r="BY18" s="235"/>
      <c r="BZ18" s="235"/>
      <c r="CA18" s="235"/>
      <c r="CB18" s="235"/>
      <c r="CC18" s="235"/>
      <c r="CD18" s="235"/>
      <c r="CE18" s="235"/>
      <c r="CF18" s="235"/>
      <c r="CG18" s="235"/>
      <c r="CH18" s="235"/>
      <c r="CI18" s="235"/>
      <c r="CJ18" s="235"/>
      <c r="CK18" s="235"/>
      <c r="CL18" s="235"/>
      <c r="CM18" s="235"/>
      <c r="CN18" s="235"/>
      <c r="CO18" s="235"/>
      <c r="CP18" s="235"/>
      <c r="CQ18" s="235"/>
      <c r="CR18" s="235"/>
      <c r="CS18" s="235"/>
      <c r="CT18" s="235"/>
      <c r="CU18" s="235"/>
      <c r="CV18" s="235"/>
      <c r="CW18" s="235"/>
      <c r="CX18" s="235"/>
      <c r="CY18" s="235"/>
      <c r="CZ18" s="235"/>
      <c r="DA18" s="235"/>
      <c r="DB18" s="235"/>
      <c r="DC18" s="235"/>
      <c r="DD18" s="235"/>
      <c r="DE18" s="235"/>
      <c r="DF18" s="235"/>
      <c r="DG18" s="235"/>
      <c r="DH18" s="235"/>
      <c r="DI18" s="235"/>
      <c r="DJ18" s="235"/>
      <c r="DK18" s="235"/>
      <c r="DL18" s="235"/>
      <c r="DM18" s="235"/>
      <c r="DN18" s="235"/>
      <c r="DO18" s="235"/>
      <c r="DP18" s="235"/>
      <c r="DQ18" s="235"/>
      <c r="DR18" s="235"/>
      <c r="DS18" s="235"/>
      <c r="DT18" s="235"/>
      <c r="DU18" s="235"/>
      <c r="DV18" s="235"/>
      <c r="DW18" s="235"/>
      <c r="DX18" s="235"/>
      <c r="DY18" s="235"/>
      <c r="DZ18" s="235"/>
      <c r="EA18" s="235"/>
      <c r="EB18" s="235"/>
      <c r="EC18" s="235"/>
      <c r="ED18" s="235"/>
      <c r="EE18" s="235"/>
      <c r="EF18" s="235"/>
      <c r="EG18" s="235"/>
      <c r="EH18" s="235"/>
      <c r="EI18" s="235"/>
      <c r="EJ18" s="235"/>
      <c r="EK18" s="235"/>
      <c r="EL18" s="235"/>
      <c r="EM18" s="235"/>
      <c r="EN18" s="235"/>
      <c r="EO18" s="235"/>
      <c r="EP18" s="235"/>
      <c r="EQ18" s="235"/>
      <c r="ER18" s="235"/>
      <c r="ES18" s="235"/>
      <c r="ET18" s="235"/>
      <c r="EU18" s="235"/>
      <c r="EV18" s="235"/>
      <c r="EW18" s="235"/>
      <c r="EX18" s="235"/>
      <c r="EY18" s="235"/>
      <c r="EZ18" s="235"/>
      <c r="FA18" s="235"/>
      <c r="FB18" s="235"/>
      <c r="FC18" s="235"/>
      <c r="FD18" s="235"/>
      <c r="FE18" s="235"/>
      <c r="FF18" s="235"/>
      <c r="FG18" s="235"/>
      <c r="FH18" s="235"/>
      <c r="FI18" s="235"/>
      <c r="FJ18" s="235"/>
      <c r="FK18" s="235"/>
      <c r="FL18" s="235"/>
      <c r="FM18" s="235"/>
      <c r="FN18" s="235"/>
      <c r="FO18" s="235"/>
      <c r="FP18" s="235"/>
      <c r="FQ18" s="235"/>
      <c r="FR18" s="235"/>
      <c r="FS18" s="235"/>
      <c r="FT18" s="235"/>
      <c r="FU18" s="235"/>
      <c r="FV18" s="235"/>
      <c r="FW18" s="235"/>
      <c r="FX18" s="235"/>
      <c r="FY18" s="235"/>
      <c r="FZ18" s="235"/>
      <c r="GA18" s="235"/>
      <c r="GB18" s="235"/>
      <c r="GC18" s="235"/>
      <c r="GD18" s="235"/>
      <c r="GE18" s="235"/>
      <c r="GF18" s="235"/>
      <c r="GG18" s="235"/>
      <c r="GH18" s="235"/>
      <c r="GI18" s="235"/>
      <c r="GJ18" s="235"/>
      <c r="GK18" s="235"/>
      <c r="GL18" s="235"/>
      <c r="GM18" s="235"/>
      <c r="GN18" s="235"/>
      <c r="GO18" s="235"/>
      <c r="GP18" s="235"/>
      <c r="GQ18" s="235"/>
      <c r="GR18" s="235"/>
      <c r="GS18" s="235"/>
      <c r="GT18" s="235"/>
      <c r="GU18" s="235"/>
      <c r="GV18" s="235"/>
      <c r="GW18" s="235"/>
      <c r="GX18" s="235"/>
      <c r="GY18" s="235"/>
      <c r="GZ18" s="235"/>
      <c r="HA18" s="235"/>
      <c r="HB18" s="235"/>
      <c r="HC18" s="235"/>
      <c r="HD18" s="235"/>
      <c r="HE18" s="235"/>
      <c r="HF18" s="235"/>
      <c r="HG18" s="235"/>
      <c r="HH18" s="235"/>
      <c r="HI18" s="235"/>
      <c r="HJ18" s="235"/>
      <c r="HK18" s="235"/>
      <c r="HL18" s="235"/>
      <c r="HM18" s="235"/>
      <c r="HN18" s="235"/>
      <c r="HO18" s="235"/>
      <c r="HP18" s="235"/>
      <c r="HQ18" s="235"/>
      <c r="HR18" s="235"/>
      <c r="HS18" s="235"/>
      <c r="HT18" s="235"/>
      <c r="HU18" s="235"/>
      <c r="HV18" s="235"/>
      <c r="HW18" s="235"/>
      <c r="HX18" s="235"/>
      <c r="HY18" s="235"/>
      <c r="HZ18" s="235"/>
      <c r="IA18" s="235"/>
      <c r="IB18" s="235"/>
      <c r="IC18" s="235"/>
      <c r="ID18" s="235"/>
      <c r="IE18" s="235"/>
      <c r="IF18" s="235"/>
      <c r="IG18" s="235"/>
      <c r="IH18" s="235"/>
      <c r="II18" s="235"/>
      <c r="IJ18" s="235"/>
      <c r="IK18" s="235"/>
    </row>
    <row r="19" spans="2:245" s="414" customFormat="1" ht="30">
      <c r="B19" s="419">
        <v>1</v>
      </c>
      <c r="C19" s="172" t="str">
        <f>SUM($A$14:B19)&amp;".0"</f>
        <v>3.0</v>
      </c>
      <c r="D19" s="1460" t="str">
        <f ca="1">VLOOKUP(C19,RESUMO!$B$14:$I$36,3,0)</f>
        <v>A D U T O R A  D E  Á G U A  T R A T A D A</v>
      </c>
      <c r="E19" s="1461">
        <f ca="1">($Q19*F19/100)</f>
        <v>567802.09500000009</v>
      </c>
      <c r="F19" s="1462">
        <v>50</v>
      </c>
      <c r="G19" s="1461">
        <f ca="1">($Q19*H19/100)</f>
        <v>567802.09500000009</v>
      </c>
      <c r="H19" s="1462">
        <v>50</v>
      </c>
      <c r="I19" s="1461">
        <f ca="1">($Q19*J19/100)</f>
        <v>0</v>
      </c>
      <c r="J19" s="1462"/>
      <c r="K19" s="1461">
        <f ca="1">($Q19*L19/100)</f>
        <v>0</v>
      </c>
      <c r="L19" s="1462"/>
      <c r="M19" s="1461">
        <f ca="1">($Q19*N19/100)</f>
        <v>0</v>
      </c>
      <c r="N19" s="1462"/>
      <c r="O19" s="1461">
        <f ca="1">($Q19*P19/100)</f>
        <v>0</v>
      </c>
      <c r="P19" s="1462"/>
      <c r="Q19" s="1461">
        <f ca="1">VLOOKUP(C19,RESUMO!$B$14:$I$36,8,0)</f>
        <v>1135604.1900000002</v>
      </c>
      <c r="R19" s="1462">
        <f ca="1">Q19/$Q$37*100</f>
        <v>30.91224258218276</v>
      </c>
      <c r="S19" s="229"/>
      <c r="T19" s="1463">
        <f>F19+H19+J19+P19+L19+N19</f>
        <v>100</v>
      </c>
      <c r="U19" s="228"/>
      <c r="V19" s="228"/>
      <c r="W19" s="228"/>
      <c r="X19" s="228"/>
      <c r="Y19" s="228"/>
      <c r="Z19" s="228"/>
      <c r="AA19" s="228"/>
      <c r="AB19" s="228"/>
      <c r="AC19" s="228"/>
      <c r="AD19" s="228"/>
      <c r="AE19" s="228"/>
      <c r="AF19" s="228"/>
      <c r="AG19" s="228"/>
      <c r="AH19" s="228"/>
      <c r="AI19" s="228"/>
      <c r="AJ19" s="228"/>
      <c r="AK19" s="228"/>
      <c r="AL19" s="228"/>
      <c r="AM19" s="228"/>
      <c r="AN19" s="228"/>
      <c r="AO19" s="228"/>
      <c r="AP19" s="228"/>
      <c r="AQ19" s="228"/>
      <c r="AR19" s="228"/>
      <c r="AS19" s="228"/>
      <c r="AT19" s="228"/>
      <c r="AU19" s="228"/>
      <c r="AV19" s="228"/>
      <c r="AW19" s="228"/>
      <c r="AX19" s="228"/>
      <c r="AY19" s="228"/>
      <c r="AZ19" s="228"/>
      <c r="BA19" s="228"/>
      <c r="BB19" s="228"/>
      <c r="BC19" s="228"/>
      <c r="BD19" s="228"/>
      <c r="BE19" s="228"/>
      <c r="BF19" s="228"/>
      <c r="BG19" s="228"/>
      <c r="BH19" s="228"/>
      <c r="BI19" s="228"/>
      <c r="BJ19" s="228"/>
      <c r="BK19" s="228"/>
      <c r="BL19" s="228"/>
      <c r="BM19" s="228"/>
      <c r="BN19" s="228"/>
      <c r="BO19" s="228"/>
      <c r="BP19" s="228"/>
      <c r="BQ19" s="228"/>
      <c r="BR19" s="228"/>
      <c r="BS19" s="228"/>
      <c r="BT19" s="228"/>
      <c r="BU19" s="228"/>
      <c r="BV19" s="228"/>
      <c r="BW19" s="228"/>
      <c r="BX19" s="228"/>
      <c r="BY19" s="228"/>
      <c r="BZ19" s="228"/>
      <c r="CA19" s="228"/>
      <c r="CB19" s="228"/>
      <c r="CC19" s="228"/>
      <c r="CD19" s="228"/>
      <c r="CE19" s="228"/>
      <c r="CF19" s="228"/>
      <c r="CG19" s="228"/>
      <c r="CH19" s="228"/>
      <c r="CI19" s="228"/>
      <c r="CJ19" s="228"/>
      <c r="CK19" s="228"/>
      <c r="CL19" s="228"/>
      <c r="CM19" s="228"/>
      <c r="CN19" s="228"/>
      <c r="CO19" s="228"/>
      <c r="CP19" s="228"/>
      <c r="CQ19" s="228"/>
      <c r="CR19" s="228"/>
      <c r="CS19" s="228"/>
      <c r="CT19" s="228"/>
      <c r="CU19" s="228"/>
      <c r="CV19" s="228"/>
      <c r="CW19" s="228"/>
      <c r="CX19" s="228"/>
      <c r="CY19" s="228"/>
      <c r="CZ19" s="228"/>
      <c r="DA19" s="228"/>
      <c r="DB19" s="228"/>
      <c r="DC19" s="228"/>
      <c r="DD19" s="228"/>
      <c r="DE19" s="228"/>
      <c r="DF19" s="228"/>
      <c r="DG19" s="228"/>
      <c r="DH19" s="228"/>
      <c r="DI19" s="228"/>
      <c r="DJ19" s="228"/>
      <c r="DK19" s="228"/>
      <c r="DL19" s="228"/>
      <c r="DM19" s="228"/>
      <c r="DN19" s="228"/>
      <c r="DO19" s="228"/>
      <c r="DP19" s="228"/>
      <c r="DQ19" s="228"/>
      <c r="DR19" s="228"/>
      <c r="DS19" s="228"/>
      <c r="DT19" s="228"/>
      <c r="DU19" s="228"/>
      <c r="DV19" s="228"/>
      <c r="DW19" s="228"/>
      <c r="DX19" s="228"/>
      <c r="DY19" s="228"/>
      <c r="DZ19" s="228"/>
      <c r="EA19" s="228"/>
      <c r="EB19" s="228"/>
      <c r="EC19" s="228"/>
      <c r="ED19" s="228"/>
      <c r="EE19" s="228"/>
      <c r="EF19" s="228"/>
      <c r="EG19" s="228"/>
      <c r="EH19" s="228"/>
      <c r="EI19" s="228"/>
      <c r="EJ19" s="228"/>
      <c r="EK19" s="228"/>
      <c r="EL19" s="228"/>
      <c r="EM19" s="228"/>
      <c r="EN19" s="228"/>
      <c r="EO19" s="228"/>
      <c r="EP19" s="228"/>
      <c r="EQ19" s="228"/>
      <c r="ER19" s="228"/>
      <c r="ES19" s="228"/>
      <c r="ET19" s="228"/>
      <c r="EU19" s="228"/>
      <c r="EV19" s="228"/>
      <c r="EW19" s="228"/>
      <c r="EX19" s="228"/>
      <c r="EY19" s="228"/>
      <c r="EZ19" s="228"/>
      <c r="FA19" s="228"/>
      <c r="FB19" s="228"/>
      <c r="FC19" s="228"/>
      <c r="FD19" s="228"/>
      <c r="FE19" s="228"/>
      <c r="FF19" s="228"/>
      <c r="FG19" s="228"/>
      <c r="FH19" s="228"/>
      <c r="FI19" s="228"/>
      <c r="FJ19" s="228"/>
      <c r="FK19" s="228"/>
      <c r="FL19" s="228"/>
      <c r="FM19" s="228"/>
      <c r="FN19" s="228"/>
      <c r="FO19" s="228"/>
      <c r="FP19" s="228"/>
      <c r="FQ19" s="228"/>
      <c r="FR19" s="228"/>
      <c r="FS19" s="228"/>
      <c r="FT19" s="228"/>
      <c r="FU19" s="228"/>
      <c r="FV19" s="228"/>
      <c r="FW19" s="228"/>
      <c r="FX19" s="228"/>
      <c r="FY19" s="228"/>
      <c r="FZ19" s="228"/>
      <c r="GA19" s="228"/>
      <c r="GB19" s="228"/>
      <c r="GC19" s="228"/>
      <c r="GD19" s="228"/>
      <c r="GE19" s="228"/>
      <c r="GF19" s="228"/>
      <c r="GG19" s="228"/>
      <c r="GH19" s="228"/>
      <c r="GI19" s="228"/>
      <c r="GJ19" s="228"/>
      <c r="GK19" s="228"/>
      <c r="GL19" s="228"/>
      <c r="GM19" s="228"/>
      <c r="GN19" s="228"/>
      <c r="GO19" s="228"/>
      <c r="GP19" s="228"/>
      <c r="GQ19" s="228"/>
      <c r="GR19" s="228"/>
      <c r="GS19" s="228"/>
      <c r="GT19" s="228"/>
      <c r="GU19" s="228"/>
      <c r="GV19" s="228"/>
      <c r="GW19" s="228"/>
      <c r="GX19" s="228"/>
      <c r="GY19" s="228"/>
      <c r="GZ19" s="228"/>
      <c r="HA19" s="228"/>
      <c r="HB19" s="228"/>
      <c r="HC19" s="228"/>
      <c r="HD19" s="228"/>
      <c r="HE19" s="228"/>
      <c r="HF19" s="228"/>
      <c r="HG19" s="228"/>
      <c r="HH19" s="228"/>
      <c r="HI19" s="228"/>
      <c r="HJ19" s="228"/>
      <c r="HK19" s="228"/>
      <c r="HL19" s="228"/>
      <c r="HM19" s="228"/>
      <c r="HN19" s="228"/>
      <c r="HO19" s="228"/>
      <c r="HP19" s="228"/>
      <c r="HQ19" s="228"/>
      <c r="HR19" s="228"/>
      <c r="HS19" s="228"/>
      <c r="HT19" s="228"/>
      <c r="HU19" s="228"/>
      <c r="HV19" s="228"/>
      <c r="HW19" s="228"/>
      <c r="HX19" s="228"/>
      <c r="HY19" s="228"/>
      <c r="HZ19" s="228"/>
      <c r="IA19" s="228"/>
      <c r="IB19" s="228"/>
      <c r="IC19" s="228"/>
      <c r="ID19" s="228"/>
      <c r="IE19" s="228"/>
      <c r="IF19" s="228"/>
      <c r="IG19" s="228"/>
      <c r="IH19" s="228"/>
      <c r="II19" s="228"/>
      <c r="IJ19" s="228"/>
      <c r="IK19" s="228"/>
    </row>
    <row r="20" spans="2:245" s="1464" customFormat="1" ht="6" customHeight="1">
      <c r="C20" s="1465"/>
      <c r="D20" s="1466"/>
      <c r="E20" s="1467"/>
      <c r="F20" s="1467"/>
      <c r="G20" s="1467"/>
      <c r="H20" s="1467"/>
      <c r="I20" s="1467"/>
      <c r="J20" s="1467"/>
      <c r="K20" s="1467"/>
      <c r="L20" s="1467"/>
      <c r="M20" s="1467"/>
      <c r="N20" s="1467"/>
      <c r="O20" s="1467"/>
      <c r="P20" s="1467"/>
      <c r="Q20" s="1467"/>
      <c r="R20" s="1468"/>
      <c r="S20" s="229"/>
      <c r="T20" s="1463"/>
      <c r="U20" s="235"/>
      <c r="V20" s="235"/>
      <c r="W20" s="235"/>
      <c r="X20" s="235"/>
      <c r="Y20" s="235"/>
      <c r="Z20" s="235"/>
      <c r="AA20" s="235"/>
      <c r="AB20" s="235"/>
      <c r="AC20" s="235"/>
      <c r="AD20" s="235"/>
      <c r="AE20" s="235"/>
      <c r="AF20" s="235"/>
      <c r="AG20" s="235"/>
      <c r="AH20" s="235"/>
      <c r="AI20" s="235"/>
      <c r="AJ20" s="235"/>
      <c r="AK20" s="235"/>
      <c r="AL20" s="235"/>
      <c r="AM20" s="235"/>
      <c r="AN20" s="235"/>
      <c r="AO20" s="235"/>
      <c r="AP20" s="235"/>
      <c r="AQ20" s="235"/>
      <c r="AR20" s="235"/>
      <c r="AS20" s="235"/>
      <c r="AT20" s="235"/>
      <c r="AU20" s="235"/>
      <c r="AV20" s="235"/>
      <c r="AW20" s="235"/>
      <c r="AX20" s="235"/>
      <c r="AY20" s="235"/>
      <c r="AZ20" s="235"/>
      <c r="BA20" s="235"/>
      <c r="BB20" s="235"/>
      <c r="BC20" s="235"/>
      <c r="BD20" s="235"/>
      <c r="BE20" s="235"/>
      <c r="BF20" s="235"/>
      <c r="BG20" s="235"/>
      <c r="BH20" s="235"/>
      <c r="BI20" s="235"/>
      <c r="BJ20" s="235"/>
      <c r="BK20" s="235"/>
      <c r="BL20" s="235"/>
      <c r="BM20" s="235"/>
      <c r="BN20" s="235"/>
      <c r="BO20" s="235"/>
      <c r="BP20" s="235"/>
      <c r="BQ20" s="235"/>
      <c r="BR20" s="235"/>
      <c r="BS20" s="235"/>
      <c r="BT20" s="235"/>
      <c r="BU20" s="235"/>
      <c r="BV20" s="235"/>
      <c r="BW20" s="235"/>
      <c r="BX20" s="235"/>
      <c r="BY20" s="235"/>
      <c r="BZ20" s="235"/>
      <c r="CA20" s="235"/>
      <c r="CB20" s="235"/>
      <c r="CC20" s="235"/>
      <c r="CD20" s="235"/>
      <c r="CE20" s="235"/>
      <c r="CF20" s="235"/>
      <c r="CG20" s="235"/>
      <c r="CH20" s="235"/>
      <c r="CI20" s="235"/>
      <c r="CJ20" s="235"/>
      <c r="CK20" s="235"/>
      <c r="CL20" s="235"/>
      <c r="CM20" s="235"/>
      <c r="CN20" s="235"/>
      <c r="CO20" s="235"/>
      <c r="CP20" s="235"/>
      <c r="CQ20" s="235"/>
      <c r="CR20" s="235"/>
      <c r="CS20" s="235"/>
      <c r="CT20" s="235"/>
      <c r="CU20" s="235"/>
      <c r="CV20" s="235"/>
      <c r="CW20" s="235"/>
      <c r="CX20" s="235"/>
      <c r="CY20" s="235"/>
      <c r="CZ20" s="235"/>
      <c r="DA20" s="235"/>
      <c r="DB20" s="235"/>
      <c r="DC20" s="235"/>
      <c r="DD20" s="235"/>
      <c r="DE20" s="235"/>
      <c r="DF20" s="235"/>
      <c r="DG20" s="235"/>
      <c r="DH20" s="235"/>
      <c r="DI20" s="235"/>
      <c r="DJ20" s="235"/>
      <c r="DK20" s="235"/>
      <c r="DL20" s="235"/>
      <c r="DM20" s="235"/>
      <c r="DN20" s="235"/>
      <c r="DO20" s="235"/>
      <c r="DP20" s="235"/>
      <c r="DQ20" s="235"/>
      <c r="DR20" s="235"/>
      <c r="DS20" s="235"/>
      <c r="DT20" s="235"/>
      <c r="DU20" s="235"/>
      <c r="DV20" s="235"/>
      <c r="DW20" s="235"/>
      <c r="DX20" s="235"/>
      <c r="DY20" s="235"/>
      <c r="DZ20" s="235"/>
      <c r="EA20" s="235"/>
      <c r="EB20" s="235"/>
      <c r="EC20" s="235"/>
      <c r="ED20" s="235"/>
      <c r="EE20" s="235"/>
      <c r="EF20" s="235"/>
      <c r="EG20" s="235"/>
      <c r="EH20" s="235"/>
      <c r="EI20" s="235"/>
      <c r="EJ20" s="235"/>
      <c r="EK20" s="235"/>
      <c r="EL20" s="235"/>
      <c r="EM20" s="235"/>
      <c r="EN20" s="235"/>
      <c r="EO20" s="235"/>
      <c r="EP20" s="235"/>
      <c r="EQ20" s="235"/>
      <c r="ER20" s="235"/>
      <c r="ES20" s="235"/>
      <c r="ET20" s="235"/>
      <c r="EU20" s="235"/>
      <c r="EV20" s="235"/>
      <c r="EW20" s="235"/>
      <c r="EX20" s="235"/>
      <c r="EY20" s="235"/>
      <c r="EZ20" s="235"/>
      <c r="FA20" s="235"/>
      <c r="FB20" s="235"/>
      <c r="FC20" s="235"/>
      <c r="FD20" s="235"/>
      <c r="FE20" s="235"/>
      <c r="FF20" s="235"/>
      <c r="FG20" s="235"/>
      <c r="FH20" s="235"/>
      <c r="FI20" s="235"/>
      <c r="FJ20" s="235"/>
      <c r="FK20" s="235"/>
      <c r="FL20" s="235"/>
      <c r="FM20" s="235"/>
      <c r="FN20" s="235"/>
      <c r="FO20" s="235"/>
      <c r="FP20" s="235"/>
      <c r="FQ20" s="235"/>
      <c r="FR20" s="235"/>
      <c r="FS20" s="235"/>
      <c r="FT20" s="235"/>
      <c r="FU20" s="235"/>
      <c r="FV20" s="235"/>
      <c r="FW20" s="235"/>
      <c r="FX20" s="235"/>
      <c r="FY20" s="235"/>
      <c r="FZ20" s="235"/>
      <c r="GA20" s="235"/>
      <c r="GB20" s="235"/>
      <c r="GC20" s="235"/>
      <c r="GD20" s="235"/>
      <c r="GE20" s="235"/>
      <c r="GF20" s="235"/>
      <c r="GG20" s="235"/>
      <c r="GH20" s="235"/>
      <c r="GI20" s="235"/>
      <c r="GJ20" s="235"/>
      <c r="GK20" s="235"/>
      <c r="GL20" s="235"/>
      <c r="GM20" s="235"/>
      <c r="GN20" s="235"/>
      <c r="GO20" s="235"/>
      <c r="GP20" s="235"/>
      <c r="GQ20" s="235"/>
      <c r="GR20" s="235"/>
      <c r="GS20" s="235"/>
      <c r="GT20" s="235"/>
      <c r="GU20" s="235"/>
      <c r="GV20" s="235"/>
      <c r="GW20" s="235"/>
      <c r="GX20" s="235"/>
      <c r="GY20" s="235"/>
      <c r="GZ20" s="235"/>
      <c r="HA20" s="235"/>
      <c r="HB20" s="235"/>
      <c r="HC20" s="235"/>
      <c r="HD20" s="235"/>
      <c r="HE20" s="235"/>
      <c r="HF20" s="235"/>
      <c r="HG20" s="235"/>
      <c r="HH20" s="235"/>
      <c r="HI20" s="235"/>
      <c r="HJ20" s="235"/>
      <c r="HK20" s="235"/>
      <c r="HL20" s="235"/>
      <c r="HM20" s="235"/>
      <c r="HN20" s="235"/>
      <c r="HO20" s="235"/>
      <c r="HP20" s="235"/>
      <c r="HQ20" s="235"/>
      <c r="HR20" s="235"/>
      <c r="HS20" s="235"/>
      <c r="HT20" s="235"/>
      <c r="HU20" s="235"/>
      <c r="HV20" s="235"/>
      <c r="HW20" s="235"/>
      <c r="HX20" s="235"/>
      <c r="HY20" s="235"/>
      <c r="HZ20" s="235"/>
      <c r="IA20" s="235"/>
      <c r="IB20" s="235"/>
      <c r="IC20" s="235"/>
      <c r="ID20" s="235"/>
      <c r="IE20" s="235"/>
      <c r="IF20" s="235"/>
      <c r="IG20" s="235"/>
      <c r="IH20" s="235"/>
      <c r="II20" s="235"/>
      <c r="IJ20" s="235"/>
      <c r="IK20" s="235"/>
    </row>
    <row r="21" spans="2:245" s="414" customFormat="1" ht="30">
      <c r="B21" s="419">
        <v>1</v>
      </c>
      <c r="C21" s="172" t="str">
        <f>SUM($A$14:B21)&amp;".0"</f>
        <v>4.0</v>
      </c>
      <c r="D21" s="1460" t="str">
        <f ca="1">VLOOKUP(C21,RESUMO!$B$14:$I$36,3,0)</f>
        <v>I N S T A L A Ç Õ E S  E L É T R I C A S - B O M B A 1 5 C V</v>
      </c>
      <c r="E21" s="1461">
        <f ca="1">($Q21*F21/100)</f>
        <v>33422.449999999997</v>
      </c>
      <c r="F21" s="1462">
        <v>100</v>
      </c>
      <c r="G21" s="1461">
        <f ca="1">($Q21*H21/100)</f>
        <v>0</v>
      </c>
      <c r="H21" s="1462"/>
      <c r="I21" s="1461">
        <f ca="1">($Q21*J21/100)</f>
        <v>0</v>
      </c>
      <c r="J21" s="1462"/>
      <c r="K21" s="1461">
        <f ca="1">($Q21*L21/100)</f>
        <v>0</v>
      </c>
      <c r="L21" s="1462"/>
      <c r="M21" s="1461">
        <f ca="1">($Q21*N21/100)</f>
        <v>0</v>
      </c>
      <c r="N21" s="1462"/>
      <c r="O21" s="1461">
        <f ca="1">($Q21*P21/100)</f>
        <v>0</v>
      </c>
      <c r="P21" s="1462"/>
      <c r="Q21" s="1461">
        <f ca="1">VLOOKUP(C21,RESUMO!$B$14:$I$36,8,0)</f>
        <v>33422.449999999997</v>
      </c>
      <c r="R21" s="1462">
        <f ca="1">Q21/$Q$37*100</f>
        <v>0.909791361452157</v>
      </c>
      <c r="S21" s="229"/>
      <c r="T21" s="1463">
        <f>F21+H21+J21+P21+L21+N21</f>
        <v>100</v>
      </c>
      <c r="U21" s="228"/>
      <c r="V21" s="228"/>
      <c r="W21" s="228"/>
      <c r="X21" s="228"/>
      <c r="Y21" s="228"/>
      <c r="Z21" s="228"/>
      <c r="AA21" s="228"/>
      <c r="AB21" s="228"/>
      <c r="AC21" s="228"/>
      <c r="AD21" s="228"/>
      <c r="AE21" s="228"/>
      <c r="AF21" s="228"/>
      <c r="AG21" s="228"/>
      <c r="AH21" s="228"/>
      <c r="AI21" s="228"/>
      <c r="AJ21" s="228"/>
      <c r="AK21" s="228"/>
      <c r="AL21" s="228"/>
      <c r="AM21" s="228"/>
      <c r="AN21" s="228"/>
      <c r="AO21" s="228"/>
      <c r="AP21" s="228"/>
      <c r="AQ21" s="228"/>
      <c r="AR21" s="228"/>
      <c r="AS21" s="228"/>
      <c r="AT21" s="228"/>
      <c r="AU21" s="228"/>
      <c r="AV21" s="228"/>
      <c r="AW21" s="228"/>
      <c r="AX21" s="228"/>
      <c r="AY21" s="228"/>
      <c r="AZ21" s="228"/>
      <c r="BA21" s="228"/>
      <c r="BB21" s="228"/>
      <c r="BC21" s="228"/>
      <c r="BD21" s="228"/>
      <c r="BE21" s="228"/>
      <c r="BF21" s="228"/>
      <c r="BG21" s="228"/>
      <c r="BH21" s="228"/>
      <c r="BI21" s="228"/>
      <c r="BJ21" s="228"/>
      <c r="BK21" s="228"/>
      <c r="BL21" s="228"/>
      <c r="BM21" s="228"/>
      <c r="BN21" s="228"/>
      <c r="BO21" s="228"/>
      <c r="BP21" s="228"/>
      <c r="BQ21" s="228"/>
      <c r="BR21" s="228"/>
      <c r="BS21" s="228"/>
      <c r="BT21" s="228"/>
      <c r="BU21" s="228"/>
      <c r="BV21" s="228"/>
      <c r="BW21" s="228"/>
      <c r="BX21" s="228"/>
      <c r="BY21" s="228"/>
      <c r="BZ21" s="228"/>
      <c r="CA21" s="228"/>
      <c r="CB21" s="228"/>
      <c r="CC21" s="228"/>
      <c r="CD21" s="228"/>
      <c r="CE21" s="228"/>
      <c r="CF21" s="228"/>
      <c r="CG21" s="228"/>
      <c r="CH21" s="228"/>
      <c r="CI21" s="228"/>
      <c r="CJ21" s="228"/>
      <c r="CK21" s="228"/>
      <c r="CL21" s="228"/>
      <c r="CM21" s="228"/>
      <c r="CN21" s="228"/>
      <c r="CO21" s="228"/>
      <c r="CP21" s="228"/>
      <c r="CQ21" s="228"/>
      <c r="CR21" s="228"/>
      <c r="CS21" s="228"/>
      <c r="CT21" s="228"/>
      <c r="CU21" s="228"/>
      <c r="CV21" s="228"/>
      <c r="CW21" s="228"/>
      <c r="CX21" s="228"/>
      <c r="CY21" s="228"/>
      <c r="CZ21" s="228"/>
      <c r="DA21" s="228"/>
      <c r="DB21" s="228"/>
      <c r="DC21" s="228"/>
      <c r="DD21" s="228"/>
      <c r="DE21" s="228"/>
      <c r="DF21" s="228"/>
      <c r="DG21" s="228"/>
      <c r="DH21" s="228"/>
      <c r="DI21" s="228"/>
      <c r="DJ21" s="228"/>
      <c r="DK21" s="228"/>
      <c r="DL21" s="228"/>
      <c r="DM21" s="228"/>
      <c r="DN21" s="228"/>
      <c r="DO21" s="228"/>
      <c r="DP21" s="228"/>
      <c r="DQ21" s="228"/>
      <c r="DR21" s="228"/>
      <c r="DS21" s="228"/>
      <c r="DT21" s="228"/>
      <c r="DU21" s="228"/>
      <c r="DV21" s="228"/>
      <c r="DW21" s="228"/>
      <c r="DX21" s="228"/>
      <c r="DY21" s="228"/>
      <c r="DZ21" s="228"/>
      <c r="EA21" s="228"/>
      <c r="EB21" s="228"/>
      <c r="EC21" s="228"/>
      <c r="ED21" s="228"/>
      <c r="EE21" s="228"/>
      <c r="EF21" s="228"/>
      <c r="EG21" s="228"/>
      <c r="EH21" s="228"/>
      <c r="EI21" s="228"/>
      <c r="EJ21" s="228"/>
      <c r="EK21" s="228"/>
      <c r="EL21" s="228"/>
      <c r="EM21" s="228"/>
      <c r="EN21" s="228"/>
      <c r="EO21" s="228"/>
      <c r="EP21" s="228"/>
      <c r="EQ21" s="228"/>
      <c r="ER21" s="228"/>
      <c r="ES21" s="228"/>
      <c r="ET21" s="228"/>
      <c r="EU21" s="228"/>
      <c r="EV21" s="228"/>
      <c r="EW21" s="228"/>
      <c r="EX21" s="228"/>
      <c r="EY21" s="228"/>
      <c r="EZ21" s="228"/>
      <c r="FA21" s="228"/>
      <c r="FB21" s="228"/>
      <c r="FC21" s="228"/>
      <c r="FD21" s="228"/>
      <c r="FE21" s="228"/>
      <c r="FF21" s="228"/>
      <c r="FG21" s="228"/>
      <c r="FH21" s="228"/>
      <c r="FI21" s="228"/>
      <c r="FJ21" s="228"/>
      <c r="FK21" s="228"/>
      <c r="FL21" s="228"/>
      <c r="FM21" s="228"/>
      <c r="FN21" s="228"/>
      <c r="FO21" s="228"/>
      <c r="FP21" s="228"/>
      <c r="FQ21" s="228"/>
      <c r="FR21" s="228"/>
      <c r="FS21" s="228"/>
      <c r="FT21" s="228"/>
      <c r="FU21" s="228"/>
      <c r="FV21" s="228"/>
      <c r="FW21" s="228"/>
      <c r="FX21" s="228"/>
      <c r="FY21" s="228"/>
      <c r="FZ21" s="228"/>
      <c r="GA21" s="228"/>
      <c r="GB21" s="228"/>
      <c r="GC21" s="228"/>
      <c r="GD21" s="228"/>
      <c r="GE21" s="228"/>
      <c r="GF21" s="228"/>
      <c r="GG21" s="228"/>
      <c r="GH21" s="228"/>
      <c r="GI21" s="228"/>
      <c r="GJ21" s="228"/>
      <c r="GK21" s="228"/>
      <c r="GL21" s="228"/>
      <c r="GM21" s="228"/>
      <c r="GN21" s="228"/>
      <c r="GO21" s="228"/>
      <c r="GP21" s="228"/>
      <c r="GQ21" s="228"/>
      <c r="GR21" s="228"/>
      <c r="GS21" s="228"/>
      <c r="GT21" s="228"/>
      <c r="GU21" s="228"/>
      <c r="GV21" s="228"/>
      <c r="GW21" s="228"/>
      <c r="GX21" s="228"/>
      <c r="GY21" s="228"/>
      <c r="GZ21" s="228"/>
      <c r="HA21" s="228"/>
      <c r="HB21" s="228"/>
      <c r="HC21" s="228"/>
      <c r="HD21" s="228"/>
      <c r="HE21" s="228"/>
      <c r="HF21" s="228"/>
      <c r="HG21" s="228"/>
      <c r="HH21" s="228"/>
      <c r="HI21" s="228"/>
      <c r="HJ21" s="228"/>
      <c r="HK21" s="228"/>
      <c r="HL21" s="228"/>
      <c r="HM21" s="228"/>
      <c r="HN21" s="228"/>
      <c r="HO21" s="228"/>
      <c r="HP21" s="228"/>
      <c r="HQ21" s="228"/>
      <c r="HR21" s="228"/>
      <c r="HS21" s="228"/>
      <c r="HT21" s="228"/>
      <c r="HU21" s="228"/>
      <c r="HV21" s="228"/>
      <c r="HW21" s="228"/>
      <c r="HX21" s="228"/>
      <c r="HY21" s="228"/>
      <c r="HZ21" s="228"/>
      <c r="IA21" s="228"/>
      <c r="IB21" s="228"/>
      <c r="IC21" s="228"/>
      <c r="ID21" s="228"/>
      <c r="IE21" s="228"/>
      <c r="IF21" s="228"/>
      <c r="IG21" s="228"/>
      <c r="IH21" s="228"/>
      <c r="II21" s="228"/>
      <c r="IJ21" s="228"/>
      <c r="IK21" s="228"/>
    </row>
    <row r="22" spans="2:245" s="1464" customFormat="1" ht="6" customHeight="1">
      <c r="C22" s="1465"/>
      <c r="D22" s="1466"/>
      <c r="E22" s="1467"/>
      <c r="F22" s="1467"/>
      <c r="G22" s="1467"/>
      <c r="H22" s="1467"/>
      <c r="I22" s="1467"/>
      <c r="J22" s="1467"/>
      <c r="K22" s="1467"/>
      <c r="L22" s="1467"/>
      <c r="M22" s="1467"/>
      <c r="N22" s="1467"/>
      <c r="O22" s="1467"/>
      <c r="P22" s="1467"/>
      <c r="Q22" s="1467"/>
      <c r="R22" s="1468"/>
      <c r="S22" s="229"/>
      <c r="T22" s="1463"/>
      <c r="U22" s="235"/>
      <c r="V22" s="235"/>
      <c r="W22" s="235"/>
      <c r="X22" s="235"/>
      <c r="Y22" s="235"/>
      <c r="Z22" s="235"/>
      <c r="AA22" s="235"/>
      <c r="AB22" s="235"/>
      <c r="AC22" s="235"/>
      <c r="AD22" s="235"/>
      <c r="AE22" s="235"/>
      <c r="AF22" s="235"/>
      <c r="AG22" s="235"/>
      <c r="AH22" s="235"/>
      <c r="AI22" s="235"/>
      <c r="AJ22" s="235"/>
      <c r="AK22" s="235"/>
      <c r="AL22" s="235"/>
      <c r="AM22" s="235"/>
      <c r="AN22" s="235"/>
      <c r="AO22" s="235"/>
      <c r="AP22" s="235"/>
      <c r="AQ22" s="235"/>
      <c r="AR22" s="235"/>
      <c r="AS22" s="235"/>
      <c r="AT22" s="235"/>
      <c r="AU22" s="235"/>
      <c r="AV22" s="235"/>
      <c r="AW22" s="235"/>
      <c r="AX22" s="235"/>
      <c r="AY22" s="235"/>
      <c r="AZ22" s="235"/>
      <c r="BA22" s="235"/>
      <c r="BB22" s="235"/>
      <c r="BC22" s="235"/>
      <c r="BD22" s="235"/>
      <c r="BE22" s="235"/>
      <c r="BF22" s="235"/>
      <c r="BG22" s="235"/>
      <c r="BH22" s="235"/>
      <c r="BI22" s="235"/>
      <c r="BJ22" s="235"/>
      <c r="BK22" s="235"/>
      <c r="BL22" s="235"/>
      <c r="BM22" s="235"/>
      <c r="BN22" s="235"/>
      <c r="BO22" s="235"/>
      <c r="BP22" s="235"/>
      <c r="BQ22" s="235"/>
      <c r="BR22" s="235"/>
      <c r="BS22" s="235"/>
      <c r="BT22" s="235"/>
      <c r="BU22" s="235"/>
      <c r="BV22" s="235"/>
      <c r="BW22" s="235"/>
      <c r="BX22" s="235"/>
      <c r="BY22" s="235"/>
      <c r="BZ22" s="235"/>
      <c r="CA22" s="235"/>
      <c r="CB22" s="235"/>
      <c r="CC22" s="235"/>
      <c r="CD22" s="235"/>
      <c r="CE22" s="235"/>
      <c r="CF22" s="235"/>
      <c r="CG22" s="235"/>
      <c r="CH22" s="235"/>
      <c r="CI22" s="235"/>
      <c r="CJ22" s="235"/>
      <c r="CK22" s="235"/>
      <c r="CL22" s="235"/>
      <c r="CM22" s="235"/>
      <c r="CN22" s="235"/>
      <c r="CO22" s="235"/>
      <c r="CP22" s="235"/>
      <c r="CQ22" s="235"/>
      <c r="CR22" s="235"/>
      <c r="CS22" s="235"/>
      <c r="CT22" s="235"/>
      <c r="CU22" s="235"/>
      <c r="CV22" s="235"/>
      <c r="CW22" s="235"/>
      <c r="CX22" s="235"/>
      <c r="CY22" s="235"/>
      <c r="CZ22" s="235"/>
      <c r="DA22" s="235"/>
      <c r="DB22" s="235"/>
      <c r="DC22" s="235"/>
      <c r="DD22" s="235"/>
      <c r="DE22" s="235"/>
      <c r="DF22" s="235"/>
      <c r="DG22" s="235"/>
      <c r="DH22" s="235"/>
      <c r="DI22" s="235"/>
      <c r="DJ22" s="235"/>
      <c r="DK22" s="235"/>
      <c r="DL22" s="235"/>
      <c r="DM22" s="235"/>
      <c r="DN22" s="235"/>
      <c r="DO22" s="235"/>
      <c r="DP22" s="235"/>
      <c r="DQ22" s="235"/>
      <c r="DR22" s="235"/>
      <c r="DS22" s="235"/>
      <c r="DT22" s="235"/>
      <c r="DU22" s="235"/>
      <c r="DV22" s="235"/>
      <c r="DW22" s="235"/>
      <c r="DX22" s="235"/>
      <c r="DY22" s="235"/>
      <c r="DZ22" s="235"/>
      <c r="EA22" s="235"/>
      <c r="EB22" s="235"/>
      <c r="EC22" s="235"/>
      <c r="ED22" s="235"/>
      <c r="EE22" s="235"/>
      <c r="EF22" s="235"/>
      <c r="EG22" s="235"/>
      <c r="EH22" s="235"/>
      <c r="EI22" s="235"/>
      <c r="EJ22" s="235"/>
      <c r="EK22" s="235"/>
      <c r="EL22" s="235"/>
      <c r="EM22" s="235"/>
      <c r="EN22" s="235"/>
      <c r="EO22" s="235"/>
      <c r="EP22" s="235"/>
      <c r="EQ22" s="235"/>
      <c r="ER22" s="235"/>
      <c r="ES22" s="235"/>
      <c r="ET22" s="235"/>
      <c r="EU22" s="235"/>
      <c r="EV22" s="235"/>
      <c r="EW22" s="235"/>
      <c r="EX22" s="235"/>
      <c r="EY22" s="235"/>
      <c r="EZ22" s="235"/>
      <c r="FA22" s="235"/>
      <c r="FB22" s="235"/>
      <c r="FC22" s="235"/>
      <c r="FD22" s="235"/>
      <c r="FE22" s="235"/>
      <c r="FF22" s="235"/>
      <c r="FG22" s="235"/>
      <c r="FH22" s="235"/>
      <c r="FI22" s="235"/>
      <c r="FJ22" s="235"/>
      <c r="FK22" s="235"/>
      <c r="FL22" s="235"/>
      <c r="FM22" s="235"/>
      <c r="FN22" s="235"/>
      <c r="FO22" s="235"/>
      <c r="FP22" s="235"/>
      <c r="FQ22" s="235"/>
      <c r="FR22" s="235"/>
      <c r="FS22" s="235"/>
      <c r="FT22" s="235"/>
      <c r="FU22" s="235"/>
      <c r="FV22" s="235"/>
      <c r="FW22" s="235"/>
      <c r="FX22" s="235"/>
      <c r="FY22" s="235"/>
      <c r="FZ22" s="235"/>
      <c r="GA22" s="235"/>
      <c r="GB22" s="235"/>
      <c r="GC22" s="235"/>
      <c r="GD22" s="235"/>
      <c r="GE22" s="235"/>
      <c r="GF22" s="235"/>
      <c r="GG22" s="235"/>
      <c r="GH22" s="235"/>
      <c r="GI22" s="235"/>
      <c r="GJ22" s="235"/>
      <c r="GK22" s="235"/>
      <c r="GL22" s="235"/>
      <c r="GM22" s="235"/>
      <c r="GN22" s="235"/>
      <c r="GO22" s="235"/>
      <c r="GP22" s="235"/>
      <c r="GQ22" s="235"/>
      <c r="GR22" s="235"/>
      <c r="GS22" s="235"/>
      <c r="GT22" s="235"/>
      <c r="GU22" s="235"/>
      <c r="GV22" s="235"/>
      <c r="GW22" s="235"/>
      <c r="GX22" s="235"/>
      <c r="GY22" s="235"/>
      <c r="GZ22" s="235"/>
      <c r="HA22" s="235"/>
      <c r="HB22" s="235"/>
      <c r="HC22" s="235"/>
      <c r="HD22" s="235"/>
      <c r="HE22" s="235"/>
      <c r="HF22" s="235"/>
      <c r="HG22" s="235"/>
      <c r="HH22" s="235"/>
      <c r="HI22" s="235"/>
      <c r="HJ22" s="235"/>
      <c r="HK22" s="235"/>
      <c r="HL22" s="235"/>
      <c r="HM22" s="235"/>
      <c r="HN22" s="235"/>
      <c r="HO22" s="235"/>
      <c r="HP22" s="235"/>
      <c r="HQ22" s="235"/>
      <c r="HR22" s="235"/>
      <c r="HS22" s="235"/>
      <c r="HT22" s="235"/>
      <c r="HU22" s="235"/>
      <c r="HV22" s="235"/>
      <c r="HW22" s="235"/>
      <c r="HX22" s="235"/>
      <c r="HY22" s="235"/>
      <c r="HZ22" s="235"/>
      <c r="IA22" s="235"/>
      <c r="IB22" s="235"/>
      <c r="IC22" s="235"/>
      <c r="ID22" s="235"/>
      <c r="IE22" s="235"/>
      <c r="IF22" s="235"/>
      <c r="IG22" s="235"/>
      <c r="IH22" s="235"/>
      <c r="II22" s="235"/>
      <c r="IJ22" s="235"/>
      <c r="IK22" s="235"/>
    </row>
    <row r="23" spans="2:245" s="414" customFormat="1" ht="15">
      <c r="B23" s="419">
        <v>1</v>
      </c>
      <c r="C23" s="172" t="str">
        <f>SUM($A$14:B23)&amp;".0"</f>
        <v>5.0</v>
      </c>
      <c r="D23" s="1460" t="str">
        <f ca="1">VLOOKUP(C23,RESUMO!$B$14:$I$36,3,0)</f>
        <v>B A S E  D O  R E S E R V A T Ó R I O</v>
      </c>
      <c r="E23" s="1461">
        <f ca="1">($Q23*F23/100)</f>
        <v>0</v>
      </c>
      <c r="F23" s="1462"/>
      <c r="G23" s="1461">
        <f ca="1">($Q23*H23/100)</f>
        <v>54284.71</v>
      </c>
      <c r="H23" s="1462">
        <v>50</v>
      </c>
      <c r="I23" s="1461">
        <f ca="1">($Q23*J23/100)</f>
        <v>54284.71</v>
      </c>
      <c r="J23" s="1462">
        <v>50</v>
      </c>
      <c r="K23" s="1461">
        <f ca="1">($Q23*L23/100)</f>
        <v>0</v>
      </c>
      <c r="L23" s="1462"/>
      <c r="M23" s="1461">
        <f ca="1">($Q23*N23/100)</f>
        <v>0</v>
      </c>
      <c r="N23" s="1462"/>
      <c r="O23" s="1461">
        <f ca="1">($Q23*P23/100)</f>
        <v>0</v>
      </c>
      <c r="P23" s="1462"/>
      <c r="Q23" s="1461">
        <f ca="1">VLOOKUP(C23,RESUMO!$B$14:$I$36,8,0)</f>
        <v>108569.42</v>
      </c>
      <c r="R23" s="1462">
        <f ca="1">Q23/$Q$37*100</f>
        <v>2.9553644461692974</v>
      </c>
      <c r="S23" s="229"/>
      <c r="T23" s="1463">
        <f>F23+H23+J23+P23+L23+N23</f>
        <v>100</v>
      </c>
      <c r="U23" s="228"/>
      <c r="V23" s="228"/>
      <c r="W23" s="228"/>
      <c r="X23" s="228"/>
      <c r="Y23" s="228"/>
      <c r="Z23" s="228"/>
      <c r="AA23" s="228"/>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8"/>
      <c r="AX23" s="228"/>
      <c r="AY23" s="228"/>
      <c r="AZ23" s="228"/>
      <c r="BA23" s="228"/>
      <c r="BB23" s="228"/>
      <c r="BC23" s="228"/>
      <c r="BD23" s="228"/>
      <c r="BE23" s="228"/>
      <c r="BF23" s="228"/>
      <c r="BG23" s="228"/>
      <c r="BH23" s="228"/>
      <c r="BI23" s="228"/>
      <c r="BJ23" s="228"/>
      <c r="BK23" s="228"/>
      <c r="BL23" s="228"/>
      <c r="BM23" s="228"/>
      <c r="BN23" s="228"/>
      <c r="BO23" s="228"/>
      <c r="BP23" s="228"/>
      <c r="BQ23" s="228"/>
      <c r="BR23" s="228"/>
      <c r="BS23" s="228"/>
      <c r="BT23" s="228"/>
      <c r="BU23" s="228"/>
      <c r="BV23" s="228"/>
      <c r="BW23" s="228"/>
      <c r="BX23" s="228"/>
      <c r="BY23" s="228"/>
      <c r="BZ23" s="228"/>
      <c r="CA23" s="228"/>
      <c r="CB23" s="228"/>
      <c r="CC23" s="228"/>
      <c r="CD23" s="228"/>
      <c r="CE23" s="228"/>
      <c r="CF23" s="228"/>
      <c r="CG23" s="228"/>
      <c r="CH23" s="228"/>
      <c r="CI23" s="228"/>
      <c r="CJ23" s="228"/>
      <c r="CK23" s="228"/>
      <c r="CL23" s="228"/>
      <c r="CM23" s="228"/>
      <c r="CN23" s="228"/>
      <c r="CO23" s="228"/>
      <c r="CP23" s="228"/>
      <c r="CQ23" s="228"/>
      <c r="CR23" s="228"/>
      <c r="CS23" s="228"/>
      <c r="CT23" s="228"/>
      <c r="CU23" s="228"/>
      <c r="CV23" s="228"/>
      <c r="CW23" s="228"/>
      <c r="CX23" s="228"/>
      <c r="CY23" s="228"/>
      <c r="CZ23" s="228"/>
      <c r="DA23" s="228"/>
      <c r="DB23" s="228"/>
      <c r="DC23" s="228"/>
      <c r="DD23" s="228"/>
      <c r="DE23" s="228"/>
      <c r="DF23" s="228"/>
      <c r="DG23" s="228"/>
      <c r="DH23" s="228"/>
      <c r="DI23" s="228"/>
      <c r="DJ23" s="228"/>
      <c r="DK23" s="228"/>
      <c r="DL23" s="228"/>
      <c r="DM23" s="228"/>
      <c r="DN23" s="228"/>
      <c r="DO23" s="228"/>
      <c r="DP23" s="228"/>
      <c r="DQ23" s="228"/>
      <c r="DR23" s="228"/>
      <c r="DS23" s="228"/>
      <c r="DT23" s="228"/>
      <c r="DU23" s="228"/>
      <c r="DV23" s="228"/>
      <c r="DW23" s="228"/>
      <c r="DX23" s="228"/>
      <c r="DY23" s="228"/>
      <c r="DZ23" s="228"/>
      <c r="EA23" s="228"/>
      <c r="EB23" s="228"/>
      <c r="EC23" s="228"/>
      <c r="ED23" s="228"/>
      <c r="EE23" s="228"/>
      <c r="EF23" s="228"/>
      <c r="EG23" s="228"/>
      <c r="EH23" s="228"/>
      <c r="EI23" s="228"/>
      <c r="EJ23" s="228"/>
      <c r="EK23" s="228"/>
      <c r="EL23" s="228"/>
      <c r="EM23" s="228"/>
      <c r="EN23" s="228"/>
      <c r="EO23" s="228"/>
      <c r="EP23" s="228"/>
      <c r="EQ23" s="228"/>
      <c r="ER23" s="228"/>
      <c r="ES23" s="228"/>
      <c r="ET23" s="228"/>
      <c r="EU23" s="228"/>
      <c r="EV23" s="228"/>
      <c r="EW23" s="228"/>
      <c r="EX23" s="228"/>
      <c r="EY23" s="228"/>
      <c r="EZ23" s="228"/>
      <c r="FA23" s="228"/>
      <c r="FB23" s="228"/>
      <c r="FC23" s="228"/>
      <c r="FD23" s="228"/>
      <c r="FE23" s="228"/>
      <c r="FF23" s="228"/>
      <c r="FG23" s="228"/>
      <c r="FH23" s="228"/>
      <c r="FI23" s="228"/>
      <c r="FJ23" s="228"/>
      <c r="FK23" s="228"/>
      <c r="FL23" s="228"/>
      <c r="FM23" s="228"/>
      <c r="FN23" s="228"/>
      <c r="FO23" s="228"/>
      <c r="FP23" s="228"/>
      <c r="FQ23" s="228"/>
      <c r="FR23" s="228"/>
      <c r="FS23" s="228"/>
      <c r="FT23" s="228"/>
      <c r="FU23" s="228"/>
      <c r="FV23" s="228"/>
      <c r="FW23" s="228"/>
      <c r="FX23" s="228"/>
      <c r="FY23" s="228"/>
      <c r="FZ23" s="228"/>
      <c r="GA23" s="228"/>
      <c r="GB23" s="228"/>
      <c r="GC23" s="228"/>
      <c r="GD23" s="228"/>
      <c r="GE23" s="228"/>
      <c r="GF23" s="228"/>
      <c r="GG23" s="228"/>
      <c r="GH23" s="228"/>
      <c r="GI23" s="228"/>
      <c r="GJ23" s="228"/>
      <c r="GK23" s="228"/>
      <c r="GL23" s="228"/>
      <c r="GM23" s="228"/>
      <c r="GN23" s="228"/>
      <c r="GO23" s="228"/>
      <c r="GP23" s="228"/>
      <c r="GQ23" s="228"/>
      <c r="GR23" s="228"/>
      <c r="GS23" s="228"/>
      <c r="GT23" s="228"/>
      <c r="GU23" s="228"/>
      <c r="GV23" s="228"/>
      <c r="GW23" s="228"/>
      <c r="GX23" s="228"/>
      <c r="GY23" s="228"/>
      <c r="GZ23" s="228"/>
      <c r="HA23" s="228"/>
      <c r="HB23" s="228"/>
      <c r="HC23" s="228"/>
      <c r="HD23" s="228"/>
      <c r="HE23" s="228"/>
      <c r="HF23" s="228"/>
      <c r="HG23" s="228"/>
      <c r="HH23" s="228"/>
      <c r="HI23" s="228"/>
      <c r="HJ23" s="228"/>
      <c r="HK23" s="228"/>
      <c r="HL23" s="228"/>
      <c r="HM23" s="228"/>
      <c r="HN23" s="228"/>
      <c r="HO23" s="228"/>
      <c r="HP23" s="228"/>
      <c r="HQ23" s="228"/>
      <c r="HR23" s="228"/>
      <c r="HS23" s="228"/>
      <c r="HT23" s="228"/>
      <c r="HU23" s="228"/>
      <c r="HV23" s="228"/>
      <c r="HW23" s="228"/>
      <c r="HX23" s="228"/>
      <c r="HY23" s="228"/>
      <c r="HZ23" s="228"/>
      <c r="IA23" s="228"/>
      <c r="IB23" s="228"/>
      <c r="IC23" s="228"/>
      <c r="ID23" s="228"/>
      <c r="IE23" s="228"/>
      <c r="IF23" s="228"/>
      <c r="IG23" s="228"/>
      <c r="IH23" s="228"/>
      <c r="II23" s="228"/>
      <c r="IJ23" s="228"/>
      <c r="IK23" s="228"/>
    </row>
    <row r="24" spans="2:245" s="1464" customFormat="1" ht="6" customHeight="1">
      <c r="C24" s="1465"/>
      <c r="D24" s="1466"/>
      <c r="E24" s="1467"/>
      <c r="F24" s="1467"/>
      <c r="G24" s="1467"/>
      <c r="H24" s="1467"/>
      <c r="I24" s="1467"/>
      <c r="J24" s="1467"/>
      <c r="K24" s="1467"/>
      <c r="L24" s="1467"/>
      <c r="M24" s="1467"/>
      <c r="N24" s="1467"/>
      <c r="O24" s="1467"/>
      <c r="P24" s="1467"/>
      <c r="Q24" s="1467"/>
      <c r="R24" s="1468"/>
      <c r="S24" s="229"/>
      <c r="T24" s="1463"/>
      <c r="U24" s="235"/>
      <c r="V24" s="235"/>
      <c r="W24" s="235"/>
      <c r="X24" s="235"/>
      <c r="Y24" s="235"/>
      <c r="Z24" s="235"/>
      <c r="AA24" s="235"/>
      <c r="AB24" s="235"/>
      <c r="AC24" s="235"/>
      <c r="AD24" s="235"/>
      <c r="AE24" s="235"/>
      <c r="AF24" s="235"/>
      <c r="AG24" s="235"/>
      <c r="AH24" s="235"/>
      <c r="AI24" s="235"/>
      <c r="AJ24" s="235"/>
      <c r="AK24" s="235"/>
      <c r="AL24" s="235"/>
      <c r="AM24" s="235"/>
      <c r="AN24" s="235"/>
      <c r="AO24" s="235"/>
      <c r="AP24" s="235"/>
      <c r="AQ24" s="235"/>
      <c r="AR24" s="235"/>
      <c r="AS24" s="235"/>
      <c r="AT24" s="235"/>
      <c r="AU24" s="235"/>
      <c r="AV24" s="235"/>
      <c r="AW24" s="235"/>
      <c r="AX24" s="235"/>
      <c r="AY24" s="235"/>
      <c r="AZ24" s="235"/>
      <c r="BA24" s="235"/>
      <c r="BB24" s="235"/>
      <c r="BC24" s="235"/>
      <c r="BD24" s="235"/>
      <c r="BE24" s="235"/>
      <c r="BF24" s="235"/>
      <c r="BG24" s="235"/>
      <c r="BH24" s="235"/>
      <c r="BI24" s="235"/>
      <c r="BJ24" s="235"/>
      <c r="BK24" s="235"/>
      <c r="BL24" s="235"/>
      <c r="BM24" s="235"/>
      <c r="BN24" s="235"/>
      <c r="BO24" s="235"/>
      <c r="BP24" s="235"/>
      <c r="BQ24" s="235"/>
      <c r="BR24" s="235"/>
      <c r="BS24" s="235"/>
      <c r="BT24" s="235"/>
      <c r="BU24" s="235"/>
      <c r="BV24" s="235"/>
      <c r="BW24" s="235"/>
      <c r="BX24" s="235"/>
      <c r="BY24" s="235"/>
      <c r="BZ24" s="235"/>
      <c r="CA24" s="235"/>
      <c r="CB24" s="235"/>
      <c r="CC24" s="235"/>
      <c r="CD24" s="235"/>
      <c r="CE24" s="235"/>
      <c r="CF24" s="235"/>
      <c r="CG24" s="235"/>
      <c r="CH24" s="235"/>
      <c r="CI24" s="235"/>
      <c r="CJ24" s="235"/>
      <c r="CK24" s="235"/>
      <c r="CL24" s="235"/>
      <c r="CM24" s="235"/>
      <c r="CN24" s="235"/>
      <c r="CO24" s="235"/>
      <c r="CP24" s="235"/>
      <c r="CQ24" s="235"/>
      <c r="CR24" s="235"/>
      <c r="CS24" s="235"/>
      <c r="CT24" s="235"/>
      <c r="CU24" s="235"/>
      <c r="CV24" s="235"/>
      <c r="CW24" s="235"/>
      <c r="CX24" s="235"/>
      <c r="CY24" s="235"/>
      <c r="CZ24" s="235"/>
      <c r="DA24" s="235"/>
      <c r="DB24" s="235"/>
      <c r="DC24" s="235"/>
      <c r="DD24" s="235"/>
      <c r="DE24" s="235"/>
      <c r="DF24" s="235"/>
      <c r="DG24" s="235"/>
      <c r="DH24" s="235"/>
      <c r="DI24" s="235"/>
      <c r="DJ24" s="235"/>
      <c r="DK24" s="235"/>
      <c r="DL24" s="235"/>
      <c r="DM24" s="235"/>
      <c r="DN24" s="235"/>
      <c r="DO24" s="235"/>
      <c r="DP24" s="235"/>
      <c r="DQ24" s="235"/>
      <c r="DR24" s="235"/>
      <c r="DS24" s="235"/>
      <c r="DT24" s="235"/>
      <c r="DU24" s="235"/>
      <c r="DV24" s="235"/>
      <c r="DW24" s="235"/>
      <c r="DX24" s="235"/>
      <c r="DY24" s="235"/>
      <c r="DZ24" s="235"/>
      <c r="EA24" s="235"/>
      <c r="EB24" s="235"/>
      <c r="EC24" s="235"/>
      <c r="ED24" s="235"/>
      <c r="EE24" s="235"/>
      <c r="EF24" s="235"/>
      <c r="EG24" s="235"/>
      <c r="EH24" s="235"/>
      <c r="EI24" s="235"/>
      <c r="EJ24" s="235"/>
      <c r="EK24" s="235"/>
      <c r="EL24" s="235"/>
      <c r="EM24" s="235"/>
      <c r="EN24" s="235"/>
      <c r="EO24" s="235"/>
      <c r="EP24" s="235"/>
      <c r="EQ24" s="235"/>
      <c r="ER24" s="235"/>
      <c r="ES24" s="235"/>
      <c r="ET24" s="235"/>
      <c r="EU24" s="235"/>
      <c r="EV24" s="235"/>
      <c r="EW24" s="235"/>
      <c r="EX24" s="235"/>
      <c r="EY24" s="235"/>
      <c r="EZ24" s="235"/>
      <c r="FA24" s="235"/>
      <c r="FB24" s="235"/>
      <c r="FC24" s="235"/>
      <c r="FD24" s="235"/>
      <c r="FE24" s="235"/>
      <c r="FF24" s="235"/>
      <c r="FG24" s="235"/>
      <c r="FH24" s="235"/>
      <c r="FI24" s="235"/>
      <c r="FJ24" s="235"/>
      <c r="FK24" s="235"/>
      <c r="FL24" s="235"/>
      <c r="FM24" s="235"/>
      <c r="FN24" s="235"/>
      <c r="FO24" s="235"/>
      <c r="FP24" s="235"/>
      <c r="FQ24" s="235"/>
      <c r="FR24" s="235"/>
      <c r="FS24" s="235"/>
      <c r="FT24" s="235"/>
      <c r="FU24" s="235"/>
      <c r="FV24" s="235"/>
      <c r="FW24" s="235"/>
      <c r="FX24" s="235"/>
      <c r="FY24" s="235"/>
      <c r="FZ24" s="235"/>
      <c r="GA24" s="235"/>
      <c r="GB24" s="235"/>
      <c r="GC24" s="235"/>
      <c r="GD24" s="235"/>
      <c r="GE24" s="235"/>
      <c r="GF24" s="235"/>
      <c r="GG24" s="235"/>
      <c r="GH24" s="235"/>
      <c r="GI24" s="235"/>
      <c r="GJ24" s="235"/>
      <c r="GK24" s="235"/>
      <c r="GL24" s="235"/>
      <c r="GM24" s="235"/>
      <c r="GN24" s="235"/>
      <c r="GO24" s="235"/>
      <c r="GP24" s="235"/>
      <c r="GQ24" s="235"/>
      <c r="GR24" s="235"/>
      <c r="GS24" s="235"/>
      <c r="GT24" s="235"/>
      <c r="GU24" s="235"/>
      <c r="GV24" s="235"/>
      <c r="GW24" s="235"/>
      <c r="GX24" s="235"/>
      <c r="GY24" s="235"/>
      <c r="GZ24" s="235"/>
      <c r="HA24" s="235"/>
      <c r="HB24" s="235"/>
      <c r="HC24" s="235"/>
      <c r="HD24" s="235"/>
      <c r="HE24" s="235"/>
      <c r="HF24" s="235"/>
      <c r="HG24" s="235"/>
      <c r="HH24" s="235"/>
      <c r="HI24" s="235"/>
      <c r="HJ24" s="235"/>
      <c r="HK24" s="235"/>
      <c r="HL24" s="235"/>
      <c r="HM24" s="235"/>
      <c r="HN24" s="235"/>
      <c r="HO24" s="235"/>
      <c r="HP24" s="235"/>
      <c r="HQ24" s="235"/>
      <c r="HR24" s="235"/>
      <c r="HS24" s="235"/>
      <c r="HT24" s="235"/>
      <c r="HU24" s="235"/>
      <c r="HV24" s="235"/>
      <c r="HW24" s="235"/>
      <c r="HX24" s="235"/>
      <c r="HY24" s="235"/>
      <c r="HZ24" s="235"/>
      <c r="IA24" s="235"/>
      <c r="IB24" s="235"/>
      <c r="IC24" s="235"/>
      <c r="ID24" s="235"/>
      <c r="IE24" s="235"/>
      <c r="IF24" s="235"/>
      <c r="IG24" s="235"/>
      <c r="IH24" s="235"/>
      <c r="II24" s="235"/>
      <c r="IJ24" s="235"/>
      <c r="IK24" s="235"/>
    </row>
    <row r="25" spans="2:245" s="414" customFormat="1" ht="15">
      <c r="B25" s="419">
        <v>1</v>
      </c>
      <c r="C25" s="172" t="str">
        <f>SUM($A$14:B25)&amp;".0"</f>
        <v>6.0</v>
      </c>
      <c r="D25" s="1460" t="str">
        <f ca="1">VLOOKUP(C25,RESUMO!$B$14:$I$36,3,0)</f>
        <v>R E S E R V A T Ó R I O</v>
      </c>
      <c r="E25" s="1461">
        <f ca="1">($Q25*F25/100)</f>
        <v>0</v>
      </c>
      <c r="F25" s="1462"/>
      <c r="G25" s="1461">
        <f ca="1">($Q25*H25/100)</f>
        <v>0</v>
      </c>
      <c r="H25" s="1462"/>
      <c r="I25" s="1461">
        <f ca="1">($Q25*J25/100)</f>
        <v>493377.26</v>
      </c>
      <c r="J25" s="1462">
        <v>100</v>
      </c>
      <c r="K25" s="1461">
        <f ca="1">($Q25*L25/100)</f>
        <v>0</v>
      </c>
      <c r="L25" s="1462"/>
      <c r="M25" s="1461">
        <f ca="1">($Q25*N25/100)</f>
        <v>0</v>
      </c>
      <c r="N25" s="1462"/>
      <c r="O25" s="1461">
        <f ca="1">($Q25*P25/100)</f>
        <v>0</v>
      </c>
      <c r="P25" s="1462"/>
      <c r="Q25" s="1461">
        <f ca="1">VLOOKUP(C25,RESUMO!$B$14:$I$36,8,0)</f>
        <v>493377.26</v>
      </c>
      <c r="R25" s="1462">
        <f ca="1">Q25/$Q$37*100</f>
        <v>13.430205418362053</v>
      </c>
      <c r="S25" s="229"/>
      <c r="T25" s="1463">
        <f>F25+H25+J25+P25+L25+N25</f>
        <v>100</v>
      </c>
      <c r="U25" s="228"/>
      <c r="V25" s="228"/>
      <c r="W25" s="228"/>
      <c r="X25" s="228"/>
      <c r="Y25" s="228"/>
      <c r="Z25" s="228"/>
      <c r="AA25" s="228"/>
      <c r="AB25" s="228"/>
      <c r="AC25" s="228"/>
      <c r="AD25" s="228"/>
      <c r="AE25" s="228"/>
      <c r="AF25" s="228"/>
      <c r="AG25" s="228"/>
      <c r="AH25" s="228"/>
      <c r="AI25" s="228"/>
      <c r="AJ25" s="228"/>
      <c r="AK25" s="228"/>
      <c r="AL25" s="228"/>
      <c r="AM25" s="228"/>
      <c r="AN25" s="228"/>
      <c r="AO25" s="228"/>
      <c r="AP25" s="228"/>
      <c r="AQ25" s="228"/>
      <c r="AR25" s="228"/>
      <c r="AS25" s="228"/>
      <c r="AT25" s="228"/>
      <c r="AU25" s="228"/>
      <c r="AV25" s="228"/>
      <c r="AW25" s="228"/>
      <c r="AX25" s="228"/>
      <c r="AY25" s="228"/>
      <c r="AZ25" s="228"/>
      <c r="BA25" s="228"/>
      <c r="BB25" s="228"/>
      <c r="BC25" s="228"/>
      <c r="BD25" s="228"/>
      <c r="BE25" s="228"/>
      <c r="BF25" s="228"/>
      <c r="BG25" s="228"/>
      <c r="BH25" s="228"/>
      <c r="BI25" s="228"/>
      <c r="BJ25" s="228"/>
      <c r="BK25" s="228"/>
      <c r="BL25" s="228"/>
      <c r="BM25" s="228"/>
      <c r="BN25" s="228"/>
      <c r="BO25" s="228"/>
      <c r="BP25" s="228"/>
      <c r="BQ25" s="228"/>
      <c r="BR25" s="228"/>
      <c r="BS25" s="228"/>
      <c r="BT25" s="228"/>
      <c r="BU25" s="228"/>
      <c r="BV25" s="228"/>
      <c r="BW25" s="228"/>
      <c r="BX25" s="228"/>
      <c r="BY25" s="228"/>
      <c r="BZ25" s="228"/>
      <c r="CA25" s="228"/>
      <c r="CB25" s="228"/>
      <c r="CC25" s="228"/>
      <c r="CD25" s="228"/>
      <c r="CE25" s="228"/>
      <c r="CF25" s="228"/>
      <c r="CG25" s="228"/>
      <c r="CH25" s="228"/>
      <c r="CI25" s="228"/>
      <c r="CJ25" s="228"/>
      <c r="CK25" s="228"/>
      <c r="CL25" s="228"/>
      <c r="CM25" s="228"/>
      <c r="CN25" s="228"/>
      <c r="CO25" s="228"/>
      <c r="CP25" s="228"/>
      <c r="CQ25" s="228"/>
      <c r="CR25" s="228"/>
      <c r="CS25" s="228"/>
      <c r="CT25" s="228"/>
      <c r="CU25" s="228"/>
      <c r="CV25" s="228"/>
      <c r="CW25" s="228"/>
      <c r="CX25" s="228"/>
      <c r="CY25" s="228"/>
      <c r="CZ25" s="228"/>
      <c r="DA25" s="228"/>
      <c r="DB25" s="228"/>
      <c r="DC25" s="228"/>
      <c r="DD25" s="228"/>
      <c r="DE25" s="228"/>
      <c r="DF25" s="228"/>
      <c r="DG25" s="228"/>
      <c r="DH25" s="228"/>
      <c r="DI25" s="228"/>
      <c r="DJ25" s="228"/>
      <c r="DK25" s="228"/>
      <c r="DL25" s="228"/>
      <c r="DM25" s="228"/>
      <c r="DN25" s="228"/>
      <c r="DO25" s="228"/>
      <c r="DP25" s="228"/>
      <c r="DQ25" s="228"/>
      <c r="DR25" s="228"/>
      <c r="DS25" s="228"/>
      <c r="DT25" s="228"/>
      <c r="DU25" s="228"/>
      <c r="DV25" s="228"/>
      <c r="DW25" s="228"/>
      <c r="DX25" s="228"/>
      <c r="DY25" s="228"/>
      <c r="DZ25" s="228"/>
      <c r="EA25" s="228"/>
      <c r="EB25" s="228"/>
      <c r="EC25" s="228"/>
      <c r="ED25" s="228"/>
      <c r="EE25" s="228"/>
      <c r="EF25" s="228"/>
      <c r="EG25" s="228"/>
      <c r="EH25" s="228"/>
      <c r="EI25" s="228"/>
      <c r="EJ25" s="228"/>
      <c r="EK25" s="228"/>
      <c r="EL25" s="228"/>
      <c r="EM25" s="228"/>
      <c r="EN25" s="228"/>
      <c r="EO25" s="228"/>
      <c r="EP25" s="228"/>
      <c r="EQ25" s="228"/>
      <c r="ER25" s="228"/>
      <c r="ES25" s="228"/>
      <c r="ET25" s="228"/>
      <c r="EU25" s="228"/>
      <c r="EV25" s="228"/>
      <c r="EW25" s="228"/>
      <c r="EX25" s="228"/>
      <c r="EY25" s="228"/>
      <c r="EZ25" s="228"/>
      <c r="FA25" s="228"/>
      <c r="FB25" s="228"/>
      <c r="FC25" s="228"/>
      <c r="FD25" s="228"/>
      <c r="FE25" s="228"/>
      <c r="FF25" s="228"/>
      <c r="FG25" s="228"/>
      <c r="FH25" s="228"/>
      <c r="FI25" s="228"/>
      <c r="FJ25" s="228"/>
      <c r="FK25" s="228"/>
      <c r="FL25" s="228"/>
      <c r="FM25" s="228"/>
      <c r="FN25" s="228"/>
      <c r="FO25" s="228"/>
      <c r="FP25" s="228"/>
      <c r="FQ25" s="228"/>
      <c r="FR25" s="228"/>
      <c r="FS25" s="228"/>
      <c r="FT25" s="228"/>
      <c r="FU25" s="228"/>
      <c r="FV25" s="228"/>
      <c r="FW25" s="228"/>
      <c r="FX25" s="228"/>
      <c r="FY25" s="228"/>
      <c r="FZ25" s="228"/>
      <c r="GA25" s="228"/>
      <c r="GB25" s="228"/>
      <c r="GC25" s="228"/>
      <c r="GD25" s="228"/>
      <c r="GE25" s="228"/>
      <c r="GF25" s="228"/>
      <c r="GG25" s="228"/>
      <c r="GH25" s="228"/>
      <c r="GI25" s="228"/>
      <c r="GJ25" s="228"/>
      <c r="GK25" s="228"/>
      <c r="GL25" s="228"/>
      <c r="GM25" s="228"/>
      <c r="GN25" s="228"/>
      <c r="GO25" s="228"/>
      <c r="GP25" s="228"/>
      <c r="GQ25" s="228"/>
      <c r="GR25" s="228"/>
      <c r="GS25" s="228"/>
      <c r="GT25" s="228"/>
      <c r="GU25" s="228"/>
      <c r="GV25" s="228"/>
      <c r="GW25" s="228"/>
      <c r="GX25" s="228"/>
      <c r="GY25" s="228"/>
      <c r="GZ25" s="228"/>
      <c r="HA25" s="228"/>
      <c r="HB25" s="228"/>
      <c r="HC25" s="228"/>
      <c r="HD25" s="228"/>
      <c r="HE25" s="228"/>
      <c r="HF25" s="228"/>
      <c r="HG25" s="228"/>
      <c r="HH25" s="228"/>
      <c r="HI25" s="228"/>
      <c r="HJ25" s="228"/>
      <c r="HK25" s="228"/>
      <c r="HL25" s="228"/>
      <c r="HM25" s="228"/>
      <c r="HN25" s="228"/>
      <c r="HO25" s="228"/>
      <c r="HP25" s="228"/>
      <c r="HQ25" s="228"/>
      <c r="HR25" s="228"/>
      <c r="HS25" s="228"/>
      <c r="HT25" s="228"/>
      <c r="HU25" s="228"/>
      <c r="HV25" s="228"/>
      <c r="HW25" s="228"/>
      <c r="HX25" s="228"/>
      <c r="HY25" s="228"/>
      <c r="HZ25" s="228"/>
      <c r="IA25" s="228"/>
      <c r="IB25" s="228"/>
      <c r="IC25" s="228"/>
      <c r="ID25" s="228"/>
      <c r="IE25" s="228"/>
      <c r="IF25" s="228"/>
      <c r="IG25" s="228"/>
      <c r="IH25" s="228"/>
      <c r="II25" s="228"/>
      <c r="IJ25" s="228"/>
      <c r="IK25" s="228"/>
    </row>
    <row r="26" spans="2:245" s="1464" customFormat="1" ht="6" customHeight="1">
      <c r="C26" s="1465"/>
      <c r="D26" s="1466"/>
      <c r="E26" s="1467"/>
      <c r="F26" s="1467"/>
      <c r="G26" s="1467"/>
      <c r="H26" s="1467"/>
      <c r="I26" s="1467"/>
      <c r="J26" s="1467"/>
      <c r="K26" s="1467"/>
      <c r="L26" s="1467"/>
      <c r="M26" s="1467"/>
      <c r="N26" s="1467"/>
      <c r="O26" s="1467"/>
      <c r="P26" s="1467"/>
      <c r="Q26" s="1467"/>
      <c r="R26" s="1468"/>
      <c r="S26" s="229"/>
      <c r="T26" s="1463"/>
      <c r="U26" s="235"/>
      <c r="V26" s="235"/>
      <c r="W26" s="235"/>
      <c r="X26" s="235"/>
      <c r="Y26" s="235"/>
      <c r="Z26" s="235"/>
      <c r="AA26" s="235"/>
      <c r="AB26" s="235"/>
      <c r="AC26" s="235"/>
      <c r="AD26" s="235"/>
      <c r="AE26" s="235"/>
      <c r="AF26" s="235"/>
      <c r="AG26" s="235"/>
      <c r="AH26" s="235"/>
      <c r="AI26" s="235"/>
      <c r="AJ26" s="235"/>
      <c r="AK26" s="235"/>
      <c r="AL26" s="235"/>
      <c r="AM26" s="235"/>
      <c r="AN26" s="235"/>
      <c r="AO26" s="235"/>
      <c r="AP26" s="235"/>
      <c r="AQ26" s="235"/>
      <c r="AR26" s="235"/>
      <c r="AS26" s="235"/>
      <c r="AT26" s="235"/>
      <c r="AU26" s="235"/>
      <c r="AV26" s="235"/>
      <c r="AW26" s="235"/>
      <c r="AX26" s="235"/>
      <c r="AY26" s="235"/>
      <c r="AZ26" s="235"/>
      <c r="BA26" s="235"/>
      <c r="BB26" s="235"/>
      <c r="BC26" s="235"/>
      <c r="BD26" s="235"/>
      <c r="BE26" s="235"/>
      <c r="BF26" s="235"/>
      <c r="BG26" s="235"/>
      <c r="BH26" s="235"/>
      <c r="BI26" s="235"/>
      <c r="BJ26" s="235"/>
      <c r="BK26" s="235"/>
      <c r="BL26" s="235"/>
      <c r="BM26" s="235"/>
      <c r="BN26" s="235"/>
      <c r="BO26" s="235"/>
      <c r="BP26" s="235"/>
      <c r="BQ26" s="235"/>
      <c r="BR26" s="235"/>
      <c r="BS26" s="235"/>
      <c r="BT26" s="235"/>
      <c r="BU26" s="235"/>
      <c r="BV26" s="235"/>
      <c r="BW26" s="235"/>
      <c r="BX26" s="235"/>
      <c r="BY26" s="235"/>
      <c r="BZ26" s="235"/>
      <c r="CA26" s="235"/>
      <c r="CB26" s="235"/>
      <c r="CC26" s="235"/>
      <c r="CD26" s="235"/>
      <c r="CE26" s="235"/>
      <c r="CF26" s="235"/>
      <c r="CG26" s="235"/>
      <c r="CH26" s="235"/>
      <c r="CI26" s="235"/>
      <c r="CJ26" s="235"/>
      <c r="CK26" s="235"/>
      <c r="CL26" s="235"/>
      <c r="CM26" s="235"/>
      <c r="CN26" s="235"/>
      <c r="CO26" s="235"/>
      <c r="CP26" s="235"/>
      <c r="CQ26" s="235"/>
      <c r="CR26" s="235"/>
      <c r="CS26" s="235"/>
      <c r="CT26" s="235"/>
      <c r="CU26" s="235"/>
      <c r="CV26" s="235"/>
      <c r="CW26" s="235"/>
      <c r="CX26" s="235"/>
      <c r="CY26" s="235"/>
      <c r="CZ26" s="235"/>
      <c r="DA26" s="235"/>
      <c r="DB26" s="235"/>
      <c r="DC26" s="235"/>
      <c r="DD26" s="235"/>
      <c r="DE26" s="235"/>
      <c r="DF26" s="235"/>
      <c r="DG26" s="235"/>
      <c r="DH26" s="235"/>
      <c r="DI26" s="235"/>
      <c r="DJ26" s="235"/>
      <c r="DK26" s="235"/>
      <c r="DL26" s="235"/>
      <c r="DM26" s="235"/>
      <c r="DN26" s="235"/>
      <c r="DO26" s="235"/>
      <c r="DP26" s="235"/>
      <c r="DQ26" s="235"/>
      <c r="DR26" s="235"/>
      <c r="DS26" s="235"/>
      <c r="DT26" s="235"/>
      <c r="DU26" s="235"/>
      <c r="DV26" s="235"/>
      <c r="DW26" s="235"/>
      <c r="DX26" s="235"/>
      <c r="DY26" s="235"/>
      <c r="DZ26" s="235"/>
      <c r="EA26" s="235"/>
      <c r="EB26" s="235"/>
      <c r="EC26" s="235"/>
      <c r="ED26" s="235"/>
      <c r="EE26" s="235"/>
      <c r="EF26" s="235"/>
      <c r="EG26" s="235"/>
      <c r="EH26" s="235"/>
      <c r="EI26" s="235"/>
      <c r="EJ26" s="235"/>
      <c r="EK26" s="235"/>
      <c r="EL26" s="235"/>
      <c r="EM26" s="235"/>
      <c r="EN26" s="235"/>
      <c r="EO26" s="235"/>
      <c r="EP26" s="235"/>
      <c r="EQ26" s="235"/>
      <c r="ER26" s="235"/>
      <c r="ES26" s="235"/>
      <c r="ET26" s="235"/>
      <c r="EU26" s="235"/>
      <c r="EV26" s="235"/>
      <c r="EW26" s="235"/>
      <c r="EX26" s="235"/>
      <c r="EY26" s="235"/>
      <c r="EZ26" s="235"/>
      <c r="FA26" s="235"/>
      <c r="FB26" s="235"/>
      <c r="FC26" s="235"/>
      <c r="FD26" s="235"/>
      <c r="FE26" s="235"/>
      <c r="FF26" s="235"/>
      <c r="FG26" s="235"/>
      <c r="FH26" s="235"/>
      <c r="FI26" s="235"/>
      <c r="FJ26" s="235"/>
      <c r="FK26" s="235"/>
      <c r="FL26" s="235"/>
      <c r="FM26" s="235"/>
      <c r="FN26" s="235"/>
      <c r="FO26" s="235"/>
      <c r="FP26" s="235"/>
      <c r="FQ26" s="235"/>
      <c r="FR26" s="235"/>
      <c r="FS26" s="235"/>
      <c r="FT26" s="235"/>
      <c r="FU26" s="235"/>
      <c r="FV26" s="235"/>
      <c r="FW26" s="235"/>
      <c r="FX26" s="235"/>
      <c r="FY26" s="235"/>
      <c r="FZ26" s="235"/>
      <c r="GA26" s="235"/>
      <c r="GB26" s="235"/>
      <c r="GC26" s="235"/>
      <c r="GD26" s="235"/>
      <c r="GE26" s="235"/>
      <c r="GF26" s="235"/>
      <c r="GG26" s="235"/>
      <c r="GH26" s="235"/>
      <c r="GI26" s="235"/>
      <c r="GJ26" s="235"/>
      <c r="GK26" s="235"/>
      <c r="GL26" s="235"/>
      <c r="GM26" s="235"/>
      <c r="GN26" s="235"/>
      <c r="GO26" s="235"/>
      <c r="GP26" s="235"/>
      <c r="GQ26" s="235"/>
      <c r="GR26" s="235"/>
      <c r="GS26" s="235"/>
      <c r="GT26" s="235"/>
      <c r="GU26" s="235"/>
      <c r="GV26" s="235"/>
      <c r="GW26" s="235"/>
      <c r="GX26" s="235"/>
      <c r="GY26" s="235"/>
      <c r="GZ26" s="235"/>
      <c r="HA26" s="235"/>
      <c r="HB26" s="235"/>
      <c r="HC26" s="235"/>
      <c r="HD26" s="235"/>
      <c r="HE26" s="235"/>
      <c r="HF26" s="235"/>
      <c r="HG26" s="235"/>
      <c r="HH26" s="235"/>
      <c r="HI26" s="235"/>
      <c r="HJ26" s="235"/>
      <c r="HK26" s="235"/>
      <c r="HL26" s="235"/>
      <c r="HM26" s="235"/>
      <c r="HN26" s="235"/>
      <c r="HO26" s="235"/>
      <c r="HP26" s="235"/>
      <c r="HQ26" s="235"/>
      <c r="HR26" s="235"/>
      <c r="HS26" s="235"/>
      <c r="HT26" s="235"/>
      <c r="HU26" s="235"/>
      <c r="HV26" s="235"/>
      <c r="HW26" s="235"/>
      <c r="HX26" s="235"/>
      <c r="HY26" s="235"/>
      <c r="HZ26" s="235"/>
      <c r="IA26" s="235"/>
      <c r="IB26" s="235"/>
      <c r="IC26" s="235"/>
      <c r="ID26" s="235"/>
      <c r="IE26" s="235"/>
      <c r="IF26" s="235"/>
      <c r="IG26" s="235"/>
      <c r="IH26" s="235"/>
      <c r="II26" s="235"/>
      <c r="IJ26" s="235"/>
      <c r="IK26" s="235"/>
    </row>
    <row r="27" spans="2:245" s="414" customFormat="1" ht="30">
      <c r="B27" s="419">
        <v>1</v>
      </c>
      <c r="C27" s="172" t="str">
        <f>SUM($A$14:B27)&amp;".0"</f>
        <v>7.0</v>
      </c>
      <c r="D27" s="1460" t="str">
        <f ca="1">VLOOKUP(C27,RESUMO!$B$14:$I$36,3,0)</f>
        <v>R E D E  D E  D I S T R I B U I Ç Ã O  D E  Á G U A</v>
      </c>
      <c r="E27" s="1461">
        <f ca="1">($Q27*F27/100)</f>
        <v>0</v>
      </c>
      <c r="F27" s="1462"/>
      <c r="G27" s="1461">
        <f ca="1">($Q27*H27/100)</f>
        <v>0</v>
      </c>
      <c r="H27" s="1462"/>
      <c r="I27" s="1461">
        <f ca="1">($Q27*J27/100)</f>
        <v>126558.22100000002</v>
      </c>
      <c r="J27" s="1462">
        <v>10</v>
      </c>
      <c r="K27" s="1461">
        <f ca="1">($Q27*L27/100)</f>
        <v>632791.1050000001</v>
      </c>
      <c r="L27" s="1462">
        <v>50</v>
      </c>
      <c r="M27" s="1461">
        <f ca="1">($Q27*N27/100)</f>
        <v>506232.88400000008</v>
      </c>
      <c r="N27" s="1462">
        <v>40</v>
      </c>
      <c r="O27" s="1461">
        <f ca="1">($Q27*P27/100)</f>
        <v>0</v>
      </c>
      <c r="P27" s="1462"/>
      <c r="Q27" s="1461">
        <f ca="1">VLOOKUP(C27,RESUMO!$B$14:$I$36,8,0)</f>
        <v>1265582.2100000002</v>
      </c>
      <c r="R27" s="1462">
        <f ca="1">Q27/$Q$37*100</f>
        <v>34.450369792326114</v>
      </c>
      <c r="S27" s="229"/>
      <c r="T27" s="1463">
        <f>F27+H27+J27+P27+L27+N27</f>
        <v>100</v>
      </c>
      <c r="U27" s="228"/>
      <c r="V27" s="228"/>
      <c r="W27" s="228"/>
      <c r="X27" s="228"/>
      <c r="Y27" s="228"/>
      <c r="Z27" s="228"/>
      <c r="AA27" s="228"/>
      <c r="AB27" s="228"/>
      <c r="AC27" s="228"/>
      <c r="AD27" s="228"/>
      <c r="AE27" s="228"/>
      <c r="AF27" s="228"/>
      <c r="AG27" s="228"/>
      <c r="AH27" s="228"/>
      <c r="AI27" s="228"/>
      <c r="AJ27" s="228"/>
      <c r="AK27" s="228"/>
      <c r="AL27" s="228"/>
      <c r="AM27" s="228"/>
      <c r="AN27" s="228"/>
      <c r="AO27" s="228"/>
      <c r="AP27" s="228"/>
      <c r="AQ27" s="228"/>
      <c r="AR27" s="228"/>
      <c r="AS27" s="228"/>
      <c r="AT27" s="228"/>
      <c r="AU27" s="228"/>
      <c r="AV27" s="228"/>
      <c r="AW27" s="228"/>
      <c r="AX27" s="228"/>
      <c r="AY27" s="228"/>
      <c r="AZ27" s="228"/>
      <c r="BA27" s="228"/>
      <c r="BB27" s="228"/>
      <c r="BC27" s="228"/>
      <c r="BD27" s="228"/>
      <c r="BE27" s="228"/>
      <c r="BF27" s="228"/>
      <c r="BG27" s="228"/>
      <c r="BH27" s="228"/>
      <c r="BI27" s="228"/>
      <c r="BJ27" s="228"/>
      <c r="BK27" s="228"/>
      <c r="BL27" s="228"/>
      <c r="BM27" s="228"/>
      <c r="BN27" s="228"/>
      <c r="BO27" s="228"/>
      <c r="BP27" s="228"/>
      <c r="BQ27" s="228"/>
      <c r="BR27" s="228"/>
      <c r="BS27" s="228"/>
      <c r="BT27" s="228"/>
      <c r="BU27" s="228"/>
      <c r="BV27" s="228"/>
      <c r="BW27" s="228"/>
      <c r="BX27" s="228"/>
      <c r="BY27" s="228"/>
      <c r="BZ27" s="228"/>
      <c r="CA27" s="228"/>
      <c r="CB27" s="228"/>
      <c r="CC27" s="228"/>
      <c r="CD27" s="228"/>
      <c r="CE27" s="228"/>
      <c r="CF27" s="228"/>
      <c r="CG27" s="228"/>
      <c r="CH27" s="228"/>
      <c r="CI27" s="228"/>
      <c r="CJ27" s="228"/>
      <c r="CK27" s="228"/>
      <c r="CL27" s="228"/>
      <c r="CM27" s="228"/>
      <c r="CN27" s="228"/>
      <c r="CO27" s="228"/>
      <c r="CP27" s="228"/>
      <c r="CQ27" s="228"/>
      <c r="CR27" s="228"/>
      <c r="CS27" s="228"/>
      <c r="CT27" s="228"/>
      <c r="CU27" s="228"/>
      <c r="CV27" s="228"/>
      <c r="CW27" s="228"/>
      <c r="CX27" s="228"/>
      <c r="CY27" s="228"/>
      <c r="CZ27" s="228"/>
      <c r="DA27" s="228"/>
      <c r="DB27" s="228"/>
      <c r="DC27" s="228"/>
      <c r="DD27" s="228"/>
      <c r="DE27" s="228"/>
      <c r="DF27" s="228"/>
      <c r="DG27" s="228"/>
      <c r="DH27" s="228"/>
      <c r="DI27" s="228"/>
      <c r="DJ27" s="228"/>
      <c r="DK27" s="228"/>
      <c r="DL27" s="228"/>
      <c r="DM27" s="228"/>
      <c r="DN27" s="228"/>
      <c r="DO27" s="228"/>
      <c r="DP27" s="228"/>
      <c r="DQ27" s="228"/>
      <c r="DR27" s="228"/>
      <c r="DS27" s="228"/>
      <c r="DT27" s="228"/>
      <c r="DU27" s="228"/>
      <c r="DV27" s="228"/>
      <c r="DW27" s="228"/>
      <c r="DX27" s="228"/>
      <c r="DY27" s="228"/>
      <c r="DZ27" s="228"/>
      <c r="EA27" s="228"/>
      <c r="EB27" s="228"/>
      <c r="EC27" s="228"/>
      <c r="ED27" s="228"/>
      <c r="EE27" s="228"/>
      <c r="EF27" s="228"/>
      <c r="EG27" s="228"/>
      <c r="EH27" s="228"/>
      <c r="EI27" s="228"/>
      <c r="EJ27" s="228"/>
      <c r="EK27" s="228"/>
      <c r="EL27" s="228"/>
      <c r="EM27" s="228"/>
      <c r="EN27" s="228"/>
      <c r="EO27" s="228"/>
      <c r="EP27" s="228"/>
      <c r="EQ27" s="228"/>
      <c r="ER27" s="228"/>
      <c r="ES27" s="228"/>
      <c r="ET27" s="228"/>
      <c r="EU27" s="228"/>
      <c r="EV27" s="228"/>
      <c r="EW27" s="228"/>
      <c r="EX27" s="228"/>
      <c r="EY27" s="228"/>
      <c r="EZ27" s="228"/>
      <c r="FA27" s="228"/>
      <c r="FB27" s="228"/>
      <c r="FC27" s="228"/>
      <c r="FD27" s="228"/>
      <c r="FE27" s="228"/>
      <c r="FF27" s="228"/>
      <c r="FG27" s="228"/>
      <c r="FH27" s="228"/>
      <c r="FI27" s="228"/>
      <c r="FJ27" s="228"/>
      <c r="FK27" s="228"/>
      <c r="FL27" s="228"/>
      <c r="FM27" s="228"/>
      <c r="FN27" s="228"/>
      <c r="FO27" s="228"/>
      <c r="FP27" s="228"/>
      <c r="FQ27" s="228"/>
      <c r="FR27" s="228"/>
      <c r="FS27" s="228"/>
      <c r="FT27" s="228"/>
      <c r="FU27" s="228"/>
      <c r="FV27" s="228"/>
      <c r="FW27" s="228"/>
      <c r="FX27" s="228"/>
      <c r="FY27" s="228"/>
      <c r="FZ27" s="228"/>
      <c r="GA27" s="228"/>
      <c r="GB27" s="228"/>
      <c r="GC27" s="228"/>
      <c r="GD27" s="228"/>
      <c r="GE27" s="228"/>
      <c r="GF27" s="228"/>
      <c r="GG27" s="228"/>
      <c r="GH27" s="228"/>
      <c r="GI27" s="228"/>
      <c r="GJ27" s="228"/>
      <c r="GK27" s="228"/>
      <c r="GL27" s="228"/>
      <c r="GM27" s="228"/>
      <c r="GN27" s="228"/>
      <c r="GO27" s="228"/>
      <c r="GP27" s="228"/>
      <c r="GQ27" s="228"/>
      <c r="GR27" s="228"/>
      <c r="GS27" s="228"/>
      <c r="GT27" s="228"/>
      <c r="GU27" s="228"/>
      <c r="GV27" s="228"/>
      <c r="GW27" s="228"/>
      <c r="GX27" s="228"/>
      <c r="GY27" s="228"/>
      <c r="GZ27" s="228"/>
      <c r="HA27" s="228"/>
      <c r="HB27" s="228"/>
      <c r="HC27" s="228"/>
      <c r="HD27" s="228"/>
      <c r="HE27" s="228"/>
      <c r="HF27" s="228"/>
      <c r="HG27" s="228"/>
      <c r="HH27" s="228"/>
      <c r="HI27" s="228"/>
      <c r="HJ27" s="228"/>
      <c r="HK27" s="228"/>
      <c r="HL27" s="228"/>
      <c r="HM27" s="228"/>
      <c r="HN27" s="228"/>
      <c r="HO27" s="228"/>
      <c r="HP27" s="228"/>
      <c r="HQ27" s="228"/>
      <c r="HR27" s="228"/>
      <c r="HS27" s="228"/>
      <c r="HT27" s="228"/>
      <c r="HU27" s="228"/>
      <c r="HV27" s="228"/>
      <c r="HW27" s="228"/>
      <c r="HX27" s="228"/>
      <c r="HY27" s="228"/>
      <c r="HZ27" s="228"/>
      <c r="IA27" s="228"/>
      <c r="IB27" s="228"/>
      <c r="IC27" s="228"/>
      <c r="ID27" s="228"/>
      <c r="IE27" s="228"/>
      <c r="IF27" s="228"/>
      <c r="IG27" s="228"/>
      <c r="IH27" s="228"/>
      <c r="II27" s="228"/>
      <c r="IJ27" s="228"/>
      <c r="IK27" s="228"/>
    </row>
    <row r="28" spans="2:245" s="1464" customFormat="1" ht="6" customHeight="1">
      <c r="C28" s="1465"/>
      <c r="D28" s="1466"/>
      <c r="E28" s="1467"/>
      <c r="F28" s="1467"/>
      <c r="G28" s="1467"/>
      <c r="H28" s="1467"/>
      <c r="I28" s="1467"/>
      <c r="J28" s="1467"/>
      <c r="K28" s="1467"/>
      <c r="L28" s="1467"/>
      <c r="M28" s="1467"/>
      <c r="N28" s="1467"/>
      <c r="O28" s="1467"/>
      <c r="P28" s="1467"/>
      <c r="Q28" s="1467"/>
      <c r="R28" s="1468"/>
      <c r="S28" s="229"/>
      <c r="T28" s="1463"/>
      <c r="U28" s="235"/>
      <c r="V28" s="235"/>
      <c r="W28" s="235"/>
      <c r="X28" s="235"/>
      <c r="Y28" s="235"/>
      <c r="Z28" s="235"/>
      <c r="AA28" s="235"/>
      <c r="AB28" s="235"/>
      <c r="AC28" s="235"/>
      <c r="AD28" s="235"/>
      <c r="AE28" s="235"/>
      <c r="AF28" s="235"/>
      <c r="AG28" s="235"/>
      <c r="AH28" s="235"/>
      <c r="AI28" s="235"/>
      <c r="AJ28" s="235"/>
      <c r="AK28" s="235"/>
      <c r="AL28" s="235"/>
      <c r="AM28" s="235"/>
      <c r="AN28" s="235"/>
      <c r="AO28" s="235"/>
      <c r="AP28" s="235"/>
      <c r="AQ28" s="235"/>
      <c r="AR28" s="235"/>
      <c r="AS28" s="235"/>
      <c r="AT28" s="235"/>
      <c r="AU28" s="235"/>
      <c r="AV28" s="235"/>
      <c r="AW28" s="235"/>
      <c r="AX28" s="235"/>
      <c r="AY28" s="235"/>
      <c r="AZ28" s="235"/>
      <c r="BA28" s="235"/>
      <c r="BB28" s="235"/>
      <c r="BC28" s="235"/>
      <c r="BD28" s="235"/>
      <c r="BE28" s="235"/>
      <c r="BF28" s="235"/>
      <c r="BG28" s="235"/>
      <c r="BH28" s="235"/>
      <c r="BI28" s="235"/>
      <c r="BJ28" s="235"/>
      <c r="BK28" s="235"/>
      <c r="BL28" s="235"/>
      <c r="BM28" s="235"/>
      <c r="BN28" s="235"/>
      <c r="BO28" s="235"/>
      <c r="BP28" s="235"/>
      <c r="BQ28" s="235"/>
      <c r="BR28" s="235"/>
      <c r="BS28" s="235"/>
      <c r="BT28" s="235"/>
      <c r="BU28" s="235"/>
      <c r="BV28" s="235"/>
      <c r="BW28" s="235"/>
      <c r="BX28" s="235"/>
      <c r="BY28" s="235"/>
      <c r="BZ28" s="235"/>
      <c r="CA28" s="235"/>
      <c r="CB28" s="235"/>
      <c r="CC28" s="235"/>
      <c r="CD28" s="235"/>
      <c r="CE28" s="235"/>
      <c r="CF28" s="235"/>
      <c r="CG28" s="235"/>
      <c r="CH28" s="235"/>
      <c r="CI28" s="235"/>
      <c r="CJ28" s="235"/>
      <c r="CK28" s="235"/>
      <c r="CL28" s="235"/>
      <c r="CM28" s="235"/>
      <c r="CN28" s="235"/>
      <c r="CO28" s="235"/>
      <c r="CP28" s="235"/>
      <c r="CQ28" s="235"/>
      <c r="CR28" s="235"/>
      <c r="CS28" s="235"/>
      <c r="CT28" s="235"/>
      <c r="CU28" s="235"/>
      <c r="CV28" s="235"/>
      <c r="CW28" s="235"/>
      <c r="CX28" s="235"/>
      <c r="CY28" s="235"/>
      <c r="CZ28" s="235"/>
      <c r="DA28" s="235"/>
      <c r="DB28" s="235"/>
      <c r="DC28" s="235"/>
      <c r="DD28" s="235"/>
      <c r="DE28" s="235"/>
      <c r="DF28" s="235"/>
      <c r="DG28" s="235"/>
      <c r="DH28" s="235"/>
      <c r="DI28" s="235"/>
      <c r="DJ28" s="235"/>
      <c r="DK28" s="235"/>
      <c r="DL28" s="235"/>
      <c r="DM28" s="235"/>
      <c r="DN28" s="235"/>
      <c r="DO28" s="235"/>
      <c r="DP28" s="235"/>
      <c r="DQ28" s="235"/>
      <c r="DR28" s="235"/>
      <c r="DS28" s="235"/>
      <c r="DT28" s="235"/>
      <c r="DU28" s="235"/>
      <c r="DV28" s="235"/>
      <c r="DW28" s="235"/>
      <c r="DX28" s="235"/>
      <c r="DY28" s="235"/>
      <c r="DZ28" s="235"/>
      <c r="EA28" s="235"/>
      <c r="EB28" s="235"/>
      <c r="EC28" s="235"/>
      <c r="ED28" s="235"/>
      <c r="EE28" s="235"/>
      <c r="EF28" s="235"/>
      <c r="EG28" s="235"/>
      <c r="EH28" s="235"/>
      <c r="EI28" s="235"/>
      <c r="EJ28" s="235"/>
      <c r="EK28" s="235"/>
      <c r="EL28" s="235"/>
      <c r="EM28" s="235"/>
      <c r="EN28" s="235"/>
      <c r="EO28" s="235"/>
      <c r="EP28" s="235"/>
      <c r="EQ28" s="235"/>
      <c r="ER28" s="235"/>
      <c r="ES28" s="235"/>
      <c r="ET28" s="235"/>
      <c r="EU28" s="235"/>
      <c r="EV28" s="235"/>
      <c r="EW28" s="235"/>
      <c r="EX28" s="235"/>
      <c r="EY28" s="235"/>
      <c r="EZ28" s="235"/>
      <c r="FA28" s="235"/>
      <c r="FB28" s="235"/>
      <c r="FC28" s="235"/>
      <c r="FD28" s="235"/>
      <c r="FE28" s="235"/>
      <c r="FF28" s="235"/>
      <c r="FG28" s="235"/>
      <c r="FH28" s="235"/>
      <c r="FI28" s="235"/>
      <c r="FJ28" s="235"/>
      <c r="FK28" s="235"/>
      <c r="FL28" s="235"/>
      <c r="FM28" s="235"/>
      <c r="FN28" s="235"/>
      <c r="FO28" s="235"/>
      <c r="FP28" s="235"/>
      <c r="FQ28" s="235"/>
      <c r="FR28" s="235"/>
      <c r="FS28" s="235"/>
      <c r="FT28" s="235"/>
      <c r="FU28" s="235"/>
      <c r="FV28" s="235"/>
      <c r="FW28" s="235"/>
      <c r="FX28" s="235"/>
      <c r="FY28" s="235"/>
      <c r="FZ28" s="235"/>
      <c r="GA28" s="235"/>
      <c r="GB28" s="235"/>
      <c r="GC28" s="235"/>
      <c r="GD28" s="235"/>
      <c r="GE28" s="235"/>
      <c r="GF28" s="235"/>
      <c r="GG28" s="235"/>
      <c r="GH28" s="235"/>
      <c r="GI28" s="235"/>
      <c r="GJ28" s="235"/>
      <c r="GK28" s="235"/>
      <c r="GL28" s="235"/>
      <c r="GM28" s="235"/>
      <c r="GN28" s="235"/>
      <c r="GO28" s="235"/>
      <c r="GP28" s="235"/>
      <c r="GQ28" s="235"/>
      <c r="GR28" s="235"/>
      <c r="GS28" s="235"/>
      <c r="GT28" s="235"/>
      <c r="GU28" s="235"/>
      <c r="GV28" s="235"/>
      <c r="GW28" s="235"/>
      <c r="GX28" s="235"/>
      <c r="GY28" s="235"/>
      <c r="GZ28" s="235"/>
      <c r="HA28" s="235"/>
      <c r="HB28" s="235"/>
      <c r="HC28" s="235"/>
      <c r="HD28" s="235"/>
      <c r="HE28" s="235"/>
      <c r="HF28" s="235"/>
      <c r="HG28" s="235"/>
      <c r="HH28" s="235"/>
      <c r="HI28" s="235"/>
      <c r="HJ28" s="235"/>
      <c r="HK28" s="235"/>
      <c r="HL28" s="235"/>
      <c r="HM28" s="235"/>
      <c r="HN28" s="235"/>
      <c r="HO28" s="235"/>
      <c r="HP28" s="235"/>
      <c r="HQ28" s="235"/>
      <c r="HR28" s="235"/>
      <c r="HS28" s="235"/>
      <c r="HT28" s="235"/>
      <c r="HU28" s="235"/>
      <c r="HV28" s="235"/>
      <c r="HW28" s="235"/>
      <c r="HX28" s="235"/>
      <c r="HY28" s="235"/>
      <c r="HZ28" s="235"/>
      <c r="IA28" s="235"/>
      <c r="IB28" s="235"/>
      <c r="IC28" s="235"/>
      <c r="ID28" s="235"/>
      <c r="IE28" s="235"/>
      <c r="IF28" s="235"/>
      <c r="IG28" s="235"/>
      <c r="IH28" s="235"/>
      <c r="II28" s="235"/>
      <c r="IJ28" s="235"/>
      <c r="IK28" s="235"/>
    </row>
    <row r="29" spans="2:245" s="414" customFormat="1" ht="15">
      <c r="B29" s="419">
        <v>1</v>
      </c>
      <c r="C29" s="172" t="str">
        <f>SUM($A$14:B29)&amp;".0"</f>
        <v>8.0</v>
      </c>
      <c r="D29" s="1460" t="str">
        <f ca="1">VLOOKUP(C29,RESUMO!$B$14:$I$36,3,0)</f>
        <v>L I G A Ç Õ E S  D O M I C I L I A R E S</v>
      </c>
      <c r="E29" s="1461">
        <f ca="1">($Q29*F29/100)</f>
        <v>0</v>
      </c>
      <c r="F29" s="1462"/>
      <c r="G29" s="1461">
        <f ca="1">($Q29*H29/100)</f>
        <v>0</v>
      </c>
      <c r="H29" s="1462"/>
      <c r="I29" s="1461">
        <f ca="1">($Q29*J29/100)</f>
        <v>0</v>
      </c>
      <c r="J29" s="1462"/>
      <c r="K29" s="1461">
        <f ca="1">($Q29*L29/100)</f>
        <v>0</v>
      </c>
      <c r="L29" s="1462"/>
      <c r="M29" s="1461">
        <f ca="1">($Q29*N29/100)</f>
        <v>0</v>
      </c>
      <c r="N29" s="1462"/>
      <c r="O29" s="1461">
        <f ca="1">($Q29*P29/100)</f>
        <v>370908.87999999995</v>
      </c>
      <c r="P29" s="1462">
        <v>100</v>
      </c>
      <c r="Q29" s="1461">
        <f ca="1">VLOOKUP(C29,RESUMO!$B$14:$I$36,8,0)</f>
        <v>370908.87999999995</v>
      </c>
      <c r="R29" s="1462">
        <f ca="1">Q29/$Q$37*100</f>
        <v>10.096497860267416</v>
      </c>
      <c r="S29" s="229"/>
      <c r="T29" s="1463">
        <f>F29+H29+J29+P29+L29+N29</f>
        <v>100</v>
      </c>
      <c r="U29" s="228"/>
      <c r="V29" s="228"/>
      <c r="W29" s="228"/>
      <c r="X29" s="228"/>
      <c r="Y29" s="228"/>
      <c r="Z29" s="228"/>
      <c r="AA29" s="228"/>
      <c r="AB29" s="228"/>
      <c r="AC29" s="228"/>
      <c r="AD29" s="228"/>
      <c r="AE29" s="228"/>
      <c r="AF29" s="228"/>
      <c r="AG29" s="228"/>
      <c r="AH29" s="228"/>
      <c r="AI29" s="228"/>
      <c r="AJ29" s="228"/>
      <c r="AK29" s="228"/>
      <c r="AL29" s="228"/>
      <c r="AM29" s="228"/>
      <c r="AN29" s="228"/>
      <c r="AO29" s="228"/>
      <c r="AP29" s="228"/>
      <c r="AQ29" s="228"/>
      <c r="AR29" s="228"/>
      <c r="AS29" s="228"/>
      <c r="AT29" s="228"/>
      <c r="AU29" s="228"/>
      <c r="AV29" s="228"/>
      <c r="AW29" s="228"/>
      <c r="AX29" s="228"/>
      <c r="AY29" s="228"/>
      <c r="AZ29" s="228"/>
      <c r="BA29" s="228"/>
      <c r="BB29" s="228"/>
      <c r="BC29" s="228"/>
      <c r="BD29" s="228"/>
      <c r="BE29" s="228"/>
      <c r="BF29" s="228"/>
      <c r="BG29" s="228"/>
      <c r="BH29" s="228"/>
      <c r="BI29" s="228"/>
      <c r="BJ29" s="228"/>
      <c r="BK29" s="228"/>
      <c r="BL29" s="228"/>
      <c r="BM29" s="228"/>
      <c r="BN29" s="228"/>
      <c r="BO29" s="228"/>
      <c r="BP29" s="228"/>
      <c r="BQ29" s="228"/>
      <c r="BR29" s="228"/>
      <c r="BS29" s="228"/>
      <c r="BT29" s="228"/>
      <c r="BU29" s="228"/>
      <c r="BV29" s="228"/>
      <c r="BW29" s="228"/>
      <c r="BX29" s="228"/>
      <c r="BY29" s="228"/>
      <c r="BZ29" s="228"/>
      <c r="CA29" s="228"/>
      <c r="CB29" s="228"/>
      <c r="CC29" s="228"/>
      <c r="CD29" s="228"/>
      <c r="CE29" s="228"/>
      <c r="CF29" s="228"/>
      <c r="CG29" s="228"/>
      <c r="CH29" s="228"/>
      <c r="CI29" s="228"/>
      <c r="CJ29" s="228"/>
      <c r="CK29" s="228"/>
      <c r="CL29" s="228"/>
      <c r="CM29" s="228"/>
      <c r="CN29" s="228"/>
      <c r="CO29" s="228"/>
      <c r="CP29" s="228"/>
      <c r="CQ29" s="228"/>
      <c r="CR29" s="228"/>
      <c r="CS29" s="228"/>
      <c r="CT29" s="228"/>
      <c r="CU29" s="228"/>
      <c r="CV29" s="228"/>
      <c r="CW29" s="228"/>
      <c r="CX29" s="228"/>
      <c r="CY29" s="228"/>
      <c r="CZ29" s="228"/>
      <c r="DA29" s="228"/>
      <c r="DB29" s="228"/>
      <c r="DC29" s="228"/>
      <c r="DD29" s="228"/>
      <c r="DE29" s="228"/>
      <c r="DF29" s="228"/>
      <c r="DG29" s="228"/>
      <c r="DH29" s="228"/>
      <c r="DI29" s="228"/>
      <c r="DJ29" s="228"/>
      <c r="DK29" s="228"/>
      <c r="DL29" s="228"/>
      <c r="DM29" s="228"/>
      <c r="DN29" s="228"/>
      <c r="DO29" s="228"/>
      <c r="DP29" s="228"/>
      <c r="DQ29" s="228"/>
      <c r="DR29" s="228"/>
      <c r="DS29" s="228"/>
      <c r="DT29" s="228"/>
      <c r="DU29" s="228"/>
      <c r="DV29" s="228"/>
      <c r="DW29" s="228"/>
      <c r="DX29" s="228"/>
      <c r="DY29" s="228"/>
      <c r="DZ29" s="228"/>
      <c r="EA29" s="228"/>
      <c r="EB29" s="228"/>
      <c r="EC29" s="228"/>
      <c r="ED29" s="228"/>
      <c r="EE29" s="228"/>
      <c r="EF29" s="228"/>
      <c r="EG29" s="228"/>
      <c r="EH29" s="228"/>
      <c r="EI29" s="228"/>
      <c r="EJ29" s="228"/>
      <c r="EK29" s="228"/>
      <c r="EL29" s="228"/>
      <c r="EM29" s="228"/>
      <c r="EN29" s="228"/>
      <c r="EO29" s="228"/>
      <c r="EP29" s="228"/>
      <c r="EQ29" s="228"/>
      <c r="ER29" s="228"/>
      <c r="ES29" s="228"/>
      <c r="ET29" s="228"/>
      <c r="EU29" s="228"/>
      <c r="EV29" s="228"/>
      <c r="EW29" s="228"/>
      <c r="EX29" s="228"/>
      <c r="EY29" s="228"/>
      <c r="EZ29" s="228"/>
      <c r="FA29" s="228"/>
      <c r="FB29" s="228"/>
      <c r="FC29" s="228"/>
      <c r="FD29" s="228"/>
      <c r="FE29" s="228"/>
      <c r="FF29" s="228"/>
      <c r="FG29" s="228"/>
      <c r="FH29" s="228"/>
      <c r="FI29" s="228"/>
      <c r="FJ29" s="228"/>
      <c r="FK29" s="228"/>
      <c r="FL29" s="228"/>
      <c r="FM29" s="228"/>
      <c r="FN29" s="228"/>
      <c r="FO29" s="228"/>
      <c r="FP29" s="228"/>
      <c r="FQ29" s="228"/>
      <c r="FR29" s="228"/>
      <c r="FS29" s="228"/>
      <c r="FT29" s="228"/>
      <c r="FU29" s="228"/>
      <c r="FV29" s="228"/>
      <c r="FW29" s="228"/>
      <c r="FX29" s="228"/>
      <c r="FY29" s="228"/>
      <c r="FZ29" s="228"/>
      <c r="GA29" s="228"/>
      <c r="GB29" s="228"/>
      <c r="GC29" s="228"/>
      <c r="GD29" s="228"/>
      <c r="GE29" s="228"/>
      <c r="GF29" s="228"/>
      <c r="GG29" s="228"/>
      <c r="GH29" s="228"/>
      <c r="GI29" s="228"/>
      <c r="GJ29" s="228"/>
      <c r="GK29" s="228"/>
      <c r="GL29" s="228"/>
      <c r="GM29" s="228"/>
      <c r="GN29" s="228"/>
      <c r="GO29" s="228"/>
      <c r="GP29" s="228"/>
      <c r="GQ29" s="228"/>
      <c r="GR29" s="228"/>
      <c r="GS29" s="228"/>
      <c r="GT29" s="228"/>
      <c r="GU29" s="228"/>
      <c r="GV29" s="228"/>
      <c r="GW29" s="228"/>
      <c r="GX29" s="228"/>
      <c r="GY29" s="228"/>
      <c r="GZ29" s="228"/>
      <c r="HA29" s="228"/>
      <c r="HB29" s="228"/>
      <c r="HC29" s="228"/>
      <c r="HD29" s="228"/>
      <c r="HE29" s="228"/>
      <c r="HF29" s="228"/>
      <c r="HG29" s="228"/>
      <c r="HH29" s="228"/>
      <c r="HI29" s="228"/>
      <c r="HJ29" s="228"/>
      <c r="HK29" s="228"/>
      <c r="HL29" s="228"/>
      <c r="HM29" s="228"/>
      <c r="HN29" s="228"/>
      <c r="HO29" s="228"/>
      <c r="HP29" s="228"/>
      <c r="HQ29" s="228"/>
      <c r="HR29" s="228"/>
      <c r="HS29" s="228"/>
      <c r="HT29" s="228"/>
      <c r="HU29" s="228"/>
      <c r="HV29" s="228"/>
      <c r="HW29" s="228"/>
      <c r="HX29" s="228"/>
      <c r="HY29" s="228"/>
      <c r="HZ29" s="228"/>
      <c r="IA29" s="228"/>
      <c r="IB29" s="228"/>
      <c r="IC29" s="228"/>
      <c r="ID29" s="228"/>
      <c r="IE29" s="228"/>
      <c r="IF29" s="228"/>
      <c r="IG29" s="228"/>
      <c r="IH29" s="228"/>
      <c r="II29" s="228"/>
      <c r="IJ29" s="228"/>
      <c r="IK29" s="228"/>
    </row>
    <row r="30" spans="2:245" s="1464" customFormat="1" ht="6" customHeight="1">
      <c r="C30" s="1465"/>
      <c r="D30" s="1466"/>
      <c r="E30" s="1467"/>
      <c r="F30" s="1467"/>
      <c r="G30" s="1467"/>
      <c r="H30" s="1467"/>
      <c r="I30" s="1467"/>
      <c r="J30" s="1467"/>
      <c r="K30" s="1467"/>
      <c r="L30" s="1467"/>
      <c r="M30" s="1467"/>
      <c r="N30" s="1467"/>
      <c r="O30" s="1467"/>
      <c r="P30" s="1467"/>
      <c r="Q30" s="1467"/>
      <c r="R30" s="1468"/>
      <c r="S30" s="229"/>
      <c r="T30" s="1463"/>
      <c r="U30" s="235"/>
      <c r="V30" s="235"/>
      <c r="W30" s="235"/>
      <c r="X30" s="235"/>
      <c r="Y30" s="235"/>
      <c r="Z30" s="235"/>
      <c r="AA30" s="235"/>
      <c r="AB30" s="235"/>
      <c r="AC30" s="235"/>
      <c r="AD30" s="235"/>
      <c r="AE30" s="235"/>
      <c r="AF30" s="235"/>
      <c r="AG30" s="235"/>
      <c r="AH30" s="235"/>
      <c r="AI30" s="235"/>
      <c r="AJ30" s="235"/>
      <c r="AK30" s="235"/>
      <c r="AL30" s="235"/>
      <c r="AM30" s="235"/>
      <c r="AN30" s="235"/>
      <c r="AO30" s="235"/>
      <c r="AP30" s="235"/>
      <c r="AQ30" s="235"/>
      <c r="AR30" s="235"/>
      <c r="AS30" s="235"/>
      <c r="AT30" s="235"/>
      <c r="AU30" s="235"/>
      <c r="AV30" s="235"/>
      <c r="AW30" s="235"/>
      <c r="AX30" s="235"/>
      <c r="AY30" s="235"/>
      <c r="AZ30" s="235"/>
      <c r="BA30" s="235"/>
      <c r="BB30" s="235"/>
      <c r="BC30" s="235"/>
      <c r="BD30" s="235"/>
      <c r="BE30" s="235"/>
      <c r="BF30" s="235"/>
      <c r="BG30" s="235"/>
      <c r="BH30" s="235"/>
      <c r="BI30" s="235"/>
      <c r="BJ30" s="235"/>
      <c r="BK30" s="235"/>
      <c r="BL30" s="235"/>
      <c r="BM30" s="235"/>
      <c r="BN30" s="235"/>
      <c r="BO30" s="235"/>
      <c r="BP30" s="235"/>
      <c r="BQ30" s="235"/>
      <c r="BR30" s="235"/>
      <c r="BS30" s="235"/>
      <c r="BT30" s="235"/>
      <c r="BU30" s="235"/>
      <c r="BV30" s="235"/>
      <c r="BW30" s="235"/>
      <c r="BX30" s="235"/>
      <c r="BY30" s="235"/>
      <c r="BZ30" s="235"/>
      <c r="CA30" s="235"/>
      <c r="CB30" s="235"/>
      <c r="CC30" s="235"/>
      <c r="CD30" s="235"/>
      <c r="CE30" s="235"/>
      <c r="CF30" s="235"/>
      <c r="CG30" s="235"/>
      <c r="CH30" s="235"/>
      <c r="CI30" s="235"/>
      <c r="CJ30" s="235"/>
      <c r="CK30" s="235"/>
      <c r="CL30" s="235"/>
      <c r="CM30" s="235"/>
      <c r="CN30" s="235"/>
      <c r="CO30" s="235"/>
      <c r="CP30" s="235"/>
      <c r="CQ30" s="235"/>
      <c r="CR30" s="235"/>
      <c r="CS30" s="235"/>
      <c r="CT30" s="235"/>
      <c r="CU30" s="235"/>
      <c r="CV30" s="235"/>
      <c r="CW30" s="235"/>
      <c r="CX30" s="235"/>
      <c r="CY30" s="235"/>
      <c r="CZ30" s="235"/>
      <c r="DA30" s="235"/>
      <c r="DB30" s="235"/>
      <c r="DC30" s="235"/>
      <c r="DD30" s="235"/>
      <c r="DE30" s="235"/>
      <c r="DF30" s="235"/>
      <c r="DG30" s="235"/>
      <c r="DH30" s="235"/>
      <c r="DI30" s="235"/>
      <c r="DJ30" s="235"/>
      <c r="DK30" s="235"/>
      <c r="DL30" s="235"/>
      <c r="DM30" s="235"/>
      <c r="DN30" s="235"/>
      <c r="DO30" s="235"/>
      <c r="DP30" s="235"/>
      <c r="DQ30" s="235"/>
      <c r="DR30" s="235"/>
      <c r="DS30" s="235"/>
      <c r="DT30" s="235"/>
      <c r="DU30" s="235"/>
      <c r="DV30" s="235"/>
      <c r="DW30" s="235"/>
      <c r="DX30" s="235"/>
      <c r="DY30" s="235"/>
      <c r="DZ30" s="235"/>
      <c r="EA30" s="235"/>
      <c r="EB30" s="235"/>
      <c r="EC30" s="235"/>
      <c r="ED30" s="235"/>
      <c r="EE30" s="235"/>
      <c r="EF30" s="235"/>
      <c r="EG30" s="235"/>
      <c r="EH30" s="235"/>
      <c r="EI30" s="235"/>
      <c r="EJ30" s="235"/>
      <c r="EK30" s="235"/>
      <c r="EL30" s="235"/>
      <c r="EM30" s="235"/>
      <c r="EN30" s="235"/>
      <c r="EO30" s="235"/>
      <c r="EP30" s="235"/>
      <c r="EQ30" s="235"/>
      <c r="ER30" s="235"/>
      <c r="ES30" s="235"/>
      <c r="ET30" s="235"/>
      <c r="EU30" s="235"/>
      <c r="EV30" s="235"/>
      <c r="EW30" s="235"/>
      <c r="EX30" s="235"/>
      <c r="EY30" s="235"/>
      <c r="EZ30" s="235"/>
      <c r="FA30" s="235"/>
      <c r="FB30" s="235"/>
      <c r="FC30" s="235"/>
      <c r="FD30" s="235"/>
      <c r="FE30" s="235"/>
      <c r="FF30" s="235"/>
      <c r="FG30" s="235"/>
      <c r="FH30" s="235"/>
      <c r="FI30" s="235"/>
      <c r="FJ30" s="235"/>
      <c r="FK30" s="235"/>
      <c r="FL30" s="235"/>
      <c r="FM30" s="235"/>
      <c r="FN30" s="235"/>
      <c r="FO30" s="235"/>
      <c r="FP30" s="235"/>
      <c r="FQ30" s="235"/>
      <c r="FR30" s="235"/>
      <c r="FS30" s="235"/>
      <c r="FT30" s="235"/>
      <c r="FU30" s="235"/>
      <c r="FV30" s="235"/>
      <c r="FW30" s="235"/>
      <c r="FX30" s="235"/>
      <c r="FY30" s="235"/>
      <c r="FZ30" s="235"/>
      <c r="GA30" s="235"/>
      <c r="GB30" s="235"/>
      <c r="GC30" s="235"/>
      <c r="GD30" s="235"/>
      <c r="GE30" s="235"/>
      <c r="GF30" s="235"/>
      <c r="GG30" s="235"/>
      <c r="GH30" s="235"/>
      <c r="GI30" s="235"/>
      <c r="GJ30" s="235"/>
      <c r="GK30" s="235"/>
      <c r="GL30" s="235"/>
      <c r="GM30" s="235"/>
      <c r="GN30" s="235"/>
      <c r="GO30" s="235"/>
      <c r="GP30" s="235"/>
      <c r="GQ30" s="235"/>
      <c r="GR30" s="235"/>
      <c r="GS30" s="235"/>
      <c r="GT30" s="235"/>
      <c r="GU30" s="235"/>
      <c r="GV30" s="235"/>
      <c r="GW30" s="235"/>
      <c r="GX30" s="235"/>
      <c r="GY30" s="235"/>
      <c r="GZ30" s="235"/>
      <c r="HA30" s="235"/>
      <c r="HB30" s="235"/>
      <c r="HC30" s="235"/>
      <c r="HD30" s="235"/>
      <c r="HE30" s="235"/>
      <c r="HF30" s="235"/>
      <c r="HG30" s="235"/>
      <c r="HH30" s="235"/>
      <c r="HI30" s="235"/>
      <c r="HJ30" s="235"/>
      <c r="HK30" s="235"/>
      <c r="HL30" s="235"/>
      <c r="HM30" s="235"/>
      <c r="HN30" s="235"/>
      <c r="HO30" s="235"/>
      <c r="HP30" s="235"/>
      <c r="HQ30" s="235"/>
      <c r="HR30" s="235"/>
      <c r="HS30" s="235"/>
      <c r="HT30" s="235"/>
      <c r="HU30" s="235"/>
      <c r="HV30" s="235"/>
      <c r="HW30" s="235"/>
      <c r="HX30" s="235"/>
      <c r="HY30" s="235"/>
      <c r="HZ30" s="235"/>
      <c r="IA30" s="235"/>
      <c r="IB30" s="235"/>
      <c r="IC30" s="235"/>
      <c r="ID30" s="235"/>
      <c r="IE30" s="235"/>
      <c r="IF30" s="235"/>
      <c r="IG30" s="235"/>
      <c r="IH30" s="235"/>
      <c r="II30" s="235"/>
      <c r="IJ30" s="235"/>
      <c r="IK30" s="235"/>
    </row>
    <row r="31" spans="2:245" s="414" customFormat="1" ht="45">
      <c r="B31" s="419">
        <v>1</v>
      </c>
      <c r="C31" s="172" t="str">
        <f>SUM($A$14:B31)&amp;".0"</f>
        <v>9.0</v>
      </c>
      <c r="D31" s="1460" t="str">
        <f ca="1">VLOOKUP(C31,RESUMO!$B$14:$I$36,3,0)</f>
        <v>I N S T A L A Ç Õ E S  E L É T R I C A S - Á R E A  D O  R E S E R V A T Ó R I O</v>
      </c>
      <c r="E31" s="1461">
        <f ca="1">($Q31*F31/100)</f>
        <v>0</v>
      </c>
      <c r="F31" s="1462"/>
      <c r="G31" s="1461">
        <f ca="1">($Q31*H31/100)</f>
        <v>0</v>
      </c>
      <c r="H31" s="1462"/>
      <c r="I31" s="1461">
        <f ca="1">($Q31*J31/100)</f>
        <v>0</v>
      </c>
      <c r="J31" s="1462"/>
      <c r="K31" s="1461">
        <f ca="1">($Q31*L31/100)</f>
        <v>0</v>
      </c>
      <c r="L31" s="1462"/>
      <c r="M31" s="1461">
        <f ca="1">($Q31*N31/100)</f>
        <v>12173.009999999998</v>
      </c>
      <c r="N31" s="1462">
        <v>100</v>
      </c>
      <c r="O31" s="1461">
        <f ca="1">($Q31*P31/100)</f>
        <v>0</v>
      </c>
      <c r="P31" s="1462"/>
      <c r="Q31" s="1461">
        <f ca="1">VLOOKUP(C31,RESUMO!$B$14:$I$36,8,0)</f>
        <v>12173.009999999998</v>
      </c>
      <c r="R31" s="1462">
        <f ca="1">Q31/$Q$37*100</f>
        <v>0.3313610863617335</v>
      </c>
      <c r="S31" s="229"/>
      <c r="T31" s="1463">
        <f>F31+H31+J31+P31+L31+N31</f>
        <v>100</v>
      </c>
      <c r="U31" s="228"/>
      <c r="V31" s="228"/>
      <c r="W31" s="228"/>
      <c r="X31" s="228"/>
      <c r="Y31" s="228"/>
      <c r="Z31" s="228"/>
      <c r="AA31" s="228"/>
      <c r="AB31" s="228"/>
      <c r="AC31" s="228"/>
      <c r="AD31" s="228"/>
      <c r="AE31" s="228"/>
      <c r="AF31" s="228"/>
      <c r="AG31" s="228"/>
      <c r="AH31" s="228"/>
      <c r="AI31" s="228"/>
      <c r="AJ31" s="228"/>
      <c r="AK31" s="228"/>
      <c r="AL31" s="228"/>
      <c r="AM31" s="228"/>
      <c r="AN31" s="228"/>
      <c r="AO31" s="228"/>
      <c r="AP31" s="228"/>
      <c r="AQ31" s="228"/>
      <c r="AR31" s="228"/>
      <c r="AS31" s="228"/>
      <c r="AT31" s="228"/>
      <c r="AU31" s="228"/>
      <c r="AV31" s="228"/>
      <c r="AW31" s="228"/>
      <c r="AX31" s="228"/>
      <c r="AY31" s="228"/>
      <c r="AZ31" s="228"/>
      <c r="BA31" s="228"/>
      <c r="BB31" s="228"/>
      <c r="BC31" s="228"/>
      <c r="BD31" s="228"/>
      <c r="BE31" s="228"/>
      <c r="BF31" s="228"/>
      <c r="BG31" s="228"/>
      <c r="BH31" s="228"/>
      <c r="BI31" s="228"/>
      <c r="BJ31" s="228"/>
      <c r="BK31" s="228"/>
      <c r="BL31" s="228"/>
      <c r="BM31" s="228"/>
      <c r="BN31" s="228"/>
      <c r="BO31" s="228"/>
      <c r="BP31" s="228"/>
      <c r="BQ31" s="228"/>
      <c r="BR31" s="228"/>
      <c r="BS31" s="228"/>
      <c r="BT31" s="228"/>
      <c r="BU31" s="228"/>
      <c r="BV31" s="228"/>
      <c r="BW31" s="228"/>
      <c r="BX31" s="228"/>
      <c r="BY31" s="228"/>
      <c r="BZ31" s="228"/>
      <c r="CA31" s="228"/>
      <c r="CB31" s="228"/>
      <c r="CC31" s="228"/>
      <c r="CD31" s="228"/>
      <c r="CE31" s="228"/>
      <c r="CF31" s="228"/>
      <c r="CG31" s="228"/>
      <c r="CH31" s="228"/>
      <c r="CI31" s="228"/>
      <c r="CJ31" s="228"/>
      <c r="CK31" s="228"/>
      <c r="CL31" s="228"/>
      <c r="CM31" s="228"/>
      <c r="CN31" s="228"/>
      <c r="CO31" s="228"/>
      <c r="CP31" s="228"/>
      <c r="CQ31" s="228"/>
      <c r="CR31" s="228"/>
      <c r="CS31" s="228"/>
      <c r="CT31" s="228"/>
      <c r="CU31" s="228"/>
      <c r="CV31" s="228"/>
      <c r="CW31" s="228"/>
      <c r="CX31" s="228"/>
      <c r="CY31" s="228"/>
      <c r="CZ31" s="228"/>
      <c r="DA31" s="228"/>
      <c r="DB31" s="228"/>
      <c r="DC31" s="228"/>
      <c r="DD31" s="228"/>
      <c r="DE31" s="228"/>
      <c r="DF31" s="228"/>
      <c r="DG31" s="228"/>
      <c r="DH31" s="228"/>
      <c r="DI31" s="228"/>
      <c r="DJ31" s="228"/>
      <c r="DK31" s="228"/>
      <c r="DL31" s="228"/>
      <c r="DM31" s="228"/>
      <c r="DN31" s="228"/>
      <c r="DO31" s="228"/>
      <c r="DP31" s="228"/>
      <c r="DQ31" s="228"/>
      <c r="DR31" s="228"/>
      <c r="DS31" s="228"/>
      <c r="DT31" s="228"/>
      <c r="DU31" s="228"/>
      <c r="DV31" s="228"/>
      <c r="DW31" s="228"/>
      <c r="DX31" s="228"/>
      <c r="DY31" s="228"/>
      <c r="DZ31" s="228"/>
      <c r="EA31" s="228"/>
      <c r="EB31" s="228"/>
      <c r="EC31" s="228"/>
      <c r="ED31" s="228"/>
      <c r="EE31" s="228"/>
      <c r="EF31" s="228"/>
      <c r="EG31" s="228"/>
      <c r="EH31" s="228"/>
      <c r="EI31" s="228"/>
      <c r="EJ31" s="228"/>
      <c r="EK31" s="228"/>
      <c r="EL31" s="228"/>
      <c r="EM31" s="228"/>
      <c r="EN31" s="228"/>
      <c r="EO31" s="228"/>
      <c r="EP31" s="228"/>
      <c r="EQ31" s="228"/>
      <c r="ER31" s="228"/>
      <c r="ES31" s="228"/>
      <c r="ET31" s="228"/>
      <c r="EU31" s="228"/>
      <c r="EV31" s="228"/>
      <c r="EW31" s="228"/>
      <c r="EX31" s="228"/>
      <c r="EY31" s="228"/>
      <c r="EZ31" s="228"/>
      <c r="FA31" s="228"/>
      <c r="FB31" s="228"/>
      <c r="FC31" s="228"/>
      <c r="FD31" s="228"/>
      <c r="FE31" s="228"/>
      <c r="FF31" s="228"/>
      <c r="FG31" s="228"/>
      <c r="FH31" s="228"/>
      <c r="FI31" s="228"/>
      <c r="FJ31" s="228"/>
      <c r="FK31" s="228"/>
      <c r="FL31" s="228"/>
      <c r="FM31" s="228"/>
      <c r="FN31" s="228"/>
      <c r="FO31" s="228"/>
      <c r="FP31" s="228"/>
      <c r="FQ31" s="228"/>
      <c r="FR31" s="228"/>
      <c r="FS31" s="228"/>
      <c r="FT31" s="228"/>
      <c r="FU31" s="228"/>
      <c r="FV31" s="228"/>
      <c r="FW31" s="228"/>
      <c r="FX31" s="228"/>
      <c r="FY31" s="228"/>
      <c r="FZ31" s="228"/>
      <c r="GA31" s="228"/>
      <c r="GB31" s="228"/>
      <c r="GC31" s="228"/>
      <c r="GD31" s="228"/>
      <c r="GE31" s="228"/>
      <c r="GF31" s="228"/>
      <c r="GG31" s="228"/>
      <c r="GH31" s="228"/>
      <c r="GI31" s="228"/>
      <c r="GJ31" s="228"/>
      <c r="GK31" s="228"/>
      <c r="GL31" s="228"/>
      <c r="GM31" s="228"/>
      <c r="GN31" s="228"/>
      <c r="GO31" s="228"/>
      <c r="GP31" s="228"/>
      <c r="GQ31" s="228"/>
      <c r="GR31" s="228"/>
      <c r="GS31" s="228"/>
      <c r="GT31" s="228"/>
      <c r="GU31" s="228"/>
      <c r="GV31" s="228"/>
      <c r="GW31" s="228"/>
      <c r="GX31" s="228"/>
      <c r="GY31" s="228"/>
      <c r="GZ31" s="228"/>
      <c r="HA31" s="228"/>
      <c r="HB31" s="228"/>
      <c r="HC31" s="228"/>
      <c r="HD31" s="228"/>
      <c r="HE31" s="228"/>
      <c r="HF31" s="228"/>
      <c r="HG31" s="228"/>
      <c r="HH31" s="228"/>
      <c r="HI31" s="228"/>
      <c r="HJ31" s="228"/>
      <c r="HK31" s="228"/>
      <c r="HL31" s="228"/>
      <c r="HM31" s="228"/>
      <c r="HN31" s="228"/>
      <c r="HO31" s="228"/>
      <c r="HP31" s="228"/>
      <c r="HQ31" s="228"/>
      <c r="HR31" s="228"/>
      <c r="HS31" s="228"/>
      <c r="HT31" s="228"/>
      <c r="HU31" s="228"/>
      <c r="HV31" s="228"/>
      <c r="HW31" s="228"/>
      <c r="HX31" s="228"/>
      <c r="HY31" s="228"/>
      <c r="HZ31" s="228"/>
      <c r="IA31" s="228"/>
      <c r="IB31" s="228"/>
      <c r="IC31" s="228"/>
      <c r="ID31" s="228"/>
      <c r="IE31" s="228"/>
      <c r="IF31" s="228"/>
      <c r="IG31" s="228"/>
      <c r="IH31" s="228"/>
      <c r="II31" s="228"/>
      <c r="IJ31" s="228"/>
      <c r="IK31" s="228"/>
    </row>
    <row r="32" spans="2:245" s="1464" customFormat="1" ht="6" customHeight="1">
      <c r="C32" s="1465"/>
      <c r="D32" s="1466"/>
      <c r="E32" s="1467"/>
      <c r="F32" s="1467"/>
      <c r="G32" s="1467"/>
      <c r="H32" s="1467"/>
      <c r="I32" s="1467"/>
      <c r="J32" s="1467"/>
      <c r="K32" s="1467"/>
      <c r="L32" s="1467"/>
      <c r="M32" s="1467"/>
      <c r="N32" s="1467"/>
      <c r="O32" s="1467"/>
      <c r="P32" s="1467"/>
      <c r="Q32" s="1467"/>
      <c r="R32" s="1468"/>
      <c r="S32" s="229"/>
      <c r="T32" s="1463"/>
      <c r="U32" s="235"/>
      <c r="V32" s="235"/>
      <c r="W32" s="235"/>
      <c r="X32" s="235"/>
      <c r="Y32" s="235"/>
      <c r="Z32" s="235"/>
      <c r="AA32" s="235"/>
      <c r="AB32" s="235"/>
      <c r="AC32" s="235"/>
      <c r="AD32" s="235"/>
      <c r="AE32" s="235"/>
      <c r="AF32" s="235"/>
      <c r="AG32" s="235"/>
      <c r="AH32" s="235"/>
      <c r="AI32" s="235"/>
      <c r="AJ32" s="235"/>
      <c r="AK32" s="235"/>
      <c r="AL32" s="235"/>
      <c r="AM32" s="235"/>
      <c r="AN32" s="235"/>
      <c r="AO32" s="235"/>
      <c r="AP32" s="235"/>
      <c r="AQ32" s="235"/>
      <c r="AR32" s="235"/>
      <c r="AS32" s="235"/>
      <c r="AT32" s="235"/>
      <c r="AU32" s="235"/>
      <c r="AV32" s="235"/>
      <c r="AW32" s="235"/>
      <c r="AX32" s="235"/>
      <c r="AY32" s="235"/>
      <c r="AZ32" s="235"/>
      <c r="BA32" s="235"/>
      <c r="BB32" s="235"/>
      <c r="BC32" s="235"/>
      <c r="BD32" s="235"/>
      <c r="BE32" s="235"/>
      <c r="BF32" s="235"/>
      <c r="BG32" s="235"/>
      <c r="BH32" s="235"/>
      <c r="BI32" s="235"/>
      <c r="BJ32" s="235"/>
      <c r="BK32" s="235"/>
      <c r="BL32" s="235"/>
      <c r="BM32" s="235"/>
      <c r="BN32" s="235"/>
      <c r="BO32" s="235"/>
      <c r="BP32" s="235"/>
      <c r="BQ32" s="235"/>
      <c r="BR32" s="235"/>
      <c r="BS32" s="235"/>
      <c r="BT32" s="235"/>
      <c r="BU32" s="235"/>
      <c r="BV32" s="235"/>
      <c r="BW32" s="235"/>
      <c r="BX32" s="235"/>
      <c r="BY32" s="235"/>
      <c r="BZ32" s="235"/>
      <c r="CA32" s="235"/>
      <c r="CB32" s="235"/>
      <c r="CC32" s="235"/>
      <c r="CD32" s="235"/>
      <c r="CE32" s="235"/>
      <c r="CF32" s="235"/>
      <c r="CG32" s="235"/>
      <c r="CH32" s="235"/>
      <c r="CI32" s="235"/>
      <c r="CJ32" s="235"/>
      <c r="CK32" s="235"/>
      <c r="CL32" s="235"/>
      <c r="CM32" s="235"/>
      <c r="CN32" s="235"/>
      <c r="CO32" s="235"/>
      <c r="CP32" s="235"/>
      <c r="CQ32" s="235"/>
      <c r="CR32" s="235"/>
      <c r="CS32" s="235"/>
      <c r="CT32" s="235"/>
      <c r="CU32" s="235"/>
      <c r="CV32" s="235"/>
      <c r="CW32" s="235"/>
      <c r="CX32" s="235"/>
      <c r="CY32" s="235"/>
      <c r="CZ32" s="235"/>
      <c r="DA32" s="235"/>
      <c r="DB32" s="235"/>
      <c r="DC32" s="235"/>
      <c r="DD32" s="235"/>
      <c r="DE32" s="235"/>
      <c r="DF32" s="235"/>
      <c r="DG32" s="235"/>
      <c r="DH32" s="235"/>
      <c r="DI32" s="235"/>
      <c r="DJ32" s="235"/>
      <c r="DK32" s="235"/>
      <c r="DL32" s="235"/>
      <c r="DM32" s="235"/>
      <c r="DN32" s="235"/>
      <c r="DO32" s="235"/>
      <c r="DP32" s="235"/>
      <c r="DQ32" s="235"/>
      <c r="DR32" s="235"/>
      <c r="DS32" s="235"/>
      <c r="DT32" s="235"/>
      <c r="DU32" s="235"/>
      <c r="DV32" s="235"/>
      <c r="DW32" s="235"/>
      <c r="DX32" s="235"/>
      <c r="DY32" s="235"/>
      <c r="DZ32" s="235"/>
      <c r="EA32" s="235"/>
      <c r="EB32" s="235"/>
      <c r="EC32" s="235"/>
      <c r="ED32" s="235"/>
      <c r="EE32" s="235"/>
      <c r="EF32" s="235"/>
      <c r="EG32" s="235"/>
      <c r="EH32" s="235"/>
      <c r="EI32" s="235"/>
      <c r="EJ32" s="235"/>
      <c r="EK32" s="235"/>
      <c r="EL32" s="235"/>
      <c r="EM32" s="235"/>
      <c r="EN32" s="235"/>
      <c r="EO32" s="235"/>
      <c r="EP32" s="235"/>
      <c r="EQ32" s="235"/>
      <c r="ER32" s="235"/>
      <c r="ES32" s="235"/>
      <c r="ET32" s="235"/>
      <c r="EU32" s="235"/>
      <c r="EV32" s="235"/>
      <c r="EW32" s="235"/>
      <c r="EX32" s="235"/>
      <c r="EY32" s="235"/>
      <c r="EZ32" s="235"/>
      <c r="FA32" s="235"/>
      <c r="FB32" s="235"/>
      <c r="FC32" s="235"/>
      <c r="FD32" s="235"/>
      <c r="FE32" s="235"/>
      <c r="FF32" s="235"/>
      <c r="FG32" s="235"/>
      <c r="FH32" s="235"/>
      <c r="FI32" s="235"/>
      <c r="FJ32" s="235"/>
      <c r="FK32" s="235"/>
      <c r="FL32" s="235"/>
      <c r="FM32" s="235"/>
      <c r="FN32" s="235"/>
      <c r="FO32" s="235"/>
      <c r="FP32" s="235"/>
      <c r="FQ32" s="235"/>
      <c r="FR32" s="235"/>
      <c r="FS32" s="235"/>
      <c r="FT32" s="235"/>
      <c r="FU32" s="235"/>
      <c r="FV32" s="235"/>
      <c r="FW32" s="235"/>
      <c r="FX32" s="235"/>
      <c r="FY32" s="235"/>
      <c r="FZ32" s="235"/>
      <c r="GA32" s="235"/>
      <c r="GB32" s="235"/>
      <c r="GC32" s="235"/>
      <c r="GD32" s="235"/>
      <c r="GE32" s="235"/>
      <c r="GF32" s="235"/>
      <c r="GG32" s="235"/>
      <c r="GH32" s="235"/>
      <c r="GI32" s="235"/>
      <c r="GJ32" s="235"/>
      <c r="GK32" s="235"/>
      <c r="GL32" s="235"/>
      <c r="GM32" s="235"/>
      <c r="GN32" s="235"/>
      <c r="GO32" s="235"/>
      <c r="GP32" s="235"/>
      <c r="GQ32" s="235"/>
      <c r="GR32" s="235"/>
      <c r="GS32" s="235"/>
      <c r="GT32" s="235"/>
      <c r="GU32" s="235"/>
      <c r="GV32" s="235"/>
      <c r="GW32" s="235"/>
      <c r="GX32" s="235"/>
      <c r="GY32" s="235"/>
      <c r="GZ32" s="235"/>
      <c r="HA32" s="235"/>
      <c r="HB32" s="235"/>
      <c r="HC32" s="235"/>
      <c r="HD32" s="235"/>
      <c r="HE32" s="235"/>
      <c r="HF32" s="235"/>
      <c r="HG32" s="235"/>
      <c r="HH32" s="235"/>
      <c r="HI32" s="235"/>
      <c r="HJ32" s="235"/>
      <c r="HK32" s="235"/>
      <c r="HL32" s="235"/>
      <c r="HM32" s="235"/>
      <c r="HN32" s="235"/>
      <c r="HO32" s="235"/>
      <c r="HP32" s="235"/>
      <c r="HQ32" s="235"/>
      <c r="HR32" s="235"/>
      <c r="HS32" s="235"/>
      <c r="HT32" s="235"/>
      <c r="HU32" s="235"/>
      <c r="HV32" s="235"/>
      <c r="HW32" s="235"/>
      <c r="HX32" s="235"/>
      <c r="HY32" s="235"/>
      <c r="HZ32" s="235"/>
      <c r="IA32" s="235"/>
      <c r="IB32" s="235"/>
      <c r="IC32" s="235"/>
      <c r="ID32" s="235"/>
      <c r="IE32" s="235"/>
      <c r="IF32" s="235"/>
      <c r="IG32" s="235"/>
      <c r="IH32" s="235"/>
      <c r="II32" s="235"/>
      <c r="IJ32" s="235"/>
      <c r="IK32" s="235"/>
    </row>
    <row r="33" spans="2:245" s="414" customFormat="1" ht="15">
      <c r="B33" s="419">
        <v>1</v>
      </c>
      <c r="C33" s="172" t="str">
        <f>SUM($A$14:B33)&amp;".0"</f>
        <v>10.0</v>
      </c>
      <c r="D33" s="1460" t="str">
        <f ca="1">VLOOKUP(C33,RESUMO!$B$14:$I$36,3,0)</f>
        <v>S P D A  - R E S E R V A T Ó R I O</v>
      </c>
      <c r="E33" s="1461">
        <f ca="1">($Q33*F33/100)</f>
        <v>0</v>
      </c>
      <c r="F33" s="1462"/>
      <c r="G33" s="1461">
        <f ca="1">($Q33*H33/100)</f>
        <v>0</v>
      </c>
      <c r="H33" s="1462"/>
      <c r="I33" s="1461">
        <f ca="1">($Q33*J33/100)</f>
        <v>0</v>
      </c>
      <c r="J33" s="1462"/>
      <c r="K33" s="1461">
        <f ca="1">($Q33*L33/100)</f>
        <v>0</v>
      </c>
      <c r="L33" s="1462"/>
      <c r="M33" s="1461">
        <f ca="1">($Q33*N33/100)</f>
        <v>4666.8100000000004</v>
      </c>
      <c r="N33" s="1462">
        <v>100</v>
      </c>
      <c r="O33" s="1461">
        <f ca="1">($Q33*P33/100)</f>
        <v>0</v>
      </c>
      <c r="P33" s="1462"/>
      <c r="Q33" s="1461">
        <f ca="1">VLOOKUP(C33,RESUMO!$B$14:$I$36,8,0)</f>
        <v>4666.8100000000004</v>
      </c>
      <c r="R33" s="1462">
        <f ca="1">Q33/$Q$37*100</f>
        <v>0.12703507443465517</v>
      </c>
      <c r="S33" s="229"/>
      <c r="T33" s="1463">
        <f>F33+H33+J33+P33+L33+N33</f>
        <v>100</v>
      </c>
      <c r="U33" s="228"/>
      <c r="V33" s="228"/>
      <c r="W33" s="228"/>
      <c r="X33" s="228"/>
      <c r="Y33" s="228"/>
      <c r="Z33" s="228"/>
      <c r="AA33" s="228"/>
      <c r="AB33" s="228"/>
      <c r="AC33" s="228"/>
      <c r="AD33" s="228"/>
      <c r="AE33" s="228"/>
      <c r="AF33" s="228"/>
      <c r="AG33" s="228"/>
      <c r="AH33" s="228"/>
      <c r="AI33" s="228"/>
      <c r="AJ33" s="228"/>
      <c r="AK33" s="228"/>
      <c r="AL33" s="228"/>
      <c r="AM33" s="228"/>
      <c r="AN33" s="228"/>
      <c r="AO33" s="228"/>
      <c r="AP33" s="228"/>
      <c r="AQ33" s="228"/>
      <c r="AR33" s="228"/>
      <c r="AS33" s="228"/>
      <c r="AT33" s="228"/>
      <c r="AU33" s="228"/>
      <c r="AV33" s="228"/>
      <c r="AW33" s="228"/>
      <c r="AX33" s="228"/>
      <c r="AY33" s="228"/>
      <c r="AZ33" s="228"/>
      <c r="BA33" s="228"/>
      <c r="BB33" s="228"/>
      <c r="BC33" s="228"/>
      <c r="BD33" s="228"/>
      <c r="BE33" s="228"/>
      <c r="BF33" s="228"/>
      <c r="BG33" s="228"/>
      <c r="BH33" s="228"/>
      <c r="BI33" s="228"/>
      <c r="BJ33" s="228"/>
      <c r="BK33" s="228"/>
      <c r="BL33" s="228"/>
      <c r="BM33" s="228"/>
      <c r="BN33" s="228"/>
      <c r="BO33" s="228"/>
      <c r="BP33" s="228"/>
      <c r="BQ33" s="228"/>
      <c r="BR33" s="228"/>
      <c r="BS33" s="228"/>
      <c r="BT33" s="228"/>
      <c r="BU33" s="228"/>
      <c r="BV33" s="228"/>
      <c r="BW33" s="228"/>
      <c r="BX33" s="228"/>
      <c r="BY33" s="228"/>
      <c r="BZ33" s="228"/>
      <c r="CA33" s="228"/>
      <c r="CB33" s="228"/>
      <c r="CC33" s="228"/>
      <c r="CD33" s="228"/>
      <c r="CE33" s="228"/>
      <c r="CF33" s="228"/>
      <c r="CG33" s="228"/>
      <c r="CH33" s="228"/>
      <c r="CI33" s="228"/>
      <c r="CJ33" s="228"/>
      <c r="CK33" s="228"/>
      <c r="CL33" s="228"/>
      <c r="CM33" s="228"/>
      <c r="CN33" s="228"/>
      <c r="CO33" s="228"/>
      <c r="CP33" s="228"/>
      <c r="CQ33" s="228"/>
      <c r="CR33" s="228"/>
      <c r="CS33" s="228"/>
      <c r="CT33" s="228"/>
      <c r="CU33" s="228"/>
      <c r="CV33" s="228"/>
      <c r="CW33" s="228"/>
      <c r="CX33" s="228"/>
      <c r="CY33" s="228"/>
      <c r="CZ33" s="228"/>
      <c r="DA33" s="228"/>
      <c r="DB33" s="228"/>
      <c r="DC33" s="228"/>
      <c r="DD33" s="228"/>
      <c r="DE33" s="228"/>
      <c r="DF33" s="228"/>
      <c r="DG33" s="228"/>
      <c r="DH33" s="228"/>
      <c r="DI33" s="228"/>
      <c r="DJ33" s="228"/>
      <c r="DK33" s="228"/>
      <c r="DL33" s="228"/>
      <c r="DM33" s="228"/>
      <c r="DN33" s="228"/>
      <c r="DO33" s="228"/>
      <c r="DP33" s="228"/>
      <c r="DQ33" s="228"/>
      <c r="DR33" s="228"/>
      <c r="DS33" s="228"/>
      <c r="DT33" s="228"/>
      <c r="DU33" s="228"/>
      <c r="DV33" s="228"/>
      <c r="DW33" s="228"/>
      <c r="DX33" s="228"/>
      <c r="DY33" s="228"/>
      <c r="DZ33" s="228"/>
      <c r="EA33" s="228"/>
      <c r="EB33" s="228"/>
      <c r="EC33" s="228"/>
      <c r="ED33" s="228"/>
      <c r="EE33" s="228"/>
      <c r="EF33" s="228"/>
      <c r="EG33" s="228"/>
      <c r="EH33" s="228"/>
      <c r="EI33" s="228"/>
      <c r="EJ33" s="228"/>
      <c r="EK33" s="228"/>
      <c r="EL33" s="228"/>
      <c r="EM33" s="228"/>
      <c r="EN33" s="228"/>
      <c r="EO33" s="228"/>
      <c r="EP33" s="228"/>
      <c r="EQ33" s="228"/>
      <c r="ER33" s="228"/>
      <c r="ES33" s="228"/>
      <c r="ET33" s="228"/>
      <c r="EU33" s="228"/>
      <c r="EV33" s="228"/>
      <c r="EW33" s="228"/>
      <c r="EX33" s="228"/>
      <c r="EY33" s="228"/>
      <c r="EZ33" s="228"/>
      <c r="FA33" s="228"/>
      <c r="FB33" s="228"/>
      <c r="FC33" s="228"/>
      <c r="FD33" s="228"/>
      <c r="FE33" s="228"/>
      <c r="FF33" s="228"/>
      <c r="FG33" s="228"/>
      <c r="FH33" s="228"/>
      <c r="FI33" s="228"/>
      <c r="FJ33" s="228"/>
      <c r="FK33" s="228"/>
      <c r="FL33" s="228"/>
      <c r="FM33" s="228"/>
      <c r="FN33" s="228"/>
      <c r="FO33" s="228"/>
      <c r="FP33" s="228"/>
      <c r="FQ33" s="228"/>
      <c r="FR33" s="228"/>
      <c r="FS33" s="228"/>
      <c r="FT33" s="228"/>
      <c r="FU33" s="228"/>
      <c r="FV33" s="228"/>
      <c r="FW33" s="228"/>
      <c r="FX33" s="228"/>
      <c r="FY33" s="228"/>
      <c r="FZ33" s="228"/>
      <c r="GA33" s="228"/>
      <c r="GB33" s="228"/>
      <c r="GC33" s="228"/>
      <c r="GD33" s="228"/>
      <c r="GE33" s="228"/>
      <c r="GF33" s="228"/>
      <c r="GG33" s="228"/>
      <c r="GH33" s="228"/>
      <c r="GI33" s="228"/>
      <c r="GJ33" s="228"/>
      <c r="GK33" s="228"/>
      <c r="GL33" s="228"/>
      <c r="GM33" s="228"/>
      <c r="GN33" s="228"/>
      <c r="GO33" s="228"/>
      <c r="GP33" s="228"/>
      <c r="GQ33" s="228"/>
      <c r="GR33" s="228"/>
      <c r="GS33" s="228"/>
      <c r="GT33" s="228"/>
      <c r="GU33" s="228"/>
      <c r="GV33" s="228"/>
      <c r="GW33" s="228"/>
      <c r="GX33" s="228"/>
      <c r="GY33" s="228"/>
      <c r="GZ33" s="228"/>
      <c r="HA33" s="228"/>
      <c r="HB33" s="228"/>
      <c r="HC33" s="228"/>
      <c r="HD33" s="228"/>
      <c r="HE33" s="228"/>
      <c r="HF33" s="228"/>
      <c r="HG33" s="228"/>
      <c r="HH33" s="228"/>
      <c r="HI33" s="228"/>
      <c r="HJ33" s="228"/>
      <c r="HK33" s="228"/>
      <c r="HL33" s="228"/>
      <c r="HM33" s="228"/>
      <c r="HN33" s="228"/>
      <c r="HO33" s="228"/>
      <c r="HP33" s="228"/>
      <c r="HQ33" s="228"/>
      <c r="HR33" s="228"/>
      <c r="HS33" s="228"/>
      <c r="HT33" s="228"/>
      <c r="HU33" s="228"/>
      <c r="HV33" s="228"/>
      <c r="HW33" s="228"/>
      <c r="HX33" s="228"/>
      <c r="HY33" s="228"/>
      <c r="HZ33" s="228"/>
      <c r="IA33" s="228"/>
      <c r="IB33" s="228"/>
      <c r="IC33" s="228"/>
      <c r="ID33" s="228"/>
      <c r="IE33" s="228"/>
      <c r="IF33" s="228"/>
      <c r="IG33" s="228"/>
      <c r="IH33" s="228"/>
      <c r="II33" s="228"/>
      <c r="IJ33" s="228"/>
      <c r="IK33" s="228"/>
    </row>
    <row r="34" spans="2:245" s="1464" customFormat="1" ht="6" customHeight="1">
      <c r="C34" s="1465"/>
      <c r="D34" s="1466"/>
      <c r="E34" s="1467"/>
      <c r="F34" s="1467"/>
      <c r="G34" s="1467"/>
      <c r="H34" s="1467"/>
      <c r="I34" s="1467"/>
      <c r="J34" s="1467"/>
      <c r="K34" s="1467"/>
      <c r="L34" s="1467"/>
      <c r="M34" s="1467"/>
      <c r="N34" s="1467"/>
      <c r="O34" s="1467"/>
      <c r="P34" s="1467"/>
      <c r="Q34" s="1467"/>
      <c r="R34" s="1468"/>
      <c r="S34" s="229"/>
      <c r="T34" s="1463"/>
      <c r="U34" s="235"/>
      <c r="V34" s="235"/>
      <c r="W34" s="235"/>
      <c r="X34" s="235"/>
      <c r="Y34" s="235"/>
      <c r="Z34" s="235"/>
      <c r="AA34" s="235"/>
      <c r="AB34" s="235"/>
      <c r="AC34" s="235"/>
      <c r="AD34" s="235"/>
      <c r="AE34" s="235"/>
      <c r="AF34" s="235"/>
      <c r="AG34" s="235"/>
      <c r="AH34" s="235"/>
      <c r="AI34" s="235"/>
      <c r="AJ34" s="235"/>
      <c r="AK34" s="235"/>
      <c r="AL34" s="235"/>
      <c r="AM34" s="235"/>
      <c r="AN34" s="235"/>
      <c r="AO34" s="235"/>
      <c r="AP34" s="235"/>
      <c r="AQ34" s="235"/>
      <c r="AR34" s="235"/>
      <c r="AS34" s="235"/>
      <c r="AT34" s="235"/>
      <c r="AU34" s="235"/>
      <c r="AV34" s="235"/>
      <c r="AW34" s="235"/>
      <c r="AX34" s="235"/>
      <c r="AY34" s="235"/>
      <c r="AZ34" s="235"/>
      <c r="BA34" s="235"/>
      <c r="BB34" s="235"/>
      <c r="BC34" s="235"/>
      <c r="BD34" s="235"/>
      <c r="BE34" s="235"/>
      <c r="BF34" s="235"/>
      <c r="BG34" s="235"/>
      <c r="BH34" s="235"/>
      <c r="BI34" s="235"/>
      <c r="BJ34" s="235"/>
      <c r="BK34" s="235"/>
      <c r="BL34" s="235"/>
      <c r="BM34" s="235"/>
      <c r="BN34" s="235"/>
      <c r="BO34" s="235"/>
      <c r="BP34" s="235"/>
      <c r="BQ34" s="235"/>
      <c r="BR34" s="235"/>
      <c r="BS34" s="235"/>
      <c r="BT34" s="235"/>
      <c r="BU34" s="235"/>
      <c r="BV34" s="235"/>
      <c r="BW34" s="235"/>
      <c r="BX34" s="235"/>
      <c r="BY34" s="235"/>
      <c r="BZ34" s="235"/>
      <c r="CA34" s="235"/>
      <c r="CB34" s="235"/>
      <c r="CC34" s="235"/>
      <c r="CD34" s="235"/>
      <c r="CE34" s="235"/>
      <c r="CF34" s="235"/>
      <c r="CG34" s="235"/>
      <c r="CH34" s="235"/>
      <c r="CI34" s="235"/>
      <c r="CJ34" s="235"/>
      <c r="CK34" s="235"/>
      <c r="CL34" s="235"/>
      <c r="CM34" s="235"/>
      <c r="CN34" s="235"/>
      <c r="CO34" s="235"/>
      <c r="CP34" s="235"/>
      <c r="CQ34" s="235"/>
      <c r="CR34" s="235"/>
      <c r="CS34" s="235"/>
      <c r="CT34" s="235"/>
      <c r="CU34" s="235"/>
      <c r="CV34" s="235"/>
      <c r="CW34" s="235"/>
      <c r="CX34" s="235"/>
      <c r="CY34" s="235"/>
      <c r="CZ34" s="235"/>
      <c r="DA34" s="235"/>
      <c r="DB34" s="235"/>
      <c r="DC34" s="235"/>
      <c r="DD34" s="235"/>
      <c r="DE34" s="235"/>
      <c r="DF34" s="235"/>
      <c r="DG34" s="235"/>
      <c r="DH34" s="235"/>
      <c r="DI34" s="235"/>
      <c r="DJ34" s="235"/>
      <c r="DK34" s="235"/>
      <c r="DL34" s="235"/>
      <c r="DM34" s="235"/>
      <c r="DN34" s="235"/>
      <c r="DO34" s="235"/>
      <c r="DP34" s="235"/>
      <c r="DQ34" s="235"/>
      <c r="DR34" s="235"/>
      <c r="DS34" s="235"/>
      <c r="DT34" s="235"/>
      <c r="DU34" s="235"/>
      <c r="DV34" s="235"/>
      <c r="DW34" s="235"/>
      <c r="DX34" s="235"/>
      <c r="DY34" s="235"/>
      <c r="DZ34" s="235"/>
      <c r="EA34" s="235"/>
      <c r="EB34" s="235"/>
      <c r="EC34" s="235"/>
      <c r="ED34" s="235"/>
      <c r="EE34" s="235"/>
      <c r="EF34" s="235"/>
      <c r="EG34" s="235"/>
      <c r="EH34" s="235"/>
      <c r="EI34" s="235"/>
      <c r="EJ34" s="235"/>
      <c r="EK34" s="235"/>
      <c r="EL34" s="235"/>
      <c r="EM34" s="235"/>
      <c r="EN34" s="235"/>
      <c r="EO34" s="235"/>
      <c r="EP34" s="235"/>
      <c r="EQ34" s="235"/>
      <c r="ER34" s="235"/>
      <c r="ES34" s="235"/>
      <c r="ET34" s="235"/>
      <c r="EU34" s="235"/>
      <c r="EV34" s="235"/>
      <c r="EW34" s="235"/>
      <c r="EX34" s="235"/>
      <c r="EY34" s="235"/>
      <c r="EZ34" s="235"/>
      <c r="FA34" s="235"/>
      <c r="FB34" s="235"/>
      <c r="FC34" s="235"/>
      <c r="FD34" s="235"/>
      <c r="FE34" s="235"/>
      <c r="FF34" s="235"/>
      <c r="FG34" s="235"/>
      <c r="FH34" s="235"/>
      <c r="FI34" s="235"/>
      <c r="FJ34" s="235"/>
      <c r="FK34" s="235"/>
      <c r="FL34" s="235"/>
      <c r="FM34" s="235"/>
      <c r="FN34" s="235"/>
      <c r="FO34" s="235"/>
      <c r="FP34" s="235"/>
      <c r="FQ34" s="235"/>
      <c r="FR34" s="235"/>
      <c r="FS34" s="235"/>
      <c r="FT34" s="235"/>
      <c r="FU34" s="235"/>
      <c r="FV34" s="235"/>
      <c r="FW34" s="235"/>
      <c r="FX34" s="235"/>
      <c r="FY34" s="235"/>
      <c r="FZ34" s="235"/>
      <c r="GA34" s="235"/>
      <c r="GB34" s="235"/>
      <c r="GC34" s="235"/>
      <c r="GD34" s="235"/>
      <c r="GE34" s="235"/>
      <c r="GF34" s="235"/>
      <c r="GG34" s="235"/>
      <c r="GH34" s="235"/>
      <c r="GI34" s="235"/>
      <c r="GJ34" s="235"/>
      <c r="GK34" s="235"/>
      <c r="GL34" s="235"/>
      <c r="GM34" s="235"/>
      <c r="GN34" s="235"/>
      <c r="GO34" s="235"/>
      <c r="GP34" s="235"/>
      <c r="GQ34" s="235"/>
      <c r="GR34" s="235"/>
      <c r="GS34" s="235"/>
      <c r="GT34" s="235"/>
      <c r="GU34" s="235"/>
      <c r="GV34" s="235"/>
      <c r="GW34" s="235"/>
      <c r="GX34" s="235"/>
      <c r="GY34" s="235"/>
      <c r="GZ34" s="235"/>
      <c r="HA34" s="235"/>
      <c r="HB34" s="235"/>
      <c r="HC34" s="235"/>
      <c r="HD34" s="235"/>
      <c r="HE34" s="235"/>
      <c r="HF34" s="235"/>
      <c r="HG34" s="235"/>
      <c r="HH34" s="235"/>
      <c r="HI34" s="235"/>
      <c r="HJ34" s="235"/>
      <c r="HK34" s="235"/>
      <c r="HL34" s="235"/>
      <c r="HM34" s="235"/>
      <c r="HN34" s="235"/>
      <c r="HO34" s="235"/>
      <c r="HP34" s="235"/>
      <c r="HQ34" s="235"/>
      <c r="HR34" s="235"/>
      <c r="HS34" s="235"/>
      <c r="HT34" s="235"/>
      <c r="HU34" s="235"/>
      <c r="HV34" s="235"/>
      <c r="HW34" s="235"/>
      <c r="HX34" s="235"/>
      <c r="HY34" s="235"/>
      <c r="HZ34" s="235"/>
      <c r="IA34" s="235"/>
      <c r="IB34" s="235"/>
      <c r="IC34" s="235"/>
      <c r="ID34" s="235"/>
      <c r="IE34" s="235"/>
      <c r="IF34" s="235"/>
      <c r="IG34" s="235"/>
      <c r="IH34" s="235"/>
      <c r="II34" s="235"/>
      <c r="IJ34" s="235"/>
      <c r="IK34" s="235"/>
    </row>
    <row r="35" spans="2:245" s="414" customFormat="1" ht="15">
      <c r="B35" s="419">
        <v>1</v>
      </c>
      <c r="C35" s="172" t="str">
        <f>SUM($A$14:B35)&amp;".0"</f>
        <v>11.0</v>
      </c>
      <c r="D35" s="1460" t="str">
        <f ca="1">VLOOKUP(C35,RESUMO!$B$14:$I$36,3,0)</f>
        <v>U R B A N I Z A Ç Ã O  D A  Á R E A</v>
      </c>
      <c r="E35" s="1461">
        <f ca="1">($Q35*F35/100)</f>
        <v>0</v>
      </c>
      <c r="F35" s="1462"/>
      <c r="G35" s="1461">
        <f ca="1">($Q35*H35/100)</f>
        <v>0</v>
      </c>
      <c r="H35" s="1462"/>
      <c r="I35" s="1461">
        <f ca="1">($Q35*J35/100)</f>
        <v>0</v>
      </c>
      <c r="J35" s="1462"/>
      <c r="K35" s="1461">
        <f ca="1">($Q35*L35/100)</f>
        <v>0</v>
      </c>
      <c r="L35" s="1462"/>
      <c r="M35" s="1461">
        <f ca="1">($Q35*N35/100)</f>
        <v>0</v>
      </c>
      <c r="N35" s="1462"/>
      <c r="O35" s="1461">
        <f ca="1">($Q35*P35/100)</f>
        <v>31551.42</v>
      </c>
      <c r="P35" s="1462">
        <v>100</v>
      </c>
      <c r="Q35" s="1461">
        <f ca="1">VLOOKUP(C35,RESUMO!$B$14:$I$36,8,0)</f>
        <v>31551.420000000002</v>
      </c>
      <c r="R35" s="1462">
        <f ca="1">Q35/$Q$37*100</f>
        <v>0.85886011820045571</v>
      </c>
      <c r="S35" s="229"/>
      <c r="T35" s="1463">
        <f>F35+H35+J35+P35+L35+N35</f>
        <v>100</v>
      </c>
      <c r="U35" s="228"/>
      <c r="V35" s="228"/>
      <c r="W35" s="228"/>
      <c r="X35" s="228"/>
      <c r="Y35" s="228"/>
      <c r="Z35" s="228"/>
      <c r="AA35" s="228"/>
      <c r="AB35" s="228"/>
      <c r="AC35" s="228"/>
      <c r="AD35" s="228"/>
      <c r="AE35" s="228"/>
      <c r="AF35" s="228"/>
      <c r="AG35" s="228"/>
      <c r="AH35" s="228"/>
      <c r="AI35" s="228"/>
      <c r="AJ35" s="228"/>
      <c r="AK35" s="228"/>
      <c r="AL35" s="228"/>
      <c r="AM35" s="228"/>
      <c r="AN35" s="228"/>
      <c r="AO35" s="228"/>
      <c r="AP35" s="228"/>
      <c r="AQ35" s="228"/>
      <c r="AR35" s="228"/>
      <c r="AS35" s="228"/>
      <c r="AT35" s="228"/>
      <c r="AU35" s="228"/>
      <c r="AV35" s="228"/>
      <c r="AW35" s="228"/>
      <c r="AX35" s="228"/>
      <c r="AY35" s="228"/>
      <c r="AZ35" s="228"/>
      <c r="BA35" s="228"/>
      <c r="BB35" s="228"/>
      <c r="BC35" s="228"/>
      <c r="BD35" s="228"/>
      <c r="BE35" s="228"/>
      <c r="BF35" s="228"/>
      <c r="BG35" s="228"/>
      <c r="BH35" s="228"/>
      <c r="BI35" s="228"/>
      <c r="BJ35" s="228"/>
      <c r="BK35" s="228"/>
      <c r="BL35" s="228"/>
      <c r="BM35" s="228"/>
      <c r="BN35" s="228"/>
      <c r="BO35" s="228"/>
      <c r="BP35" s="228"/>
      <c r="BQ35" s="228"/>
      <c r="BR35" s="228"/>
      <c r="BS35" s="228"/>
      <c r="BT35" s="228"/>
      <c r="BU35" s="228"/>
      <c r="BV35" s="228"/>
      <c r="BW35" s="228"/>
      <c r="BX35" s="228"/>
      <c r="BY35" s="228"/>
      <c r="BZ35" s="228"/>
      <c r="CA35" s="228"/>
      <c r="CB35" s="228"/>
      <c r="CC35" s="228"/>
      <c r="CD35" s="228"/>
      <c r="CE35" s="228"/>
      <c r="CF35" s="228"/>
      <c r="CG35" s="228"/>
      <c r="CH35" s="228"/>
      <c r="CI35" s="228"/>
      <c r="CJ35" s="228"/>
      <c r="CK35" s="228"/>
      <c r="CL35" s="228"/>
      <c r="CM35" s="228"/>
      <c r="CN35" s="228"/>
      <c r="CO35" s="228"/>
      <c r="CP35" s="228"/>
      <c r="CQ35" s="228"/>
      <c r="CR35" s="228"/>
      <c r="CS35" s="228"/>
      <c r="CT35" s="228"/>
      <c r="CU35" s="228"/>
      <c r="CV35" s="228"/>
      <c r="CW35" s="228"/>
      <c r="CX35" s="228"/>
      <c r="CY35" s="228"/>
      <c r="CZ35" s="228"/>
      <c r="DA35" s="228"/>
      <c r="DB35" s="228"/>
      <c r="DC35" s="228"/>
      <c r="DD35" s="228"/>
      <c r="DE35" s="228"/>
      <c r="DF35" s="228"/>
      <c r="DG35" s="228"/>
      <c r="DH35" s="228"/>
      <c r="DI35" s="228"/>
      <c r="DJ35" s="228"/>
      <c r="DK35" s="228"/>
      <c r="DL35" s="228"/>
      <c r="DM35" s="228"/>
      <c r="DN35" s="228"/>
      <c r="DO35" s="228"/>
      <c r="DP35" s="228"/>
      <c r="DQ35" s="228"/>
      <c r="DR35" s="228"/>
      <c r="DS35" s="228"/>
      <c r="DT35" s="228"/>
      <c r="DU35" s="228"/>
      <c r="DV35" s="228"/>
      <c r="DW35" s="228"/>
      <c r="DX35" s="228"/>
      <c r="DY35" s="228"/>
      <c r="DZ35" s="228"/>
      <c r="EA35" s="228"/>
      <c r="EB35" s="228"/>
      <c r="EC35" s="228"/>
      <c r="ED35" s="228"/>
      <c r="EE35" s="228"/>
      <c r="EF35" s="228"/>
      <c r="EG35" s="228"/>
      <c r="EH35" s="228"/>
      <c r="EI35" s="228"/>
      <c r="EJ35" s="228"/>
      <c r="EK35" s="228"/>
      <c r="EL35" s="228"/>
      <c r="EM35" s="228"/>
      <c r="EN35" s="228"/>
      <c r="EO35" s="228"/>
      <c r="EP35" s="228"/>
      <c r="EQ35" s="228"/>
      <c r="ER35" s="228"/>
      <c r="ES35" s="228"/>
      <c r="ET35" s="228"/>
      <c r="EU35" s="228"/>
      <c r="EV35" s="228"/>
      <c r="EW35" s="228"/>
      <c r="EX35" s="228"/>
      <c r="EY35" s="228"/>
      <c r="EZ35" s="228"/>
      <c r="FA35" s="228"/>
      <c r="FB35" s="228"/>
      <c r="FC35" s="228"/>
      <c r="FD35" s="228"/>
      <c r="FE35" s="228"/>
      <c r="FF35" s="228"/>
      <c r="FG35" s="228"/>
      <c r="FH35" s="228"/>
      <c r="FI35" s="228"/>
      <c r="FJ35" s="228"/>
      <c r="FK35" s="228"/>
      <c r="FL35" s="228"/>
      <c r="FM35" s="228"/>
      <c r="FN35" s="228"/>
      <c r="FO35" s="228"/>
      <c r="FP35" s="228"/>
      <c r="FQ35" s="228"/>
      <c r="FR35" s="228"/>
      <c r="FS35" s="228"/>
      <c r="FT35" s="228"/>
      <c r="FU35" s="228"/>
      <c r="FV35" s="228"/>
      <c r="FW35" s="228"/>
      <c r="FX35" s="228"/>
      <c r="FY35" s="228"/>
      <c r="FZ35" s="228"/>
      <c r="GA35" s="228"/>
      <c r="GB35" s="228"/>
      <c r="GC35" s="228"/>
      <c r="GD35" s="228"/>
      <c r="GE35" s="228"/>
      <c r="GF35" s="228"/>
      <c r="GG35" s="228"/>
      <c r="GH35" s="228"/>
      <c r="GI35" s="228"/>
      <c r="GJ35" s="228"/>
      <c r="GK35" s="228"/>
      <c r="GL35" s="228"/>
      <c r="GM35" s="228"/>
      <c r="GN35" s="228"/>
      <c r="GO35" s="228"/>
      <c r="GP35" s="228"/>
      <c r="GQ35" s="228"/>
      <c r="GR35" s="228"/>
      <c r="GS35" s="228"/>
      <c r="GT35" s="228"/>
      <c r="GU35" s="228"/>
      <c r="GV35" s="228"/>
      <c r="GW35" s="228"/>
      <c r="GX35" s="228"/>
      <c r="GY35" s="228"/>
      <c r="GZ35" s="228"/>
      <c r="HA35" s="228"/>
      <c r="HB35" s="228"/>
      <c r="HC35" s="228"/>
      <c r="HD35" s="228"/>
      <c r="HE35" s="228"/>
      <c r="HF35" s="228"/>
      <c r="HG35" s="228"/>
      <c r="HH35" s="228"/>
      <c r="HI35" s="228"/>
      <c r="HJ35" s="228"/>
      <c r="HK35" s="228"/>
      <c r="HL35" s="228"/>
      <c r="HM35" s="228"/>
      <c r="HN35" s="228"/>
      <c r="HO35" s="228"/>
      <c r="HP35" s="228"/>
      <c r="HQ35" s="228"/>
      <c r="HR35" s="228"/>
      <c r="HS35" s="228"/>
      <c r="HT35" s="228"/>
      <c r="HU35" s="228"/>
      <c r="HV35" s="228"/>
      <c r="HW35" s="228"/>
      <c r="HX35" s="228"/>
      <c r="HY35" s="228"/>
      <c r="HZ35" s="228"/>
      <c r="IA35" s="228"/>
      <c r="IB35" s="228"/>
      <c r="IC35" s="228"/>
      <c r="ID35" s="228"/>
      <c r="IE35" s="228"/>
      <c r="IF35" s="228"/>
      <c r="IG35" s="228"/>
      <c r="IH35" s="228"/>
      <c r="II35" s="228"/>
      <c r="IJ35" s="228"/>
      <c r="IK35" s="228"/>
    </row>
    <row r="36" spans="2:245" s="418" customFormat="1" ht="6" customHeight="1">
      <c r="C36" s="477"/>
      <c r="D36" s="1181"/>
      <c r="E36" s="1183"/>
      <c r="F36" s="1183"/>
      <c r="G36" s="1183"/>
      <c r="H36" s="1183"/>
      <c r="I36" s="1183"/>
      <c r="J36" s="1183"/>
      <c r="K36" s="1183"/>
      <c r="L36" s="1183"/>
      <c r="M36" s="1183"/>
      <c r="N36" s="1183"/>
      <c r="O36" s="1183"/>
      <c r="P36" s="1183"/>
      <c r="Q36" s="1183"/>
      <c r="R36" s="1184"/>
      <c r="S36" s="294"/>
      <c r="T36" s="1182"/>
      <c r="U36" s="340"/>
      <c r="V36" s="340"/>
      <c r="W36" s="340"/>
      <c r="X36" s="340"/>
      <c r="Y36" s="340"/>
      <c r="Z36" s="340"/>
      <c r="AA36" s="340"/>
      <c r="AB36" s="340"/>
      <c r="AC36" s="340"/>
      <c r="AD36" s="340"/>
      <c r="AE36" s="340"/>
      <c r="AF36" s="340"/>
      <c r="AG36" s="340"/>
      <c r="AH36" s="340"/>
      <c r="AI36" s="340"/>
      <c r="AJ36" s="340"/>
      <c r="AK36" s="340"/>
      <c r="AL36" s="340"/>
      <c r="AM36" s="340"/>
      <c r="AN36" s="340"/>
      <c r="AO36" s="340"/>
      <c r="AP36" s="340"/>
      <c r="AQ36" s="340"/>
      <c r="AR36" s="340"/>
      <c r="AS36" s="340"/>
      <c r="AT36" s="340"/>
      <c r="AU36" s="340"/>
      <c r="AV36" s="340"/>
      <c r="AW36" s="340"/>
      <c r="AX36" s="340"/>
      <c r="AY36" s="340"/>
      <c r="AZ36" s="340"/>
      <c r="BA36" s="340"/>
      <c r="BB36" s="340"/>
      <c r="BC36" s="340"/>
      <c r="BD36" s="340"/>
      <c r="BE36" s="340"/>
      <c r="BF36" s="340"/>
      <c r="BG36" s="340"/>
      <c r="BH36" s="340"/>
      <c r="BI36" s="340"/>
      <c r="BJ36" s="340"/>
      <c r="BK36" s="340"/>
      <c r="BL36" s="340"/>
      <c r="BM36" s="340"/>
      <c r="BN36" s="340"/>
      <c r="BO36" s="340"/>
      <c r="BP36" s="340"/>
      <c r="BQ36" s="340"/>
      <c r="BR36" s="340"/>
      <c r="BS36" s="340"/>
      <c r="BT36" s="340"/>
      <c r="BU36" s="340"/>
      <c r="BV36" s="340"/>
      <c r="BW36" s="340"/>
      <c r="BX36" s="340"/>
      <c r="BY36" s="340"/>
      <c r="BZ36" s="340"/>
      <c r="CA36" s="340"/>
      <c r="CB36" s="340"/>
      <c r="CC36" s="340"/>
      <c r="CD36" s="340"/>
      <c r="CE36" s="340"/>
      <c r="CF36" s="340"/>
      <c r="CG36" s="340"/>
      <c r="CH36" s="340"/>
      <c r="CI36" s="340"/>
      <c r="CJ36" s="340"/>
      <c r="CK36" s="340"/>
      <c r="CL36" s="340"/>
      <c r="CM36" s="340"/>
      <c r="CN36" s="340"/>
      <c r="CO36" s="340"/>
      <c r="CP36" s="340"/>
      <c r="CQ36" s="340"/>
      <c r="CR36" s="340"/>
      <c r="CS36" s="340"/>
      <c r="CT36" s="340"/>
      <c r="CU36" s="340"/>
      <c r="CV36" s="340"/>
      <c r="CW36" s="340"/>
      <c r="CX36" s="340"/>
      <c r="CY36" s="340"/>
      <c r="CZ36" s="340"/>
      <c r="DA36" s="340"/>
      <c r="DB36" s="340"/>
      <c r="DC36" s="340"/>
      <c r="DD36" s="340"/>
      <c r="DE36" s="340"/>
      <c r="DF36" s="340"/>
      <c r="DG36" s="340"/>
      <c r="DH36" s="340"/>
      <c r="DI36" s="340"/>
      <c r="DJ36" s="340"/>
      <c r="DK36" s="340"/>
      <c r="DL36" s="340"/>
      <c r="DM36" s="340"/>
      <c r="DN36" s="340"/>
      <c r="DO36" s="340"/>
      <c r="DP36" s="340"/>
      <c r="DQ36" s="340"/>
      <c r="DR36" s="340"/>
      <c r="DS36" s="340"/>
      <c r="DT36" s="340"/>
      <c r="DU36" s="340"/>
      <c r="DV36" s="340"/>
      <c r="DW36" s="340"/>
      <c r="DX36" s="340"/>
      <c r="DY36" s="340"/>
      <c r="DZ36" s="340"/>
      <c r="EA36" s="340"/>
      <c r="EB36" s="340"/>
      <c r="EC36" s="340"/>
      <c r="ED36" s="340"/>
      <c r="EE36" s="340"/>
      <c r="EF36" s="340"/>
      <c r="EG36" s="340"/>
      <c r="EH36" s="340"/>
      <c r="EI36" s="340"/>
      <c r="EJ36" s="340"/>
      <c r="EK36" s="340"/>
      <c r="EL36" s="340"/>
      <c r="EM36" s="340"/>
      <c r="EN36" s="340"/>
      <c r="EO36" s="340"/>
      <c r="EP36" s="340"/>
      <c r="EQ36" s="340"/>
      <c r="ER36" s="340"/>
      <c r="ES36" s="340"/>
      <c r="ET36" s="340"/>
      <c r="EU36" s="340"/>
      <c r="EV36" s="340"/>
      <c r="EW36" s="340"/>
      <c r="EX36" s="340"/>
      <c r="EY36" s="340"/>
      <c r="EZ36" s="340"/>
      <c r="FA36" s="340"/>
      <c r="FB36" s="340"/>
      <c r="FC36" s="340"/>
      <c r="FD36" s="340"/>
      <c r="FE36" s="340"/>
      <c r="FF36" s="340"/>
      <c r="FG36" s="340"/>
      <c r="FH36" s="340"/>
      <c r="FI36" s="340"/>
      <c r="FJ36" s="340"/>
      <c r="FK36" s="340"/>
      <c r="FL36" s="340"/>
      <c r="FM36" s="340"/>
      <c r="FN36" s="340"/>
      <c r="FO36" s="340"/>
      <c r="FP36" s="340"/>
      <c r="FQ36" s="340"/>
      <c r="FR36" s="340"/>
      <c r="FS36" s="340"/>
      <c r="FT36" s="340"/>
      <c r="FU36" s="340"/>
      <c r="FV36" s="340"/>
      <c r="FW36" s="340"/>
      <c r="FX36" s="340"/>
      <c r="FY36" s="340"/>
      <c r="FZ36" s="340"/>
      <c r="GA36" s="340"/>
      <c r="GB36" s="340"/>
      <c r="GC36" s="340"/>
      <c r="GD36" s="340"/>
      <c r="GE36" s="340"/>
      <c r="GF36" s="340"/>
      <c r="GG36" s="340"/>
      <c r="GH36" s="340"/>
      <c r="GI36" s="340"/>
      <c r="GJ36" s="340"/>
      <c r="GK36" s="340"/>
      <c r="GL36" s="340"/>
      <c r="GM36" s="340"/>
      <c r="GN36" s="340"/>
      <c r="GO36" s="340"/>
      <c r="GP36" s="340"/>
      <c r="GQ36" s="340"/>
      <c r="GR36" s="340"/>
      <c r="GS36" s="340"/>
      <c r="GT36" s="340"/>
      <c r="GU36" s="340"/>
      <c r="GV36" s="340"/>
      <c r="GW36" s="340"/>
      <c r="GX36" s="340"/>
      <c r="GY36" s="340"/>
      <c r="GZ36" s="340"/>
      <c r="HA36" s="340"/>
      <c r="HB36" s="340"/>
      <c r="HC36" s="340"/>
      <c r="HD36" s="340"/>
      <c r="HE36" s="340"/>
      <c r="HF36" s="340"/>
      <c r="HG36" s="340"/>
      <c r="HH36" s="340"/>
      <c r="HI36" s="340"/>
      <c r="HJ36" s="340"/>
      <c r="HK36" s="340"/>
      <c r="HL36" s="340"/>
      <c r="HM36" s="340"/>
      <c r="HN36" s="340"/>
      <c r="HO36" s="340"/>
      <c r="HP36" s="340"/>
      <c r="HQ36" s="340"/>
      <c r="HR36" s="340"/>
      <c r="HS36" s="340"/>
      <c r="HT36" s="340"/>
      <c r="HU36" s="340"/>
      <c r="HV36" s="340"/>
      <c r="HW36" s="340"/>
      <c r="HX36" s="340"/>
      <c r="HY36" s="340"/>
      <c r="HZ36" s="340"/>
      <c r="IA36" s="340"/>
      <c r="IB36" s="340"/>
      <c r="IC36" s="340"/>
      <c r="ID36" s="340"/>
      <c r="IE36" s="340"/>
      <c r="IF36" s="340"/>
      <c r="IG36" s="340"/>
      <c r="IH36" s="340"/>
      <c r="II36" s="340"/>
      <c r="IJ36" s="340"/>
      <c r="IK36" s="340"/>
    </row>
    <row r="37" spans="2:245" ht="15.75">
      <c r="C37" s="1637" t="s">
        <v>405</v>
      </c>
      <c r="D37" s="1637"/>
      <c r="E37" s="1185">
        <f ca="1">SUM(E14:OFFSET(E37,-1,0))</f>
        <v>690934.97525390005</v>
      </c>
      <c r="F37" s="1185">
        <f ca="1">E37/Q37*100</f>
        <v>18.807917187733338</v>
      </c>
      <c r="G37" s="1185">
        <f ca="1">SUM(G14:OFFSET(G37,-1,0))</f>
        <v>650308.07696950005</v>
      </c>
      <c r="H37" s="1185">
        <f ca="1">G37/Q37*100</f>
        <v>17.702013787421794</v>
      </c>
      <c r="I37" s="1185">
        <f ca="1">SUM(I14:OFFSET(I37,-1,0))</f>
        <v>704807.59257680003</v>
      </c>
      <c r="J37" s="1185">
        <f ca="1">I37/Q37*100</f>
        <v>19.185543226551736</v>
      </c>
      <c r="K37" s="1185">
        <f ca="1">SUM(K14:OFFSET(K37,-1,0))</f>
        <v>661499.19588670006</v>
      </c>
      <c r="L37" s="1185">
        <f ca="1">K37/Q37*100</f>
        <v>18.006646850403484</v>
      </c>
      <c r="M37" s="1185">
        <f ca="1">SUM(M14:OFFSET(M37,-1,0))</f>
        <v>546801.96505170013</v>
      </c>
      <c r="N37" s="1185">
        <f ca="1">M37/Q37*100</f>
        <v>14.884477476340036</v>
      </c>
      <c r="O37" s="1185">
        <f ca="1">SUM(O14:OFFSET(O37,-1,0))</f>
        <v>419287.16426139994</v>
      </c>
      <c r="P37" s="1185">
        <f ca="1">O37/Q37*100</f>
        <v>11.41340147154961</v>
      </c>
      <c r="Q37" s="1185">
        <f ca="1">SUM(Q14:OFFSET(Q37,-1,0))</f>
        <v>3673638.97</v>
      </c>
      <c r="R37" s="1185">
        <f ca="1">SUM(R15:R36)</f>
        <v>100.00000000000001</v>
      </c>
      <c r="S37" s="294"/>
      <c r="T37" s="294"/>
      <c r="U37" s="224"/>
      <c r="V37" s="224"/>
      <c r="W37" s="224"/>
      <c r="X37" s="224"/>
      <c r="Y37" s="224"/>
      <c r="Z37" s="224"/>
      <c r="AA37" s="224"/>
      <c r="AB37" s="224"/>
      <c r="AC37" s="224"/>
      <c r="AD37" s="224"/>
      <c r="AE37" s="224"/>
      <c r="AF37" s="224"/>
      <c r="AG37" s="224"/>
      <c r="AH37" s="224"/>
      <c r="AI37" s="224"/>
      <c r="AJ37" s="224"/>
      <c r="AK37" s="224"/>
      <c r="AL37" s="224"/>
      <c r="AM37" s="224"/>
      <c r="AN37" s="224"/>
      <c r="AO37" s="224"/>
      <c r="AP37" s="224"/>
      <c r="AQ37" s="224"/>
      <c r="AR37" s="224"/>
      <c r="AS37" s="224"/>
      <c r="AT37" s="224"/>
      <c r="AU37" s="224"/>
      <c r="AV37" s="224"/>
      <c r="AW37" s="224"/>
      <c r="AX37" s="224"/>
      <c r="AY37" s="224"/>
      <c r="AZ37" s="224"/>
      <c r="BA37" s="224"/>
      <c r="BB37" s="224"/>
      <c r="BC37" s="224"/>
      <c r="BD37" s="224"/>
      <c r="BE37" s="224"/>
      <c r="BF37" s="224"/>
      <c r="BG37" s="224"/>
      <c r="BH37" s="224"/>
      <c r="BI37" s="224"/>
      <c r="BJ37" s="224"/>
      <c r="BK37" s="224"/>
      <c r="BL37" s="224"/>
      <c r="BM37" s="224"/>
      <c r="BN37" s="224"/>
      <c r="BO37" s="224"/>
      <c r="BP37" s="224"/>
      <c r="BQ37" s="224"/>
      <c r="BR37" s="224"/>
      <c r="BS37" s="224"/>
      <c r="BT37" s="224"/>
      <c r="BU37" s="224"/>
      <c r="BV37" s="224"/>
      <c r="BW37" s="224"/>
      <c r="BX37" s="224"/>
      <c r="BY37" s="224"/>
      <c r="BZ37" s="224"/>
      <c r="CA37" s="224"/>
      <c r="CB37" s="224"/>
      <c r="CC37" s="224"/>
      <c r="CD37" s="224"/>
      <c r="CE37" s="224"/>
      <c r="CF37" s="224"/>
      <c r="CG37" s="224"/>
      <c r="CH37" s="224"/>
      <c r="CI37" s="224"/>
      <c r="CJ37" s="224"/>
      <c r="CK37" s="224"/>
      <c r="CL37" s="224"/>
      <c r="CM37" s="224"/>
      <c r="CN37" s="224"/>
      <c r="CO37" s="224"/>
      <c r="CP37" s="224"/>
      <c r="CQ37" s="224"/>
      <c r="CR37" s="224"/>
      <c r="CS37" s="224"/>
      <c r="CT37" s="224"/>
      <c r="CU37" s="224"/>
      <c r="CV37" s="224"/>
      <c r="CW37" s="224"/>
      <c r="CX37" s="224"/>
      <c r="CY37" s="224"/>
      <c r="CZ37" s="224"/>
      <c r="DA37" s="224"/>
      <c r="DB37" s="224"/>
      <c r="DC37" s="224"/>
      <c r="DD37" s="224"/>
      <c r="DE37" s="224"/>
      <c r="DF37" s="224"/>
      <c r="DG37" s="224"/>
      <c r="DH37" s="224"/>
      <c r="DI37" s="224"/>
      <c r="DJ37" s="224"/>
      <c r="DK37" s="224"/>
      <c r="DL37" s="224"/>
      <c r="DM37" s="224"/>
      <c r="DN37" s="224"/>
      <c r="DO37" s="224"/>
      <c r="DP37" s="224"/>
      <c r="DQ37" s="224"/>
      <c r="DR37" s="224"/>
      <c r="DS37" s="224"/>
      <c r="DT37" s="224"/>
      <c r="DU37" s="224"/>
      <c r="DV37" s="224"/>
      <c r="DW37" s="224"/>
      <c r="DX37" s="224"/>
      <c r="DY37" s="224"/>
      <c r="DZ37" s="224"/>
      <c r="EA37" s="224"/>
      <c r="EB37" s="224"/>
      <c r="EC37" s="224"/>
      <c r="ED37" s="224"/>
      <c r="EE37" s="224"/>
      <c r="EF37" s="224"/>
      <c r="EG37" s="224"/>
      <c r="EH37" s="224"/>
      <c r="EI37" s="224"/>
      <c r="EJ37" s="224"/>
      <c r="EK37" s="224"/>
      <c r="EL37" s="224"/>
      <c r="EM37" s="224"/>
      <c r="EN37" s="224"/>
      <c r="EO37" s="224"/>
      <c r="EP37" s="224"/>
      <c r="EQ37" s="224"/>
      <c r="ER37" s="224"/>
      <c r="ES37" s="224"/>
      <c r="ET37" s="224"/>
      <c r="EU37" s="224"/>
      <c r="EV37" s="224"/>
      <c r="EW37" s="224"/>
      <c r="EX37" s="224"/>
      <c r="EY37" s="224"/>
      <c r="EZ37" s="224"/>
      <c r="FA37" s="224"/>
      <c r="FB37" s="224"/>
      <c r="FC37" s="224"/>
      <c r="FD37" s="224"/>
      <c r="FE37" s="224"/>
      <c r="FF37" s="224"/>
      <c r="FG37" s="224"/>
      <c r="FH37" s="224"/>
      <c r="FI37" s="224"/>
      <c r="FJ37" s="224"/>
      <c r="FK37" s="224"/>
      <c r="FL37" s="224"/>
      <c r="FM37" s="224"/>
      <c r="FN37" s="224"/>
      <c r="FO37" s="224"/>
      <c r="FP37" s="224"/>
      <c r="FQ37" s="224"/>
      <c r="FR37" s="224"/>
      <c r="FS37" s="224"/>
      <c r="FT37" s="224"/>
      <c r="FU37" s="224"/>
      <c r="FV37" s="224"/>
      <c r="FW37" s="224"/>
      <c r="FX37" s="224"/>
      <c r="FY37" s="224"/>
      <c r="FZ37" s="224"/>
      <c r="GA37" s="224"/>
      <c r="GB37" s="224"/>
      <c r="GC37" s="224"/>
      <c r="GD37" s="224"/>
      <c r="GE37" s="224"/>
      <c r="GF37" s="224"/>
      <c r="GG37" s="224"/>
      <c r="GH37" s="224"/>
      <c r="GI37" s="224"/>
      <c r="GJ37" s="224"/>
      <c r="GK37" s="224"/>
      <c r="GL37" s="224"/>
      <c r="GM37" s="224"/>
      <c r="GN37" s="224"/>
      <c r="GO37" s="224"/>
      <c r="GP37" s="224"/>
      <c r="GQ37" s="224"/>
      <c r="GR37" s="224"/>
      <c r="GS37" s="224"/>
      <c r="GT37" s="224"/>
      <c r="GU37" s="224"/>
      <c r="GV37" s="224"/>
      <c r="GW37" s="224"/>
      <c r="GX37" s="224"/>
      <c r="GY37" s="224"/>
      <c r="GZ37" s="224"/>
      <c r="HA37" s="224"/>
      <c r="HB37" s="224"/>
      <c r="HC37" s="224"/>
      <c r="HD37" s="224"/>
      <c r="HE37" s="224"/>
      <c r="HF37" s="224"/>
      <c r="HG37" s="224"/>
      <c r="HH37" s="224"/>
      <c r="HI37" s="224"/>
      <c r="HJ37" s="224"/>
      <c r="HK37" s="224"/>
      <c r="HL37" s="224"/>
      <c r="HM37" s="224"/>
      <c r="HN37" s="224"/>
      <c r="HO37" s="224"/>
      <c r="HP37" s="224"/>
      <c r="HQ37" s="224"/>
      <c r="HR37" s="224"/>
      <c r="HS37" s="224"/>
      <c r="HT37" s="224"/>
      <c r="HU37" s="224"/>
      <c r="HV37" s="224"/>
      <c r="HW37" s="224"/>
      <c r="HX37" s="224"/>
      <c r="HY37" s="224"/>
      <c r="HZ37" s="224"/>
      <c r="IA37" s="224"/>
      <c r="IB37" s="224"/>
      <c r="IC37" s="224"/>
      <c r="ID37" s="224"/>
      <c r="IE37" s="224"/>
      <c r="IF37" s="224"/>
      <c r="IG37" s="224"/>
      <c r="IH37" s="224"/>
      <c r="II37" s="224"/>
      <c r="IJ37" s="224"/>
      <c r="IK37" s="224"/>
    </row>
    <row r="38" spans="2:245" ht="15.75">
      <c r="C38" s="1637" t="s">
        <v>406</v>
      </c>
      <c r="D38" s="1637"/>
      <c r="E38" s="1185">
        <f ca="1">E37</f>
        <v>690934.97525390005</v>
      </c>
      <c r="F38" s="1185">
        <f ca="1">F37</f>
        <v>18.807917187733338</v>
      </c>
      <c r="G38" s="1185">
        <f ca="1">E37+G37</f>
        <v>1341243.0522234002</v>
      </c>
      <c r="H38" s="1185">
        <f ca="1">G38/Q37*100</f>
        <v>36.509930975155136</v>
      </c>
      <c r="I38" s="1185">
        <f ca="1">I37+G38</f>
        <v>2046050.6448002001</v>
      </c>
      <c r="J38" s="1185">
        <f ca="1">I38/Q37*100</f>
        <v>55.695474201706872</v>
      </c>
      <c r="K38" s="1185">
        <f ca="1">K37+I38</f>
        <v>2707549.8406869001</v>
      </c>
      <c r="L38" s="1185">
        <f ca="1">K38/Q37*100</f>
        <v>73.702121052110343</v>
      </c>
      <c r="M38" s="1185">
        <f ca="1">K38+M37</f>
        <v>3254351.8057386</v>
      </c>
      <c r="N38" s="1185">
        <f ca="1">M38/Q37*100</f>
        <v>88.586598528450381</v>
      </c>
      <c r="O38" s="1185">
        <f ca="1">O37+M38</f>
        <v>3673638.9699999997</v>
      </c>
      <c r="P38" s="1185">
        <f ca="1">O38/Q37*100</f>
        <v>99.999999999999986</v>
      </c>
      <c r="Q38" s="1185">
        <f ca="1">Q37</f>
        <v>3673638.97</v>
      </c>
      <c r="R38" s="1185">
        <f ca="1">R37</f>
        <v>100.00000000000001</v>
      </c>
      <c r="S38" s="294"/>
      <c r="T38" s="294"/>
      <c r="U38" s="224"/>
      <c r="V38" s="224"/>
      <c r="W38" s="224"/>
      <c r="X38" s="224"/>
      <c r="Y38" s="224"/>
      <c r="Z38" s="224"/>
      <c r="AA38" s="224"/>
      <c r="AB38" s="224"/>
      <c r="AC38" s="224"/>
      <c r="AD38" s="224"/>
      <c r="AE38" s="224"/>
      <c r="AF38" s="224"/>
      <c r="AG38" s="224"/>
      <c r="AH38" s="224"/>
      <c r="AI38" s="224"/>
      <c r="AJ38" s="224"/>
      <c r="AK38" s="224"/>
      <c r="AL38" s="224"/>
      <c r="AM38" s="224"/>
      <c r="AN38" s="224"/>
      <c r="AO38" s="224"/>
      <c r="AP38" s="224"/>
      <c r="AQ38" s="224"/>
      <c r="AR38" s="224"/>
      <c r="AS38" s="224"/>
      <c r="AT38" s="224"/>
      <c r="AU38" s="224"/>
      <c r="AV38" s="224"/>
      <c r="AW38" s="224"/>
      <c r="AX38" s="224"/>
      <c r="AY38" s="224"/>
      <c r="AZ38" s="224"/>
      <c r="BA38" s="224"/>
      <c r="BB38" s="224"/>
      <c r="BC38" s="224"/>
      <c r="BD38" s="224"/>
      <c r="BE38" s="224"/>
      <c r="BF38" s="224"/>
      <c r="BG38" s="224"/>
      <c r="BH38" s="224"/>
      <c r="BI38" s="224"/>
      <c r="BJ38" s="224"/>
      <c r="BK38" s="224"/>
      <c r="BL38" s="224"/>
      <c r="BM38" s="224"/>
      <c r="BN38" s="224"/>
      <c r="BO38" s="224"/>
      <c r="BP38" s="224"/>
      <c r="BQ38" s="224"/>
      <c r="BR38" s="224"/>
      <c r="BS38" s="224"/>
      <c r="BT38" s="224"/>
      <c r="BU38" s="224"/>
      <c r="BV38" s="224"/>
      <c r="BW38" s="224"/>
      <c r="BX38" s="224"/>
      <c r="BY38" s="224"/>
      <c r="BZ38" s="224"/>
      <c r="CA38" s="224"/>
      <c r="CB38" s="224"/>
      <c r="CC38" s="224"/>
      <c r="CD38" s="224"/>
      <c r="CE38" s="224"/>
      <c r="CF38" s="224"/>
      <c r="CG38" s="224"/>
      <c r="CH38" s="224"/>
      <c r="CI38" s="224"/>
      <c r="CJ38" s="224"/>
      <c r="CK38" s="224"/>
      <c r="CL38" s="224"/>
      <c r="CM38" s="224"/>
      <c r="CN38" s="224"/>
      <c r="CO38" s="224"/>
      <c r="CP38" s="224"/>
      <c r="CQ38" s="224"/>
      <c r="CR38" s="224"/>
      <c r="CS38" s="224"/>
      <c r="CT38" s="224"/>
      <c r="CU38" s="224"/>
      <c r="CV38" s="224"/>
      <c r="CW38" s="224"/>
      <c r="CX38" s="224"/>
      <c r="CY38" s="224"/>
      <c r="CZ38" s="224"/>
      <c r="DA38" s="224"/>
      <c r="DB38" s="224"/>
      <c r="DC38" s="224"/>
      <c r="DD38" s="224"/>
      <c r="DE38" s="224"/>
      <c r="DF38" s="224"/>
      <c r="DG38" s="224"/>
      <c r="DH38" s="224"/>
      <c r="DI38" s="224"/>
      <c r="DJ38" s="224"/>
      <c r="DK38" s="224"/>
      <c r="DL38" s="224"/>
      <c r="DM38" s="224"/>
      <c r="DN38" s="224"/>
      <c r="DO38" s="224"/>
      <c r="DP38" s="224"/>
      <c r="DQ38" s="224"/>
      <c r="DR38" s="224"/>
      <c r="DS38" s="224"/>
      <c r="DT38" s="224"/>
      <c r="DU38" s="224"/>
      <c r="DV38" s="224"/>
      <c r="DW38" s="224"/>
      <c r="DX38" s="224"/>
      <c r="DY38" s="224"/>
      <c r="DZ38" s="224"/>
      <c r="EA38" s="224"/>
      <c r="EB38" s="224"/>
      <c r="EC38" s="224"/>
      <c r="ED38" s="224"/>
      <c r="EE38" s="224"/>
      <c r="EF38" s="224"/>
      <c r="EG38" s="224"/>
      <c r="EH38" s="224"/>
      <c r="EI38" s="224"/>
      <c r="EJ38" s="224"/>
      <c r="EK38" s="224"/>
      <c r="EL38" s="224"/>
      <c r="EM38" s="224"/>
      <c r="EN38" s="224"/>
      <c r="EO38" s="224"/>
      <c r="EP38" s="224"/>
      <c r="EQ38" s="224"/>
      <c r="ER38" s="224"/>
      <c r="ES38" s="224"/>
      <c r="ET38" s="224"/>
      <c r="EU38" s="224"/>
      <c r="EV38" s="224"/>
      <c r="EW38" s="224"/>
      <c r="EX38" s="224"/>
      <c r="EY38" s="224"/>
      <c r="EZ38" s="224"/>
      <c r="FA38" s="224"/>
      <c r="FB38" s="224"/>
      <c r="FC38" s="224"/>
      <c r="FD38" s="224"/>
      <c r="FE38" s="224"/>
      <c r="FF38" s="224"/>
      <c r="FG38" s="224"/>
      <c r="FH38" s="224"/>
      <c r="FI38" s="224"/>
      <c r="FJ38" s="224"/>
      <c r="FK38" s="224"/>
      <c r="FL38" s="224"/>
      <c r="FM38" s="224"/>
      <c r="FN38" s="224"/>
      <c r="FO38" s="224"/>
      <c r="FP38" s="224"/>
      <c r="FQ38" s="224"/>
      <c r="FR38" s="224"/>
      <c r="FS38" s="224"/>
      <c r="FT38" s="224"/>
      <c r="FU38" s="224"/>
      <c r="FV38" s="224"/>
      <c r="FW38" s="224"/>
      <c r="FX38" s="224"/>
      <c r="FY38" s="224"/>
      <c r="FZ38" s="224"/>
      <c r="GA38" s="224"/>
      <c r="GB38" s="224"/>
      <c r="GC38" s="224"/>
      <c r="GD38" s="224"/>
      <c r="GE38" s="224"/>
      <c r="GF38" s="224"/>
      <c r="GG38" s="224"/>
      <c r="GH38" s="224"/>
      <c r="GI38" s="224"/>
      <c r="GJ38" s="224"/>
      <c r="GK38" s="224"/>
      <c r="GL38" s="224"/>
      <c r="GM38" s="224"/>
      <c r="GN38" s="224"/>
      <c r="GO38" s="224"/>
      <c r="GP38" s="224"/>
      <c r="GQ38" s="224"/>
      <c r="GR38" s="224"/>
      <c r="GS38" s="224"/>
      <c r="GT38" s="224"/>
      <c r="GU38" s="224"/>
      <c r="GV38" s="224"/>
      <c r="GW38" s="224"/>
      <c r="GX38" s="224"/>
      <c r="GY38" s="224"/>
      <c r="GZ38" s="224"/>
      <c r="HA38" s="224"/>
      <c r="HB38" s="224"/>
      <c r="HC38" s="224"/>
      <c r="HD38" s="224"/>
      <c r="HE38" s="224"/>
      <c r="HF38" s="224"/>
      <c r="HG38" s="224"/>
      <c r="HH38" s="224"/>
      <c r="HI38" s="224"/>
      <c r="HJ38" s="224"/>
      <c r="HK38" s="224"/>
      <c r="HL38" s="224"/>
      <c r="HM38" s="224"/>
      <c r="HN38" s="224"/>
      <c r="HO38" s="224"/>
      <c r="HP38" s="224"/>
      <c r="HQ38" s="224"/>
      <c r="HR38" s="224"/>
      <c r="HS38" s="224"/>
      <c r="HT38" s="224"/>
      <c r="HU38" s="224"/>
      <c r="HV38" s="224"/>
      <c r="HW38" s="224"/>
      <c r="HX38" s="224"/>
      <c r="HY38" s="224"/>
      <c r="HZ38" s="224"/>
      <c r="IA38" s="224"/>
      <c r="IB38" s="224"/>
      <c r="IC38" s="224"/>
      <c r="ID38" s="224"/>
      <c r="IE38" s="224"/>
      <c r="IF38" s="224"/>
      <c r="IG38" s="224"/>
      <c r="IH38" s="224"/>
      <c r="II38" s="224"/>
      <c r="IJ38" s="224"/>
      <c r="IK38" s="224"/>
    </row>
  </sheetData>
  <mergeCells count="9">
    <mergeCell ref="C11:R11"/>
    <mergeCell ref="C37:D37"/>
    <mergeCell ref="C38:D38"/>
    <mergeCell ref="D8:R8"/>
    <mergeCell ref="E3:P5"/>
    <mergeCell ref="Q3:R7"/>
    <mergeCell ref="E6:P7"/>
    <mergeCell ref="D9:R9"/>
    <mergeCell ref="D10:R10"/>
  </mergeCells>
  <printOptions horizontalCentered="1"/>
  <pageMargins left="0.19685039370078741" right="0.19685039370078741" top="0.78740157480314965" bottom="0.78740157480314965" header="0.19685039370078741" footer="0.19685039370078741"/>
  <pageSetup paperSize="9" scale="52" fitToHeight="100" orientation="landscape" r:id="rId1"/>
  <headerFooter scaleWithDoc="0" alignWithMargins="0">
    <oddHeader>&amp;RPágina &amp;P de &amp;N</oddHeader>
  </headerFooter>
  <drawing r:id="rId2"/>
</worksheet>
</file>

<file path=xl/worksheets/sheet6.xml><?xml version="1.0" encoding="utf-8"?>
<worksheet xmlns="http://schemas.openxmlformats.org/spreadsheetml/2006/main" xmlns:r="http://schemas.openxmlformats.org/officeDocument/2006/relationships">
  <sheetPr>
    <tabColor rgb="FFFFCCFF"/>
  </sheetPr>
  <dimension ref="A1:BF940"/>
  <sheetViews>
    <sheetView view="pageBreakPreview" topLeftCell="A922" zoomScale="70" zoomScaleSheetLayoutView="70" workbookViewId="0">
      <selection activeCell="B9" sqref="B9:F9"/>
    </sheetView>
  </sheetViews>
  <sheetFormatPr defaultRowHeight="15"/>
  <cols>
    <col min="1" max="1" width="28.140625" style="228" customWidth="1"/>
    <col min="2" max="2" width="23" style="319" customWidth="1"/>
    <col min="3" max="3" width="83.140625" style="319" customWidth="1"/>
    <col min="4" max="4" width="18.7109375" style="320" customWidth="1"/>
    <col min="5" max="5" width="23.7109375" style="321" customWidth="1"/>
    <col min="6" max="6" width="17.7109375" style="322" customWidth="1"/>
    <col min="7" max="7" width="20" style="323" customWidth="1"/>
    <col min="8" max="8" width="20" style="228" bestFit="1" customWidth="1"/>
    <col min="9" max="9" width="22.85546875" style="621" customWidth="1"/>
    <col min="10" max="10" width="16.5703125" customWidth="1"/>
    <col min="11" max="11" width="19.28515625" customWidth="1"/>
  </cols>
  <sheetData>
    <row r="1" spans="1:9" ht="18.75" customHeight="1" thickBot="1"/>
    <row r="2" spans="1:9" ht="7.5" customHeight="1" thickBot="1">
      <c r="A2" s="235"/>
      <c r="B2" s="698"/>
      <c r="C2" s="625"/>
      <c r="D2" s="626"/>
      <c r="E2" s="627"/>
      <c r="F2" s="627"/>
      <c r="G2" s="699"/>
      <c r="H2" s="235"/>
    </row>
    <row r="3" spans="1:9" ht="75" customHeight="1" thickBot="1">
      <c r="A3" s="229" t="s">
        <v>451</v>
      </c>
      <c r="B3" s="700"/>
      <c r="C3" s="1730" t="s">
        <v>2</v>
      </c>
      <c r="D3" s="1731"/>
      <c r="E3" s="1732"/>
      <c r="F3" s="1599" t="s">
        <v>14234</v>
      </c>
      <c r="G3" s="1601"/>
    </row>
    <row r="4" spans="1:9" ht="42" customHeight="1" thickBot="1">
      <c r="A4" s="229" t="s">
        <v>452</v>
      </c>
      <c r="B4" s="701"/>
      <c r="C4" s="1733" t="s">
        <v>3</v>
      </c>
      <c r="D4" s="1734"/>
      <c r="E4" s="1735"/>
      <c r="F4" s="702" t="str">
        <f>'ORÇAMENTO '!L7</f>
        <v>BDI Serv.</v>
      </c>
      <c r="G4" s="237">
        <f>'ORÇAMENTO '!M7</f>
        <v>0.26440000000000002</v>
      </c>
    </row>
    <row r="5" spans="1:9" ht="42" customHeight="1" thickBot="1">
      <c r="A5" s="229"/>
      <c r="B5" s="703"/>
      <c r="C5" s="1736" t="str">
        <f>'ORÇAMENTO '!H8</f>
        <v>PREFEITURA MUNICIPAL DE APIACÁS</v>
      </c>
      <c r="D5" s="1737"/>
      <c r="E5" s="1738"/>
      <c r="F5" s="702" t="str">
        <f>'ORÇAMENTO '!L8</f>
        <v>BDI Equi.</v>
      </c>
      <c r="G5" s="237">
        <f>'ORÇAMENTO '!M8</f>
        <v>0.16800000000000001</v>
      </c>
    </row>
    <row r="6" spans="1:9" ht="18.75" thickBot="1">
      <c r="A6" s="238"/>
      <c r="B6" s="1739" t="s">
        <v>467</v>
      </c>
      <c r="C6" s="1740"/>
      <c r="D6" s="1740"/>
      <c r="E6" s="1740"/>
      <c r="F6" s="1740"/>
      <c r="G6" s="1741"/>
      <c r="H6" s="238"/>
    </row>
    <row r="7" spans="1:9" ht="15.75" thickBot="1">
      <c r="A7" s="235"/>
      <c r="B7" s="698"/>
      <c r="C7" s="625"/>
      <c r="D7" s="626"/>
      <c r="E7" s="627"/>
      <c r="F7" s="627"/>
      <c r="G7" s="699"/>
      <c r="H7" s="235"/>
    </row>
    <row r="8" spans="1:9" s="350" customFormat="1" ht="24" customHeight="1">
      <c r="A8" s="229"/>
      <c r="B8" s="239" t="s">
        <v>6</v>
      </c>
      <c r="C8" s="1742" t="str">
        <f>'ORÇAMENTO '!G11</f>
        <v xml:space="preserve">SISTEMA DE ABASTECIMENTO DE ÁGUA </v>
      </c>
      <c r="D8" s="1742"/>
      <c r="E8" s="1742"/>
      <c r="F8" s="241" t="s">
        <v>7</v>
      </c>
      <c r="G8" s="242">
        <f ca="1">TODAY()</f>
        <v>45167</v>
      </c>
      <c r="H8" s="229"/>
      <c r="I8" s="704"/>
    </row>
    <row r="9" spans="1:9" s="350" customFormat="1" ht="24" customHeight="1" thickBot="1">
      <c r="A9" s="229"/>
      <c r="B9" s="243" t="s">
        <v>8</v>
      </c>
      <c r="C9" s="1714" t="str">
        <f>'ORÇAMENTO '!G12</f>
        <v>SETOR PIONEIRO - MUNICÍPIO DE APIACÁS</v>
      </c>
      <c r="D9" s="1715"/>
      <c r="E9" s="1715"/>
      <c r="F9" s="690" t="s">
        <v>9</v>
      </c>
      <c r="G9" s="245">
        <f>'ORÇAMENTO '!M12</f>
        <v>0.80449999999999999</v>
      </c>
      <c r="H9" s="229"/>
      <c r="I9" s="704"/>
    </row>
    <row r="10" spans="1:9" ht="9.9499999999999993" customHeight="1" thickBot="1">
      <c r="A10" s="235"/>
      <c r="B10" s="246"/>
      <c r="C10" s="247"/>
      <c r="D10" s="248"/>
      <c r="E10" s="249"/>
      <c r="F10" s="249"/>
      <c r="G10" s="250"/>
      <c r="H10" s="235"/>
    </row>
    <row r="11" spans="1:9" ht="18.75" thickBot="1">
      <c r="B11" s="1716" t="s">
        <v>6775</v>
      </c>
      <c r="C11" s="1717"/>
      <c r="D11" s="1717"/>
      <c r="E11" s="1717"/>
      <c r="F11" s="1717"/>
      <c r="G11" s="1718"/>
    </row>
    <row r="12" spans="1:9" ht="9.9499999999999993" customHeight="1" thickBot="1">
      <c r="A12" s="235"/>
      <c r="B12" s="251"/>
      <c r="C12" s="252"/>
      <c r="D12" s="253"/>
      <c r="E12" s="254"/>
      <c r="F12" s="254"/>
      <c r="G12" s="255"/>
      <c r="H12" s="235"/>
    </row>
    <row r="13" spans="1:9" s="294" customFormat="1" ht="15.75" customHeight="1" thickBot="1">
      <c r="B13" s="714"/>
      <c r="C13" s="229"/>
      <c r="D13" s="229"/>
      <c r="E13" s="229"/>
      <c r="F13" s="229"/>
      <c r="G13" s="715"/>
      <c r="I13" s="688"/>
    </row>
    <row r="14" spans="1:9" ht="25.5" customHeight="1">
      <c r="A14" s="433" t="s">
        <v>6776</v>
      </c>
      <c r="B14" s="333" t="str">
        <f>IF(COUNT($H$13:H14)&lt;10,CONCATENATE("AMM SAA 00",COUNT($H$13:H14)),CONCATENATE("AMM CIV 0",COUNT($H$13:H14)))</f>
        <v>AMM SAA 001</v>
      </c>
      <c r="C14" s="1664" t="str">
        <f>CONCATENATE("FORNECIMENTO E INSTALAÇÃO DE ",C17)</f>
        <v>FORNECIMENTO E INSTALAÇÃO DE ADESIVO DA LOGOMARCA DO ÓRGÃO FINANCIADOR PARA O RESERVATÓRIO 2,0 M X 1,5 M</v>
      </c>
      <c r="D14" s="1665"/>
      <c r="E14" s="1665"/>
      <c r="F14" s="1666"/>
      <c r="G14" s="357" t="s">
        <v>23</v>
      </c>
      <c r="H14" s="348">
        <f>G18</f>
        <v>380</v>
      </c>
    </row>
    <row r="15" spans="1:9" s="294" customFormat="1" ht="31.5" customHeight="1">
      <c r="B15" s="538" t="s">
        <v>206</v>
      </c>
      <c r="C15" s="1125" t="s">
        <v>184</v>
      </c>
      <c r="D15" s="1125" t="s">
        <v>23</v>
      </c>
      <c r="E15" s="1125" t="s">
        <v>185</v>
      </c>
      <c r="F15" s="1126" t="s">
        <v>186</v>
      </c>
      <c r="G15" s="1127" t="s">
        <v>187</v>
      </c>
      <c r="I15" s="688"/>
    </row>
    <row r="16" spans="1:9" s="294" customFormat="1" ht="15.75" customHeight="1">
      <c r="B16" s="1667" t="s">
        <v>188</v>
      </c>
      <c r="C16" s="1668"/>
      <c r="D16" s="1668"/>
      <c r="E16" s="1668"/>
      <c r="F16" s="1668"/>
      <c r="G16" s="1669"/>
      <c r="I16" s="688"/>
    </row>
    <row r="17" spans="1:9" s="229" customFormat="1" ht="41.25" customHeight="1" thickBot="1">
      <c r="B17" s="708" t="str">
        <f>B20</f>
        <v>COTAÇÃO 001</v>
      </c>
      <c r="C17" s="709" t="str">
        <f>C20</f>
        <v>ADESIVO DA LOGOMARCA DO ÓRGÃO FINANCIADOR PARA O RESERVATÓRIO 2,0 M X 1,5 M</v>
      </c>
      <c r="D17" s="710" t="s">
        <v>22</v>
      </c>
      <c r="E17" s="825">
        <v>1</v>
      </c>
      <c r="F17" s="711">
        <f>D25</f>
        <v>380</v>
      </c>
      <c r="G17" s="581">
        <f>TRUNC(E17*F17,3)</f>
        <v>380</v>
      </c>
      <c r="I17" s="688"/>
    </row>
    <row r="18" spans="1:9" s="294" customFormat="1" ht="30" customHeight="1" thickBot="1">
      <c r="B18" s="1710" t="s">
        <v>7013</v>
      </c>
      <c r="C18" s="1689"/>
      <c r="D18" s="1689"/>
      <c r="E18" s="1690"/>
      <c r="F18" s="712" t="s">
        <v>190</v>
      </c>
      <c r="G18" s="713">
        <f>SUM(G17:G17)</f>
        <v>380</v>
      </c>
      <c r="I18" s="688"/>
    </row>
    <row r="19" spans="1:9" s="294" customFormat="1" ht="15.75" customHeight="1" thickBot="1">
      <c r="B19" s="714"/>
      <c r="C19" s="229"/>
      <c r="D19" s="229"/>
      <c r="E19" s="229"/>
      <c r="F19" s="229"/>
      <c r="G19" s="715"/>
      <c r="I19" s="688"/>
    </row>
    <row r="20" spans="1:9" ht="33.75" customHeight="1">
      <c r="A20" s="716"/>
      <c r="B20" s="422" t="s">
        <v>6977</v>
      </c>
      <c r="C20" s="689" t="s">
        <v>6789</v>
      </c>
      <c r="D20" s="423"/>
      <c r="E20" s="424"/>
      <c r="F20" s="421"/>
      <c r="G20" s="358" t="s">
        <v>23</v>
      </c>
      <c r="H20" s="605"/>
      <c r="I20" s="319"/>
    </row>
    <row r="21" spans="1:9" ht="31.5">
      <c r="A21" s="294"/>
      <c r="B21" s="542" t="s">
        <v>195</v>
      </c>
      <c r="C21" s="543" t="s">
        <v>196</v>
      </c>
      <c r="D21" s="544" t="s">
        <v>197</v>
      </c>
      <c r="E21" s="545" t="s">
        <v>198</v>
      </c>
      <c r="F21" s="546" t="s">
        <v>199</v>
      </c>
      <c r="G21" s="547" t="s">
        <v>200</v>
      </c>
      <c r="H21" s="224"/>
      <c r="I21" s="319"/>
    </row>
    <row r="22" spans="1:9" s="1476" customFormat="1" ht="15.75">
      <c r="A22" s="1469"/>
      <c r="B22" s="1470">
        <v>45014</v>
      </c>
      <c r="C22" s="1471" t="s">
        <v>6793</v>
      </c>
      <c r="D22" s="1472">
        <v>354</v>
      </c>
      <c r="E22" s="1440" t="s">
        <v>13747</v>
      </c>
      <c r="F22" s="681" t="s">
        <v>6794</v>
      </c>
      <c r="G22" s="1473" t="s">
        <v>13748</v>
      </c>
      <c r="H22" s="1474"/>
      <c r="I22" s="1475">
        <f>B23+180</f>
        <v>45193</v>
      </c>
    </row>
    <row r="23" spans="1:9" s="1476" customFormat="1" ht="15.75">
      <c r="A23" s="1469"/>
      <c r="B23" s="1470">
        <v>45013</v>
      </c>
      <c r="C23" s="1471" t="s">
        <v>6790</v>
      </c>
      <c r="D23" s="1472">
        <v>490</v>
      </c>
      <c r="E23" s="1440" t="s">
        <v>6791</v>
      </c>
      <c r="F23" s="681" t="s">
        <v>13749</v>
      </c>
      <c r="G23" s="1473" t="s">
        <v>6792</v>
      </c>
      <c r="H23" s="1474"/>
      <c r="I23" s="1475">
        <f>B24+180</f>
        <v>45195</v>
      </c>
    </row>
    <row r="24" spans="1:9" s="1476" customFormat="1" ht="15.75">
      <c r="A24" s="1469"/>
      <c r="B24" s="1470">
        <v>45015</v>
      </c>
      <c r="C24" s="1471" t="s">
        <v>14230</v>
      </c>
      <c r="D24" s="1472">
        <v>380</v>
      </c>
      <c r="E24" s="1440" t="s">
        <v>14231</v>
      </c>
      <c r="F24" s="681" t="s">
        <v>14232</v>
      </c>
      <c r="G24" s="1473" t="s">
        <v>14233</v>
      </c>
      <c r="H24" s="1474"/>
      <c r="I24" s="1475">
        <f>B22+180</f>
        <v>45194</v>
      </c>
    </row>
    <row r="25" spans="1:9" ht="16.5" thickBot="1">
      <c r="A25" s="294"/>
      <c r="B25" s="485"/>
      <c r="C25" s="549" t="s">
        <v>6778</v>
      </c>
      <c r="D25" s="718">
        <f>MEDIAN(D22:D24)</f>
        <v>380</v>
      </c>
      <c r="E25" s="551"/>
      <c r="F25" s="730"/>
      <c r="G25" s="731"/>
      <c r="H25" s="224"/>
      <c r="I25" s="319"/>
    </row>
    <row r="26" spans="1:9" ht="15.75" thickBot="1"/>
    <row r="27" spans="1:9" ht="29.25" customHeight="1">
      <c r="A27" s="433"/>
      <c r="B27" s="333" t="str">
        <f>IF(COUNT($H$13:H27)&lt;10,CONCATENATE("AMM SAA 00",COUNT($H$13:H27)),CONCATENATE("AMM SAA 0",COUNT($H$13:H27)))</f>
        <v>AMM SAA 002</v>
      </c>
      <c r="C27" s="1664" t="s">
        <v>6799</v>
      </c>
      <c r="D27" s="1665"/>
      <c r="E27" s="1665"/>
      <c r="F27" s="1666"/>
      <c r="G27" s="357" t="s">
        <v>22</v>
      </c>
      <c r="H27" s="348">
        <f>G34</f>
        <v>0.84000000000000008</v>
      </c>
      <c r="I27"/>
    </row>
    <row r="28" spans="1:9" ht="31.5">
      <c r="A28" s="433"/>
      <c r="B28" s="1128" t="s">
        <v>206</v>
      </c>
      <c r="C28" s="543" t="s">
        <v>184</v>
      </c>
      <c r="D28" s="543" t="s">
        <v>23</v>
      </c>
      <c r="E28" s="543" t="s">
        <v>185</v>
      </c>
      <c r="F28" s="544" t="s">
        <v>186</v>
      </c>
      <c r="G28" s="1129" t="s">
        <v>187</v>
      </c>
      <c r="H28" s="229"/>
      <c r="I28"/>
    </row>
    <row r="29" spans="1:9" s="582" customFormat="1" ht="15.75">
      <c r="A29" s="433"/>
      <c r="B29" s="1727" t="s">
        <v>6800</v>
      </c>
      <c r="C29" s="1728"/>
      <c r="D29" s="1728"/>
      <c r="E29" s="1728"/>
      <c r="F29" s="1728"/>
      <c r="G29" s="1729"/>
      <c r="H29" s="229"/>
    </row>
    <row r="30" spans="1:9" s="582" customFormat="1" ht="30">
      <c r="A30" s="433"/>
      <c r="B30" s="744">
        <v>92138</v>
      </c>
      <c r="C30" s="574" t="str">
        <f>IF($A30="INSUMO",VLOOKUP($B30,'BANCO DE DADOS JAN-23 INS'!$A:$D,2,FALSE),VLOOKUP($B30,'BANCO DE DADOS JAN-23 SERV'!$B:$E,2,FALSE))</f>
        <v>CAMINHONETE COM MOTOR A DIESEL, POTÊNCIA 180 CV, CABINE DUPLA, 4X4 - CHP DIURNO. AF_11/2015</v>
      </c>
      <c r="D30" s="571" t="str">
        <f>IF($A30="INSUMO",VLOOKUP($B30,'BANCO DE DADOS JAN-23 INS'!$A:$D,3,FALSE),VLOOKUP($B30,'BANCO DE DADOS JAN-23 SERV'!$B:$E,3,FALSE))</f>
        <v>CHP</v>
      </c>
      <c r="E30" s="741">
        <v>4.0000000000000001E-3</v>
      </c>
      <c r="F30" s="575">
        <f>IF($A30="INSUMO",VLOOKUP($B30,'BANCO DE DADOS JAN-23 INS'!$A:$D,4,FALSE),VLOOKUP($B30,'BANCO DE DADOS JAN-23 SERV'!$B:$E,4,FALSE))</f>
        <v>85.96</v>
      </c>
      <c r="G30" s="745">
        <f>TRUNC(E30*F30,2)</f>
        <v>0.34</v>
      </c>
      <c r="H30" s="229"/>
    </row>
    <row r="31" spans="1:9" s="582" customFormat="1" ht="15.75">
      <c r="A31" s="433"/>
      <c r="B31" s="1719" t="s">
        <v>6797</v>
      </c>
      <c r="C31" s="1720"/>
      <c r="D31" s="1720"/>
      <c r="E31" s="1720"/>
      <c r="F31" s="1720"/>
      <c r="G31" s="1721"/>
      <c r="H31" s="229"/>
    </row>
    <row r="32" spans="1:9" s="582" customFormat="1" ht="15.75">
      <c r="A32" s="433" t="s">
        <v>452</v>
      </c>
      <c r="B32" s="744">
        <v>88253</v>
      </c>
      <c r="C32" s="574" t="str">
        <f>IF($A32="INSUMO",VLOOKUP($B32,'BANCO DE DADOS JAN-23 INS'!$A:$D,2,FALSE),VLOOKUP($B32,'BANCO DE DADOS JAN-23 SERV'!$B:$E,2,FALSE))</f>
        <v>AUXILIAR DE TOPÓGRAFO COM ENCARGOS COMPLEMENTARES</v>
      </c>
      <c r="D32" s="571" t="str">
        <f>IF($A32="INSUMO",VLOOKUP($B32,'BANCO DE DADOS JAN-23 INS'!$A:$D,3,FALSE),VLOOKUP($B32,'BANCO DE DADOS JAN-23 SERV'!$B:$E,3,FALSE))</f>
        <v>H</v>
      </c>
      <c r="E32" s="741">
        <v>3.5999999999999997E-2</v>
      </c>
      <c r="F32" s="575">
        <f>IF($A32="INSUMO",VLOOKUP($B32,'BANCO DE DADOS JAN-23 INS'!$A:$D,4,FALSE),VLOOKUP($B32,'BANCO DE DADOS JAN-23 SERV'!$B:$E,4,FALSE))</f>
        <v>9.34</v>
      </c>
      <c r="G32" s="745">
        <f>TRUNC(E32*F32,2)</f>
        <v>0.33</v>
      </c>
      <c r="H32" s="229"/>
    </row>
    <row r="33" spans="1:9" s="582" customFormat="1" ht="16.5" thickBot="1">
      <c r="A33" s="433" t="s">
        <v>452</v>
      </c>
      <c r="B33" s="761">
        <v>88597</v>
      </c>
      <c r="C33" s="577" t="str">
        <f>IF($A33="INSUMO",VLOOKUP($B33,'BANCO DE DADOS JAN-23 INS'!$A:$D,2,FALSE),VLOOKUP($B33,'BANCO DE DADOS JAN-23 SERV'!$B:$E,2,FALSE))</f>
        <v>DESENHISTA DETALHISTA COM ENCARGOS COMPLEMENTARES</v>
      </c>
      <c r="D33" s="578" t="str">
        <f>IF($A33="INSUMO",VLOOKUP($B33,'BANCO DE DADOS JAN-23 INS'!$A:$D,3,FALSE),VLOOKUP($B33,'BANCO DE DADOS JAN-23 SERV'!$B:$E,3,FALSE))</f>
        <v>H</v>
      </c>
      <c r="E33" s="768">
        <v>0.01</v>
      </c>
      <c r="F33" s="579">
        <f>IF($A33="INSUMO",VLOOKUP($B33,'BANCO DE DADOS JAN-23 INS'!$A:$D,4,FALSE),VLOOKUP($B33,'BANCO DE DADOS JAN-23 SERV'!$B:$E,4,FALSE))</f>
        <v>17.48</v>
      </c>
      <c r="G33" s="769">
        <f>TRUNC(E33*F33,2)</f>
        <v>0.17</v>
      </c>
      <c r="H33" s="229"/>
    </row>
    <row r="34" spans="1:9" ht="48.75" customHeight="1" thickBot="1">
      <c r="A34" s="433"/>
      <c r="B34" s="1722" t="s">
        <v>6801</v>
      </c>
      <c r="C34" s="1722"/>
      <c r="D34" s="1722"/>
      <c r="E34" s="1723"/>
      <c r="F34" s="393" t="s">
        <v>192</v>
      </c>
      <c r="G34" s="770">
        <f>SUM(G29:G33)</f>
        <v>0.84000000000000008</v>
      </c>
      <c r="H34" s="229"/>
      <c r="I34"/>
    </row>
    <row r="35" spans="1:9" ht="11.25" customHeight="1" thickBot="1">
      <c r="B35" s="705"/>
      <c r="C35" s="228"/>
      <c r="D35" s="228"/>
      <c r="E35" s="228"/>
      <c r="F35" s="706"/>
      <c r="G35" s="707"/>
      <c r="I35"/>
    </row>
    <row r="36" spans="1:9" ht="30" customHeight="1">
      <c r="A36" s="433" t="s">
        <v>6776</v>
      </c>
      <c r="B36" s="333" t="str">
        <f>IF(COUNT($H$13:H36)&lt;10,CONCATENATE("AMM SAA 00",COUNT($H$13:H36)),CONCATENATE("AMM SAA 0",COUNT($H$13:H36)))</f>
        <v>AMM SAA 003</v>
      </c>
      <c r="C36" s="494" t="s">
        <v>6837</v>
      </c>
      <c r="D36" s="311"/>
      <c r="E36" s="311"/>
      <c r="F36" s="312"/>
      <c r="G36" s="357" t="s">
        <v>6798</v>
      </c>
      <c r="H36" s="348">
        <f>G43</f>
        <v>6.29</v>
      </c>
      <c r="I36"/>
    </row>
    <row r="37" spans="1:9" ht="31.5">
      <c r="A37" s="433"/>
      <c r="B37" s="538" t="s">
        <v>206</v>
      </c>
      <c r="C37" s="1130" t="s">
        <v>184</v>
      </c>
      <c r="D37" s="1130" t="s">
        <v>23</v>
      </c>
      <c r="E37" s="1130" t="s">
        <v>185</v>
      </c>
      <c r="F37" s="1131" t="s">
        <v>186</v>
      </c>
      <c r="G37" s="1129" t="s">
        <v>187</v>
      </c>
      <c r="H37" s="229"/>
      <c r="I37"/>
    </row>
    <row r="38" spans="1:9" s="582" customFormat="1" ht="15.75">
      <c r="A38" s="433"/>
      <c r="B38" s="1697" t="s">
        <v>188</v>
      </c>
      <c r="C38" s="1698"/>
      <c r="D38" s="1698"/>
      <c r="E38" s="1698"/>
      <c r="F38" s="1698"/>
      <c r="G38" s="1699"/>
      <c r="H38" s="229"/>
    </row>
    <row r="39" spans="1:9" s="582" customFormat="1" ht="30">
      <c r="A39" s="433" t="s">
        <v>452</v>
      </c>
      <c r="B39" s="744">
        <v>92138</v>
      </c>
      <c r="C39" s="574" t="str">
        <f>IF($A39="INSUMO",VLOOKUP($B39,'BANCO DE DADOS JAN-23 INS'!$A:$D,2,FALSE),VLOOKUP($B39,'BANCO DE DADOS JAN-23 SERV'!$B:$E,2,FALSE))</f>
        <v>CAMINHONETE COM MOTOR A DIESEL, POTÊNCIA 180 CV, CABINE DUPLA, 4X4 - CHP DIURNO. AF_11/2015</v>
      </c>
      <c r="D39" s="571" t="str">
        <f>IF($A39="INSUMO",VLOOKUP($B39,'BANCO DE DADOS JAN-23 INS'!$A:$D,3,FALSE),VLOOKUP($B39,'BANCO DE DADOS JAN-23 SERV'!$B:$E,3,FALSE))</f>
        <v>CHP</v>
      </c>
      <c r="E39" s="826">
        <v>2.4E-2</v>
      </c>
      <c r="F39" s="575">
        <f>IF($A39="INSUMO",VLOOKUP($B39,'BANCO DE DADOS JAN-23 INS'!$A:$D,4,FALSE),VLOOKUP($B39,'BANCO DE DADOS JAN-23 SERV'!$B:$E,4,FALSE))</f>
        <v>85.96</v>
      </c>
      <c r="G39" s="734">
        <f>TRUNC(E39*F39,2)</f>
        <v>2.06</v>
      </c>
      <c r="H39" s="229"/>
    </row>
    <row r="40" spans="1:9" s="582" customFormat="1" ht="15.75">
      <c r="A40" s="433"/>
      <c r="B40" s="1704" t="s">
        <v>6797</v>
      </c>
      <c r="C40" s="1705"/>
      <c r="D40" s="1705"/>
      <c r="E40" s="1705"/>
      <c r="F40" s="1705"/>
      <c r="G40" s="1706"/>
      <c r="H40" s="229"/>
    </row>
    <row r="41" spans="1:9" s="582" customFormat="1" ht="15.75">
      <c r="A41" s="433" t="s">
        <v>452</v>
      </c>
      <c r="B41" s="744">
        <v>88253</v>
      </c>
      <c r="C41" s="574" t="str">
        <f>IF($A41="INSUMO",VLOOKUP($B41,'BANCO DE DADOS JAN-23 INS'!$A:$D,2,FALSE),VLOOKUP($B41,'BANCO DE DADOS JAN-23 SERV'!$B:$E,2,FALSE))</f>
        <v>AUXILIAR DE TOPÓGRAFO COM ENCARGOS COMPLEMENTARES</v>
      </c>
      <c r="D41" s="571" t="str">
        <f>IF($A41="INSUMO",VLOOKUP($B41,'BANCO DE DADOS JAN-23 INS'!$A:$D,3,FALSE),VLOOKUP($B41,'BANCO DE DADOS JAN-23 SERV'!$B:$E,3,FALSE))</f>
        <v>H</v>
      </c>
      <c r="E41" s="741">
        <v>0.08</v>
      </c>
      <c r="F41" s="575">
        <f>IF($A41="INSUMO",VLOOKUP($B41,'BANCO DE DADOS JAN-23 INS'!$A:$D,4,FALSE),VLOOKUP($B41,'BANCO DE DADOS JAN-23 SERV'!$B:$E,4,FALSE))</f>
        <v>9.34</v>
      </c>
      <c r="G41" s="734">
        <f>TRUNC(E41*F41,2)</f>
        <v>0.74</v>
      </c>
      <c r="H41" s="229"/>
    </row>
    <row r="42" spans="1:9" s="582" customFormat="1" ht="16.5" thickBot="1">
      <c r="A42" s="433" t="s">
        <v>452</v>
      </c>
      <c r="B42" s="761">
        <v>88597</v>
      </c>
      <c r="C42" s="577" t="str">
        <f>IF($A42="INSUMO",VLOOKUP($B42,'BANCO DE DADOS JAN-23 INS'!$A:$D,2,FALSE),VLOOKUP($B42,'BANCO DE DADOS JAN-23 SERV'!$B:$E,2,FALSE))</f>
        <v>DESENHISTA DETALHISTA COM ENCARGOS COMPLEMENTARES</v>
      </c>
      <c r="D42" s="578" t="str">
        <f>IF($A42="INSUMO",VLOOKUP($B42,'BANCO DE DADOS JAN-23 INS'!$A:$D,3,FALSE),VLOOKUP($B42,'BANCO DE DADOS JAN-23 SERV'!$B:$E,3,FALSE))</f>
        <v>H</v>
      </c>
      <c r="E42" s="827">
        <v>0.2</v>
      </c>
      <c r="F42" s="579">
        <f>IF($A42="INSUMO",VLOOKUP($B42,'BANCO DE DADOS JAN-23 INS'!$A:$D,4,FALSE),VLOOKUP($B42,'BANCO DE DADOS JAN-23 SERV'!$B:$E,4,FALSE))</f>
        <v>17.48</v>
      </c>
      <c r="G42" s="757">
        <f>TRUNC(E42*F42,2)</f>
        <v>3.49</v>
      </c>
      <c r="H42" s="229"/>
    </row>
    <row r="43" spans="1:9" ht="48" customHeight="1" thickBot="1">
      <c r="A43" s="433"/>
      <c r="B43" s="1722" t="s">
        <v>6838</v>
      </c>
      <c r="C43" s="1722"/>
      <c r="D43" s="1722"/>
      <c r="E43" s="1722"/>
      <c r="F43" s="332" t="s">
        <v>192</v>
      </c>
      <c r="G43" s="434">
        <f>TRUNC(SUM(G38:G42),2)</f>
        <v>6.29</v>
      </c>
      <c r="H43" s="229"/>
      <c r="I43"/>
    </row>
    <row r="44" spans="1:9" ht="16.5" customHeight="1" thickBot="1">
      <c r="B44" s="1692" t="s">
        <v>19</v>
      </c>
      <c r="C44" s="1693"/>
      <c r="D44" s="1693"/>
      <c r="E44" s="1693"/>
      <c r="F44" s="1693"/>
      <c r="G44" s="1694"/>
      <c r="I44"/>
    </row>
    <row r="45" spans="1:9" ht="33" customHeight="1">
      <c r="A45" s="433" t="s">
        <v>6776</v>
      </c>
      <c r="B45" s="333" t="str">
        <f>IF(COUNT($H$13:H45)&lt;10,CONCATENATE("AMM SAA 00",COUNT($H$13:H45)),CONCATENATE("AMM SAA 0",COUNT($H$13:H45)))</f>
        <v>AMM SAA 004</v>
      </c>
      <c r="C45" s="1673" t="s">
        <v>13738</v>
      </c>
      <c r="D45" s="1673"/>
      <c r="E45" s="1673"/>
      <c r="F45" s="1673"/>
      <c r="G45" s="357" t="s">
        <v>23</v>
      </c>
      <c r="H45" s="348">
        <f>G56</f>
        <v>286.56</v>
      </c>
      <c r="I45"/>
    </row>
    <row r="46" spans="1:9" s="1476" customFormat="1" ht="31.5">
      <c r="A46" s="1477"/>
      <c r="B46" s="1478" t="s">
        <v>206</v>
      </c>
      <c r="C46" s="1479" t="s">
        <v>184</v>
      </c>
      <c r="D46" s="1479" t="s">
        <v>23</v>
      </c>
      <c r="E46" s="1479" t="s">
        <v>185</v>
      </c>
      <c r="F46" s="1480" t="s">
        <v>186</v>
      </c>
      <c r="G46" s="1481" t="s">
        <v>187</v>
      </c>
      <c r="H46" s="1482"/>
    </row>
    <row r="47" spans="1:9" ht="15.75">
      <c r="A47" s="433"/>
      <c r="B47" s="1697" t="s">
        <v>188</v>
      </c>
      <c r="C47" s="1698"/>
      <c r="D47" s="1698"/>
      <c r="E47" s="1698"/>
      <c r="F47" s="1698"/>
      <c r="G47" s="1699"/>
      <c r="H47" s="229"/>
      <c r="I47"/>
    </row>
    <row r="48" spans="1:9" s="763" customFormat="1" ht="30">
      <c r="A48" s="555" t="s">
        <v>451</v>
      </c>
      <c r="B48" s="611">
        <v>3729</v>
      </c>
      <c r="C48" s="574" t="str">
        <f>IF($A48="INSUMO",VLOOKUP($B48,'BANCO DE DADOS JAN-23 INS'!$A:$D,2,FALSE),VLOOKUP($B48,'BANCO DE DADOS JAN-23 SERV'!$B:$E,2,FALSE))</f>
        <v>KIT CAVALETE, PVC, COM REGISTRO, PARA HIDROMETRO, BITOLAS 1/2" OU 3/4" - COMPLETO</v>
      </c>
      <c r="D48" s="571" t="str">
        <f>IF($A48="INSUMO",VLOOKUP($B48,'BANCO DE DADOS JAN-23 INS'!$A:$D,3,FALSE),VLOOKUP($B48,'BANCO DE DADOS JAN-23 SERV'!$B:$E,3,FALSE))</f>
        <v xml:space="preserve">UN    </v>
      </c>
      <c r="E48" s="828">
        <v>1</v>
      </c>
      <c r="F48" s="575">
        <f>IF($A48="INSUMO",VLOOKUP($B48,'BANCO DE DADOS JAN-23 INS'!$A:$D,4,FALSE),VLOOKUP($B48,'BANCO DE DADOS JAN-23 SERV'!$B:$E,4,FALSE))</f>
        <v>174.64</v>
      </c>
      <c r="G48" s="734">
        <f>TRUNC(E48*F48,2)</f>
        <v>174.64</v>
      </c>
      <c r="H48" s="743"/>
    </row>
    <row r="49" spans="1:9" s="763" customFormat="1" ht="25.5" customHeight="1">
      <c r="A49" s="555" t="s">
        <v>451</v>
      </c>
      <c r="B49" s="611">
        <v>20080</v>
      </c>
      <c r="C49" s="574" t="str">
        <f>IF($A49="INSUMO",VLOOKUP($B49,'BANCO DE DADOS JAN-23 INS'!$A:$D,2,FALSE),VLOOKUP($B49,'BANCO DE DADOS JAN-23 SERV'!$B:$E,2,FALSE))</f>
        <v>ADESIVO PLASTICO PARA PVC, FRASCO COM 175 GR</v>
      </c>
      <c r="D49" s="571" t="str">
        <f>IF($A49="INSUMO",VLOOKUP($B49,'BANCO DE DADOS JAN-23 INS'!$A:$D,3,FALSE),VLOOKUP($B49,'BANCO DE DADOS JAN-23 SERV'!$B:$E,3,FALSE))</f>
        <v xml:space="preserve">UN    </v>
      </c>
      <c r="E49" s="828">
        <v>0.30599999999999999</v>
      </c>
      <c r="F49" s="575">
        <f>IF($A49="INSUMO",VLOOKUP($B49,'BANCO DE DADOS JAN-23 INS'!$A:$D,4,FALSE),VLOOKUP($B49,'BANCO DE DADOS JAN-23 SERV'!$B:$E,4,FALSE))</f>
        <v>24.86</v>
      </c>
      <c r="G49" s="734">
        <f t="shared" ref="G49" si="0">TRUNC(E49*F49,2)</f>
        <v>7.6</v>
      </c>
      <c r="H49" s="743"/>
    </row>
    <row r="50" spans="1:9" s="763" customFormat="1" ht="30">
      <c r="A50" s="555" t="s">
        <v>451</v>
      </c>
      <c r="B50" s="611">
        <v>20083</v>
      </c>
      <c r="C50" s="574" t="str">
        <f>IF($A50="INSUMO",VLOOKUP($B50,'BANCO DE DADOS JAN-23 INS'!$A:$D,2,FALSE),VLOOKUP($B50,'BANCO DE DADOS JAN-23 SERV'!$B:$E,2,FALSE))</f>
        <v>SOLUCAO PREPARADORA / LIMPADORA PARA PVC, FRASCO COM 1000 CM3</v>
      </c>
      <c r="D50" s="571" t="str">
        <f>IF($A50="INSUMO",VLOOKUP($B50,'BANCO DE DADOS JAN-23 INS'!$A:$D,3,FALSE),VLOOKUP($B50,'BANCO DE DADOS JAN-23 SERV'!$B:$E,3,FALSE))</f>
        <v xml:space="preserve">UN    </v>
      </c>
      <c r="E50" s="828">
        <v>7.1999999999999995E-2</v>
      </c>
      <c r="F50" s="575">
        <f>IF($A50="INSUMO",VLOOKUP($B50,'BANCO DE DADOS JAN-23 INS'!$A:$D,4,FALSE),VLOOKUP($B50,'BANCO DE DADOS JAN-23 SERV'!$B:$E,4,FALSE))</f>
        <v>86.3</v>
      </c>
      <c r="G50" s="734">
        <f>TRUNC(E50*F50,2)</f>
        <v>6.21</v>
      </c>
      <c r="H50" s="743"/>
    </row>
    <row r="51" spans="1:9" s="763" customFormat="1" ht="21" customHeight="1">
      <c r="A51" s="555" t="s">
        <v>451</v>
      </c>
      <c r="B51" s="611">
        <v>38383</v>
      </c>
      <c r="C51" s="574" t="str">
        <f>IF($A51="INSUMO",VLOOKUP($B51,'BANCO DE DADOS JAN-23 INS'!$A:$D,2,FALSE),VLOOKUP($B51,'BANCO DE DADOS JAN-23 SERV'!$B:$E,2,FALSE))</f>
        <v>LIXA D'AGUA EM FOLHA, GRAO 100</v>
      </c>
      <c r="D51" s="571" t="str">
        <f>IF($A51="INSUMO",VLOOKUP($B51,'BANCO DE DADOS JAN-23 INS'!$A:$D,3,FALSE),VLOOKUP($B51,'BANCO DE DADOS JAN-23 SERV'!$B:$E,3,FALSE))</f>
        <v xml:space="preserve">UN    </v>
      </c>
      <c r="E51" s="828">
        <v>0.39600000000000002</v>
      </c>
      <c r="F51" s="575">
        <f>IF($A51="INSUMO",VLOOKUP($B51,'BANCO DE DADOS JAN-23 INS'!$A:$D,4,FALSE),VLOOKUP($B51,'BANCO DE DADOS JAN-23 SERV'!$B:$E,4,FALSE))</f>
        <v>2.7</v>
      </c>
      <c r="G51" s="734">
        <f t="shared" ref="G51" si="1">TRUNC(E51*F51,2)</f>
        <v>1.06</v>
      </c>
      <c r="H51" s="743"/>
    </row>
    <row r="52" spans="1:9" s="582" customFormat="1" ht="39" customHeight="1">
      <c r="A52" s="433" t="s">
        <v>451</v>
      </c>
      <c r="B52" s="611">
        <v>10781</v>
      </c>
      <c r="C52" s="574" t="str">
        <f>IF($A52="INSUMO",VLOOKUP($B52,'BANCO DE DADOS JAN-23 INS'!$A:$D,2,FALSE),VLOOKUP($B52,'BANCO DE DADOS JAN-23 SERV'!$B:$E,2,FALSE))</f>
        <v>EXTREMIDADE/TUBETE PARA HIDROMETRO PVC, COM ROSCA, CURTA, COM BUCHA LATAO, 3/4"</v>
      </c>
      <c r="D52" s="571" t="str">
        <f>IF($A52="INSUMO",VLOOKUP($B52,'BANCO DE DADOS JAN-23 INS'!$A:$D,3,FALSE),VLOOKUP($B52,'BANCO DE DADOS JAN-23 SERV'!$B:$E,3,FALSE))</f>
        <v xml:space="preserve">UN    </v>
      </c>
      <c r="E52" s="828">
        <v>2</v>
      </c>
      <c r="F52" s="575">
        <f>IF($A52="INSUMO",VLOOKUP($B52,'BANCO DE DADOS JAN-23 INS'!$A:$D,4,FALSE),VLOOKUP($B52,'BANCO DE DADOS JAN-23 SERV'!$B:$E,4,FALSE))</f>
        <v>14.88</v>
      </c>
      <c r="G52" s="734">
        <f>TRUNC(E52*F52,2)</f>
        <v>29.76</v>
      </c>
      <c r="H52" s="229"/>
    </row>
    <row r="53" spans="1:9" s="582" customFormat="1" ht="15.75">
      <c r="A53" s="433"/>
      <c r="B53" s="1697" t="s">
        <v>6797</v>
      </c>
      <c r="C53" s="1698"/>
      <c r="D53" s="1698"/>
      <c r="E53" s="1698"/>
      <c r="F53" s="1698"/>
      <c r="G53" s="1699"/>
      <c r="H53" s="229"/>
    </row>
    <row r="54" spans="1:9" s="763" customFormat="1" ht="30">
      <c r="A54" s="555" t="s">
        <v>452</v>
      </c>
      <c r="B54" s="744">
        <v>88248</v>
      </c>
      <c r="C54" s="574" t="str">
        <f>IF($A54="INSUMO",VLOOKUP($B54,'BANCO DE DADOS JAN-23 INS'!$A:$D,2,FALSE),VLOOKUP($B54,'BANCO DE DADOS JAN-23 SERV'!$B:$E,2,FALSE))</f>
        <v>AUXILIAR DE ENCANADOR OU BOMBEIRO HIDRÁULICO COM ENCARGOS COMPLEMENTARES</v>
      </c>
      <c r="D54" s="571" t="str">
        <f>IF($A54="INSUMO",VLOOKUP($B54,'BANCO DE DADOS JAN-23 INS'!$A:$D,3,FALSE),VLOOKUP($B54,'BANCO DE DADOS JAN-23 SERV'!$B:$E,3,FALSE))</f>
        <v>H</v>
      </c>
      <c r="E54" s="826">
        <v>1.7024999999999999</v>
      </c>
      <c r="F54" s="575">
        <f>IF($A54="INSUMO",VLOOKUP($B54,'BANCO DE DADOS JAN-23 INS'!$A:$D,4,FALSE),VLOOKUP($B54,'BANCO DE DADOS JAN-23 SERV'!$B:$E,4,FALSE))</f>
        <v>17.87</v>
      </c>
      <c r="G54" s="734">
        <f>TRUNC(E54*F54,2)</f>
        <v>30.42</v>
      </c>
      <c r="H54" s="743"/>
    </row>
    <row r="55" spans="1:9" s="763" customFormat="1" ht="30.75" thickBot="1">
      <c r="A55" s="555" t="s">
        <v>452</v>
      </c>
      <c r="B55" s="746">
        <v>88267</v>
      </c>
      <c r="C55" s="449" t="str">
        <f>IF($A55="INSUMO",VLOOKUP($B55,'BANCO DE DADOS JAN-23 INS'!$A:$D,2,FALSE),VLOOKUP($B55,'BANCO DE DADOS JAN-23 SERV'!$B:$E,2,FALSE))</f>
        <v>ENCANADOR OU BOMBEIRO HIDRÁULICO COM ENCARGOS COMPLEMENTARES</v>
      </c>
      <c r="D55" s="450" t="str">
        <f>IF($A55="INSUMO",VLOOKUP($B55,'BANCO DE DADOS JAN-23 INS'!$A:$D,3,FALSE),VLOOKUP($B55,'BANCO DE DADOS JAN-23 SERV'!$B:$E,3,FALSE))</f>
        <v>H</v>
      </c>
      <c r="E55" s="1172">
        <v>1.7024999999999999</v>
      </c>
      <c r="F55" s="735">
        <f>IF($A55="INSUMO",VLOOKUP($B55,'BANCO DE DADOS JAN-23 INS'!$A:$D,4,FALSE),VLOOKUP($B55,'BANCO DE DADOS JAN-23 SERV'!$B:$E,4,FALSE))</f>
        <v>21.66</v>
      </c>
      <c r="G55" s="736">
        <f>TRUNC(E55*F55,2)</f>
        <v>36.869999999999997</v>
      </c>
      <c r="H55" s="743"/>
    </row>
    <row r="56" spans="1:9" ht="16.5" thickBot="1">
      <c r="A56" s="433"/>
      <c r="B56" s="1691" t="s">
        <v>13739</v>
      </c>
      <c r="C56" s="1691"/>
      <c r="D56" s="1691"/>
      <c r="E56" s="1691"/>
      <c r="F56" s="332" t="s">
        <v>192</v>
      </c>
      <c r="G56" s="434">
        <f>TRUNC(SUM(G48:G55),2)</f>
        <v>286.56</v>
      </c>
      <c r="H56" s="229"/>
      <c r="I56"/>
    </row>
    <row r="57" spans="1:9" ht="16.5" customHeight="1" thickBot="1">
      <c r="B57" s="1692" t="s">
        <v>19</v>
      </c>
      <c r="C57" s="1693"/>
      <c r="D57" s="1693"/>
      <c r="E57" s="1693"/>
      <c r="F57" s="1693"/>
      <c r="G57" s="1694"/>
      <c r="I57"/>
    </row>
    <row r="58" spans="1:9" ht="33" customHeight="1">
      <c r="A58" s="433" t="s">
        <v>6776</v>
      </c>
      <c r="B58" s="333" t="str">
        <f>IF(COUNT($H$13:H58)&lt;10,CONCATENATE("AMM SAA 00",COUNT($H$13:H58)),CONCATENATE("AMM SAA 0",COUNT($H$13:H58)))</f>
        <v>AMM SAA 005</v>
      </c>
      <c r="C58" s="1673" t="s">
        <v>6841</v>
      </c>
      <c r="D58" s="1673"/>
      <c r="E58" s="1673"/>
      <c r="F58" s="1673"/>
      <c r="G58" s="357" t="s">
        <v>23</v>
      </c>
      <c r="H58" s="348">
        <f>G69</f>
        <v>212.98</v>
      </c>
      <c r="I58"/>
    </row>
    <row r="59" spans="1:9" ht="31.5">
      <c r="A59" s="433"/>
      <c r="B59" s="538" t="s">
        <v>206</v>
      </c>
      <c r="C59" s="543" t="s">
        <v>184</v>
      </c>
      <c r="D59" s="543" t="s">
        <v>23</v>
      </c>
      <c r="E59" s="543" t="s">
        <v>185</v>
      </c>
      <c r="F59" s="544" t="s">
        <v>186</v>
      </c>
      <c r="G59" s="1129" t="s">
        <v>187</v>
      </c>
      <c r="H59" s="229"/>
      <c r="I59"/>
    </row>
    <row r="60" spans="1:9" s="582" customFormat="1" ht="15.75">
      <c r="A60" s="433"/>
      <c r="B60" s="1697" t="s">
        <v>188</v>
      </c>
      <c r="C60" s="1698"/>
      <c r="D60" s="1698"/>
      <c r="E60" s="1698"/>
      <c r="F60" s="1698"/>
      <c r="G60" s="1699"/>
      <c r="H60" s="229"/>
    </row>
    <row r="61" spans="1:9" s="763" customFormat="1" ht="30">
      <c r="A61" s="555" t="s">
        <v>451</v>
      </c>
      <c r="B61" s="611">
        <v>55</v>
      </c>
      <c r="C61" s="574" t="str">
        <f>IF($A61="INSUMO",VLOOKUP($B61,'BANCO DE DADOS JAN-23 INS'!$A:$D,2,FALSE),VLOOKUP($B61,'BANCO DE DADOS JAN-23 SERV'!$B:$E,2,FALSE))</f>
        <v>ADAPTADOR DE COMPRESSAO EM POLIPROPILENO (PP), PARA TUBO EM PEAD, 20 MM X 1/2", PARA LIGACAO PREDIAL DE AGUA (NTS 179)</v>
      </c>
      <c r="D61" s="571" t="str">
        <f>IF($A61="INSUMO",VLOOKUP($B61,'BANCO DE DADOS JAN-23 INS'!$A:$D,3,FALSE),VLOOKUP($B61,'BANCO DE DADOS JAN-23 SERV'!$B:$E,3,FALSE))</f>
        <v xml:space="preserve">UN    </v>
      </c>
      <c r="E61" s="1227">
        <v>2</v>
      </c>
      <c r="F61" s="575">
        <f>IF($A61="INSUMO",VLOOKUP($B61,'BANCO DE DADOS JAN-23 INS'!$A:$D,4,FALSE),VLOOKUP($B61,'BANCO DE DADOS JAN-23 SERV'!$B:$E,4,FALSE))</f>
        <v>4.6500000000000004</v>
      </c>
      <c r="G61" s="734">
        <f>TRUNC(E61*F61,2)</f>
        <v>9.3000000000000007</v>
      </c>
      <c r="H61" s="743"/>
    </row>
    <row r="62" spans="1:9" s="763" customFormat="1" ht="30">
      <c r="A62" s="555" t="s">
        <v>451</v>
      </c>
      <c r="B62" s="611">
        <v>37418</v>
      </c>
      <c r="C62" s="574" t="str">
        <f>IF($A62="INSUMO",VLOOKUP($B62,'BANCO DE DADOS JAN-23 INS'!$A:$D,2,FALSE),VLOOKUP($B62,'BANCO DE DADOS JAN-23 SERV'!$B:$E,2,FALSE))</f>
        <v>COLAR DE TOMADA EM POLIPROPILENO, PP, COM PARAFUSOS, PARA PEAD, 63 X 1/2" - LIGACAO PREDIAL DE AGUA</v>
      </c>
      <c r="D62" s="571" t="str">
        <f>IF($A62="INSUMO",VLOOKUP($B62,'BANCO DE DADOS JAN-23 INS'!$A:$D,3,FALSE),VLOOKUP($B62,'BANCO DE DADOS JAN-23 SERV'!$B:$E,3,FALSE))</f>
        <v xml:space="preserve">UN    </v>
      </c>
      <c r="E62" s="1227">
        <v>0.26</v>
      </c>
      <c r="F62" s="575">
        <f>IF($A62="INSUMO",VLOOKUP($B62,'BANCO DE DADOS JAN-23 INS'!$A:$D,4,FALSE),VLOOKUP($B62,'BANCO DE DADOS JAN-23 SERV'!$B:$E,4,FALSE))</f>
        <v>18.5</v>
      </c>
      <c r="G62" s="734">
        <f t="shared" ref="G62" si="2">TRUNC(E62*F62,2)</f>
        <v>4.8099999999999996</v>
      </c>
      <c r="H62" s="743"/>
    </row>
    <row r="63" spans="1:9" s="763" customFormat="1" ht="30">
      <c r="A63" s="555" t="s">
        <v>451</v>
      </c>
      <c r="B63" s="611">
        <v>9813</v>
      </c>
      <c r="C63" s="574" t="str">
        <f>IF($A63="INSUMO",VLOOKUP($B63,'BANCO DE DADOS JAN-23 INS'!$A:$D,2,FALSE),VLOOKUP($B63,'BANCO DE DADOS JAN-23 SERV'!$B:$E,2,FALSE))</f>
        <v>TUBO DE POLIETILENO DE ALTA DENSIDADE (PEAD), PE-80, DE = 20 MM X 2,3 MM DE PAREDE, PARA LIGACAO DE AGUA PREDIAL (NBR 15561)</v>
      </c>
      <c r="D63" s="571" t="str">
        <f>IF($A63="INSUMO",VLOOKUP($B63,'BANCO DE DADOS JAN-23 INS'!$A:$D,3,FALSE),VLOOKUP($B63,'BANCO DE DADOS JAN-23 SERV'!$B:$E,3,FALSE))</f>
        <v xml:space="preserve">M     </v>
      </c>
      <c r="E63" s="1227">
        <v>6</v>
      </c>
      <c r="F63" s="575">
        <f>IF($A63="INSUMO",VLOOKUP($B63,'BANCO DE DADOS JAN-23 INS'!$A:$D,4,FALSE),VLOOKUP($B63,'BANCO DE DADOS JAN-23 SERV'!$B:$E,4,FALSE))</f>
        <v>5.66</v>
      </c>
      <c r="G63" s="734">
        <f>TRUNC(E63*F63,2)</f>
        <v>33.96</v>
      </c>
      <c r="H63" s="743"/>
    </row>
    <row r="64" spans="1:9" s="763" customFormat="1" ht="21" customHeight="1">
      <c r="A64" s="555" t="s">
        <v>452</v>
      </c>
      <c r="B64" s="611">
        <v>96995</v>
      </c>
      <c r="C64" s="574" t="str">
        <f>IF($A64="INSUMO",VLOOKUP($B64,'BANCO DE DADOS JAN-23 INS'!$A:$D,2,FALSE),VLOOKUP($B64,'BANCO DE DADOS JAN-23 SERV'!$B:$E,2,FALSE))</f>
        <v>REATERRO MANUAL APILOADO COM SOQUETE. AF_10/2017</v>
      </c>
      <c r="D64" s="571" t="str">
        <f>IF($A64="INSUMO",VLOOKUP($B64,'BANCO DE DADOS JAN-23 INS'!$A:$D,3,FALSE),VLOOKUP($B64,'BANCO DE DADOS JAN-23 SERV'!$B:$E,3,FALSE))</f>
        <v>M3</v>
      </c>
      <c r="E64" s="1227">
        <v>1.32</v>
      </c>
      <c r="F64" s="575">
        <f>IF($A64="INSUMO",VLOOKUP($B64,'BANCO DE DADOS JAN-23 INS'!$A:$D,4,FALSE),VLOOKUP($B64,'BANCO DE DADOS JAN-23 SERV'!$B:$E,4,FALSE))</f>
        <v>41.78</v>
      </c>
      <c r="G64" s="734">
        <f t="shared" ref="G64" si="3">TRUNC(E64*F64,2)</f>
        <v>55.14</v>
      </c>
      <c r="H64" s="743"/>
    </row>
    <row r="65" spans="1:9" s="763" customFormat="1" ht="39" customHeight="1">
      <c r="A65" s="555" t="s">
        <v>452</v>
      </c>
      <c r="B65" s="611">
        <v>93358</v>
      </c>
      <c r="C65" s="574" t="str">
        <f>IF($A65="INSUMO",VLOOKUP($B65,'BANCO DE DADOS JAN-23 INS'!$A:$D,2,FALSE),VLOOKUP($B65,'BANCO DE DADOS JAN-23 SERV'!$B:$E,2,FALSE))</f>
        <v>ESCAVAÇÃO MANUAL DE VALA COM PROFUNDIDADE MENOR OU IGUAL A 1,30 M. AF_02/2021</v>
      </c>
      <c r="D65" s="571" t="str">
        <f>IF($A65="INSUMO",VLOOKUP($B65,'BANCO DE DADOS JAN-23 INS'!$A:$D,3,FALSE),VLOOKUP($B65,'BANCO DE DADOS JAN-23 SERV'!$B:$E,3,FALSE))</f>
        <v>M3</v>
      </c>
      <c r="E65" s="1227">
        <v>1.32</v>
      </c>
      <c r="F65" s="575">
        <f>IF($A65="INSUMO",VLOOKUP($B65,'BANCO DE DADOS JAN-23 INS'!$A:$D,4,FALSE),VLOOKUP($B65,'BANCO DE DADOS JAN-23 SERV'!$B:$E,4,FALSE))</f>
        <v>68.91</v>
      </c>
      <c r="G65" s="734">
        <f>TRUNC(E65*F65,2)</f>
        <v>90.96</v>
      </c>
      <c r="H65" s="743"/>
    </row>
    <row r="66" spans="1:9" s="582" customFormat="1" ht="15.75">
      <c r="A66" s="433"/>
      <c r="B66" s="1697" t="s">
        <v>6797</v>
      </c>
      <c r="C66" s="1698"/>
      <c r="D66" s="1698"/>
      <c r="E66" s="1698"/>
      <c r="F66" s="1698"/>
      <c r="G66" s="1699"/>
      <c r="H66" s="229"/>
    </row>
    <row r="67" spans="1:9" s="763" customFormat="1" ht="30">
      <c r="A67" s="555" t="s">
        <v>452</v>
      </c>
      <c r="B67" s="744">
        <v>88267</v>
      </c>
      <c r="C67" s="574" t="str">
        <f>IF($A67="INSUMO",VLOOKUP($B67,'BANCO DE DADOS JAN-23 INS'!$A:$D,2,FALSE),VLOOKUP($B67,'BANCO DE DADOS JAN-23 SERV'!$B:$E,2,FALSE))</f>
        <v>ENCANADOR OU BOMBEIRO HIDRÁULICO COM ENCARGOS COMPLEMENTARES</v>
      </c>
      <c r="D67" s="571" t="str">
        <f>IF($A67="INSUMO",VLOOKUP($B67,'BANCO DE DADOS JAN-23 INS'!$A:$D,3,FALSE),VLOOKUP($B67,'BANCO DE DADOS JAN-23 SERV'!$B:$E,3,FALSE))</f>
        <v>H</v>
      </c>
      <c r="E67" s="828">
        <v>0.33</v>
      </c>
      <c r="F67" s="575">
        <f>IF($A67="INSUMO",VLOOKUP($B67,'BANCO DE DADOS JAN-23 INS'!$A:$D,4,FALSE),VLOOKUP($B67,'BANCO DE DADOS JAN-23 SERV'!$B:$E,4,FALSE))</f>
        <v>21.66</v>
      </c>
      <c r="G67" s="734">
        <f>TRUNC(E67*F67,2)</f>
        <v>7.14</v>
      </c>
      <c r="H67" s="743"/>
    </row>
    <row r="68" spans="1:9" s="763" customFormat="1" ht="16.5" thickBot="1">
      <c r="A68" s="555" t="s">
        <v>452</v>
      </c>
      <c r="B68" s="746">
        <v>88316</v>
      </c>
      <c r="C68" s="449" t="str">
        <f>IF($A68="INSUMO",VLOOKUP($B68,'BANCO DE DADOS JAN-23 INS'!$A:$D,2,FALSE),VLOOKUP($B68,'BANCO DE DADOS JAN-23 SERV'!$B:$E,2,FALSE))</f>
        <v>SERVENTE COM ENCARGOS COMPLEMENTARES</v>
      </c>
      <c r="D68" s="450" t="str">
        <f>IF($A68="INSUMO",VLOOKUP($B68,'BANCO DE DADOS JAN-23 INS'!$A:$D,3,FALSE),VLOOKUP($B68,'BANCO DE DADOS JAN-23 SERV'!$B:$E,3,FALSE))</f>
        <v>H</v>
      </c>
      <c r="E68" s="1228">
        <v>0.67</v>
      </c>
      <c r="F68" s="735">
        <f>IF($A68="INSUMO",VLOOKUP($B68,'BANCO DE DADOS JAN-23 INS'!$A:$D,4,FALSE),VLOOKUP($B68,'BANCO DE DADOS JAN-23 SERV'!$B:$E,4,FALSE))</f>
        <v>17.420000000000002</v>
      </c>
      <c r="G68" s="736">
        <f>TRUNC(E68*F68,2)</f>
        <v>11.67</v>
      </c>
      <c r="H68" s="743"/>
    </row>
    <row r="69" spans="1:9" ht="16.5" thickBot="1">
      <c r="A69" s="433"/>
      <c r="B69" s="1691" t="s">
        <v>6842</v>
      </c>
      <c r="C69" s="1691"/>
      <c r="D69" s="1691"/>
      <c r="E69" s="1691"/>
      <c r="F69" s="332" t="s">
        <v>192</v>
      </c>
      <c r="G69" s="434">
        <f>TRUNC(SUM(G61:G68),2)</f>
        <v>212.98</v>
      </c>
      <c r="H69" s="229"/>
      <c r="I69"/>
    </row>
    <row r="70" spans="1:9" s="228" customFormat="1" ht="13.5" thickBot="1">
      <c r="B70" s="719"/>
      <c r="C70" s="319"/>
      <c r="D70" s="320"/>
      <c r="E70" s="321"/>
      <c r="F70" s="720"/>
      <c r="G70" s="721"/>
      <c r="I70" s="319"/>
    </row>
    <row r="71" spans="1:9" ht="50.25" customHeight="1">
      <c r="A71" s="433" t="s">
        <v>6776</v>
      </c>
      <c r="B71" s="333" t="str">
        <f>IF(COUNT($H$13:H71)&lt;10,CONCATENATE("AMM SAA 00",COUNT($H$13:H71)),CONCATENATE("AMM SAA 0",COUNT($H$13:H71)))</f>
        <v>AMM SAA 006</v>
      </c>
      <c r="C71" s="1664" t="str">
        <f>CONCATENATE("FORNECIMENTO E INSTALAÇÃO DE ",C74)</f>
        <v>FORNECIMENTO E INSTALAÇÃO DE RESERVATÓRIO METÁLICO TIPO TAÇA COLUNA SECA COM CAPACIDADE UTIL DE 150 M³, COM DRENO PARA LIMPEZA,  RESPIRO, BOCA DE VISITA, ESCADA INTERNA, ESCADA EXTERNA TIPO MARINHEIRO COM GUARDA CORPO, SUPORTE PARA PARA-RAIO E ISOLADORES E FRETE</v>
      </c>
      <c r="D71" s="1665"/>
      <c r="E71" s="1665"/>
      <c r="F71" s="1666"/>
      <c r="G71" s="357" t="s">
        <v>23</v>
      </c>
      <c r="H71" s="348">
        <f>G75</f>
        <v>327900</v>
      </c>
    </row>
    <row r="72" spans="1:9" s="294" customFormat="1" ht="31.5" customHeight="1">
      <c r="B72" s="538" t="s">
        <v>206</v>
      </c>
      <c r="C72" s="1125" t="s">
        <v>184</v>
      </c>
      <c r="D72" s="1125" t="s">
        <v>23</v>
      </c>
      <c r="E72" s="1125" t="s">
        <v>185</v>
      </c>
      <c r="F72" s="1126" t="s">
        <v>186</v>
      </c>
      <c r="G72" s="1127" t="s">
        <v>187</v>
      </c>
      <c r="I72" s="688"/>
    </row>
    <row r="73" spans="1:9" s="294" customFormat="1" ht="15.75">
      <c r="B73" s="1667" t="s">
        <v>188</v>
      </c>
      <c r="C73" s="1668"/>
      <c r="D73" s="1668"/>
      <c r="E73" s="1668"/>
      <c r="F73" s="1668"/>
      <c r="G73" s="1669"/>
      <c r="I73" s="688"/>
    </row>
    <row r="74" spans="1:9" s="294" customFormat="1" ht="61.5" customHeight="1" thickBot="1">
      <c r="B74" s="708" t="str">
        <f>B77</f>
        <v>COTAÇÃO 002</v>
      </c>
      <c r="C74" s="709" t="str">
        <f>C77</f>
        <v>RESERVATÓRIO METÁLICO TIPO TAÇA COLUNA SECA COM CAPACIDADE UTIL DE 150 M³, COM DRENO PARA LIMPEZA,  RESPIRO, BOCA DE VISITA, ESCADA INTERNA, ESCADA EXTERNA TIPO MARINHEIRO COM GUARDA CORPO, SUPORTE PARA PARA-RAIO E ISOLADORES E FRETE</v>
      </c>
      <c r="D74" s="710" t="s">
        <v>23</v>
      </c>
      <c r="E74" s="832">
        <v>1</v>
      </c>
      <c r="F74" s="711">
        <f>D82</f>
        <v>327900</v>
      </c>
      <c r="G74" s="581">
        <f>TRUNC(E74*F74,2)</f>
        <v>327900</v>
      </c>
      <c r="I74" s="688"/>
    </row>
    <row r="75" spans="1:9" s="294" customFormat="1" ht="30" customHeight="1" thickBot="1">
      <c r="B75" s="1710" t="s">
        <v>6779</v>
      </c>
      <c r="C75" s="1689"/>
      <c r="D75" s="1689"/>
      <c r="E75" s="1690"/>
      <c r="F75" s="712" t="s">
        <v>190</v>
      </c>
      <c r="G75" s="713">
        <f>SUM(G74:G74)</f>
        <v>327900</v>
      </c>
      <c r="I75" s="688"/>
    </row>
    <row r="76" spans="1:9" s="294" customFormat="1" ht="15.75" customHeight="1" thickBot="1">
      <c r="B76" s="714"/>
      <c r="C76" s="229"/>
      <c r="D76" s="229"/>
      <c r="E76" s="229"/>
      <c r="F76" s="229"/>
      <c r="G76" s="715"/>
      <c r="I76" s="688"/>
    </row>
    <row r="77" spans="1:9" ht="78.75">
      <c r="A77" s="716"/>
      <c r="B77" s="422" t="s">
        <v>7226</v>
      </c>
      <c r="C77" s="689" t="s">
        <v>7022</v>
      </c>
      <c r="D77" s="423"/>
      <c r="E77" s="424"/>
      <c r="F77" s="421"/>
      <c r="G77" s="358" t="s">
        <v>23</v>
      </c>
      <c r="H77" s="605"/>
      <c r="I77" s="319"/>
    </row>
    <row r="78" spans="1:9" ht="31.5">
      <c r="A78" s="294"/>
      <c r="B78" s="542" t="s">
        <v>195</v>
      </c>
      <c r="C78" s="543" t="s">
        <v>196</v>
      </c>
      <c r="D78" s="544" t="s">
        <v>197</v>
      </c>
      <c r="E78" s="545" t="s">
        <v>198</v>
      </c>
      <c r="F78" s="546" t="s">
        <v>199</v>
      </c>
      <c r="G78" s="547" t="s">
        <v>200</v>
      </c>
      <c r="H78" s="224"/>
      <c r="I78" s="319"/>
    </row>
    <row r="79" spans="1:9" s="1476" customFormat="1" ht="15.75">
      <c r="A79" s="1469"/>
      <c r="B79" s="1470">
        <v>45014</v>
      </c>
      <c r="C79" s="1471" t="s">
        <v>7023</v>
      </c>
      <c r="D79" s="1472">
        <f>241625+6555</f>
        <v>248180</v>
      </c>
      <c r="E79" s="1483" t="s">
        <v>6777</v>
      </c>
      <c r="F79" s="681" t="s">
        <v>3002</v>
      </c>
      <c r="G79" s="1473" t="s">
        <v>6492</v>
      </c>
      <c r="H79" s="1474"/>
      <c r="I79" s="1475">
        <f>B79+180</f>
        <v>45194</v>
      </c>
    </row>
    <row r="80" spans="1:9" s="1484" customFormat="1" ht="15.75">
      <c r="A80" s="1469"/>
      <c r="B80" s="1470">
        <v>45014</v>
      </c>
      <c r="C80" s="1471" t="s">
        <v>5545</v>
      </c>
      <c r="D80" s="1472">
        <v>398990</v>
      </c>
      <c r="E80" s="1440" t="s">
        <v>5526</v>
      </c>
      <c r="F80" s="681" t="s">
        <v>5527</v>
      </c>
      <c r="G80" s="1473" t="s">
        <v>5546</v>
      </c>
      <c r="H80" s="1474"/>
      <c r="I80" s="1475">
        <f>B80+180</f>
        <v>45194</v>
      </c>
    </row>
    <row r="81" spans="1:58" s="1476" customFormat="1" ht="15.75">
      <c r="A81" s="1469"/>
      <c r="B81" s="1470">
        <v>45014</v>
      </c>
      <c r="C81" s="1471" t="s">
        <v>7024</v>
      </c>
      <c r="D81" s="1472">
        <v>327900</v>
      </c>
      <c r="E81" s="1440" t="s">
        <v>7027</v>
      </c>
      <c r="F81" s="681" t="s">
        <v>7026</v>
      </c>
      <c r="G81" s="1473" t="s">
        <v>7025</v>
      </c>
      <c r="H81" s="1474"/>
      <c r="I81" s="1475">
        <f>B81+180</f>
        <v>45194</v>
      </c>
    </row>
    <row r="82" spans="1:58" ht="16.5" thickBot="1">
      <c r="A82" s="294"/>
      <c r="B82" s="485"/>
      <c r="C82" s="549" t="s">
        <v>6778</v>
      </c>
      <c r="D82" s="718">
        <f>MEDIAN(D79:D81)</f>
        <v>327900</v>
      </c>
      <c r="E82" s="551"/>
      <c r="F82" s="552"/>
      <c r="G82" s="553"/>
      <c r="H82" s="224"/>
      <c r="I82" s="717"/>
    </row>
    <row r="83" spans="1:58" s="294" customFormat="1" ht="15.75" customHeight="1" thickBot="1">
      <c r="B83" s="714"/>
      <c r="C83" s="229"/>
      <c r="D83" s="229"/>
      <c r="E83" s="229"/>
      <c r="F83" s="229"/>
      <c r="G83" s="715"/>
      <c r="I83" s="688"/>
    </row>
    <row r="84" spans="1:58" s="228" customFormat="1" ht="23.25" customHeight="1">
      <c r="B84" s="333" t="str">
        <f>IF(COUNT($H$13:H84)&lt;10,CONCATENATE("AMM SAA 00",COUNT($H$13:H84)),CONCATENATE("AMM SAA 0",COUNT($H$13:H84)))</f>
        <v>AMM SAA 007</v>
      </c>
      <c r="C84" s="1673" t="s">
        <v>6780</v>
      </c>
      <c r="D84" s="1673"/>
      <c r="E84" s="1673"/>
      <c r="F84" s="1673"/>
      <c r="G84" s="357" t="s">
        <v>23</v>
      </c>
      <c r="H84" s="436">
        <f>G88</f>
        <v>6008.5</v>
      </c>
      <c r="I84" s="319"/>
    </row>
    <row r="85" spans="1:58" ht="31.5">
      <c r="A85" s="339"/>
      <c r="B85" s="538" t="s">
        <v>206</v>
      </c>
      <c r="C85" s="543" t="s">
        <v>184</v>
      </c>
      <c r="D85" s="543" t="s">
        <v>23</v>
      </c>
      <c r="E85" s="543" t="s">
        <v>185</v>
      </c>
      <c r="F85" s="544" t="s">
        <v>186</v>
      </c>
      <c r="G85" s="1129" t="s">
        <v>187</v>
      </c>
      <c r="H85" s="339"/>
    </row>
    <row r="86" spans="1:58" ht="15.75">
      <c r="A86" s="339"/>
      <c r="B86" s="1711" t="s">
        <v>6781</v>
      </c>
      <c r="C86" s="1712"/>
      <c r="D86" s="1712"/>
      <c r="E86" s="1712"/>
      <c r="F86" s="1712"/>
      <c r="G86" s="1713"/>
      <c r="H86" s="339"/>
    </row>
    <row r="87" spans="1:58" ht="48.75" customHeight="1" thickBot="1">
      <c r="A87" s="433" t="s">
        <v>452</v>
      </c>
      <c r="B87" s="722">
        <v>93596</v>
      </c>
      <c r="C87" s="449" t="str">
        <f>IF($A87="INSUMO",VLOOKUP($B87,'BANCO DE DADOS JAN-23 INS'!$A:$D,2,FALSE),VLOOKUP($B87,'BANCO DE DADOS JAN-23 SERV'!$B:$E,2,FALSE))</f>
        <v>TRANSPORTE COM CAMINHÃO BASCULANTE DE 10 M³, EM VIA URBANA PAVIMENTADA, ADICIONAL PARA DMT EXCEDENTE A 30 KM (UNIDADE: TXKM). AF_07/2020</v>
      </c>
      <c r="D87" s="450" t="str">
        <f>IF($A87="INSUMO",VLOOKUP($B87,'BANCO DE DADOS JAN-23 INS'!$A:$D,3,FALSE),VLOOKUP($B87,'BANCO DE DADOS JAN-23 SERV'!$B:$E,3,FALSE))</f>
        <v>TXKM</v>
      </c>
      <c r="E87" s="740">
        <f>G96</f>
        <v>9850</v>
      </c>
      <c r="F87" s="735">
        <f>IF($A87="INSUMO",VLOOKUP($B87,'BANCO DE DADOS JAN-23 INS'!$A:$D,4,FALSE),VLOOKUP($B87,'BANCO DE DADOS JAN-23 SERV'!$B:$E,4,FALSE))</f>
        <v>0.61</v>
      </c>
      <c r="G87" s="736">
        <f>TRUNC(E87*F87,2)</f>
        <v>6008.5</v>
      </c>
      <c r="H87" s="339"/>
    </row>
    <row r="88" spans="1:58" s="229" customFormat="1" ht="21.75" customHeight="1" thickBot="1">
      <c r="A88" s="433"/>
      <c r="B88" s="714" t="s">
        <v>6782</v>
      </c>
      <c r="D88" s="723"/>
      <c r="E88" s="724"/>
      <c r="F88" s="332" t="s">
        <v>192</v>
      </c>
      <c r="G88" s="434">
        <f>SUM(G87:G87)</f>
        <v>6008.5</v>
      </c>
      <c r="H88" s="348"/>
      <c r="I88" s="688"/>
    </row>
    <row r="89" spans="1:58" s="339" customFormat="1" ht="16.5" thickBot="1">
      <c r="B89" s="725"/>
      <c r="C89" s="726"/>
      <c r="D89" s="726"/>
      <c r="E89" s="726"/>
      <c r="F89" s="559"/>
      <c r="G89" s="727"/>
      <c r="I89" s="691"/>
    </row>
    <row r="90" spans="1:58" s="229" customFormat="1" ht="15.75">
      <c r="A90" s="433"/>
      <c r="B90" s="1724" t="s">
        <v>6783</v>
      </c>
      <c r="C90" s="1725"/>
      <c r="D90" s="1725"/>
      <c r="E90" s="1725"/>
      <c r="F90" s="1725"/>
      <c r="G90" s="1726"/>
      <c r="H90" s="339"/>
      <c r="I90" s="691"/>
      <c r="J90" s="339"/>
      <c r="K90" s="339"/>
      <c r="L90" s="339"/>
      <c r="M90" s="339"/>
      <c r="N90" s="339"/>
      <c r="O90" s="339"/>
      <c r="P90" s="339"/>
      <c r="Q90" s="339"/>
      <c r="R90" s="339"/>
      <c r="S90" s="339"/>
      <c r="T90" s="339"/>
      <c r="U90" s="339"/>
      <c r="V90" s="339"/>
      <c r="W90" s="339"/>
      <c r="X90" s="339"/>
      <c r="Y90" s="339"/>
      <c r="Z90" s="339"/>
      <c r="AA90" s="339"/>
      <c r="AB90" s="339"/>
      <c r="AC90" s="339"/>
      <c r="AD90" s="339"/>
      <c r="AE90" s="339"/>
      <c r="AF90" s="339"/>
      <c r="AG90" s="339"/>
      <c r="AH90" s="339"/>
      <c r="AI90" s="339"/>
      <c r="AJ90" s="339"/>
      <c r="AK90" s="339"/>
      <c r="AL90" s="339"/>
      <c r="AM90" s="339"/>
      <c r="AN90" s="339"/>
      <c r="AO90" s="339"/>
      <c r="AP90" s="339"/>
      <c r="AQ90" s="339"/>
      <c r="AR90" s="339"/>
      <c r="AS90" s="339"/>
      <c r="AT90" s="339"/>
      <c r="AU90" s="339"/>
      <c r="AV90" s="339"/>
      <c r="AW90" s="339"/>
      <c r="AX90" s="339"/>
      <c r="AY90" s="339"/>
      <c r="AZ90" s="339"/>
      <c r="BA90" s="339"/>
      <c r="BB90" s="339"/>
      <c r="BC90" s="339"/>
      <c r="BD90" s="339"/>
      <c r="BE90" s="339"/>
      <c r="BF90" s="339"/>
    </row>
    <row r="91" spans="1:58" s="229" customFormat="1" ht="15.75">
      <c r="A91" s="433"/>
      <c r="B91" s="1707" t="s">
        <v>6784</v>
      </c>
      <c r="C91" s="1708"/>
      <c r="D91" s="1708"/>
      <c r="E91" s="1708"/>
      <c r="F91" s="1708"/>
      <c r="G91" s="1709"/>
      <c r="H91" s="339"/>
      <c r="I91" s="691"/>
      <c r="J91" s="339"/>
      <c r="K91" s="339"/>
      <c r="L91" s="339"/>
      <c r="M91" s="339"/>
      <c r="N91" s="339"/>
      <c r="O91" s="339"/>
      <c r="P91" s="339"/>
      <c r="Q91" s="339"/>
      <c r="R91" s="339"/>
      <c r="S91" s="339"/>
      <c r="T91" s="339"/>
      <c r="U91" s="339"/>
      <c r="V91" s="339"/>
      <c r="W91" s="339"/>
      <c r="X91" s="339"/>
      <c r="Y91" s="339"/>
      <c r="Z91" s="339"/>
      <c r="AA91" s="339"/>
      <c r="AB91" s="339"/>
      <c r="AC91" s="339"/>
      <c r="AD91" s="339"/>
      <c r="AE91" s="339"/>
      <c r="AF91" s="339"/>
      <c r="AG91" s="339"/>
      <c r="AH91" s="339"/>
      <c r="AI91" s="339"/>
      <c r="AJ91" s="339"/>
      <c r="AK91" s="339"/>
      <c r="AL91" s="339"/>
      <c r="AM91" s="339"/>
      <c r="AN91" s="339"/>
      <c r="AO91" s="339"/>
      <c r="AP91" s="339"/>
      <c r="AQ91" s="339"/>
      <c r="AR91" s="339"/>
      <c r="AS91" s="339"/>
      <c r="AT91" s="339"/>
      <c r="AU91" s="339"/>
      <c r="AV91" s="339"/>
      <c r="AW91" s="339"/>
      <c r="AX91" s="339"/>
      <c r="AY91" s="339"/>
      <c r="AZ91" s="339"/>
      <c r="BA91" s="339"/>
      <c r="BB91" s="339"/>
      <c r="BC91" s="339"/>
      <c r="BD91" s="339"/>
      <c r="BE91" s="339"/>
      <c r="BF91" s="339"/>
    </row>
    <row r="92" spans="1:58" s="229" customFormat="1" ht="23.25" customHeight="1">
      <c r="A92" s="433"/>
      <c r="B92" s="592" t="s">
        <v>6770</v>
      </c>
      <c r="C92" s="600" t="s">
        <v>7028</v>
      </c>
      <c r="D92" s="544" t="s">
        <v>6785</v>
      </c>
      <c r="E92" s="599">
        <v>10000</v>
      </c>
      <c r="F92" s="544" t="s">
        <v>6786</v>
      </c>
      <c r="G92" s="603">
        <f>E92/1000</f>
        <v>10</v>
      </c>
      <c r="H92" s="339"/>
      <c r="I92" s="688"/>
      <c r="K92" s="339"/>
      <c r="L92" s="339"/>
      <c r="M92" s="339"/>
      <c r="N92" s="339"/>
      <c r="O92" s="339"/>
      <c r="P92" s="339"/>
      <c r="Q92" s="339"/>
      <c r="R92" s="339"/>
      <c r="S92" s="339"/>
      <c r="T92" s="339"/>
      <c r="U92" s="339"/>
      <c r="V92" s="339"/>
      <c r="W92" s="339"/>
      <c r="X92" s="339"/>
      <c r="Y92" s="339"/>
      <c r="Z92" s="339"/>
      <c r="AA92" s="339"/>
      <c r="AB92" s="339"/>
      <c r="AC92" s="339"/>
      <c r="AD92" s="339"/>
      <c r="AE92" s="339"/>
      <c r="AF92" s="339"/>
      <c r="AG92" s="339"/>
      <c r="AH92" s="339"/>
      <c r="AI92" s="339"/>
      <c r="AJ92" s="339"/>
      <c r="AK92" s="339"/>
      <c r="AL92" s="339"/>
      <c r="AM92" s="339"/>
      <c r="AN92" s="339"/>
      <c r="AO92" s="339"/>
      <c r="AP92" s="339"/>
      <c r="AQ92" s="339"/>
      <c r="AR92" s="339"/>
      <c r="AS92" s="339"/>
      <c r="AT92" s="339"/>
      <c r="AU92" s="339"/>
      <c r="AV92" s="339"/>
      <c r="AW92" s="339"/>
      <c r="AX92" s="339"/>
      <c r="AY92" s="339"/>
      <c r="AZ92" s="339"/>
      <c r="BA92" s="339"/>
      <c r="BB92" s="339"/>
      <c r="BC92" s="339"/>
      <c r="BD92" s="339"/>
      <c r="BE92" s="339"/>
      <c r="BF92" s="339"/>
    </row>
    <row r="93" spans="1:58" s="294" customFormat="1" ht="15.75" customHeight="1">
      <c r="B93" s="714"/>
      <c r="C93" s="229"/>
      <c r="D93" s="229"/>
      <c r="E93" s="688" t="s">
        <v>6787</v>
      </c>
      <c r="F93" s="229"/>
      <c r="G93" s="715"/>
      <c r="I93" s="688"/>
    </row>
    <row r="94" spans="1:58" s="229" customFormat="1" ht="15.75">
      <c r="A94" s="433"/>
      <c r="B94" s="1707" t="s">
        <v>6788</v>
      </c>
      <c r="C94" s="1708"/>
      <c r="D94" s="1708"/>
      <c r="E94" s="1708"/>
      <c r="F94" s="1708"/>
      <c r="G94" s="1709"/>
      <c r="H94" s="339"/>
      <c r="I94" s="691"/>
      <c r="J94" s="339"/>
      <c r="K94" s="339"/>
      <c r="L94" s="339"/>
      <c r="M94" s="339"/>
      <c r="N94" s="339"/>
      <c r="O94" s="339"/>
      <c r="P94" s="339"/>
      <c r="Q94" s="339"/>
      <c r="R94" s="339"/>
      <c r="S94" s="339"/>
      <c r="T94" s="339"/>
      <c r="U94" s="339"/>
      <c r="V94" s="339"/>
      <c r="W94" s="339"/>
      <c r="X94" s="339"/>
      <c r="Y94" s="339"/>
      <c r="Z94" s="339"/>
      <c r="AA94" s="339"/>
      <c r="AB94" s="339"/>
      <c r="AC94" s="339"/>
      <c r="AD94" s="339"/>
      <c r="AE94" s="339"/>
      <c r="AF94" s="339"/>
      <c r="AG94" s="339"/>
      <c r="AH94" s="339"/>
      <c r="AI94" s="339"/>
      <c r="AJ94" s="339"/>
      <c r="AK94" s="339"/>
      <c r="AL94" s="339"/>
      <c r="AM94" s="339"/>
      <c r="AN94" s="339"/>
      <c r="AO94" s="339"/>
      <c r="AP94" s="339"/>
      <c r="AQ94" s="339"/>
      <c r="AR94" s="339"/>
      <c r="AS94" s="339"/>
      <c r="AT94" s="339"/>
      <c r="AU94" s="339"/>
      <c r="AV94" s="339"/>
      <c r="AW94" s="339"/>
      <c r="AX94" s="339"/>
      <c r="AY94" s="339"/>
      <c r="AZ94" s="339"/>
      <c r="BA94" s="339"/>
      <c r="BB94" s="339"/>
      <c r="BC94" s="339"/>
      <c r="BD94" s="339"/>
      <c r="BE94" s="339"/>
      <c r="BF94" s="339"/>
    </row>
    <row r="95" spans="1:58" s="229" customFormat="1" ht="23.25" customHeight="1">
      <c r="A95" s="433"/>
      <c r="B95" s="592" t="s">
        <v>3066</v>
      </c>
      <c r="C95" s="600" t="s">
        <v>3076</v>
      </c>
      <c r="D95" s="544" t="s">
        <v>3069</v>
      </c>
      <c r="E95" s="728">
        <v>985</v>
      </c>
      <c r="F95" s="544" t="str">
        <f>F92</f>
        <v>PESO (T)</v>
      </c>
      <c r="G95" s="597">
        <f>G92</f>
        <v>10</v>
      </c>
      <c r="H95" s="339"/>
      <c r="I95" s="688"/>
      <c r="K95" s="339"/>
      <c r="L95" s="339"/>
      <c r="M95" s="339"/>
      <c r="N95" s="339"/>
      <c r="O95" s="339"/>
      <c r="P95" s="339"/>
      <c r="Q95" s="339"/>
      <c r="R95" s="339"/>
      <c r="S95" s="339"/>
      <c r="T95" s="339"/>
      <c r="U95" s="339"/>
      <c r="V95" s="339"/>
      <c r="W95" s="339"/>
      <c r="X95" s="339"/>
      <c r="Y95" s="339"/>
      <c r="Z95" s="339"/>
      <c r="AA95" s="339"/>
      <c r="AB95" s="339"/>
      <c r="AC95" s="339"/>
      <c r="AD95" s="339"/>
      <c r="AE95" s="339"/>
      <c r="AF95" s="339"/>
      <c r="AG95" s="339"/>
      <c r="AH95" s="339"/>
      <c r="AI95" s="339"/>
      <c r="AJ95" s="339"/>
      <c r="AK95" s="339"/>
      <c r="AL95" s="339"/>
      <c r="AM95" s="339"/>
      <c r="AN95" s="339"/>
      <c r="AO95" s="339"/>
      <c r="AP95" s="339"/>
      <c r="AQ95" s="339"/>
      <c r="AR95" s="339"/>
      <c r="AS95" s="339"/>
      <c r="AT95" s="339"/>
      <c r="AU95" s="339"/>
      <c r="AV95" s="339"/>
      <c r="AW95" s="339"/>
      <c r="AX95" s="339"/>
      <c r="AY95" s="339"/>
      <c r="AZ95" s="339"/>
      <c r="BA95" s="339"/>
      <c r="BB95" s="339"/>
      <c r="BC95" s="339"/>
      <c r="BD95" s="339"/>
      <c r="BE95" s="339"/>
      <c r="BF95" s="339"/>
    </row>
    <row r="96" spans="1:58" s="228" customFormat="1" ht="23.25" customHeight="1">
      <c r="B96" s="592" t="s">
        <v>3067</v>
      </c>
      <c r="C96" s="601" t="s">
        <v>7029</v>
      </c>
      <c r="D96" s="544" t="s">
        <v>3068</v>
      </c>
      <c r="E96" s="729">
        <v>1</v>
      </c>
      <c r="F96" s="544" t="str">
        <f>D87</f>
        <v>TXKM</v>
      </c>
      <c r="G96" s="1034">
        <f>E95*G95</f>
        <v>9850</v>
      </c>
      <c r="I96" s="319"/>
    </row>
    <row r="97" spans="1:8" customFormat="1" ht="16.5" customHeight="1" thickBot="1">
      <c r="A97" s="228"/>
      <c r="B97" s="752"/>
      <c r="C97" s="753"/>
      <c r="D97" s="753"/>
      <c r="E97" s="753"/>
      <c r="F97" s="753"/>
      <c r="G97" s="754"/>
      <c r="H97" s="228"/>
    </row>
    <row r="98" spans="1:8" customFormat="1" ht="33" customHeight="1">
      <c r="A98" s="433" t="s">
        <v>6776</v>
      </c>
      <c r="B98" s="333" t="str">
        <f>IF(COUNT($H$13:H98)&lt;10,CONCATENATE("AMM SAA 00",COUNT($H$13:H98)),CONCATENATE("AMM SAA 0",COUNT($H$13:H98)))</f>
        <v>AMM SAA 008</v>
      </c>
      <c r="C98" s="1673" t="s">
        <v>7055</v>
      </c>
      <c r="D98" s="1673"/>
      <c r="E98" s="1673"/>
      <c r="F98" s="1673"/>
      <c r="G98" s="357" t="s">
        <v>6798</v>
      </c>
      <c r="H98" s="348">
        <f>G120</f>
        <v>37753.47</v>
      </c>
    </row>
    <row r="99" spans="1:8" customFormat="1" ht="31.5">
      <c r="A99" s="433"/>
      <c r="B99" s="538" t="s">
        <v>206</v>
      </c>
      <c r="C99" s="543" t="s">
        <v>184</v>
      </c>
      <c r="D99" s="543" t="s">
        <v>23</v>
      </c>
      <c r="E99" s="543" t="s">
        <v>185</v>
      </c>
      <c r="F99" s="544" t="s">
        <v>186</v>
      </c>
      <c r="G99" s="1129" t="s">
        <v>187</v>
      </c>
      <c r="H99" s="229"/>
    </row>
    <row r="100" spans="1:8" customFormat="1" ht="15.75">
      <c r="A100" s="433"/>
      <c r="B100" s="1697" t="s">
        <v>7032</v>
      </c>
      <c r="C100" s="1698"/>
      <c r="D100" s="1698"/>
      <c r="E100" s="1698"/>
      <c r="F100" s="1698"/>
      <c r="G100" s="1699"/>
      <c r="H100" s="229"/>
    </row>
    <row r="101" spans="1:8" s="763" customFormat="1" ht="15.75">
      <c r="A101" s="555" t="s">
        <v>452</v>
      </c>
      <c r="B101" s="611" t="str">
        <f>B122</f>
        <v>COTAÇÃO 003</v>
      </c>
      <c r="C101" s="574" t="str">
        <f>C122</f>
        <v>CURVA 90° PVC DEFOFO, PONTA E BOLSA, DN 150MM</v>
      </c>
      <c r="D101" s="612" t="str">
        <f>G122</f>
        <v>UN</v>
      </c>
      <c r="E101" s="828">
        <v>1</v>
      </c>
      <c r="F101" s="575">
        <f>D127</f>
        <v>324.5</v>
      </c>
      <c r="G101" s="734">
        <f t="shared" ref="G101:G107" si="4">TRUNC(E101*F101,2)</f>
        <v>324.5</v>
      </c>
      <c r="H101" s="743"/>
    </row>
    <row r="102" spans="1:8" s="763" customFormat="1" ht="18" customHeight="1">
      <c r="A102" s="555" t="s">
        <v>452</v>
      </c>
      <c r="B102" s="611" t="str">
        <f>B129</f>
        <v>COTAÇÃO 004</v>
      </c>
      <c r="C102" s="574" t="str">
        <f>C129</f>
        <v>LUVA DE CORRER PVC DEFOFO, DN 150MM</v>
      </c>
      <c r="D102" s="612" t="str">
        <f>G129</f>
        <v>UN</v>
      </c>
      <c r="E102" s="828">
        <v>1</v>
      </c>
      <c r="F102" s="575">
        <f>D134</f>
        <v>180</v>
      </c>
      <c r="G102" s="734">
        <f t="shared" si="4"/>
        <v>180</v>
      </c>
      <c r="H102" s="743"/>
    </row>
    <row r="103" spans="1:8" s="582" customFormat="1" ht="15.75">
      <c r="A103" s="433" t="s">
        <v>452</v>
      </c>
      <c r="B103" s="611" t="str">
        <f>B136</f>
        <v>COTAÇÃO 005</v>
      </c>
      <c r="C103" s="574" t="str">
        <f>C136</f>
        <v>EXTREMIDADE PVC DEFOFO PONTA E FLANGE, DN 150MM</v>
      </c>
      <c r="D103" s="612" t="str">
        <f>G136</f>
        <v>UN</v>
      </c>
      <c r="E103" s="828">
        <v>1</v>
      </c>
      <c r="F103" s="575">
        <f>D141</f>
        <v>495.6</v>
      </c>
      <c r="G103" s="734">
        <f t="shared" si="4"/>
        <v>495.6</v>
      </c>
      <c r="H103" s="229"/>
    </row>
    <row r="104" spans="1:8" s="582" customFormat="1" ht="15.75">
      <c r="A104" s="433" t="s">
        <v>452</v>
      </c>
      <c r="B104" s="611" t="str">
        <f>B143</f>
        <v>COTAÇÃO 006</v>
      </c>
      <c r="C104" s="574" t="str">
        <f>C143</f>
        <v>CURVA 45° FERRO FUNDIDO COM FLANGES, PN-10, DN 150MM</v>
      </c>
      <c r="D104" s="612" t="str">
        <f>G143</f>
        <v>UN</v>
      </c>
      <c r="E104" s="828">
        <v>4</v>
      </c>
      <c r="F104" s="575">
        <f>D148</f>
        <v>771.8</v>
      </c>
      <c r="G104" s="734">
        <f t="shared" si="4"/>
        <v>3087.2</v>
      </c>
      <c r="H104" s="229"/>
    </row>
    <row r="105" spans="1:8" s="582" customFormat="1" ht="15.75">
      <c r="A105" s="433" t="s">
        <v>452</v>
      </c>
      <c r="B105" s="611" t="str">
        <f>B150</f>
        <v>COTAÇÃO 007</v>
      </c>
      <c r="C105" s="574" t="str">
        <f>C150</f>
        <v>TUBO FERRO FUNDIDO COM FLANGES, PN-10, L = 1,48M, DN 150MM</v>
      </c>
      <c r="D105" s="612" t="str">
        <f>G150</f>
        <v>UN</v>
      </c>
      <c r="E105" s="828">
        <v>1</v>
      </c>
      <c r="F105" s="575">
        <f>D155</f>
        <v>1589.68</v>
      </c>
      <c r="G105" s="734">
        <f t="shared" si="4"/>
        <v>1589.68</v>
      </c>
      <c r="H105" s="229"/>
    </row>
    <row r="106" spans="1:8" s="582" customFormat="1" ht="15.75">
      <c r="A106" s="433" t="s">
        <v>452</v>
      </c>
      <c r="B106" s="611" t="str">
        <f>B157</f>
        <v>COTAÇÃO 008</v>
      </c>
      <c r="C106" s="574" t="str">
        <f>C157</f>
        <v>TUBO FERRO FUNDIDO COM FLANGES, PN-10, L = 1,40M, DN 150MM</v>
      </c>
      <c r="D106" s="612" t="str">
        <f>G157</f>
        <v>UN</v>
      </c>
      <c r="E106" s="828">
        <v>1</v>
      </c>
      <c r="F106" s="575">
        <f>D162</f>
        <v>1548.4</v>
      </c>
      <c r="G106" s="734">
        <f t="shared" si="4"/>
        <v>1548.4</v>
      </c>
      <c r="H106" s="229"/>
    </row>
    <row r="107" spans="1:8" s="582" customFormat="1" ht="15.75">
      <c r="A107" s="433" t="s">
        <v>452</v>
      </c>
      <c r="B107" s="611" t="str">
        <f>B164</f>
        <v>COTAÇÃO 009</v>
      </c>
      <c r="C107" s="574" t="str">
        <f>C164</f>
        <v>CURVA 90° FERRO FUNDIDO COM FLANGES E PÉ, PN-10, DN 150MM</v>
      </c>
      <c r="D107" s="612" t="str">
        <f>G164</f>
        <v>UN</v>
      </c>
      <c r="E107" s="828">
        <v>1</v>
      </c>
      <c r="F107" s="575">
        <f>D169</f>
        <v>1054</v>
      </c>
      <c r="G107" s="734">
        <f t="shared" si="4"/>
        <v>1054</v>
      </c>
      <c r="H107" s="229"/>
    </row>
    <row r="108" spans="1:8" s="582" customFormat="1" ht="15.75">
      <c r="A108" s="433" t="s">
        <v>452</v>
      </c>
      <c r="B108" s="611" t="str">
        <f>B171</f>
        <v>COTAÇÃO 010</v>
      </c>
      <c r="C108" s="574" t="str">
        <f>C171</f>
        <v>TUBO FERRO FUNDIDO COM FLANGES, PN-10, L = 0,92M, DN 150MM</v>
      </c>
      <c r="D108" s="612" t="str">
        <f>G171</f>
        <v>UN</v>
      </c>
      <c r="E108" s="828">
        <v>1</v>
      </c>
      <c r="F108" s="575">
        <f>D176</f>
        <v>1300.72</v>
      </c>
      <c r="G108" s="734">
        <f t="shared" ref="G108:G113" si="5">TRUNC(E108*F108,2)</f>
        <v>1300.72</v>
      </c>
      <c r="H108" s="229"/>
    </row>
    <row r="109" spans="1:8" s="582" customFormat="1" ht="30">
      <c r="A109" s="433" t="s">
        <v>452</v>
      </c>
      <c r="B109" s="611" t="str">
        <f>B178</f>
        <v>COTAÇÃO 011</v>
      </c>
      <c r="C109" s="574" t="str">
        <f>C178</f>
        <v>REGISTRO DE GAVETA FERRO FUNDIDO COM FLANGES,PN-10, DN 150MM</v>
      </c>
      <c r="D109" s="612" t="str">
        <f>G178</f>
        <v>UN</v>
      </c>
      <c r="E109" s="828">
        <v>1</v>
      </c>
      <c r="F109" s="575">
        <f>D183</f>
        <v>1760</v>
      </c>
      <c r="G109" s="734">
        <f t="shared" si="5"/>
        <v>1760</v>
      </c>
      <c r="H109" s="229"/>
    </row>
    <row r="110" spans="1:8" s="582" customFormat="1" ht="15.75">
      <c r="A110" s="433" t="s">
        <v>452</v>
      </c>
      <c r="B110" s="611" t="str">
        <f>B185</f>
        <v>COTAÇÃO 012</v>
      </c>
      <c r="C110" s="574" t="str">
        <f>C185</f>
        <v>TUBO FERRO FUNDIDO COM FLANGES, PN-10, L = 1,87M, DN 150MM</v>
      </c>
      <c r="D110" s="612" t="str">
        <f>G185</f>
        <v>UN</v>
      </c>
      <c r="E110" s="828">
        <v>1</v>
      </c>
      <c r="F110" s="575">
        <f>D190</f>
        <v>1799</v>
      </c>
      <c r="G110" s="734">
        <f t="shared" si="5"/>
        <v>1799</v>
      </c>
      <c r="H110" s="229"/>
    </row>
    <row r="111" spans="1:8" s="582" customFormat="1" ht="15.75">
      <c r="A111" s="433" t="s">
        <v>452</v>
      </c>
      <c r="B111" s="611" t="str">
        <f>B192</f>
        <v>COTAÇÃO 013</v>
      </c>
      <c r="C111" s="574" t="str">
        <f>C192</f>
        <v>TUBO FERRO FUNDIDO COM FLANGES, PN-10, L = 5,8M, DN 150MM</v>
      </c>
      <c r="D111" s="612" t="str">
        <f>G192</f>
        <v>UN</v>
      </c>
      <c r="E111" s="828">
        <v>4</v>
      </c>
      <c r="F111" s="575">
        <f>D197</f>
        <v>4896</v>
      </c>
      <c r="G111" s="734">
        <f t="shared" si="5"/>
        <v>19584</v>
      </c>
      <c r="H111" s="229"/>
    </row>
    <row r="112" spans="1:8" s="582" customFormat="1" ht="15.75">
      <c r="A112" s="433" t="s">
        <v>452</v>
      </c>
      <c r="B112" s="611" t="str">
        <f>B199</f>
        <v>COTAÇÃO 014</v>
      </c>
      <c r="C112" s="574" t="str">
        <f>C199</f>
        <v>CURVA 90° FERRO FUNDIDO COM FLANGES, PN-10, DN 150MM</v>
      </c>
      <c r="D112" s="612" t="str">
        <f>G199</f>
        <v>UN</v>
      </c>
      <c r="E112" s="828">
        <v>1</v>
      </c>
      <c r="F112" s="575">
        <f>D204</f>
        <v>772.4</v>
      </c>
      <c r="G112" s="734">
        <f t="shared" si="5"/>
        <v>772.4</v>
      </c>
      <c r="H112" s="229"/>
    </row>
    <row r="113" spans="1:9" s="582" customFormat="1" ht="15.75">
      <c r="A113" s="433" t="s">
        <v>452</v>
      </c>
      <c r="B113" s="611" t="str">
        <f>B206</f>
        <v>COTAÇÃO 015</v>
      </c>
      <c r="C113" s="574" t="str">
        <f>C206</f>
        <v>EXTREMIDADE FERRO FUNDIDO PONTA E FLANGE, PN-10, DN 150MM</v>
      </c>
      <c r="D113" s="612" t="str">
        <f>G206</f>
        <v>UN</v>
      </c>
      <c r="E113" s="828">
        <v>1</v>
      </c>
      <c r="F113" s="575">
        <f>D211</f>
        <v>640</v>
      </c>
      <c r="G113" s="734">
        <f t="shared" si="5"/>
        <v>640</v>
      </c>
      <c r="H113" s="229"/>
    </row>
    <row r="114" spans="1:9" s="582" customFormat="1" ht="15.75">
      <c r="A114" s="433" t="s">
        <v>452</v>
      </c>
      <c r="B114" s="611" t="str">
        <f>B213</f>
        <v>COTAÇÃO 016</v>
      </c>
      <c r="C114" s="574" t="str">
        <f>C213</f>
        <v>PARAFUSO/PORCA PARA FLANGE, DN 20MM</v>
      </c>
      <c r="D114" s="612" t="str">
        <f>G213</f>
        <v>UN</v>
      </c>
      <c r="E114" s="828">
        <v>136</v>
      </c>
      <c r="F114" s="575">
        <f>D218</f>
        <v>17.899999999999999</v>
      </c>
      <c r="G114" s="734">
        <f t="shared" ref="G114:G115" si="6">TRUNC(E114*F114,2)</f>
        <v>2434.4</v>
      </c>
      <c r="H114" s="229"/>
    </row>
    <row r="115" spans="1:9" s="763" customFormat="1" ht="15.75">
      <c r="A115" s="555" t="s">
        <v>452</v>
      </c>
      <c r="B115" s="611" t="str">
        <f>B220</f>
        <v>COTAÇÃO 017</v>
      </c>
      <c r="C115" s="574" t="str">
        <f>C220</f>
        <v>ARRUELA DE VEDAÇÃO PARA FLANGE, DN 150MM</v>
      </c>
      <c r="D115" s="612" t="str">
        <f>G220</f>
        <v>UN</v>
      </c>
      <c r="E115" s="828">
        <v>17</v>
      </c>
      <c r="F115" s="575">
        <f>D225</f>
        <v>7</v>
      </c>
      <c r="G115" s="734">
        <f t="shared" si="6"/>
        <v>119</v>
      </c>
      <c r="H115" s="743"/>
    </row>
    <row r="116" spans="1:9" ht="15.75">
      <c r="A116" s="433"/>
      <c r="B116" s="1704" t="s">
        <v>6797</v>
      </c>
      <c r="C116" s="1705"/>
      <c r="D116" s="1705"/>
      <c r="E116" s="1705"/>
      <c r="F116" s="1705"/>
      <c r="G116" s="1706"/>
      <c r="H116" s="229"/>
      <c r="I116"/>
    </row>
    <row r="117" spans="1:9" s="763" customFormat="1" ht="45">
      <c r="A117" s="555" t="s">
        <v>452</v>
      </c>
      <c r="B117" s="611">
        <v>103107</v>
      </c>
      <c r="C117" s="574" t="str">
        <f>IF($A117="INSUMO",VLOOKUP($B117,'BANCO DE DADOS JAN-23 INS'!$A:$D,2,FALSE),VLOOKUP($B117,'BANCO DE DADOS JAN-23 SERV'!$B:$E,2,FALSE))</f>
        <v>ASSENTAMENTO DE CONEXÃO COM 2 ACESSOS, FERRO FUNDIDO PARA REDE DE ÁGUA, DN  150 MM, JUNTA FLANGEADA (NÃO INCLUI O FORNECIMENTO). AF_09/2021</v>
      </c>
      <c r="D117" s="571" t="str">
        <f>IF($A117="INSUMO",VLOOKUP($B117,'BANCO DE DADOS JAN-23 INS'!$A:$D,3,FALSE),VLOOKUP($B117,'BANCO DE DADOS JAN-23 SERV'!$B:$E,3,FALSE))</f>
        <v>UN</v>
      </c>
      <c r="E117" s="828">
        <f>SUM(E104,E107,E109,E112,E113)</f>
        <v>8</v>
      </c>
      <c r="F117" s="575">
        <f>IF($A117="INSUMO",VLOOKUP($B117,'BANCO DE DADOS JAN-23 INS'!$A:$D,4,FALSE),VLOOKUP($B117,'BANCO DE DADOS JAN-23 SERV'!$B:$E,4,FALSE))</f>
        <v>70.98</v>
      </c>
      <c r="G117" s="734">
        <f t="shared" ref="G117:G119" si="7">TRUNC(E117*F117,2)</f>
        <v>567.84</v>
      </c>
      <c r="H117" s="743"/>
    </row>
    <row r="118" spans="1:9" s="763" customFormat="1" ht="45">
      <c r="A118" s="555" t="s">
        <v>452</v>
      </c>
      <c r="B118" s="611">
        <v>103091</v>
      </c>
      <c r="C118" s="574" t="str">
        <f>IF($A118="INSUMO",VLOOKUP($B118,'BANCO DE DADOS JAN-23 INS'!$A:$D,2,FALSE),VLOOKUP($B118,'BANCO DE DADOS JAN-23 SERV'!$B:$E,2,FALSE))</f>
        <v>ASSENTAMENTO DE TUBO DE FERRO FUNDIDO PARA REDE DE ÁGUA, DN 150 MM, JUNTA FLANGEADA (NÃO INCLUI O FORNECIMENTO). AF_09/2021</v>
      </c>
      <c r="D118" s="571" t="str">
        <f>IF($A118="INSUMO",VLOOKUP($B118,'BANCO DE DADOS JAN-23 INS'!$A:$D,3,FALSE),VLOOKUP($B118,'BANCO DE DADOS JAN-23 SERV'!$B:$E,3,FALSE))</f>
        <v>M</v>
      </c>
      <c r="E118" s="828">
        <f>1.48+1.4+0.92+1.87+(4*5.8)</f>
        <v>28.869999999999997</v>
      </c>
      <c r="F118" s="575">
        <f>IF($A118="INSUMO",VLOOKUP($B118,'BANCO DE DADOS JAN-23 INS'!$A:$D,4,FALSE),VLOOKUP($B118,'BANCO DE DADOS JAN-23 SERV'!$B:$E,4,FALSE))</f>
        <v>16.73</v>
      </c>
      <c r="G118" s="734">
        <f t="shared" si="7"/>
        <v>482.99</v>
      </c>
      <c r="H118" s="743"/>
    </row>
    <row r="119" spans="1:9" s="763" customFormat="1" ht="30.75" thickBot="1">
      <c r="A119" s="555" t="s">
        <v>452</v>
      </c>
      <c r="B119" s="766" t="str">
        <f>B227</f>
        <v>AMM SAA 009</v>
      </c>
      <c r="C119" s="493" t="str">
        <f>C227</f>
        <v>ASSENTAMENTO DE CONEXÕES DE PVC DEFOFO, JUNTA ELÁSTICA, DIAM.= 150 MM</v>
      </c>
      <c r="D119" s="764" t="str">
        <f>G227</f>
        <v xml:space="preserve">UN </v>
      </c>
      <c r="E119" s="831">
        <f>SUM(E101,E102,E103)</f>
        <v>3</v>
      </c>
      <c r="F119" s="765">
        <f>G235</f>
        <v>4.58</v>
      </c>
      <c r="G119" s="742">
        <f t="shared" si="7"/>
        <v>13.74</v>
      </c>
      <c r="H119" s="743"/>
    </row>
    <row r="120" spans="1:9" s="582" customFormat="1" ht="25.5" customHeight="1" thickBot="1">
      <c r="A120" s="433"/>
      <c r="B120" s="1691" t="s">
        <v>6858</v>
      </c>
      <c r="C120" s="1691"/>
      <c r="D120" s="1691"/>
      <c r="E120" s="1691"/>
      <c r="F120" s="332" t="s">
        <v>192</v>
      </c>
      <c r="G120" s="434">
        <f>TRUNC(SUM(G101:G119),2)</f>
        <v>37753.47</v>
      </c>
      <c r="H120" s="229"/>
    </row>
    <row r="121" spans="1:9" s="294" customFormat="1" ht="15.75" customHeight="1" thickBot="1">
      <c r="B121" s="714"/>
      <c r="C121" s="229"/>
      <c r="D121" s="229"/>
      <c r="E121" s="229"/>
      <c r="F121" s="229"/>
      <c r="G121" s="715"/>
      <c r="I121" s="688"/>
    </row>
    <row r="122" spans="1:9" ht="15.75">
      <c r="A122" s="716"/>
      <c r="B122" s="422" t="s">
        <v>7227</v>
      </c>
      <c r="C122" s="689" t="s">
        <v>7040</v>
      </c>
      <c r="D122" s="423"/>
      <c r="E122" s="424"/>
      <c r="F122" s="421"/>
      <c r="G122" s="358" t="s">
        <v>23</v>
      </c>
      <c r="H122" s="605"/>
      <c r="I122" s="319"/>
    </row>
    <row r="123" spans="1:9" ht="31.5">
      <c r="A123" s="294"/>
      <c r="B123" s="542" t="s">
        <v>195</v>
      </c>
      <c r="C123" s="543" t="s">
        <v>196</v>
      </c>
      <c r="D123" s="544" t="s">
        <v>197</v>
      </c>
      <c r="E123" s="545" t="s">
        <v>198</v>
      </c>
      <c r="F123" s="557" t="s">
        <v>199</v>
      </c>
      <c r="G123" s="547" t="s">
        <v>200</v>
      </c>
      <c r="H123" s="224"/>
      <c r="I123" s="319"/>
    </row>
    <row r="124" spans="1:9" s="1476" customFormat="1" ht="15.75">
      <c r="A124" s="1469"/>
      <c r="B124" s="1470">
        <v>45015</v>
      </c>
      <c r="C124" s="1471" t="s">
        <v>13981</v>
      </c>
      <c r="D124" s="1472">
        <v>605</v>
      </c>
      <c r="E124" s="1483" t="s">
        <v>13982</v>
      </c>
      <c r="F124" s="681" t="s">
        <v>13983</v>
      </c>
      <c r="G124" s="1473" t="s">
        <v>7058</v>
      </c>
      <c r="H124" s="1474"/>
      <c r="I124" s="1475">
        <f>B124+180</f>
        <v>45195</v>
      </c>
    </row>
    <row r="125" spans="1:9" s="1484" customFormat="1" ht="15.75">
      <c r="A125" s="1469"/>
      <c r="B125" s="1470">
        <v>45016</v>
      </c>
      <c r="C125" s="1471" t="s">
        <v>7095</v>
      </c>
      <c r="D125" s="1472">
        <v>306</v>
      </c>
      <c r="E125" s="1483" t="s">
        <v>13985</v>
      </c>
      <c r="F125" s="681" t="s">
        <v>13986</v>
      </c>
      <c r="G125" s="1473" t="s">
        <v>7096</v>
      </c>
      <c r="H125" s="1474"/>
      <c r="I125" s="1475">
        <f>B125+180</f>
        <v>45196</v>
      </c>
    </row>
    <row r="126" spans="1:9" ht="15.75">
      <c r="A126" s="294"/>
      <c r="B126" s="556">
        <v>44757</v>
      </c>
      <c r="C126" s="606" t="s">
        <v>7199</v>
      </c>
      <c r="D126" s="1122">
        <v>324.5</v>
      </c>
      <c r="E126" s="561" t="s">
        <v>7201</v>
      </c>
      <c r="F126" s="681" t="s">
        <v>7202</v>
      </c>
      <c r="G126" s="1124" t="s">
        <v>7200</v>
      </c>
      <c r="H126" s="224"/>
      <c r="I126" s="1496">
        <f>B126+180</f>
        <v>44937</v>
      </c>
    </row>
    <row r="127" spans="1:9" ht="16.5" thickBot="1">
      <c r="A127" s="294"/>
      <c r="B127" s="485"/>
      <c r="C127" s="549" t="s">
        <v>6778</v>
      </c>
      <c r="D127" s="718">
        <f>MEDIAN(D124:D126)</f>
        <v>324.5</v>
      </c>
      <c r="E127" s="551"/>
      <c r="F127" s="552"/>
      <c r="G127" s="553"/>
      <c r="H127" s="224"/>
      <c r="I127" s="717"/>
    </row>
    <row r="128" spans="1:9" s="294" customFormat="1" ht="15.75" customHeight="1" thickBot="1">
      <c r="B128" s="714"/>
      <c r="C128" s="229"/>
      <c r="D128" s="229"/>
      <c r="E128" s="229"/>
      <c r="F128" s="229"/>
      <c r="G128" s="715"/>
      <c r="I128" s="688"/>
    </row>
    <row r="129" spans="1:9" ht="15.75">
      <c r="A129" s="716"/>
      <c r="B129" s="422" t="s">
        <v>7228</v>
      </c>
      <c r="C129" s="689" t="s">
        <v>7041</v>
      </c>
      <c r="D129" s="423"/>
      <c r="E129" s="424"/>
      <c r="F129" s="421"/>
      <c r="G129" s="358" t="s">
        <v>23</v>
      </c>
      <c r="H129" s="605"/>
      <c r="I129" s="319"/>
    </row>
    <row r="130" spans="1:9" ht="31.5">
      <c r="A130" s="294"/>
      <c r="B130" s="542" t="s">
        <v>195</v>
      </c>
      <c r="C130" s="543" t="s">
        <v>196</v>
      </c>
      <c r="D130" s="544" t="s">
        <v>197</v>
      </c>
      <c r="E130" s="545" t="s">
        <v>198</v>
      </c>
      <c r="F130" s="557" t="s">
        <v>199</v>
      </c>
      <c r="G130" s="547" t="s">
        <v>200</v>
      </c>
      <c r="H130" s="224"/>
      <c r="I130" s="319"/>
    </row>
    <row r="131" spans="1:9" s="1476" customFormat="1" ht="15.75">
      <c r="A131" s="1469"/>
      <c r="B131" s="1470">
        <v>45015</v>
      </c>
      <c r="C131" s="1471" t="s">
        <v>13981</v>
      </c>
      <c r="D131" s="1472">
        <v>180</v>
      </c>
      <c r="E131" s="1483" t="s">
        <v>13982</v>
      </c>
      <c r="F131" s="681" t="s">
        <v>13983</v>
      </c>
      <c r="G131" s="1473" t="s">
        <v>7058</v>
      </c>
      <c r="H131" s="1474"/>
      <c r="I131" s="1475">
        <f>B131+180</f>
        <v>45195</v>
      </c>
    </row>
    <row r="132" spans="1:9" s="1484" customFormat="1" ht="15.75">
      <c r="A132" s="1469"/>
      <c r="B132" s="1470">
        <v>45016</v>
      </c>
      <c r="C132" s="1471" t="s">
        <v>7095</v>
      </c>
      <c r="D132" s="1472">
        <v>85</v>
      </c>
      <c r="E132" s="1483" t="s">
        <v>13985</v>
      </c>
      <c r="F132" s="681" t="s">
        <v>13986</v>
      </c>
      <c r="G132" s="1473" t="s">
        <v>7096</v>
      </c>
      <c r="H132" s="1474"/>
      <c r="I132" s="1475">
        <f>B132+180</f>
        <v>45196</v>
      </c>
    </row>
    <row r="133" spans="1:9" s="1476" customFormat="1" ht="15.75">
      <c r="A133" s="1469"/>
      <c r="B133" s="1470">
        <v>44918</v>
      </c>
      <c r="C133" s="1471" t="s">
        <v>7152</v>
      </c>
      <c r="D133" s="1472">
        <v>320</v>
      </c>
      <c r="E133" s="1483" t="s">
        <v>7155</v>
      </c>
      <c r="F133" s="681" t="s">
        <v>7154</v>
      </c>
      <c r="G133" s="1473" t="s">
        <v>7153</v>
      </c>
      <c r="H133" s="1474"/>
      <c r="I133" s="1497">
        <f>B133+180</f>
        <v>45098</v>
      </c>
    </row>
    <row r="134" spans="1:9" ht="16.5" thickBot="1">
      <c r="A134" s="294"/>
      <c r="B134" s="485"/>
      <c r="C134" s="549" t="s">
        <v>6778</v>
      </c>
      <c r="D134" s="718">
        <f>MEDIAN(D131:D133)</f>
        <v>180</v>
      </c>
      <c r="E134" s="551"/>
      <c r="F134" s="552"/>
      <c r="G134" s="553"/>
      <c r="H134" s="224"/>
      <c r="I134" s="717"/>
    </row>
    <row r="135" spans="1:9" s="294" customFormat="1" ht="15.75" customHeight="1" thickBot="1">
      <c r="B135" s="714"/>
      <c r="C135" s="229"/>
      <c r="D135" s="229"/>
      <c r="E135" s="229"/>
      <c r="F135" s="229"/>
      <c r="G135" s="715"/>
      <c r="I135" s="688"/>
    </row>
    <row r="136" spans="1:9" ht="15.75">
      <c r="A136" s="716"/>
      <c r="B136" s="422" t="s">
        <v>7229</v>
      </c>
      <c r="C136" s="689" t="s">
        <v>7042</v>
      </c>
      <c r="D136" s="423"/>
      <c r="E136" s="424"/>
      <c r="F136" s="421"/>
      <c r="G136" s="358" t="s">
        <v>23</v>
      </c>
      <c r="H136" s="605"/>
      <c r="I136" s="319"/>
    </row>
    <row r="137" spans="1:9" ht="31.5">
      <c r="A137" s="294"/>
      <c r="B137" s="542" t="s">
        <v>195</v>
      </c>
      <c r="C137" s="543" t="s">
        <v>196</v>
      </c>
      <c r="D137" s="544" t="s">
        <v>197</v>
      </c>
      <c r="E137" s="545" t="s">
        <v>198</v>
      </c>
      <c r="F137" s="557" t="s">
        <v>199</v>
      </c>
      <c r="G137" s="547" t="s">
        <v>200</v>
      </c>
      <c r="H137" s="224"/>
      <c r="I137" s="319"/>
    </row>
    <row r="138" spans="1:9" s="1476" customFormat="1" ht="15.75">
      <c r="A138" s="1469"/>
      <c r="B138" s="1470">
        <v>45015</v>
      </c>
      <c r="C138" s="1471" t="s">
        <v>13981</v>
      </c>
      <c r="D138" s="1472">
        <v>495.6</v>
      </c>
      <c r="E138" s="1483" t="s">
        <v>13982</v>
      </c>
      <c r="F138" s="681" t="s">
        <v>13983</v>
      </c>
      <c r="G138" s="1473" t="s">
        <v>7058</v>
      </c>
      <c r="H138" s="1474"/>
      <c r="I138" s="1475">
        <f>B138+180</f>
        <v>45195</v>
      </c>
    </row>
    <row r="139" spans="1:9" s="1484" customFormat="1" ht="15.75">
      <c r="A139" s="1469"/>
      <c r="B139" s="1470">
        <v>45016</v>
      </c>
      <c r="C139" s="1471" t="s">
        <v>7095</v>
      </c>
      <c r="D139" s="1472">
        <v>612</v>
      </c>
      <c r="E139" s="1483" t="s">
        <v>13985</v>
      </c>
      <c r="F139" s="681" t="s">
        <v>13986</v>
      </c>
      <c r="G139" s="1473" t="s">
        <v>7096</v>
      </c>
      <c r="H139" s="1474"/>
      <c r="I139" s="1475">
        <f>B139+180</f>
        <v>45196</v>
      </c>
    </row>
    <row r="140" spans="1:9" s="1476" customFormat="1" ht="15.75">
      <c r="A140" s="1469"/>
      <c r="B140" s="1470">
        <v>44918</v>
      </c>
      <c r="C140" s="1471" t="s">
        <v>7152</v>
      </c>
      <c r="D140" s="1472">
        <v>320</v>
      </c>
      <c r="E140" s="1483" t="s">
        <v>7155</v>
      </c>
      <c r="F140" s="681" t="s">
        <v>7154</v>
      </c>
      <c r="G140" s="1473" t="s">
        <v>7153</v>
      </c>
      <c r="H140" s="1474"/>
      <c r="I140" s="1497">
        <f>B140+180</f>
        <v>45098</v>
      </c>
    </row>
    <row r="141" spans="1:9" ht="16.5" thickBot="1">
      <c r="A141" s="294"/>
      <c r="B141" s="485"/>
      <c r="C141" s="549" t="s">
        <v>6778</v>
      </c>
      <c r="D141" s="718">
        <f>MEDIAN(D138:D140)</f>
        <v>495.6</v>
      </c>
      <c r="E141" s="551"/>
      <c r="F141" s="552"/>
      <c r="G141" s="553"/>
      <c r="H141" s="224"/>
      <c r="I141" s="717"/>
    </row>
    <row r="142" spans="1:9" s="294" customFormat="1" ht="15.75" customHeight="1" thickBot="1">
      <c r="B142" s="714"/>
      <c r="C142" s="229"/>
      <c r="D142" s="229"/>
      <c r="E142" s="229"/>
      <c r="F142" s="229"/>
      <c r="G142" s="715"/>
      <c r="I142" s="688"/>
    </row>
    <row r="143" spans="1:9" ht="36.75" customHeight="1">
      <c r="A143" s="716"/>
      <c r="B143" s="422" t="s">
        <v>7230</v>
      </c>
      <c r="C143" s="689" t="s">
        <v>7043</v>
      </c>
      <c r="D143" s="423"/>
      <c r="E143" s="424"/>
      <c r="F143" s="421"/>
      <c r="G143" s="358" t="s">
        <v>23</v>
      </c>
      <c r="H143" s="605"/>
      <c r="I143" s="319"/>
    </row>
    <row r="144" spans="1:9" ht="31.5">
      <c r="A144" s="294"/>
      <c r="B144" s="542" t="s">
        <v>195</v>
      </c>
      <c r="C144" s="543" t="s">
        <v>196</v>
      </c>
      <c r="D144" s="544" t="s">
        <v>197</v>
      </c>
      <c r="E144" s="545" t="s">
        <v>198</v>
      </c>
      <c r="F144" s="557" t="s">
        <v>199</v>
      </c>
      <c r="G144" s="547" t="s">
        <v>200</v>
      </c>
      <c r="H144" s="224"/>
      <c r="I144" s="319"/>
    </row>
    <row r="145" spans="1:9" s="1476" customFormat="1" ht="15.75">
      <c r="A145" s="1469"/>
      <c r="B145" s="1470">
        <v>45014</v>
      </c>
      <c r="C145" s="1471" t="s">
        <v>7097</v>
      </c>
      <c r="D145" s="1472">
        <v>700</v>
      </c>
      <c r="E145" s="1440" t="s">
        <v>7098</v>
      </c>
      <c r="F145" s="681" t="s">
        <v>7099</v>
      </c>
      <c r="G145" s="1473" t="s">
        <v>7100</v>
      </c>
      <c r="H145" s="1474"/>
      <c r="I145" s="1475">
        <f>B145+180</f>
        <v>45194</v>
      </c>
    </row>
    <row r="146" spans="1:9" s="1484" customFormat="1" ht="15.75">
      <c r="A146" s="1469"/>
      <c r="B146" s="1470">
        <v>45015</v>
      </c>
      <c r="C146" s="1471" t="s">
        <v>13981</v>
      </c>
      <c r="D146" s="1472">
        <v>796.11</v>
      </c>
      <c r="E146" s="1483" t="s">
        <v>13982</v>
      </c>
      <c r="F146" s="681" t="s">
        <v>13983</v>
      </c>
      <c r="G146" s="1473" t="s">
        <v>7058</v>
      </c>
      <c r="H146" s="1474"/>
      <c r="I146" s="1475">
        <f>B146+180</f>
        <v>45195</v>
      </c>
    </row>
    <row r="147" spans="1:9" s="1476" customFormat="1" ht="15.75">
      <c r="A147" s="1469"/>
      <c r="B147" s="1470">
        <v>45016</v>
      </c>
      <c r="C147" s="1471" t="s">
        <v>7095</v>
      </c>
      <c r="D147" s="1472">
        <v>771.8</v>
      </c>
      <c r="E147" s="1483" t="s">
        <v>13985</v>
      </c>
      <c r="F147" s="681" t="s">
        <v>13986</v>
      </c>
      <c r="G147" s="1473" t="s">
        <v>7096</v>
      </c>
      <c r="H147" s="1474"/>
      <c r="I147" s="1475">
        <f>B147+180</f>
        <v>45196</v>
      </c>
    </row>
    <row r="148" spans="1:9" ht="16.5" thickBot="1">
      <c r="A148" s="294"/>
      <c r="B148" s="485"/>
      <c r="C148" s="549" t="s">
        <v>6778</v>
      </c>
      <c r="D148" s="718">
        <f>MEDIAN(D145:D147)</f>
        <v>771.8</v>
      </c>
      <c r="E148" s="551"/>
      <c r="F148" s="552"/>
      <c r="G148" s="553"/>
      <c r="H148" s="224"/>
      <c r="I148" s="717"/>
    </row>
    <row r="149" spans="1:9" s="294" customFormat="1" ht="15.75" customHeight="1" thickBot="1">
      <c r="B149" s="714"/>
      <c r="C149" s="229"/>
      <c r="D149" s="229"/>
      <c r="E149" s="229"/>
      <c r="F149" s="229"/>
      <c r="G149" s="715"/>
      <c r="I149" s="688"/>
    </row>
    <row r="150" spans="1:9" ht="15.75">
      <c r="A150" s="716"/>
      <c r="B150" s="422" t="s">
        <v>7231</v>
      </c>
      <c r="C150" s="689" t="s">
        <v>7044</v>
      </c>
      <c r="D150" s="423"/>
      <c r="E150" s="424"/>
      <c r="F150" s="421"/>
      <c r="G150" s="358" t="s">
        <v>23</v>
      </c>
      <c r="H150" s="605"/>
      <c r="I150" s="319"/>
    </row>
    <row r="151" spans="1:9" ht="31.5">
      <c r="A151" s="294"/>
      <c r="B151" s="542" t="s">
        <v>195</v>
      </c>
      <c r="C151" s="543" t="s">
        <v>196</v>
      </c>
      <c r="D151" s="544" t="s">
        <v>197</v>
      </c>
      <c r="E151" s="545" t="s">
        <v>198</v>
      </c>
      <c r="F151" s="557" t="s">
        <v>199</v>
      </c>
      <c r="G151" s="547" t="s">
        <v>200</v>
      </c>
      <c r="H151" s="224"/>
      <c r="I151" s="319"/>
    </row>
    <row r="152" spans="1:9" s="1476" customFormat="1" ht="15.75">
      <c r="A152" s="1469"/>
      <c r="B152" s="1470">
        <v>45014</v>
      </c>
      <c r="C152" s="1471" t="s">
        <v>7097</v>
      </c>
      <c r="D152" s="1472">
        <v>1506</v>
      </c>
      <c r="E152" s="1440" t="s">
        <v>7098</v>
      </c>
      <c r="F152" s="681" t="s">
        <v>7099</v>
      </c>
      <c r="G152" s="1473" t="s">
        <v>7100</v>
      </c>
      <c r="H152" s="1474"/>
      <c r="I152" s="1475">
        <f>B152+180</f>
        <v>45194</v>
      </c>
    </row>
    <row r="153" spans="1:9" s="1484" customFormat="1" ht="15.75">
      <c r="A153" s="1469"/>
      <c r="B153" s="1470">
        <v>45015</v>
      </c>
      <c r="C153" s="1471" t="s">
        <v>13981</v>
      </c>
      <c r="D153" s="1472">
        <v>2423</v>
      </c>
      <c r="E153" s="1483" t="s">
        <v>13982</v>
      </c>
      <c r="F153" s="681" t="s">
        <v>13983</v>
      </c>
      <c r="G153" s="1473" t="s">
        <v>7058</v>
      </c>
      <c r="H153" s="1474"/>
      <c r="I153" s="1475">
        <f>B153+180</f>
        <v>45195</v>
      </c>
    </row>
    <row r="154" spans="1:9" s="1476" customFormat="1" ht="15.75">
      <c r="A154" s="1469"/>
      <c r="B154" s="1470">
        <v>45016</v>
      </c>
      <c r="C154" s="1471" t="s">
        <v>7095</v>
      </c>
      <c r="D154" s="1472">
        <v>1589.68</v>
      </c>
      <c r="E154" s="1483" t="s">
        <v>13985</v>
      </c>
      <c r="F154" s="681" t="s">
        <v>13986</v>
      </c>
      <c r="G154" s="1473" t="s">
        <v>7096</v>
      </c>
      <c r="H154" s="1474"/>
      <c r="I154" s="1475">
        <f>B154+180</f>
        <v>45196</v>
      </c>
    </row>
    <row r="155" spans="1:9" ht="16.5" thickBot="1">
      <c r="A155" s="294"/>
      <c r="B155" s="485"/>
      <c r="C155" s="549" t="s">
        <v>6778</v>
      </c>
      <c r="D155" s="718">
        <f>MEDIAN(D152:D154)</f>
        <v>1589.68</v>
      </c>
      <c r="E155" s="551"/>
      <c r="F155" s="552"/>
      <c r="G155" s="553"/>
      <c r="H155" s="224"/>
      <c r="I155" s="717"/>
    </row>
    <row r="156" spans="1:9" s="294" customFormat="1" ht="15.75" customHeight="1" thickBot="1">
      <c r="B156" s="714"/>
      <c r="C156" s="229"/>
      <c r="D156" s="229"/>
      <c r="E156" s="229"/>
      <c r="F156" s="229"/>
      <c r="G156" s="715"/>
      <c r="I156" s="688"/>
    </row>
    <row r="157" spans="1:9" ht="15.75">
      <c r="A157" s="716"/>
      <c r="B157" s="422" t="s">
        <v>6795</v>
      </c>
      <c r="C157" s="689" t="s">
        <v>7045</v>
      </c>
      <c r="D157" s="423"/>
      <c r="E157" s="424"/>
      <c r="F157" s="421"/>
      <c r="G157" s="358" t="s">
        <v>23</v>
      </c>
      <c r="H157" s="605"/>
      <c r="I157" s="319"/>
    </row>
    <row r="158" spans="1:9" ht="31.5">
      <c r="A158" s="294"/>
      <c r="B158" s="542" t="s">
        <v>195</v>
      </c>
      <c r="C158" s="543" t="s">
        <v>196</v>
      </c>
      <c r="D158" s="544" t="s">
        <v>197</v>
      </c>
      <c r="E158" s="545" t="s">
        <v>198</v>
      </c>
      <c r="F158" s="557" t="s">
        <v>199</v>
      </c>
      <c r="G158" s="547" t="s">
        <v>200</v>
      </c>
      <c r="H158" s="224"/>
      <c r="I158" s="319"/>
    </row>
    <row r="159" spans="1:9" s="1476" customFormat="1" ht="15.75">
      <c r="A159" s="1469"/>
      <c r="B159" s="1470">
        <v>45014</v>
      </c>
      <c r="C159" s="1471" t="s">
        <v>7097</v>
      </c>
      <c r="D159" s="1472">
        <v>1446</v>
      </c>
      <c r="E159" s="1440" t="s">
        <v>7098</v>
      </c>
      <c r="F159" s="681" t="s">
        <v>7099</v>
      </c>
      <c r="G159" s="1473" t="s">
        <v>7100</v>
      </c>
      <c r="H159" s="1474"/>
      <c r="I159" s="1475">
        <f>B159+180</f>
        <v>45194</v>
      </c>
    </row>
    <row r="160" spans="1:9" s="1484" customFormat="1" ht="15.75">
      <c r="A160" s="1469"/>
      <c r="B160" s="1470">
        <v>45015</v>
      </c>
      <c r="C160" s="1471" t="s">
        <v>13981</v>
      </c>
      <c r="D160" s="1472">
        <v>2360</v>
      </c>
      <c r="E160" s="1483" t="s">
        <v>13982</v>
      </c>
      <c r="F160" s="681" t="s">
        <v>13983</v>
      </c>
      <c r="G160" s="1473" t="s">
        <v>7058</v>
      </c>
      <c r="H160" s="1474"/>
      <c r="I160" s="1475">
        <f>B160+180</f>
        <v>45195</v>
      </c>
    </row>
    <row r="161" spans="1:9" s="1476" customFormat="1" ht="15.75">
      <c r="A161" s="1469"/>
      <c r="B161" s="1470">
        <v>45016</v>
      </c>
      <c r="C161" s="1471" t="s">
        <v>7095</v>
      </c>
      <c r="D161" s="1472">
        <v>1548.4</v>
      </c>
      <c r="E161" s="1483" t="s">
        <v>13985</v>
      </c>
      <c r="F161" s="681" t="s">
        <v>13986</v>
      </c>
      <c r="G161" s="1473" t="s">
        <v>7096</v>
      </c>
      <c r="H161" s="1474"/>
      <c r="I161" s="1475">
        <f>B161+180</f>
        <v>45196</v>
      </c>
    </row>
    <row r="162" spans="1:9" ht="16.5" thickBot="1">
      <c r="A162" s="294"/>
      <c r="B162" s="485"/>
      <c r="C162" s="549" t="s">
        <v>6778</v>
      </c>
      <c r="D162" s="718">
        <f>MEDIAN(D159:D161)</f>
        <v>1548.4</v>
      </c>
      <c r="E162" s="551"/>
      <c r="F162" s="552"/>
      <c r="G162" s="553"/>
      <c r="H162" s="224"/>
      <c r="I162" s="717"/>
    </row>
    <row r="163" spans="1:9" s="294" customFormat="1" ht="15.75" customHeight="1" thickBot="1">
      <c r="B163" s="714"/>
      <c r="C163" s="229"/>
      <c r="D163" s="229"/>
      <c r="E163" s="229"/>
      <c r="F163" s="229"/>
      <c r="G163" s="715"/>
      <c r="I163" s="688"/>
    </row>
    <row r="164" spans="1:9" ht="15.75">
      <c r="A164" s="716"/>
      <c r="B164" s="422" t="s">
        <v>6796</v>
      </c>
      <c r="C164" s="689" t="s">
        <v>7046</v>
      </c>
      <c r="D164" s="423"/>
      <c r="E164" s="424"/>
      <c r="F164" s="421"/>
      <c r="G164" s="358" t="s">
        <v>23</v>
      </c>
      <c r="H164" s="605"/>
      <c r="I164" s="319"/>
    </row>
    <row r="165" spans="1:9" ht="31.5">
      <c r="A165" s="294"/>
      <c r="B165" s="542" t="s">
        <v>195</v>
      </c>
      <c r="C165" s="543" t="s">
        <v>196</v>
      </c>
      <c r="D165" s="544" t="s">
        <v>197</v>
      </c>
      <c r="E165" s="545" t="s">
        <v>198</v>
      </c>
      <c r="F165" s="557" t="s">
        <v>199</v>
      </c>
      <c r="G165" s="547" t="s">
        <v>200</v>
      </c>
      <c r="H165" s="224"/>
      <c r="I165" s="319"/>
    </row>
    <row r="166" spans="1:9" s="1476" customFormat="1" ht="15.75">
      <c r="A166" s="1469"/>
      <c r="B166" s="1470">
        <v>45014</v>
      </c>
      <c r="C166" s="1471" t="s">
        <v>7097</v>
      </c>
      <c r="D166" s="1472">
        <v>950</v>
      </c>
      <c r="E166" s="1440" t="s">
        <v>7098</v>
      </c>
      <c r="F166" s="681" t="s">
        <v>7099</v>
      </c>
      <c r="G166" s="1473" t="s">
        <v>7100</v>
      </c>
      <c r="H166" s="1474"/>
      <c r="I166" s="1475">
        <f>B166+180</f>
        <v>45194</v>
      </c>
    </row>
    <row r="167" spans="1:9" s="1484" customFormat="1" ht="15.75">
      <c r="A167" s="1469"/>
      <c r="B167" s="1470">
        <v>45015</v>
      </c>
      <c r="C167" s="1471" t="s">
        <v>13981</v>
      </c>
      <c r="D167" s="1472">
        <v>1160.1199999999999</v>
      </c>
      <c r="E167" s="1483" t="s">
        <v>13982</v>
      </c>
      <c r="F167" s="681" t="s">
        <v>13983</v>
      </c>
      <c r="G167" s="1473" t="s">
        <v>7058</v>
      </c>
      <c r="H167" s="1474"/>
      <c r="I167" s="1475">
        <f>B167+180</f>
        <v>45195</v>
      </c>
    </row>
    <row r="168" spans="1:9" s="1476" customFormat="1" ht="15.75">
      <c r="A168" s="1469"/>
      <c r="B168" s="1470">
        <v>45016</v>
      </c>
      <c r="C168" s="1471" t="s">
        <v>7095</v>
      </c>
      <c r="D168" s="1472">
        <v>1054</v>
      </c>
      <c r="E168" s="1483" t="s">
        <v>13985</v>
      </c>
      <c r="F168" s="681" t="s">
        <v>13986</v>
      </c>
      <c r="G168" s="1473" t="s">
        <v>7096</v>
      </c>
      <c r="H168" s="1474"/>
      <c r="I168" s="1475">
        <f>B168+180</f>
        <v>45196</v>
      </c>
    </row>
    <row r="169" spans="1:9" ht="16.5" thickBot="1">
      <c r="A169" s="294"/>
      <c r="B169" s="485"/>
      <c r="C169" s="549" t="s">
        <v>6778</v>
      </c>
      <c r="D169" s="718">
        <f>MEDIAN(D166:D168)</f>
        <v>1054</v>
      </c>
      <c r="E169" s="551"/>
      <c r="F169" s="552"/>
      <c r="G169" s="553"/>
      <c r="H169" s="224"/>
      <c r="I169" s="717"/>
    </row>
    <row r="170" spans="1:9" s="294" customFormat="1" ht="15.75" customHeight="1" thickBot="1">
      <c r="B170" s="714"/>
      <c r="C170" s="229"/>
      <c r="D170" s="229"/>
      <c r="E170" s="229"/>
      <c r="F170" s="229"/>
      <c r="G170" s="715"/>
      <c r="I170" s="688"/>
    </row>
    <row r="171" spans="1:9" ht="15.75">
      <c r="A171" s="716"/>
      <c r="B171" s="422" t="s">
        <v>7232</v>
      </c>
      <c r="C171" s="689" t="s">
        <v>7047</v>
      </c>
      <c r="D171" s="423"/>
      <c r="E171" s="424"/>
      <c r="F171" s="421"/>
      <c r="G171" s="358" t="s">
        <v>23</v>
      </c>
      <c r="H171" s="605"/>
      <c r="I171" s="319"/>
    </row>
    <row r="172" spans="1:9" ht="31.5">
      <c r="A172" s="294"/>
      <c r="B172" s="542" t="s">
        <v>195</v>
      </c>
      <c r="C172" s="543" t="s">
        <v>196</v>
      </c>
      <c r="D172" s="544" t="s">
        <v>197</v>
      </c>
      <c r="E172" s="545" t="s">
        <v>198</v>
      </c>
      <c r="F172" s="557" t="s">
        <v>199</v>
      </c>
      <c r="G172" s="547" t="s">
        <v>200</v>
      </c>
      <c r="H172" s="224"/>
      <c r="I172" s="319"/>
    </row>
    <row r="173" spans="1:9" s="1476" customFormat="1" ht="15.75">
      <c r="A173" s="1469"/>
      <c r="B173" s="1470">
        <v>45014</v>
      </c>
      <c r="C173" s="1471" t="s">
        <v>7097</v>
      </c>
      <c r="D173" s="1472">
        <v>1086</v>
      </c>
      <c r="E173" s="1440" t="s">
        <v>7098</v>
      </c>
      <c r="F173" s="681" t="s">
        <v>7099</v>
      </c>
      <c r="G173" s="1473" t="s">
        <v>7100</v>
      </c>
      <c r="H173" s="1474"/>
      <c r="I173" s="1475">
        <f>B173+180</f>
        <v>45194</v>
      </c>
    </row>
    <row r="174" spans="1:9" s="1484" customFormat="1" ht="15.75">
      <c r="A174" s="1469"/>
      <c r="B174" s="1470">
        <v>45015</v>
      </c>
      <c r="C174" s="1471" t="s">
        <v>13981</v>
      </c>
      <c r="D174" s="1472">
        <v>1982</v>
      </c>
      <c r="E174" s="1483" t="s">
        <v>13982</v>
      </c>
      <c r="F174" s="681" t="s">
        <v>13983</v>
      </c>
      <c r="G174" s="1473" t="s">
        <v>7058</v>
      </c>
      <c r="H174" s="1474"/>
      <c r="I174" s="1475">
        <f>B174+180</f>
        <v>45195</v>
      </c>
    </row>
    <row r="175" spans="1:9" s="1476" customFormat="1" ht="15.75">
      <c r="A175" s="1469"/>
      <c r="B175" s="1470">
        <v>45016</v>
      </c>
      <c r="C175" s="1471" t="s">
        <v>7095</v>
      </c>
      <c r="D175" s="1472">
        <v>1300.72</v>
      </c>
      <c r="E175" s="1483" t="s">
        <v>13985</v>
      </c>
      <c r="F175" s="681" t="s">
        <v>13986</v>
      </c>
      <c r="G175" s="1473" t="s">
        <v>7096</v>
      </c>
      <c r="H175" s="1474"/>
      <c r="I175" s="1475">
        <f>B175+180</f>
        <v>45196</v>
      </c>
    </row>
    <row r="176" spans="1:9" ht="16.5" thickBot="1">
      <c r="A176" s="294"/>
      <c r="B176" s="485"/>
      <c r="C176" s="549" t="s">
        <v>6778</v>
      </c>
      <c r="D176" s="718">
        <f>MEDIAN(D173:D175)</f>
        <v>1300.72</v>
      </c>
      <c r="E176" s="551"/>
      <c r="F176" s="552"/>
      <c r="G176" s="553"/>
      <c r="H176" s="224"/>
      <c r="I176" s="717"/>
    </row>
    <row r="177" spans="1:9" s="294" customFormat="1" ht="15.75" customHeight="1" thickBot="1">
      <c r="B177" s="714"/>
      <c r="C177" s="229"/>
      <c r="D177" s="229"/>
      <c r="E177" s="229"/>
      <c r="F177" s="229"/>
      <c r="G177" s="715"/>
      <c r="I177" s="688"/>
    </row>
    <row r="178" spans="1:9" ht="31.5">
      <c r="A178" s="716"/>
      <c r="B178" s="422" t="s">
        <v>7233</v>
      </c>
      <c r="C178" s="689" t="s">
        <v>7048</v>
      </c>
      <c r="D178" s="423"/>
      <c r="E178" s="424"/>
      <c r="F178" s="421"/>
      <c r="G178" s="358" t="s">
        <v>23</v>
      </c>
      <c r="H178" s="605"/>
      <c r="I178" s="319"/>
    </row>
    <row r="179" spans="1:9" ht="31.5">
      <c r="A179" s="294"/>
      <c r="B179" s="542" t="s">
        <v>195</v>
      </c>
      <c r="C179" s="543" t="s">
        <v>196</v>
      </c>
      <c r="D179" s="544" t="s">
        <v>197</v>
      </c>
      <c r="E179" s="545" t="s">
        <v>198</v>
      </c>
      <c r="F179" s="557" t="s">
        <v>199</v>
      </c>
      <c r="G179" s="547" t="s">
        <v>200</v>
      </c>
      <c r="H179" s="224"/>
      <c r="I179" s="319"/>
    </row>
    <row r="180" spans="1:9" s="1476" customFormat="1" ht="15.75">
      <c r="A180" s="1469"/>
      <c r="B180" s="1470">
        <v>45014</v>
      </c>
      <c r="C180" s="1471" t="s">
        <v>7097</v>
      </c>
      <c r="D180" s="1472">
        <v>1480</v>
      </c>
      <c r="E180" s="1440" t="s">
        <v>7098</v>
      </c>
      <c r="F180" s="681" t="s">
        <v>7099</v>
      </c>
      <c r="G180" s="1473" t="s">
        <v>7100</v>
      </c>
      <c r="H180" s="1474"/>
      <c r="I180" s="1475">
        <f>B180+180</f>
        <v>45194</v>
      </c>
    </row>
    <row r="181" spans="1:9" s="1484" customFormat="1" ht="15.75">
      <c r="A181" s="1469"/>
      <c r="B181" s="1470">
        <v>45015</v>
      </c>
      <c r="C181" s="1471" t="s">
        <v>13981</v>
      </c>
      <c r="D181" s="1472">
        <v>2698</v>
      </c>
      <c r="E181" s="1483" t="s">
        <v>13982</v>
      </c>
      <c r="F181" s="681" t="s">
        <v>13983</v>
      </c>
      <c r="G181" s="1473" t="s">
        <v>7058</v>
      </c>
      <c r="H181" s="1474"/>
      <c r="I181" s="1475">
        <f>B181+180</f>
        <v>45195</v>
      </c>
    </row>
    <row r="182" spans="1:9" s="1476" customFormat="1" ht="15.75">
      <c r="A182" s="1469"/>
      <c r="B182" s="1470">
        <v>45016</v>
      </c>
      <c r="C182" s="1471" t="s">
        <v>7095</v>
      </c>
      <c r="D182" s="1472">
        <v>1760</v>
      </c>
      <c r="E182" s="1483" t="s">
        <v>13985</v>
      </c>
      <c r="F182" s="681" t="s">
        <v>13986</v>
      </c>
      <c r="G182" s="1473" t="s">
        <v>7096</v>
      </c>
      <c r="H182" s="1474"/>
      <c r="I182" s="1475">
        <f>B182+180</f>
        <v>45196</v>
      </c>
    </row>
    <row r="183" spans="1:9" ht="16.5" thickBot="1">
      <c r="A183" s="294"/>
      <c r="B183" s="485"/>
      <c r="C183" s="549" t="s">
        <v>6778</v>
      </c>
      <c r="D183" s="718">
        <f>MEDIAN(D180:D182)</f>
        <v>1760</v>
      </c>
      <c r="E183" s="551"/>
      <c r="F183" s="552"/>
      <c r="G183" s="553"/>
      <c r="H183" s="224"/>
      <c r="I183" s="717"/>
    </row>
    <row r="184" spans="1:9" s="294" customFormat="1" ht="15.75" customHeight="1" thickBot="1">
      <c r="B184" s="714"/>
      <c r="C184" s="229"/>
      <c r="D184" s="229"/>
      <c r="E184" s="229"/>
      <c r="F184" s="229"/>
      <c r="G184" s="715"/>
      <c r="I184" s="688"/>
    </row>
    <row r="185" spans="1:9" ht="15.75">
      <c r="A185" s="716"/>
      <c r="B185" s="422" t="s">
        <v>7234</v>
      </c>
      <c r="C185" s="689" t="s">
        <v>7049</v>
      </c>
      <c r="D185" s="423"/>
      <c r="E185" s="424"/>
      <c r="F185" s="421"/>
      <c r="G185" s="358" t="s">
        <v>23</v>
      </c>
      <c r="H185" s="605"/>
      <c r="I185" s="319"/>
    </row>
    <row r="186" spans="1:9" ht="31.5">
      <c r="A186" s="294"/>
      <c r="B186" s="542" t="s">
        <v>195</v>
      </c>
      <c r="C186" s="543" t="s">
        <v>196</v>
      </c>
      <c r="D186" s="544" t="s">
        <v>197</v>
      </c>
      <c r="E186" s="545" t="s">
        <v>198</v>
      </c>
      <c r="F186" s="557" t="s">
        <v>199</v>
      </c>
      <c r="G186" s="547" t="s">
        <v>200</v>
      </c>
      <c r="H186" s="224"/>
      <c r="I186" s="319"/>
    </row>
    <row r="187" spans="1:9" s="1476" customFormat="1" ht="15.75">
      <c r="A187" s="1469"/>
      <c r="B187" s="1470">
        <v>45014</v>
      </c>
      <c r="C187" s="1471" t="s">
        <v>7097</v>
      </c>
      <c r="D187" s="1472">
        <v>1799</v>
      </c>
      <c r="E187" s="1440" t="s">
        <v>7098</v>
      </c>
      <c r="F187" s="681" t="s">
        <v>7099</v>
      </c>
      <c r="G187" s="1473" t="s">
        <v>7100</v>
      </c>
      <c r="H187" s="1474"/>
      <c r="I187" s="1475">
        <f>B187+180</f>
        <v>45194</v>
      </c>
    </row>
    <row r="188" spans="1:9" s="1484" customFormat="1" ht="15.75">
      <c r="A188" s="1469"/>
      <c r="B188" s="1470">
        <v>45015</v>
      </c>
      <c r="C188" s="1471" t="s">
        <v>13981</v>
      </c>
      <c r="D188" s="1472">
        <v>2730.75</v>
      </c>
      <c r="E188" s="1483" t="s">
        <v>13982</v>
      </c>
      <c r="F188" s="681" t="s">
        <v>13983</v>
      </c>
      <c r="G188" s="1473" t="s">
        <v>7058</v>
      </c>
      <c r="H188" s="1474"/>
      <c r="I188" s="1475">
        <f>B188+180</f>
        <v>45195</v>
      </c>
    </row>
    <row r="189" spans="1:9" s="1476" customFormat="1" ht="15.75">
      <c r="A189" s="1469"/>
      <c r="B189" s="1470">
        <v>45016</v>
      </c>
      <c r="C189" s="1471" t="s">
        <v>7095</v>
      </c>
      <c r="D189" s="1472">
        <v>1687.72</v>
      </c>
      <c r="E189" s="1483" t="s">
        <v>13985</v>
      </c>
      <c r="F189" s="681" t="s">
        <v>13986</v>
      </c>
      <c r="G189" s="1473" t="s">
        <v>7096</v>
      </c>
      <c r="H189" s="1474"/>
      <c r="I189" s="1475">
        <f>B189+180</f>
        <v>45196</v>
      </c>
    </row>
    <row r="190" spans="1:9" ht="16.5" thickBot="1">
      <c r="A190" s="294"/>
      <c r="B190" s="485"/>
      <c r="C190" s="549" t="s">
        <v>6778</v>
      </c>
      <c r="D190" s="718">
        <f>MEDIAN(D187:D189)</f>
        <v>1799</v>
      </c>
      <c r="E190" s="551"/>
      <c r="F190" s="552"/>
      <c r="G190" s="553"/>
      <c r="H190" s="224"/>
      <c r="I190" s="717"/>
    </row>
    <row r="191" spans="1:9" s="294" customFormat="1" ht="15.75" customHeight="1" thickBot="1">
      <c r="B191" s="714"/>
      <c r="C191" s="229"/>
      <c r="D191" s="229"/>
      <c r="E191" s="229"/>
      <c r="F191" s="229"/>
      <c r="G191" s="715"/>
      <c r="I191" s="688"/>
    </row>
    <row r="192" spans="1:9" ht="15.75">
      <c r="A192" s="716"/>
      <c r="B192" s="422" t="s">
        <v>7235</v>
      </c>
      <c r="C192" s="689" t="s">
        <v>7050</v>
      </c>
      <c r="D192" s="423"/>
      <c r="E192" s="424"/>
      <c r="F192" s="421"/>
      <c r="G192" s="358" t="s">
        <v>23</v>
      </c>
      <c r="H192" s="605"/>
      <c r="I192" s="319"/>
    </row>
    <row r="193" spans="1:9" ht="31.5">
      <c r="A193" s="294"/>
      <c r="B193" s="542" t="s">
        <v>195</v>
      </c>
      <c r="C193" s="543" t="s">
        <v>196</v>
      </c>
      <c r="D193" s="544" t="s">
        <v>197</v>
      </c>
      <c r="E193" s="545" t="s">
        <v>198</v>
      </c>
      <c r="F193" s="557" t="s">
        <v>199</v>
      </c>
      <c r="G193" s="547" t="s">
        <v>200</v>
      </c>
      <c r="H193" s="224"/>
      <c r="I193" s="319"/>
    </row>
    <row r="194" spans="1:9" s="1476" customFormat="1" ht="15.75">
      <c r="A194" s="1469"/>
      <c r="B194" s="1470">
        <v>45014</v>
      </c>
      <c r="C194" s="1471" t="s">
        <v>7097</v>
      </c>
      <c r="D194" s="1472">
        <v>4896</v>
      </c>
      <c r="E194" s="1440" t="s">
        <v>7098</v>
      </c>
      <c r="F194" s="681" t="s">
        <v>7099</v>
      </c>
      <c r="G194" s="1473" t="s">
        <v>7100</v>
      </c>
      <c r="H194" s="1474"/>
      <c r="I194" s="1475">
        <f>B194+180</f>
        <v>45194</v>
      </c>
    </row>
    <row r="195" spans="1:9" s="1484" customFormat="1" ht="15.75">
      <c r="A195" s="1469"/>
      <c r="B195" s="1470">
        <v>45015</v>
      </c>
      <c r="C195" s="1471" t="s">
        <v>13981</v>
      </c>
      <c r="D195" s="1472">
        <v>5823</v>
      </c>
      <c r="E195" s="1483" t="s">
        <v>13982</v>
      </c>
      <c r="F195" s="681" t="s">
        <v>13983</v>
      </c>
      <c r="G195" s="1473" t="s">
        <v>7058</v>
      </c>
      <c r="H195" s="1474"/>
      <c r="I195" s="1475">
        <f>B195+180</f>
        <v>45195</v>
      </c>
    </row>
    <row r="196" spans="1:9" s="1476" customFormat="1" ht="15.75">
      <c r="A196" s="1469"/>
      <c r="B196" s="1470">
        <v>45016</v>
      </c>
      <c r="C196" s="1471" t="s">
        <v>7095</v>
      </c>
      <c r="D196" s="1472">
        <v>3818.8</v>
      </c>
      <c r="E196" s="1483" t="s">
        <v>13985</v>
      </c>
      <c r="F196" s="681" t="s">
        <v>13986</v>
      </c>
      <c r="G196" s="1473" t="s">
        <v>7096</v>
      </c>
      <c r="H196" s="1474"/>
      <c r="I196" s="1475">
        <f>B196+180</f>
        <v>45196</v>
      </c>
    </row>
    <row r="197" spans="1:9" ht="16.5" thickBot="1">
      <c r="A197" s="294"/>
      <c r="B197" s="485"/>
      <c r="C197" s="549" t="s">
        <v>6778</v>
      </c>
      <c r="D197" s="718">
        <f>MEDIAN(D194:D196)</f>
        <v>4896</v>
      </c>
      <c r="E197" s="551"/>
      <c r="F197" s="552"/>
      <c r="G197" s="553"/>
      <c r="H197" s="224"/>
      <c r="I197" s="717"/>
    </row>
    <row r="198" spans="1:9" s="294" customFormat="1" ht="15.75" customHeight="1" thickBot="1">
      <c r="B198" s="714"/>
      <c r="C198" s="229"/>
      <c r="D198" s="229"/>
      <c r="E198" s="229"/>
      <c r="F198" s="229"/>
      <c r="G198" s="715"/>
      <c r="I198" s="688"/>
    </row>
    <row r="199" spans="1:9" ht="15.75">
      <c r="A199" s="716"/>
      <c r="B199" s="422" t="s">
        <v>7236</v>
      </c>
      <c r="C199" s="689" t="s">
        <v>7051</v>
      </c>
      <c r="D199" s="423"/>
      <c r="E199" s="424"/>
      <c r="F199" s="421"/>
      <c r="G199" s="358" t="s">
        <v>23</v>
      </c>
      <c r="H199" s="605"/>
      <c r="I199" s="319"/>
    </row>
    <row r="200" spans="1:9" ht="31.5">
      <c r="A200" s="294"/>
      <c r="B200" s="542" t="s">
        <v>195</v>
      </c>
      <c r="C200" s="543" t="s">
        <v>196</v>
      </c>
      <c r="D200" s="544" t="s">
        <v>197</v>
      </c>
      <c r="E200" s="545" t="s">
        <v>198</v>
      </c>
      <c r="F200" s="557" t="s">
        <v>199</v>
      </c>
      <c r="G200" s="547" t="s">
        <v>200</v>
      </c>
      <c r="H200" s="224"/>
      <c r="I200" s="319"/>
    </row>
    <row r="201" spans="1:9" s="1476" customFormat="1" ht="15.75">
      <c r="A201" s="1469"/>
      <c r="B201" s="1470">
        <v>45014</v>
      </c>
      <c r="C201" s="1471" t="s">
        <v>7097</v>
      </c>
      <c r="D201" s="1472">
        <v>720</v>
      </c>
      <c r="E201" s="1440" t="s">
        <v>7098</v>
      </c>
      <c r="F201" s="681" t="s">
        <v>7099</v>
      </c>
      <c r="G201" s="1473" t="s">
        <v>7100</v>
      </c>
      <c r="H201" s="1474"/>
      <c r="I201" s="1475">
        <f>B201+180</f>
        <v>45194</v>
      </c>
    </row>
    <row r="202" spans="1:9" s="1484" customFormat="1" ht="15.75">
      <c r="A202" s="1469"/>
      <c r="B202" s="1470">
        <v>45015</v>
      </c>
      <c r="C202" s="1471" t="s">
        <v>13981</v>
      </c>
      <c r="D202" s="1472">
        <v>772.4</v>
      </c>
      <c r="E202" s="1483" t="s">
        <v>13982</v>
      </c>
      <c r="F202" s="681" t="s">
        <v>13983</v>
      </c>
      <c r="G202" s="1473" t="s">
        <v>7058</v>
      </c>
      <c r="H202" s="1474"/>
      <c r="I202" s="1475">
        <f>B202+180</f>
        <v>45195</v>
      </c>
    </row>
    <row r="203" spans="1:9" s="1476" customFormat="1" ht="15.75">
      <c r="A203" s="1469"/>
      <c r="B203" s="1470">
        <v>45016</v>
      </c>
      <c r="C203" s="1471" t="s">
        <v>7095</v>
      </c>
      <c r="D203" s="1472">
        <v>799</v>
      </c>
      <c r="E203" s="1483" t="s">
        <v>13985</v>
      </c>
      <c r="F203" s="681" t="s">
        <v>13986</v>
      </c>
      <c r="G203" s="1473" t="s">
        <v>7096</v>
      </c>
      <c r="H203" s="1474"/>
      <c r="I203" s="1475">
        <f>B203+180</f>
        <v>45196</v>
      </c>
    </row>
    <row r="204" spans="1:9" ht="16.5" thickBot="1">
      <c r="A204" s="294"/>
      <c r="B204" s="485"/>
      <c r="C204" s="549" t="s">
        <v>6778</v>
      </c>
      <c r="D204" s="718">
        <f>MEDIAN(D201:D203)</f>
        <v>772.4</v>
      </c>
      <c r="E204" s="551"/>
      <c r="F204" s="552"/>
      <c r="G204" s="553"/>
      <c r="H204" s="224"/>
      <c r="I204" s="717"/>
    </row>
    <row r="205" spans="1:9" s="294" customFormat="1" ht="15.75" customHeight="1" thickBot="1">
      <c r="B205" s="714"/>
      <c r="C205" s="229"/>
      <c r="D205" s="229"/>
      <c r="E205" s="229"/>
      <c r="F205" s="229"/>
      <c r="G205" s="715"/>
      <c r="I205" s="688"/>
    </row>
    <row r="206" spans="1:9" ht="15.75">
      <c r="A206" s="716"/>
      <c r="B206" s="422" t="s">
        <v>7237</v>
      </c>
      <c r="C206" s="689" t="s">
        <v>7052</v>
      </c>
      <c r="D206" s="423"/>
      <c r="E206" s="424"/>
      <c r="F206" s="421"/>
      <c r="G206" s="358" t="s">
        <v>23</v>
      </c>
      <c r="H206" s="605"/>
      <c r="I206" s="319"/>
    </row>
    <row r="207" spans="1:9" ht="31.5">
      <c r="A207" s="294"/>
      <c r="B207" s="542" t="s">
        <v>195</v>
      </c>
      <c r="C207" s="543" t="s">
        <v>196</v>
      </c>
      <c r="D207" s="544" t="s">
        <v>197</v>
      </c>
      <c r="E207" s="545" t="s">
        <v>198</v>
      </c>
      <c r="F207" s="557" t="s">
        <v>199</v>
      </c>
      <c r="G207" s="547" t="s">
        <v>200</v>
      </c>
      <c r="H207" s="224"/>
      <c r="I207" s="319"/>
    </row>
    <row r="208" spans="1:9" s="1476" customFormat="1" ht="15.75">
      <c r="A208" s="1469"/>
      <c r="B208" s="1470">
        <v>45014</v>
      </c>
      <c r="C208" s="1471" t="s">
        <v>7097</v>
      </c>
      <c r="D208" s="1472">
        <v>640</v>
      </c>
      <c r="E208" s="1440" t="s">
        <v>7098</v>
      </c>
      <c r="F208" s="681" t="s">
        <v>7099</v>
      </c>
      <c r="G208" s="1473" t="s">
        <v>7100</v>
      </c>
      <c r="H208" s="1474"/>
      <c r="I208" s="1475">
        <f>B208+180</f>
        <v>45194</v>
      </c>
    </row>
    <row r="209" spans="1:9" s="1484" customFormat="1" ht="15.75">
      <c r="A209" s="1469"/>
      <c r="B209" s="1470">
        <v>45015</v>
      </c>
      <c r="C209" s="1471" t="s">
        <v>13981</v>
      </c>
      <c r="D209" s="1472">
        <v>816.37</v>
      </c>
      <c r="E209" s="1483" t="s">
        <v>13982</v>
      </c>
      <c r="F209" s="681" t="s">
        <v>13983</v>
      </c>
      <c r="G209" s="1473" t="s">
        <v>7058</v>
      </c>
      <c r="H209" s="1474"/>
      <c r="I209" s="1475">
        <f>B209+180</f>
        <v>45195</v>
      </c>
    </row>
    <row r="210" spans="1:9" s="1476" customFormat="1" ht="15.75">
      <c r="A210" s="1469"/>
      <c r="B210" s="1470">
        <v>45016</v>
      </c>
      <c r="C210" s="1471" t="s">
        <v>7095</v>
      </c>
      <c r="D210" s="1472">
        <v>578</v>
      </c>
      <c r="E210" s="1483" t="s">
        <v>13985</v>
      </c>
      <c r="F210" s="681" t="s">
        <v>13986</v>
      </c>
      <c r="G210" s="1473" t="s">
        <v>7096</v>
      </c>
      <c r="H210" s="1474"/>
      <c r="I210" s="1475">
        <f>B210+180</f>
        <v>45196</v>
      </c>
    </row>
    <row r="211" spans="1:9" ht="16.5" thickBot="1">
      <c r="A211" s="294"/>
      <c r="B211" s="485"/>
      <c r="C211" s="549" t="s">
        <v>6778</v>
      </c>
      <c r="D211" s="718">
        <f>MEDIAN(D208:D210)</f>
        <v>640</v>
      </c>
      <c r="E211" s="551"/>
      <c r="F211" s="552"/>
      <c r="G211" s="553"/>
      <c r="H211" s="224"/>
      <c r="I211" s="717"/>
    </row>
    <row r="212" spans="1:9" s="294" customFormat="1" ht="15.75" customHeight="1" thickBot="1">
      <c r="B212" s="714"/>
      <c r="C212" s="229"/>
      <c r="D212" s="229"/>
      <c r="E212" s="229"/>
      <c r="F212" s="229"/>
      <c r="G212" s="715"/>
      <c r="I212" s="688"/>
    </row>
    <row r="213" spans="1:9" ht="15.75">
      <c r="A213" s="716"/>
      <c r="B213" s="422" t="s">
        <v>7238</v>
      </c>
      <c r="C213" s="689" t="s">
        <v>7195</v>
      </c>
      <c r="D213" s="423"/>
      <c r="E213" s="424"/>
      <c r="F213" s="421"/>
      <c r="G213" s="358" t="s">
        <v>23</v>
      </c>
      <c r="H213" s="605"/>
      <c r="I213" s="319"/>
    </row>
    <row r="214" spans="1:9" ht="31.5">
      <c r="A214" s="294"/>
      <c r="B214" s="542" t="s">
        <v>195</v>
      </c>
      <c r="C214" s="543" t="s">
        <v>196</v>
      </c>
      <c r="D214" s="544" t="s">
        <v>197</v>
      </c>
      <c r="E214" s="545" t="s">
        <v>198</v>
      </c>
      <c r="F214" s="557" t="s">
        <v>199</v>
      </c>
      <c r="G214" s="547" t="s">
        <v>200</v>
      </c>
      <c r="H214" s="224"/>
      <c r="I214" s="319"/>
    </row>
    <row r="215" spans="1:9" s="1476" customFormat="1" ht="15.75">
      <c r="A215" s="1469"/>
      <c r="B215" s="1470">
        <v>45014</v>
      </c>
      <c r="C215" s="1471" t="s">
        <v>7097</v>
      </c>
      <c r="D215" s="1472">
        <v>21</v>
      </c>
      <c r="E215" s="1440" t="s">
        <v>7098</v>
      </c>
      <c r="F215" s="681" t="s">
        <v>7099</v>
      </c>
      <c r="G215" s="1473" t="s">
        <v>7100</v>
      </c>
      <c r="H215" s="1474"/>
      <c r="I215" s="1475">
        <f>B215+180</f>
        <v>45194</v>
      </c>
    </row>
    <row r="216" spans="1:9" s="1484" customFormat="1" ht="15.75">
      <c r="A216" s="1469"/>
      <c r="B216" s="1470">
        <v>45015</v>
      </c>
      <c r="C216" s="1471" t="s">
        <v>13981</v>
      </c>
      <c r="D216" s="1472">
        <v>8.9</v>
      </c>
      <c r="E216" s="1483" t="s">
        <v>13982</v>
      </c>
      <c r="F216" s="681" t="s">
        <v>13983</v>
      </c>
      <c r="G216" s="1473" t="s">
        <v>7058</v>
      </c>
      <c r="H216" s="1474"/>
      <c r="I216" s="1475">
        <f>B216+180</f>
        <v>45195</v>
      </c>
    </row>
    <row r="217" spans="1:9" s="1476" customFormat="1" ht="15.75">
      <c r="A217" s="1469"/>
      <c r="B217" s="1470">
        <v>45016</v>
      </c>
      <c r="C217" s="1471" t="s">
        <v>7095</v>
      </c>
      <c r="D217" s="1472">
        <v>17.899999999999999</v>
      </c>
      <c r="E217" s="1483" t="s">
        <v>13985</v>
      </c>
      <c r="F217" s="681" t="s">
        <v>13986</v>
      </c>
      <c r="G217" s="1473" t="s">
        <v>7096</v>
      </c>
      <c r="H217" s="1474"/>
      <c r="I217" s="1475">
        <f>B217+180</f>
        <v>45196</v>
      </c>
    </row>
    <row r="218" spans="1:9" ht="16.5" thickBot="1">
      <c r="A218" s="294"/>
      <c r="B218" s="485"/>
      <c r="C218" s="549" t="s">
        <v>6778</v>
      </c>
      <c r="D218" s="718">
        <f>MEDIAN(D215:D217)</f>
        <v>17.899999999999999</v>
      </c>
      <c r="E218" s="551"/>
      <c r="F218" s="552"/>
      <c r="G218" s="553"/>
      <c r="H218" s="224"/>
      <c r="I218" s="717"/>
    </row>
    <row r="219" spans="1:9" s="294" customFormat="1" ht="15.75" customHeight="1" thickBot="1">
      <c r="B219" s="714"/>
      <c r="C219" s="229"/>
      <c r="D219" s="229"/>
      <c r="E219" s="229"/>
      <c r="F219" s="229"/>
      <c r="G219" s="715"/>
      <c r="I219" s="688"/>
    </row>
    <row r="220" spans="1:9" ht="15.75">
      <c r="A220" s="716"/>
      <c r="B220" s="422" t="s">
        <v>7239</v>
      </c>
      <c r="C220" s="689" t="s">
        <v>7196</v>
      </c>
      <c r="D220" s="423"/>
      <c r="E220" s="424"/>
      <c r="F220" s="421"/>
      <c r="G220" s="358" t="s">
        <v>23</v>
      </c>
      <c r="H220" s="605"/>
      <c r="I220" s="319"/>
    </row>
    <row r="221" spans="1:9" ht="31.5">
      <c r="A221" s="294"/>
      <c r="B221" s="542" t="s">
        <v>195</v>
      </c>
      <c r="C221" s="543" t="s">
        <v>196</v>
      </c>
      <c r="D221" s="544" t="s">
        <v>197</v>
      </c>
      <c r="E221" s="545" t="s">
        <v>198</v>
      </c>
      <c r="F221" s="557" t="s">
        <v>199</v>
      </c>
      <c r="G221" s="547" t="s">
        <v>200</v>
      </c>
      <c r="H221" s="224"/>
      <c r="I221" s="319"/>
    </row>
    <row r="222" spans="1:9" s="1476" customFormat="1" ht="15.75">
      <c r="A222" s="1469"/>
      <c r="B222" s="1470">
        <v>45014</v>
      </c>
      <c r="C222" s="1471" t="s">
        <v>7097</v>
      </c>
      <c r="D222" s="1472">
        <v>7</v>
      </c>
      <c r="E222" s="1440" t="s">
        <v>7098</v>
      </c>
      <c r="F222" s="681" t="s">
        <v>7099</v>
      </c>
      <c r="G222" s="1473" t="s">
        <v>7100</v>
      </c>
      <c r="H222" s="1474"/>
      <c r="I222" s="1475">
        <f>B222+180</f>
        <v>45194</v>
      </c>
    </row>
    <row r="223" spans="1:9" s="1484" customFormat="1" ht="15.75">
      <c r="A223" s="1469"/>
      <c r="B223" s="1470">
        <v>45015</v>
      </c>
      <c r="C223" s="1471" t="s">
        <v>13981</v>
      </c>
      <c r="D223" s="1472">
        <v>3.95</v>
      </c>
      <c r="E223" s="1483" t="s">
        <v>13982</v>
      </c>
      <c r="F223" s="681" t="s">
        <v>13983</v>
      </c>
      <c r="G223" s="1473" t="s">
        <v>7058</v>
      </c>
      <c r="H223" s="1474"/>
      <c r="I223" s="1475">
        <f>B223+180</f>
        <v>45195</v>
      </c>
    </row>
    <row r="224" spans="1:9" s="1476" customFormat="1" ht="15.75">
      <c r="A224" s="1469"/>
      <c r="B224" s="1470">
        <v>45016</v>
      </c>
      <c r="C224" s="1471" t="s">
        <v>7095</v>
      </c>
      <c r="D224" s="1472">
        <v>8</v>
      </c>
      <c r="E224" s="1483" t="s">
        <v>13985</v>
      </c>
      <c r="F224" s="681" t="s">
        <v>13986</v>
      </c>
      <c r="G224" s="1473" t="s">
        <v>7096</v>
      </c>
      <c r="H224" s="1474"/>
      <c r="I224" s="1475">
        <f>B224+180</f>
        <v>45196</v>
      </c>
    </row>
    <row r="225" spans="1:9" ht="16.5" thickBot="1">
      <c r="A225" s="294"/>
      <c r="B225" s="485"/>
      <c r="C225" s="549" t="s">
        <v>6778</v>
      </c>
      <c r="D225" s="718">
        <f>MEDIAN(D222:D224)</f>
        <v>7</v>
      </c>
      <c r="E225" s="551"/>
      <c r="F225" s="552"/>
      <c r="G225" s="553"/>
      <c r="H225" s="224"/>
      <c r="I225" s="717"/>
    </row>
    <row r="226" spans="1:9" ht="16.5" customHeight="1" thickBot="1">
      <c r="B226" s="752"/>
      <c r="C226" s="753"/>
      <c r="D226" s="753"/>
      <c r="E226" s="753"/>
      <c r="F226" s="753"/>
      <c r="G226" s="754"/>
      <c r="I226"/>
    </row>
    <row r="227" spans="1:9" ht="33" customHeight="1">
      <c r="A227" s="433" t="s">
        <v>6776</v>
      </c>
      <c r="B227" s="333" t="str">
        <f>IF(COUNT($H$13:H227)&lt;10,CONCATENATE("AMM SAA 00",COUNT($H$13:H227)),CONCATENATE("AMM SAA 0",COUNT($H$13:H227)))</f>
        <v>AMM SAA 009</v>
      </c>
      <c r="C227" s="1673" t="s">
        <v>7053</v>
      </c>
      <c r="D227" s="1673"/>
      <c r="E227" s="1673"/>
      <c r="F227" s="1673"/>
      <c r="G227" s="357" t="s">
        <v>6798</v>
      </c>
      <c r="H227" s="348">
        <f>G235</f>
        <v>4.58</v>
      </c>
      <c r="I227"/>
    </row>
    <row r="228" spans="1:9" ht="31.5">
      <c r="A228" s="433"/>
      <c r="B228" s="538" t="s">
        <v>206</v>
      </c>
      <c r="C228" s="543" t="s">
        <v>184</v>
      </c>
      <c r="D228" s="543" t="s">
        <v>23</v>
      </c>
      <c r="E228" s="543" t="s">
        <v>185</v>
      </c>
      <c r="F228" s="544" t="s">
        <v>186</v>
      </c>
      <c r="G228" s="1129" t="s">
        <v>187</v>
      </c>
      <c r="H228" s="229"/>
      <c r="I228"/>
    </row>
    <row r="229" spans="1:9" ht="15.75">
      <c r="A229" s="433"/>
      <c r="B229" s="1697" t="s">
        <v>188</v>
      </c>
      <c r="C229" s="1698"/>
      <c r="D229" s="1698"/>
      <c r="E229" s="1698"/>
      <c r="F229" s="1698"/>
      <c r="G229" s="1699"/>
      <c r="H229" s="229"/>
      <c r="I229"/>
    </row>
    <row r="230" spans="1:9" s="763" customFormat="1" ht="15.75">
      <c r="A230" s="555" t="s">
        <v>451</v>
      </c>
      <c r="B230" s="611">
        <v>4229</v>
      </c>
      <c r="C230" s="574" t="str">
        <f>IF($A230="INSUMO",VLOOKUP($B230,'BANCO DE DADOS JAN-23 INS'!$A:$D,2,FALSE),VLOOKUP($B230,'BANCO DE DADOS JAN-23 SERV'!$B:$E,2,FALSE))</f>
        <v>GRAXA LUBRIFICANTE</v>
      </c>
      <c r="D230" s="571" t="str">
        <f>IF($A230="INSUMO",VLOOKUP($B230,'BANCO DE DADOS JAN-23 INS'!$A:$D,3,FALSE),VLOOKUP($B230,'BANCO DE DADOS JAN-23 SERV'!$B:$E,3,FALSE))</f>
        <v xml:space="preserve">KG    </v>
      </c>
      <c r="E230" s="828">
        <v>3.5000000000000003E-2</v>
      </c>
      <c r="F230" s="575">
        <f>IF($A230="INSUMO",VLOOKUP($B230,'BANCO DE DADOS JAN-23 INS'!$A:$D,4,FALSE),VLOOKUP($B230,'BANCO DE DADOS JAN-23 SERV'!$B:$E,4,FALSE))</f>
        <v>38.75</v>
      </c>
      <c r="G230" s="734">
        <f>TRUNC(E230*F230,2)</f>
        <v>1.35</v>
      </c>
      <c r="H230" s="743"/>
    </row>
    <row r="231" spans="1:9" s="582" customFormat="1" ht="15.75">
      <c r="A231" s="433"/>
      <c r="B231" s="1697" t="s">
        <v>6797</v>
      </c>
      <c r="C231" s="1698"/>
      <c r="D231" s="1698"/>
      <c r="E231" s="1698"/>
      <c r="F231" s="1698"/>
      <c r="G231" s="1699"/>
      <c r="H231" s="229"/>
    </row>
    <row r="232" spans="1:9" s="763" customFormat="1" ht="15.75">
      <c r="A232" s="555" t="s">
        <v>452</v>
      </c>
      <c r="B232" s="744">
        <v>90776</v>
      </c>
      <c r="C232" s="574" t="str">
        <f>IF($A232="INSUMO",VLOOKUP($B232,'BANCO DE DADOS JAN-23 INS'!$A:$D,2,FALSE),VLOOKUP($B232,'BANCO DE DADOS JAN-23 SERV'!$B:$E,2,FALSE))</f>
        <v>ENCARREGADO GERAL COM ENCARGOS COMPLEMENTARES</v>
      </c>
      <c r="D232" s="571" t="str">
        <f>IF($A232="INSUMO",VLOOKUP($B232,'BANCO DE DADOS JAN-23 INS'!$A:$D,3,FALSE),VLOOKUP($B232,'BANCO DE DADOS JAN-23 SERV'!$B:$E,3,FALSE))</f>
        <v>H</v>
      </c>
      <c r="E232" s="828">
        <v>1.67E-2</v>
      </c>
      <c r="F232" s="575">
        <f>IF($A232="INSUMO",VLOOKUP($B232,'BANCO DE DADOS JAN-23 INS'!$A:$D,4,FALSE),VLOOKUP($B232,'BANCO DE DADOS JAN-23 SERV'!$B:$E,4,FALSE))</f>
        <v>24.76</v>
      </c>
      <c r="G232" s="734">
        <f>TRUNC(E232*F232,2)</f>
        <v>0.41</v>
      </c>
      <c r="H232" s="743"/>
    </row>
    <row r="233" spans="1:9" s="763" customFormat="1" ht="30">
      <c r="A233" s="555" t="s">
        <v>452</v>
      </c>
      <c r="B233" s="744">
        <v>88267</v>
      </c>
      <c r="C233" s="574" t="str">
        <f>IF($A233="INSUMO",VLOOKUP($B233,'BANCO DE DADOS JAN-23 INS'!$A:$D,2,FALSE),VLOOKUP($B233,'BANCO DE DADOS JAN-23 SERV'!$B:$E,2,FALSE))</f>
        <v>ENCANADOR OU BOMBEIRO HIDRÁULICO COM ENCARGOS COMPLEMENTARES</v>
      </c>
      <c r="D233" s="571" t="str">
        <f>IF($A233="INSUMO",VLOOKUP($B233,'BANCO DE DADOS JAN-23 INS'!$A:$D,3,FALSE),VLOOKUP($B233,'BANCO DE DADOS JAN-23 SERV'!$B:$E,3,FALSE))</f>
        <v>H</v>
      </c>
      <c r="E233" s="828">
        <v>0.05</v>
      </c>
      <c r="F233" s="575">
        <f>IF($A233="INSUMO",VLOOKUP($B233,'BANCO DE DADOS JAN-23 INS'!$A:$D,4,FALSE),VLOOKUP($B233,'BANCO DE DADOS JAN-23 SERV'!$B:$E,4,FALSE))</f>
        <v>21.66</v>
      </c>
      <c r="G233" s="734">
        <f>TRUNC(E233*F233,2)</f>
        <v>1.08</v>
      </c>
      <c r="H233" s="743"/>
    </row>
    <row r="234" spans="1:9" s="763" customFormat="1" ht="16.5" thickBot="1">
      <c r="A234" s="555" t="s">
        <v>452</v>
      </c>
      <c r="B234" s="759">
        <v>88316</v>
      </c>
      <c r="C234" s="493" t="str">
        <f>IF($A234="INSUMO",VLOOKUP($B234,'BANCO DE DADOS JAN-23 INS'!$A:$D,2,FALSE),VLOOKUP($B234,'BANCO DE DADOS JAN-23 SERV'!$B:$E,2,FALSE))</f>
        <v>SERVENTE COM ENCARGOS COMPLEMENTARES</v>
      </c>
      <c r="D234" s="764" t="str">
        <f>IF($A234="INSUMO",VLOOKUP($B234,'BANCO DE DADOS JAN-23 INS'!$A:$D,3,FALSE),VLOOKUP($B234,'BANCO DE DADOS JAN-23 SERV'!$B:$E,3,FALSE))</f>
        <v>H</v>
      </c>
      <c r="E234" s="831">
        <v>0.1</v>
      </c>
      <c r="F234" s="765">
        <f>IF($A234="INSUMO",VLOOKUP($B234,'BANCO DE DADOS JAN-23 INS'!$A:$D,4,FALSE),VLOOKUP($B234,'BANCO DE DADOS JAN-23 SERV'!$B:$E,4,FALSE))</f>
        <v>17.420000000000002</v>
      </c>
      <c r="G234" s="742">
        <f>TRUNC(E234*F234,2)</f>
        <v>1.74</v>
      </c>
      <c r="H234" s="743"/>
    </row>
    <row r="235" spans="1:9" ht="37.5" customHeight="1" thickBot="1">
      <c r="A235" s="433"/>
      <c r="B235" s="1700" t="s">
        <v>7054</v>
      </c>
      <c r="C235" s="1700"/>
      <c r="D235" s="1700"/>
      <c r="E235" s="1701"/>
      <c r="F235" s="332" t="s">
        <v>192</v>
      </c>
      <c r="G235" s="434">
        <f>TRUNC(SUM(G230:G234),2)</f>
        <v>4.58</v>
      </c>
      <c r="H235" s="229"/>
      <c r="I235"/>
    </row>
    <row r="236" spans="1:9" ht="15.75" thickBot="1"/>
    <row r="237" spans="1:9" ht="33" customHeight="1">
      <c r="A237" s="433" t="s">
        <v>6776</v>
      </c>
      <c r="B237" s="333" t="str">
        <f>IF(COUNT($H$13:H237)&lt;10,CONCATENATE("AMM SAA 00",COUNT($H$13:H237)),CONCATENATE("AMM SAA 0",COUNT($H$13:H237)))</f>
        <v>AMM SAA 010</v>
      </c>
      <c r="C237" s="1673" t="s">
        <v>6960</v>
      </c>
      <c r="D237" s="1673"/>
      <c r="E237" s="1673"/>
      <c r="F237" s="1673"/>
      <c r="G237" s="357" t="s">
        <v>6798</v>
      </c>
      <c r="H237" s="348">
        <f>G246</f>
        <v>1175.22</v>
      </c>
      <c r="I237"/>
    </row>
    <row r="238" spans="1:9" ht="31.5">
      <c r="A238" s="433"/>
      <c r="B238" s="538" t="s">
        <v>206</v>
      </c>
      <c r="C238" s="543" t="s">
        <v>184</v>
      </c>
      <c r="D238" s="543" t="s">
        <v>23</v>
      </c>
      <c r="E238" s="543" t="s">
        <v>185</v>
      </c>
      <c r="F238" s="544" t="s">
        <v>186</v>
      </c>
      <c r="G238" s="1129" t="s">
        <v>187</v>
      </c>
      <c r="H238" s="229"/>
      <c r="I238"/>
    </row>
    <row r="239" spans="1:9" ht="15.75">
      <c r="A239" s="433"/>
      <c r="B239" s="1704" t="s">
        <v>188</v>
      </c>
      <c r="C239" s="1705"/>
      <c r="D239" s="1705"/>
      <c r="E239" s="1705"/>
      <c r="F239" s="1705"/>
      <c r="G239" s="1706"/>
      <c r="H239" s="229"/>
      <c r="I239"/>
    </row>
    <row r="240" spans="1:9" s="739" customFormat="1" ht="15.75">
      <c r="A240" s="555" t="s">
        <v>452</v>
      </c>
      <c r="B240" s="611" t="str">
        <f>B248</f>
        <v>COTAÇÃO 018</v>
      </c>
      <c r="C240" s="574" t="str">
        <f>C248</f>
        <v>CURVA 90° FERRO FUNDIDO COM FLANGES, PN-10, DN 100MM</v>
      </c>
      <c r="D240" s="612" t="str">
        <f>G248</f>
        <v>UN</v>
      </c>
      <c r="E240" s="828">
        <v>1</v>
      </c>
      <c r="F240" s="575">
        <f>D253</f>
        <v>493</v>
      </c>
      <c r="G240" s="734">
        <f>TRUNC(E240*F240,2)</f>
        <v>493</v>
      </c>
      <c r="H240" s="743"/>
    </row>
    <row r="241" spans="1:9" s="739" customFormat="1" ht="15.75">
      <c r="A241" s="555" t="s">
        <v>452</v>
      </c>
      <c r="B241" s="611" t="str">
        <f>B255</f>
        <v>COTAÇÃO 019</v>
      </c>
      <c r="C241" s="574" t="str">
        <f>C255</f>
        <v>EXTREMIDADE FERRO FUNDIDO PONTA E FLANGE, PN-10, DN 100MM</v>
      </c>
      <c r="D241" s="612" t="str">
        <f>G255</f>
        <v>UN</v>
      </c>
      <c r="E241" s="828">
        <v>1</v>
      </c>
      <c r="F241" s="575">
        <f>D260</f>
        <v>480</v>
      </c>
      <c r="G241" s="734">
        <f>TRUNC(E241*F241,2)</f>
        <v>480</v>
      </c>
      <c r="H241" s="743"/>
    </row>
    <row r="242" spans="1:9" s="739" customFormat="1" ht="15.75">
      <c r="A242" s="555" t="s">
        <v>452</v>
      </c>
      <c r="B242" s="611" t="str">
        <f>B262</f>
        <v>COTAÇÃO 020</v>
      </c>
      <c r="C242" s="574" t="str">
        <f>C262</f>
        <v>PARAFUSO/PORCA PARA FLANGE, DN 16MM</v>
      </c>
      <c r="D242" s="612" t="str">
        <f>G262</f>
        <v>UN</v>
      </c>
      <c r="E242" s="828">
        <v>8</v>
      </c>
      <c r="F242" s="575">
        <f>D267</f>
        <v>12</v>
      </c>
      <c r="G242" s="734">
        <f>TRUNC(E242*F242,2)</f>
        <v>96</v>
      </c>
      <c r="H242" s="743"/>
    </row>
    <row r="243" spans="1:9" s="739" customFormat="1" ht="15.75">
      <c r="A243" s="555" t="s">
        <v>452</v>
      </c>
      <c r="B243" s="611" t="str">
        <f>B269</f>
        <v>COTAÇÃO 021</v>
      </c>
      <c r="C243" s="574" t="str">
        <f>C269</f>
        <v>ARRUELA DE VEDAÇÃO PARA FLANGE, DN 100MM</v>
      </c>
      <c r="D243" s="612" t="str">
        <f>G269</f>
        <v>UN</v>
      </c>
      <c r="E243" s="828">
        <v>1</v>
      </c>
      <c r="F243" s="575">
        <f>D274</f>
        <v>4.8</v>
      </c>
      <c r="G243" s="734">
        <f>TRUNC(E243*F243,2)</f>
        <v>4.8</v>
      </c>
      <c r="H243" s="743"/>
    </row>
    <row r="244" spans="1:9" ht="15.75">
      <c r="A244" s="433"/>
      <c r="B244" s="1704" t="s">
        <v>6797</v>
      </c>
      <c r="C244" s="1705"/>
      <c r="D244" s="1705"/>
      <c r="E244" s="1705"/>
      <c r="F244" s="1705"/>
      <c r="G244" s="1706"/>
      <c r="H244" s="229"/>
      <c r="I244"/>
    </row>
    <row r="245" spans="1:9" s="763" customFormat="1" ht="45.75" thickBot="1">
      <c r="A245" s="555" t="s">
        <v>452</v>
      </c>
      <c r="B245" s="760">
        <v>103106</v>
      </c>
      <c r="C245" s="577" t="str">
        <f>IF($A245="INSUMO",VLOOKUP($B245,'BANCO DE DADOS JAN-23 INS'!$A:$D,2,FALSE),VLOOKUP($B245,'BANCO DE DADOS JAN-23 SERV'!$B:$E,2,FALSE))</f>
        <v>ASSENTAMENTO DE CONEXÃO COM 2 ACESSOS, FERRO FUNDIDO PARA REDE DE ÁGUA, DN  100 MM, JUNTA FLANGEADA (NÃO INCLUI O FORNECIMENTO). AF_09/2021</v>
      </c>
      <c r="D245" s="578" t="str">
        <f>IF($A245="INSUMO",VLOOKUP($B245,'BANCO DE DADOS JAN-23 INS'!$A:$D,3,FALSE),VLOOKUP($B245,'BANCO DE DADOS JAN-23 SERV'!$B:$E,3,FALSE))</f>
        <v>UN</v>
      </c>
      <c r="E245" s="827">
        <f>SUM(E240:E241)</f>
        <v>2</v>
      </c>
      <c r="F245" s="579">
        <f>IF($A245="INSUMO",VLOOKUP($B245,'BANCO DE DADOS JAN-23 INS'!$A:$D,4,FALSE),VLOOKUP($B245,'BANCO DE DADOS JAN-23 SERV'!$B:$E,4,FALSE))</f>
        <v>50.71</v>
      </c>
      <c r="G245" s="757">
        <f t="shared" ref="G245" si="8">TRUNC(E245*F245,2)</f>
        <v>101.42</v>
      </c>
      <c r="H245" s="743"/>
    </row>
    <row r="246" spans="1:9" ht="24.75" customHeight="1" thickBot="1">
      <c r="A246" s="433"/>
      <c r="B246" s="1691" t="s">
        <v>6850</v>
      </c>
      <c r="C246" s="1691"/>
      <c r="D246" s="1691"/>
      <c r="E246" s="1691"/>
      <c r="F246" s="332" t="s">
        <v>192</v>
      </c>
      <c r="G246" s="434">
        <f>TRUNC(SUM(G240:G245),2)</f>
        <v>1175.22</v>
      </c>
      <c r="H246" s="229"/>
      <c r="I246"/>
    </row>
    <row r="247" spans="1:9" s="294" customFormat="1" ht="15.75" customHeight="1" thickBot="1">
      <c r="B247" s="714"/>
      <c r="C247" s="229"/>
      <c r="D247" s="229"/>
      <c r="E247" s="229"/>
      <c r="F247" s="229"/>
      <c r="G247" s="715"/>
      <c r="I247" s="688"/>
    </row>
    <row r="248" spans="1:9" ht="15.75">
      <c r="A248" s="716"/>
      <c r="B248" s="422" t="s">
        <v>7240</v>
      </c>
      <c r="C248" s="689" t="s">
        <v>7030</v>
      </c>
      <c r="D248" s="423"/>
      <c r="E248" s="424"/>
      <c r="F248" s="421"/>
      <c r="G248" s="358" t="s">
        <v>23</v>
      </c>
      <c r="H248" s="605"/>
      <c r="I248" s="319"/>
    </row>
    <row r="249" spans="1:9" ht="31.5">
      <c r="A249" s="294"/>
      <c r="B249" s="542" t="s">
        <v>195</v>
      </c>
      <c r="C249" s="543" t="s">
        <v>196</v>
      </c>
      <c r="D249" s="544" t="s">
        <v>197</v>
      </c>
      <c r="E249" s="545" t="s">
        <v>198</v>
      </c>
      <c r="F249" s="546" t="s">
        <v>199</v>
      </c>
      <c r="G249" s="547" t="s">
        <v>200</v>
      </c>
      <c r="H249" s="224"/>
      <c r="I249" s="319"/>
    </row>
    <row r="250" spans="1:9" s="1476" customFormat="1" ht="15.75">
      <c r="A250" s="1469"/>
      <c r="B250" s="1470">
        <v>45014</v>
      </c>
      <c r="C250" s="1471" t="s">
        <v>7097</v>
      </c>
      <c r="D250" s="1472">
        <v>500</v>
      </c>
      <c r="E250" s="1440" t="s">
        <v>7098</v>
      </c>
      <c r="F250" s="681" t="s">
        <v>7099</v>
      </c>
      <c r="G250" s="1473" t="s">
        <v>7100</v>
      </c>
      <c r="H250" s="1474"/>
      <c r="I250" s="1475">
        <f>B250+180</f>
        <v>45194</v>
      </c>
    </row>
    <row r="251" spans="1:9" s="1484" customFormat="1" ht="15.75">
      <c r="A251" s="1469"/>
      <c r="B251" s="1470">
        <v>45015</v>
      </c>
      <c r="C251" s="1471" t="s">
        <v>13981</v>
      </c>
      <c r="D251" s="1472">
        <v>488.66</v>
      </c>
      <c r="E251" s="1483" t="s">
        <v>13982</v>
      </c>
      <c r="F251" s="681" t="s">
        <v>13983</v>
      </c>
      <c r="G251" s="1473" t="s">
        <v>7058</v>
      </c>
      <c r="H251" s="1474"/>
      <c r="I251" s="1475">
        <f>B251+180</f>
        <v>45195</v>
      </c>
    </row>
    <row r="252" spans="1:9" s="1476" customFormat="1" ht="15.75">
      <c r="A252" s="1469"/>
      <c r="B252" s="1470">
        <v>45016</v>
      </c>
      <c r="C252" s="1471" t="s">
        <v>7095</v>
      </c>
      <c r="D252" s="1472">
        <v>493</v>
      </c>
      <c r="E252" s="1483" t="s">
        <v>13985</v>
      </c>
      <c r="F252" s="681" t="s">
        <v>13986</v>
      </c>
      <c r="G252" s="1473" t="s">
        <v>7096</v>
      </c>
      <c r="H252" s="1474"/>
      <c r="I252" s="1475">
        <f>B252+180</f>
        <v>45196</v>
      </c>
    </row>
    <row r="253" spans="1:9" ht="16.5" thickBot="1">
      <c r="A253" s="294"/>
      <c r="B253" s="485"/>
      <c r="C253" s="549" t="s">
        <v>6778</v>
      </c>
      <c r="D253" s="718">
        <f>MEDIAN(D250:D252)</f>
        <v>493</v>
      </c>
      <c r="E253" s="551"/>
      <c r="F253" s="552"/>
      <c r="G253" s="553"/>
      <c r="H253" s="224"/>
      <c r="I253" s="717"/>
    </row>
    <row r="254" spans="1:9" s="294" customFormat="1" ht="15.75" customHeight="1" thickBot="1">
      <c r="B254" s="714"/>
      <c r="C254" s="229"/>
      <c r="D254" s="229"/>
      <c r="E254" s="229"/>
      <c r="F254" s="229"/>
      <c r="G254" s="715"/>
      <c r="I254" s="688"/>
    </row>
    <row r="255" spans="1:9" ht="15.75">
      <c r="A255" s="716"/>
      <c r="B255" s="422" t="s">
        <v>7241</v>
      </c>
      <c r="C255" s="689" t="s">
        <v>7031</v>
      </c>
      <c r="D255" s="423"/>
      <c r="E255" s="424"/>
      <c r="F255" s="421"/>
      <c r="G255" s="358" t="s">
        <v>23</v>
      </c>
      <c r="H255" s="605"/>
      <c r="I255" s="319"/>
    </row>
    <row r="256" spans="1:9" ht="31.5">
      <c r="A256" s="294"/>
      <c r="B256" s="542" t="s">
        <v>195</v>
      </c>
      <c r="C256" s="543" t="s">
        <v>196</v>
      </c>
      <c r="D256" s="544" t="s">
        <v>197</v>
      </c>
      <c r="E256" s="545" t="s">
        <v>198</v>
      </c>
      <c r="F256" s="546" t="s">
        <v>199</v>
      </c>
      <c r="G256" s="547" t="s">
        <v>200</v>
      </c>
      <c r="H256" s="224"/>
      <c r="I256" s="319"/>
    </row>
    <row r="257" spans="1:9" s="1476" customFormat="1" ht="15.75">
      <c r="A257" s="1469"/>
      <c r="B257" s="1470">
        <v>45014</v>
      </c>
      <c r="C257" s="1471" t="s">
        <v>7097</v>
      </c>
      <c r="D257" s="1472">
        <v>480</v>
      </c>
      <c r="E257" s="1440" t="s">
        <v>7098</v>
      </c>
      <c r="F257" s="681" t="s">
        <v>7099</v>
      </c>
      <c r="G257" s="1473" t="s">
        <v>7100</v>
      </c>
      <c r="H257" s="1474"/>
      <c r="I257" s="1475">
        <f>B257+180</f>
        <v>45194</v>
      </c>
    </row>
    <row r="258" spans="1:9" s="1484" customFormat="1" ht="15.75">
      <c r="A258" s="1469"/>
      <c r="B258" s="1470">
        <v>45015</v>
      </c>
      <c r="C258" s="1471" t="s">
        <v>13981</v>
      </c>
      <c r="D258" s="1472">
        <v>584.02</v>
      </c>
      <c r="E258" s="1483" t="s">
        <v>13982</v>
      </c>
      <c r="F258" s="681" t="s">
        <v>13983</v>
      </c>
      <c r="G258" s="1473" t="s">
        <v>7058</v>
      </c>
      <c r="H258" s="1474"/>
      <c r="I258" s="1475">
        <f>B258+180</f>
        <v>45195</v>
      </c>
    </row>
    <row r="259" spans="1:9" s="1476" customFormat="1" ht="15.75">
      <c r="A259" s="1469"/>
      <c r="B259" s="1470">
        <v>45016</v>
      </c>
      <c r="C259" s="1471" t="s">
        <v>7095</v>
      </c>
      <c r="D259" s="1472">
        <v>353.6</v>
      </c>
      <c r="E259" s="1483" t="s">
        <v>13985</v>
      </c>
      <c r="F259" s="681" t="s">
        <v>13986</v>
      </c>
      <c r="G259" s="1473" t="s">
        <v>7096</v>
      </c>
      <c r="H259" s="1474"/>
      <c r="I259" s="1475">
        <f>B259+180</f>
        <v>45196</v>
      </c>
    </row>
    <row r="260" spans="1:9" ht="16.5" thickBot="1">
      <c r="A260" s="294"/>
      <c r="B260" s="485"/>
      <c r="C260" s="549" t="s">
        <v>6778</v>
      </c>
      <c r="D260" s="718">
        <f>MEDIAN(D257:D259)</f>
        <v>480</v>
      </c>
      <c r="E260" s="551"/>
      <c r="F260" s="552"/>
      <c r="G260" s="553"/>
      <c r="H260" s="224"/>
      <c r="I260" s="717"/>
    </row>
    <row r="261" spans="1:9" s="294" customFormat="1" ht="15.75" customHeight="1" thickBot="1">
      <c r="B261" s="714"/>
      <c r="C261" s="229"/>
      <c r="D261" s="229"/>
      <c r="E261" s="229"/>
      <c r="F261" s="229"/>
      <c r="G261" s="715"/>
      <c r="I261" s="688"/>
    </row>
    <row r="262" spans="1:9" ht="15.75">
      <c r="A262" s="716"/>
      <c r="B262" s="422" t="s">
        <v>7242</v>
      </c>
      <c r="C262" s="689" t="s">
        <v>7197</v>
      </c>
      <c r="D262" s="423"/>
      <c r="E262" s="424"/>
      <c r="F262" s="421"/>
      <c r="G262" s="358" t="s">
        <v>23</v>
      </c>
      <c r="H262" s="605"/>
      <c r="I262" s="319"/>
    </row>
    <row r="263" spans="1:9" ht="31.5">
      <c r="A263" s="294"/>
      <c r="B263" s="542" t="s">
        <v>195</v>
      </c>
      <c r="C263" s="543" t="s">
        <v>196</v>
      </c>
      <c r="D263" s="544" t="s">
        <v>197</v>
      </c>
      <c r="E263" s="545" t="s">
        <v>198</v>
      </c>
      <c r="F263" s="546" t="s">
        <v>199</v>
      </c>
      <c r="G263" s="547" t="s">
        <v>200</v>
      </c>
      <c r="H263" s="224"/>
      <c r="I263" s="319"/>
    </row>
    <row r="264" spans="1:9" s="1476" customFormat="1" ht="15.75">
      <c r="A264" s="1469"/>
      <c r="B264" s="1470">
        <v>45014</v>
      </c>
      <c r="C264" s="1471" t="s">
        <v>7097</v>
      </c>
      <c r="D264" s="1472">
        <v>16</v>
      </c>
      <c r="E264" s="1440" t="s">
        <v>7098</v>
      </c>
      <c r="F264" s="681" t="s">
        <v>7099</v>
      </c>
      <c r="G264" s="1473" t="s">
        <v>7100</v>
      </c>
      <c r="H264" s="1474"/>
      <c r="I264" s="1475">
        <f>B264+180</f>
        <v>45194</v>
      </c>
    </row>
    <row r="265" spans="1:9" s="1484" customFormat="1" ht="15.75">
      <c r="A265" s="1469"/>
      <c r="B265" s="1470">
        <v>45015</v>
      </c>
      <c r="C265" s="1471" t="s">
        <v>13981</v>
      </c>
      <c r="D265" s="1472">
        <v>8.9</v>
      </c>
      <c r="E265" s="1483" t="s">
        <v>13982</v>
      </c>
      <c r="F265" s="681" t="s">
        <v>13983</v>
      </c>
      <c r="G265" s="1473" t="s">
        <v>7058</v>
      </c>
      <c r="H265" s="1474"/>
      <c r="I265" s="1475">
        <f>B265+180</f>
        <v>45195</v>
      </c>
    </row>
    <row r="266" spans="1:9" s="1476" customFormat="1" ht="15.75">
      <c r="A266" s="1469"/>
      <c r="B266" s="1470">
        <v>45016</v>
      </c>
      <c r="C266" s="1471" t="s">
        <v>7095</v>
      </c>
      <c r="D266" s="1472">
        <v>12</v>
      </c>
      <c r="E266" s="1483" t="s">
        <v>13985</v>
      </c>
      <c r="F266" s="681" t="s">
        <v>13986</v>
      </c>
      <c r="G266" s="1473" t="s">
        <v>7096</v>
      </c>
      <c r="H266" s="1474"/>
      <c r="I266" s="1475">
        <f>B266+180</f>
        <v>45196</v>
      </c>
    </row>
    <row r="267" spans="1:9" ht="16.5" thickBot="1">
      <c r="A267" s="294"/>
      <c r="B267" s="485"/>
      <c r="C267" s="549" t="s">
        <v>6778</v>
      </c>
      <c r="D267" s="718">
        <f>MEDIAN(D264:D266)</f>
        <v>12</v>
      </c>
      <c r="E267" s="551"/>
      <c r="F267" s="552"/>
      <c r="G267" s="553"/>
      <c r="H267" s="224"/>
      <c r="I267" s="717"/>
    </row>
    <row r="268" spans="1:9" s="294" customFormat="1" ht="15.75" customHeight="1" thickBot="1">
      <c r="B268" s="714"/>
      <c r="C268" s="229"/>
      <c r="D268" s="229"/>
      <c r="E268" s="229"/>
      <c r="F268" s="229"/>
      <c r="G268" s="715"/>
      <c r="I268" s="688"/>
    </row>
    <row r="269" spans="1:9" ht="15.75">
      <c r="A269" s="716"/>
      <c r="B269" s="422" t="s">
        <v>7243</v>
      </c>
      <c r="C269" s="689" t="s">
        <v>7198</v>
      </c>
      <c r="D269" s="423"/>
      <c r="E269" s="424"/>
      <c r="F269" s="421"/>
      <c r="G269" s="358" t="s">
        <v>23</v>
      </c>
      <c r="H269" s="605"/>
      <c r="I269" s="319"/>
    </row>
    <row r="270" spans="1:9" ht="31.5">
      <c r="A270" s="294"/>
      <c r="B270" s="542" t="s">
        <v>195</v>
      </c>
      <c r="C270" s="543" t="s">
        <v>196</v>
      </c>
      <c r="D270" s="544" t="s">
        <v>197</v>
      </c>
      <c r="E270" s="545" t="s">
        <v>198</v>
      </c>
      <c r="F270" s="546" t="s">
        <v>199</v>
      </c>
      <c r="G270" s="547" t="s">
        <v>200</v>
      </c>
      <c r="H270" s="224"/>
      <c r="I270" s="319"/>
    </row>
    <row r="271" spans="1:9" s="1476" customFormat="1" ht="15.75">
      <c r="A271" s="1469"/>
      <c r="B271" s="1470">
        <v>45014</v>
      </c>
      <c r="C271" s="1471" t="s">
        <v>7097</v>
      </c>
      <c r="D271" s="1472">
        <v>4.8</v>
      </c>
      <c r="E271" s="1440" t="s">
        <v>7098</v>
      </c>
      <c r="F271" s="681" t="s">
        <v>7099</v>
      </c>
      <c r="G271" s="1473" t="s">
        <v>7100</v>
      </c>
      <c r="H271" s="1474"/>
      <c r="I271" s="1475">
        <f>B271+180</f>
        <v>45194</v>
      </c>
    </row>
    <row r="272" spans="1:9" s="1484" customFormat="1" ht="15.75">
      <c r="A272" s="1469"/>
      <c r="B272" s="1470">
        <v>45015</v>
      </c>
      <c r="C272" s="1471" t="s">
        <v>13981</v>
      </c>
      <c r="D272" s="1472">
        <v>3.21</v>
      </c>
      <c r="E272" s="1483" t="s">
        <v>13982</v>
      </c>
      <c r="F272" s="681" t="s">
        <v>13983</v>
      </c>
      <c r="G272" s="1473" t="s">
        <v>7058</v>
      </c>
      <c r="H272" s="1474"/>
      <c r="I272" s="1475">
        <f>B272+180</f>
        <v>45195</v>
      </c>
    </row>
    <row r="273" spans="1:9" s="1476" customFormat="1" ht="15.75">
      <c r="A273" s="1469"/>
      <c r="B273" s="1470">
        <v>45016</v>
      </c>
      <c r="C273" s="1471" t="s">
        <v>7095</v>
      </c>
      <c r="D273" s="1472">
        <v>5.2</v>
      </c>
      <c r="E273" s="1483" t="s">
        <v>13985</v>
      </c>
      <c r="F273" s="681" t="s">
        <v>13986</v>
      </c>
      <c r="G273" s="1473" t="s">
        <v>7096</v>
      </c>
      <c r="H273" s="1474"/>
      <c r="I273" s="1475">
        <f>B273+180</f>
        <v>45196</v>
      </c>
    </row>
    <row r="274" spans="1:9" ht="16.5" thickBot="1">
      <c r="A274" s="294"/>
      <c r="B274" s="485"/>
      <c r="C274" s="549" t="s">
        <v>6778</v>
      </c>
      <c r="D274" s="718">
        <f>MEDIAN(D271:D273)</f>
        <v>4.8</v>
      </c>
      <c r="E274" s="551"/>
      <c r="F274" s="552"/>
      <c r="G274" s="553"/>
      <c r="H274" s="224"/>
      <c r="I274" s="717"/>
    </row>
    <row r="275" spans="1:9" ht="16.5" customHeight="1" thickBot="1">
      <c r="B275" s="752"/>
      <c r="C275" s="753"/>
      <c r="D275" s="753"/>
      <c r="E275" s="753"/>
      <c r="F275" s="753"/>
      <c r="G275" s="754"/>
      <c r="I275"/>
    </row>
    <row r="276" spans="1:9" ht="33" customHeight="1">
      <c r="A276" s="433" t="s">
        <v>6776</v>
      </c>
      <c r="B276" s="333" t="str">
        <f>IF(COUNT($H$13:H276)&lt;10,CONCATENATE("AMM SAA 00",COUNT($H$13:H276)),CONCATENATE("AMM SAA 0",COUNT($H$13:H276)))</f>
        <v>AMM SAA 011</v>
      </c>
      <c r="C276" s="1673" t="s">
        <v>6959</v>
      </c>
      <c r="D276" s="1673"/>
      <c r="E276" s="1673"/>
      <c r="F276" s="1673"/>
      <c r="G276" s="357" t="s">
        <v>6798</v>
      </c>
      <c r="H276" s="348">
        <f>G292</f>
        <v>16989.43</v>
      </c>
      <c r="I276"/>
    </row>
    <row r="277" spans="1:9" ht="31.5">
      <c r="A277" s="433"/>
      <c r="B277" s="538" t="s">
        <v>206</v>
      </c>
      <c r="C277" s="543" t="s">
        <v>184</v>
      </c>
      <c r="D277" s="543" t="s">
        <v>23</v>
      </c>
      <c r="E277" s="543" t="s">
        <v>185</v>
      </c>
      <c r="F277" s="544" t="s">
        <v>186</v>
      </c>
      <c r="G277" s="1129" t="s">
        <v>187</v>
      </c>
      <c r="H277" s="229"/>
      <c r="I277"/>
    </row>
    <row r="278" spans="1:9" ht="15.75">
      <c r="A278" s="433"/>
      <c r="B278" s="1697" t="s">
        <v>7032</v>
      </c>
      <c r="C278" s="1698"/>
      <c r="D278" s="1698"/>
      <c r="E278" s="1698"/>
      <c r="F278" s="1698"/>
      <c r="G278" s="1699"/>
      <c r="H278" s="229"/>
      <c r="I278"/>
    </row>
    <row r="279" spans="1:9" s="763" customFormat="1" ht="30">
      <c r="A279" s="555" t="s">
        <v>452</v>
      </c>
      <c r="B279" s="611" t="str">
        <f>B294</f>
        <v>COTAÇÃO 022</v>
      </c>
      <c r="C279" s="574" t="str">
        <f>C294</f>
        <v>TUBO FERRO FUNDIDO COM FLANGE E PONTA, PN-10, L = 5,8M, DN 100MM</v>
      </c>
      <c r="D279" s="612" t="str">
        <f>G294</f>
        <v>UN</v>
      </c>
      <c r="E279" s="1227">
        <v>1</v>
      </c>
      <c r="F279" s="575">
        <f>D299</f>
        <v>3780</v>
      </c>
      <c r="G279" s="734">
        <f t="shared" ref="G279:G283" si="9">TRUNC(E279*F279,2)</f>
        <v>3780</v>
      </c>
      <c r="H279" s="743"/>
    </row>
    <row r="280" spans="1:9" s="763" customFormat="1" ht="15.75">
      <c r="A280" s="555" t="s">
        <v>452</v>
      </c>
      <c r="B280" s="611" t="str">
        <f>B301</f>
        <v>COTAÇÃO 023</v>
      </c>
      <c r="C280" s="574" t="str">
        <f>C301</f>
        <v>TUBO FERRO FUNDIDO COM FLANGES, PN-10, L = 5,8M, DN 100MM</v>
      </c>
      <c r="D280" s="612" t="str">
        <f>G301</f>
        <v>UN</v>
      </c>
      <c r="E280" s="1227">
        <v>2</v>
      </c>
      <c r="F280" s="575">
        <f>D306</f>
        <v>3852</v>
      </c>
      <c r="G280" s="734">
        <f t="shared" si="9"/>
        <v>7704</v>
      </c>
      <c r="H280" s="743"/>
    </row>
    <row r="281" spans="1:9" s="763" customFormat="1" ht="15.75">
      <c r="A281" s="555" t="s">
        <v>452</v>
      </c>
      <c r="B281" s="611" t="str">
        <f>B308</f>
        <v>COTAÇÃO 024</v>
      </c>
      <c r="C281" s="574" t="str">
        <f>C308</f>
        <v>CURVA 90° FERRO FUNDIDO COM FLANGES E PÉ, PN-10, DN 100MM</v>
      </c>
      <c r="D281" s="612" t="str">
        <f>G308</f>
        <v>UN</v>
      </c>
      <c r="E281" s="1227">
        <v>1</v>
      </c>
      <c r="F281" s="575">
        <f>D313</f>
        <v>629</v>
      </c>
      <c r="G281" s="734">
        <f t="shared" si="9"/>
        <v>629</v>
      </c>
      <c r="H281" s="743"/>
    </row>
    <row r="282" spans="1:9" s="763" customFormat="1" ht="15.75">
      <c r="A282" s="555" t="s">
        <v>452</v>
      </c>
      <c r="B282" s="611" t="str">
        <f>B315</f>
        <v>COTAÇÃO 025</v>
      </c>
      <c r="C282" s="574" t="str">
        <f>C315</f>
        <v>TUBO FERRO FUNDIDO COM FLANGES, PN-10, L = 1,4M, DN 100MM</v>
      </c>
      <c r="D282" s="612" t="str">
        <f>G315</f>
        <v>UN</v>
      </c>
      <c r="E282" s="1227">
        <v>1</v>
      </c>
      <c r="F282" s="575">
        <f>D320</f>
        <v>1137.5999999999999</v>
      </c>
      <c r="G282" s="734">
        <f t="shared" si="9"/>
        <v>1137.5999999999999</v>
      </c>
      <c r="H282" s="743"/>
    </row>
    <row r="283" spans="1:9" s="763" customFormat="1" ht="15.75">
      <c r="A283" s="555" t="s">
        <v>452</v>
      </c>
      <c r="B283" s="611" t="str">
        <f>B322</f>
        <v>COTAÇÃO 026</v>
      </c>
      <c r="C283" s="574" t="str">
        <f>C322</f>
        <v>CURVA 45° FERRO FUNDIDO COM FLANGES, PN-10, DN 100MM</v>
      </c>
      <c r="D283" s="612" t="str">
        <f>G322</f>
        <v>UN</v>
      </c>
      <c r="E283" s="1227">
        <v>2</v>
      </c>
      <c r="F283" s="575">
        <f>D327</f>
        <v>442</v>
      </c>
      <c r="G283" s="734">
        <f t="shared" si="9"/>
        <v>884</v>
      </c>
      <c r="H283" s="743"/>
    </row>
    <row r="284" spans="1:9" s="763" customFormat="1" ht="15.75">
      <c r="A284" s="555" t="s">
        <v>452</v>
      </c>
      <c r="B284" s="611" t="str">
        <f>B329</f>
        <v>COTAÇÃO 027</v>
      </c>
      <c r="C284" s="574" t="str">
        <f>C329</f>
        <v>TUBO FERRO FUNDIDO COM FLANGES, PN-10, L = 1,72M, DN 100MM</v>
      </c>
      <c r="D284" s="612" t="str">
        <f>G329</f>
        <v>UN</v>
      </c>
      <c r="E284" s="1227">
        <v>1</v>
      </c>
      <c r="F284" s="575">
        <f>D334</f>
        <v>1289.28</v>
      </c>
      <c r="G284" s="734">
        <f t="shared" ref="G284:G285" si="10">TRUNC(E284*F284,2)</f>
        <v>1289.28</v>
      </c>
      <c r="H284" s="743"/>
    </row>
    <row r="285" spans="1:9" s="763" customFormat="1" ht="15.75">
      <c r="A285" s="555" t="s">
        <v>452</v>
      </c>
      <c r="B285" s="611" t="str">
        <f>B336</f>
        <v>COTAÇÃO 028</v>
      </c>
      <c r="C285" s="574" t="str">
        <f>C336</f>
        <v>EXTREMIDADE BOLSA E FLANGE PARA PVC PBA, DN 100MM</v>
      </c>
      <c r="D285" s="612" t="str">
        <f>G336</f>
        <v>UN</v>
      </c>
      <c r="E285" s="1227">
        <v>1</v>
      </c>
      <c r="F285" s="575">
        <f>D341</f>
        <v>360</v>
      </c>
      <c r="G285" s="734">
        <f t="shared" si="10"/>
        <v>360</v>
      </c>
      <c r="H285" s="743"/>
    </row>
    <row r="286" spans="1:9" s="763" customFormat="1" ht="15.75">
      <c r="A286" s="555" t="s">
        <v>452</v>
      </c>
      <c r="B286" s="611" t="str">
        <f>B343</f>
        <v>COTAÇÃO 029</v>
      </c>
      <c r="C286" s="574" t="str">
        <f>C343</f>
        <v>PARAFUSO/PORCA PARA FLANGE, DN 16MM</v>
      </c>
      <c r="D286" s="612" t="str">
        <f>G343</f>
        <v>UN</v>
      </c>
      <c r="E286" s="1227">
        <v>64</v>
      </c>
      <c r="F286" s="575">
        <f>D348</f>
        <v>12</v>
      </c>
      <c r="G286" s="734">
        <f t="shared" ref="G286:G287" si="11">TRUNC(E286*F286,2)</f>
        <v>768</v>
      </c>
      <c r="H286" s="743"/>
    </row>
    <row r="287" spans="1:9" s="763" customFormat="1" ht="15.75">
      <c r="A287" s="555" t="s">
        <v>452</v>
      </c>
      <c r="B287" s="611" t="str">
        <f>B350</f>
        <v>COTAÇÃO 030</v>
      </c>
      <c r="C287" s="574" t="str">
        <f>C350</f>
        <v>ARRUELA DE VEDAÇÃO PARA FLANGE, DN 100MM</v>
      </c>
      <c r="D287" s="612" t="str">
        <f>G350</f>
        <v>UN</v>
      </c>
      <c r="E287" s="1227">
        <v>8</v>
      </c>
      <c r="F287" s="575">
        <f>D355</f>
        <v>4.8</v>
      </c>
      <c r="G287" s="734">
        <f t="shared" si="11"/>
        <v>38.4</v>
      </c>
      <c r="H287" s="743"/>
    </row>
    <row r="288" spans="1:9" ht="15.75">
      <c r="A288" s="433"/>
      <c r="B288" s="1704" t="s">
        <v>6797</v>
      </c>
      <c r="C288" s="1705"/>
      <c r="D288" s="1705"/>
      <c r="E288" s="1705"/>
      <c r="F288" s="1705"/>
      <c r="G288" s="1706"/>
      <c r="H288" s="229"/>
      <c r="I288"/>
    </row>
    <row r="289" spans="1:9" s="763" customFormat="1" ht="45">
      <c r="A289" s="555" t="s">
        <v>452</v>
      </c>
      <c r="B289" s="611">
        <v>103106</v>
      </c>
      <c r="C289" s="574" t="str">
        <f>IF($A289="INSUMO",VLOOKUP($B289,'BANCO DE DADOS JAN-23 INS'!$A:$D,2,FALSE),VLOOKUP($B289,'BANCO DE DADOS JAN-23 SERV'!$B:$E,2,FALSE))</f>
        <v>ASSENTAMENTO DE CONEXÃO COM 2 ACESSOS, FERRO FUNDIDO PARA REDE DE ÁGUA, DN  100 MM, JUNTA FLANGEADA (NÃO INCLUI O FORNECIMENTO). AF_09/2021</v>
      </c>
      <c r="D289" s="571" t="str">
        <f>IF($A289="INSUMO",VLOOKUP($B289,'BANCO DE DADOS JAN-23 INS'!$A:$D,3,FALSE),VLOOKUP($B289,'BANCO DE DADOS JAN-23 SERV'!$B:$E,3,FALSE))</f>
        <v>UN</v>
      </c>
      <c r="E289" s="1227">
        <f>SUM(E281,E283)</f>
        <v>3</v>
      </c>
      <c r="F289" s="575">
        <f>IF($A289="INSUMO",VLOOKUP($B289,'BANCO DE DADOS JAN-23 INS'!$A:$D,4,FALSE),VLOOKUP($B289,'BANCO DE DADOS JAN-23 SERV'!$B:$E,4,FALSE))</f>
        <v>50.71</v>
      </c>
      <c r="G289" s="734">
        <f t="shared" ref="G289" si="12">TRUNC(E289*F289,2)</f>
        <v>152.13</v>
      </c>
      <c r="H289" s="743"/>
    </row>
    <row r="290" spans="1:9" s="763" customFormat="1" ht="45">
      <c r="A290" s="555" t="s">
        <v>452</v>
      </c>
      <c r="B290" s="611">
        <v>103090</v>
      </c>
      <c r="C290" s="574" t="str">
        <f>IF($A290="INSUMO",VLOOKUP($B290,'BANCO DE DADOS JAN-23 INS'!$A:$D,2,FALSE),VLOOKUP($B290,'BANCO DE DADOS JAN-23 SERV'!$B:$E,2,FALSE))</f>
        <v>ASSENTAMENTO DE TUBO DE FERRO FUNDIDO PARA REDE DE ÁGUA, DN 100 MM, JUNTA FLANGEADA (NÃO INCLUI O FORNECIMENTO). AF_09/2021</v>
      </c>
      <c r="D290" s="571" t="str">
        <f>IF($A290="INSUMO",VLOOKUP($B290,'BANCO DE DADOS JAN-23 INS'!$A:$D,3,FALSE),VLOOKUP($B290,'BANCO DE DADOS JAN-23 SERV'!$B:$E,3,FALSE))</f>
        <v>M</v>
      </c>
      <c r="E290" s="1227">
        <f>5.8+(5.8*2)+1.4+1.72</f>
        <v>20.519999999999996</v>
      </c>
      <c r="F290" s="575">
        <f>IF($A290="INSUMO",VLOOKUP($B290,'BANCO DE DADOS JAN-23 INS'!$A:$D,4,FALSE),VLOOKUP($B290,'BANCO DE DADOS JAN-23 SERV'!$B:$E,4,FALSE))</f>
        <v>11.92</v>
      </c>
      <c r="G290" s="734">
        <f t="shared" ref="G290" si="13">TRUNC(E290*F290,2)</f>
        <v>244.59</v>
      </c>
      <c r="H290" s="743"/>
    </row>
    <row r="291" spans="1:9" s="763" customFormat="1" ht="30.75" thickBot="1">
      <c r="A291" s="555" t="s">
        <v>452</v>
      </c>
      <c r="B291" s="766" t="str">
        <f>B409</f>
        <v>AMM SAA 016</v>
      </c>
      <c r="C291" s="493" t="str">
        <f>C409</f>
        <v>ASSENTAMENTO DE CONEXÕES DE PVC, JUNTA ELÁSTICA, PONTA E BOLSA, DIAM.= 100 MM</v>
      </c>
      <c r="D291" s="764" t="str">
        <f>G409</f>
        <v>UN</v>
      </c>
      <c r="E291" s="1229">
        <f>E285</f>
        <v>1</v>
      </c>
      <c r="F291" s="765">
        <f>G415</f>
        <v>2.4300000000000002</v>
      </c>
      <c r="G291" s="742">
        <f t="shared" ref="G291" si="14">TRUNC(E291*F291,2)</f>
        <v>2.4300000000000002</v>
      </c>
      <c r="H291" s="743"/>
    </row>
    <row r="292" spans="1:9" s="582" customFormat="1" ht="25.5" customHeight="1" thickBot="1">
      <c r="A292" s="433"/>
      <c r="B292" s="1691" t="s">
        <v>6858</v>
      </c>
      <c r="C292" s="1691"/>
      <c r="D292" s="1691"/>
      <c r="E292" s="1691"/>
      <c r="F292" s="332" t="s">
        <v>192</v>
      </c>
      <c r="G292" s="434">
        <f>TRUNC(SUM(G279:G291),2)</f>
        <v>16989.43</v>
      </c>
      <c r="H292" s="229"/>
    </row>
    <row r="293" spans="1:9" s="294" customFormat="1" ht="15.75" customHeight="1" thickBot="1">
      <c r="B293" s="714"/>
      <c r="C293" s="229"/>
      <c r="D293" s="229"/>
      <c r="E293" s="229"/>
      <c r="F293" s="229"/>
      <c r="G293" s="715"/>
      <c r="I293" s="688"/>
    </row>
    <row r="294" spans="1:9" ht="31.5">
      <c r="A294" s="716"/>
      <c r="B294" s="422" t="s">
        <v>7244</v>
      </c>
      <c r="C294" s="689" t="s">
        <v>7033</v>
      </c>
      <c r="D294" s="423"/>
      <c r="E294" s="424"/>
      <c r="F294" s="421"/>
      <c r="G294" s="358" t="s">
        <v>23</v>
      </c>
      <c r="H294" s="605"/>
      <c r="I294" s="319"/>
    </row>
    <row r="295" spans="1:9" ht="31.5">
      <c r="A295" s="294"/>
      <c r="B295" s="542" t="s">
        <v>195</v>
      </c>
      <c r="C295" s="543" t="s">
        <v>196</v>
      </c>
      <c r="D295" s="544" t="s">
        <v>197</v>
      </c>
      <c r="E295" s="545" t="s">
        <v>198</v>
      </c>
      <c r="F295" s="546" t="s">
        <v>199</v>
      </c>
      <c r="G295" s="547" t="s">
        <v>200</v>
      </c>
      <c r="H295" s="224"/>
      <c r="I295" s="319"/>
    </row>
    <row r="296" spans="1:9" s="1476" customFormat="1" ht="15.75">
      <c r="A296" s="1469"/>
      <c r="B296" s="1470">
        <v>45014</v>
      </c>
      <c r="C296" s="1471" t="s">
        <v>7097</v>
      </c>
      <c r="D296" s="1472">
        <v>3780</v>
      </c>
      <c r="E296" s="1440" t="s">
        <v>7098</v>
      </c>
      <c r="F296" s="681" t="s">
        <v>7099</v>
      </c>
      <c r="G296" s="1473" t="s">
        <v>7100</v>
      </c>
      <c r="H296" s="1474"/>
      <c r="I296" s="1475">
        <f>B296+180</f>
        <v>45194</v>
      </c>
    </row>
    <row r="297" spans="1:9" s="1484" customFormat="1" ht="15.75">
      <c r="A297" s="1469"/>
      <c r="B297" s="1470">
        <v>45015</v>
      </c>
      <c r="C297" s="1471" t="s">
        <v>13981</v>
      </c>
      <c r="D297" s="1472">
        <v>4480</v>
      </c>
      <c r="E297" s="1483" t="s">
        <v>13982</v>
      </c>
      <c r="F297" s="681" t="s">
        <v>13983</v>
      </c>
      <c r="G297" s="1473" t="s">
        <v>7058</v>
      </c>
      <c r="H297" s="1474"/>
      <c r="I297" s="1475">
        <f>B297+180</f>
        <v>45195</v>
      </c>
    </row>
    <row r="298" spans="1:9" s="1476" customFormat="1" ht="15.75">
      <c r="A298" s="1469"/>
      <c r="B298" s="1470">
        <v>45016</v>
      </c>
      <c r="C298" s="1471" t="s">
        <v>7095</v>
      </c>
      <c r="D298" s="1472">
        <v>2986.2</v>
      </c>
      <c r="E298" s="1483" t="s">
        <v>13985</v>
      </c>
      <c r="F298" s="681" t="s">
        <v>13986</v>
      </c>
      <c r="G298" s="1473" t="s">
        <v>7096</v>
      </c>
      <c r="H298" s="1474"/>
      <c r="I298" s="1475">
        <f>B298+180</f>
        <v>45196</v>
      </c>
    </row>
    <row r="299" spans="1:9" ht="16.5" thickBot="1">
      <c r="A299" s="294"/>
      <c r="B299" s="485"/>
      <c r="C299" s="549" t="s">
        <v>6778</v>
      </c>
      <c r="D299" s="718">
        <f>MEDIAN(D296:D298)</f>
        <v>3780</v>
      </c>
      <c r="E299" s="551"/>
      <c r="F299" s="552"/>
      <c r="G299" s="553"/>
      <c r="H299" s="224"/>
      <c r="I299" s="717"/>
    </row>
    <row r="300" spans="1:9" s="294" customFormat="1" ht="15.75" customHeight="1" thickBot="1">
      <c r="B300" s="714"/>
      <c r="C300" s="229"/>
      <c r="D300" s="229"/>
      <c r="E300" s="229"/>
      <c r="F300" s="229"/>
      <c r="G300" s="715"/>
      <c r="I300" s="688"/>
    </row>
    <row r="301" spans="1:9" ht="15.75">
      <c r="A301" s="716"/>
      <c r="B301" s="422" t="s">
        <v>7245</v>
      </c>
      <c r="C301" s="689" t="s">
        <v>7034</v>
      </c>
      <c r="D301" s="423"/>
      <c r="E301" s="424"/>
      <c r="F301" s="421"/>
      <c r="G301" s="358" t="s">
        <v>23</v>
      </c>
      <c r="H301" s="605"/>
      <c r="I301" s="319"/>
    </row>
    <row r="302" spans="1:9" ht="31.5">
      <c r="A302" s="294"/>
      <c r="B302" s="542" t="s">
        <v>195</v>
      </c>
      <c r="C302" s="543" t="s">
        <v>196</v>
      </c>
      <c r="D302" s="544" t="s">
        <v>197</v>
      </c>
      <c r="E302" s="545" t="s">
        <v>198</v>
      </c>
      <c r="F302" s="546" t="s">
        <v>199</v>
      </c>
      <c r="G302" s="547" t="s">
        <v>200</v>
      </c>
      <c r="H302" s="224"/>
      <c r="I302" s="319"/>
    </row>
    <row r="303" spans="1:9" s="1476" customFormat="1" ht="15.75">
      <c r="A303" s="1469"/>
      <c r="B303" s="1470">
        <v>45014</v>
      </c>
      <c r="C303" s="1471" t="s">
        <v>7097</v>
      </c>
      <c r="D303" s="1472">
        <v>3852</v>
      </c>
      <c r="E303" s="1440" t="s">
        <v>7098</v>
      </c>
      <c r="F303" s="681" t="s">
        <v>7099</v>
      </c>
      <c r="G303" s="1473" t="s">
        <v>7100</v>
      </c>
      <c r="H303" s="1474"/>
      <c r="I303" s="1475">
        <f>B303+180</f>
        <v>45194</v>
      </c>
    </row>
    <row r="304" spans="1:9" s="1484" customFormat="1" ht="15.75">
      <c r="A304" s="1469"/>
      <c r="B304" s="1470">
        <v>45015</v>
      </c>
      <c r="C304" s="1471" t="s">
        <v>13981</v>
      </c>
      <c r="D304" s="1472">
        <v>4970</v>
      </c>
      <c r="E304" s="1483" t="s">
        <v>13982</v>
      </c>
      <c r="F304" s="681" t="s">
        <v>13983</v>
      </c>
      <c r="G304" s="1473" t="s">
        <v>7058</v>
      </c>
      <c r="H304" s="1474"/>
      <c r="I304" s="1475">
        <f>B304+180</f>
        <v>45195</v>
      </c>
    </row>
    <row r="305" spans="1:9" s="1476" customFormat="1" ht="15.75">
      <c r="A305" s="1469"/>
      <c r="B305" s="1470">
        <v>45016</v>
      </c>
      <c r="C305" s="1471" t="s">
        <v>7095</v>
      </c>
      <c r="D305" s="1472">
        <v>3223.2</v>
      </c>
      <c r="E305" s="1483" t="s">
        <v>13985</v>
      </c>
      <c r="F305" s="681" t="s">
        <v>13986</v>
      </c>
      <c r="G305" s="1473" t="s">
        <v>7096</v>
      </c>
      <c r="H305" s="1474"/>
      <c r="I305" s="1475">
        <f>B305+180</f>
        <v>45196</v>
      </c>
    </row>
    <row r="306" spans="1:9" ht="16.5" thickBot="1">
      <c r="A306" s="294"/>
      <c r="B306" s="485"/>
      <c r="C306" s="549" t="s">
        <v>6778</v>
      </c>
      <c r="D306" s="718">
        <f>MEDIAN(D303:D305)</f>
        <v>3852</v>
      </c>
      <c r="E306" s="551"/>
      <c r="F306" s="552"/>
      <c r="G306" s="553"/>
      <c r="H306" s="224"/>
      <c r="I306" s="717"/>
    </row>
    <row r="307" spans="1:9" s="294" customFormat="1" ht="15.75" customHeight="1" thickBot="1">
      <c r="B307" s="714"/>
      <c r="C307" s="229"/>
      <c r="D307" s="229"/>
      <c r="E307" s="229"/>
      <c r="F307" s="229"/>
      <c r="G307" s="715"/>
      <c r="I307" s="688"/>
    </row>
    <row r="308" spans="1:9" ht="15.75">
      <c r="A308" s="716"/>
      <c r="B308" s="422" t="s">
        <v>7246</v>
      </c>
      <c r="C308" s="689" t="s">
        <v>7035</v>
      </c>
      <c r="D308" s="423"/>
      <c r="E308" s="424"/>
      <c r="F308" s="421"/>
      <c r="G308" s="358" t="s">
        <v>23</v>
      </c>
      <c r="H308" s="605"/>
      <c r="I308" s="319"/>
    </row>
    <row r="309" spans="1:9" ht="31.5">
      <c r="A309" s="294"/>
      <c r="B309" s="542" t="s">
        <v>195</v>
      </c>
      <c r="C309" s="543" t="s">
        <v>196</v>
      </c>
      <c r="D309" s="544" t="s">
        <v>197</v>
      </c>
      <c r="E309" s="545" t="s">
        <v>198</v>
      </c>
      <c r="F309" s="546" t="s">
        <v>199</v>
      </c>
      <c r="G309" s="547" t="s">
        <v>200</v>
      </c>
      <c r="H309" s="224"/>
      <c r="I309" s="319"/>
    </row>
    <row r="310" spans="1:9" s="1476" customFormat="1" ht="15.75">
      <c r="A310" s="1469"/>
      <c r="B310" s="1470">
        <v>45014</v>
      </c>
      <c r="C310" s="1471" t="s">
        <v>7097</v>
      </c>
      <c r="D310" s="1472">
        <v>600</v>
      </c>
      <c r="E310" s="1440" t="s">
        <v>7098</v>
      </c>
      <c r="F310" s="681" t="s">
        <v>7099</v>
      </c>
      <c r="G310" s="1473" t="s">
        <v>7100</v>
      </c>
      <c r="H310" s="1474"/>
      <c r="I310" s="1475">
        <f>B310+180</f>
        <v>45194</v>
      </c>
    </row>
    <row r="311" spans="1:9" s="1484" customFormat="1" ht="15.75">
      <c r="A311" s="1469"/>
      <c r="B311" s="1470">
        <v>45015</v>
      </c>
      <c r="C311" s="1471" t="s">
        <v>13981</v>
      </c>
      <c r="D311" s="1472">
        <v>688.71</v>
      </c>
      <c r="E311" s="1483" t="s">
        <v>13982</v>
      </c>
      <c r="F311" s="681" t="s">
        <v>13983</v>
      </c>
      <c r="G311" s="1473" t="s">
        <v>7058</v>
      </c>
      <c r="H311" s="1474"/>
      <c r="I311" s="1475">
        <f>B311+180</f>
        <v>45195</v>
      </c>
    </row>
    <row r="312" spans="1:9" s="1476" customFormat="1" ht="15.75">
      <c r="A312" s="1469"/>
      <c r="B312" s="1470">
        <v>45016</v>
      </c>
      <c r="C312" s="1471" t="s">
        <v>7095</v>
      </c>
      <c r="D312" s="1472">
        <v>629</v>
      </c>
      <c r="E312" s="1483" t="s">
        <v>13985</v>
      </c>
      <c r="F312" s="681" t="s">
        <v>13986</v>
      </c>
      <c r="G312" s="1473" t="s">
        <v>7096</v>
      </c>
      <c r="H312" s="1474"/>
      <c r="I312" s="1475">
        <f>B312+180</f>
        <v>45196</v>
      </c>
    </row>
    <row r="313" spans="1:9" ht="16.5" thickBot="1">
      <c r="A313" s="294"/>
      <c r="B313" s="485"/>
      <c r="C313" s="549" t="s">
        <v>6778</v>
      </c>
      <c r="D313" s="718">
        <f>MEDIAN(D310:D312)</f>
        <v>629</v>
      </c>
      <c r="E313" s="551"/>
      <c r="F313" s="552"/>
      <c r="G313" s="553"/>
      <c r="H313" s="224"/>
      <c r="I313" s="717"/>
    </row>
    <row r="314" spans="1:9" s="294" customFormat="1" ht="15.75" customHeight="1" thickBot="1">
      <c r="B314" s="714"/>
      <c r="C314" s="229"/>
      <c r="D314" s="229"/>
      <c r="E314" s="229"/>
      <c r="F314" s="229"/>
      <c r="G314" s="715"/>
      <c r="I314" s="688"/>
    </row>
    <row r="315" spans="1:9" ht="15.75">
      <c r="A315" s="716"/>
      <c r="B315" s="422" t="s">
        <v>7247</v>
      </c>
      <c r="C315" s="689" t="s">
        <v>7036</v>
      </c>
      <c r="D315" s="423"/>
      <c r="E315" s="424"/>
      <c r="F315" s="421"/>
      <c r="G315" s="358" t="s">
        <v>23</v>
      </c>
      <c r="H315" s="605"/>
      <c r="I315" s="319"/>
    </row>
    <row r="316" spans="1:9" ht="31.5">
      <c r="A316" s="294"/>
      <c r="B316" s="542" t="s">
        <v>195</v>
      </c>
      <c r="C316" s="543" t="s">
        <v>196</v>
      </c>
      <c r="D316" s="544" t="s">
        <v>197</v>
      </c>
      <c r="E316" s="545" t="s">
        <v>198</v>
      </c>
      <c r="F316" s="546" t="s">
        <v>199</v>
      </c>
      <c r="G316" s="547" t="s">
        <v>200</v>
      </c>
      <c r="H316" s="224"/>
      <c r="I316" s="319"/>
    </row>
    <row r="317" spans="1:9" s="1476" customFormat="1" ht="15.75">
      <c r="A317" s="1469"/>
      <c r="B317" s="1470">
        <v>45014</v>
      </c>
      <c r="C317" s="1471" t="s">
        <v>7097</v>
      </c>
      <c r="D317" s="1472">
        <v>1091</v>
      </c>
      <c r="E317" s="1440" t="s">
        <v>7098</v>
      </c>
      <c r="F317" s="681" t="s">
        <v>7099</v>
      </c>
      <c r="G317" s="1473" t="s">
        <v>7100</v>
      </c>
      <c r="H317" s="1474"/>
      <c r="I317" s="1475">
        <f>B317+180</f>
        <v>45194</v>
      </c>
    </row>
    <row r="318" spans="1:9" s="1484" customFormat="1" ht="15.75">
      <c r="A318" s="1469"/>
      <c r="B318" s="1470">
        <v>45015</v>
      </c>
      <c r="C318" s="1471" t="s">
        <v>13981</v>
      </c>
      <c r="D318" s="1472">
        <v>1947</v>
      </c>
      <c r="E318" s="1483" t="s">
        <v>13982</v>
      </c>
      <c r="F318" s="681" t="s">
        <v>13983</v>
      </c>
      <c r="G318" s="1473" t="s">
        <v>7058</v>
      </c>
      <c r="H318" s="1474"/>
      <c r="I318" s="1475">
        <f>B318+180</f>
        <v>45195</v>
      </c>
    </row>
    <row r="319" spans="1:9" s="1476" customFormat="1" ht="15.75">
      <c r="A319" s="1469"/>
      <c r="B319" s="1470">
        <v>45016</v>
      </c>
      <c r="C319" s="1471" t="s">
        <v>7095</v>
      </c>
      <c r="D319" s="1472">
        <v>1137.5999999999999</v>
      </c>
      <c r="E319" s="1483" t="s">
        <v>13985</v>
      </c>
      <c r="F319" s="681" t="s">
        <v>13986</v>
      </c>
      <c r="G319" s="1473" t="s">
        <v>7096</v>
      </c>
      <c r="H319" s="1474"/>
      <c r="I319" s="1475">
        <f>B319+180</f>
        <v>45196</v>
      </c>
    </row>
    <row r="320" spans="1:9" ht="16.5" thickBot="1">
      <c r="A320" s="294"/>
      <c r="B320" s="485"/>
      <c r="C320" s="549" t="s">
        <v>6778</v>
      </c>
      <c r="D320" s="718">
        <f>MEDIAN(D317:D319)</f>
        <v>1137.5999999999999</v>
      </c>
      <c r="E320" s="551"/>
      <c r="F320" s="552"/>
      <c r="G320" s="553"/>
      <c r="H320" s="224"/>
      <c r="I320" s="717"/>
    </row>
    <row r="321" spans="1:9" s="294" customFormat="1" ht="15.75" customHeight="1" thickBot="1">
      <c r="B321" s="714"/>
      <c r="C321" s="229"/>
      <c r="D321" s="229"/>
      <c r="E321" s="229"/>
      <c r="F321" s="229"/>
      <c r="G321" s="715"/>
      <c r="I321" s="688"/>
    </row>
    <row r="322" spans="1:9" ht="15.75">
      <c r="A322" s="716"/>
      <c r="B322" s="422" t="s">
        <v>7248</v>
      </c>
      <c r="C322" s="689" t="s">
        <v>7037</v>
      </c>
      <c r="D322" s="423"/>
      <c r="E322" s="424"/>
      <c r="F322" s="421"/>
      <c r="G322" s="358" t="s">
        <v>23</v>
      </c>
      <c r="H322" s="605"/>
      <c r="I322" s="319"/>
    </row>
    <row r="323" spans="1:9" ht="31.5">
      <c r="A323" s="294"/>
      <c r="B323" s="542" t="s">
        <v>195</v>
      </c>
      <c r="C323" s="543" t="s">
        <v>196</v>
      </c>
      <c r="D323" s="544" t="s">
        <v>197</v>
      </c>
      <c r="E323" s="545" t="s">
        <v>198</v>
      </c>
      <c r="F323" s="546" t="s">
        <v>199</v>
      </c>
      <c r="G323" s="547" t="s">
        <v>200</v>
      </c>
      <c r="H323" s="224"/>
      <c r="I323" s="319"/>
    </row>
    <row r="324" spans="1:9" s="1476" customFormat="1" ht="15.75">
      <c r="A324" s="1469"/>
      <c r="B324" s="1470">
        <v>45014</v>
      </c>
      <c r="C324" s="1471" t="s">
        <v>7097</v>
      </c>
      <c r="D324" s="1472">
        <v>430</v>
      </c>
      <c r="E324" s="1440" t="s">
        <v>7098</v>
      </c>
      <c r="F324" s="681" t="s">
        <v>7099</v>
      </c>
      <c r="G324" s="1473" t="s">
        <v>7100</v>
      </c>
      <c r="H324" s="1474"/>
      <c r="I324" s="1475">
        <f>B324+180</f>
        <v>45194</v>
      </c>
    </row>
    <row r="325" spans="1:9" s="1484" customFormat="1" ht="15.75">
      <c r="A325" s="1469"/>
      <c r="B325" s="1470">
        <v>45015</v>
      </c>
      <c r="C325" s="1471" t="s">
        <v>13981</v>
      </c>
      <c r="D325" s="1472">
        <v>602.78</v>
      </c>
      <c r="E325" s="1483" t="s">
        <v>13982</v>
      </c>
      <c r="F325" s="681" t="s">
        <v>13983</v>
      </c>
      <c r="G325" s="1473" t="s">
        <v>7058</v>
      </c>
      <c r="H325" s="1474"/>
      <c r="I325" s="1475">
        <f>B325+180</f>
        <v>45195</v>
      </c>
    </row>
    <row r="326" spans="1:9" s="1476" customFormat="1" ht="15.75">
      <c r="A326" s="1469"/>
      <c r="B326" s="1470">
        <v>45016</v>
      </c>
      <c r="C326" s="1471" t="s">
        <v>7095</v>
      </c>
      <c r="D326" s="1472">
        <v>442</v>
      </c>
      <c r="E326" s="1483" t="s">
        <v>13985</v>
      </c>
      <c r="F326" s="681" t="s">
        <v>13986</v>
      </c>
      <c r="G326" s="1473" t="s">
        <v>7096</v>
      </c>
      <c r="H326" s="1474"/>
      <c r="I326" s="1475">
        <f>B326+180</f>
        <v>45196</v>
      </c>
    </row>
    <row r="327" spans="1:9" ht="16.5" thickBot="1">
      <c r="A327" s="294"/>
      <c r="B327" s="485"/>
      <c r="C327" s="549" t="s">
        <v>6778</v>
      </c>
      <c r="D327" s="718">
        <f>MEDIAN(D324:D326)</f>
        <v>442</v>
      </c>
      <c r="E327" s="551"/>
      <c r="F327" s="552"/>
      <c r="G327" s="553"/>
      <c r="H327" s="224"/>
      <c r="I327" s="717"/>
    </row>
    <row r="328" spans="1:9" s="294" customFormat="1" ht="15.75" customHeight="1" thickBot="1">
      <c r="B328" s="714"/>
      <c r="C328" s="229"/>
      <c r="D328" s="229"/>
      <c r="E328" s="229"/>
      <c r="F328" s="229"/>
      <c r="G328" s="715"/>
      <c r="I328" s="688"/>
    </row>
    <row r="329" spans="1:9" ht="15.75">
      <c r="A329" s="716"/>
      <c r="B329" s="422" t="s">
        <v>7249</v>
      </c>
      <c r="C329" s="689" t="s">
        <v>7038</v>
      </c>
      <c r="D329" s="423"/>
      <c r="E329" s="424"/>
      <c r="F329" s="421"/>
      <c r="G329" s="358" t="s">
        <v>23</v>
      </c>
      <c r="H329" s="605"/>
      <c r="I329" s="319"/>
    </row>
    <row r="330" spans="1:9" ht="31.5">
      <c r="A330" s="294"/>
      <c r="B330" s="542" t="s">
        <v>195</v>
      </c>
      <c r="C330" s="543" t="s">
        <v>196</v>
      </c>
      <c r="D330" s="544" t="s">
        <v>197</v>
      </c>
      <c r="E330" s="545" t="s">
        <v>198</v>
      </c>
      <c r="F330" s="546" t="s">
        <v>199</v>
      </c>
      <c r="G330" s="547" t="s">
        <v>200</v>
      </c>
      <c r="H330" s="224"/>
      <c r="I330" s="319"/>
    </row>
    <row r="331" spans="1:9" s="1476" customFormat="1" ht="15.75">
      <c r="A331" s="1469"/>
      <c r="B331" s="1470">
        <v>45014</v>
      </c>
      <c r="C331" s="1471" t="s">
        <v>7097</v>
      </c>
      <c r="D331" s="1472">
        <v>1283</v>
      </c>
      <c r="E331" s="1440" t="s">
        <v>7098</v>
      </c>
      <c r="F331" s="681" t="s">
        <v>7099</v>
      </c>
      <c r="G331" s="1473" t="s">
        <v>7100</v>
      </c>
      <c r="H331" s="1474"/>
      <c r="I331" s="1475">
        <f>B331+180</f>
        <v>45194</v>
      </c>
    </row>
    <row r="332" spans="1:9" s="1484" customFormat="1" ht="15.75">
      <c r="A332" s="1469"/>
      <c r="B332" s="1470">
        <v>45015</v>
      </c>
      <c r="C332" s="1471" t="s">
        <v>13981</v>
      </c>
      <c r="D332" s="1472">
        <v>2165</v>
      </c>
      <c r="E332" s="1483" t="s">
        <v>13982</v>
      </c>
      <c r="F332" s="681" t="s">
        <v>13983</v>
      </c>
      <c r="G332" s="1473" t="s">
        <v>7058</v>
      </c>
      <c r="H332" s="1474"/>
      <c r="I332" s="1475">
        <f>B332+180</f>
        <v>45195</v>
      </c>
    </row>
    <row r="333" spans="1:9" s="1476" customFormat="1" ht="15.75">
      <c r="A333" s="1469"/>
      <c r="B333" s="1470">
        <v>45016</v>
      </c>
      <c r="C333" s="1471" t="s">
        <v>7095</v>
      </c>
      <c r="D333" s="1472">
        <v>1289.28</v>
      </c>
      <c r="E333" s="1483" t="s">
        <v>13985</v>
      </c>
      <c r="F333" s="681" t="s">
        <v>13986</v>
      </c>
      <c r="G333" s="1473" t="s">
        <v>7096</v>
      </c>
      <c r="H333" s="1474"/>
      <c r="I333" s="1475">
        <f>B333+180</f>
        <v>45196</v>
      </c>
    </row>
    <row r="334" spans="1:9" ht="16.5" thickBot="1">
      <c r="A334" s="294"/>
      <c r="B334" s="485"/>
      <c r="C334" s="549" t="s">
        <v>6778</v>
      </c>
      <c r="D334" s="718">
        <f>MEDIAN(D331:D333)</f>
        <v>1289.28</v>
      </c>
      <c r="E334" s="551"/>
      <c r="F334" s="552"/>
      <c r="G334" s="553"/>
      <c r="H334" s="224"/>
      <c r="I334" s="717"/>
    </row>
    <row r="335" spans="1:9" s="294" customFormat="1" ht="15.75" customHeight="1" thickBot="1">
      <c r="B335" s="714"/>
      <c r="C335" s="229"/>
      <c r="D335" s="229"/>
      <c r="E335" s="229"/>
      <c r="F335" s="229"/>
      <c r="G335" s="715"/>
      <c r="I335" s="688"/>
    </row>
    <row r="336" spans="1:9" ht="15.75">
      <c r="A336" s="716"/>
      <c r="B336" s="422" t="s">
        <v>7250</v>
      </c>
      <c r="C336" s="689" t="s">
        <v>7039</v>
      </c>
      <c r="D336" s="423"/>
      <c r="E336" s="424"/>
      <c r="F336" s="421"/>
      <c r="G336" s="358" t="s">
        <v>23</v>
      </c>
      <c r="H336" s="605"/>
      <c r="I336" s="319"/>
    </row>
    <row r="337" spans="1:9" ht="31.5">
      <c r="A337" s="294"/>
      <c r="B337" s="542" t="s">
        <v>195</v>
      </c>
      <c r="C337" s="543" t="s">
        <v>196</v>
      </c>
      <c r="D337" s="544" t="s">
        <v>197</v>
      </c>
      <c r="E337" s="545" t="s">
        <v>198</v>
      </c>
      <c r="F337" s="546" t="s">
        <v>199</v>
      </c>
      <c r="G337" s="547" t="s">
        <v>200</v>
      </c>
      <c r="H337" s="224"/>
      <c r="I337" s="319"/>
    </row>
    <row r="338" spans="1:9" s="1476" customFormat="1" ht="15.75">
      <c r="A338" s="1469"/>
      <c r="B338" s="1470">
        <v>45014</v>
      </c>
      <c r="C338" s="1471" t="s">
        <v>7097</v>
      </c>
      <c r="D338" s="1472">
        <v>360</v>
      </c>
      <c r="E338" s="1440" t="s">
        <v>7098</v>
      </c>
      <c r="F338" s="681" t="s">
        <v>7099</v>
      </c>
      <c r="G338" s="1473" t="s">
        <v>7100</v>
      </c>
      <c r="H338" s="1474"/>
      <c r="I338" s="1475">
        <f>B338+180</f>
        <v>45194</v>
      </c>
    </row>
    <row r="339" spans="1:9" s="1484" customFormat="1" ht="15.75">
      <c r="A339" s="1469"/>
      <c r="B339" s="1470">
        <v>45015</v>
      </c>
      <c r="C339" s="1471" t="s">
        <v>13981</v>
      </c>
      <c r="D339" s="1472">
        <v>698.64</v>
      </c>
      <c r="E339" s="1483" t="s">
        <v>13982</v>
      </c>
      <c r="F339" s="681" t="s">
        <v>13983</v>
      </c>
      <c r="G339" s="1473" t="s">
        <v>7058</v>
      </c>
      <c r="H339" s="1474"/>
      <c r="I339" s="1475">
        <f>B339+180</f>
        <v>45195</v>
      </c>
    </row>
    <row r="340" spans="1:9" s="1476" customFormat="1" ht="15.75">
      <c r="A340" s="1469"/>
      <c r="B340" s="1470">
        <v>45016</v>
      </c>
      <c r="C340" s="1471" t="s">
        <v>7095</v>
      </c>
      <c r="D340" s="1472">
        <v>306</v>
      </c>
      <c r="E340" s="1483" t="s">
        <v>13985</v>
      </c>
      <c r="F340" s="681" t="s">
        <v>13986</v>
      </c>
      <c r="G340" s="1473" t="s">
        <v>7096</v>
      </c>
      <c r="H340" s="1474"/>
      <c r="I340" s="1475">
        <f>B340+180</f>
        <v>45196</v>
      </c>
    </row>
    <row r="341" spans="1:9" ht="16.5" thickBot="1">
      <c r="A341" s="294"/>
      <c r="B341" s="485"/>
      <c r="C341" s="549" t="s">
        <v>6778</v>
      </c>
      <c r="D341" s="718">
        <f>MEDIAN(D338:D340)</f>
        <v>360</v>
      </c>
      <c r="E341" s="551"/>
      <c r="F341" s="552"/>
      <c r="G341" s="553"/>
      <c r="H341" s="224"/>
      <c r="I341" s="717"/>
    </row>
    <row r="342" spans="1:9" s="294" customFormat="1" ht="15.75" customHeight="1" thickBot="1">
      <c r="B342" s="714"/>
      <c r="C342" s="229"/>
      <c r="D342" s="229"/>
      <c r="E342" s="229"/>
      <c r="F342" s="229"/>
      <c r="G342" s="715"/>
      <c r="I342" s="688"/>
    </row>
    <row r="343" spans="1:9" ht="15.75">
      <c r="A343" s="716"/>
      <c r="B343" s="422" t="s">
        <v>7251</v>
      </c>
      <c r="C343" s="689" t="s">
        <v>7197</v>
      </c>
      <c r="D343" s="423"/>
      <c r="E343" s="424"/>
      <c r="F343" s="421"/>
      <c r="G343" s="358" t="s">
        <v>23</v>
      </c>
      <c r="H343" s="605"/>
      <c r="I343" s="319"/>
    </row>
    <row r="344" spans="1:9" ht="31.5">
      <c r="A344" s="294"/>
      <c r="B344" s="542" t="s">
        <v>195</v>
      </c>
      <c r="C344" s="543" t="s">
        <v>196</v>
      </c>
      <c r="D344" s="544" t="s">
        <v>197</v>
      </c>
      <c r="E344" s="545" t="s">
        <v>198</v>
      </c>
      <c r="F344" s="546" t="s">
        <v>199</v>
      </c>
      <c r="G344" s="547" t="s">
        <v>200</v>
      </c>
      <c r="H344" s="224"/>
      <c r="I344" s="319"/>
    </row>
    <row r="345" spans="1:9" s="1476" customFormat="1" ht="15.75">
      <c r="A345" s="1469"/>
      <c r="B345" s="1470">
        <v>45014</v>
      </c>
      <c r="C345" s="1471" t="s">
        <v>7097</v>
      </c>
      <c r="D345" s="1472">
        <v>16</v>
      </c>
      <c r="E345" s="1440" t="s">
        <v>7098</v>
      </c>
      <c r="F345" s="681" t="s">
        <v>7099</v>
      </c>
      <c r="G345" s="1473" t="s">
        <v>7100</v>
      </c>
      <c r="H345" s="1474"/>
      <c r="I345" s="1475">
        <f>B345+180</f>
        <v>45194</v>
      </c>
    </row>
    <row r="346" spans="1:9" s="1484" customFormat="1" ht="15.75">
      <c r="A346" s="1469"/>
      <c r="B346" s="1470">
        <v>45015</v>
      </c>
      <c r="C346" s="1471" t="s">
        <v>13981</v>
      </c>
      <c r="D346" s="1472">
        <v>8.9</v>
      </c>
      <c r="E346" s="1483" t="s">
        <v>13982</v>
      </c>
      <c r="F346" s="681" t="s">
        <v>13983</v>
      </c>
      <c r="G346" s="1473" t="s">
        <v>7058</v>
      </c>
      <c r="H346" s="1474"/>
      <c r="I346" s="1475">
        <f>B346+180</f>
        <v>45195</v>
      </c>
    </row>
    <row r="347" spans="1:9" s="1476" customFormat="1" ht="15.75">
      <c r="A347" s="1469"/>
      <c r="B347" s="1470">
        <v>45016</v>
      </c>
      <c r="C347" s="1471" t="s">
        <v>7095</v>
      </c>
      <c r="D347" s="1472">
        <v>12</v>
      </c>
      <c r="E347" s="1483" t="s">
        <v>13985</v>
      </c>
      <c r="F347" s="681" t="s">
        <v>13986</v>
      </c>
      <c r="G347" s="1473" t="s">
        <v>7096</v>
      </c>
      <c r="H347" s="1474"/>
      <c r="I347" s="1475">
        <f>B347+180</f>
        <v>45196</v>
      </c>
    </row>
    <row r="348" spans="1:9" ht="16.5" thickBot="1">
      <c r="A348" s="294"/>
      <c r="B348" s="485"/>
      <c r="C348" s="549" t="s">
        <v>6778</v>
      </c>
      <c r="D348" s="718">
        <f>MEDIAN(D345:D347)</f>
        <v>12</v>
      </c>
      <c r="E348" s="551"/>
      <c r="F348" s="552"/>
      <c r="G348" s="553"/>
      <c r="H348" s="224"/>
      <c r="I348" s="717"/>
    </row>
    <row r="349" spans="1:9" s="294" customFormat="1" ht="15.75" customHeight="1" thickBot="1">
      <c r="B349" s="714"/>
      <c r="C349" s="229"/>
      <c r="D349" s="229"/>
      <c r="E349" s="229"/>
      <c r="F349" s="229"/>
      <c r="G349" s="715"/>
      <c r="I349" s="688"/>
    </row>
    <row r="350" spans="1:9" ht="15.75">
      <c r="A350" s="716"/>
      <c r="B350" s="422" t="s">
        <v>7252</v>
      </c>
      <c r="C350" s="689" t="s">
        <v>7198</v>
      </c>
      <c r="D350" s="423"/>
      <c r="E350" s="424"/>
      <c r="F350" s="421"/>
      <c r="G350" s="358" t="s">
        <v>23</v>
      </c>
      <c r="H350" s="605"/>
      <c r="I350" s="319"/>
    </row>
    <row r="351" spans="1:9" ht="31.5">
      <c r="A351" s="294"/>
      <c r="B351" s="542" t="s">
        <v>195</v>
      </c>
      <c r="C351" s="543" t="s">
        <v>196</v>
      </c>
      <c r="D351" s="544" t="s">
        <v>197</v>
      </c>
      <c r="E351" s="545" t="s">
        <v>198</v>
      </c>
      <c r="F351" s="546" t="s">
        <v>199</v>
      </c>
      <c r="G351" s="547" t="s">
        <v>200</v>
      </c>
      <c r="H351" s="224"/>
      <c r="I351" s="319"/>
    </row>
    <row r="352" spans="1:9" s="1476" customFormat="1" ht="15.75">
      <c r="A352" s="1469"/>
      <c r="B352" s="1470">
        <v>45014</v>
      </c>
      <c r="C352" s="1471" t="s">
        <v>7097</v>
      </c>
      <c r="D352" s="1472">
        <v>4.8</v>
      </c>
      <c r="E352" s="1440" t="s">
        <v>7098</v>
      </c>
      <c r="F352" s="681" t="s">
        <v>7099</v>
      </c>
      <c r="G352" s="1473" t="s">
        <v>7100</v>
      </c>
      <c r="H352" s="1474"/>
      <c r="I352" s="1475">
        <f>B352+180</f>
        <v>45194</v>
      </c>
    </row>
    <row r="353" spans="1:9" s="1484" customFormat="1" ht="15.75">
      <c r="A353" s="1469"/>
      <c r="B353" s="1470">
        <v>45015</v>
      </c>
      <c r="C353" s="1471" t="s">
        <v>13981</v>
      </c>
      <c r="D353" s="1472">
        <v>3.21</v>
      </c>
      <c r="E353" s="1483" t="s">
        <v>13982</v>
      </c>
      <c r="F353" s="681" t="s">
        <v>13983</v>
      </c>
      <c r="G353" s="1473" t="s">
        <v>7058</v>
      </c>
      <c r="H353" s="1474"/>
      <c r="I353" s="1475">
        <f>B353+180</f>
        <v>45195</v>
      </c>
    </row>
    <row r="354" spans="1:9" s="1476" customFormat="1" ht="15.75">
      <c r="A354" s="1469"/>
      <c r="B354" s="1470">
        <v>45016</v>
      </c>
      <c r="C354" s="1471" t="s">
        <v>7095</v>
      </c>
      <c r="D354" s="1472">
        <v>5.2</v>
      </c>
      <c r="E354" s="1483" t="s">
        <v>13985</v>
      </c>
      <c r="F354" s="681" t="s">
        <v>13986</v>
      </c>
      <c r="G354" s="1473" t="s">
        <v>7096</v>
      </c>
      <c r="H354" s="1474"/>
      <c r="I354" s="1475">
        <f>B354+180</f>
        <v>45196</v>
      </c>
    </row>
    <row r="355" spans="1:9" ht="16.5" thickBot="1">
      <c r="A355" s="294"/>
      <c r="B355" s="485"/>
      <c r="C355" s="549" t="s">
        <v>6778</v>
      </c>
      <c r="D355" s="718">
        <f>MEDIAN(D352:D354)</f>
        <v>4.8</v>
      </c>
      <c r="E355" s="551"/>
      <c r="F355" s="552"/>
      <c r="G355" s="553"/>
      <c r="H355" s="224"/>
      <c r="I355" s="717"/>
    </row>
    <row r="356" spans="1:9" ht="16.5" customHeight="1" thickBot="1">
      <c r="B356" s="752"/>
      <c r="C356" s="753"/>
      <c r="D356" s="753"/>
      <c r="E356" s="753"/>
      <c r="F356" s="753"/>
      <c r="G356" s="754"/>
      <c r="I356"/>
    </row>
    <row r="357" spans="1:9" ht="33" customHeight="1">
      <c r="A357" s="433" t="s">
        <v>6776</v>
      </c>
      <c r="B357" s="333" t="str">
        <f>IF(COUNT($H$13:H357)&lt;10,CONCATENATE("AMM SAA 00",COUNT($H$13:H357)),CONCATENATE("AMM SAA 0",COUNT($H$13:H357)))</f>
        <v>AMM SAA 012</v>
      </c>
      <c r="C357" s="1673" t="s">
        <v>6861</v>
      </c>
      <c r="D357" s="1673"/>
      <c r="E357" s="1673"/>
      <c r="F357" s="1673"/>
      <c r="G357" s="357" t="s">
        <v>22</v>
      </c>
      <c r="H357" s="348">
        <f>G365</f>
        <v>18.36</v>
      </c>
      <c r="I357"/>
    </row>
    <row r="358" spans="1:9" ht="31.5">
      <c r="A358" s="433"/>
      <c r="B358" s="538" t="s">
        <v>206</v>
      </c>
      <c r="C358" s="543" t="s">
        <v>184</v>
      </c>
      <c r="D358" s="543" t="s">
        <v>23</v>
      </c>
      <c r="E358" s="543" t="s">
        <v>185</v>
      </c>
      <c r="F358" s="544" t="s">
        <v>186</v>
      </c>
      <c r="G358" s="1129" t="s">
        <v>187</v>
      </c>
      <c r="H358" s="229"/>
      <c r="I358"/>
    </row>
    <row r="359" spans="1:9" ht="15.75">
      <c r="A359" s="433"/>
      <c r="B359" s="1697" t="s">
        <v>188</v>
      </c>
      <c r="C359" s="1698"/>
      <c r="D359" s="1698"/>
      <c r="E359" s="1698"/>
      <c r="F359" s="1698"/>
      <c r="G359" s="1699"/>
      <c r="H359" s="229"/>
      <c r="I359"/>
    </row>
    <row r="360" spans="1:9" s="763" customFormat="1" ht="30">
      <c r="A360" s="555" t="s">
        <v>451</v>
      </c>
      <c r="B360" s="611">
        <v>36084</v>
      </c>
      <c r="C360" s="574" t="str">
        <f>IF($A360="INSUMO",VLOOKUP($B360,'BANCO DE DADOS JAN-23 INS'!$A:$D,2,FALSE),VLOOKUP($B360,'BANCO DE DADOS JAN-23 SERV'!$B:$E,2,FALSE))</f>
        <v>TUBO PVC PBA JEI, CLASSE 12, DN 50 MM, PARA REDE DE AGUA (NBR 5647)</v>
      </c>
      <c r="D360" s="571" t="str">
        <f>IF($A360="INSUMO",VLOOKUP($B360,'BANCO DE DADOS JAN-23 INS'!$A:$D,3,FALSE),VLOOKUP($B360,'BANCO DE DADOS JAN-23 SERV'!$B:$E,3,FALSE))</f>
        <v xml:space="preserve">M     </v>
      </c>
      <c r="E360" s="829">
        <v>1</v>
      </c>
      <c r="F360" s="575">
        <f>IF($A360="INSUMO",VLOOKUP($B360,'BANCO DE DADOS JAN-23 INS'!$A:$D,4,FALSE),VLOOKUP($B360,'BANCO DE DADOS JAN-23 SERV'!$B:$E,4,FALSE))</f>
        <v>17.61</v>
      </c>
      <c r="G360" s="734">
        <f>TRUNC(E360*F360,2)</f>
        <v>17.61</v>
      </c>
      <c r="H360" s="743"/>
    </row>
    <row r="361" spans="1:9" s="763" customFormat="1" ht="45">
      <c r="A361" s="555" t="s">
        <v>451</v>
      </c>
      <c r="B361" s="611">
        <v>20078</v>
      </c>
      <c r="C361" s="574" t="str">
        <f>IF($A361="INSUMO",VLOOKUP($B361,'BANCO DE DADOS JAN-23 INS'!$A:$D,2,FALSE),VLOOKUP($B361,'BANCO DE DADOS JAN-23 SERV'!$B:$E,2,FALSE))</f>
        <v>PASTA LUBRIFICANTE PARA TUBOS E CONEXOES COM JUNTA ELASTICA, EMBALAGEM DE *400* GR (USO EM PVC, ACO, POLIETILENO E OUTROS)</v>
      </c>
      <c r="D361" s="571" t="str">
        <f>IF($A361="INSUMO",VLOOKUP($B361,'BANCO DE DADOS JAN-23 INS'!$A:$D,3,FALSE),VLOOKUP($B361,'BANCO DE DADOS JAN-23 SERV'!$B:$E,3,FALSE))</f>
        <v xml:space="preserve">UN    </v>
      </c>
      <c r="E361" s="829">
        <v>4.3E-3</v>
      </c>
      <c r="F361" s="575">
        <f>IF($A361="INSUMO",VLOOKUP($B361,'BANCO DE DADOS JAN-23 INS'!$A:$D,4,FALSE),VLOOKUP($B361,'BANCO DE DADOS JAN-23 SERV'!$B:$E,4,FALSE))</f>
        <v>31.44</v>
      </c>
      <c r="G361" s="734">
        <f>TRUNC(E361*F361,2)</f>
        <v>0.13</v>
      </c>
      <c r="H361" s="743"/>
    </row>
    <row r="362" spans="1:9" s="582" customFormat="1" ht="15.75">
      <c r="A362" s="433"/>
      <c r="B362" s="1697" t="s">
        <v>6797</v>
      </c>
      <c r="C362" s="1698"/>
      <c r="D362" s="1698"/>
      <c r="E362" s="1698"/>
      <c r="F362" s="1698"/>
      <c r="G362" s="1699"/>
      <c r="H362" s="229"/>
    </row>
    <row r="363" spans="1:9" s="763" customFormat="1" ht="15.75">
      <c r="A363" s="555" t="s">
        <v>452</v>
      </c>
      <c r="B363" s="744">
        <v>88246</v>
      </c>
      <c r="C363" s="574" t="str">
        <f>IF($A363="INSUMO",VLOOKUP($B363,'BANCO DE DADOS JAN-23 INS'!$A:$D,2,FALSE),VLOOKUP($B363,'BANCO DE DADOS JAN-23 SERV'!$B:$E,2,FALSE))</f>
        <v>ASSENTADOR DE TUBOS COM ENCARGOS COMPLEMENTARES</v>
      </c>
      <c r="D363" s="571" t="str">
        <f>IF($A363="INSUMO",VLOOKUP($B363,'BANCO DE DADOS JAN-23 INS'!$A:$D,3,FALSE),VLOOKUP($B363,'BANCO DE DADOS JAN-23 SERV'!$B:$E,3,FALSE))</f>
        <v>H</v>
      </c>
      <c r="E363" s="829">
        <v>1.7600000000000001E-2</v>
      </c>
      <c r="F363" s="575">
        <f>IF($A363="INSUMO",VLOOKUP($B363,'BANCO DE DADOS JAN-23 INS'!$A:$D,4,FALSE),VLOOKUP($B363,'BANCO DE DADOS JAN-23 SERV'!$B:$E,4,FALSE))</f>
        <v>18.350000000000001</v>
      </c>
      <c r="G363" s="734">
        <f>TRUNC(E363*F363,2)</f>
        <v>0.32</v>
      </c>
      <c r="H363" s="743"/>
    </row>
    <row r="364" spans="1:9" s="763" customFormat="1" ht="16.5" thickBot="1">
      <c r="A364" s="555" t="s">
        <v>452</v>
      </c>
      <c r="B364" s="759">
        <v>88316</v>
      </c>
      <c r="C364" s="493" t="str">
        <f>IF($A364="INSUMO",VLOOKUP($B364,'BANCO DE DADOS JAN-23 INS'!$A:$D,2,FALSE),VLOOKUP($B364,'BANCO DE DADOS JAN-23 SERV'!$B:$E,2,FALSE))</f>
        <v>SERVENTE COM ENCARGOS COMPLEMENTARES</v>
      </c>
      <c r="D364" s="764" t="str">
        <f>IF($A364="INSUMO",VLOOKUP($B364,'BANCO DE DADOS JAN-23 INS'!$A:$D,3,FALSE),VLOOKUP($B364,'BANCO DE DADOS JAN-23 SERV'!$B:$E,3,FALSE))</f>
        <v>H</v>
      </c>
      <c r="E364" s="830">
        <v>1.7600000000000001E-2</v>
      </c>
      <c r="F364" s="765">
        <f>IF($A364="INSUMO",VLOOKUP($B364,'BANCO DE DADOS JAN-23 INS'!$A:$D,4,FALSE),VLOOKUP($B364,'BANCO DE DADOS JAN-23 SERV'!$B:$E,4,FALSE))</f>
        <v>17.420000000000002</v>
      </c>
      <c r="G364" s="742">
        <f>TRUNC(E364*F364,2)</f>
        <v>0.3</v>
      </c>
      <c r="H364" s="743"/>
    </row>
    <row r="365" spans="1:9" ht="57" customHeight="1" thickBot="1">
      <c r="A365" s="433"/>
      <c r="B365" s="1700" t="s">
        <v>6882</v>
      </c>
      <c r="C365" s="1700"/>
      <c r="D365" s="1700"/>
      <c r="E365" s="1701"/>
      <c r="F365" s="332" t="s">
        <v>192</v>
      </c>
      <c r="G365" s="434">
        <f>TRUNC(SUM(G360:G364),2)</f>
        <v>18.36</v>
      </c>
      <c r="H365" s="229"/>
      <c r="I365"/>
    </row>
    <row r="366" spans="1:9" ht="16.5" customHeight="1" thickBot="1">
      <c r="B366" s="752"/>
      <c r="C366" s="753"/>
      <c r="D366" s="753"/>
      <c r="E366" s="753"/>
      <c r="F366" s="753"/>
      <c r="G366" s="754"/>
      <c r="I366"/>
    </row>
    <row r="367" spans="1:9" ht="33" customHeight="1">
      <c r="A367" s="433" t="s">
        <v>6776</v>
      </c>
      <c r="B367" s="333" t="str">
        <f>IF(COUNT($H$13:H367)&lt;10,CONCATENATE("AMM SAA 00",COUNT($H$13:H367)),CONCATENATE("AMM SAA 0",COUNT($H$13:H367)))</f>
        <v>AMM SAA 013</v>
      </c>
      <c r="C367" s="1673" t="s">
        <v>7007</v>
      </c>
      <c r="D367" s="1673"/>
      <c r="E367" s="1673"/>
      <c r="F367" s="1673"/>
      <c r="G367" s="357" t="s">
        <v>22</v>
      </c>
      <c r="H367" s="348">
        <f>G375</f>
        <v>60.82</v>
      </c>
      <c r="I367"/>
    </row>
    <row r="368" spans="1:9" ht="31.5">
      <c r="A368" s="433"/>
      <c r="B368" s="538" t="s">
        <v>206</v>
      </c>
      <c r="C368" s="543" t="s">
        <v>184</v>
      </c>
      <c r="D368" s="543" t="s">
        <v>23</v>
      </c>
      <c r="E368" s="543" t="s">
        <v>185</v>
      </c>
      <c r="F368" s="544" t="s">
        <v>186</v>
      </c>
      <c r="G368" s="1129" t="s">
        <v>187</v>
      </c>
      <c r="H368" s="229"/>
      <c r="I368"/>
    </row>
    <row r="369" spans="1:9" ht="15.75">
      <c r="A369" s="433"/>
      <c r="B369" s="1697" t="s">
        <v>188</v>
      </c>
      <c r="C369" s="1698"/>
      <c r="D369" s="1698"/>
      <c r="E369" s="1698"/>
      <c r="F369" s="1698"/>
      <c r="G369" s="1699"/>
      <c r="H369" s="229"/>
      <c r="I369"/>
    </row>
    <row r="370" spans="1:9" s="763" customFormat="1" ht="30">
      <c r="A370" s="555" t="s">
        <v>451</v>
      </c>
      <c r="B370" s="611">
        <v>36374</v>
      </c>
      <c r="C370" s="574" t="str">
        <f>IF($A370="INSUMO",VLOOKUP($B370,'BANCO DE DADOS JAN-23 INS'!$A:$D,2,FALSE),VLOOKUP($B370,'BANCO DE DADOS JAN-23 SERV'!$B:$E,2,FALSE))</f>
        <v>TUBO PVC PBA JEI, CLASSE 12, DN 100 MM, PARA REDE DE AGUA (NBR 5647)</v>
      </c>
      <c r="D370" s="571" t="str">
        <f>IF($A370="INSUMO",VLOOKUP($B370,'BANCO DE DADOS JAN-23 INS'!$A:$D,3,FALSE),VLOOKUP($B370,'BANCO DE DADOS JAN-23 SERV'!$B:$E,3,FALSE))</f>
        <v xml:space="preserve">M     </v>
      </c>
      <c r="E370" s="829">
        <v>1</v>
      </c>
      <c r="F370" s="575">
        <f>IF($A370="INSUMO",VLOOKUP($B370,'BANCO DE DADOS JAN-23 INS'!$A:$D,4,FALSE),VLOOKUP($B370,'BANCO DE DADOS JAN-23 SERV'!$B:$E,4,FALSE))</f>
        <v>59.44</v>
      </c>
      <c r="G370" s="734">
        <f>TRUNC(E370*F370,2)</f>
        <v>59.44</v>
      </c>
      <c r="H370" s="743"/>
    </row>
    <row r="371" spans="1:9" s="763" customFormat="1" ht="45">
      <c r="A371" s="555" t="s">
        <v>451</v>
      </c>
      <c r="B371" s="611">
        <v>20078</v>
      </c>
      <c r="C371" s="574" t="str">
        <f>IF($A371="INSUMO",VLOOKUP($B371,'BANCO DE DADOS JAN-23 INS'!$A:$D,2,FALSE),VLOOKUP($B371,'BANCO DE DADOS JAN-23 SERV'!$B:$E,2,FALSE))</f>
        <v>PASTA LUBRIFICANTE PARA TUBOS E CONEXOES COM JUNTA ELASTICA, EMBALAGEM DE *400* GR (USO EM PVC, ACO, POLIETILENO E OUTROS)</v>
      </c>
      <c r="D371" s="571" t="str">
        <f>IF($A371="INSUMO",VLOOKUP($B371,'BANCO DE DADOS JAN-23 INS'!$A:$D,3,FALSE),VLOOKUP($B371,'BANCO DE DADOS JAN-23 SERV'!$B:$E,3,FALSE))</f>
        <v xml:space="preserve">UN    </v>
      </c>
      <c r="E371" s="829">
        <v>9.5999999999999992E-3</v>
      </c>
      <c r="F371" s="575">
        <f>IF($A371="INSUMO",VLOOKUP($B371,'BANCO DE DADOS JAN-23 INS'!$A:$D,4,FALSE),VLOOKUP($B371,'BANCO DE DADOS JAN-23 SERV'!$B:$E,4,FALSE))</f>
        <v>31.44</v>
      </c>
      <c r="G371" s="734">
        <f>TRUNC(E371*F371,2)</f>
        <v>0.3</v>
      </c>
      <c r="H371" s="743"/>
    </row>
    <row r="372" spans="1:9" s="582" customFormat="1" ht="15.75">
      <c r="A372" s="433"/>
      <c r="B372" s="1697" t="s">
        <v>6797</v>
      </c>
      <c r="C372" s="1698"/>
      <c r="D372" s="1698"/>
      <c r="E372" s="1698"/>
      <c r="F372" s="1698"/>
      <c r="G372" s="1699"/>
      <c r="H372" s="229"/>
    </row>
    <row r="373" spans="1:9" s="763" customFormat="1" ht="15.75">
      <c r="A373" s="555" t="s">
        <v>452</v>
      </c>
      <c r="B373" s="744">
        <v>88246</v>
      </c>
      <c r="C373" s="574" t="str">
        <f>IF($A373="INSUMO",VLOOKUP($B373,'BANCO DE DADOS JAN-23 INS'!$A:$D,2,FALSE),VLOOKUP($B373,'BANCO DE DADOS JAN-23 SERV'!$B:$E,2,FALSE))</f>
        <v>ASSENTADOR DE TUBOS COM ENCARGOS COMPLEMENTARES</v>
      </c>
      <c r="D373" s="571" t="str">
        <f>IF($A373="INSUMO",VLOOKUP($B373,'BANCO DE DADOS JAN-23 INS'!$A:$D,3,FALSE),VLOOKUP($B373,'BANCO DE DADOS JAN-23 SERV'!$B:$E,3,FALSE))</f>
        <v>H</v>
      </c>
      <c r="E373" s="829">
        <v>3.0499999999999999E-2</v>
      </c>
      <c r="F373" s="575">
        <f>IF($A373="INSUMO",VLOOKUP($B373,'BANCO DE DADOS JAN-23 INS'!$A:$D,4,FALSE),VLOOKUP($B373,'BANCO DE DADOS JAN-23 SERV'!$B:$E,4,FALSE))</f>
        <v>18.350000000000001</v>
      </c>
      <c r="G373" s="734">
        <f>TRUNC(E373*F373,2)</f>
        <v>0.55000000000000004</v>
      </c>
      <c r="H373" s="743"/>
    </row>
    <row r="374" spans="1:9" s="763" customFormat="1" ht="16.5" thickBot="1">
      <c r="A374" s="555" t="s">
        <v>452</v>
      </c>
      <c r="B374" s="759">
        <v>88316</v>
      </c>
      <c r="C374" s="493" t="str">
        <f>IF($A374="INSUMO",VLOOKUP($B374,'BANCO DE DADOS JAN-23 INS'!$A:$D,2,FALSE),VLOOKUP($B374,'BANCO DE DADOS JAN-23 SERV'!$B:$E,2,FALSE))</f>
        <v>SERVENTE COM ENCARGOS COMPLEMENTARES</v>
      </c>
      <c r="D374" s="764" t="str">
        <f>IF($A374="INSUMO",VLOOKUP($B374,'BANCO DE DADOS JAN-23 INS'!$A:$D,3,FALSE),VLOOKUP($B374,'BANCO DE DADOS JAN-23 SERV'!$B:$E,3,FALSE))</f>
        <v>H</v>
      </c>
      <c r="E374" s="830">
        <v>3.0499999999999999E-2</v>
      </c>
      <c r="F374" s="765">
        <f>IF($A374="INSUMO",VLOOKUP($B374,'BANCO DE DADOS JAN-23 INS'!$A:$D,4,FALSE),VLOOKUP($B374,'BANCO DE DADOS JAN-23 SERV'!$B:$E,4,FALSE))</f>
        <v>17.420000000000002</v>
      </c>
      <c r="G374" s="742">
        <f>TRUNC(E374*F374,2)</f>
        <v>0.53</v>
      </c>
      <c r="H374" s="743"/>
    </row>
    <row r="375" spans="1:9" ht="57" customHeight="1" thickBot="1">
      <c r="A375" s="433"/>
      <c r="B375" s="1700" t="s">
        <v>7008</v>
      </c>
      <c r="C375" s="1700"/>
      <c r="D375" s="1700"/>
      <c r="E375" s="1701"/>
      <c r="F375" s="332" t="s">
        <v>192</v>
      </c>
      <c r="G375" s="434">
        <f>TRUNC(SUM(G370:G374),2)</f>
        <v>60.82</v>
      </c>
      <c r="H375" s="229"/>
      <c r="I375"/>
    </row>
    <row r="376" spans="1:9" ht="16.5" customHeight="1" thickBot="1">
      <c r="B376" s="752"/>
      <c r="C376" s="753"/>
      <c r="D376" s="753"/>
      <c r="E376" s="753"/>
      <c r="F376" s="753"/>
      <c r="G376" s="754"/>
      <c r="I376"/>
    </row>
    <row r="377" spans="1:9" ht="33" customHeight="1">
      <c r="A377" s="433" t="s">
        <v>6776</v>
      </c>
      <c r="B377" s="333" t="str">
        <f>IF(COUNT($H$13:H377)&lt;10,CONCATENATE("AMM SAA 00",COUNT($H$13:H377)),CONCATENATE("AMM SAA 0",COUNT($H$13:H377)))</f>
        <v>AMM SAA 014</v>
      </c>
      <c r="C377" s="1673" t="s">
        <v>6891</v>
      </c>
      <c r="D377" s="1673"/>
      <c r="E377" s="1673"/>
      <c r="F377" s="1673"/>
      <c r="G377" s="357" t="s">
        <v>6798</v>
      </c>
      <c r="H377" s="348">
        <f>G392</f>
        <v>4762.26</v>
      </c>
      <c r="I377"/>
    </row>
    <row r="378" spans="1:9" ht="31.5">
      <c r="A378" s="433"/>
      <c r="B378" s="538" t="s">
        <v>206</v>
      </c>
      <c r="C378" s="543" t="s">
        <v>184</v>
      </c>
      <c r="D378" s="543" t="s">
        <v>23</v>
      </c>
      <c r="E378" s="543" t="s">
        <v>185</v>
      </c>
      <c r="F378" s="544" t="s">
        <v>186</v>
      </c>
      <c r="G378" s="1129" t="s">
        <v>187</v>
      </c>
      <c r="H378" s="229"/>
      <c r="I378"/>
    </row>
    <row r="379" spans="1:9" ht="15.75">
      <c r="A379" s="433"/>
      <c r="B379" s="1697" t="s">
        <v>6892</v>
      </c>
      <c r="C379" s="1698"/>
      <c r="D379" s="1698"/>
      <c r="E379" s="1698"/>
      <c r="F379" s="1698"/>
      <c r="G379" s="1699"/>
      <c r="H379" s="229"/>
      <c r="I379"/>
    </row>
    <row r="380" spans="1:9" s="763" customFormat="1" ht="30">
      <c r="A380" s="555" t="s">
        <v>451</v>
      </c>
      <c r="B380" s="611">
        <v>1206</v>
      </c>
      <c r="C380" s="574" t="str">
        <f>IF($A380="INSUMO",VLOOKUP($B380,'BANCO DE DADOS JAN-23 INS'!$A:$D,2,FALSE),VLOOKUP($B380,'BANCO DE DADOS JAN-23 SERV'!$B:$E,2,FALSE))</f>
        <v>CAP, PVC PBA, JE, DN 50 / DE 60 MM,  PARA REDE DE AGUA (NBR 10351)</v>
      </c>
      <c r="D380" s="571" t="str">
        <f>IF($A380="INSUMO",VLOOKUP($B380,'BANCO DE DADOS JAN-23 INS'!$A:$D,3,FALSE),VLOOKUP($B380,'BANCO DE DADOS JAN-23 SERV'!$B:$E,3,FALSE))</f>
        <v xml:space="preserve">UN    </v>
      </c>
      <c r="E380" s="1227">
        <v>1</v>
      </c>
      <c r="F380" s="575">
        <f>IF($A380="INSUMO",VLOOKUP($B380,'BANCO DE DADOS JAN-23 INS'!$A:$D,4,FALSE),VLOOKUP($B380,'BANCO DE DADOS JAN-23 SERV'!$B:$E,4,FALSE))</f>
        <v>8.6300000000000008</v>
      </c>
      <c r="G380" s="734">
        <f t="shared" ref="G380:G388" si="15">TRUNC(E380*F380,2)</f>
        <v>8.6300000000000008</v>
      </c>
      <c r="H380" s="743"/>
    </row>
    <row r="381" spans="1:9" s="763" customFormat="1" ht="30">
      <c r="A381" s="555" t="s">
        <v>451</v>
      </c>
      <c r="B381" s="611">
        <v>1207</v>
      </c>
      <c r="C381" s="574" t="str">
        <f>IF($A381="INSUMO",VLOOKUP($B381,'BANCO DE DADOS JAN-23 INS'!$A:$D,2,FALSE),VLOOKUP($B381,'BANCO DE DADOS JAN-23 SERV'!$B:$E,2,FALSE))</f>
        <v>CAP, PVC PBA, JE, DN 100 / DE 110 MM,  PARA REDE DE AGUA (NBR 10351)</v>
      </c>
      <c r="D381" s="571" t="str">
        <f>IF($A381="INSUMO",VLOOKUP($B381,'BANCO DE DADOS JAN-23 INS'!$A:$D,3,FALSE),VLOOKUP($B381,'BANCO DE DADOS JAN-23 SERV'!$B:$E,3,FALSE))</f>
        <v xml:space="preserve">UN    </v>
      </c>
      <c r="E381" s="1227">
        <v>1</v>
      </c>
      <c r="F381" s="575">
        <f>IF($A381="INSUMO",VLOOKUP($B381,'BANCO DE DADOS JAN-23 INS'!$A:$D,4,FALSE),VLOOKUP($B381,'BANCO DE DADOS JAN-23 SERV'!$B:$E,4,FALSE))</f>
        <v>34.42</v>
      </c>
      <c r="G381" s="734">
        <f t="shared" si="15"/>
        <v>34.42</v>
      </c>
      <c r="H381" s="743"/>
    </row>
    <row r="382" spans="1:9" s="763" customFormat="1" ht="15.75">
      <c r="A382" s="555" t="s">
        <v>451</v>
      </c>
      <c r="B382" s="611" t="str">
        <f>B394</f>
        <v>COTAÇÃO 031</v>
      </c>
      <c r="C382" s="574" t="str">
        <f>C394</f>
        <v>CRUZETA DE REDUÇÃO, PVC PBA, DN 100 x 50 MM</v>
      </c>
      <c r="D382" s="612" t="str">
        <f>G394</f>
        <v>UN</v>
      </c>
      <c r="E382" s="1227">
        <v>1</v>
      </c>
      <c r="F382" s="575">
        <f>D399</f>
        <v>119</v>
      </c>
      <c r="G382" s="734">
        <f t="shared" si="15"/>
        <v>119</v>
      </c>
      <c r="H382" s="743"/>
    </row>
    <row r="383" spans="1:9" s="763" customFormat="1" ht="30">
      <c r="A383" s="555" t="s">
        <v>451</v>
      </c>
      <c r="B383" s="611">
        <v>1845</v>
      </c>
      <c r="C383" s="574" t="str">
        <f>IF($A383="INSUMO",VLOOKUP($B383,'BANCO DE DADOS JAN-23 INS'!$A:$D,2,FALSE),VLOOKUP($B383,'BANCO DE DADOS JAN-23 SERV'!$B:$E,2,FALSE))</f>
        <v>CURVA PVC PBA, JE, PB, 90 GRAUS, DN 50 / DE 60 MM, PARA REDE AGUA (NBR 10351)</v>
      </c>
      <c r="D383" s="571" t="str">
        <f>IF($A383="INSUMO",VLOOKUP($B383,'BANCO DE DADOS JAN-23 INS'!$A:$D,3,FALSE),VLOOKUP($B383,'BANCO DE DADOS JAN-23 SERV'!$B:$E,3,FALSE))</f>
        <v xml:space="preserve">UN    </v>
      </c>
      <c r="E383" s="1227">
        <v>2</v>
      </c>
      <c r="F383" s="575">
        <f>IF($A383="INSUMO",VLOOKUP($B383,'BANCO DE DADOS JAN-23 INS'!$A:$D,4,FALSE),VLOOKUP($B383,'BANCO DE DADOS JAN-23 SERV'!$B:$E,4,FALSE))</f>
        <v>39.29</v>
      </c>
      <c r="G383" s="734">
        <f t="shared" si="15"/>
        <v>78.58</v>
      </c>
      <c r="H383" s="743"/>
    </row>
    <row r="384" spans="1:9" s="763" customFormat="1" ht="30">
      <c r="A384" s="555" t="s">
        <v>451</v>
      </c>
      <c r="B384" s="611">
        <v>1828</v>
      </c>
      <c r="C384" s="574" t="str">
        <f>IF($A384="INSUMO",VLOOKUP($B384,'BANCO DE DADOS JAN-23 INS'!$A:$D,2,FALSE),VLOOKUP($B384,'BANCO DE DADOS JAN-23 SERV'!$B:$E,2,FALSE))</f>
        <v>CURVA PVC PBA, JE, PB, 90 GRAUS, DN 100 / DE 110 MM, PARA REDE AGUA (NBR 10351)</v>
      </c>
      <c r="D384" s="571" t="str">
        <f>IF($A384="INSUMO",VLOOKUP($B384,'BANCO DE DADOS JAN-23 INS'!$A:$D,3,FALSE),VLOOKUP($B384,'BANCO DE DADOS JAN-23 SERV'!$B:$E,3,FALSE))</f>
        <v xml:space="preserve">UN    </v>
      </c>
      <c r="E384" s="1227">
        <v>3</v>
      </c>
      <c r="F384" s="575">
        <f>IF($A384="INSUMO",VLOOKUP($B384,'BANCO DE DADOS JAN-23 INS'!$A:$D,4,FALSE),VLOOKUP($B384,'BANCO DE DADOS JAN-23 SERV'!$B:$E,4,FALSE))</f>
        <v>175.28</v>
      </c>
      <c r="G384" s="734">
        <f t="shared" si="15"/>
        <v>525.84</v>
      </c>
      <c r="H384" s="743"/>
    </row>
    <row r="385" spans="1:10" s="763" customFormat="1" ht="30">
      <c r="A385" s="555" t="s">
        <v>451</v>
      </c>
      <c r="B385" s="611">
        <v>11321</v>
      </c>
      <c r="C385" s="574" t="str">
        <f>IF($A385="INSUMO",VLOOKUP($B385,'BANCO DE DADOS JAN-23 INS'!$A:$D,2,FALSE),VLOOKUP($B385,'BANCO DE DADOS JAN-23 SERV'!$B:$E,2,FALSE))</f>
        <v>REDUCAO PVC PBA, JE, PB, DN 100 X 50 / DE 110 X 60 MM, PARA REDE DE AGUA</v>
      </c>
      <c r="D385" s="571" t="str">
        <f>IF($A385="INSUMO",VLOOKUP($B385,'BANCO DE DADOS JAN-23 INS'!$A:$D,3,FALSE),VLOOKUP($B385,'BANCO DE DADOS JAN-23 SERV'!$B:$E,3,FALSE))</f>
        <v xml:space="preserve">UN    </v>
      </c>
      <c r="E385" s="1227">
        <v>3</v>
      </c>
      <c r="F385" s="575">
        <f>IF($A385="INSUMO",VLOOKUP($B385,'BANCO DE DADOS JAN-23 INS'!$A:$D,4,FALSE),VLOOKUP($B385,'BANCO DE DADOS JAN-23 SERV'!$B:$E,4,FALSE))</f>
        <v>31.09</v>
      </c>
      <c r="G385" s="734">
        <f t="shared" si="15"/>
        <v>93.27</v>
      </c>
      <c r="H385" s="743"/>
    </row>
    <row r="386" spans="1:10" s="763" customFormat="1" ht="30">
      <c r="A386" s="555" t="s">
        <v>451</v>
      </c>
      <c r="B386" s="611">
        <v>7048</v>
      </c>
      <c r="C386" s="574" t="str">
        <f>IF($A386="INSUMO",VLOOKUP($B386,'BANCO DE DADOS JAN-23 INS'!$A:$D,2,FALSE),VLOOKUP($B386,'BANCO DE DADOS JAN-23 SERV'!$B:$E,2,FALSE))</f>
        <v>TE, PVC PBA, BBB, 90 GRAUS, DN 50 / DE 60 MM, PARA REDE AGUA (NBR 10351)</v>
      </c>
      <c r="D386" s="571" t="str">
        <f>IF($A386="INSUMO",VLOOKUP($B386,'BANCO DE DADOS JAN-23 INS'!$A:$D,3,FALSE),VLOOKUP($B386,'BANCO DE DADOS JAN-23 SERV'!$B:$E,3,FALSE))</f>
        <v xml:space="preserve">UN    </v>
      </c>
      <c r="E386" s="1227">
        <v>50</v>
      </c>
      <c r="F386" s="575">
        <f>IF($A386="INSUMO",VLOOKUP($B386,'BANCO DE DADOS JAN-23 INS'!$A:$D,4,FALSE),VLOOKUP($B386,'BANCO DE DADOS JAN-23 SERV'!$B:$E,4,FALSE))</f>
        <v>26.41</v>
      </c>
      <c r="G386" s="734">
        <f t="shared" si="15"/>
        <v>1320.5</v>
      </c>
      <c r="H386" s="743"/>
    </row>
    <row r="387" spans="1:10" s="763" customFormat="1" ht="30">
      <c r="A387" s="555" t="s">
        <v>451</v>
      </c>
      <c r="B387" s="611">
        <v>41892</v>
      </c>
      <c r="C387" s="574" t="str">
        <f>IF($A387="INSUMO",VLOOKUP($B387,'BANCO DE DADOS JAN-23 INS'!$A:$D,2,FALSE),VLOOKUP($B387,'BANCO DE DADOS JAN-23 SERV'!$B:$E,2,FALSE))</f>
        <v>TE, PVC PBA, BBB, 90 GRAUS, DN 100 / DE 110 MM, PARA REDE  AGUA (NBR 10351)</v>
      </c>
      <c r="D387" s="571" t="str">
        <f>IF($A387="INSUMO",VLOOKUP($B387,'BANCO DE DADOS JAN-23 INS'!$A:$D,3,FALSE),VLOOKUP($B387,'BANCO DE DADOS JAN-23 SERV'!$B:$E,3,FALSE))</f>
        <v xml:space="preserve">UN    </v>
      </c>
      <c r="E387" s="1227">
        <v>3</v>
      </c>
      <c r="F387" s="575">
        <f>IF($A387="INSUMO",VLOOKUP($B387,'BANCO DE DADOS JAN-23 INS'!$A:$D,4,FALSE),VLOOKUP($B387,'BANCO DE DADOS JAN-23 SERV'!$B:$E,4,FALSE))</f>
        <v>122.38</v>
      </c>
      <c r="G387" s="734">
        <f t="shared" si="15"/>
        <v>367.14</v>
      </c>
      <c r="H387" s="743"/>
    </row>
    <row r="388" spans="1:10" s="763" customFormat="1" ht="30">
      <c r="A388" s="555" t="s">
        <v>451</v>
      </c>
      <c r="B388" s="611">
        <v>11378</v>
      </c>
      <c r="C388" s="574" t="str">
        <f>IF($A388="INSUMO",VLOOKUP($B388,'BANCO DE DADOS JAN-23 INS'!$A:$D,2,FALSE),VLOOKUP($B388,'BANCO DE DADOS JAN-23 SERV'!$B:$E,2,FALSE))</f>
        <v>TE DE REDUCAO, PVC PBA, BBB, JE, DN 100 X 50 / DE 110 X 60 MM, PARA REDE AGUA (NBR 10351)</v>
      </c>
      <c r="D388" s="571" t="str">
        <f>IF($A388="INSUMO",VLOOKUP($B388,'BANCO DE DADOS JAN-23 INS'!$A:$D,3,FALSE),VLOOKUP($B388,'BANCO DE DADOS JAN-23 SERV'!$B:$E,3,FALSE))</f>
        <v xml:space="preserve">UN    </v>
      </c>
      <c r="E388" s="1227">
        <v>21</v>
      </c>
      <c r="F388" s="575">
        <f>IF($A388="INSUMO",VLOOKUP($B388,'BANCO DE DADOS JAN-23 INS'!$A:$D,4,FALSE),VLOOKUP($B388,'BANCO DE DADOS JAN-23 SERV'!$B:$E,4,FALSE))</f>
        <v>97.25</v>
      </c>
      <c r="G388" s="734">
        <f t="shared" si="15"/>
        <v>2042.25</v>
      </c>
      <c r="H388" s="743"/>
    </row>
    <row r="389" spans="1:10" s="582" customFormat="1" ht="15.75">
      <c r="A389" s="433"/>
      <c r="B389" s="1704" t="s">
        <v>6797</v>
      </c>
      <c r="C389" s="1705"/>
      <c r="D389" s="1705"/>
      <c r="E389" s="1705"/>
      <c r="F389" s="1705"/>
      <c r="G389" s="1706"/>
      <c r="H389" s="229"/>
    </row>
    <row r="390" spans="1:10" s="763" customFormat="1" ht="30">
      <c r="A390" s="555" t="s">
        <v>452</v>
      </c>
      <c r="B390" s="744" t="str">
        <f>B401</f>
        <v>AMM SAA 015</v>
      </c>
      <c r="C390" s="574" t="str">
        <f>C401</f>
        <v>ASSENTAMENTO DE CONEXÕES DE PVC, JUNTA ELÁSTICA, PONTA E BOLSA, DIAM.= 50 MM</v>
      </c>
      <c r="D390" s="571" t="str">
        <f>G401</f>
        <v>UN</v>
      </c>
      <c r="E390" s="1227">
        <f>SUM(E380,E383,E386)</f>
        <v>53</v>
      </c>
      <c r="F390" s="575">
        <f>G407</f>
        <v>1.79</v>
      </c>
      <c r="G390" s="734">
        <f>TRUNC(E390*F390,2)</f>
        <v>94.87</v>
      </c>
      <c r="H390" s="743"/>
    </row>
    <row r="391" spans="1:10" s="763" customFormat="1" ht="30.75" thickBot="1">
      <c r="A391" s="555" t="s">
        <v>452</v>
      </c>
      <c r="B391" s="759" t="str">
        <f>B409</f>
        <v>AMM SAA 016</v>
      </c>
      <c r="C391" s="493" t="str">
        <f>C409</f>
        <v>ASSENTAMENTO DE CONEXÕES DE PVC, JUNTA ELÁSTICA, PONTA E BOLSA, DIAM.= 100 MM</v>
      </c>
      <c r="D391" s="764" t="str">
        <f>G409</f>
        <v>UN</v>
      </c>
      <c r="E391" s="1229">
        <f>SUM(E381,E382,E384,E385,E387,E388)</f>
        <v>32</v>
      </c>
      <c r="F391" s="765">
        <f>G415</f>
        <v>2.4300000000000002</v>
      </c>
      <c r="G391" s="742">
        <f>TRUNC(E391*F391,2)</f>
        <v>77.760000000000005</v>
      </c>
      <c r="H391" s="743"/>
    </row>
    <row r="392" spans="1:10" s="582" customFormat="1" ht="25.5" customHeight="1" thickBot="1">
      <c r="A392" s="433"/>
      <c r="B392" s="1691" t="s">
        <v>6858</v>
      </c>
      <c r="C392" s="1691"/>
      <c r="D392" s="1691"/>
      <c r="E392" s="1691"/>
      <c r="F392" s="332" t="s">
        <v>192</v>
      </c>
      <c r="G392" s="434">
        <f>TRUNC(SUM(G380:G391),2)</f>
        <v>4762.26</v>
      </c>
      <c r="H392" s="229"/>
    </row>
    <row r="393" spans="1:10" s="294" customFormat="1" ht="15.75" customHeight="1" thickBot="1">
      <c r="B393" s="714"/>
      <c r="C393" s="229"/>
      <c r="D393" s="229"/>
      <c r="E393" s="229"/>
      <c r="F393" s="229"/>
      <c r="G393" s="715"/>
      <c r="I393" s="688"/>
    </row>
    <row r="394" spans="1:10" ht="15.75">
      <c r="A394" s="716"/>
      <c r="B394" s="422" t="s">
        <v>7253</v>
      </c>
      <c r="C394" s="689" t="s">
        <v>13993</v>
      </c>
      <c r="D394" s="423"/>
      <c r="E394" s="424"/>
      <c r="F394" s="421"/>
      <c r="G394" s="358" t="s">
        <v>23</v>
      </c>
      <c r="H394" s="605"/>
      <c r="I394" s="319"/>
    </row>
    <row r="395" spans="1:10" ht="31.5">
      <c r="A395" s="294"/>
      <c r="B395" s="542" t="s">
        <v>195</v>
      </c>
      <c r="C395" s="543" t="s">
        <v>196</v>
      </c>
      <c r="D395" s="544" t="s">
        <v>197</v>
      </c>
      <c r="E395" s="545" t="s">
        <v>198</v>
      </c>
      <c r="F395" s="546" t="s">
        <v>199</v>
      </c>
      <c r="G395" s="547" t="s">
        <v>200</v>
      </c>
      <c r="H395" s="224"/>
      <c r="I395" s="319"/>
    </row>
    <row r="396" spans="1:10" s="1476" customFormat="1" ht="15.75">
      <c r="A396" s="1469"/>
      <c r="B396" s="1470">
        <v>45015</v>
      </c>
      <c r="C396" s="1471" t="s">
        <v>13981</v>
      </c>
      <c r="D396" s="1472">
        <v>805</v>
      </c>
      <c r="E396" s="1483" t="s">
        <v>13982</v>
      </c>
      <c r="F396" s="681" t="s">
        <v>13983</v>
      </c>
      <c r="G396" s="1473" t="s">
        <v>7058</v>
      </c>
      <c r="H396" s="1474"/>
      <c r="I396" s="1475">
        <f>B396+180</f>
        <v>45195</v>
      </c>
    </row>
    <row r="397" spans="1:10" s="1476" customFormat="1" ht="15.75">
      <c r="A397" s="1469"/>
      <c r="B397" s="1470">
        <v>45016</v>
      </c>
      <c r="C397" s="1471" t="s">
        <v>7095</v>
      </c>
      <c r="D397" s="1472">
        <v>119</v>
      </c>
      <c r="E397" s="1483" t="s">
        <v>13985</v>
      </c>
      <c r="F397" s="681" t="s">
        <v>13986</v>
      </c>
      <c r="G397" s="1473" t="s">
        <v>7096</v>
      </c>
      <c r="H397" s="1474"/>
      <c r="I397" s="1475">
        <f>B397+180</f>
        <v>45196</v>
      </c>
    </row>
    <row r="398" spans="1:10" s="1476" customFormat="1" ht="15.75">
      <c r="A398" s="1469"/>
      <c r="B398" s="1470">
        <v>44566</v>
      </c>
      <c r="C398" s="1471" t="s">
        <v>7223</v>
      </c>
      <c r="D398" s="1472">
        <v>80</v>
      </c>
      <c r="E398" s="1440" t="s">
        <v>7224</v>
      </c>
      <c r="F398" s="1123" t="s">
        <v>7225</v>
      </c>
      <c r="G398" s="1473" t="s">
        <v>7219</v>
      </c>
      <c r="H398" s="1474"/>
      <c r="I398" s="1497">
        <f>B398+180</f>
        <v>44746</v>
      </c>
    </row>
    <row r="399" spans="1:10" ht="16.5" thickBot="1">
      <c r="A399" s="294"/>
      <c r="B399" s="737"/>
      <c r="C399" s="408" t="s">
        <v>201</v>
      </c>
      <c r="D399" s="738">
        <f>MEDIAN(D396:D398)</f>
        <v>119</v>
      </c>
      <c r="E399" s="409"/>
      <c r="F399" s="410"/>
      <c r="G399" s="486"/>
      <c r="H399" s="224"/>
      <c r="I399" s="319"/>
    </row>
    <row r="400" spans="1:10" ht="16.5" thickBot="1">
      <c r="B400" s="688"/>
      <c r="C400" s="688"/>
      <c r="D400" s="279"/>
      <c r="E400" s="222"/>
      <c r="F400" s="280"/>
      <c r="G400" s="281"/>
      <c r="J400" s="621"/>
    </row>
    <row r="401" spans="1:10" ht="30" customHeight="1">
      <c r="A401" s="433"/>
      <c r="B401" s="333" t="str">
        <f>IF(COUNT($H$13:H401)&lt;10,CONCATENATE("AMM SAA 00",COUNT($H$13:H401)),CONCATENATE("AMM SAA 0",COUNT($H$13:H401)))</f>
        <v>AMM SAA 015</v>
      </c>
      <c r="C401" s="1664" t="s">
        <v>6893</v>
      </c>
      <c r="D401" s="1665"/>
      <c r="E401" s="1665"/>
      <c r="F401" s="1666"/>
      <c r="G401" s="357" t="s">
        <v>23</v>
      </c>
      <c r="H401" s="436">
        <f>G407</f>
        <v>1.79</v>
      </c>
      <c r="J401" s="621"/>
    </row>
    <row r="402" spans="1:10" ht="31.5">
      <c r="B402" s="538" t="s">
        <v>206</v>
      </c>
      <c r="C402" s="543" t="s">
        <v>184</v>
      </c>
      <c r="D402" s="543" t="s">
        <v>23</v>
      </c>
      <c r="E402" s="543" t="s">
        <v>185</v>
      </c>
      <c r="F402" s="544" t="s">
        <v>186</v>
      </c>
      <c r="G402" s="1129" t="s">
        <v>187</v>
      </c>
      <c r="I402"/>
    </row>
    <row r="403" spans="1:10" ht="15.75">
      <c r="B403" s="1697" t="s">
        <v>6797</v>
      </c>
      <c r="C403" s="1698"/>
      <c r="D403" s="1698"/>
      <c r="E403" s="1698"/>
      <c r="F403" s="1698"/>
      <c r="G403" s="1699"/>
      <c r="I403"/>
    </row>
    <row r="404" spans="1:10" ht="26.25" customHeight="1">
      <c r="A404" s="433" t="s">
        <v>452</v>
      </c>
      <c r="B404" s="562">
        <v>90776</v>
      </c>
      <c r="C404" s="574" t="str">
        <f>IF($A404="INSUMO",VLOOKUP($B404,'BANCO DE DADOS JAN-23 INS'!$A:$D,2,FALSE),VLOOKUP($B404,'BANCO DE DADOS JAN-23 SERV'!$B:$E,2,FALSE))</f>
        <v>ENCARREGADO GERAL COM ENCARGOS COMPLEMENTARES</v>
      </c>
      <c r="D404" s="571" t="str">
        <f>IF($A404="INSUMO",VLOOKUP($B404,'BANCO DE DADOS JAN-23 INS'!$A:$D,3,FALSE),VLOOKUP($B404,'BANCO DE DADOS JAN-23 SERV'!$B:$E,3,FALSE))</f>
        <v>H</v>
      </c>
      <c r="E404" s="747">
        <v>9.2999999999999992E-3</v>
      </c>
      <c r="F404" s="575">
        <f>IF($A404="INSUMO",VLOOKUP($B404,'BANCO DE DADOS JAN-23 INS'!$A:$D,4,FALSE),VLOOKUP($B404,'BANCO DE DADOS JAN-23 SERV'!$B:$E,4,FALSE))</f>
        <v>24.76</v>
      </c>
      <c r="G404" s="745">
        <f>TRUNC(E404*F404,2)</f>
        <v>0.23</v>
      </c>
      <c r="H404" s="229"/>
      <c r="I404"/>
    </row>
    <row r="405" spans="1:10" ht="30">
      <c r="A405" s="433" t="s">
        <v>452</v>
      </c>
      <c r="B405" s="744">
        <v>88267</v>
      </c>
      <c r="C405" s="574" t="str">
        <f>IF($A405="INSUMO",VLOOKUP($B405,'BANCO DE DADOS JAN-23 INS'!$A:$D,2,FALSE),VLOOKUP($B405,'BANCO DE DADOS JAN-23 SERV'!$B:$E,2,FALSE))</f>
        <v>ENCANADOR OU BOMBEIRO HIDRÁULICO COM ENCARGOS COMPLEMENTARES</v>
      </c>
      <c r="D405" s="571" t="str">
        <f>IF($A405="INSUMO",VLOOKUP($B405,'BANCO DE DADOS JAN-23 INS'!$A:$D,3,FALSE),VLOOKUP($B405,'BANCO DE DADOS JAN-23 SERV'!$B:$E,3,FALSE))</f>
        <v>H</v>
      </c>
      <c r="E405" s="639">
        <v>2.7799999999999998E-2</v>
      </c>
      <c r="F405" s="575">
        <f>IF($A405="INSUMO",VLOOKUP($B405,'BANCO DE DADOS JAN-23 INS'!$A:$D,4,FALSE),VLOOKUP($B405,'BANCO DE DADOS JAN-23 SERV'!$B:$E,4,FALSE))</f>
        <v>21.66</v>
      </c>
      <c r="G405" s="745">
        <f>TRUNC(E405*F405,2)</f>
        <v>0.6</v>
      </c>
      <c r="H405" s="229"/>
      <c r="I405"/>
    </row>
    <row r="406" spans="1:10" ht="26.25" customHeight="1" thickBot="1">
      <c r="A406" s="433" t="s">
        <v>452</v>
      </c>
      <c r="B406" s="761">
        <v>88316</v>
      </c>
      <c r="C406" s="577" t="str">
        <f>IF($A406="INSUMO",VLOOKUP($B406,'BANCO DE DADOS JAN-23 INS'!$A:$D,2,FALSE),VLOOKUP($B406,'BANCO DE DADOS JAN-23 SERV'!$B:$E,2,FALSE))</f>
        <v>SERVENTE COM ENCARGOS COMPLEMENTARES</v>
      </c>
      <c r="D406" s="578" t="str">
        <f>IF($A406="INSUMO",VLOOKUP($B406,'BANCO DE DADOS JAN-23 INS'!$A:$D,3,FALSE),VLOOKUP($B406,'BANCO DE DADOS JAN-23 SERV'!$B:$E,3,FALSE))</f>
        <v>H</v>
      </c>
      <c r="E406" s="638">
        <v>5.5599999999999997E-2</v>
      </c>
      <c r="F406" s="579">
        <f>IF($A406="INSUMO",VLOOKUP($B406,'BANCO DE DADOS JAN-23 INS'!$A:$D,4,FALSE),VLOOKUP($B406,'BANCO DE DADOS JAN-23 SERV'!$B:$E,4,FALSE))</f>
        <v>17.420000000000002</v>
      </c>
      <c r="G406" s="769">
        <f>TRUNC(E406*F406,2)</f>
        <v>0.96</v>
      </c>
      <c r="H406" s="229"/>
      <c r="I406"/>
    </row>
    <row r="407" spans="1:10" ht="27" customHeight="1" thickBot="1">
      <c r="B407" s="1702" t="s">
        <v>7011</v>
      </c>
      <c r="C407" s="1702"/>
      <c r="D407" s="1702"/>
      <c r="E407" s="1703"/>
      <c r="F407" s="393" t="s">
        <v>192</v>
      </c>
      <c r="G407" s="770">
        <f>TRUNC(SUM(G403:G406),2)</f>
        <v>1.79</v>
      </c>
      <c r="I407"/>
    </row>
    <row r="408" spans="1:10" ht="16.5" thickBot="1">
      <c r="B408" s="688"/>
      <c r="C408" s="688"/>
      <c r="D408" s="279"/>
      <c r="E408" s="222"/>
      <c r="F408" s="280"/>
      <c r="G408" s="281"/>
      <c r="J408" s="621"/>
    </row>
    <row r="409" spans="1:10" ht="30" customHeight="1">
      <c r="A409" s="433"/>
      <c r="B409" s="333" t="str">
        <f>IF(COUNT($H$13:H409)&lt;10,CONCATENATE("AMM SAA 00",COUNT($H$13:H409)),CONCATENATE("AMM SAA 0",COUNT($H$13:H409)))</f>
        <v>AMM SAA 016</v>
      </c>
      <c r="C409" s="1664" t="s">
        <v>7009</v>
      </c>
      <c r="D409" s="1665"/>
      <c r="E409" s="1665"/>
      <c r="F409" s="1666"/>
      <c r="G409" s="357" t="s">
        <v>23</v>
      </c>
      <c r="H409" s="436">
        <f>G415</f>
        <v>2.4300000000000002</v>
      </c>
      <c r="J409" s="621"/>
    </row>
    <row r="410" spans="1:10" ht="31.5">
      <c r="B410" s="538" t="s">
        <v>206</v>
      </c>
      <c r="C410" s="543" t="s">
        <v>184</v>
      </c>
      <c r="D410" s="543" t="s">
        <v>23</v>
      </c>
      <c r="E410" s="543" t="s">
        <v>185</v>
      </c>
      <c r="F410" s="544" t="s">
        <v>186</v>
      </c>
      <c r="G410" s="1129" t="s">
        <v>187</v>
      </c>
      <c r="I410"/>
    </row>
    <row r="411" spans="1:10" ht="15.75">
      <c r="B411" s="1697" t="s">
        <v>6797</v>
      </c>
      <c r="C411" s="1698"/>
      <c r="D411" s="1698"/>
      <c r="E411" s="1698"/>
      <c r="F411" s="1698"/>
      <c r="G411" s="1699"/>
      <c r="I411"/>
    </row>
    <row r="412" spans="1:10" ht="26.25" customHeight="1">
      <c r="A412" s="433" t="s">
        <v>452</v>
      </c>
      <c r="B412" s="562">
        <v>90776</v>
      </c>
      <c r="C412" s="574" t="str">
        <f>IF($A412="INSUMO",VLOOKUP($B412,'BANCO DE DADOS JAN-23 INS'!$A:$D,2,FALSE),VLOOKUP($B412,'BANCO DE DADOS JAN-23 SERV'!$B:$E,2,FALSE))</f>
        <v>ENCARREGADO GERAL COM ENCARGOS COMPLEMENTARES</v>
      </c>
      <c r="D412" s="571" t="str">
        <f>IF($A412="INSUMO",VLOOKUP($B412,'BANCO DE DADOS JAN-23 INS'!$A:$D,3,FALSE),VLOOKUP($B412,'BANCO DE DADOS JAN-23 SERV'!$B:$E,3,FALSE))</f>
        <v>H</v>
      </c>
      <c r="E412" s="747">
        <v>1.26E-2</v>
      </c>
      <c r="F412" s="575">
        <f>IF($A412="INSUMO",VLOOKUP($B412,'BANCO DE DADOS JAN-23 INS'!$A:$D,4,FALSE),VLOOKUP($B412,'BANCO DE DADOS JAN-23 SERV'!$B:$E,4,FALSE))</f>
        <v>24.76</v>
      </c>
      <c r="G412" s="745">
        <f>TRUNC(E412*F412,2)</f>
        <v>0.31</v>
      </c>
      <c r="H412" s="229"/>
      <c r="I412"/>
    </row>
    <row r="413" spans="1:10" ht="30">
      <c r="A413" s="433" t="s">
        <v>452</v>
      </c>
      <c r="B413" s="744">
        <v>88267</v>
      </c>
      <c r="C413" s="574" t="str">
        <f>IF($A413="INSUMO",VLOOKUP($B413,'BANCO DE DADOS JAN-23 INS'!$A:$D,2,FALSE),VLOOKUP($B413,'BANCO DE DADOS JAN-23 SERV'!$B:$E,2,FALSE))</f>
        <v>ENCANADOR OU BOMBEIRO HIDRÁULICO COM ENCARGOS COMPLEMENTARES</v>
      </c>
      <c r="D413" s="571" t="str">
        <f>IF($A413="INSUMO",VLOOKUP($B413,'BANCO DE DADOS JAN-23 INS'!$A:$D,3,FALSE),VLOOKUP($B413,'BANCO DE DADOS JAN-23 SERV'!$B:$E,3,FALSE))</f>
        <v>H</v>
      </c>
      <c r="E413" s="639">
        <v>3.7699999999999997E-2</v>
      </c>
      <c r="F413" s="575">
        <f>IF($A413="INSUMO",VLOOKUP($B413,'BANCO DE DADOS JAN-23 INS'!$A:$D,4,FALSE),VLOOKUP($B413,'BANCO DE DADOS JAN-23 SERV'!$B:$E,4,FALSE))</f>
        <v>21.66</v>
      </c>
      <c r="G413" s="745">
        <f>TRUNC(E413*F413,2)</f>
        <v>0.81</v>
      </c>
      <c r="H413" s="229"/>
      <c r="I413"/>
    </row>
    <row r="414" spans="1:10" ht="26.25" customHeight="1" thickBot="1">
      <c r="A414" s="433" t="s">
        <v>452</v>
      </c>
      <c r="B414" s="761">
        <v>88316</v>
      </c>
      <c r="C414" s="577" t="str">
        <f>IF($A414="INSUMO",VLOOKUP($B414,'BANCO DE DADOS JAN-23 INS'!$A:$D,2,FALSE),VLOOKUP($B414,'BANCO DE DADOS JAN-23 SERV'!$B:$E,2,FALSE))</f>
        <v>SERVENTE COM ENCARGOS COMPLEMENTARES</v>
      </c>
      <c r="D414" s="578" t="str">
        <f>IF($A414="INSUMO",VLOOKUP($B414,'BANCO DE DADOS JAN-23 INS'!$A:$D,3,FALSE),VLOOKUP($B414,'BANCO DE DADOS JAN-23 SERV'!$B:$E,3,FALSE))</f>
        <v>H</v>
      </c>
      <c r="E414" s="1023">
        <v>7.5399999999999995E-2</v>
      </c>
      <c r="F414" s="579">
        <f>IF($A414="INSUMO",VLOOKUP($B414,'BANCO DE DADOS JAN-23 INS'!$A:$D,4,FALSE),VLOOKUP($B414,'BANCO DE DADOS JAN-23 SERV'!$B:$E,4,FALSE))</f>
        <v>17.420000000000002</v>
      </c>
      <c r="G414" s="769">
        <f>TRUNC(E414*F414,2)</f>
        <v>1.31</v>
      </c>
      <c r="H414" s="229"/>
      <c r="I414"/>
    </row>
    <row r="415" spans="1:10" ht="27" customHeight="1" thickBot="1">
      <c r="B415" s="1702" t="s">
        <v>7010</v>
      </c>
      <c r="C415" s="1702"/>
      <c r="D415" s="1702"/>
      <c r="E415" s="1703"/>
      <c r="F415" s="393" t="s">
        <v>192</v>
      </c>
      <c r="G415" s="770">
        <f>TRUNC(SUM(G411:G414),2)</f>
        <v>2.4300000000000002</v>
      </c>
      <c r="I415"/>
    </row>
    <row r="416" spans="1:10" s="294" customFormat="1" ht="15.75" thickBot="1"/>
    <row r="417" spans="1:8" s="224" customFormat="1" ht="31.5" customHeight="1">
      <c r="A417" s="294"/>
      <c r="B417" s="333" t="str">
        <f>IF(COUNT($H$13:H417)&lt;10,CONCATENATE("AMM SAA 00",COUNT($H$13:H417)),CONCATENATE("AMM SAA 0",COUNT($H$13:H417)))</f>
        <v>AMM SAA 017</v>
      </c>
      <c r="C417" s="1673" t="s">
        <v>7059</v>
      </c>
      <c r="D417" s="1673"/>
      <c r="E417" s="1673"/>
      <c r="F417" s="1673"/>
      <c r="G417" s="326" t="s">
        <v>22</v>
      </c>
      <c r="H417" s="355">
        <f>G422</f>
        <v>137.68</v>
      </c>
    </row>
    <row r="418" spans="1:8" s="224" customFormat="1" ht="38.25" customHeight="1">
      <c r="A418" s="294"/>
      <c r="B418" s="538" t="s">
        <v>206</v>
      </c>
      <c r="C418" s="1125" t="s">
        <v>184</v>
      </c>
      <c r="D418" s="1125" t="s">
        <v>23</v>
      </c>
      <c r="E418" s="1125" t="s">
        <v>185</v>
      </c>
      <c r="F418" s="1126" t="s">
        <v>186</v>
      </c>
      <c r="G418" s="1127" t="s">
        <v>187</v>
      </c>
    </row>
    <row r="419" spans="1:8" s="224" customFormat="1" ht="15.75" customHeight="1">
      <c r="A419" s="294"/>
      <c r="B419" s="1686" t="s">
        <v>188</v>
      </c>
      <c r="C419" s="1687"/>
      <c r="D419" s="1687"/>
      <c r="E419" s="1687"/>
      <c r="F419" s="1687"/>
      <c r="G419" s="1688"/>
    </row>
    <row r="420" spans="1:8" s="224" customFormat="1" ht="30">
      <c r="A420" s="433" t="s">
        <v>451</v>
      </c>
      <c r="B420" s="562">
        <v>9828</v>
      </c>
      <c r="C420" s="574" t="str">
        <f>IF($A420="INSUMO",VLOOKUP($B420,'BANCO DE DADOS JAN-23 INS'!$A:$D,2,FALSE),VLOOKUP($B420,'BANCO DE DADOS JAN-23 SERV'!$B:$E,2,FALSE))</f>
        <v>TUBO PVC DEFOFO, JEI, 1 MPA, DN 150 MM, PARA REDE DE  AGUA (NBR 7665)</v>
      </c>
      <c r="D420" s="571" t="str">
        <f>IF($A420="INSUMO",VLOOKUP($B420,'BANCO DE DADOS JAN-23 INS'!$A:$D,3,FALSE),VLOOKUP($B420,'BANCO DE DADOS JAN-23 SERV'!$B:$E,3,FALSE))</f>
        <v xml:space="preserve">M     </v>
      </c>
      <c r="E420" s="575">
        <v>1</v>
      </c>
      <c r="F420" s="575">
        <f>IF($A420="INSUMO",VLOOKUP($B420,'BANCO DE DADOS JAN-23 INS'!$A:$D,4,FALSE),VLOOKUP($B420,'BANCO DE DADOS JAN-23 SERV'!$B:$E,4,FALSE))</f>
        <v>133.47</v>
      </c>
      <c r="G420" s="573">
        <f>TRUNC(E420*F420,2)</f>
        <v>133.47</v>
      </c>
    </row>
    <row r="421" spans="1:8" s="224" customFormat="1" ht="60.75" thickBot="1">
      <c r="A421" s="433" t="s">
        <v>452</v>
      </c>
      <c r="B421" s="576">
        <v>97127</v>
      </c>
      <c r="C421" s="577" t="str">
        <f>IF($A421="INSUMO",VLOOKUP($B421,'BANCO DE DADOS JAN-23 INS'!$A:$D,2,FALSE),VLOOKUP($B421,'BANCO DE DADOS JAN-23 SERV'!$B:$E,2,FALSE))</f>
        <v>ASSENTAMENTO DE TUBO DE PVC DEFOFO OU PRFV OU RPVC PARA REDE DE ÁGUA, DN 150 MM, JUNTA ELÁSTICA INTEGRADA, INSTALADO EM LOCAL COM NÍVEL ALTO DE INTERFERÊNCIAS (NÃO INCLUI FORNECIMENTO). AF_11/2017</v>
      </c>
      <c r="D421" s="578" t="str">
        <f>IF($A421="INSUMO",VLOOKUP($B421,'BANCO DE DADOS JAN-23 INS'!$A:$D,3,FALSE),VLOOKUP($B421,'BANCO DE DADOS JAN-23 SERV'!$B:$E,3,FALSE))</f>
        <v>M</v>
      </c>
      <c r="E421" s="579">
        <v>1</v>
      </c>
      <c r="F421" s="579">
        <f>IF($A421="INSUMO",VLOOKUP($B421,'BANCO DE DADOS JAN-23 INS'!$A:$D,4,FALSE),VLOOKUP($B421,'BANCO DE DADOS JAN-23 SERV'!$B:$E,4,FALSE))</f>
        <v>4.21</v>
      </c>
      <c r="G421" s="581">
        <f>TRUNC(E421*F421,2)</f>
        <v>4.21</v>
      </c>
    </row>
    <row r="422" spans="1:8" s="224" customFormat="1" ht="35.25" customHeight="1" thickBot="1">
      <c r="A422" s="294"/>
      <c r="B422" s="1695" t="s">
        <v>7060</v>
      </c>
      <c r="C422" s="1695"/>
      <c r="D422" s="1695"/>
      <c r="E422" s="1696"/>
      <c r="F422" s="332" t="s">
        <v>190</v>
      </c>
      <c r="G422" s="1024">
        <f>SUM(G420:G421)</f>
        <v>137.68</v>
      </c>
    </row>
    <row r="423" spans="1:8" s="224" customFormat="1" ht="24.95" customHeight="1" thickBot="1">
      <c r="B423" s="294"/>
      <c r="C423" s="294"/>
      <c r="D423" s="294"/>
      <c r="E423" s="294"/>
      <c r="F423" s="294"/>
      <c r="G423" s="294"/>
    </row>
    <row r="424" spans="1:8" s="224" customFormat="1" ht="31.5" customHeight="1">
      <c r="B424" s="333" t="str">
        <f>IF(COUNT($H$13:H424)&lt;10,CONCATENATE("AMM SAA 00",COUNT($H$13:H424)),CONCATENATE("AMM SAA 0",COUNT($H$13:H424)))</f>
        <v>AMM SAA 018</v>
      </c>
      <c r="C424" s="1664" t="s">
        <v>7061</v>
      </c>
      <c r="D424" s="1665"/>
      <c r="E424" s="1665"/>
      <c r="F424" s="1666"/>
      <c r="G424" s="357" t="s">
        <v>23</v>
      </c>
      <c r="H424" s="355">
        <f>G431</f>
        <v>108.58</v>
      </c>
    </row>
    <row r="425" spans="1:8" s="224" customFormat="1" ht="39.75" customHeight="1">
      <c r="B425" s="538" t="s">
        <v>206</v>
      </c>
      <c r="C425" s="1125" t="s">
        <v>184</v>
      </c>
      <c r="D425" s="1125" t="s">
        <v>23</v>
      </c>
      <c r="E425" s="1125" t="s">
        <v>185</v>
      </c>
      <c r="F425" s="1126" t="s">
        <v>186</v>
      </c>
      <c r="G425" s="1127" t="s">
        <v>187</v>
      </c>
    </row>
    <row r="426" spans="1:8" s="224" customFormat="1" ht="15.75" customHeight="1">
      <c r="B426" s="1667" t="s">
        <v>188</v>
      </c>
      <c r="C426" s="1668"/>
      <c r="D426" s="1668"/>
      <c r="E426" s="1668"/>
      <c r="F426" s="1668"/>
      <c r="G426" s="1669"/>
    </row>
    <row r="427" spans="1:8" s="224" customFormat="1" ht="15.75">
      <c r="A427" s="433" t="s">
        <v>452</v>
      </c>
      <c r="B427" s="562" t="str">
        <f>B433</f>
        <v>COTAÇÃO 032</v>
      </c>
      <c r="C427" s="1043" t="str">
        <f>C433</f>
        <v>ABRAÇADEIRA CIRCULAR EM AÇO GALVANIZADO - DN 200 MM</v>
      </c>
      <c r="D427" s="612" t="str">
        <f>G433</f>
        <v>UN</v>
      </c>
      <c r="E427" s="637">
        <v>1</v>
      </c>
      <c r="F427" s="572">
        <f>D438</f>
        <v>104.68</v>
      </c>
      <c r="G427" s="573">
        <f t="shared" ref="G427" si="16">TRUNC(E427*F427,2)</f>
        <v>104.68</v>
      </c>
    </row>
    <row r="428" spans="1:8" s="224" customFormat="1" ht="15.75" customHeight="1">
      <c r="B428" s="1670" t="s">
        <v>6797</v>
      </c>
      <c r="C428" s="1671"/>
      <c r="D428" s="1671"/>
      <c r="E428" s="1671"/>
      <c r="F428" s="1671"/>
      <c r="G428" s="1672"/>
    </row>
    <row r="429" spans="1:8" s="224" customFormat="1" ht="31.5" customHeight="1">
      <c r="A429" s="433" t="s">
        <v>452</v>
      </c>
      <c r="B429" s="562">
        <v>88316</v>
      </c>
      <c r="C429" s="574" t="str">
        <f>IF($A429="INSUMO",VLOOKUP($B429,'BANCO DE DADOS JAN-23 INS'!$A:$D,2,FALSE),VLOOKUP($B429,'BANCO DE DADOS JAN-23 SERV'!$B:$E,2,FALSE))</f>
        <v>SERVENTE COM ENCARGOS COMPLEMENTARES</v>
      </c>
      <c r="D429" s="571" t="str">
        <f>IF($A429="INSUMO",VLOOKUP($B429,'BANCO DE DADOS JAN-23 INS'!$A:$D,3,FALSE),VLOOKUP($B429,'BANCO DE DADOS JAN-23 SERV'!$B:$E,3,FALSE))</f>
        <v>H</v>
      </c>
      <c r="E429" s="637">
        <v>0.1</v>
      </c>
      <c r="F429" s="575">
        <f>IF($A429="INSUMO",VLOOKUP($B429,'BANCO DE DADOS JAN-23 INS'!$A:$D,4,FALSE),VLOOKUP($B429,'BANCO DE DADOS JAN-23 SERV'!$B:$E,4,FALSE))</f>
        <v>17.420000000000002</v>
      </c>
      <c r="G429" s="573">
        <f t="shared" ref="G429:G430" si="17">TRUNC(E429*F429,2)</f>
        <v>1.74</v>
      </c>
    </row>
    <row r="430" spans="1:8" s="224" customFormat="1" ht="32.25" customHeight="1" thickBot="1">
      <c r="A430" s="433" t="s">
        <v>452</v>
      </c>
      <c r="B430" s="576">
        <v>88267</v>
      </c>
      <c r="C430" s="577" t="str">
        <f>IF($A430="INSUMO",VLOOKUP($B430,'BANCO DE DADOS JAN-23 INS'!$A:$D,2,FALSE),VLOOKUP($B430,'BANCO DE DADOS JAN-23 SERV'!$B:$E,2,FALSE))</f>
        <v>ENCANADOR OU BOMBEIRO HIDRÁULICO COM ENCARGOS COMPLEMENTARES</v>
      </c>
      <c r="D430" s="578" t="str">
        <f>IF($A430="INSUMO",VLOOKUP($B430,'BANCO DE DADOS JAN-23 INS'!$A:$D,3,FALSE),VLOOKUP($B430,'BANCO DE DADOS JAN-23 SERV'!$B:$E,3,FALSE))</f>
        <v>H</v>
      </c>
      <c r="E430" s="1076">
        <v>0.1</v>
      </c>
      <c r="F430" s="579">
        <f>IF($A430="INSUMO",VLOOKUP($B430,'BANCO DE DADOS JAN-23 INS'!$A:$D,4,FALSE),VLOOKUP($B430,'BANCO DE DADOS JAN-23 SERV'!$B:$E,4,FALSE))</f>
        <v>21.66</v>
      </c>
      <c r="G430" s="581">
        <f t="shared" si="17"/>
        <v>2.16</v>
      </c>
    </row>
    <row r="431" spans="1:8" s="224" customFormat="1" ht="24.95" customHeight="1" thickBot="1">
      <c r="B431" s="1657" t="s">
        <v>7062</v>
      </c>
      <c r="C431" s="1657"/>
      <c r="D431" s="1657"/>
      <c r="E431" s="1658"/>
      <c r="F431" s="712" t="s">
        <v>190</v>
      </c>
      <c r="G431" s="1045">
        <f>SUM(G427:G427,G429:G430)</f>
        <v>108.58</v>
      </c>
    </row>
    <row r="432" spans="1:8" s="224" customFormat="1" ht="24.95" customHeight="1" thickBot="1"/>
    <row r="433" spans="1:9" s="224" customFormat="1" ht="15.75">
      <c r="B433" s="422" t="s">
        <v>7254</v>
      </c>
      <c r="C433" s="689" t="s">
        <v>7063</v>
      </c>
      <c r="D433" s="423"/>
      <c r="E433" s="424"/>
      <c r="F433" s="421"/>
      <c r="G433" s="358" t="s">
        <v>23</v>
      </c>
    </row>
    <row r="434" spans="1:9" s="224" customFormat="1" ht="31.5">
      <c r="B434" s="542" t="s">
        <v>195</v>
      </c>
      <c r="C434" s="543" t="s">
        <v>196</v>
      </c>
      <c r="D434" s="544" t="s">
        <v>197</v>
      </c>
      <c r="E434" s="545" t="s">
        <v>198</v>
      </c>
      <c r="F434" s="546" t="s">
        <v>199</v>
      </c>
      <c r="G434" s="547" t="s">
        <v>200</v>
      </c>
    </row>
    <row r="435" spans="1:9" s="224" customFormat="1">
      <c r="B435" s="556">
        <v>44755</v>
      </c>
      <c r="C435" s="606" t="s">
        <v>7064</v>
      </c>
      <c r="D435" s="1122">
        <v>56.42</v>
      </c>
      <c r="E435" s="561" t="s">
        <v>6777</v>
      </c>
      <c r="F435" s="1123" t="s">
        <v>7065</v>
      </c>
      <c r="G435" s="1124" t="s">
        <v>7066</v>
      </c>
      <c r="I435" s="1496">
        <f>B435+180</f>
        <v>44935</v>
      </c>
    </row>
    <row r="436" spans="1:9" s="224" customFormat="1">
      <c r="B436" s="556">
        <v>44756</v>
      </c>
      <c r="C436" s="606" t="s">
        <v>7192</v>
      </c>
      <c r="D436" s="1122">
        <v>104.68</v>
      </c>
      <c r="E436" s="561" t="s">
        <v>7193</v>
      </c>
      <c r="F436" s="1123" t="s">
        <v>7194</v>
      </c>
      <c r="G436" s="1124" t="s">
        <v>7066</v>
      </c>
      <c r="I436" s="1496">
        <f>B436+180</f>
        <v>44936</v>
      </c>
    </row>
    <row r="437" spans="1:9" s="1474" customFormat="1">
      <c r="B437" s="1470">
        <v>45015</v>
      </c>
      <c r="C437" s="1471" t="s">
        <v>13981</v>
      </c>
      <c r="D437" s="1472">
        <v>520</v>
      </c>
      <c r="E437" s="1483" t="s">
        <v>13982</v>
      </c>
      <c r="F437" s="681" t="s">
        <v>13983</v>
      </c>
      <c r="G437" s="1473" t="s">
        <v>7058</v>
      </c>
      <c r="I437" s="1475">
        <f>B437+180</f>
        <v>45195</v>
      </c>
    </row>
    <row r="438" spans="1:9" s="224" customFormat="1" ht="16.5" thickBot="1">
      <c r="B438" s="1046"/>
      <c r="C438" s="549" t="s">
        <v>201</v>
      </c>
      <c r="D438" s="718">
        <f>MEDIAN(D435:D437)</f>
        <v>104.68</v>
      </c>
      <c r="E438" s="551"/>
      <c r="F438" s="552"/>
      <c r="G438" s="553"/>
    </row>
    <row r="439" spans="1:9" s="224" customFormat="1" ht="15.75" thickBot="1">
      <c r="B439" s="294"/>
      <c r="C439" s="294"/>
      <c r="D439" s="294"/>
      <c r="E439" s="294"/>
      <c r="F439" s="294"/>
      <c r="G439" s="294"/>
    </row>
    <row r="440" spans="1:9" s="224" customFormat="1" ht="30" customHeight="1">
      <c r="A440" s="294"/>
      <c r="B440" s="333" t="str">
        <f>IF(COUNT($H$13:H440)&lt;10,CONCATENATE("AMM SAA 00",COUNT($H$13:H440)),CONCATENATE("AMM SAA 0",COUNT($H$13:H440)))</f>
        <v>AMM SAA 019</v>
      </c>
      <c r="C440" s="1664" t="s">
        <v>7149</v>
      </c>
      <c r="D440" s="1665"/>
      <c r="E440" s="1665"/>
      <c r="F440" s="1666"/>
      <c r="G440" s="326" t="s">
        <v>22</v>
      </c>
      <c r="H440" s="355">
        <f>G449</f>
        <v>329.08000000000004</v>
      </c>
    </row>
    <row r="441" spans="1:9" s="224" customFormat="1" ht="41.25" customHeight="1">
      <c r="A441" s="294"/>
      <c r="B441" s="538" t="s">
        <v>206</v>
      </c>
      <c r="C441" s="1125" t="s">
        <v>184</v>
      </c>
      <c r="D441" s="1125" t="s">
        <v>23</v>
      </c>
      <c r="E441" s="1125" t="s">
        <v>185</v>
      </c>
      <c r="F441" s="1126" t="s">
        <v>186</v>
      </c>
      <c r="G441" s="1127" t="s">
        <v>187</v>
      </c>
    </row>
    <row r="442" spans="1:9" s="224" customFormat="1" ht="15.75" customHeight="1">
      <c r="A442" s="294"/>
      <c r="B442" s="1686" t="s">
        <v>188</v>
      </c>
      <c r="C442" s="1687"/>
      <c r="D442" s="1687"/>
      <c r="E442" s="1687"/>
      <c r="F442" s="1687"/>
      <c r="G442" s="1688"/>
    </row>
    <row r="443" spans="1:9" s="224" customFormat="1" ht="15.75">
      <c r="A443" s="433" t="s">
        <v>451</v>
      </c>
      <c r="B443" s="562" t="str">
        <f>B451</f>
        <v>COTAÇÃO 033</v>
      </c>
      <c r="C443" s="574" t="str">
        <f>C451</f>
        <v>CURVA 90º EM PVC DEFOFO, DN 150 MM</v>
      </c>
      <c r="D443" s="612" t="str">
        <f>G451</f>
        <v>UN</v>
      </c>
      <c r="E443" s="639">
        <v>1</v>
      </c>
      <c r="F443" s="572">
        <f>D456</f>
        <v>324.5</v>
      </c>
      <c r="G443" s="573">
        <f>TRUNC(E443*F443,2)</f>
        <v>324.5</v>
      </c>
    </row>
    <row r="444" spans="1:9" s="224" customFormat="1" ht="15.75">
      <c r="A444" s="433" t="s">
        <v>451</v>
      </c>
      <c r="B444" s="562">
        <v>4229</v>
      </c>
      <c r="C444" s="574" t="str">
        <f>IF($A444="INSUMO",VLOOKUP($B444,'BANCO DE DADOS JAN-23 INS'!$A:$D,2,FALSE),VLOOKUP($B444,'BANCO DE DADOS JAN-23 SERV'!$B:$E,2,FALSE))</f>
        <v>GRAXA LUBRIFICANTE</v>
      </c>
      <c r="D444" s="571" t="str">
        <f>IF($A444="INSUMO",VLOOKUP($B444,'BANCO DE DADOS JAN-23 INS'!$A:$D,3,FALSE),VLOOKUP($B444,'BANCO DE DADOS JAN-23 SERV'!$B:$E,3,FALSE))</f>
        <v xml:space="preserve">KG    </v>
      </c>
      <c r="E444" s="639">
        <v>3.5000000000000003E-2</v>
      </c>
      <c r="F444" s="575">
        <f>IF($A444="INSUMO",VLOOKUP($B444,'BANCO DE DADOS JAN-23 INS'!$A:$D,4,FALSE),VLOOKUP($B444,'BANCO DE DADOS JAN-23 SERV'!$B:$E,4,FALSE))</f>
        <v>38.75</v>
      </c>
      <c r="G444" s="573">
        <f>TRUNC(E444*F444,2)</f>
        <v>1.35</v>
      </c>
    </row>
    <row r="445" spans="1:9" s="224" customFormat="1" ht="15.75" customHeight="1">
      <c r="A445" s="433"/>
      <c r="B445" s="1677" t="s">
        <v>6797</v>
      </c>
      <c r="C445" s="1678"/>
      <c r="D445" s="1678"/>
      <c r="E445" s="1678"/>
      <c r="F445" s="1678"/>
      <c r="G445" s="1679"/>
    </row>
    <row r="446" spans="1:9" s="224" customFormat="1" ht="15.75">
      <c r="A446" s="433" t="s">
        <v>452</v>
      </c>
      <c r="B446" s="562">
        <v>90776</v>
      </c>
      <c r="C446" s="574" t="str">
        <f>IF($A446="INSUMO",VLOOKUP($B446,'BANCO DE DADOS JAN-23 INS'!$A:$D,2,FALSE),VLOOKUP($B446,'BANCO DE DADOS JAN-23 SERV'!$B:$E,2,FALSE))</f>
        <v>ENCARREGADO GERAL COM ENCARGOS COMPLEMENTARES</v>
      </c>
      <c r="D446" s="571" t="str">
        <f>IF($A446="INSUMO",VLOOKUP($B446,'BANCO DE DADOS JAN-23 INS'!$A:$D,3,FALSE),VLOOKUP($B446,'BANCO DE DADOS JAN-23 SERV'!$B:$E,3,FALSE))</f>
        <v>H</v>
      </c>
      <c r="E446" s="639">
        <v>1.67E-2</v>
      </c>
      <c r="F446" s="575">
        <f>IF($A446="INSUMO",VLOOKUP($B446,'BANCO DE DADOS JAN-23 INS'!$A:$D,4,FALSE),VLOOKUP($B446,'BANCO DE DADOS JAN-23 SERV'!$B:$E,4,FALSE))</f>
        <v>24.76</v>
      </c>
      <c r="G446" s="573">
        <f>TRUNC(E446*F446,2)</f>
        <v>0.41</v>
      </c>
    </row>
    <row r="447" spans="1:9" s="224" customFormat="1" ht="15.75">
      <c r="A447" s="433" t="s">
        <v>452</v>
      </c>
      <c r="B447" s="562">
        <v>88316</v>
      </c>
      <c r="C447" s="574" t="str">
        <f>IF($A447="INSUMO",VLOOKUP($B447,'BANCO DE DADOS JAN-23 INS'!$A:$D,2,FALSE),VLOOKUP($B447,'BANCO DE DADOS JAN-23 SERV'!$B:$E,2,FALSE))</f>
        <v>SERVENTE COM ENCARGOS COMPLEMENTARES</v>
      </c>
      <c r="D447" s="571" t="str">
        <f>IF($A447="INSUMO",VLOOKUP($B447,'BANCO DE DADOS JAN-23 INS'!$A:$D,3,FALSE),VLOOKUP($B447,'BANCO DE DADOS JAN-23 SERV'!$B:$E,3,FALSE))</f>
        <v>H</v>
      </c>
      <c r="E447" s="639">
        <v>0.1</v>
      </c>
      <c r="F447" s="575">
        <f>IF($A447="INSUMO",VLOOKUP($B447,'BANCO DE DADOS JAN-23 INS'!$A:$D,4,FALSE),VLOOKUP($B447,'BANCO DE DADOS JAN-23 SERV'!$B:$E,4,FALSE))</f>
        <v>17.420000000000002</v>
      </c>
      <c r="G447" s="573">
        <f>TRUNC(E447*F447,2)</f>
        <v>1.74</v>
      </c>
    </row>
    <row r="448" spans="1:9" s="224" customFormat="1" ht="30.75" thickBot="1">
      <c r="A448" s="433" t="s">
        <v>452</v>
      </c>
      <c r="B448" s="576">
        <v>88267</v>
      </c>
      <c r="C448" s="577" t="str">
        <f>IF($A448="INSUMO",VLOOKUP($B448,'BANCO DE DADOS JAN-23 INS'!$A:$D,2,FALSE),VLOOKUP($B448,'BANCO DE DADOS JAN-23 SERV'!$B:$E,2,FALSE))</f>
        <v>ENCANADOR OU BOMBEIRO HIDRÁULICO COM ENCARGOS COMPLEMENTARES</v>
      </c>
      <c r="D448" s="578" t="str">
        <f>IF($A448="INSUMO",VLOOKUP($B448,'BANCO DE DADOS JAN-23 INS'!$A:$D,3,FALSE),VLOOKUP($B448,'BANCO DE DADOS JAN-23 SERV'!$B:$E,3,FALSE))</f>
        <v>H</v>
      </c>
      <c r="E448" s="638">
        <v>0.05</v>
      </c>
      <c r="F448" s="579">
        <f>IF($A448="INSUMO",VLOOKUP($B448,'BANCO DE DADOS JAN-23 INS'!$A:$D,4,FALSE),VLOOKUP($B448,'BANCO DE DADOS JAN-23 SERV'!$B:$E,4,FALSE))</f>
        <v>21.66</v>
      </c>
      <c r="G448" s="581">
        <f>TRUNC(E448*F448,2)</f>
        <v>1.08</v>
      </c>
    </row>
    <row r="449" spans="1:9" s="224" customFormat="1" ht="27" customHeight="1" thickBot="1">
      <c r="A449" s="294"/>
      <c r="B449" s="1689" t="s">
        <v>7147</v>
      </c>
      <c r="C449" s="1689"/>
      <c r="D449" s="1689"/>
      <c r="E449" s="1690"/>
      <c r="F449" s="332" t="s">
        <v>190</v>
      </c>
      <c r="G449" s="1024">
        <f>SUM(G443:G448)</f>
        <v>329.08000000000004</v>
      </c>
    </row>
    <row r="450" spans="1:9" s="224" customFormat="1" ht="27" customHeight="1" thickBot="1">
      <c r="B450" s="294"/>
      <c r="C450" s="294"/>
      <c r="D450" s="294"/>
      <c r="E450" s="294"/>
      <c r="F450" s="294"/>
      <c r="G450" s="294"/>
    </row>
    <row r="451" spans="1:9" s="224" customFormat="1" ht="24.95" customHeight="1">
      <c r="B451" s="422" t="s">
        <v>7255</v>
      </c>
      <c r="C451" s="689" t="s">
        <v>7148</v>
      </c>
      <c r="D451" s="423"/>
      <c r="E451" s="424"/>
      <c r="F451" s="421"/>
      <c r="G451" s="358" t="s">
        <v>23</v>
      </c>
    </row>
    <row r="452" spans="1:9" s="224" customFormat="1" ht="38.25" customHeight="1">
      <c r="B452" s="542" t="s">
        <v>195</v>
      </c>
      <c r="C452" s="543" t="s">
        <v>196</v>
      </c>
      <c r="D452" s="544" t="s">
        <v>558</v>
      </c>
      <c r="E452" s="545" t="s">
        <v>198</v>
      </c>
      <c r="F452" s="546" t="s">
        <v>199</v>
      </c>
      <c r="G452" s="547" t="s">
        <v>200</v>
      </c>
    </row>
    <row r="453" spans="1:9" s="1474" customFormat="1">
      <c r="B453" s="1470">
        <v>45015</v>
      </c>
      <c r="C453" s="1471" t="s">
        <v>13981</v>
      </c>
      <c r="D453" s="1472">
        <v>604.79999999999995</v>
      </c>
      <c r="E453" s="1483" t="s">
        <v>13982</v>
      </c>
      <c r="F453" s="681" t="s">
        <v>13983</v>
      </c>
      <c r="G453" s="1473" t="s">
        <v>7058</v>
      </c>
      <c r="I453" s="1475">
        <f>B453+180</f>
        <v>45195</v>
      </c>
    </row>
    <row r="454" spans="1:9" s="1485" customFormat="1">
      <c r="B454" s="1470">
        <v>45016</v>
      </c>
      <c r="C454" s="1471" t="s">
        <v>7095</v>
      </c>
      <c r="D454" s="1472">
        <v>306</v>
      </c>
      <c r="E454" s="1483" t="s">
        <v>13985</v>
      </c>
      <c r="F454" s="681" t="s">
        <v>13986</v>
      </c>
      <c r="G454" s="1473" t="s">
        <v>7096</v>
      </c>
      <c r="I454" s="1475">
        <f>B454+180</f>
        <v>45196</v>
      </c>
    </row>
    <row r="455" spans="1:9" s="1474" customFormat="1">
      <c r="B455" s="1470">
        <v>44757</v>
      </c>
      <c r="C455" s="1471" t="s">
        <v>7199</v>
      </c>
      <c r="D455" s="1472">
        <v>324.5</v>
      </c>
      <c r="E455" s="1440" t="s">
        <v>7201</v>
      </c>
      <c r="F455" s="681" t="s">
        <v>7202</v>
      </c>
      <c r="G455" s="1473" t="s">
        <v>7200</v>
      </c>
      <c r="I455" s="1497">
        <f>B455+180</f>
        <v>44937</v>
      </c>
    </row>
    <row r="456" spans="1:9" s="224" customFormat="1" ht="16.5" thickBot="1">
      <c r="B456" s="548"/>
      <c r="C456" s="549" t="s">
        <v>201</v>
      </c>
      <c r="D456" s="718">
        <f>IF(COUNT(D452:D455)=3,MEDIAN(D453:D455),SMALL(D453:D455,1))</f>
        <v>324.5</v>
      </c>
      <c r="E456" s="551"/>
      <c r="F456" s="552"/>
      <c r="G456" s="553"/>
    </row>
    <row r="457" spans="1:9" s="224" customFormat="1" ht="27" customHeight="1" thickBot="1"/>
    <row r="458" spans="1:9" s="224" customFormat="1" ht="27" customHeight="1">
      <c r="A458" s="294"/>
      <c r="B458" s="333" t="str">
        <f>IF(COUNT($H$13:H458)&lt;10,CONCATENATE("AMM SAA 00",COUNT($H$13:H458)),CONCATENATE("AMM SAA 0",COUNT($H$13:H458)))</f>
        <v>AMM SAA 020</v>
      </c>
      <c r="C458" s="1664" t="s">
        <v>7150</v>
      </c>
      <c r="D458" s="1665"/>
      <c r="E458" s="1665"/>
      <c r="F458" s="1666"/>
      <c r="G458" s="326" t="s">
        <v>22</v>
      </c>
      <c r="H458" s="355">
        <f>G467</f>
        <v>524.58000000000004</v>
      </c>
    </row>
    <row r="459" spans="1:9" s="224" customFormat="1" ht="36.75" customHeight="1">
      <c r="A459" s="294"/>
      <c r="B459" s="538" t="s">
        <v>206</v>
      </c>
      <c r="C459" s="1125" t="s">
        <v>184</v>
      </c>
      <c r="D459" s="1125" t="s">
        <v>23</v>
      </c>
      <c r="E459" s="1125" t="s">
        <v>185</v>
      </c>
      <c r="F459" s="1126" t="s">
        <v>186</v>
      </c>
      <c r="G459" s="1127" t="s">
        <v>187</v>
      </c>
    </row>
    <row r="460" spans="1:9" s="224" customFormat="1" ht="15.75" customHeight="1">
      <c r="A460" s="294"/>
      <c r="B460" s="1686" t="s">
        <v>188</v>
      </c>
      <c r="C460" s="1687"/>
      <c r="D460" s="1687"/>
      <c r="E460" s="1687"/>
      <c r="F460" s="1687"/>
      <c r="G460" s="1688"/>
    </row>
    <row r="461" spans="1:9" s="224" customFormat="1" ht="27" customHeight="1">
      <c r="A461" s="433" t="s">
        <v>451</v>
      </c>
      <c r="B461" s="562" t="str">
        <f>B469</f>
        <v>COTAÇÃO 034</v>
      </c>
      <c r="C461" s="574" t="str">
        <f>C469</f>
        <v>CURVA 45º EM PVC DEFOFO, DN 150MM</v>
      </c>
      <c r="D461" s="612" t="str">
        <f>G469</f>
        <v>UN</v>
      </c>
      <c r="E461" s="637">
        <v>1</v>
      </c>
      <c r="F461" s="572">
        <f>D474</f>
        <v>520</v>
      </c>
      <c r="G461" s="573">
        <f>TRUNC(E461*F461,2)</f>
        <v>520</v>
      </c>
    </row>
    <row r="462" spans="1:9" s="224" customFormat="1" ht="27" customHeight="1">
      <c r="A462" s="433" t="s">
        <v>451</v>
      </c>
      <c r="B462" s="562">
        <v>4229</v>
      </c>
      <c r="C462" s="574" t="str">
        <f>IF($A462="INSUMO",VLOOKUP($B462,'BANCO DE DADOS JAN-23 INS'!$A:$D,2,FALSE),VLOOKUP($B462,'BANCO DE DADOS JAN-23 SERV'!$B:$E,2,FALSE))</f>
        <v>GRAXA LUBRIFICANTE</v>
      </c>
      <c r="D462" s="571" t="str">
        <f>IF($A462="INSUMO",VLOOKUP($B462,'BANCO DE DADOS JAN-23 INS'!$A:$D,3,FALSE),VLOOKUP($B462,'BANCO DE DADOS JAN-23 SERV'!$B:$E,3,FALSE))</f>
        <v xml:space="preserve">KG    </v>
      </c>
      <c r="E462" s="637">
        <v>3.5000000000000003E-2</v>
      </c>
      <c r="F462" s="575">
        <f>IF($A462="INSUMO",VLOOKUP($B462,'BANCO DE DADOS JAN-23 INS'!$A:$D,4,FALSE),VLOOKUP($B462,'BANCO DE DADOS JAN-23 SERV'!$B:$E,4,FALSE))</f>
        <v>38.75</v>
      </c>
      <c r="G462" s="573">
        <f>TRUNC(E462*F462,2)</f>
        <v>1.35</v>
      </c>
    </row>
    <row r="463" spans="1:9" s="224" customFormat="1" ht="15.75" customHeight="1">
      <c r="A463" s="433"/>
      <c r="B463" s="1677" t="s">
        <v>6797</v>
      </c>
      <c r="C463" s="1678"/>
      <c r="D463" s="1678"/>
      <c r="E463" s="1678"/>
      <c r="F463" s="1678"/>
      <c r="G463" s="1679"/>
    </row>
    <row r="464" spans="1:9" s="224" customFormat="1" ht="27" customHeight="1">
      <c r="A464" s="433" t="s">
        <v>452</v>
      </c>
      <c r="B464" s="562">
        <v>90776</v>
      </c>
      <c r="C464" s="574" t="str">
        <f>IF($A464="INSUMO",VLOOKUP($B464,'BANCO DE DADOS JAN-23 INS'!$A:$D,2,FALSE),VLOOKUP($B464,'BANCO DE DADOS JAN-23 SERV'!$B:$E,2,FALSE))</f>
        <v>ENCARREGADO GERAL COM ENCARGOS COMPLEMENTARES</v>
      </c>
      <c r="D464" s="571" t="str">
        <f>IF($A464="INSUMO",VLOOKUP($B464,'BANCO DE DADOS JAN-23 INS'!$A:$D,3,FALSE),VLOOKUP($B464,'BANCO DE DADOS JAN-23 SERV'!$B:$E,3,FALSE))</f>
        <v>H</v>
      </c>
      <c r="E464" s="639">
        <v>1.67E-2</v>
      </c>
      <c r="F464" s="575">
        <f>IF($A464="INSUMO",VLOOKUP($B464,'BANCO DE DADOS JAN-23 INS'!$A:$D,4,FALSE),VLOOKUP($B464,'BANCO DE DADOS JAN-23 SERV'!$B:$E,4,FALSE))</f>
        <v>24.76</v>
      </c>
      <c r="G464" s="573">
        <f>TRUNC(E464*F464,2)</f>
        <v>0.41</v>
      </c>
    </row>
    <row r="465" spans="1:9" s="224" customFormat="1" ht="27" customHeight="1">
      <c r="A465" s="433" t="s">
        <v>452</v>
      </c>
      <c r="B465" s="562">
        <v>88316</v>
      </c>
      <c r="C465" s="574" t="str">
        <f>IF($A465="INSUMO",VLOOKUP($B465,'BANCO DE DADOS JAN-23 INS'!$A:$D,2,FALSE),VLOOKUP($B465,'BANCO DE DADOS JAN-23 SERV'!$B:$E,2,FALSE))</f>
        <v>SERVENTE COM ENCARGOS COMPLEMENTARES</v>
      </c>
      <c r="D465" s="571" t="str">
        <f>IF($A465="INSUMO",VLOOKUP($B465,'BANCO DE DADOS JAN-23 INS'!$A:$D,3,FALSE),VLOOKUP($B465,'BANCO DE DADOS JAN-23 SERV'!$B:$E,3,FALSE))</f>
        <v>H</v>
      </c>
      <c r="E465" s="639">
        <v>0.1</v>
      </c>
      <c r="F465" s="575">
        <f>IF($A465="INSUMO",VLOOKUP($B465,'BANCO DE DADOS JAN-23 INS'!$A:$D,4,FALSE),VLOOKUP($B465,'BANCO DE DADOS JAN-23 SERV'!$B:$E,4,FALSE))</f>
        <v>17.420000000000002</v>
      </c>
      <c r="G465" s="573">
        <f>TRUNC(E465*F465,2)</f>
        <v>1.74</v>
      </c>
    </row>
    <row r="466" spans="1:9" s="224" customFormat="1" ht="27" customHeight="1" thickBot="1">
      <c r="A466" s="433" t="s">
        <v>452</v>
      </c>
      <c r="B466" s="576">
        <v>88267</v>
      </c>
      <c r="C466" s="577" t="str">
        <f>IF($A466="INSUMO",VLOOKUP($B466,'BANCO DE DADOS JAN-23 INS'!$A:$D,2,FALSE),VLOOKUP($B466,'BANCO DE DADOS JAN-23 SERV'!$B:$E,2,FALSE))</f>
        <v>ENCANADOR OU BOMBEIRO HIDRÁULICO COM ENCARGOS COMPLEMENTARES</v>
      </c>
      <c r="D466" s="578" t="str">
        <f>IF($A466="INSUMO",VLOOKUP($B466,'BANCO DE DADOS JAN-23 INS'!$A:$D,3,FALSE),VLOOKUP($B466,'BANCO DE DADOS JAN-23 SERV'!$B:$E,3,FALSE))</f>
        <v>H</v>
      </c>
      <c r="E466" s="638">
        <v>0.05</v>
      </c>
      <c r="F466" s="579">
        <f>IF($A466="INSUMO",VLOOKUP($B466,'BANCO DE DADOS JAN-23 INS'!$A:$D,4,FALSE),VLOOKUP($B466,'BANCO DE DADOS JAN-23 SERV'!$B:$E,4,FALSE))</f>
        <v>21.66</v>
      </c>
      <c r="G466" s="581">
        <f>TRUNC(E466*F466,2)</f>
        <v>1.08</v>
      </c>
    </row>
    <row r="467" spans="1:9" s="224" customFormat="1" ht="27" customHeight="1" thickBot="1">
      <c r="A467" s="294"/>
      <c r="B467" s="1689" t="s">
        <v>7147</v>
      </c>
      <c r="C467" s="1689"/>
      <c r="D467" s="1689"/>
      <c r="E467" s="1690"/>
      <c r="F467" s="332" t="s">
        <v>190</v>
      </c>
      <c r="G467" s="1024">
        <f>SUM(G461:G466)</f>
        <v>524.58000000000004</v>
      </c>
    </row>
    <row r="468" spans="1:9" s="224" customFormat="1" ht="27" customHeight="1" thickBot="1">
      <c r="B468" s="294"/>
      <c r="C468" s="294"/>
      <c r="D468" s="294"/>
      <c r="E468" s="294"/>
      <c r="F468" s="294"/>
      <c r="G468" s="294"/>
    </row>
    <row r="469" spans="1:9" s="224" customFormat="1" ht="27" customHeight="1">
      <c r="B469" s="422" t="s">
        <v>7256</v>
      </c>
      <c r="C469" s="689" t="s">
        <v>7151</v>
      </c>
      <c r="D469" s="423"/>
      <c r="E469" s="424"/>
      <c r="F469" s="421"/>
      <c r="G469" s="358" t="s">
        <v>23</v>
      </c>
    </row>
    <row r="470" spans="1:9" s="224" customFormat="1" ht="31.5">
      <c r="B470" s="542" t="s">
        <v>195</v>
      </c>
      <c r="C470" s="543" t="s">
        <v>196</v>
      </c>
      <c r="D470" s="544" t="s">
        <v>558</v>
      </c>
      <c r="E470" s="545" t="s">
        <v>198</v>
      </c>
      <c r="F470" s="546" t="s">
        <v>199</v>
      </c>
      <c r="G470" s="547" t="s">
        <v>200</v>
      </c>
    </row>
    <row r="471" spans="1:9" s="1474" customFormat="1">
      <c r="B471" s="1470">
        <v>45015</v>
      </c>
      <c r="C471" s="1471" t="s">
        <v>13981</v>
      </c>
      <c r="D471" s="1472">
        <v>524</v>
      </c>
      <c r="E471" s="1483" t="s">
        <v>13982</v>
      </c>
      <c r="F471" s="681" t="s">
        <v>13983</v>
      </c>
      <c r="G471" s="1473" t="s">
        <v>7058</v>
      </c>
      <c r="I471" s="1475">
        <f>B471+180</f>
        <v>45195</v>
      </c>
    </row>
    <row r="472" spans="1:9" s="1474" customFormat="1">
      <c r="B472" s="1470">
        <v>45016</v>
      </c>
      <c r="C472" s="1471" t="s">
        <v>7095</v>
      </c>
      <c r="D472" s="1472">
        <v>289</v>
      </c>
      <c r="E472" s="1483" t="s">
        <v>13985</v>
      </c>
      <c r="F472" s="681" t="s">
        <v>13986</v>
      </c>
      <c r="G472" s="1473" t="s">
        <v>7096</v>
      </c>
      <c r="I472" s="1475">
        <f>B472+180</f>
        <v>45196</v>
      </c>
    </row>
    <row r="473" spans="1:9" s="1474" customFormat="1">
      <c r="B473" s="1470">
        <v>44593</v>
      </c>
      <c r="C473" s="1471" t="s">
        <v>7152</v>
      </c>
      <c r="D473" s="1472">
        <v>520</v>
      </c>
      <c r="E473" s="1483" t="s">
        <v>7155</v>
      </c>
      <c r="F473" s="681" t="s">
        <v>7154</v>
      </c>
      <c r="G473" s="1473" t="s">
        <v>7153</v>
      </c>
      <c r="I473" s="1497">
        <f>B473+180</f>
        <v>44773</v>
      </c>
    </row>
    <row r="474" spans="1:9" s="224" customFormat="1" ht="16.5" thickBot="1">
      <c r="B474" s="548"/>
      <c r="C474" s="549" t="s">
        <v>201</v>
      </c>
      <c r="D474" s="718">
        <f>IF(COUNT(D470:D473)=3,MEDIAN(D471:D473),SMALL(D471:D473,1))</f>
        <v>520</v>
      </c>
      <c r="E474" s="551"/>
      <c r="F474" s="552"/>
      <c r="G474" s="553"/>
    </row>
    <row r="475" spans="1:9" s="224" customFormat="1" ht="13.5" thickBot="1"/>
    <row r="476" spans="1:9" s="224" customFormat="1" ht="26.25" customHeight="1">
      <c r="B476" s="333" t="str">
        <f>IF(COUNT($H$13:H476)&lt;10,CONCATENATE("AMM SAA 00",COUNT($H$13:H476)),CONCATENATE("AMM SAA 0",COUNT($H$13:H476)))</f>
        <v>AMM SAA 021</v>
      </c>
      <c r="C476" s="1664" t="s">
        <v>7067</v>
      </c>
      <c r="D476" s="1665"/>
      <c r="E476" s="1665"/>
      <c r="F476" s="1666"/>
      <c r="G476" s="357" t="s">
        <v>23</v>
      </c>
      <c r="H476" s="355">
        <f>G484</f>
        <v>12769.44</v>
      </c>
    </row>
    <row r="477" spans="1:9" s="224" customFormat="1" ht="38.25" customHeight="1">
      <c r="B477" s="538" t="s">
        <v>206</v>
      </c>
      <c r="C477" s="1125" t="s">
        <v>184</v>
      </c>
      <c r="D477" s="1125" t="s">
        <v>23</v>
      </c>
      <c r="E477" s="1125" t="s">
        <v>185</v>
      </c>
      <c r="F477" s="1126" t="s">
        <v>186</v>
      </c>
      <c r="G477" s="1127" t="s">
        <v>187</v>
      </c>
    </row>
    <row r="478" spans="1:9" s="224" customFormat="1" ht="15.75" customHeight="1">
      <c r="B478" s="1667" t="s">
        <v>188</v>
      </c>
      <c r="C478" s="1668"/>
      <c r="D478" s="1668"/>
      <c r="E478" s="1668"/>
      <c r="F478" s="1668"/>
      <c r="G478" s="1669"/>
    </row>
    <row r="479" spans="1:9" s="224" customFormat="1" ht="23.25" customHeight="1">
      <c r="B479" s="562" t="str">
        <f>B486</f>
        <v>COTAÇÃO 035</v>
      </c>
      <c r="C479" s="844" t="str">
        <f>C486</f>
        <v>CONJUNTO MOTO BOMBA - Q: 14 L/S - HM: 35 M.C.A</v>
      </c>
      <c r="D479" s="729" t="s">
        <v>23</v>
      </c>
      <c r="E479" s="1049">
        <v>1</v>
      </c>
      <c r="F479" s="732">
        <f>D491</f>
        <v>12334.34</v>
      </c>
      <c r="G479" s="573">
        <f>TRUNC(E479*F479,2)</f>
        <v>12334.34</v>
      </c>
    </row>
    <row r="480" spans="1:9" s="224" customFormat="1" ht="15.75" customHeight="1">
      <c r="B480" s="1670" t="s">
        <v>6797</v>
      </c>
      <c r="C480" s="1671"/>
      <c r="D480" s="1671"/>
      <c r="E480" s="1671"/>
      <c r="F480" s="1671"/>
      <c r="G480" s="1672"/>
    </row>
    <row r="481" spans="2:9" s="224" customFormat="1" ht="30">
      <c r="B481" s="733">
        <v>88267</v>
      </c>
      <c r="C481" s="574" t="str">
        <f>IF($A481="INSUMO",VLOOKUP($B481,'BANCO DE DADOS JAN-23 INS'!$A:$D,2,FALSE),VLOOKUP($B481,'BANCO DE DADOS JAN-23 SERV'!$B:$E,2,FALSE))</f>
        <v>ENCANADOR OU BOMBEIRO HIDRÁULICO COM ENCARGOS COMPLEMENTARES</v>
      </c>
      <c r="D481" s="571" t="str">
        <f>IF($A481="INSUMO",VLOOKUP($B481,'BANCO DE DADOS JAN-23 INS'!$A:$D,3,FALSE),VLOOKUP($B481,'BANCO DE DADOS JAN-23 SERV'!$B:$E,3,FALSE))</f>
        <v>H</v>
      </c>
      <c r="E481" s="741">
        <v>10</v>
      </c>
      <c r="F481" s="575">
        <f>IF($A481="INSUMO",VLOOKUP($B481,'BANCO DE DADOS JAN-23 INS'!$A:$D,4,FALSE),VLOOKUP($B481,'BANCO DE DADOS JAN-23 SERV'!$B:$E,4,FALSE))</f>
        <v>21.66</v>
      </c>
      <c r="G481" s="734">
        <f>TRUNC(E481*F481,2)</f>
        <v>216.6</v>
      </c>
    </row>
    <row r="482" spans="2:9" s="224" customFormat="1" ht="30">
      <c r="B482" s="733">
        <v>100307</v>
      </c>
      <c r="C482" s="574" t="str">
        <f>IF($A482="INSUMO",VLOOKUP($B482,'BANCO DE DADOS JAN-23 INS'!$A:$D,2,FALSE),VLOOKUP($B482,'BANCO DE DADOS JAN-23 SERV'!$B:$E,2,FALSE))</f>
        <v>MONTADOR DE ELETROELETRÔNICOS COM ENCARGOS COMPLEMENTARES</v>
      </c>
      <c r="D482" s="571" t="str">
        <f>IF($A482="INSUMO",VLOOKUP($B482,'BANCO DE DADOS JAN-23 INS'!$A:$D,3,FALSE),VLOOKUP($B482,'BANCO DE DADOS JAN-23 SERV'!$B:$E,3,FALSE))</f>
        <v>H</v>
      </c>
      <c r="E482" s="741">
        <v>2</v>
      </c>
      <c r="F482" s="575">
        <f>IF($A482="INSUMO",VLOOKUP($B482,'BANCO DE DADOS JAN-23 INS'!$A:$D,4,FALSE),VLOOKUP($B482,'BANCO DE DADOS JAN-23 SERV'!$B:$E,4,FALSE))</f>
        <v>19.899999999999999</v>
      </c>
      <c r="G482" s="734">
        <f>TRUNC(E482*F482,2)</f>
        <v>39.799999999999997</v>
      </c>
    </row>
    <row r="483" spans="2:9" s="224" customFormat="1" ht="35.25" customHeight="1" thickBot="1">
      <c r="B483" s="756">
        <v>88248</v>
      </c>
      <c r="C483" s="577" t="str">
        <f>IF($A483="INSUMO",VLOOKUP($B483,'BANCO DE DADOS JAN-23 INS'!$A:$D,2,FALSE),VLOOKUP($B483,'BANCO DE DADOS JAN-23 SERV'!$B:$E,2,FALSE))</f>
        <v>AUXILIAR DE ENCANADOR OU BOMBEIRO HIDRÁULICO COM ENCARGOS COMPLEMENTARES</v>
      </c>
      <c r="D483" s="578" t="str">
        <f>IF($A483="INSUMO",VLOOKUP($B483,'BANCO DE DADOS JAN-23 INS'!$A:$D,3,FALSE),VLOOKUP($B483,'BANCO DE DADOS JAN-23 SERV'!$B:$E,3,FALSE))</f>
        <v>H</v>
      </c>
      <c r="E483" s="768">
        <v>10</v>
      </c>
      <c r="F483" s="579">
        <f>IF($A483="INSUMO",VLOOKUP($B483,'BANCO DE DADOS JAN-23 INS'!$A:$D,4,FALSE),VLOOKUP($B483,'BANCO DE DADOS JAN-23 SERV'!$B:$E,4,FALSE))</f>
        <v>17.87</v>
      </c>
      <c r="G483" s="757">
        <f>TRUNC(E483*F483,2)</f>
        <v>178.7</v>
      </c>
    </row>
    <row r="484" spans="2:9" s="224" customFormat="1" ht="49.5" customHeight="1" thickBot="1">
      <c r="B484" s="1684" t="s">
        <v>7068</v>
      </c>
      <c r="C484" s="1684"/>
      <c r="D484" s="1684"/>
      <c r="E484" s="1685"/>
      <c r="F484" s="712" t="s">
        <v>190</v>
      </c>
      <c r="G484" s="1045">
        <f>SUM(G479:G483)</f>
        <v>12769.44</v>
      </c>
    </row>
    <row r="485" spans="2:9" s="224" customFormat="1" ht="24.95" customHeight="1" thickBot="1"/>
    <row r="486" spans="2:9" s="224" customFormat="1" ht="15.75">
      <c r="B486" s="422" t="s">
        <v>7257</v>
      </c>
      <c r="C486" s="689" t="s">
        <v>7069</v>
      </c>
      <c r="D486" s="423"/>
      <c r="E486" s="424"/>
      <c r="F486" s="421"/>
      <c r="G486" s="358" t="s">
        <v>23</v>
      </c>
    </row>
    <row r="487" spans="2:9" s="224" customFormat="1" ht="31.5">
      <c r="B487" s="542" t="s">
        <v>195</v>
      </c>
      <c r="C487" s="543" t="s">
        <v>196</v>
      </c>
      <c r="D487" s="544" t="s">
        <v>197</v>
      </c>
      <c r="E487" s="545" t="s">
        <v>198</v>
      </c>
      <c r="F487" s="546" t="s">
        <v>199</v>
      </c>
      <c r="G487" s="547" t="s">
        <v>200</v>
      </c>
    </row>
    <row r="488" spans="2:9" s="1486" customFormat="1">
      <c r="B488" s="1470">
        <v>45014</v>
      </c>
      <c r="C488" s="1471" t="s">
        <v>7188</v>
      </c>
      <c r="D488" s="1472">
        <f>10800+1534.34</f>
        <v>12334.34</v>
      </c>
      <c r="E488" s="1440" t="s">
        <v>7189</v>
      </c>
      <c r="F488" s="1123" t="s">
        <v>7190</v>
      </c>
      <c r="G488" s="1473" t="s">
        <v>7191</v>
      </c>
      <c r="I488" s="1487">
        <f>B488+180</f>
        <v>45194</v>
      </c>
    </row>
    <row r="489" spans="2:9" s="1486" customFormat="1">
      <c r="B489" s="1470">
        <v>45019</v>
      </c>
      <c r="C489" s="1471" t="s">
        <v>7216</v>
      </c>
      <c r="D489" s="1472">
        <v>11200</v>
      </c>
      <c r="E489" s="1440" t="s">
        <v>7217</v>
      </c>
      <c r="F489" s="1123" t="s">
        <v>7218</v>
      </c>
      <c r="G489" s="1473" t="s">
        <v>7219</v>
      </c>
      <c r="I489" s="1497">
        <f>B489+180</f>
        <v>45199</v>
      </c>
    </row>
    <row r="490" spans="2:9" s="1486" customFormat="1">
      <c r="B490" s="1470">
        <v>45019</v>
      </c>
      <c r="C490" s="1471" t="s">
        <v>7220</v>
      </c>
      <c r="D490" s="1472">
        <v>13300.89</v>
      </c>
      <c r="E490" s="1440" t="s">
        <v>7221</v>
      </c>
      <c r="F490" s="1123" t="s">
        <v>7222</v>
      </c>
      <c r="G490" s="1473" t="s">
        <v>7219</v>
      </c>
      <c r="I490" s="1497">
        <f>B490+180</f>
        <v>45199</v>
      </c>
    </row>
    <row r="491" spans="2:9" s="224" customFormat="1" ht="16.5" thickBot="1">
      <c r="B491" s="1046"/>
      <c r="C491" s="549" t="s">
        <v>201</v>
      </c>
      <c r="D491" s="718">
        <f>MEDIAN(D488:D490)</f>
        <v>12334.34</v>
      </c>
      <c r="E491" s="551"/>
      <c r="F491" s="552"/>
      <c r="G491" s="553"/>
    </row>
    <row r="492" spans="2:9" s="224" customFormat="1" ht="30.75" customHeight="1" thickBot="1"/>
    <row r="493" spans="2:9" s="224" customFormat="1" ht="42.75" customHeight="1">
      <c r="B493" s="333" t="str">
        <f>IF(COUNT($H$13:H493)&lt;10,CONCATENATE("AMM SAA 00",COUNT($H$13:H493)),CONCATENATE("AMM SAA 0",COUNT($H$13:H493)))</f>
        <v>AMM SAA 022</v>
      </c>
      <c r="C493" s="1664" t="s">
        <v>7070</v>
      </c>
      <c r="D493" s="1665"/>
      <c r="E493" s="1665"/>
      <c r="F493" s="1666"/>
      <c r="G493" s="357" t="s">
        <v>23</v>
      </c>
      <c r="H493" s="355">
        <f>G527</f>
        <v>62948.880000000005</v>
      </c>
    </row>
    <row r="494" spans="2:9" s="224" customFormat="1" ht="31.5">
      <c r="B494" s="538" t="s">
        <v>206</v>
      </c>
      <c r="C494" s="1125" t="s">
        <v>184</v>
      </c>
      <c r="D494" s="1125" t="s">
        <v>23</v>
      </c>
      <c r="E494" s="1125" t="s">
        <v>185</v>
      </c>
      <c r="F494" s="1126" t="s">
        <v>186</v>
      </c>
      <c r="G494" s="1127" t="s">
        <v>187</v>
      </c>
    </row>
    <row r="495" spans="2:9" s="224" customFormat="1" ht="15.75" customHeight="1">
      <c r="B495" s="1667" t="s">
        <v>188</v>
      </c>
      <c r="C495" s="1668"/>
      <c r="D495" s="1668"/>
      <c r="E495" s="1668"/>
      <c r="F495" s="1668"/>
      <c r="G495" s="1669"/>
    </row>
    <row r="496" spans="2:9" s="224" customFormat="1" ht="23.1" customHeight="1">
      <c r="B496" s="562" t="str">
        <f>B529</f>
        <v>COTAÇÃO 036</v>
      </c>
      <c r="C496" s="844" t="s">
        <v>7187</v>
      </c>
      <c r="D496" s="729" t="s">
        <v>23</v>
      </c>
      <c r="E496" s="1050">
        <v>1</v>
      </c>
      <c r="F496" s="732">
        <f>D534</f>
        <v>1417</v>
      </c>
      <c r="G496" s="573">
        <f>TRUNC(E496*F496,2)</f>
        <v>1417</v>
      </c>
    </row>
    <row r="497" spans="2:7" s="224" customFormat="1" ht="23.1" customHeight="1">
      <c r="B497" s="562" t="str">
        <f>B536</f>
        <v>COTAÇÃO 037</v>
      </c>
      <c r="C497" s="844" t="s">
        <v>7071</v>
      </c>
      <c r="D497" s="729" t="s">
        <v>23</v>
      </c>
      <c r="E497" s="1050">
        <v>2</v>
      </c>
      <c r="F497" s="732">
        <f>D541</f>
        <v>1768</v>
      </c>
      <c r="G497" s="573">
        <f>TRUNC(E497*F497,2)</f>
        <v>3536</v>
      </c>
    </row>
    <row r="498" spans="2:7" s="224" customFormat="1" ht="23.1" customHeight="1">
      <c r="B498" s="562" t="str">
        <f>B543</f>
        <v>COTAÇÃO 038</v>
      </c>
      <c r="C498" s="844" t="s">
        <v>7072</v>
      </c>
      <c r="D498" s="729" t="s">
        <v>23</v>
      </c>
      <c r="E498" s="1050">
        <v>2</v>
      </c>
      <c r="F498" s="732">
        <f>D548</f>
        <v>1175.5</v>
      </c>
      <c r="G498" s="573">
        <f t="shared" ref="G498:G519" si="18">TRUNC(E498*F498,2)</f>
        <v>2351</v>
      </c>
    </row>
    <row r="499" spans="2:7" s="224" customFormat="1" ht="23.1" customHeight="1">
      <c r="B499" s="562" t="str">
        <f>B550</f>
        <v>COTAÇÃO 039</v>
      </c>
      <c r="C499" s="844" t="s">
        <v>7073</v>
      </c>
      <c r="D499" s="729" t="s">
        <v>23</v>
      </c>
      <c r="E499" s="1050">
        <v>2</v>
      </c>
      <c r="F499" s="732">
        <f>D555</f>
        <v>1120</v>
      </c>
      <c r="G499" s="573">
        <f t="shared" si="18"/>
        <v>2240</v>
      </c>
    </row>
    <row r="500" spans="2:7" s="224" customFormat="1" ht="23.1" customHeight="1">
      <c r="B500" s="562" t="str">
        <f>B557</f>
        <v>COTAÇÃO 040</v>
      </c>
      <c r="C500" s="844" t="s">
        <v>7074</v>
      </c>
      <c r="D500" s="729" t="s">
        <v>23</v>
      </c>
      <c r="E500" s="1050">
        <v>4</v>
      </c>
      <c r="F500" s="732">
        <f>D562</f>
        <v>2768</v>
      </c>
      <c r="G500" s="573">
        <f t="shared" si="18"/>
        <v>11072</v>
      </c>
    </row>
    <row r="501" spans="2:7" s="224" customFormat="1" ht="23.1" customHeight="1">
      <c r="B501" s="562" t="str">
        <f>B564</f>
        <v>COTAÇÃO 041</v>
      </c>
      <c r="C501" s="844" t="s">
        <v>7075</v>
      </c>
      <c r="D501" s="729" t="s">
        <v>23</v>
      </c>
      <c r="E501" s="1050">
        <v>6</v>
      </c>
      <c r="F501" s="732">
        <f>D569</f>
        <v>780</v>
      </c>
      <c r="G501" s="573">
        <f t="shared" si="18"/>
        <v>4680</v>
      </c>
    </row>
    <row r="502" spans="2:7" s="224" customFormat="1" ht="23.1" customHeight="1">
      <c r="B502" s="562" t="str">
        <f>B571</f>
        <v>COTAÇÃO 042</v>
      </c>
      <c r="C502" s="844" t="s">
        <v>7076</v>
      </c>
      <c r="D502" s="729" t="s">
        <v>23</v>
      </c>
      <c r="E502" s="1050">
        <v>3</v>
      </c>
      <c r="F502" s="732">
        <f>D576</f>
        <v>1732.5</v>
      </c>
      <c r="G502" s="573">
        <f t="shared" si="18"/>
        <v>5197.5</v>
      </c>
    </row>
    <row r="503" spans="2:7" s="224" customFormat="1" ht="23.1" customHeight="1">
      <c r="B503" s="562" t="str">
        <f>B578</f>
        <v>COTAÇÃO 043</v>
      </c>
      <c r="C503" s="844" t="s">
        <v>7077</v>
      </c>
      <c r="D503" s="729" t="s">
        <v>23</v>
      </c>
      <c r="E503" s="1050">
        <v>2</v>
      </c>
      <c r="F503" s="732">
        <f>D583</f>
        <v>1020</v>
      </c>
      <c r="G503" s="573">
        <f t="shared" si="18"/>
        <v>2040</v>
      </c>
    </row>
    <row r="504" spans="2:7" s="224" customFormat="1" ht="23.1" customHeight="1">
      <c r="B504" s="562" t="str">
        <f>B585</f>
        <v>COTAÇÃO 044</v>
      </c>
      <c r="C504" s="844" t="s">
        <v>7078</v>
      </c>
      <c r="D504" s="729" t="s">
        <v>23</v>
      </c>
      <c r="E504" s="1050">
        <v>2</v>
      </c>
      <c r="F504" s="732">
        <f>D590</f>
        <v>680</v>
      </c>
      <c r="G504" s="573">
        <f t="shared" si="18"/>
        <v>1360</v>
      </c>
    </row>
    <row r="505" spans="2:7" s="224" customFormat="1" ht="23.1" customHeight="1">
      <c r="B505" s="562" t="str">
        <f>B592</f>
        <v>COTAÇÃO 045</v>
      </c>
      <c r="C505" s="844" t="s">
        <v>7079</v>
      </c>
      <c r="D505" s="729" t="s">
        <v>23</v>
      </c>
      <c r="E505" s="1050">
        <v>2</v>
      </c>
      <c r="F505" s="732">
        <f>D597</f>
        <v>2812</v>
      </c>
      <c r="G505" s="573">
        <f t="shared" si="18"/>
        <v>5624</v>
      </c>
    </row>
    <row r="506" spans="2:7" s="224" customFormat="1" ht="23.1" customHeight="1">
      <c r="B506" s="562" t="str">
        <f>B599</f>
        <v>COTAÇÃO 046</v>
      </c>
      <c r="C506" s="844" t="s">
        <v>7080</v>
      </c>
      <c r="D506" s="729" t="s">
        <v>23</v>
      </c>
      <c r="E506" s="1050">
        <v>4</v>
      </c>
      <c r="F506" s="732">
        <f>D604</f>
        <v>580</v>
      </c>
      <c r="G506" s="573">
        <f t="shared" si="18"/>
        <v>2320</v>
      </c>
    </row>
    <row r="507" spans="2:7" s="224" customFormat="1" ht="23.1" customHeight="1">
      <c r="B507" s="562" t="str">
        <f>B606</f>
        <v>COTAÇÃO 047</v>
      </c>
      <c r="C507" s="844" t="s">
        <v>7081</v>
      </c>
      <c r="D507" s="729" t="s">
        <v>23</v>
      </c>
      <c r="E507" s="1050">
        <v>2</v>
      </c>
      <c r="F507" s="732">
        <f>D611</f>
        <v>1395</v>
      </c>
      <c r="G507" s="573">
        <f t="shared" si="18"/>
        <v>2790</v>
      </c>
    </row>
    <row r="508" spans="2:7" s="224" customFormat="1" ht="23.1" customHeight="1">
      <c r="B508" s="562" t="str">
        <f>B613</f>
        <v>COTAÇÃO 048</v>
      </c>
      <c r="C508" s="844" t="s">
        <v>7082</v>
      </c>
      <c r="D508" s="729" t="s">
        <v>23</v>
      </c>
      <c r="E508" s="1050">
        <v>2</v>
      </c>
      <c r="F508" s="732">
        <f>D618</f>
        <v>1760</v>
      </c>
      <c r="G508" s="573">
        <f t="shared" si="18"/>
        <v>3520</v>
      </c>
    </row>
    <row r="509" spans="2:7" s="224" customFormat="1" ht="23.1" customHeight="1">
      <c r="B509" s="562" t="str">
        <f>B620</f>
        <v>COTAÇÃO 049</v>
      </c>
      <c r="C509" s="844" t="s">
        <v>7083</v>
      </c>
      <c r="D509" s="729" t="s">
        <v>23</v>
      </c>
      <c r="E509" s="1050">
        <v>2</v>
      </c>
      <c r="F509" s="732">
        <f>D625</f>
        <v>772.4</v>
      </c>
      <c r="G509" s="573">
        <f t="shared" si="18"/>
        <v>1544.8</v>
      </c>
    </row>
    <row r="510" spans="2:7" s="224" customFormat="1" ht="23.1" customHeight="1">
      <c r="B510" s="562" t="str">
        <f>B627</f>
        <v>COTAÇÃO 050</v>
      </c>
      <c r="C510" s="844" t="s">
        <v>7084</v>
      </c>
      <c r="D510" s="729" t="s">
        <v>23</v>
      </c>
      <c r="E510" s="1050">
        <v>2</v>
      </c>
      <c r="F510" s="732">
        <f>D632</f>
        <v>929.2</v>
      </c>
      <c r="G510" s="573">
        <f t="shared" si="18"/>
        <v>1858.4</v>
      </c>
    </row>
    <row r="511" spans="2:7" s="224" customFormat="1" ht="23.1" customHeight="1">
      <c r="B511" s="562" t="str">
        <f>B634</f>
        <v>COTAÇÃO 051</v>
      </c>
      <c r="C511" s="844" t="s">
        <v>7085</v>
      </c>
      <c r="D511" s="729" t="s">
        <v>23</v>
      </c>
      <c r="E511" s="1050">
        <v>1</v>
      </c>
      <c r="F511" s="732">
        <f>D639</f>
        <v>1300</v>
      </c>
      <c r="G511" s="573">
        <f t="shared" si="18"/>
        <v>1300</v>
      </c>
    </row>
    <row r="512" spans="2:7" s="224" customFormat="1" ht="23.1" customHeight="1">
      <c r="B512" s="562" t="str">
        <f>B641</f>
        <v>COTAÇÃO 052</v>
      </c>
      <c r="C512" s="844" t="s">
        <v>7086</v>
      </c>
      <c r="D512" s="729" t="s">
        <v>23</v>
      </c>
      <c r="E512" s="1050">
        <v>1</v>
      </c>
      <c r="F512" s="732">
        <f>D646</f>
        <v>2149</v>
      </c>
      <c r="G512" s="573">
        <f t="shared" si="18"/>
        <v>2149</v>
      </c>
    </row>
    <row r="513" spans="1:7" s="224" customFormat="1" ht="23.1" customHeight="1">
      <c r="B513" s="562" t="str">
        <f>B648</f>
        <v>COTAÇÃO 053</v>
      </c>
      <c r="C513" s="844" t="s">
        <v>7087</v>
      </c>
      <c r="D513" s="729" t="s">
        <v>23</v>
      </c>
      <c r="E513" s="1050">
        <v>1</v>
      </c>
      <c r="F513" s="732">
        <f>D653</f>
        <v>510</v>
      </c>
      <c r="G513" s="573">
        <f t="shared" si="18"/>
        <v>510</v>
      </c>
    </row>
    <row r="514" spans="1:7" s="224" customFormat="1" ht="23.1" customHeight="1">
      <c r="B514" s="562" t="str">
        <f>B655</f>
        <v>COTAÇÃO 054</v>
      </c>
      <c r="C514" s="844" t="s">
        <v>7088</v>
      </c>
      <c r="D514" s="729" t="s">
        <v>23</v>
      </c>
      <c r="E514" s="1050">
        <v>16</v>
      </c>
      <c r="F514" s="732">
        <f>D660</f>
        <v>12</v>
      </c>
      <c r="G514" s="573">
        <f t="shared" si="18"/>
        <v>192</v>
      </c>
    </row>
    <row r="515" spans="1:7" s="224" customFormat="1" ht="23.1" customHeight="1">
      <c r="B515" s="562" t="str">
        <f>B662</f>
        <v>COTAÇÃO 055</v>
      </c>
      <c r="C515" s="844" t="s">
        <v>7089</v>
      </c>
      <c r="D515" s="729" t="s">
        <v>23</v>
      </c>
      <c r="E515" s="1050">
        <f>34*8</f>
        <v>272</v>
      </c>
      <c r="F515" s="732">
        <f>D667</f>
        <v>17.899999999999999</v>
      </c>
      <c r="G515" s="573">
        <f t="shared" si="18"/>
        <v>4868.8</v>
      </c>
    </row>
    <row r="516" spans="1:7" s="224" customFormat="1" ht="23.1" customHeight="1">
      <c r="B516" s="562" t="str">
        <f>B669</f>
        <v>COTAÇÃO 056</v>
      </c>
      <c r="C516" s="844" t="s">
        <v>7090</v>
      </c>
      <c r="D516" s="729" t="s">
        <v>23</v>
      </c>
      <c r="E516" s="1050">
        <v>2</v>
      </c>
      <c r="F516" s="732">
        <f>D674</f>
        <v>4.5999999999999996</v>
      </c>
      <c r="G516" s="573">
        <f t="shared" si="18"/>
        <v>9.1999999999999993</v>
      </c>
    </row>
    <row r="517" spans="1:7" s="224" customFormat="1" ht="23.1" customHeight="1">
      <c r="B517" s="562" t="str">
        <f>B676</f>
        <v>COTAÇÃO 057</v>
      </c>
      <c r="C517" s="844" t="s">
        <v>7091</v>
      </c>
      <c r="D517" s="729" t="s">
        <v>23</v>
      </c>
      <c r="E517" s="1050">
        <v>2</v>
      </c>
      <c r="F517" s="732">
        <f>D681</f>
        <v>4.8</v>
      </c>
      <c r="G517" s="573">
        <f t="shared" si="18"/>
        <v>9.6</v>
      </c>
    </row>
    <row r="518" spans="1:7" s="224" customFormat="1" ht="23.1" customHeight="1">
      <c r="B518" s="562" t="str">
        <f>B683</f>
        <v>COTAÇÃO 058</v>
      </c>
      <c r="C518" s="844" t="s">
        <v>7092</v>
      </c>
      <c r="D518" s="729" t="s">
        <v>23</v>
      </c>
      <c r="E518" s="1050">
        <v>15</v>
      </c>
      <c r="F518" s="732">
        <f>D688</f>
        <v>7</v>
      </c>
      <c r="G518" s="573">
        <f t="shared" si="18"/>
        <v>105</v>
      </c>
    </row>
    <row r="519" spans="1:7" s="224" customFormat="1" ht="23.1" customHeight="1">
      <c r="B519" s="562" t="str">
        <f>B690</f>
        <v>COTAÇÃO 059</v>
      </c>
      <c r="C519" s="844" t="s">
        <v>7093</v>
      </c>
      <c r="D519" s="729" t="s">
        <v>23</v>
      </c>
      <c r="E519" s="1050">
        <v>18</v>
      </c>
      <c r="F519" s="732">
        <f>D695</f>
        <v>8</v>
      </c>
      <c r="G519" s="573">
        <f t="shared" si="18"/>
        <v>144</v>
      </c>
    </row>
    <row r="520" spans="1:7" s="224" customFormat="1" ht="15.75" customHeight="1">
      <c r="B520" s="1670" t="s">
        <v>6797</v>
      </c>
      <c r="C520" s="1671"/>
      <c r="D520" s="1671"/>
      <c r="E520" s="1671"/>
      <c r="F520" s="1671"/>
      <c r="G520" s="1672"/>
    </row>
    <row r="521" spans="1:7" s="224" customFormat="1" ht="45">
      <c r="A521" s="433" t="s">
        <v>452</v>
      </c>
      <c r="B521" s="562">
        <v>103091</v>
      </c>
      <c r="C521" s="574" t="str">
        <f>IF($A521="INSUMO",VLOOKUP($B521,'BANCO DE DADOS JAN-23 INS'!$A:$D,2,FALSE),VLOOKUP($B521,'BANCO DE DADOS JAN-23 SERV'!$B:$E,2,FALSE))</f>
        <v>ASSENTAMENTO DE TUBO DE FERRO FUNDIDO PARA REDE DE ÁGUA, DN 150 MM, JUNTA FLANGEADA (NÃO INCLUI O FORNECIMENTO). AF_09/2021</v>
      </c>
      <c r="D521" s="571" t="str">
        <f>IF($A521="INSUMO",VLOOKUP($B521,'BANCO DE DADOS JAN-23 INS'!$A:$D,3,FALSE),VLOOKUP($B521,'BANCO DE DADOS JAN-23 SERV'!$B:$E,3,FALSE))</f>
        <v>M</v>
      </c>
      <c r="E521" s="575">
        <f>0.4+2.6+1.4</f>
        <v>4.4000000000000004</v>
      </c>
      <c r="F521" s="575">
        <f>IF($A521="INSUMO",VLOOKUP($B521,'BANCO DE DADOS JAN-23 INS'!$A:$D,4,FALSE),VLOOKUP($B521,'BANCO DE DADOS JAN-23 SERV'!$B:$E,4,FALSE))</f>
        <v>16.73</v>
      </c>
      <c r="G521" s="573">
        <f t="shared" ref="G521:G526" si="19">TRUNC(E521*F521,2)</f>
        <v>73.61</v>
      </c>
    </row>
    <row r="522" spans="1:7" s="224" customFormat="1" ht="45">
      <c r="A522" s="433" t="s">
        <v>452</v>
      </c>
      <c r="B522" s="562">
        <v>103092</v>
      </c>
      <c r="C522" s="574" t="str">
        <f>IF($A522="INSUMO",VLOOKUP($B522,'BANCO DE DADOS JAN-23 INS'!$A:$D,2,FALSE),VLOOKUP($B522,'BANCO DE DADOS JAN-23 SERV'!$B:$E,2,FALSE))</f>
        <v>ASSENTAMENTO DE TUBO DE FERRO FUNDIDO PARA REDE DE ÁGUA, DN 200 MM, JUNTA FLANGEADA (NÃO INCLUI O FORNECIMENTO). AF_09/2021</v>
      </c>
      <c r="D522" s="571" t="str">
        <f>IF($A522="INSUMO",VLOOKUP($B522,'BANCO DE DADOS JAN-23 INS'!$A:$D,3,FALSE),VLOOKUP($B522,'BANCO DE DADOS JAN-23 SERV'!$B:$E,3,FALSE))</f>
        <v>M</v>
      </c>
      <c r="E522" s="575">
        <f>2.4+0.5+0.3</f>
        <v>3.1999999999999997</v>
      </c>
      <c r="F522" s="575">
        <f>IF($A522="INSUMO",VLOOKUP($B522,'BANCO DE DADOS JAN-23 INS'!$A:$D,4,FALSE),VLOOKUP($B522,'BANCO DE DADOS JAN-23 SERV'!$B:$E,4,FALSE))</f>
        <v>21.55</v>
      </c>
      <c r="G522" s="573">
        <f t="shared" si="19"/>
        <v>68.959999999999994</v>
      </c>
    </row>
    <row r="523" spans="1:7" s="224" customFormat="1" ht="45">
      <c r="A523" s="433" t="s">
        <v>452</v>
      </c>
      <c r="B523" s="562">
        <v>103107</v>
      </c>
      <c r="C523" s="574" t="str">
        <f>IF($A523="INSUMO",VLOOKUP($B523,'BANCO DE DADOS JAN-23 INS'!$A:$D,2,FALSE),VLOOKUP($B523,'BANCO DE DADOS JAN-23 SERV'!$B:$E,2,FALSE))</f>
        <v>ASSENTAMENTO DE CONEXÃO COM 2 ACESSOS, FERRO FUNDIDO PARA REDE DE ÁGUA, DN  150 MM, JUNTA FLANGEADA (NÃO INCLUI O FORNECIMENTO). AF_09/2021</v>
      </c>
      <c r="D523" s="571" t="str">
        <f>IF($A523="INSUMO",VLOOKUP($B523,'BANCO DE DADOS JAN-23 INS'!$A:$D,3,FALSE),VLOOKUP($B523,'BANCO DE DADOS JAN-23 SERV'!$B:$E,3,FALSE))</f>
        <v>UN</v>
      </c>
      <c r="E523" s="575">
        <f>SUM(E507,E508,E509,E513)+2</f>
        <v>9</v>
      </c>
      <c r="F523" s="575">
        <f>IF($A523="INSUMO",VLOOKUP($B523,'BANCO DE DADOS JAN-23 INS'!$A:$D,4,FALSE),VLOOKUP($B523,'BANCO DE DADOS JAN-23 SERV'!$B:$E,4,FALSE))</f>
        <v>70.98</v>
      </c>
      <c r="G523" s="573">
        <f t="shared" si="19"/>
        <v>638.82000000000005</v>
      </c>
    </row>
    <row r="524" spans="1:7" s="224" customFormat="1" ht="45">
      <c r="A524" s="433" t="s">
        <v>452</v>
      </c>
      <c r="B524" s="562">
        <v>103108</v>
      </c>
      <c r="C524" s="574" t="str">
        <f>IF($A524="INSUMO",VLOOKUP($B524,'BANCO DE DADOS JAN-23 INS'!$A:$D,2,FALSE),VLOOKUP($B524,'BANCO DE DADOS JAN-23 SERV'!$B:$E,2,FALSE))</f>
        <v>ASSENTAMENTO DE CONEXÃO COM 2 ACESSOS, FERRO FUNDIDO PARA REDE DE ÁGUA, DN  200 MM, JUNTA FLANGEADA (NÃO INCLUI O FORNECIMENTO). AF_09/2021</v>
      </c>
      <c r="D524" s="571" t="str">
        <f>IF($A524="INSUMO",VLOOKUP($B524,'BANCO DE DADOS JAN-23 INS'!$A:$D,3,FALSE),VLOOKUP($B524,'BANCO DE DADOS JAN-23 SERV'!$B:$E,3,FALSE))</f>
        <v>UN</v>
      </c>
      <c r="E524" s="575">
        <f>SUM(E499,E500,E502,E503)</f>
        <v>11</v>
      </c>
      <c r="F524" s="575">
        <f>IF($A524="INSUMO",VLOOKUP($B524,'BANCO DE DADOS JAN-23 INS'!$A:$D,4,FALSE),VLOOKUP($B524,'BANCO DE DADOS JAN-23 SERV'!$B:$E,4,FALSE))</f>
        <v>91.26</v>
      </c>
      <c r="G524" s="573">
        <f t="shared" si="19"/>
        <v>1003.86</v>
      </c>
    </row>
    <row r="525" spans="1:7" s="224" customFormat="1" ht="45">
      <c r="A525" s="433" t="s">
        <v>452</v>
      </c>
      <c r="B525" s="562">
        <v>103123</v>
      </c>
      <c r="C525" s="574" t="str">
        <f>IF($A525="INSUMO",VLOOKUP($B525,'BANCO DE DADOS JAN-23 INS'!$A:$D,2,FALSE),VLOOKUP($B525,'BANCO DE DADOS JAN-23 SERV'!$B:$E,2,FALSE))</f>
        <v>ASSENTAMENTO DE CONEXÃO COM 3 ACESSOS, FERRO FUNDIDO PARA REDE DE ÁGUA, DN  150 MM, JUNTA FLANGEADA (NÃO INCLUI O FORNECIMENTO). AF_09/2021</v>
      </c>
      <c r="D525" s="571" t="str">
        <f>IF($A525="INSUMO",VLOOKUP($B525,'BANCO DE DADOS JAN-23 INS'!$A:$D,3,FALSE),VLOOKUP($B525,'BANCO DE DADOS JAN-23 SERV'!$B:$E,3,FALSE))</f>
        <v>UN</v>
      </c>
      <c r="E525" s="575">
        <f>E497</f>
        <v>2</v>
      </c>
      <c r="F525" s="575">
        <f>IF($A525="INSUMO",VLOOKUP($B525,'BANCO DE DADOS JAN-23 INS'!$A:$D,4,FALSE),VLOOKUP($B525,'BANCO DE DADOS JAN-23 SERV'!$B:$E,4,FALSE))</f>
        <v>98.31</v>
      </c>
      <c r="G525" s="573">
        <f t="shared" si="19"/>
        <v>196.62</v>
      </c>
    </row>
    <row r="526" spans="1:7" s="224" customFormat="1" ht="45.75" thickBot="1">
      <c r="A526" s="433" t="s">
        <v>452</v>
      </c>
      <c r="B526" s="576">
        <v>103124</v>
      </c>
      <c r="C526" s="577" t="str">
        <f>IF($A526="INSUMO",VLOOKUP($B526,'BANCO DE DADOS JAN-23 INS'!$A:$D,2,FALSE),VLOOKUP($B526,'BANCO DE DADOS JAN-23 SERV'!$B:$E,2,FALSE))</f>
        <v>ASSENTAMENTO DE CONEXÃO COM 3 ACESSOS, FERRO FUNDIDO PARA REDE DE ÁGUA, DN  200 MM, JUNTA FLANGEADA (NÃO INCLUI O FORNECIMENTO). AF_09/2021</v>
      </c>
      <c r="D526" s="578" t="str">
        <f>IF($A526="INSUMO",VLOOKUP($B526,'BANCO DE DADOS JAN-23 INS'!$A:$D,3,FALSE),VLOOKUP($B526,'BANCO DE DADOS JAN-23 SERV'!$B:$E,3,FALSE))</f>
        <v>UN</v>
      </c>
      <c r="E526" s="579">
        <f>E511</f>
        <v>1</v>
      </c>
      <c r="F526" s="579">
        <f>IF($A526="INSUMO",VLOOKUP($B526,'BANCO DE DADOS JAN-23 INS'!$A:$D,4,FALSE),VLOOKUP($B526,'BANCO DE DADOS JAN-23 SERV'!$B:$E,4,FALSE))</f>
        <v>128.71</v>
      </c>
      <c r="G526" s="581">
        <f t="shared" si="19"/>
        <v>128.71</v>
      </c>
    </row>
    <row r="527" spans="1:7" s="224" customFormat="1" ht="28.5" customHeight="1" thickBot="1">
      <c r="B527" s="1657" t="s">
        <v>7094</v>
      </c>
      <c r="C527" s="1657"/>
      <c r="D527" s="1657"/>
      <c r="E527" s="1658"/>
      <c r="F527" s="712" t="s">
        <v>190</v>
      </c>
      <c r="G527" s="1045">
        <f>SUM(G496:G526)</f>
        <v>62948.880000000005</v>
      </c>
    </row>
    <row r="528" spans="1:7" s="224" customFormat="1" ht="24.95" customHeight="1" thickBot="1">
      <c r="B528" s="1051"/>
      <c r="C528" s="1051"/>
      <c r="D528" s="1051"/>
      <c r="E528" s="1051"/>
      <c r="F528" s="226"/>
      <c r="G528" s="227"/>
    </row>
    <row r="529" spans="2:9" s="224" customFormat="1" ht="15.75">
      <c r="B529" s="422" t="s">
        <v>7258</v>
      </c>
      <c r="C529" s="689" t="str">
        <f>C496</f>
        <v>TUBO FF PN 10 - DN 200MM - L: 0,50</v>
      </c>
      <c r="D529" s="423"/>
      <c r="E529" s="424"/>
      <c r="F529" s="421"/>
      <c r="G529" s="358" t="s">
        <v>23</v>
      </c>
    </row>
    <row r="530" spans="2:9" s="224" customFormat="1" ht="31.5">
      <c r="B530" s="542" t="s">
        <v>195</v>
      </c>
      <c r="C530" s="543" t="s">
        <v>196</v>
      </c>
      <c r="D530" s="544" t="s">
        <v>197</v>
      </c>
      <c r="E530" s="545" t="s">
        <v>198</v>
      </c>
      <c r="F530" s="546" t="s">
        <v>199</v>
      </c>
      <c r="G530" s="547" t="s">
        <v>200</v>
      </c>
    </row>
    <row r="531" spans="2:9" s="1474" customFormat="1">
      <c r="B531" s="1470">
        <v>45014</v>
      </c>
      <c r="C531" s="1471" t="s">
        <v>7097</v>
      </c>
      <c r="D531" s="1472">
        <v>857</v>
      </c>
      <c r="E531" s="1440" t="s">
        <v>7098</v>
      </c>
      <c r="F531" s="681" t="s">
        <v>7099</v>
      </c>
      <c r="G531" s="1473" t="s">
        <v>7100</v>
      </c>
      <c r="I531" s="1475">
        <f>B531+180</f>
        <v>45194</v>
      </c>
    </row>
    <row r="532" spans="2:9" s="1474" customFormat="1">
      <c r="B532" s="1470">
        <v>45015</v>
      </c>
      <c r="C532" s="1471" t="s">
        <v>13981</v>
      </c>
      <c r="D532" s="1472">
        <v>2030</v>
      </c>
      <c r="E532" s="1483" t="s">
        <v>13982</v>
      </c>
      <c r="F532" s="681" t="s">
        <v>13983</v>
      </c>
      <c r="G532" s="1473" t="s">
        <v>7058</v>
      </c>
      <c r="I532" s="1475">
        <f>B532+180</f>
        <v>45195</v>
      </c>
    </row>
    <row r="533" spans="2:9" s="1474" customFormat="1">
      <c r="B533" s="1470">
        <v>45016</v>
      </c>
      <c r="C533" s="1471" t="s">
        <v>7095</v>
      </c>
      <c r="D533" s="1472">
        <v>1417</v>
      </c>
      <c r="E533" s="1483" t="s">
        <v>13985</v>
      </c>
      <c r="F533" s="681" t="s">
        <v>13986</v>
      </c>
      <c r="G533" s="1473" t="s">
        <v>7096</v>
      </c>
      <c r="I533" s="1475">
        <f>B533+180</f>
        <v>45196</v>
      </c>
    </row>
    <row r="534" spans="2:9" s="224" customFormat="1" ht="16.5" thickBot="1">
      <c r="B534" s="1046"/>
      <c r="C534" s="549" t="s">
        <v>201</v>
      </c>
      <c r="D534" s="718">
        <f>MEDIAN(D531:D533)</f>
        <v>1417</v>
      </c>
      <c r="E534" s="551"/>
      <c r="F534" s="552"/>
      <c r="G534" s="553"/>
    </row>
    <row r="535" spans="2:9" s="224" customFormat="1" ht="13.5" thickBot="1"/>
    <row r="536" spans="2:9" s="224" customFormat="1" ht="15.75">
      <c r="B536" s="422" t="s">
        <v>7259</v>
      </c>
      <c r="C536" s="689" t="str">
        <f>C497</f>
        <v>TÊ FF PN 10 - DN 200 MM</v>
      </c>
      <c r="D536" s="423"/>
      <c r="E536" s="424"/>
      <c r="F536" s="421"/>
      <c r="G536" s="358" t="s">
        <v>23</v>
      </c>
    </row>
    <row r="537" spans="2:9" s="224" customFormat="1" ht="31.5">
      <c r="B537" s="542" t="s">
        <v>195</v>
      </c>
      <c r="C537" s="543" t="s">
        <v>196</v>
      </c>
      <c r="D537" s="544" t="s">
        <v>197</v>
      </c>
      <c r="E537" s="545" t="s">
        <v>198</v>
      </c>
      <c r="F537" s="546" t="s">
        <v>199</v>
      </c>
      <c r="G537" s="547" t="s">
        <v>200</v>
      </c>
    </row>
    <row r="538" spans="2:9" s="1474" customFormat="1">
      <c r="B538" s="1470">
        <v>45014</v>
      </c>
      <c r="C538" s="1471" t="s">
        <v>7097</v>
      </c>
      <c r="D538" s="1472">
        <v>1684</v>
      </c>
      <c r="E538" s="1440" t="s">
        <v>7098</v>
      </c>
      <c r="F538" s="681" t="s">
        <v>7099</v>
      </c>
      <c r="G538" s="1473" t="s">
        <v>7100</v>
      </c>
      <c r="I538" s="1475">
        <f>B538+180</f>
        <v>45194</v>
      </c>
    </row>
    <row r="539" spans="2:9" s="1474" customFormat="1">
      <c r="B539" s="1470">
        <v>45015</v>
      </c>
      <c r="C539" s="1471" t="s">
        <v>13981</v>
      </c>
      <c r="D539" s="1472">
        <v>1880</v>
      </c>
      <c r="E539" s="1483" t="s">
        <v>13982</v>
      </c>
      <c r="F539" s="681" t="s">
        <v>13983</v>
      </c>
      <c r="G539" s="1473" t="s">
        <v>7058</v>
      </c>
      <c r="I539" s="1475">
        <f>B539+180</f>
        <v>45195</v>
      </c>
    </row>
    <row r="540" spans="2:9" s="1474" customFormat="1">
      <c r="B540" s="1470">
        <v>45016</v>
      </c>
      <c r="C540" s="1471" t="s">
        <v>7095</v>
      </c>
      <c r="D540" s="1472">
        <v>1768</v>
      </c>
      <c r="E540" s="1483" t="s">
        <v>13985</v>
      </c>
      <c r="F540" s="681" t="s">
        <v>13986</v>
      </c>
      <c r="G540" s="1473" t="s">
        <v>7096</v>
      </c>
      <c r="I540" s="1475">
        <f>B540+180</f>
        <v>45196</v>
      </c>
    </row>
    <row r="541" spans="2:9" s="224" customFormat="1" ht="16.5" thickBot="1">
      <c r="B541" s="1046"/>
      <c r="C541" s="549" t="s">
        <v>201</v>
      </c>
      <c r="D541" s="718">
        <f>MEDIAN(D538:D540)</f>
        <v>1768</v>
      </c>
      <c r="E541" s="551"/>
      <c r="F541" s="552"/>
      <c r="G541" s="553"/>
    </row>
    <row r="542" spans="2:9" s="224" customFormat="1" ht="13.5" thickBot="1"/>
    <row r="543" spans="2:9" s="224" customFormat="1" ht="15.75">
      <c r="B543" s="422" t="s">
        <v>7260</v>
      </c>
      <c r="C543" s="689" t="str">
        <f>C498</f>
        <v>TUBO FF PN 10 - DN 200 MM - L: 0,15</v>
      </c>
      <c r="D543" s="423"/>
      <c r="E543" s="424"/>
      <c r="F543" s="421"/>
      <c r="G543" s="358" t="s">
        <v>23</v>
      </c>
    </row>
    <row r="544" spans="2:9" s="224" customFormat="1" ht="31.5">
      <c r="B544" s="542" t="s">
        <v>195</v>
      </c>
      <c r="C544" s="543" t="s">
        <v>196</v>
      </c>
      <c r="D544" s="544" t="s">
        <v>197</v>
      </c>
      <c r="E544" s="545" t="s">
        <v>198</v>
      </c>
      <c r="F544" s="546" t="s">
        <v>199</v>
      </c>
      <c r="G544" s="547" t="s">
        <v>200</v>
      </c>
    </row>
    <row r="545" spans="2:9" s="1474" customFormat="1">
      <c r="B545" s="1470">
        <v>45014</v>
      </c>
      <c r="C545" s="1471" t="s">
        <v>7097</v>
      </c>
      <c r="D545" s="1472">
        <v>533</v>
      </c>
      <c r="E545" s="1440" t="s">
        <v>7098</v>
      </c>
      <c r="F545" s="681" t="s">
        <v>7099</v>
      </c>
      <c r="G545" s="1473" t="s">
        <v>7100</v>
      </c>
      <c r="I545" s="1475">
        <f>B545+180</f>
        <v>45194</v>
      </c>
    </row>
    <row r="546" spans="2:9" s="1474" customFormat="1">
      <c r="B546" s="1470">
        <v>45015</v>
      </c>
      <c r="C546" s="1471" t="s">
        <v>13981</v>
      </c>
      <c r="D546" s="1472">
        <v>1685</v>
      </c>
      <c r="E546" s="1483" t="s">
        <v>13982</v>
      </c>
      <c r="F546" s="681" t="s">
        <v>13983</v>
      </c>
      <c r="G546" s="1473" t="s">
        <v>7058</v>
      </c>
      <c r="I546" s="1475">
        <f>B546+180</f>
        <v>45195</v>
      </c>
    </row>
    <row r="547" spans="2:9" s="1474" customFormat="1">
      <c r="B547" s="1470">
        <v>45016</v>
      </c>
      <c r="C547" s="1471" t="s">
        <v>7095</v>
      </c>
      <c r="D547" s="1472">
        <v>1175.5</v>
      </c>
      <c r="E547" s="1483" t="s">
        <v>13985</v>
      </c>
      <c r="F547" s="681" t="s">
        <v>13986</v>
      </c>
      <c r="G547" s="1473" t="s">
        <v>7096</v>
      </c>
      <c r="I547" s="1475">
        <f>B547+180</f>
        <v>45196</v>
      </c>
    </row>
    <row r="548" spans="2:9" s="224" customFormat="1" ht="16.5" thickBot="1">
      <c r="B548" s="1046"/>
      <c r="C548" s="549" t="s">
        <v>201</v>
      </c>
      <c r="D548" s="718">
        <f>MEDIAN(D545:D547)</f>
        <v>1175.5</v>
      </c>
      <c r="E548" s="551"/>
      <c r="F548" s="552"/>
      <c r="G548" s="553"/>
    </row>
    <row r="549" spans="2:9" s="224" customFormat="1" ht="13.5" thickBot="1"/>
    <row r="550" spans="2:9" s="224" customFormat="1" ht="15.75">
      <c r="B550" s="422" t="s">
        <v>7261</v>
      </c>
      <c r="C550" s="689" t="str">
        <f>C499</f>
        <v>CURVA 90º FF PN 10 - DN 200 MM</v>
      </c>
      <c r="D550" s="423"/>
      <c r="E550" s="424"/>
      <c r="F550" s="421"/>
      <c r="G550" s="358" t="s">
        <v>23</v>
      </c>
    </row>
    <row r="551" spans="2:9" s="224" customFormat="1" ht="31.5">
      <c r="B551" s="542" t="s">
        <v>195</v>
      </c>
      <c r="C551" s="543" t="s">
        <v>196</v>
      </c>
      <c r="D551" s="544" t="s">
        <v>197</v>
      </c>
      <c r="E551" s="545" t="s">
        <v>198</v>
      </c>
      <c r="F551" s="546" t="s">
        <v>199</v>
      </c>
      <c r="G551" s="547" t="s">
        <v>200</v>
      </c>
    </row>
    <row r="552" spans="2:9" s="1474" customFormat="1">
      <c r="B552" s="1470">
        <v>45014</v>
      </c>
      <c r="C552" s="1471" t="s">
        <v>7097</v>
      </c>
      <c r="D552" s="1472">
        <v>1102</v>
      </c>
      <c r="E552" s="1440" t="s">
        <v>7098</v>
      </c>
      <c r="F552" s="681" t="s">
        <v>7099</v>
      </c>
      <c r="G552" s="1473" t="s">
        <v>7100</v>
      </c>
      <c r="I552" s="1475">
        <f>B552+180</f>
        <v>45194</v>
      </c>
    </row>
    <row r="553" spans="2:9" s="1474" customFormat="1">
      <c r="B553" s="1470">
        <v>45015</v>
      </c>
      <c r="C553" s="1471" t="s">
        <v>13981</v>
      </c>
      <c r="D553" s="1472">
        <v>1120</v>
      </c>
      <c r="E553" s="1483" t="s">
        <v>13982</v>
      </c>
      <c r="F553" s="681" t="s">
        <v>13983</v>
      </c>
      <c r="G553" s="1473" t="s">
        <v>7058</v>
      </c>
      <c r="I553" s="1475">
        <f>B553+180</f>
        <v>45195</v>
      </c>
    </row>
    <row r="554" spans="2:9" s="1474" customFormat="1">
      <c r="B554" s="1470">
        <v>45016</v>
      </c>
      <c r="C554" s="1471" t="s">
        <v>7095</v>
      </c>
      <c r="D554" s="1472">
        <v>1156</v>
      </c>
      <c r="E554" s="1483" t="s">
        <v>13985</v>
      </c>
      <c r="F554" s="681" t="s">
        <v>13986</v>
      </c>
      <c r="G554" s="1473" t="s">
        <v>7096</v>
      </c>
      <c r="I554" s="1475">
        <f>B554+180</f>
        <v>45196</v>
      </c>
    </row>
    <row r="555" spans="2:9" s="224" customFormat="1" ht="16.5" thickBot="1">
      <c r="B555" s="1046"/>
      <c r="C555" s="549" t="s">
        <v>201</v>
      </c>
      <c r="D555" s="718">
        <f>MEDIAN(D552:D554)</f>
        <v>1120</v>
      </c>
      <c r="E555" s="551"/>
      <c r="F555" s="552"/>
      <c r="G555" s="553"/>
    </row>
    <row r="556" spans="2:9" s="224" customFormat="1" ht="13.5" thickBot="1"/>
    <row r="557" spans="2:9" s="224" customFormat="1" ht="15.75">
      <c r="B557" s="422" t="s">
        <v>7262</v>
      </c>
      <c r="C557" s="689" t="str">
        <f>C500</f>
        <v>VÁLVULA DE GAVETA COM FLANGES E VOLANTE PN 10 - DN 200 MM</v>
      </c>
      <c r="D557" s="423"/>
      <c r="E557" s="424"/>
      <c r="F557" s="421"/>
      <c r="G557" s="358" t="s">
        <v>23</v>
      </c>
    </row>
    <row r="558" spans="2:9" s="224" customFormat="1" ht="31.5">
      <c r="B558" s="542" t="s">
        <v>195</v>
      </c>
      <c r="C558" s="543" t="s">
        <v>196</v>
      </c>
      <c r="D558" s="544" t="s">
        <v>197</v>
      </c>
      <c r="E558" s="545" t="s">
        <v>198</v>
      </c>
      <c r="F558" s="546" t="s">
        <v>199</v>
      </c>
      <c r="G558" s="547" t="s">
        <v>200</v>
      </c>
    </row>
    <row r="559" spans="2:9" s="1474" customFormat="1">
      <c r="B559" s="1470">
        <v>45014</v>
      </c>
      <c r="C559" s="1471" t="s">
        <v>7097</v>
      </c>
      <c r="D559" s="1472">
        <v>2100</v>
      </c>
      <c r="E559" s="1440" t="s">
        <v>7098</v>
      </c>
      <c r="F559" s="681" t="s">
        <v>7099</v>
      </c>
      <c r="G559" s="1473" t="s">
        <v>7100</v>
      </c>
      <c r="I559" s="1475">
        <f>B559+180</f>
        <v>45194</v>
      </c>
    </row>
    <row r="560" spans="2:9" s="1474" customFormat="1">
      <c r="B560" s="1470">
        <v>45015</v>
      </c>
      <c r="C560" s="1471" t="s">
        <v>13981</v>
      </c>
      <c r="D560" s="1472">
        <v>4223</v>
      </c>
      <c r="E560" s="1483" t="s">
        <v>13982</v>
      </c>
      <c r="F560" s="681" t="s">
        <v>13983</v>
      </c>
      <c r="G560" s="1473" t="s">
        <v>7058</v>
      </c>
      <c r="I560" s="1475">
        <f>B560+180</f>
        <v>45195</v>
      </c>
    </row>
    <row r="561" spans="2:9" s="1474" customFormat="1">
      <c r="B561" s="1470">
        <v>45016</v>
      </c>
      <c r="C561" s="1471" t="s">
        <v>7095</v>
      </c>
      <c r="D561" s="1472">
        <v>2768</v>
      </c>
      <c r="E561" s="1483" t="s">
        <v>13985</v>
      </c>
      <c r="F561" s="681" t="s">
        <v>13986</v>
      </c>
      <c r="G561" s="1473" t="s">
        <v>7096</v>
      </c>
      <c r="I561" s="1475">
        <f>B561+180</f>
        <v>45196</v>
      </c>
    </row>
    <row r="562" spans="2:9" s="224" customFormat="1" ht="16.5" thickBot="1">
      <c r="B562" s="1046"/>
      <c r="C562" s="549" t="s">
        <v>201</v>
      </c>
      <c r="D562" s="718">
        <f>MEDIAN(D559:D561)</f>
        <v>2768</v>
      </c>
      <c r="E562" s="551"/>
      <c r="F562" s="552"/>
      <c r="G562" s="553"/>
    </row>
    <row r="563" spans="2:9" s="224" customFormat="1" ht="13.5" thickBot="1"/>
    <row r="564" spans="2:9" s="224" customFormat="1" ht="15.75">
      <c r="B564" s="422" t="s">
        <v>7263</v>
      </c>
      <c r="C564" s="689" t="str">
        <f>C501</f>
        <v>EXTREMIDADE FLANGE E PONTA PN 10 - DN 200 MM - L: 0,40</v>
      </c>
      <c r="D564" s="423"/>
      <c r="E564" s="424"/>
      <c r="F564" s="421"/>
      <c r="G564" s="358" t="s">
        <v>23</v>
      </c>
    </row>
    <row r="565" spans="2:9" s="224" customFormat="1" ht="31.5">
      <c r="B565" s="542" t="s">
        <v>195</v>
      </c>
      <c r="C565" s="543" t="s">
        <v>196</v>
      </c>
      <c r="D565" s="544" t="s">
        <v>197</v>
      </c>
      <c r="E565" s="545" t="s">
        <v>198</v>
      </c>
      <c r="F565" s="546" t="s">
        <v>199</v>
      </c>
      <c r="G565" s="547" t="s">
        <v>200</v>
      </c>
    </row>
    <row r="566" spans="2:9" s="1474" customFormat="1">
      <c r="B566" s="1470">
        <v>45014</v>
      </c>
      <c r="C566" s="1471" t="s">
        <v>7097</v>
      </c>
      <c r="D566" s="1472">
        <v>780</v>
      </c>
      <c r="E566" s="1440" t="s">
        <v>7098</v>
      </c>
      <c r="F566" s="681" t="s">
        <v>7099</v>
      </c>
      <c r="G566" s="1473" t="s">
        <v>7100</v>
      </c>
      <c r="I566" s="1475">
        <f>B566+180</f>
        <v>45194</v>
      </c>
    </row>
    <row r="567" spans="2:9" s="1474" customFormat="1">
      <c r="B567" s="1470">
        <v>45015</v>
      </c>
      <c r="C567" s="1471" t="s">
        <v>13981</v>
      </c>
      <c r="D567" s="1472">
        <v>928</v>
      </c>
      <c r="E567" s="1483" t="s">
        <v>13982</v>
      </c>
      <c r="F567" s="681" t="s">
        <v>13983</v>
      </c>
      <c r="G567" s="1473" t="s">
        <v>7058</v>
      </c>
      <c r="I567" s="1475">
        <f>B567+180</f>
        <v>45195</v>
      </c>
    </row>
    <row r="568" spans="2:9" s="1474" customFormat="1">
      <c r="B568" s="1470">
        <v>45016</v>
      </c>
      <c r="C568" s="1471" t="s">
        <v>7095</v>
      </c>
      <c r="D568" s="1472">
        <v>748</v>
      </c>
      <c r="E568" s="1483" t="s">
        <v>13985</v>
      </c>
      <c r="F568" s="681" t="s">
        <v>13986</v>
      </c>
      <c r="G568" s="1473" t="s">
        <v>7096</v>
      </c>
      <c r="I568" s="1475">
        <f>B568+180</f>
        <v>45196</v>
      </c>
    </row>
    <row r="569" spans="2:9" s="224" customFormat="1" ht="16.5" thickBot="1">
      <c r="B569" s="1046"/>
      <c r="C569" s="549" t="s">
        <v>201</v>
      </c>
      <c r="D569" s="718">
        <f>MEDIAN(D566:D568)</f>
        <v>780</v>
      </c>
      <c r="E569" s="551"/>
      <c r="F569" s="552"/>
      <c r="G569" s="553"/>
    </row>
    <row r="570" spans="2:9" s="224" customFormat="1" ht="13.5" thickBot="1"/>
    <row r="571" spans="2:9" s="224" customFormat="1" ht="15.75">
      <c r="B571" s="422" t="s">
        <v>7264</v>
      </c>
      <c r="C571" s="689" t="str">
        <f>C502</f>
        <v>JUNTA DE DESMONTAGEM FF PN 10 - DN 200 MM</v>
      </c>
      <c r="D571" s="423"/>
      <c r="E571" s="424"/>
      <c r="F571" s="421"/>
      <c r="G571" s="358" t="s">
        <v>23</v>
      </c>
    </row>
    <row r="572" spans="2:9" s="224" customFormat="1" ht="31.5">
      <c r="B572" s="542" t="s">
        <v>195</v>
      </c>
      <c r="C572" s="543" t="s">
        <v>196</v>
      </c>
      <c r="D572" s="544" t="s">
        <v>197</v>
      </c>
      <c r="E572" s="545" t="s">
        <v>198</v>
      </c>
      <c r="F572" s="546" t="s">
        <v>199</v>
      </c>
      <c r="G572" s="547" t="s">
        <v>200</v>
      </c>
    </row>
    <row r="573" spans="2:9" s="1474" customFormat="1">
      <c r="B573" s="1470">
        <v>45014</v>
      </c>
      <c r="C573" s="1471" t="s">
        <v>7097</v>
      </c>
      <c r="D573" s="1472">
        <v>1320</v>
      </c>
      <c r="E573" s="1440" t="s">
        <v>7098</v>
      </c>
      <c r="F573" s="681" t="s">
        <v>7099</v>
      </c>
      <c r="G573" s="1473" t="s">
        <v>7100</v>
      </c>
      <c r="I573" s="1475">
        <f>B573+180</f>
        <v>45194</v>
      </c>
    </row>
    <row r="574" spans="2:9" s="1474" customFormat="1">
      <c r="B574" s="1470">
        <v>45015</v>
      </c>
      <c r="C574" s="1471" t="s">
        <v>13981</v>
      </c>
      <c r="D574" s="1472">
        <v>1960</v>
      </c>
      <c r="E574" s="1483" t="s">
        <v>13982</v>
      </c>
      <c r="F574" s="681" t="s">
        <v>13983</v>
      </c>
      <c r="G574" s="1473" t="s">
        <v>7058</v>
      </c>
      <c r="I574" s="1475">
        <f>B574+180</f>
        <v>45195</v>
      </c>
    </row>
    <row r="575" spans="2:9" s="1474" customFormat="1">
      <c r="B575" s="1470">
        <v>45016</v>
      </c>
      <c r="C575" s="1471" t="s">
        <v>7095</v>
      </c>
      <c r="D575" s="1472">
        <v>1732.5</v>
      </c>
      <c r="E575" s="1483" t="s">
        <v>13985</v>
      </c>
      <c r="F575" s="681" t="s">
        <v>13986</v>
      </c>
      <c r="G575" s="1473" t="s">
        <v>7096</v>
      </c>
      <c r="I575" s="1475">
        <f>B575+180</f>
        <v>45196</v>
      </c>
    </row>
    <row r="576" spans="2:9" s="224" customFormat="1" ht="16.5" thickBot="1">
      <c r="B576" s="1046"/>
      <c r="C576" s="549" t="s">
        <v>201</v>
      </c>
      <c r="D576" s="718">
        <f>MEDIAN(D573:D575)</f>
        <v>1732.5</v>
      </c>
      <c r="E576" s="551"/>
      <c r="F576" s="552"/>
      <c r="G576" s="553"/>
    </row>
    <row r="577" spans="2:9" s="224" customFormat="1" ht="13.5" thickBot="1"/>
    <row r="578" spans="2:9" s="224" customFormat="1" ht="15.75">
      <c r="B578" s="422" t="s">
        <v>7265</v>
      </c>
      <c r="C578" s="689" t="str">
        <f>C503</f>
        <v>REDUÇÃO EXCÊNTRICA FF PN 10 - DN 200 X 100 MM</v>
      </c>
      <c r="D578" s="423"/>
      <c r="E578" s="424"/>
      <c r="F578" s="421"/>
      <c r="G578" s="358" t="s">
        <v>23</v>
      </c>
    </row>
    <row r="579" spans="2:9" s="224" customFormat="1" ht="31.5">
      <c r="B579" s="542" t="s">
        <v>195</v>
      </c>
      <c r="C579" s="543" t="s">
        <v>196</v>
      </c>
      <c r="D579" s="544" t="s">
        <v>197</v>
      </c>
      <c r="E579" s="545" t="s">
        <v>198</v>
      </c>
      <c r="F579" s="546" t="s">
        <v>199</v>
      </c>
      <c r="G579" s="547" t="s">
        <v>200</v>
      </c>
    </row>
    <row r="580" spans="2:9" s="1474" customFormat="1">
      <c r="B580" s="1470">
        <v>45014</v>
      </c>
      <c r="C580" s="1471" t="s">
        <v>7097</v>
      </c>
      <c r="D580" s="1472">
        <v>874</v>
      </c>
      <c r="E580" s="1440" t="s">
        <v>7098</v>
      </c>
      <c r="F580" s="681" t="s">
        <v>7099</v>
      </c>
      <c r="G580" s="1473" t="s">
        <v>7100</v>
      </c>
      <c r="I580" s="1475">
        <f>B580+180</f>
        <v>45194</v>
      </c>
    </row>
    <row r="581" spans="2:9" s="1474" customFormat="1">
      <c r="B581" s="1470">
        <v>45015</v>
      </c>
      <c r="C581" s="1471" t="s">
        <v>13981</v>
      </c>
      <c r="D581" s="1472">
        <v>1100</v>
      </c>
      <c r="E581" s="1483" t="s">
        <v>13982</v>
      </c>
      <c r="F581" s="681" t="s">
        <v>13983</v>
      </c>
      <c r="G581" s="1473" t="s">
        <v>7058</v>
      </c>
      <c r="I581" s="1475">
        <f>B581+180</f>
        <v>45195</v>
      </c>
    </row>
    <row r="582" spans="2:9" s="1474" customFormat="1">
      <c r="B582" s="1470">
        <v>45016</v>
      </c>
      <c r="C582" s="1471" t="s">
        <v>7095</v>
      </c>
      <c r="D582" s="1472">
        <v>1020</v>
      </c>
      <c r="E582" s="1483" t="s">
        <v>13985</v>
      </c>
      <c r="F582" s="681" t="s">
        <v>13986</v>
      </c>
      <c r="G582" s="1473" t="s">
        <v>7096</v>
      </c>
      <c r="I582" s="1475">
        <f>B582+180</f>
        <v>45196</v>
      </c>
    </row>
    <row r="583" spans="2:9" s="224" customFormat="1" ht="16.5" thickBot="1">
      <c r="B583" s="1046"/>
      <c r="C583" s="549" t="s">
        <v>201</v>
      </c>
      <c r="D583" s="718">
        <f>MEDIAN(D580:D582)</f>
        <v>1020</v>
      </c>
      <c r="E583" s="551"/>
      <c r="F583" s="552"/>
      <c r="G583" s="553"/>
    </row>
    <row r="584" spans="2:9" s="224" customFormat="1" ht="13.5" thickBot="1"/>
    <row r="585" spans="2:9" s="224" customFormat="1" ht="15.75">
      <c r="B585" s="422" t="s">
        <v>7266</v>
      </c>
      <c r="C585" s="689" t="str">
        <f>C504</f>
        <v>REDUÇÃO CONCÊNTRICA FF PN 10 - DN 150 X 80 MM</v>
      </c>
      <c r="D585" s="423"/>
      <c r="E585" s="424"/>
      <c r="F585" s="421"/>
      <c r="G585" s="358" t="s">
        <v>23</v>
      </c>
    </row>
    <row r="586" spans="2:9" s="224" customFormat="1" ht="31.5">
      <c r="B586" s="542" t="s">
        <v>195</v>
      </c>
      <c r="C586" s="543" t="s">
        <v>196</v>
      </c>
      <c r="D586" s="544" t="s">
        <v>197</v>
      </c>
      <c r="E586" s="545" t="s">
        <v>198</v>
      </c>
      <c r="F586" s="546" t="s">
        <v>199</v>
      </c>
      <c r="G586" s="547" t="s">
        <v>200</v>
      </c>
    </row>
    <row r="587" spans="2:9" s="1474" customFormat="1">
      <c r="B587" s="1470">
        <v>45014</v>
      </c>
      <c r="C587" s="1471" t="s">
        <v>7097</v>
      </c>
      <c r="D587" s="1472">
        <v>650</v>
      </c>
      <c r="E587" s="1440" t="s">
        <v>7098</v>
      </c>
      <c r="F587" s="681" t="s">
        <v>7099</v>
      </c>
      <c r="G587" s="1473" t="s">
        <v>7100</v>
      </c>
      <c r="I587" s="1475">
        <f>B587+180</f>
        <v>45194</v>
      </c>
    </row>
    <row r="588" spans="2:9" s="1474" customFormat="1">
      <c r="B588" s="1470">
        <v>45015</v>
      </c>
      <c r="C588" s="1471" t="s">
        <v>13981</v>
      </c>
      <c r="D588" s="1472">
        <v>1024</v>
      </c>
      <c r="E588" s="1483" t="s">
        <v>13982</v>
      </c>
      <c r="F588" s="681" t="s">
        <v>13983</v>
      </c>
      <c r="G588" s="1473" t="s">
        <v>7058</v>
      </c>
      <c r="I588" s="1475">
        <f>B588+180</f>
        <v>45195</v>
      </c>
    </row>
    <row r="589" spans="2:9" s="1474" customFormat="1">
      <c r="B589" s="1470">
        <v>45016</v>
      </c>
      <c r="C589" s="1471" t="s">
        <v>7095</v>
      </c>
      <c r="D589" s="1472">
        <v>680</v>
      </c>
      <c r="E589" s="1483" t="s">
        <v>13985</v>
      </c>
      <c r="F589" s="681" t="s">
        <v>13986</v>
      </c>
      <c r="G589" s="1473" t="s">
        <v>7096</v>
      </c>
      <c r="I589" s="1475">
        <f>B589+180</f>
        <v>45196</v>
      </c>
    </row>
    <row r="590" spans="2:9" s="224" customFormat="1" ht="16.5" thickBot="1">
      <c r="B590" s="1046"/>
      <c r="C590" s="549" t="s">
        <v>201</v>
      </c>
      <c r="D590" s="718">
        <f>MEDIAN(D587:D589)</f>
        <v>680</v>
      </c>
      <c r="E590" s="551"/>
      <c r="F590" s="552"/>
      <c r="G590" s="553"/>
    </row>
    <row r="591" spans="2:9" s="224" customFormat="1" ht="13.5" thickBot="1"/>
    <row r="592" spans="2:9" s="224" customFormat="1" ht="15.75">
      <c r="B592" s="422" t="s">
        <v>7267</v>
      </c>
      <c r="C592" s="689" t="str">
        <f>C505</f>
        <v>VÁLVULA DE RETENÇÃO TIPO PORTINHOLA FF PN 10 - DN 150 MM</v>
      </c>
      <c r="D592" s="423"/>
      <c r="E592" s="424"/>
      <c r="F592" s="421"/>
      <c r="G592" s="358" t="s">
        <v>23</v>
      </c>
    </row>
    <row r="593" spans="2:9" s="224" customFormat="1" ht="31.5">
      <c r="B593" s="542" t="s">
        <v>195</v>
      </c>
      <c r="C593" s="543" t="s">
        <v>196</v>
      </c>
      <c r="D593" s="544" t="s">
        <v>197</v>
      </c>
      <c r="E593" s="545" t="s">
        <v>198</v>
      </c>
      <c r="F593" s="546" t="s">
        <v>199</v>
      </c>
      <c r="G593" s="547" t="s">
        <v>200</v>
      </c>
    </row>
    <row r="594" spans="2:9" s="1474" customFormat="1">
      <c r="B594" s="1470">
        <v>45014</v>
      </c>
      <c r="C594" s="1471" t="s">
        <v>7097</v>
      </c>
      <c r="D594" s="1472">
        <v>2500</v>
      </c>
      <c r="E594" s="1440" t="s">
        <v>7098</v>
      </c>
      <c r="F594" s="681" t="s">
        <v>7099</v>
      </c>
      <c r="G594" s="1473" t="s">
        <v>7100</v>
      </c>
      <c r="I594" s="1475">
        <f>B594+180</f>
        <v>45194</v>
      </c>
    </row>
    <row r="595" spans="2:9" s="1474" customFormat="1">
      <c r="B595" s="1470">
        <v>45015</v>
      </c>
      <c r="C595" s="1471" t="s">
        <v>13981</v>
      </c>
      <c r="D595" s="1472">
        <v>3034</v>
      </c>
      <c r="E595" s="1483" t="s">
        <v>13982</v>
      </c>
      <c r="F595" s="681" t="s">
        <v>13983</v>
      </c>
      <c r="G595" s="1473" t="s">
        <v>7058</v>
      </c>
      <c r="I595" s="1475">
        <f>B595+180</f>
        <v>45195</v>
      </c>
    </row>
    <row r="596" spans="2:9" s="1474" customFormat="1">
      <c r="B596" s="1470">
        <v>45016</v>
      </c>
      <c r="C596" s="1471" t="s">
        <v>7095</v>
      </c>
      <c r="D596" s="1472">
        <v>2812</v>
      </c>
      <c r="E596" s="1483" t="s">
        <v>13985</v>
      </c>
      <c r="F596" s="681" t="s">
        <v>13986</v>
      </c>
      <c r="G596" s="1473" t="s">
        <v>7096</v>
      </c>
      <c r="I596" s="1475">
        <f>B596+180</f>
        <v>45196</v>
      </c>
    </row>
    <row r="597" spans="2:9" s="224" customFormat="1" ht="16.5" thickBot="1">
      <c r="B597" s="1046"/>
      <c r="C597" s="549" t="s">
        <v>201</v>
      </c>
      <c r="D597" s="718">
        <f>MEDIAN(D594:D596)</f>
        <v>2812</v>
      </c>
      <c r="E597" s="551"/>
      <c r="F597" s="552"/>
      <c r="G597" s="553"/>
    </row>
    <row r="598" spans="2:9" s="224" customFormat="1" ht="13.5" thickBot="1"/>
    <row r="599" spans="2:9" s="224" customFormat="1" ht="15.75">
      <c r="B599" s="422" t="s">
        <v>7268</v>
      </c>
      <c r="C599" s="689" t="str">
        <f>C506</f>
        <v>EXTREMIDADE FLANGE E PONTA PN 10 - DN 150 MM - L: 0,35</v>
      </c>
      <c r="D599" s="423"/>
      <c r="E599" s="424"/>
      <c r="F599" s="421"/>
      <c r="G599" s="358" t="s">
        <v>23</v>
      </c>
    </row>
    <row r="600" spans="2:9" s="224" customFormat="1" ht="31.5">
      <c r="B600" s="542" t="s">
        <v>195</v>
      </c>
      <c r="C600" s="543" t="s">
        <v>196</v>
      </c>
      <c r="D600" s="544" t="s">
        <v>197</v>
      </c>
      <c r="E600" s="545" t="s">
        <v>198</v>
      </c>
      <c r="F600" s="546" t="s">
        <v>199</v>
      </c>
      <c r="G600" s="547" t="s">
        <v>200</v>
      </c>
    </row>
    <row r="601" spans="2:9" s="1474" customFormat="1">
      <c r="B601" s="1470">
        <v>45014</v>
      </c>
      <c r="C601" s="1471" t="s">
        <v>7097</v>
      </c>
      <c r="D601" s="1472">
        <v>580</v>
      </c>
      <c r="E601" s="1440" t="s">
        <v>7098</v>
      </c>
      <c r="F601" s="681" t="s">
        <v>7099</v>
      </c>
      <c r="G601" s="1473" t="s">
        <v>7100</v>
      </c>
      <c r="I601" s="1475">
        <f>B601+180</f>
        <v>45194</v>
      </c>
    </row>
    <row r="602" spans="2:9" s="1474" customFormat="1">
      <c r="B602" s="1470">
        <v>45015</v>
      </c>
      <c r="C602" s="1471" t="s">
        <v>13981</v>
      </c>
      <c r="D602" s="1472">
        <v>708</v>
      </c>
      <c r="E602" s="1483" t="s">
        <v>13982</v>
      </c>
      <c r="F602" s="681" t="s">
        <v>13983</v>
      </c>
      <c r="G602" s="1473" t="s">
        <v>7058</v>
      </c>
      <c r="I602" s="1475">
        <f>B602+180</f>
        <v>45195</v>
      </c>
    </row>
    <row r="603" spans="2:9" s="1474" customFormat="1">
      <c r="B603" s="1470">
        <v>45016</v>
      </c>
      <c r="C603" s="1471" t="s">
        <v>7095</v>
      </c>
      <c r="D603" s="1472">
        <v>578</v>
      </c>
      <c r="E603" s="1483" t="s">
        <v>13985</v>
      </c>
      <c r="F603" s="681" t="s">
        <v>13986</v>
      </c>
      <c r="G603" s="1473" t="s">
        <v>7096</v>
      </c>
      <c r="I603" s="1475">
        <f>B603+180</f>
        <v>45196</v>
      </c>
    </row>
    <row r="604" spans="2:9" s="224" customFormat="1" ht="16.5" thickBot="1">
      <c r="B604" s="1046"/>
      <c r="C604" s="549" t="s">
        <v>201</v>
      </c>
      <c r="D604" s="718">
        <f>MEDIAN(D601:D603)</f>
        <v>580</v>
      </c>
      <c r="E604" s="551"/>
      <c r="F604" s="552"/>
      <c r="G604" s="553"/>
    </row>
    <row r="605" spans="2:9" s="224" customFormat="1" ht="13.5" thickBot="1"/>
    <row r="606" spans="2:9" s="224" customFormat="1" ht="15.75">
      <c r="B606" s="422" t="s">
        <v>7269</v>
      </c>
      <c r="C606" s="689" t="str">
        <f>C507</f>
        <v>JUNTA DE DESMONTAGEM FF PN 10 - DN 150 MM</v>
      </c>
      <c r="D606" s="423"/>
      <c r="E606" s="424"/>
      <c r="F606" s="421"/>
      <c r="G606" s="358" t="s">
        <v>23</v>
      </c>
    </row>
    <row r="607" spans="2:9" s="224" customFormat="1" ht="31.5">
      <c r="B607" s="542" t="s">
        <v>195</v>
      </c>
      <c r="C607" s="543" t="s">
        <v>196</v>
      </c>
      <c r="D607" s="544" t="s">
        <v>197</v>
      </c>
      <c r="E607" s="545" t="s">
        <v>198</v>
      </c>
      <c r="F607" s="546" t="s">
        <v>199</v>
      </c>
      <c r="G607" s="547" t="s">
        <v>200</v>
      </c>
    </row>
    <row r="608" spans="2:9" s="1474" customFormat="1">
      <c r="B608" s="1470">
        <v>45014</v>
      </c>
      <c r="C608" s="1471" t="s">
        <v>7097</v>
      </c>
      <c r="D608" s="1472">
        <v>950</v>
      </c>
      <c r="E608" s="1440" t="s">
        <v>7098</v>
      </c>
      <c r="F608" s="681" t="s">
        <v>7099</v>
      </c>
      <c r="G608" s="1473" t="s">
        <v>7100</v>
      </c>
      <c r="I608" s="1475">
        <f>B608+180</f>
        <v>45194</v>
      </c>
    </row>
    <row r="609" spans="2:9" s="1474" customFormat="1">
      <c r="B609" s="1470">
        <v>45015</v>
      </c>
      <c r="C609" s="1471" t="s">
        <v>13981</v>
      </c>
      <c r="D609" s="1472">
        <v>1400</v>
      </c>
      <c r="E609" s="1483" t="s">
        <v>13982</v>
      </c>
      <c r="F609" s="681" t="s">
        <v>13983</v>
      </c>
      <c r="G609" s="1473" t="s">
        <v>7058</v>
      </c>
      <c r="I609" s="1475">
        <f>B609+180</f>
        <v>45195</v>
      </c>
    </row>
    <row r="610" spans="2:9" s="1474" customFormat="1">
      <c r="B610" s="1470">
        <v>45016</v>
      </c>
      <c r="C610" s="1471" t="s">
        <v>7095</v>
      </c>
      <c r="D610" s="1472">
        <v>1395</v>
      </c>
      <c r="E610" s="1483" t="s">
        <v>13985</v>
      </c>
      <c r="F610" s="681" t="s">
        <v>13986</v>
      </c>
      <c r="G610" s="1473" t="s">
        <v>7096</v>
      </c>
      <c r="I610" s="1475">
        <f>B610+180</f>
        <v>45196</v>
      </c>
    </row>
    <row r="611" spans="2:9" s="224" customFormat="1" ht="16.5" thickBot="1">
      <c r="B611" s="1046"/>
      <c r="C611" s="549" t="s">
        <v>201</v>
      </c>
      <c r="D611" s="718">
        <f>MEDIAN(D608:D610)</f>
        <v>1395</v>
      </c>
      <c r="E611" s="551"/>
      <c r="F611" s="552"/>
      <c r="G611" s="553"/>
    </row>
    <row r="612" spans="2:9" s="224" customFormat="1" ht="13.5" thickBot="1"/>
    <row r="613" spans="2:9" s="224" customFormat="1" ht="15.75">
      <c r="B613" s="422" t="s">
        <v>7270</v>
      </c>
      <c r="C613" s="689" t="str">
        <f>C508</f>
        <v>VÁLVULA DE GAVETA COM FLANGES E VOLANTE PN 10 - DN 150 MM</v>
      </c>
      <c r="D613" s="423"/>
      <c r="E613" s="424"/>
      <c r="F613" s="421"/>
      <c r="G613" s="358" t="s">
        <v>23</v>
      </c>
    </row>
    <row r="614" spans="2:9" s="224" customFormat="1" ht="31.5">
      <c r="B614" s="542" t="s">
        <v>195</v>
      </c>
      <c r="C614" s="543" t="s">
        <v>196</v>
      </c>
      <c r="D614" s="544" t="s">
        <v>197</v>
      </c>
      <c r="E614" s="545" t="s">
        <v>198</v>
      </c>
      <c r="F614" s="546" t="s">
        <v>199</v>
      </c>
      <c r="G614" s="547" t="s">
        <v>200</v>
      </c>
    </row>
    <row r="615" spans="2:9" s="1474" customFormat="1">
      <c r="B615" s="1470">
        <v>45014</v>
      </c>
      <c r="C615" s="1471" t="s">
        <v>7097</v>
      </c>
      <c r="D615" s="1472">
        <v>1480</v>
      </c>
      <c r="E615" s="1440" t="s">
        <v>7098</v>
      </c>
      <c r="F615" s="681" t="s">
        <v>7099</v>
      </c>
      <c r="G615" s="1473" t="s">
        <v>7100</v>
      </c>
      <c r="I615" s="1475">
        <f>B615+180</f>
        <v>45194</v>
      </c>
    </row>
    <row r="616" spans="2:9" s="1474" customFormat="1">
      <c r="B616" s="1470">
        <v>45015</v>
      </c>
      <c r="C616" s="1471" t="s">
        <v>13981</v>
      </c>
      <c r="D616" s="1472">
        <v>2698</v>
      </c>
      <c r="E616" s="1483" t="s">
        <v>13982</v>
      </c>
      <c r="F616" s="681" t="s">
        <v>13983</v>
      </c>
      <c r="G616" s="1473" t="s">
        <v>7058</v>
      </c>
      <c r="I616" s="1475">
        <f>B616+180</f>
        <v>45195</v>
      </c>
    </row>
    <row r="617" spans="2:9" s="1474" customFormat="1">
      <c r="B617" s="1470">
        <v>45016</v>
      </c>
      <c r="C617" s="1471" t="s">
        <v>7095</v>
      </c>
      <c r="D617" s="1472">
        <v>1760</v>
      </c>
      <c r="E617" s="1483" t="s">
        <v>13985</v>
      </c>
      <c r="F617" s="681" t="s">
        <v>13986</v>
      </c>
      <c r="G617" s="1473" t="s">
        <v>7096</v>
      </c>
      <c r="I617" s="1475">
        <f>B617+180</f>
        <v>45196</v>
      </c>
    </row>
    <row r="618" spans="2:9" s="224" customFormat="1" ht="16.5" thickBot="1">
      <c r="B618" s="1046"/>
      <c r="C618" s="549" t="s">
        <v>201</v>
      </c>
      <c r="D618" s="718">
        <f>MEDIAN(D615:D617)</f>
        <v>1760</v>
      </c>
      <c r="E618" s="551"/>
      <c r="F618" s="552"/>
      <c r="G618" s="553"/>
    </row>
    <row r="619" spans="2:9" s="224" customFormat="1" ht="13.5" thickBot="1"/>
    <row r="620" spans="2:9" s="224" customFormat="1" ht="15.75">
      <c r="B620" s="422" t="s">
        <v>7271</v>
      </c>
      <c r="C620" s="689" t="str">
        <f>C509</f>
        <v>CURVA 90º FF PN 10 - DN 150 MM</v>
      </c>
      <c r="D620" s="423"/>
      <c r="E620" s="424"/>
      <c r="F620" s="421"/>
      <c r="G620" s="358" t="s">
        <v>23</v>
      </c>
    </row>
    <row r="621" spans="2:9" s="224" customFormat="1" ht="31.5">
      <c r="B621" s="542" t="s">
        <v>195</v>
      </c>
      <c r="C621" s="543" t="s">
        <v>196</v>
      </c>
      <c r="D621" s="544" t="s">
        <v>197</v>
      </c>
      <c r="E621" s="545" t="s">
        <v>198</v>
      </c>
      <c r="F621" s="546" t="s">
        <v>199</v>
      </c>
      <c r="G621" s="547" t="s">
        <v>200</v>
      </c>
    </row>
    <row r="622" spans="2:9" s="1474" customFormat="1">
      <c r="B622" s="1470">
        <v>45014</v>
      </c>
      <c r="C622" s="1471" t="s">
        <v>7097</v>
      </c>
      <c r="D622" s="1472">
        <v>770</v>
      </c>
      <c r="E622" s="1440" t="s">
        <v>7098</v>
      </c>
      <c r="F622" s="681" t="s">
        <v>7099</v>
      </c>
      <c r="G622" s="1473" t="s">
        <v>7100</v>
      </c>
      <c r="I622" s="1475">
        <f>B622+180</f>
        <v>45194</v>
      </c>
    </row>
    <row r="623" spans="2:9" s="1474" customFormat="1">
      <c r="B623" s="1470">
        <v>45015</v>
      </c>
      <c r="C623" s="1471" t="s">
        <v>13981</v>
      </c>
      <c r="D623" s="1472">
        <v>772.4</v>
      </c>
      <c r="E623" s="1483" t="s">
        <v>13982</v>
      </c>
      <c r="F623" s="681" t="s">
        <v>13983</v>
      </c>
      <c r="G623" s="1473" t="s">
        <v>7058</v>
      </c>
      <c r="I623" s="1475">
        <f>B623+180</f>
        <v>45195</v>
      </c>
    </row>
    <row r="624" spans="2:9" s="1474" customFormat="1">
      <c r="B624" s="1470">
        <v>45016</v>
      </c>
      <c r="C624" s="1471" t="s">
        <v>7095</v>
      </c>
      <c r="D624" s="1472">
        <v>799</v>
      </c>
      <c r="E624" s="1483" t="s">
        <v>13985</v>
      </c>
      <c r="F624" s="681" t="s">
        <v>13986</v>
      </c>
      <c r="G624" s="1473" t="s">
        <v>7096</v>
      </c>
      <c r="I624" s="1475">
        <f>B624+180</f>
        <v>45196</v>
      </c>
    </row>
    <row r="625" spans="2:9" s="224" customFormat="1" ht="16.5" thickBot="1">
      <c r="B625" s="1046"/>
      <c r="C625" s="549" t="s">
        <v>201</v>
      </c>
      <c r="D625" s="718">
        <f>MEDIAN(D622:D624)</f>
        <v>772.4</v>
      </c>
      <c r="E625" s="551"/>
      <c r="F625" s="552"/>
      <c r="G625" s="553"/>
    </row>
    <row r="626" spans="2:9" s="224" customFormat="1" ht="13.5" thickBot="1"/>
    <row r="627" spans="2:9" s="224" customFormat="1" ht="15.75">
      <c r="B627" s="422" t="s">
        <v>7272</v>
      </c>
      <c r="C627" s="689" t="str">
        <f>C510</f>
        <v>TUBO FF PN 10 - DN 150 MM - L: 0,20 M</v>
      </c>
      <c r="D627" s="423"/>
      <c r="E627" s="424"/>
      <c r="F627" s="421"/>
      <c r="G627" s="358" t="s">
        <v>23</v>
      </c>
    </row>
    <row r="628" spans="2:9" s="224" customFormat="1" ht="31.5">
      <c r="B628" s="542" t="s">
        <v>195</v>
      </c>
      <c r="C628" s="543" t="s">
        <v>196</v>
      </c>
      <c r="D628" s="544" t="s">
        <v>197</v>
      </c>
      <c r="E628" s="545" t="s">
        <v>198</v>
      </c>
      <c r="F628" s="546" t="s">
        <v>199</v>
      </c>
      <c r="G628" s="547" t="s">
        <v>200</v>
      </c>
    </row>
    <row r="629" spans="2:9" s="1474" customFormat="1">
      <c r="B629" s="1470">
        <v>45014</v>
      </c>
      <c r="C629" s="1471" t="s">
        <v>7097</v>
      </c>
      <c r="D629" s="1472">
        <v>670</v>
      </c>
      <c r="E629" s="1440" t="s">
        <v>7098</v>
      </c>
      <c r="F629" s="681" t="s">
        <v>7099</v>
      </c>
      <c r="G629" s="1473" t="s">
        <v>7100</v>
      </c>
      <c r="I629" s="1475">
        <f>B629+180</f>
        <v>45194</v>
      </c>
    </row>
    <row r="630" spans="2:9" s="1474" customFormat="1">
      <c r="B630" s="1470">
        <v>45015</v>
      </c>
      <c r="C630" s="1471" t="s">
        <v>13981</v>
      </c>
      <c r="D630" s="1472">
        <v>1415</v>
      </c>
      <c r="E630" s="1483" t="s">
        <v>13982</v>
      </c>
      <c r="F630" s="681" t="s">
        <v>13983</v>
      </c>
      <c r="G630" s="1473" t="s">
        <v>7058</v>
      </c>
      <c r="I630" s="1475">
        <f>B630+180</f>
        <v>45195</v>
      </c>
    </row>
    <row r="631" spans="2:9" s="1474" customFormat="1">
      <c r="B631" s="1470">
        <v>45016</v>
      </c>
      <c r="C631" s="1471" t="s">
        <v>7095</v>
      </c>
      <c r="D631" s="1472">
        <v>929.2</v>
      </c>
      <c r="E631" s="1483" t="s">
        <v>13985</v>
      </c>
      <c r="F631" s="681" t="s">
        <v>13986</v>
      </c>
      <c r="G631" s="1473" t="s">
        <v>7096</v>
      </c>
      <c r="I631" s="1475">
        <f>B631+180</f>
        <v>45196</v>
      </c>
    </row>
    <row r="632" spans="2:9" s="224" customFormat="1" ht="16.5" thickBot="1">
      <c r="B632" s="1046"/>
      <c r="C632" s="549" t="s">
        <v>201</v>
      </c>
      <c r="D632" s="718">
        <f>MEDIAN(D629:D631)</f>
        <v>929.2</v>
      </c>
      <c r="E632" s="551"/>
      <c r="F632" s="552"/>
      <c r="G632" s="553"/>
    </row>
    <row r="633" spans="2:9" s="224" customFormat="1" ht="13.5" thickBot="1"/>
    <row r="634" spans="2:9" s="224" customFormat="1" ht="15.75">
      <c r="B634" s="422" t="s">
        <v>7273</v>
      </c>
      <c r="C634" s="689" t="str">
        <f>C511</f>
        <v>TÊ FF PN 10 - DN 150 MM</v>
      </c>
      <c r="D634" s="423"/>
      <c r="E634" s="424"/>
      <c r="F634" s="421"/>
      <c r="G634" s="358" t="s">
        <v>23</v>
      </c>
    </row>
    <row r="635" spans="2:9" s="224" customFormat="1" ht="31.5">
      <c r="B635" s="542" t="s">
        <v>195</v>
      </c>
      <c r="C635" s="543" t="s">
        <v>196</v>
      </c>
      <c r="D635" s="544" t="s">
        <v>197</v>
      </c>
      <c r="E635" s="545" t="s">
        <v>198</v>
      </c>
      <c r="F635" s="546" t="s">
        <v>199</v>
      </c>
      <c r="G635" s="547" t="s">
        <v>200</v>
      </c>
    </row>
    <row r="636" spans="2:9" s="1474" customFormat="1">
      <c r="B636" s="1470">
        <v>45014</v>
      </c>
      <c r="C636" s="1471" t="s">
        <v>7097</v>
      </c>
      <c r="D636" s="1472">
        <v>1300</v>
      </c>
      <c r="E636" s="1440" t="s">
        <v>7098</v>
      </c>
      <c r="F636" s="681" t="s">
        <v>7099</v>
      </c>
      <c r="G636" s="1473" t="s">
        <v>7100</v>
      </c>
      <c r="I636" s="1475">
        <f>B636+180</f>
        <v>45194</v>
      </c>
    </row>
    <row r="637" spans="2:9" s="1474" customFormat="1">
      <c r="B637" s="1470">
        <v>45015</v>
      </c>
      <c r="C637" s="1471" t="s">
        <v>13981</v>
      </c>
      <c r="D637" s="1472">
        <v>1120</v>
      </c>
      <c r="E637" s="1483" t="s">
        <v>13982</v>
      </c>
      <c r="F637" s="681" t="s">
        <v>13983</v>
      </c>
      <c r="G637" s="1473" t="s">
        <v>7058</v>
      </c>
      <c r="I637" s="1475">
        <f>B637+180</f>
        <v>45195</v>
      </c>
    </row>
    <row r="638" spans="2:9" s="1474" customFormat="1">
      <c r="B638" s="1470">
        <v>45016</v>
      </c>
      <c r="C638" s="1471" t="s">
        <v>7095</v>
      </c>
      <c r="D638" s="1472">
        <v>1360</v>
      </c>
      <c r="E638" s="1483" t="s">
        <v>13985</v>
      </c>
      <c r="F638" s="681" t="s">
        <v>13986</v>
      </c>
      <c r="G638" s="1473" t="s">
        <v>7096</v>
      </c>
      <c r="I638" s="1475">
        <f>B638+180</f>
        <v>45196</v>
      </c>
    </row>
    <row r="639" spans="2:9" s="224" customFormat="1" ht="16.5" thickBot="1">
      <c r="B639" s="1046"/>
      <c r="C639" s="549" t="s">
        <v>201</v>
      </c>
      <c r="D639" s="718">
        <f>MEDIAN(D636:D638)</f>
        <v>1300</v>
      </c>
      <c r="E639" s="551"/>
      <c r="F639" s="552"/>
      <c r="G639" s="553"/>
    </row>
    <row r="640" spans="2:9" s="224" customFormat="1" ht="13.5" thickBot="1"/>
    <row r="641" spans="2:9" s="224" customFormat="1" ht="15.75">
      <c r="B641" s="422" t="s">
        <v>7274</v>
      </c>
      <c r="C641" s="689" t="str">
        <f>C512</f>
        <v>TUBO FLANGE E PONTA PN 10 - DN 150 MM - L: 2,60</v>
      </c>
      <c r="D641" s="423"/>
      <c r="E641" s="424"/>
      <c r="F641" s="421"/>
      <c r="G641" s="358" t="s">
        <v>23</v>
      </c>
    </row>
    <row r="642" spans="2:9" s="224" customFormat="1" ht="31.5">
      <c r="B642" s="542" t="s">
        <v>195</v>
      </c>
      <c r="C642" s="543" t="s">
        <v>196</v>
      </c>
      <c r="D642" s="544" t="s">
        <v>197</v>
      </c>
      <c r="E642" s="545" t="s">
        <v>198</v>
      </c>
      <c r="F642" s="546" t="s">
        <v>199</v>
      </c>
      <c r="G642" s="547" t="s">
        <v>200</v>
      </c>
    </row>
    <row r="643" spans="2:9" s="1474" customFormat="1">
      <c r="B643" s="1470">
        <v>45014</v>
      </c>
      <c r="C643" s="1471" t="s">
        <v>7097</v>
      </c>
      <c r="D643" s="1472">
        <v>2149</v>
      </c>
      <c r="E643" s="1440" t="s">
        <v>7098</v>
      </c>
      <c r="F643" s="681" t="s">
        <v>7099</v>
      </c>
      <c r="G643" s="1473" t="s">
        <v>7100</v>
      </c>
      <c r="I643" s="1475">
        <f>B643+180</f>
        <v>45194</v>
      </c>
    </row>
    <row r="644" spans="2:9" s="1474" customFormat="1">
      <c r="B644" s="1470">
        <v>45015</v>
      </c>
      <c r="C644" s="1471" t="s">
        <v>13981</v>
      </c>
      <c r="D644" s="1472">
        <v>3303</v>
      </c>
      <c r="E644" s="1483" t="s">
        <v>13982</v>
      </c>
      <c r="F644" s="681" t="s">
        <v>13983</v>
      </c>
      <c r="G644" s="1473" t="s">
        <v>7058</v>
      </c>
      <c r="I644" s="1475">
        <f>B644+180</f>
        <v>45195</v>
      </c>
    </row>
    <row r="645" spans="2:9" s="1474" customFormat="1">
      <c r="B645" s="1470">
        <v>45016</v>
      </c>
      <c r="C645" s="1471" t="s">
        <v>7095</v>
      </c>
      <c r="D645" s="1472">
        <v>1703</v>
      </c>
      <c r="E645" s="1483" t="s">
        <v>13985</v>
      </c>
      <c r="F645" s="681" t="s">
        <v>13986</v>
      </c>
      <c r="G645" s="1473" t="s">
        <v>7096</v>
      </c>
      <c r="I645" s="1475">
        <f>B645+180</f>
        <v>45196</v>
      </c>
    </row>
    <row r="646" spans="2:9" s="224" customFormat="1" ht="16.5" thickBot="1">
      <c r="B646" s="1046"/>
      <c r="C646" s="549" t="s">
        <v>201</v>
      </c>
      <c r="D646" s="718">
        <f>MEDIAN(D643:D645)</f>
        <v>2149</v>
      </c>
      <c r="E646" s="551"/>
      <c r="F646" s="552"/>
      <c r="G646" s="553"/>
    </row>
    <row r="647" spans="2:9" s="224" customFormat="1" ht="13.5" thickBot="1"/>
    <row r="648" spans="2:9" s="224" customFormat="1" ht="15.75">
      <c r="B648" s="422" t="s">
        <v>7275</v>
      </c>
      <c r="C648" s="689" t="str">
        <f>C513</f>
        <v>CURVA 90º COM BOLSAS E JUNTA ELÁSTICA PN 10 - DN 150 MM</v>
      </c>
      <c r="D648" s="423"/>
      <c r="E648" s="424"/>
      <c r="F648" s="421"/>
      <c r="G648" s="358" t="s">
        <v>23</v>
      </c>
    </row>
    <row r="649" spans="2:9" s="224" customFormat="1" ht="31.5">
      <c r="B649" s="542" t="s">
        <v>195</v>
      </c>
      <c r="C649" s="543" t="s">
        <v>196</v>
      </c>
      <c r="D649" s="544" t="s">
        <v>197</v>
      </c>
      <c r="E649" s="545" t="s">
        <v>198</v>
      </c>
      <c r="F649" s="546" t="s">
        <v>199</v>
      </c>
      <c r="G649" s="547" t="s">
        <v>200</v>
      </c>
    </row>
    <row r="650" spans="2:9" s="1474" customFormat="1">
      <c r="B650" s="1470">
        <v>45014</v>
      </c>
      <c r="C650" s="1471" t="s">
        <v>7097</v>
      </c>
      <c r="D650" s="1472">
        <v>490</v>
      </c>
      <c r="E650" s="1440" t="s">
        <v>7098</v>
      </c>
      <c r="F650" s="681" t="s">
        <v>7099</v>
      </c>
      <c r="G650" s="1473" t="s">
        <v>7100</v>
      </c>
      <c r="I650" s="1475">
        <f>B650+180</f>
        <v>45194</v>
      </c>
    </row>
    <row r="651" spans="2:9" s="1474" customFormat="1">
      <c r="B651" s="1470">
        <v>45015</v>
      </c>
      <c r="C651" s="1471" t="s">
        <v>13981</v>
      </c>
      <c r="D651" s="1472">
        <v>648</v>
      </c>
      <c r="E651" s="1483" t="s">
        <v>13982</v>
      </c>
      <c r="F651" s="681" t="s">
        <v>13983</v>
      </c>
      <c r="G651" s="1473" t="s">
        <v>7058</v>
      </c>
      <c r="I651" s="1475">
        <f>B651+180</f>
        <v>45195</v>
      </c>
    </row>
    <row r="652" spans="2:9" s="1474" customFormat="1">
      <c r="B652" s="1470">
        <v>45016</v>
      </c>
      <c r="C652" s="1471" t="s">
        <v>7095</v>
      </c>
      <c r="D652" s="1472">
        <v>510</v>
      </c>
      <c r="E652" s="1483" t="s">
        <v>13985</v>
      </c>
      <c r="F652" s="681" t="s">
        <v>13986</v>
      </c>
      <c r="G652" s="1473" t="s">
        <v>7096</v>
      </c>
      <c r="I652" s="1475">
        <f>B652+180</f>
        <v>45196</v>
      </c>
    </row>
    <row r="653" spans="2:9" s="224" customFormat="1" ht="16.5" thickBot="1">
      <c r="B653" s="1046"/>
      <c r="C653" s="549" t="s">
        <v>201</v>
      </c>
      <c r="D653" s="718">
        <f>MEDIAN(D650:D652)</f>
        <v>510</v>
      </c>
      <c r="E653" s="551"/>
      <c r="F653" s="552"/>
      <c r="G653" s="553"/>
    </row>
    <row r="654" spans="2:9" s="224" customFormat="1" ht="13.5" thickBot="1"/>
    <row r="655" spans="2:9" s="224" customFormat="1" ht="15.75">
      <c r="B655" s="422" t="s">
        <v>7276</v>
      </c>
      <c r="C655" s="689" t="str">
        <f>C514</f>
        <v>PARAFUSO/PORCA (16 MM) PARA FLANGE</v>
      </c>
      <c r="D655" s="423"/>
      <c r="E655" s="424"/>
      <c r="F655" s="421"/>
      <c r="G655" s="358" t="s">
        <v>23</v>
      </c>
    </row>
    <row r="656" spans="2:9" s="224" customFormat="1" ht="31.5">
      <c r="B656" s="542" t="s">
        <v>195</v>
      </c>
      <c r="C656" s="543" t="s">
        <v>196</v>
      </c>
      <c r="D656" s="544" t="s">
        <v>197</v>
      </c>
      <c r="E656" s="545" t="s">
        <v>198</v>
      </c>
      <c r="F656" s="546" t="s">
        <v>199</v>
      </c>
      <c r="G656" s="547" t="s">
        <v>200</v>
      </c>
    </row>
    <row r="657" spans="2:9" s="1474" customFormat="1">
      <c r="B657" s="1470">
        <v>45014</v>
      </c>
      <c r="C657" s="1471" t="s">
        <v>7097</v>
      </c>
      <c r="D657" s="1472">
        <v>16</v>
      </c>
      <c r="E657" s="1440" t="s">
        <v>7098</v>
      </c>
      <c r="F657" s="681" t="s">
        <v>7099</v>
      </c>
      <c r="G657" s="1473" t="s">
        <v>7100</v>
      </c>
      <c r="I657" s="1475">
        <f>B657+180</f>
        <v>45194</v>
      </c>
    </row>
    <row r="658" spans="2:9" s="1474" customFormat="1">
      <c r="B658" s="1470">
        <v>45015</v>
      </c>
      <c r="C658" s="1471" t="s">
        <v>13981</v>
      </c>
      <c r="D658" s="1472">
        <v>8.9</v>
      </c>
      <c r="E658" s="1483" t="s">
        <v>13982</v>
      </c>
      <c r="F658" s="681" t="s">
        <v>13983</v>
      </c>
      <c r="G658" s="1473" t="s">
        <v>7058</v>
      </c>
      <c r="I658" s="1475">
        <f>B658+180</f>
        <v>45195</v>
      </c>
    </row>
    <row r="659" spans="2:9" s="1474" customFormat="1">
      <c r="B659" s="1470">
        <v>45016</v>
      </c>
      <c r="C659" s="1471" t="s">
        <v>7095</v>
      </c>
      <c r="D659" s="1472">
        <v>12</v>
      </c>
      <c r="E659" s="1483" t="s">
        <v>13985</v>
      </c>
      <c r="F659" s="681" t="s">
        <v>13986</v>
      </c>
      <c r="G659" s="1473" t="s">
        <v>7096</v>
      </c>
      <c r="I659" s="1475">
        <f>B659+180</f>
        <v>45196</v>
      </c>
    </row>
    <row r="660" spans="2:9" s="224" customFormat="1" ht="16.5" thickBot="1">
      <c r="B660" s="1046"/>
      <c r="C660" s="549" t="s">
        <v>201</v>
      </c>
      <c r="D660" s="718">
        <f>MEDIAN(D657:D659)</f>
        <v>12</v>
      </c>
      <c r="E660" s="551"/>
      <c r="F660" s="552"/>
      <c r="G660" s="553"/>
    </row>
    <row r="661" spans="2:9" s="224" customFormat="1" ht="13.5" thickBot="1"/>
    <row r="662" spans="2:9" s="224" customFormat="1" ht="15.75">
      <c r="B662" s="422" t="s">
        <v>7277</v>
      </c>
      <c r="C662" s="689" t="str">
        <f>C515</f>
        <v>PARAFUSO/PORCA (20 MM) PARA FLANGE</v>
      </c>
      <c r="D662" s="423"/>
      <c r="E662" s="424"/>
      <c r="F662" s="421"/>
      <c r="G662" s="358" t="s">
        <v>23</v>
      </c>
    </row>
    <row r="663" spans="2:9" s="224" customFormat="1" ht="31.5">
      <c r="B663" s="542" t="s">
        <v>195</v>
      </c>
      <c r="C663" s="543" t="s">
        <v>196</v>
      </c>
      <c r="D663" s="544" t="s">
        <v>197</v>
      </c>
      <c r="E663" s="545" t="s">
        <v>198</v>
      </c>
      <c r="F663" s="546" t="s">
        <v>199</v>
      </c>
      <c r="G663" s="547" t="s">
        <v>200</v>
      </c>
    </row>
    <row r="664" spans="2:9" s="1474" customFormat="1">
      <c r="B664" s="1470">
        <v>45014</v>
      </c>
      <c r="C664" s="1471" t="s">
        <v>7097</v>
      </c>
      <c r="D664" s="1472">
        <v>21</v>
      </c>
      <c r="E664" s="1440" t="s">
        <v>7098</v>
      </c>
      <c r="F664" s="681" t="s">
        <v>7099</v>
      </c>
      <c r="G664" s="1473" t="s">
        <v>7100</v>
      </c>
      <c r="I664" s="1475">
        <f>B664+180</f>
        <v>45194</v>
      </c>
    </row>
    <row r="665" spans="2:9" s="1474" customFormat="1">
      <c r="B665" s="1470">
        <v>45015</v>
      </c>
      <c r="C665" s="1471" t="s">
        <v>13981</v>
      </c>
      <c r="D665" s="1472">
        <v>8.9</v>
      </c>
      <c r="E665" s="1483" t="s">
        <v>13982</v>
      </c>
      <c r="F665" s="681" t="s">
        <v>13983</v>
      </c>
      <c r="G665" s="1473" t="s">
        <v>7058</v>
      </c>
      <c r="I665" s="1475">
        <f>B665+180</f>
        <v>45195</v>
      </c>
    </row>
    <row r="666" spans="2:9" s="1474" customFormat="1">
      <c r="B666" s="1470">
        <v>45016</v>
      </c>
      <c r="C666" s="1471" t="s">
        <v>7095</v>
      </c>
      <c r="D666" s="1472">
        <v>17.899999999999999</v>
      </c>
      <c r="E666" s="1483" t="s">
        <v>13985</v>
      </c>
      <c r="F666" s="681" t="s">
        <v>13986</v>
      </c>
      <c r="G666" s="1473" t="s">
        <v>7096</v>
      </c>
      <c r="I666" s="1475">
        <f>B666+180</f>
        <v>45196</v>
      </c>
    </row>
    <row r="667" spans="2:9" s="224" customFormat="1" ht="16.5" thickBot="1">
      <c r="B667" s="1046"/>
      <c r="C667" s="549" t="s">
        <v>201</v>
      </c>
      <c r="D667" s="718">
        <f>MEDIAN(D664:D666)</f>
        <v>17.899999999999999</v>
      </c>
      <c r="E667" s="551"/>
      <c r="F667" s="552"/>
      <c r="G667" s="553"/>
    </row>
    <row r="668" spans="2:9" s="224" customFormat="1" ht="13.5" thickBot="1"/>
    <row r="669" spans="2:9" s="224" customFormat="1" ht="15.75">
      <c r="B669" s="422" t="s">
        <v>7278</v>
      </c>
      <c r="C669" s="689" t="str">
        <f>C516</f>
        <v>ARRUELA DE VEDAÇÃO PARA FLANGE DN 80 MM</v>
      </c>
      <c r="D669" s="423"/>
      <c r="E669" s="424"/>
      <c r="F669" s="421"/>
      <c r="G669" s="358" t="s">
        <v>23</v>
      </c>
    </row>
    <row r="670" spans="2:9" s="224" customFormat="1" ht="31.5">
      <c r="B670" s="542" t="s">
        <v>195</v>
      </c>
      <c r="C670" s="543" t="s">
        <v>196</v>
      </c>
      <c r="D670" s="544" t="s">
        <v>197</v>
      </c>
      <c r="E670" s="545" t="s">
        <v>198</v>
      </c>
      <c r="F670" s="546" t="s">
        <v>199</v>
      </c>
      <c r="G670" s="547" t="s">
        <v>200</v>
      </c>
    </row>
    <row r="671" spans="2:9" s="1474" customFormat="1">
      <c r="B671" s="1470">
        <v>45014</v>
      </c>
      <c r="C671" s="1471" t="s">
        <v>7097</v>
      </c>
      <c r="D671" s="1472">
        <v>4.5999999999999996</v>
      </c>
      <c r="E671" s="1440" t="s">
        <v>7098</v>
      </c>
      <c r="F671" s="681" t="s">
        <v>7099</v>
      </c>
      <c r="G671" s="1473" t="s">
        <v>7100</v>
      </c>
      <c r="I671" s="1475">
        <f>B671+180</f>
        <v>45194</v>
      </c>
    </row>
    <row r="672" spans="2:9" s="1474" customFormat="1">
      <c r="B672" s="1470">
        <v>45015</v>
      </c>
      <c r="C672" s="1471" t="s">
        <v>13981</v>
      </c>
      <c r="D672" s="1472">
        <v>2.2000000000000002</v>
      </c>
      <c r="E672" s="1483" t="s">
        <v>13982</v>
      </c>
      <c r="F672" s="681" t="s">
        <v>13983</v>
      </c>
      <c r="G672" s="1473" t="s">
        <v>7058</v>
      </c>
      <c r="I672" s="1475">
        <f>B672+180</f>
        <v>45195</v>
      </c>
    </row>
    <row r="673" spans="2:9" s="1474" customFormat="1">
      <c r="B673" s="1470">
        <v>45016</v>
      </c>
      <c r="C673" s="1471" t="s">
        <v>7095</v>
      </c>
      <c r="D673" s="1472">
        <v>5</v>
      </c>
      <c r="E673" s="1483" t="s">
        <v>13985</v>
      </c>
      <c r="F673" s="681" t="s">
        <v>13986</v>
      </c>
      <c r="G673" s="1473" t="s">
        <v>7096</v>
      </c>
      <c r="I673" s="1475">
        <f>B673+180</f>
        <v>45196</v>
      </c>
    </row>
    <row r="674" spans="2:9" s="224" customFormat="1" ht="16.5" thickBot="1">
      <c r="B674" s="1046"/>
      <c r="C674" s="549" t="s">
        <v>201</v>
      </c>
      <c r="D674" s="718">
        <f>MEDIAN(D671:D673)</f>
        <v>4.5999999999999996</v>
      </c>
      <c r="E674" s="551"/>
      <c r="F674" s="552"/>
      <c r="G674" s="553"/>
    </row>
    <row r="675" spans="2:9" s="224" customFormat="1" ht="13.5" thickBot="1"/>
    <row r="676" spans="2:9" s="224" customFormat="1" ht="15.75">
      <c r="B676" s="422" t="s">
        <v>7279</v>
      </c>
      <c r="C676" s="689" t="str">
        <f>C517</f>
        <v>ARRUELA DE VEDAÇÃO PARA FLANGE DN 100 MM</v>
      </c>
      <c r="D676" s="423"/>
      <c r="E676" s="424"/>
      <c r="F676" s="421"/>
      <c r="G676" s="358" t="s">
        <v>23</v>
      </c>
    </row>
    <row r="677" spans="2:9" s="224" customFormat="1" ht="31.5">
      <c r="B677" s="542" t="s">
        <v>195</v>
      </c>
      <c r="C677" s="543" t="s">
        <v>196</v>
      </c>
      <c r="D677" s="544" t="s">
        <v>197</v>
      </c>
      <c r="E677" s="545" t="s">
        <v>198</v>
      </c>
      <c r="F677" s="546" t="s">
        <v>199</v>
      </c>
      <c r="G677" s="547" t="s">
        <v>200</v>
      </c>
    </row>
    <row r="678" spans="2:9" s="1474" customFormat="1">
      <c r="B678" s="1470">
        <v>45014</v>
      </c>
      <c r="C678" s="1471" t="s">
        <v>7097</v>
      </c>
      <c r="D678" s="1472">
        <v>4.8</v>
      </c>
      <c r="E678" s="1440" t="s">
        <v>7098</v>
      </c>
      <c r="F678" s="681" t="s">
        <v>7099</v>
      </c>
      <c r="G678" s="1473" t="s">
        <v>7100</v>
      </c>
      <c r="I678" s="1475">
        <f>B678+180</f>
        <v>45194</v>
      </c>
    </row>
    <row r="679" spans="2:9" s="1474" customFormat="1">
      <c r="B679" s="1470">
        <v>45015</v>
      </c>
      <c r="C679" s="1471" t="s">
        <v>13981</v>
      </c>
      <c r="D679" s="1472">
        <v>3.21</v>
      </c>
      <c r="E679" s="1483" t="s">
        <v>13982</v>
      </c>
      <c r="F679" s="681" t="s">
        <v>13983</v>
      </c>
      <c r="G679" s="1473" t="s">
        <v>7058</v>
      </c>
      <c r="I679" s="1475">
        <f>B679+180</f>
        <v>45195</v>
      </c>
    </row>
    <row r="680" spans="2:9" s="1474" customFormat="1">
      <c r="B680" s="1470">
        <v>45016</v>
      </c>
      <c r="C680" s="1471" t="s">
        <v>7095</v>
      </c>
      <c r="D680" s="1472">
        <v>5.2</v>
      </c>
      <c r="E680" s="1483" t="s">
        <v>13985</v>
      </c>
      <c r="F680" s="681" t="s">
        <v>13986</v>
      </c>
      <c r="G680" s="1473" t="s">
        <v>7096</v>
      </c>
      <c r="I680" s="1475">
        <f>B680+180</f>
        <v>45196</v>
      </c>
    </row>
    <row r="681" spans="2:9" s="224" customFormat="1" ht="16.5" thickBot="1">
      <c r="B681" s="1046"/>
      <c r="C681" s="549" t="s">
        <v>201</v>
      </c>
      <c r="D681" s="718">
        <f>MEDIAN(D678:D680)</f>
        <v>4.8</v>
      </c>
      <c r="E681" s="551"/>
      <c r="F681" s="552"/>
      <c r="G681" s="553"/>
    </row>
    <row r="682" spans="2:9" s="224" customFormat="1" ht="13.5" thickBot="1"/>
    <row r="683" spans="2:9" s="224" customFormat="1" ht="15.75">
      <c r="B683" s="422" t="s">
        <v>7280</v>
      </c>
      <c r="C683" s="689" t="str">
        <f>C518</f>
        <v>ARRUELA DE VEDAÇÃO PARA FLANGE DN 150 MM</v>
      </c>
      <c r="D683" s="423"/>
      <c r="E683" s="424"/>
      <c r="F683" s="421"/>
      <c r="G683" s="358" t="s">
        <v>23</v>
      </c>
    </row>
    <row r="684" spans="2:9" s="224" customFormat="1" ht="31.5">
      <c r="B684" s="542" t="s">
        <v>195</v>
      </c>
      <c r="C684" s="543" t="s">
        <v>196</v>
      </c>
      <c r="D684" s="544" t="s">
        <v>197</v>
      </c>
      <c r="E684" s="545" t="s">
        <v>198</v>
      </c>
      <c r="F684" s="546" t="s">
        <v>199</v>
      </c>
      <c r="G684" s="547" t="s">
        <v>200</v>
      </c>
    </row>
    <row r="685" spans="2:9" s="1474" customFormat="1">
      <c r="B685" s="1470">
        <v>45014</v>
      </c>
      <c r="C685" s="1471" t="s">
        <v>7097</v>
      </c>
      <c r="D685" s="1472">
        <v>7</v>
      </c>
      <c r="E685" s="1440" t="s">
        <v>7098</v>
      </c>
      <c r="F685" s="681" t="s">
        <v>7099</v>
      </c>
      <c r="G685" s="1473" t="s">
        <v>7100</v>
      </c>
      <c r="I685" s="1475">
        <f>B685+180</f>
        <v>45194</v>
      </c>
    </row>
    <row r="686" spans="2:9" s="1474" customFormat="1">
      <c r="B686" s="1470">
        <v>45015</v>
      </c>
      <c r="C686" s="1471" t="s">
        <v>13981</v>
      </c>
      <c r="D686" s="1472">
        <v>3.95</v>
      </c>
      <c r="E686" s="1483" t="s">
        <v>13982</v>
      </c>
      <c r="F686" s="681" t="s">
        <v>13983</v>
      </c>
      <c r="G686" s="1473" t="s">
        <v>7058</v>
      </c>
      <c r="I686" s="1475">
        <f>B686+180</f>
        <v>45195</v>
      </c>
    </row>
    <row r="687" spans="2:9" s="1474" customFormat="1">
      <c r="B687" s="1470">
        <v>45016</v>
      </c>
      <c r="C687" s="1471" t="s">
        <v>7095</v>
      </c>
      <c r="D687" s="1472">
        <v>8</v>
      </c>
      <c r="E687" s="1483" t="s">
        <v>13985</v>
      </c>
      <c r="F687" s="681" t="s">
        <v>13986</v>
      </c>
      <c r="G687" s="1473" t="s">
        <v>7096</v>
      </c>
      <c r="I687" s="1475">
        <f>B687+180</f>
        <v>45196</v>
      </c>
    </row>
    <row r="688" spans="2:9" s="224" customFormat="1" ht="16.5" thickBot="1">
      <c r="B688" s="1046"/>
      <c r="C688" s="549" t="s">
        <v>201</v>
      </c>
      <c r="D688" s="718">
        <f>MEDIAN(D685:D687)</f>
        <v>7</v>
      </c>
      <c r="E688" s="551"/>
      <c r="F688" s="552"/>
      <c r="G688" s="553"/>
    </row>
    <row r="689" spans="2:9" s="224" customFormat="1" ht="13.5" thickBot="1"/>
    <row r="690" spans="2:9" s="224" customFormat="1" ht="15.75">
      <c r="B690" s="422" t="s">
        <v>7281</v>
      </c>
      <c r="C690" s="689" t="str">
        <f>C519</f>
        <v>ARRUELA DE VEDAÇÃO PARA FLANGE DN 200 MM</v>
      </c>
      <c r="D690" s="423"/>
      <c r="E690" s="424"/>
      <c r="F690" s="421"/>
      <c r="G690" s="358" t="s">
        <v>23</v>
      </c>
    </row>
    <row r="691" spans="2:9" s="224" customFormat="1" ht="31.5">
      <c r="B691" s="542" t="s">
        <v>195</v>
      </c>
      <c r="C691" s="543" t="s">
        <v>196</v>
      </c>
      <c r="D691" s="544" t="s">
        <v>197</v>
      </c>
      <c r="E691" s="545" t="s">
        <v>198</v>
      </c>
      <c r="F691" s="546" t="s">
        <v>199</v>
      </c>
      <c r="G691" s="547" t="s">
        <v>200</v>
      </c>
    </row>
    <row r="692" spans="2:9" s="1474" customFormat="1">
      <c r="B692" s="1470">
        <v>45014</v>
      </c>
      <c r="C692" s="1471" t="s">
        <v>7097</v>
      </c>
      <c r="D692" s="1472">
        <v>8</v>
      </c>
      <c r="E692" s="1440" t="s">
        <v>7098</v>
      </c>
      <c r="F692" s="681" t="s">
        <v>7099</v>
      </c>
      <c r="G692" s="1473" t="s">
        <v>7100</v>
      </c>
      <c r="I692" s="1475">
        <f>B692+180</f>
        <v>45194</v>
      </c>
    </row>
    <row r="693" spans="2:9" s="1474" customFormat="1">
      <c r="B693" s="1470">
        <v>45015</v>
      </c>
      <c r="C693" s="1471" t="s">
        <v>13981</v>
      </c>
      <c r="D693" s="1472">
        <v>5.23</v>
      </c>
      <c r="E693" s="1483" t="s">
        <v>13982</v>
      </c>
      <c r="F693" s="681" t="s">
        <v>13983</v>
      </c>
      <c r="G693" s="1473" t="s">
        <v>7058</v>
      </c>
      <c r="I693" s="1475">
        <f>B693+180</f>
        <v>45195</v>
      </c>
    </row>
    <row r="694" spans="2:9" s="1474" customFormat="1">
      <c r="B694" s="1470">
        <v>45016</v>
      </c>
      <c r="C694" s="1471" t="s">
        <v>7095</v>
      </c>
      <c r="D694" s="1472">
        <v>9.9</v>
      </c>
      <c r="E694" s="1483" t="s">
        <v>13985</v>
      </c>
      <c r="F694" s="681" t="s">
        <v>13986</v>
      </c>
      <c r="G694" s="1473" t="s">
        <v>7096</v>
      </c>
      <c r="I694" s="1475">
        <f>B694+180</f>
        <v>45196</v>
      </c>
    </row>
    <row r="695" spans="2:9" s="224" customFormat="1" ht="22.5" customHeight="1" thickBot="1">
      <c r="B695" s="1046"/>
      <c r="C695" s="549" t="s">
        <v>201</v>
      </c>
      <c r="D695" s="718">
        <f>MEDIAN(D692:D694)</f>
        <v>8</v>
      </c>
      <c r="E695" s="551"/>
      <c r="F695" s="552"/>
      <c r="G695" s="553"/>
    </row>
    <row r="696" spans="2:9" s="224" customFormat="1" ht="20.25" customHeight="1" thickBot="1"/>
    <row r="697" spans="2:9" s="224" customFormat="1" ht="25.5" customHeight="1">
      <c r="B697" s="333" t="str">
        <f>IF(COUNT($H$13:H697)&lt;10,CONCATENATE("AMM SAA 00",COUNT($H$13:H697)),CONCATENATE("AMM SAA 0",COUNT($H$13:H697)))</f>
        <v>AMM SAA 023</v>
      </c>
      <c r="C697" s="1664" t="s">
        <v>7105</v>
      </c>
      <c r="D697" s="1665"/>
      <c r="E697" s="1665"/>
      <c r="F697" s="1666"/>
      <c r="G697" s="357" t="s">
        <v>23</v>
      </c>
      <c r="H697" s="355">
        <f>G715</f>
        <v>7965.52</v>
      </c>
    </row>
    <row r="698" spans="2:9" s="224" customFormat="1" ht="31.5">
      <c r="B698" s="538" t="s">
        <v>206</v>
      </c>
      <c r="C698" s="1125" t="s">
        <v>184</v>
      </c>
      <c r="D698" s="1125" t="s">
        <v>23</v>
      </c>
      <c r="E698" s="1125" t="s">
        <v>185</v>
      </c>
      <c r="F698" s="1126" t="s">
        <v>186</v>
      </c>
      <c r="G698" s="1127" t="s">
        <v>187</v>
      </c>
    </row>
    <row r="699" spans="2:9" s="224" customFormat="1" ht="15.75">
      <c r="B699" s="1667" t="s">
        <v>188</v>
      </c>
      <c r="C699" s="1668"/>
      <c r="D699" s="1668"/>
      <c r="E699" s="1668"/>
      <c r="F699" s="1668"/>
      <c r="G699" s="1669"/>
    </row>
    <row r="700" spans="2:9" s="224" customFormat="1" ht="24.95" customHeight="1">
      <c r="B700" s="562" t="str">
        <f>B717</f>
        <v>COTAÇÃO 060</v>
      </c>
      <c r="C700" s="844" t="s">
        <v>7106</v>
      </c>
      <c r="D700" s="1052" t="str">
        <f>G717</f>
        <v>UN</v>
      </c>
      <c r="E700" s="1050">
        <v>2</v>
      </c>
      <c r="F700" s="732">
        <f>D722</f>
        <v>616.20000000000005</v>
      </c>
      <c r="G700" s="573">
        <f>TRUNC(E700*F700,2)</f>
        <v>1232.4000000000001</v>
      </c>
    </row>
    <row r="701" spans="2:9" s="224" customFormat="1" ht="24.95" customHeight="1">
      <c r="B701" s="562" t="str">
        <f>B724</f>
        <v>COTAÇÃO 061</v>
      </c>
      <c r="C701" s="844" t="s">
        <v>7080</v>
      </c>
      <c r="D701" s="1052" t="str">
        <f>G724</f>
        <v>UN</v>
      </c>
      <c r="E701" s="1050">
        <v>2</v>
      </c>
      <c r="F701" s="732">
        <f>D729</f>
        <v>580</v>
      </c>
      <c r="G701" s="573">
        <f t="shared" ref="G701:G709" si="20">TRUNC(E701*F701,2)</f>
        <v>1160</v>
      </c>
    </row>
    <row r="702" spans="2:9" s="224" customFormat="1" ht="24.95" customHeight="1">
      <c r="B702" s="562" t="str">
        <f>B731</f>
        <v>COTAÇÃO 062</v>
      </c>
      <c r="C702" s="844" t="s">
        <v>7081</v>
      </c>
      <c r="D702" s="1052" t="str">
        <f>G724</f>
        <v>UN</v>
      </c>
      <c r="E702" s="1050">
        <v>1</v>
      </c>
      <c r="F702" s="732">
        <f>D736</f>
        <v>1395</v>
      </c>
      <c r="G702" s="573">
        <f t="shared" si="20"/>
        <v>1395</v>
      </c>
    </row>
    <row r="703" spans="2:9" s="224" customFormat="1" ht="24.95" customHeight="1">
      <c r="B703" s="562" t="str">
        <f>B738</f>
        <v>COTAÇÃO 063</v>
      </c>
      <c r="C703" s="844" t="s">
        <v>7107</v>
      </c>
      <c r="D703" s="1052" t="str">
        <f>G738</f>
        <v>UN</v>
      </c>
      <c r="E703" s="1050">
        <v>1</v>
      </c>
      <c r="F703" s="732">
        <f>D743</f>
        <v>945.2</v>
      </c>
      <c r="G703" s="573">
        <f t="shared" si="20"/>
        <v>945.2</v>
      </c>
    </row>
    <row r="704" spans="2:9" s="224" customFormat="1" ht="24.95" customHeight="1">
      <c r="B704" s="562" t="str">
        <f>B745</f>
        <v>COTAÇÃO 064</v>
      </c>
      <c r="C704" s="844" t="s">
        <v>7156</v>
      </c>
      <c r="D704" s="1052" t="str">
        <f>G745</f>
        <v>UN</v>
      </c>
      <c r="E704" s="1050">
        <v>1</v>
      </c>
      <c r="F704" s="732">
        <f>D750</f>
        <v>1152</v>
      </c>
      <c r="G704" s="573">
        <f t="shared" si="20"/>
        <v>1152</v>
      </c>
    </row>
    <row r="705" spans="1:9" s="224" customFormat="1" ht="24.95" customHeight="1">
      <c r="B705" s="562" t="str">
        <f>B752</f>
        <v>COTAÇÃO 065</v>
      </c>
      <c r="C705" s="844" t="s">
        <v>7108</v>
      </c>
      <c r="D705" s="1053" t="str">
        <f>G752</f>
        <v>UN</v>
      </c>
      <c r="E705" s="1054">
        <v>1</v>
      </c>
      <c r="F705" s="1055">
        <f>D757</f>
        <v>1120</v>
      </c>
      <c r="G705" s="1056">
        <f t="shared" si="20"/>
        <v>1120</v>
      </c>
    </row>
    <row r="706" spans="1:9" s="224" customFormat="1" ht="24.95" customHeight="1">
      <c r="B706" s="562" t="str">
        <f>B759</f>
        <v>COTAÇÃO 066</v>
      </c>
      <c r="C706" s="1057" t="s">
        <v>7088</v>
      </c>
      <c r="D706" s="1052" t="str">
        <f>G759</f>
        <v>UN</v>
      </c>
      <c r="E706" s="1050">
        <v>16</v>
      </c>
      <c r="F706" s="732">
        <f>D764</f>
        <v>12</v>
      </c>
      <c r="G706" s="573">
        <f t="shared" si="20"/>
        <v>192</v>
      </c>
    </row>
    <row r="707" spans="1:9" s="224" customFormat="1" ht="24.95" customHeight="1">
      <c r="B707" s="562" t="str">
        <f>B766</f>
        <v>COTAÇÃO 067</v>
      </c>
      <c r="C707" s="1057" t="s">
        <v>7089</v>
      </c>
      <c r="D707" s="1052" t="str">
        <f>G766</f>
        <v>UN</v>
      </c>
      <c r="E707" s="1050">
        <v>24</v>
      </c>
      <c r="F707" s="732">
        <f>D771</f>
        <v>17.899999999999999</v>
      </c>
      <c r="G707" s="573">
        <f t="shared" si="20"/>
        <v>429.6</v>
      </c>
    </row>
    <row r="708" spans="1:9" s="224" customFormat="1" ht="24.95" customHeight="1">
      <c r="B708" s="1058" t="str">
        <f>B773</f>
        <v>COTAÇÃO 068</v>
      </c>
      <c r="C708" s="1057" t="s">
        <v>7091</v>
      </c>
      <c r="D708" s="1052" t="s">
        <v>23</v>
      </c>
      <c r="E708" s="1050">
        <v>2</v>
      </c>
      <c r="F708" s="732">
        <f>D778</f>
        <v>4.8</v>
      </c>
      <c r="G708" s="573">
        <f t="shared" si="20"/>
        <v>9.6</v>
      </c>
    </row>
    <row r="709" spans="1:9" s="224" customFormat="1" ht="24.95" customHeight="1">
      <c r="B709" s="1058" t="str">
        <f>B780</f>
        <v>COTAÇÃO 069</v>
      </c>
      <c r="C709" s="1057" t="s">
        <v>7092</v>
      </c>
      <c r="D709" s="1052" t="s">
        <v>23</v>
      </c>
      <c r="E709" s="1050">
        <v>2</v>
      </c>
      <c r="F709" s="732">
        <f>D785</f>
        <v>7</v>
      </c>
      <c r="G709" s="573">
        <f t="shared" si="20"/>
        <v>14</v>
      </c>
    </row>
    <row r="710" spans="1:9" s="224" customFormat="1" ht="32.25" customHeight="1">
      <c r="A710" s="433" t="s">
        <v>451</v>
      </c>
      <c r="B710" s="562">
        <v>318</v>
      </c>
      <c r="C710" s="574" t="str">
        <f>IF($A710="INSUMO",VLOOKUP($B710,'BANCO DE DADOS JAN-23 INS'!$A:$D,2,FALSE),VLOOKUP($B710,'BANCO DE DADOS JAN-23 SERV'!$B:$E,2,FALSE))</f>
        <v>ANEL BORRACHA, PARA TUBO PVC DEFOFO, DN 150 MM (NBR 7665)</v>
      </c>
      <c r="D710" s="571" t="str">
        <f>IF($A710="INSUMO",VLOOKUP($B710,'BANCO DE DADOS JAN-23 INS'!$A:$D,3,FALSE),VLOOKUP($B710,'BANCO DE DADOS JAN-23 SERV'!$B:$E,3,FALSE))</f>
        <v xml:space="preserve">UN    </v>
      </c>
      <c r="E710" s="1230">
        <v>2</v>
      </c>
      <c r="F710" s="575">
        <f>IF($A710="INSUMO",VLOOKUP($B710,'BANCO DE DADOS JAN-23 INS'!$A:$D,4,FALSE),VLOOKUP($B710,'BANCO DE DADOS JAN-23 SERV'!$B:$E,4,FALSE))</f>
        <v>26.97</v>
      </c>
      <c r="G710" s="573">
        <f>TRUNC(E710*F710,2)</f>
        <v>53.94</v>
      </c>
    </row>
    <row r="711" spans="1:9" s="224" customFormat="1" ht="15.75">
      <c r="B711" s="1670" t="s">
        <v>6797</v>
      </c>
      <c r="C711" s="1671"/>
      <c r="D711" s="1680"/>
      <c r="E711" s="1680"/>
      <c r="F711" s="1680"/>
      <c r="G711" s="1681"/>
    </row>
    <row r="712" spans="1:9" s="224" customFormat="1" ht="39.75" customHeight="1">
      <c r="A712" s="433" t="s">
        <v>452</v>
      </c>
      <c r="B712" s="562">
        <v>103091</v>
      </c>
      <c r="C712" s="574" t="str">
        <f>IF($A712="INSUMO",VLOOKUP($B712,'BANCO DE DADOS JAN-23 INS'!$A:$D,2,FALSE),VLOOKUP($B712,'BANCO DE DADOS JAN-23 SERV'!$B:$E,2,FALSE))</f>
        <v>ASSENTAMENTO DE TUBO DE FERRO FUNDIDO PARA REDE DE ÁGUA, DN 150 MM, JUNTA FLANGEADA (NÃO INCLUI O FORNECIMENTO). AF_09/2021</v>
      </c>
      <c r="D712" s="571" t="str">
        <f>IF($A712="INSUMO",VLOOKUP($B712,'BANCO DE DADOS JAN-23 INS'!$A:$D,3,FALSE),VLOOKUP($B712,'BANCO DE DADOS JAN-23 SERV'!$B:$E,3,FALSE))</f>
        <v>M</v>
      </c>
      <c r="E712" s="575">
        <v>1.1000000000000001</v>
      </c>
      <c r="F712" s="575">
        <f>IF($A712="INSUMO",VLOOKUP($B712,'BANCO DE DADOS JAN-23 INS'!$A:$D,4,FALSE),VLOOKUP($B712,'BANCO DE DADOS JAN-23 SERV'!$B:$E,4,FALSE))</f>
        <v>16.73</v>
      </c>
      <c r="G712" s="573">
        <f>TRUNC(E712*F712,2)</f>
        <v>18.399999999999999</v>
      </c>
    </row>
    <row r="713" spans="1:9" s="224" customFormat="1" ht="45">
      <c r="A713" s="433" t="s">
        <v>452</v>
      </c>
      <c r="B713" s="562">
        <v>103106</v>
      </c>
      <c r="C713" s="574" t="str">
        <f>IF($A713="INSUMO",VLOOKUP($B713,'BANCO DE DADOS JAN-23 INS'!$A:$D,2,FALSE),VLOOKUP($B713,'BANCO DE DADOS JAN-23 SERV'!$B:$E,2,FALSE))</f>
        <v>ASSENTAMENTO DE CONEXÃO COM 2 ACESSOS, FERRO FUNDIDO PARA REDE DE ÁGUA, DN  100 MM, JUNTA FLANGEADA (NÃO INCLUI O FORNECIMENTO). AF_09/2021</v>
      </c>
      <c r="D713" s="571" t="str">
        <f>IF($A713="INSUMO",VLOOKUP($B713,'BANCO DE DADOS JAN-23 INS'!$A:$D,3,FALSE),VLOOKUP($B713,'BANCO DE DADOS JAN-23 SERV'!$B:$E,3,FALSE))</f>
        <v>UN</v>
      </c>
      <c r="E713" s="575">
        <v>2</v>
      </c>
      <c r="F713" s="575">
        <f>IF($A713="INSUMO",VLOOKUP($B713,'BANCO DE DADOS JAN-23 INS'!$A:$D,4,FALSE),VLOOKUP($B713,'BANCO DE DADOS JAN-23 SERV'!$B:$E,4,FALSE))</f>
        <v>50.71</v>
      </c>
      <c r="G713" s="573">
        <f>TRUNC(E713*F713,2)</f>
        <v>101.42</v>
      </c>
    </row>
    <row r="714" spans="1:9" s="224" customFormat="1" ht="45.75" thickBot="1">
      <c r="A714" s="433" t="s">
        <v>452</v>
      </c>
      <c r="B714" s="576">
        <v>103107</v>
      </c>
      <c r="C714" s="577" t="str">
        <f>IF($A714="INSUMO",VLOOKUP($B714,'BANCO DE DADOS JAN-23 INS'!$A:$D,2,FALSE),VLOOKUP($B714,'BANCO DE DADOS JAN-23 SERV'!$B:$E,2,FALSE))</f>
        <v>ASSENTAMENTO DE CONEXÃO COM 2 ACESSOS, FERRO FUNDIDO PARA REDE DE ÁGUA, DN  150 MM, JUNTA FLANGEADA (NÃO INCLUI O FORNECIMENTO). AF_09/2021</v>
      </c>
      <c r="D714" s="578" t="str">
        <f>IF($A714="INSUMO",VLOOKUP($B714,'BANCO DE DADOS JAN-23 INS'!$A:$D,3,FALSE),VLOOKUP($B714,'BANCO DE DADOS JAN-23 SERV'!$B:$E,3,FALSE))</f>
        <v>UN</v>
      </c>
      <c r="E714" s="579">
        <v>2</v>
      </c>
      <c r="F714" s="579">
        <f>IF($A714="INSUMO",VLOOKUP($B714,'BANCO DE DADOS JAN-23 INS'!$A:$D,4,FALSE),VLOOKUP($B714,'BANCO DE DADOS JAN-23 SERV'!$B:$E,4,FALSE))</f>
        <v>70.98</v>
      </c>
      <c r="G714" s="581">
        <f>TRUNC(E714*F714,2)</f>
        <v>141.96</v>
      </c>
    </row>
    <row r="715" spans="1:9" s="224" customFormat="1" ht="24.75" customHeight="1" thickBot="1">
      <c r="B715" s="1682" t="s">
        <v>7094</v>
      </c>
      <c r="C715" s="1682"/>
      <c r="D715" s="1682"/>
      <c r="E715" s="1683"/>
      <c r="F715" s="712" t="s">
        <v>190</v>
      </c>
      <c r="G715" s="1045">
        <f>SUM(G700:G710,G712:G714)</f>
        <v>7965.52</v>
      </c>
    </row>
    <row r="716" spans="1:9" s="224" customFormat="1" ht="16.5" thickBot="1">
      <c r="B716" s="1059"/>
      <c r="C716" s="1059"/>
      <c r="D716" s="1059"/>
      <c r="E716" s="1059"/>
      <c r="F716" s="226"/>
      <c r="G716" s="1060"/>
    </row>
    <row r="717" spans="1:9" s="224" customFormat="1" ht="15.75">
      <c r="B717" s="422" t="s">
        <v>7282</v>
      </c>
      <c r="C717" s="689" t="str">
        <f>C700</f>
        <v>TUBO COM FLANGE E BOLSA - PN 10 - DN 150 MM - L: 0,20 M</v>
      </c>
      <c r="D717" s="423"/>
      <c r="E717" s="424"/>
      <c r="F717" s="421"/>
      <c r="G717" s="358" t="s">
        <v>23</v>
      </c>
    </row>
    <row r="718" spans="1:9" s="224" customFormat="1" ht="31.5">
      <c r="B718" s="542" t="s">
        <v>195</v>
      </c>
      <c r="C718" s="543" t="s">
        <v>196</v>
      </c>
      <c r="D718" s="544" t="s">
        <v>197</v>
      </c>
      <c r="E718" s="545" t="s">
        <v>198</v>
      </c>
      <c r="F718" s="546" t="s">
        <v>199</v>
      </c>
      <c r="G718" s="547" t="s">
        <v>200</v>
      </c>
    </row>
    <row r="719" spans="1:9" s="1474" customFormat="1">
      <c r="B719" s="1470">
        <v>45014</v>
      </c>
      <c r="C719" s="1471" t="s">
        <v>7097</v>
      </c>
      <c r="D719" s="1472">
        <v>546</v>
      </c>
      <c r="E719" s="1440" t="s">
        <v>7098</v>
      </c>
      <c r="F719" s="681" t="s">
        <v>7099</v>
      </c>
      <c r="G719" s="1473" t="s">
        <v>7100</v>
      </c>
      <c r="I719" s="1475">
        <f>B719+180</f>
        <v>45194</v>
      </c>
    </row>
    <row r="720" spans="1:9" s="1474" customFormat="1">
      <c r="B720" s="1470">
        <v>45015</v>
      </c>
      <c r="C720" s="1471" t="s">
        <v>13981</v>
      </c>
      <c r="D720" s="1472">
        <v>1415</v>
      </c>
      <c r="E720" s="1483" t="s">
        <v>13982</v>
      </c>
      <c r="F720" s="681" t="s">
        <v>13983</v>
      </c>
      <c r="G720" s="1473" t="s">
        <v>7058</v>
      </c>
      <c r="I720" s="1475">
        <f>B720+180</f>
        <v>45195</v>
      </c>
    </row>
    <row r="721" spans="2:9" s="1474" customFormat="1">
      <c r="B721" s="1470">
        <v>45016</v>
      </c>
      <c r="C721" s="1471" t="s">
        <v>7095</v>
      </c>
      <c r="D721" s="1472">
        <v>616.20000000000005</v>
      </c>
      <c r="E721" s="1483" t="s">
        <v>13985</v>
      </c>
      <c r="F721" s="681" t="s">
        <v>13986</v>
      </c>
      <c r="G721" s="1473" t="s">
        <v>7096</v>
      </c>
      <c r="I721" s="1475">
        <f>B721+180</f>
        <v>45196</v>
      </c>
    </row>
    <row r="722" spans="2:9" s="224" customFormat="1" ht="16.5" thickBot="1">
      <c r="B722" s="1046"/>
      <c r="C722" s="549" t="s">
        <v>201</v>
      </c>
      <c r="D722" s="718">
        <f>MEDIAN(D719:D721)</f>
        <v>616.20000000000005</v>
      </c>
      <c r="E722" s="551"/>
      <c r="F722" s="552"/>
      <c r="G722" s="553"/>
    </row>
    <row r="723" spans="2:9" s="224" customFormat="1" ht="16.5" thickBot="1">
      <c r="B723" s="1059"/>
      <c r="C723" s="1059"/>
      <c r="D723" s="1059"/>
      <c r="E723" s="1059"/>
      <c r="F723" s="226"/>
      <c r="G723" s="227"/>
    </row>
    <row r="724" spans="2:9" s="224" customFormat="1" ht="15.75">
      <c r="B724" s="422" t="s">
        <v>7283</v>
      </c>
      <c r="C724" s="689" t="str">
        <f>C701</f>
        <v>EXTREMIDADE FLANGE E PONTA PN 10 - DN 150 MM - L: 0,35</v>
      </c>
      <c r="D724" s="423"/>
      <c r="E724" s="424"/>
      <c r="F724" s="421"/>
      <c r="G724" s="358" t="s">
        <v>23</v>
      </c>
      <c r="H724" s="1061"/>
    </row>
    <row r="725" spans="2:9" s="224" customFormat="1" ht="31.5">
      <c r="B725" s="542" t="s">
        <v>195</v>
      </c>
      <c r="C725" s="543" t="s">
        <v>196</v>
      </c>
      <c r="D725" s="544" t="s">
        <v>197</v>
      </c>
      <c r="E725" s="545" t="s">
        <v>198</v>
      </c>
      <c r="F725" s="546" t="s">
        <v>199</v>
      </c>
      <c r="G725" s="547" t="s">
        <v>200</v>
      </c>
    </row>
    <row r="726" spans="2:9" s="1474" customFormat="1">
      <c r="B726" s="1470">
        <v>45014</v>
      </c>
      <c r="C726" s="1471" t="s">
        <v>7097</v>
      </c>
      <c r="D726" s="1472">
        <v>580</v>
      </c>
      <c r="E726" s="1440" t="s">
        <v>7098</v>
      </c>
      <c r="F726" s="681" t="s">
        <v>7099</v>
      </c>
      <c r="G726" s="1473" t="s">
        <v>7100</v>
      </c>
      <c r="I726" s="1475">
        <f>B726+180</f>
        <v>45194</v>
      </c>
    </row>
    <row r="727" spans="2:9" s="1474" customFormat="1">
      <c r="B727" s="1470">
        <v>45015</v>
      </c>
      <c r="C727" s="1471" t="s">
        <v>13981</v>
      </c>
      <c r="D727" s="1472">
        <v>816.37</v>
      </c>
      <c r="E727" s="1483" t="s">
        <v>13982</v>
      </c>
      <c r="F727" s="681" t="s">
        <v>13983</v>
      </c>
      <c r="G727" s="1473" t="s">
        <v>7058</v>
      </c>
      <c r="I727" s="1475">
        <f>B727+180</f>
        <v>45195</v>
      </c>
    </row>
    <row r="728" spans="2:9" s="1474" customFormat="1">
      <c r="B728" s="1470">
        <v>45016</v>
      </c>
      <c r="C728" s="1471" t="s">
        <v>7095</v>
      </c>
      <c r="D728" s="1472">
        <v>578</v>
      </c>
      <c r="E728" s="1483" t="s">
        <v>13985</v>
      </c>
      <c r="F728" s="681" t="s">
        <v>13986</v>
      </c>
      <c r="G728" s="1473" t="s">
        <v>7096</v>
      </c>
      <c r="I728" s="1475">
        <f>B728+180</f>
        <v>45196</v>
      </c>
    </row>
    <row r="729" spans="2:9" s="224" customFormat="1" ht="16.5" thickBot="1">
      <c r="B729" s="1046"/>
      <c r="C729" s="549" t="s">
        <v>201</v>
      </c>
      <c r="D729" s="718">
        <f>MEDIAN(D726:D728)</f>
        <v>580</v>
      </c>
      <c r="E729" s="551"/>
      <c r="F729" s="552"/>
      <c r="G729" s="553"/>
    </row>
    <row r="730" spans="2:9" s="224" customFormat="1" ht="16.5" thickBot="1">
      <c r="B730" s="1059"/>
      <c r="C730" s="1059"/>
      <c r="D730" s="1059"/>
      <c r="E730" s="1059"/>
      <c r="F730" s="226"/>
      <c r="G730" s="227"/>
    </row>
    <row r="731" spans="2:9" s="224" customFormat="1" ht="15.75">
      <c r="B731" s="422" t="s">
        <v>7284</v>
      </c>
      <c r="C731" s="689" t="str">
        <f>C702</f>
        <v>JUNTA DE DESMONTAGEM FF PN 10 - DN 150 MM</v>
      </c>
      <c r="D731" s="423"/>
      <c r="E731" s="424"/>
      <c r="F731" s="421"/>
      <c r="G731" s="358" t="s">
        <v>23</v>
      </c>
    </row>
    <row r="732" spans="2:9" s="224" customFormat="1" ht="31.5">
      <c r="B732" s="542" t="s">
        <v>195</v>
      </c>
      <c r="C732" s="543" t="s">
        <v>196</v>
      </c>
      <c r="D732" s="544" t="s">
        <v>197</v>
      </c>
      <c r="E732" s="545" t="s">
        <v>198</v>
      </c>
      <c r="F732" s="546" t="s">
        <v>199</v>
      </c>
      <c r="G732" s="547" t="s">
        <v>200</v>
      </c>
    </row>
    <row r="733" spans="2:9" s="1474" customFormat="1">
      <c r="B733" s="1470">
        <v>45014</v>
      </c>
      <c r="C733" s="1471" t="s">
        <v>7097</v>
      </c>
      <c r="D733" s="1472">
        <v>950</v>
      </c>
      <c r="E733" s="1440" t="s">
        <v>7098</v>
      </c>
      <c r="F733" s="681" t="s">
        <v>7099</v>
      </c>
      <c r="G733" s="1473" t="s">
        <v>7100</v>
      </c>
      <c r="I733" s="1475">
        <f>B733+180</f>
        <v>45194</v>
      </c>
    </row>
    <row r="734" spans="2:9" s="1474" customFormat="1">
      <c r="B734" s="1470">
        <v>45015</v>
      </c>
      <c r="C734" s="1471" t="s">
        <v>13981</v>
      </c>
      <c r="D734" s="1472">
        <v>1400</v>
      </c>
      <c r="E734" s="1483" t="s">
        <v>13982</v>
      </c>
      <c r="F734" s="681" t="s">
        <v>13983</v>
      </c>
      <c r="G734" s="1473" t="s">
        <v>7058</v>
      </c>
      <c r="I734" s="1475">
        <f>B734+180</f>
        <v>45195</v>
      </c>
    </row>
    <row r="735" spans="2:9" s="1474" customFormat="1">
      <c r="B735" s="1470">
        <v>45016</v>
      </c>
      <c r="C735" s="1471" t="s">
        <v>7095</v>
      </c>
      <c r="D735" s="1472">
        <v>1395</v>
      </c>
      <c r="E735" s="1483" t="s">
        <v>13985</v>
      </c>
      <c r="F735" s="681" t="s">
        <v>13986</v>
      </c>
      <c r="G735" s="1473" t="s">
        <v>7096</v>
      </c>
      <c r="I735" s="1475">
        <f>B735+180</f>
        <v>45196</v>
      </c>
    </row>
    <row r="736" spans="2:9" s="224" customFormat="1" ht="16.5" thickBot="1">
      <c r="B736" s="1046"/>
      <c r="C736" s="549" t="s">
        <v>201</v>
      </c>
      <c r="D736" s="718">
        <f>MEDIAN(D733:D735)</f>
        <v>1395</v>
      </c>
      <c r="E736" s="551"/>
      <c r="F736" s="552"/>
      <c r="G736" s="553"/>
    </row>
    <row r="737" spans="2:9" s="224" customFormat="1" ht="16.5" thickBot="1">
      <c r="B737" s="1059"/>
      <c r="C737" s="1059"/>
      <c r="D737" s="1059"/>
      <c r="E737" s="1059"/>
      <c r="F737" s="226"/>
      <c r="G737" s="227"/>
    </row>
    <row r="738" spans="2:9" s="224" customFormat="1" ht="15.75">
      <c r="B738" s="422" t="s">
        <v>7285</v>
      </c>
      <c r="C738" s="689" t="str">
        <f>C703</f>
        <v>TÊ FF PN 10 - DN 150 X 100 MM</v>
      </c>
      <c r="D738" s="423"/>
      <c r="E738" s="424"/>
      <c r="F738" s="421"/>
      <c r="G738" s="358" t="s">
        <v>23</v>
      </c>
    </row>
    <row r="739" spans="2:9" s="224" customFormat="1" ht="31.5">
      <c r="B739" s="542" t="s">
        <v>195</v>
      </c>
      <c r="C739" s="543" t="s">
        <v>196</v>
      </c>
      <c r="D739" s="544" t="s">
        <v>197</v>
      </c>
      <c r="E739" s="545" t="s">
        <v>198</v>
      </c>
      <c r="F739" s="546" t="s">
        <v>199</v>
      </c>
      <c r="G739" s="547" t="s">
        <v>200</v>
      </c>
    </row>
    <row r="740" spans="2:9" s="1474" customFormat="1">
      <c r="B740" s="1470">
        <v>45015</v>
      </c>
      <c r="C740" s="1471" t="s">
        <v>13981</v>
      </c>
      <c r="D740" s="1472">
        <v>1400</v>
      </c>
      <c r="E740" s="1483" t="s">
        <v>13982</v>
      </c>
      <c r="F740" s="681" t="s">
        <v>13983</v>
      </c>
      <c r="G740" s="1473" t="s">
        <v>7058</v>
      </c>
      <c r="I740" s="1475">
        <f>B740+180</f>
        <v>45195</v>
      </c>
    </row>
    <row r="741" spans="2:9" s="1474" customFormat="1">
      <c r="B741" s="1470">
        <v>45016</v>
      </c>
      <c r="C741" s="1471" t="s">
        <v>7095</v>
      </c>
      <c r="D741" s="1472">
        <v>945.2</v>
      </c>
      <c r="E741" s="1483" t="s">
        <v>13985</v>
      </c>
      <c r="F741" s="681" t="s">
        <v>13986</v>
      </c>
      <c r="G741" s="1473" t="s">
        <v>7096</v>
      </c>
      <c r="I741" s="1475">
        <f>B741+180</f>
        <v>45196</v>
      </c>
    </row>
    <row r="742" spans="2:9" s="1474" customFormat="1">
      <c r="B742" s="1470">
        <v>45019</v>
      </c>
      <c r="C742" s="1471" t="s">
        <v>14225</v>
      </c>
      <c r="D742" s="1472">
        <v>678.48</v>
      </c>
      <c r="E742" s="1440" t="s">
        <v>14226</v>
      </c>
      <c r="F742" s="681" t="s">
        <v>14227</v>
      </c>
      <c r="G742" s="1473" t="s">
        <v>14228</v>
      </c>
      <c r="I742" s="1475">
        <f>B742+180</f>
        <v>45199</v>
      </c>
    </row>
    <row r="743" spans="2:9" s="224" customFormat="1" ht="16.5" thickBot="1">
      <c r="B743" s="1046"/>
      <c r="C743" s="549" t="s">
        <v>201</v>
      </c>
      <c r="D743" s="718">
        <f>MEDIAN(D740:D742)</f>
        <v>945.2</v>
      </c>
      <c r="E743" s="551"/>
      <c r="F743" s="552"/>
      <c r="G743" s="553"/>
    </row>
    <row r="744" spans="2:9" s="224" customFormat="1" ht="16.5" thickBot="1">
      <c r="B744" s="1059"/>
      <c r="C744" s="1059"/>
      <c r="D744" s="1059"/>
      <c r="E744" s="1059"/>
      <c r="F744" s="226"/>
      <c r="G744" s="227"/>
    </row>
    <row r="745" spans="2:9" s="224" customFormat="1" ht="15.75">
      <c r="B745" s="422" t="s">
        <v>7286</v>
      </c>
      <c r="C745" s="689" t="str">
        <f>C704</f>
        <v>VÁLVULA DE GAVETA COM FLANGES E VOLANTE PN 10 - DN 100</v>
      </c>
      <c r="D745" s="423"/>
      <c r="E745" s="424"/>
      <c r="F745" s="421"/>
      <c r="G745" s="358" t="s">
        <v>23</v>
      </c>
    </row>
    <row r="746" spans="2:9" s="224" customFormat="1" ht="31.5">
      <c r="B746" s="542" t="s">
        <v>195</v>
      </c>
      <c r="C746" s="543" t="s">
        <v>196</v>
      </c>
      <c r="D746" s="544" t="s">
        <v>197</v>
      </c>
      <c r="E746" s="545" t="s">
        <v>198</v>
      </c>
      <c r="F746" s="546" t="s">
        <v>199</v>
      </c>
      <c r="G746" s="547" t="s">
        <v>200</v>
      </c>
    </row>
    <row r="747" spans="2:9" s="1474" customFormat="1">
      <c r="B747" s="1470">
        <v>45014</v>
      </c>
      <c r="C747" s="1471" t="s">
        <v>7097</v>
      </c>
      <c r="D747" s="1472">
        <v>980</v>
      </c>
      <c r="E747" s="1440" t="s">
        <v>7098</v>
      </c>
      <c r="F747" s="681" t="s">
        <v>7099</v>
      </c>
      <c r="G747" s="1473" t="s">
        <v>7100</v>
      </c>
      <c r="I747" s="1475">
        <f>B747+180</f>
        <v>45194</v>
      </c>
    </row>
    <row r="748" spans="2:9" s="1474" customFormat="1">
      <c r="B748" s="1470">
        <v>45015</v>
      </c>
      <c r="C748" s="1471" t="s">
        <v>13981</v>
      </c>
      <c r="D748" s="1472">
        <v>1754</v>
      </c>
      <c r="E748" s="1483" t="s">
        <v>13982</v>
      </c>
      <c r="F748" s="681" t="s">
        <v>13983</v>
      </c>
      <c r="G748" s="1473" t="s">
        <v>7058</v>
      </c>
      <c r="I748" s="1475">
        <f>B748+180</f>
        <v>45195</v>
      </c>
    </row>
    <row r="749" spans="2:9" s="1474" customFormat="1">
      <c r="B749" s="1470">
        <v>45016</v>
      </c>
      <c r="C749" s="1471" t="s">
        <v>7095</v>
      </c>
      <c r="D749" s="1472">
        <v>1152</v>
      </c>
      <c r="E749" s="1483" t="s">
        <v>13985</v>
      </c>
      <c r="F749" s="681" t="s">
        <v>13986</v>
      </c>
      <c r="G749" s="1473" t="s">
        <v>7096</v>
      </c>
      <c r="I749" s="1475">
        <f>B749+180</f>
        <v>45196</v>
      </c>
    </row>
    <row r="750" spans="2:9" s="224" customFormat="1" ht="16.5" thickBot="1">
      <c r="B750" s="1046"/>
      <c r="C750" s="549" t="s">
        <v>201</v>
      </c>
      <c r="D750" s="718">
        <f>MEDIAN(D747:D749)</f>
        <v>1152</v>
      </c>
      <c r="E750" s="551"/>
      <c r="F750" s="552"/>
      <c r="G750" s="553"/>
    </row>
    <row r="751" spans="2:9" s="224" customFormat="1" ht="16.5" thickBot="1">
      <c r="B751" s="1059"/>
      <c r="C751" s="1059"/>
      <c r="D751" s="1059"/>
      <c r="E751" s="1059"/>
      <c r="F751" s="226"/>
      <c r="G751" s="1060"/>
    </row>
    <row r="752" spans="2:9" s="224" customFormat="1" ht="15.75">
      <c r="B752" s="422" t="s">
        <v>7287</v>
      </c>
      <c r="C752" s="689" t="str">
        <f>C705</f>
        <v>VÁLVULA VENTOSA DE TRÍPLICE FUNÇÃO PN 10 - DN 100</v>
      </c>
      <c r="D752" s="423"/>
      <c r="E752" s="424"/>
      <c r="F752" s="421"/>
      <c r="G752" s="358" t="s">
        <v>23</v>
      </c>
    </row>
    <row r="753" spans="2:9" s="224" customFormat="1" ht="31.5">
      <c r="B753" s="542" t="s">
        <v>195</v>
      </c>
      <c r="C753" s="543" t="s">
        <v>196</v>
      </c>
      <c r="D753" s="544" t="s">
        <v>197</v>
      </c>
      <c r="E753" s="545" t="s">
        <v>198</v>
      </c>
      <c r="F753" s="546" t="s">
        <v>199</v>
      </c>
      <c r="G753" s="547" t="s">
        <v>200</v>
      </c>
    </row>
    <row r="754" spans="2:9" s="1474" customFormat="1">
      <c r="B754" s="1470">
        <v>45014</v>
      </c>
      <c r="C754" s="1471" t="s">
        <v>7097</v>
      </c>
      <c r="D754" s="1472">
        <v>660</v>
      </c>
      <c r="E754" s="1440" t="s">
        <v>7098</v>
      </c>
      <c r="F754" s="681" t="s">
        <v>7099</v>
      </c>
      <c r="G754" s="1473" t="s">
        <v>7100</v>
      </c>
      <c r="I754" s="1475">
        <f>B754+180</f>
        <v>45194</v>
      </c>
    </row>
    <row r="755" spans="2:9" s="1474" customFormat="1">
      <c r="B755" s="1470">
        <v>45015</v>
      </c>
      <c r="C755" s="1471" t="s">
        <v>13981</v>
      </c>
      <c r="D755" s="1472">
        <v>2600</v>
      </c>
      <c r="E755" s="1483" t="s">
        <v>13982</v>
      </c>
      <c r="F755" s="681" t="s">
        <v>13983</v>
      </c>
      <c r="G755" s="1473" t="s">
        <v>7058</v>
      </c>
      <c r="I755" s="1475">
        <f>B755+180</f>
        <v>45195</v>
      </c>
    </row>
    <row r="756" spans="2:9" s="1474" customFormat="1">
      <c r="B756" s="1470">
        <v>45016</v>
      </c>
      <c r="C756" s="1471" t="s">
        <v>7095</v>
      </c>
      <c r="D756" s="1472">
        <v>1120</v>
      </c>
      <c r="E756" s="1483" t="s">
        <v>13985</v>
      </c>
      <c r="F756" s="681" t="s">
        <v>13986</v>
      </c>
      <c r="G756" s="1473" t="s">
        <v>7096</v>
      </c>
      <c r="I756" s="1475">
        <f>B756+180</f>
        <v>45196</v>
      </c>
    </row>
    <row r="757" spans="2:9" s="224" customFormat="1" ht="16.5" thickBot="1">
      <c r="B757" s="1046"/>
      <c r="C757" s="549" t="s">
        <v>201</v>
      </c>
      <c r="D757" s="718">
        <f>MEDIAN(D754:D756)</f>
        <v>1120</v>
      </c>
      <c r="E757" s="551"/>
      <c r="F757" s="552"/>
      <c r="G757" s="553"/>
    </row>
    <row r="758" spans="2:9" s="224" customFormat="1" ht="13.5" thickBot="1"/>
    <row r="759" spans="2:9" s="224" customFormat="1" ht="15.75">
      <c r="B759" s="422" t="s">
        <v>7288</v>
      </c>
      <c r="C759" s="689" t="str">
        <f>C706</f>
        <v>PARAFUSO/PORCA (16 MM) PARA FLANGE</v>
      </c>
      <c r="D759" s="423"/>
      <c r="E759" s="424"/>
      <c r="F759" s="421"/>
      <c r="G759" s="358" t="s">
        <v>23</v>
      </c>
    </row>
    <row r="760" spans="2:9" s="224" customFormat="1" ht="31.5">
      <c r="B760" s="542" t="s">
        <v>195</v>
      </c>
      <c r="C760" s="543" t="s">
        <v>196</v>
      </c>
      <c r="D760" s="544" t="s">
        <v>197</v>
      </c>
      <c r="E760" s="545" t="s">
        <v>198</v>
      </c>
      <c r="F760" s="546" t="s">
        <v>199</v>
      </c>
      <c r="G760" s="547" t="s">
        <v>200</v>
      </c>
    </row>
    <row r="761" spans="2:9" s="1474" customFormat="1">
      <c r="B761" s="1470">
        <v>45014</v>
      </c>
      <c r="C761" s="1471" t="s">
        <v>7097</v>
      </c>
      <c r="D761" s="1472">
        <v>16</v>
      </c>
      <c r="E761" s="1440" t="s">
        <v>7098</v>
      </c>
      <c r="F761" s="681" t="s">
        <v>7099</v>
      </c>
      <c r="G761" s="1473" t="s">
        <v>7100</v>
      </c>
      <c r="I761" s="1475">
        <f>B761+180</f>
        <v>45194</v>
      </c>
    </row>
    <row r="762" spans="2:9" s="1474" customFormat="1">
      <c r="B762" s="1470">
        <v>45015</v>
      </c>
      <c r="C762" s="1471" t="s">
        <v>13981</v>
      </c>
      <c r="D762" s="1472">
        <v>8.9</v>
      </c>
      <c r="E762" s="1483" t="s">
        <v>13982</v>
      </c>
      <c r="F762" s="681" t="s">
        <v>13983</v>
      </c>
      <c r="G762" s="1473" t="s">
        <v>7058</v>
      </c>
      <c r="I762" s="1475">
        <f>B762+180</f>
        <v>45195</v>
      </c>
    </row>
    <row r="763" spans="2:9" s="1474" customFormat="1">
      <c r="B763" s="1470">
        <v>45016</v>
      </c>
      <c r="C763" s="1471" t="s">
        <v>7095</v>
      </c>
      <c r="D763" s="1472">
        <v>12</v>
      </c>
      <c r="E763" s="1483" t="s">
        <v>13985</v>
      </c>
      <c r="F763" s="681" t="s">
        <v>13986</v>
      </c>
      <c r="G763" s="1473" t="s">
        <v>7096</v>
      </c>
      <c r="I763" s="1475">
        <f>B763+180</f>
        <v>45196</v>
      </c>
    </row>
    <row r="764" spans="2:9" s="224" customFormat="1" ht="16.5" thickBot="1">
      <c r="B764" s="1046"/>
      <c r="C764" s="549" t="s">
        <v>201</v>
      </c>
      <c r="D764" s="718">
        <f>MEDIAN(D761:D763)</f>
        <v>12</v>
      </c>
      <c r="E764" s="551"/>
      <c r="F764" s="552"/>
      <c r="G764" s="553"/>
    </row>
    <row r="765" spans="2:9" s="224" customFormat="1" ht="16.5" thickBot="1">
      <c r="B765" s="1059"/>
      <c r="C765" s="1059"/>
      <c r="D765" s="1059"/>
      <c r="E765" s="1059"/>
      <c r="F765" s="226"/>
      <c r="G765" s="227"/>
    </row>
    <row r="766" spans="2:9" s="224" customFormat="1" ht="15.75">
      <c r="B766" s="422" t="s">
        <v>7289</v>
      </c>
      <c r="C766" s="689" t="str">
        <f>C707</f>
        <v>PARAFUSO/PORCA (20 MM) PARA FLANGE</v>
      </c>
      <c r="D766" s="423"/>
      <c r="E766" s="424"/>
      <c r="F766" s="421"/>
      <c r="G766" s="358" t="s">
        <v>23</v>
      </c>
    </row>
    <row r="767" spans="2:9" s="224" customFormat="1" ht="31.5">
      <c r="B767" s="542" t="s">
        <v>195</v>
      </c>
      <c r="C767" s="543" t="s">
        <v>196</v>
      </c>
      <c r="D767" s="544" t="s">
        <v>197</v>
      </c>
      <c r="E767" s="545" t="s">
        <v>198</v>
      </c>
      <c r="F767" s="546" t="s">
        <v>199</v>
      </c>
      <c r="G767" s="547" t="s">
        <v>200</v>
      </c>
    </row>
    <row r="768" spans="2:9" s="1474" customFormat="1">
      <c r="B768" s="1470">
        <v>45014</v>
      </c>
      <c r="C768" s="1471" t="s">
        <v>7097</v>
      </c>
      <c r="D768" s="1472">
        <v>21</v>
      </c>
      <c r="E768" s="1440" t="s">
        <v>7098</v>
      </c>
      <c r="F768" s="681" t="s">
        <v>7099</v>
      </c>
      <c r="G768" s="1473" t="s">
        <v>7100</v>
      </c>
      <c r="I768" s="1475">
        <f>B768+180</f>
        <v>45194</v>
      </c>
    </row>
    <row r="769" spans="2:9" s="1474" customFormat="1">
      <c r="B769" s="1470">
        <v>45015</v>
      </c>
      <c r="C769" s="1471" t="s">
        <v>13981</v>
      </c>
      <c r="D769" s="1472">
        <v>8.9</v>
      </c>
      <c r="E769" s="1483" t="s">
        <v>13982</v>
      </c>
      <c r="F769" s="681" t="s">
        <v>13983</v>
      </c>
      <c r="G769" s="1473" t="s">
        <v>7058</v>
      </c>
      <c r="I769" s="1475">
        <f>B769+180</f>
        <v>45195</v>
      </c>
    </row>
    <row r="770" spans="2:9" s="1474" customFormat="1">
      <c r="B770" s="1470">
        <v>45016</v>
      </c>
      <c r="C770" s="1471" t="s">
        <v>7095</v>
      </c>
      <c r="D770" s="1472">
        <v>17.899999999999999</v>
      </c>
      <c r="E770" s="1483" t="s">
        <v>13985</v>
      </c>
      <c r="F770" s="681" t="s">
        <v>13986</v>
      </c>
      <c r="G770" s="1473" t="s">
        <v>7096</v>
      </c>
      <c r="I770" s="1475">
        <f>B770+180</f>
        <v>45196</v>
      </c>
    </row>
    <row r="771" spans="2:9" s="224" customFormat="1" ht="16.5" thickBot="1">
      <c r="B771" s="1046"/>
      <c r="C771" s="549" t="s">
        <v>201</v>
      </c>
      <c r="D771" s="718">
        <f>MEDIAN(D768:D770)</f>
        <v>17.899999999999999</v>
      </c>
      <c r="E771" s="551"/>
      <c r="F771" s="552"/>
      <c r="G771" s="553"/>
    </row>
    <row r="772" spans="2:9" s="224" customFormat="1" ht="16.5" thickBot="1">
      <c r="B772" s="1059"/>
      <c r="C772" s="1059"/>
      <c r="D772" s="1059"/>
      <c r="E772" s="1059"/>
      <c r="F772" s="226"/>
      <c r="G772" s="227"/>
    </row>
    <row r="773" spans="2:9" s="224" customFormat="1" ht="15.75">
      <c r="B773" s="422" t="s">
        <v>7290</v>
      </c>
      <c r="C773" s="689" t="str">
        <f>C708</f>
        <v>ARRUELA DE VEDAÇÃO PARA FLANGE DN 100 MM</v>
      </c>
      <c r="D773" s="423"/>
      <c r="E773" s="424"/>
      <c r="F773" s="421"/>
      <c r="G773" s="358" t="s">
        <v>23</v>
      </c>
    </row>
    <row r="774" spans="2:9" s="224" customFormat="1" ht="31.5">
      <c r="B774" s="542" t="s">
        <v>195</v>
      </c>
      <c r="C774" s="543" t="s">
        <v>196</v>
      </c>
      <c r="D774" s="544" t="s">
        <v>197</v>
      </c>
      <c r="E774" s="545" t="s">
        <v>198</v>
      </c>
      <c r="F774" s="546" t="s">
        <v>199</v>
      </c>
      <c r="G774" s="547" t="s">
        <v>200</v>
      </c>
    </row>
    <row r="775" spans="2:9" s="1474" customFormat="1">
      <c r="B775" s="1470">
        <v>45014</v>
      </c>
      <c r="C775" s="1471" t="s">
        <v>7097</v>
      </c>
      <c r="D775" s="1472">
        <v>4.8</v>
      </c>
      <c r="E775" s="1440" t="s">
        <v>7098</v>
      </c>
      <c r="F775" s="681" t="s">
        <v>7099</v>
      </c>
      <c r="G775" s="1473" t="s">
        <v>7100</v>
      </c>
      <c r="I775" s="1475">
        <f>B775+180</f>
        <v>45194</v>
      </c>
    </row>
    <row r="776" spans="2:9" s="1474" customFormat="1">
      <c r="B776" s="1470">
        <v>45015</v>
      </c>
      <c r="C776" s="1471" t="s">
        <v>13981</v>
      </c>
      <c r="D776" s="1472">
        <v>3.21</v>
      </c>
      <c r="E776" s="1483" t="s">
        <v>13982</v>
      </c>
      <c r="F776" s="681" t="s">
        <v>13983</v>
      </c>
      <c r="G776" s="1473" t="s">
        <v>7058</v>
      </c>
      <c r="I776" s="1475">
        <f>B776+180</f>
        <v>45195</v>
      </c>
    </row>
    <row r="777" spans="2:9" s="1474" customFormat="1">
      <c r="B777" s="1470">
        <v>45016</v>
      </c>
      <c r="C777" s="1471" t="s">
        <v>7095</v>
      </c>
      <c r="D777" s="1472">
        <v>5.2</v>
      </c>
      <c r="E777" s="1483" t="s">
        <v>13985</v>
      </c>
      <c r="F777" s="681" t="s">
        <v>13986</v>
      </c>
      <c r="G777" s="1473" t="s">
        <v>7096</v>
      </c>
      <c r="I777" s="1475">
        <f>B777+180</f>
        <v>45196</v>
      </c>
    </row>
    <row r="778" spans="2:9" s="224" customFormat="1" ht="16.5" thickBot="1">
      <c r="B778" s="1046"/>
      <c r="C778" s="549" t="s">
        <v>201</v>
      </c>
      <c r="D778" s="718">
        <f>MEDIAN(D775:D777)</f>
        <v>4.8</v>
      </c>
      <c r="E778" s="551"/>
      <c r="F778" s="552"/>
      <c r="G778" s="553"/>
    </row>
    <row r="779" spans="2:9" s="224" customFormat="1" ht="16.5" thickBot="1">
      <c r="B779" s="1059"/>
      <c r="C779" s="1059"/>
      <c r="D779" s="1059"/>
      <c r="E779" s="1059"/>
      <c r="F779" s="226"/>
      <c r="G779" s="227"/>
    </row>
    <row r="780" spans="2:9" s="224" customFormat="1" ht="15.75">
      <c r="B780" s="422" t="s">
        <v>7291</v>
      </c>
      <c r="C780" s="689" t="str">
        <f>C709</f>
        <v>ARRUELA DE VEDAÇÃO PARA FLANGE DN 150 MM</v>
      </c>
      <c r="D780" s="423"/>
      <c r="E780" s="424"/>
      <c r="F780" s="421"/>
      <c r="G780" s="358" t="s">
        <v>23</v>
      </c>
    </row>
    <row r="781" spans="2:9" s="224" customFormat="1" ht="31.5">
      <c r="B781" s="542" t="s">
        <v>195</v>
      </c>
      <c r="C781" s="543" t="s">
        <v>196</v>
      </c>
      <c r="D781" s="544" t="s">
        <v>197</v>
      </c>
      <c r="E781" s="545" t="s">
        <v>198</v>
      </c>
      <c r="F781" s="546" t="s">
        <v>199</v>
      </c>
      <c r="G781" s="547" t="s">
        <v>200</v>
      </c>
    </row>
    <row r="782" spans="2:9" s="1474" customFormat="1">
      <c r="B782" s="1470">
        <v>45014</v>
      </c>
      <c r="C782" s="1471" t="s">
        <v>7097</v>
      </c>
      <c r="D782" s="1472">
        <v>7</v>
      </c>
      <c r="E782" s="1440" t="s">
        <v>7098</v>
      </c>
      <c r="F782" s="681" t="s">
        <v>7099</v>
      </c>
      <c r="G782" s="1473" t="s">
        <v>7100</v>
      </c>
      <c r="I782" s="1475">
        <f>B782+180</f>
        <v>45194</v>
      </c>
    </row>
    <row r="783" spans="2:9" s="1474" customFormat="1">
      <c r="B783" s="1470">
        <v>45015</v>
      </c>
      <c r="C783" s="1471" t="s">
        <v>13981</v>
      </c>
      <c r="D783" s="1472">
        <v>3.95</v>
      </c>
      <c r="E783" s="1483" t="s">
        <v>13982</v>
      </c>
      <c r="F783" s="681" t="s">
        <v>13983</v>
      </c>
      <c r="G783" s="1473" t="s">
        <v>7058</v>
      </c>
      <c r="I783" s="1475">
        <f>B783+180</f>
        <v>45195</v>
      </c>
    </row>
    <row r="784" spans="2:9" s="1474" customFormat="1">
      <c r="B784" s="1470">
        <v>45016</v>
      </c>
      <c r="C784" s="1471" t="s">
        <v>7095</v>
      </c>
      <c r="D784" s="1472">
        <v>8</v>
      </c>
      <c r="E784" s="1483" t="s">
        <v>13985</v>
      </c>
      <c r="F784" s="681" t="s">
        <v>13986</v>
      </c>
      <c r="G784" s="1473" t="s">
        <v>7096</v>
      </c>
      <c r="I784" s="1475">
        <f>B784+180</f>
        <v>45196</v>
      </c>
    </row>
    <row r="785" spans="1:8" s="224" customFormat="1" ht="16.5" thickBot="1">
      <c r="B785" s="1046"/>
      <c r="C785" s="549" t="s">
        <v>201</v>
      </c>
      <c r="D785" s="718">
        <f>MEDIAN(D782:D784)</f>
        <v>7</v>
      </c>
      <c r="E785" s="551"/>
      <c r="F785" s="552"/>
      <c r="G785" s="553"/>
    </row>
    <row r="786" spans="1:8" s="224" customFormat="1" ht="21" customHeight="1" thickBot="1">
      <c r="B786" s="294"/>
      <c r="C786" s="294"/>
      <c r="D786" s="294"/>
      <c r="E786" s="294"/>
      <c r="F786" s="294"/>
      <c r="G786" s="294"/>
    </row>
    <row r="787" spans="1:8" s="224" customFormat="1" ht="39.75" customHeight="1">
      <c r="B787" s="333" t="str">
        <f>IF(COUNT($H$13:H787)&lt;10,CONCATENATE("AMM SAA 00",COUNT($H$13:H787)),CONCATENATE("AMM SAA 0",COUNT($H$13:H787)))</f>
        <v>AMM SAA 024</v>
      </c>
      <c r="C787" s="1664" t="s">
        <v>7109</v>
      </c>
      <c r="D787" s="1665"/>
      <c r="E787" s="1665"/>
      <c r="F787" s="1666"/>
      <c r="G787" s="357" t="s">
        <v>23</v>
      </c>
      <c r="H787" s="355">
        <f>G797</f>
        <v>1896.85</v>
      </c>
    </row>
    <row r="788" spans="1:8" s="224" customFormat="1" ht="39" customHeight="1">
      <c r="B788" s="538" t="s">
        <v>206</v>
      </c>
      <c r="C788" s="1125" t="s">
        <v>184</v>
      </c>
      <c r="D788" s="1125" t="s">
        <v>23</v>
      </c>
      <c r="E788" s="1125" t="s">
        <v>185</v>
      </c>
      <c r="F788" s="1126" t="s">
        <v>186</v>
      </c>
      <c r="G788" s="1127" t="s">
        <v>187</v>
      </c>
    </row>
    <row r="789" spans="1:8" s="224" customFormat="1" ht="25.5" customHeight="1">
      <c r="B789" s="1667" t="s">
        <v>188</v>
      </c>
      <c r="C789" s="1668"/>
      <c r="D789" s="1668"/>
      <c r="E789" s="1668"/>
      <c r="F789" s="1668"/>
      <c r="G789" s="1669"/>
    </row>
    <row r="790" spans="1:8" s="224" customFormat="1" ht="75">
      <c r="A790" s="433" t="s">
        <v>452</v>
      </c>
      <c r="B790" s="562">
        <v>101239</v>
      </c>
      <c r="C790" s="574" t="str">
        <f>IF($A790="INSUMO",VLOOKUP($B790,'BANCO DE DADOS JAN-23 INS'!$A:$D,2,FALSE),VLOOKUP($B790,'BANCO DE DADOS JAN-23 SERV'!$B:$E,2,FALSE))</f>
        <v>ESCAVAÇÃO VERTICAL A CÉU ABERTO, EM OBRAS DE INFRAESTRUTURA, INCLUINDO CARGA, DESCARGA E TRANSPORTE, EM SOLO DE 1ª CATEGORIA COM ESCAVADEIRA HIDRÁULICA (CAÇAMBA: 0,8 M³ / 111HP), FROTA DE 4 CAMINHÕES BASCULANTES DE 18 M³, DMT DE 1,5 KM E VELOCIDADE MÉDIA18KM/H. AF_05/2020</v>
      </c>
      <c r="D790" s="571" t="str">
        <f>IF($A790="INSUMO",VLOOKUP($B790,'BANCO DE DADOS JAN-23 INS'!$A:$D,3,FALSE),VLOOKUP($B790,'BANCO DE DADOS JAN-23 SERV'!$B:$E,3,FALSE))</f>
        <v>M3</v>
      </c>
      <c r="E790" s="637">
        <f>G801</f>
        <v>9.98</v>
      </c>
      <c r="F790" s="575">
        <f>IF($A790="INSUMO",VLOOKUP($B790,'BANCO DE DADOS JAN-23 INS'!$A:$D,4,FALSE),VLOOKUP($B790,'BANCO DE DADOS JAN-23 SERV'!$B:$E,4,FALSE))</f>
        <v>13.72</v>
      </c>
      <c r="G790" s="573">
        <f t="shared" ref="G790:G796" si="21">TRUNC(E790*F790,2)</f>
        <v>136.91999999999999</v>
      </c>
    </row>
    <row r="791" spans="1:8" s="224" customFormat="1" ht="45">
      <c r="A791" s="433" t="s">
        <v>452</v>
      </c>
      <c r="B791" s="562">
        <v>97083</v>
      </c>
      <c r="C791" s="574" t="str">
        <f>IF($A791="INSUMO",VLOOKUP($B791,'BANCO DE DADOS JAN-23 INS'!$A:$D,2,FALSE),VLOOKUP($B791,'BANCO DE DADOS JAN-23 SERV'!$B:$E,2,FALSE))</f>
        <v>COMPACTAÇÃO MECÂNICA DE SOLO PARA EXECUÇÃO DE RADIER, PISO DE CONCRETO OU LAJE SOBRE SOLO, COM COMPACTADOR DE SOLOS A PERCUSSÃO. AF_09/2021</v>
      </c>
      <c r="D791" s="571" t="str">
        <f>IF($A791="INSUMO",VLOOKUP($B791,'BANCO DE DADOS JAN-23 INS'!$A:$D,3,FALSE),VLOOKUP($B791,'BANCO DE DADOS JAN-23 SERV'!$B:$E,3,FALSE))</f>
        <v>M2</v>
      </c>
      <c r="E791" s="637">
        <f>G802</f>
        <v>6.24</v>
      </c>
      <c r="F791" s="575">
        <f>IF($A791="INSUMO",VLOOKUP($B791,'BANCO DE DADOS JAN-23 INS'!$A:$D,4,FALSE),VLOOKUP($B791,'BANCO DE DADOS JAN-23 SERV'!$B:$E,4,FALSE))</f>
        <v>2.71</v>
      </c>
      <c r="G791" s="573">
        <f t="shared" si="21"/>
        <v>16.91</v>
      </c>
    </row>
    <row r="792" spans="1:8" s="224" customFormat="1" ht="30">
      <c r="A792" s="433" t="s">
        <v>452</v>
      </c>
      <c r="B792" s="562">
        <v>93382</v>
      </c>
      <c r="C792" s="574" t="str">
        <f>IF($A792="INSUMO",VLOOKUP($B792,'BANCO DE DADOS JAN-23 INS'!$A:$D,2,FALSE),VLOOKUP($B792,'BANCO DE DADOS JAN-23 SERV'!$B:$E,2,FALSE))</f>
        <v>REATERRO MANUAL DE VALAS COM COMPACTAÇÃO MECANIZADA. AF_04/2016</v>
      </c>
      <c r="D792" s="571" t="str">
        <f>IF($A792="INSUMO",VLOOKUP($B792,'BANCO DE DADOS JAN-23 INS'!$A:$D,3,FALSE),VLOOKUP($B792,'BANCO DE DADOS JAN-23 SERV'!$B:$E,3,FALSE))</f>
        <v>M3</v>
      </c>
      <c r="E792" s="637">
        <f>G803</f>
        <v>3.0300000000000002</v>
      </c>
      <c r="F792" s="575">
        <f>IF($A792="INSUMO",VLOOKUP($B792,'BANCO DE DADOS JAN-23 INS'!$A:$D,4,FALSE),VLOOKUP($B792,'BANCO DE DADOS JAN-23 SERV'!$B:$E,4,FALSE))</f>
        <v>24.33</v>
      </c>
      <c r="G792" s="573">
        <f t="shared" si="21"/>
        <v>73.709999999999994</v>
      </c>
    </row>
    <row r="793" spans="1:8" s="224" customFormat="1" ht="30">
      <c r="A793" s="433" t="s">
        <v>452</v>
      </c>
      <c r="B793" s="562">
        <v>97101</v>
      </c>
      <c r="C793" s="574" t="str">
        <f>IF($A793="INSUMO",VLOOKUP($B793,'BANCO DE DADOS JAN-23 INS'!$A:$D,2,FALSE),VLOOKUP($B793,'BANCO DE DADOS JAN-23 SERV'!$B:$E,2,FALSE))</f>
        <v>EXECUÇÃO DE RADIER, ESPESSURA DE 10 CM, FCK = 30 MPA, COM USO DE FORMAS EM MADEIRA SERRADA. AF_09/2021</v>
      </c>
      <c r="D793" s="571" t="str">
        <f>IF($A793="INSUMO",VLOOKUP($B793,'BANCO DE DADOS JAN-23 INS'!$A:$D,3,FALSE),VLOOKUP($B793,'BANCO DE DADOS JAN-23 SERV'!$B:$E,3,FALSE))</f>
        <v>M2</v>
      </c>
      <c r="E793" s="637">
        <f>G804</f>
        <v>1.1080000000000001</v>
      </c>
      <c r="F793" s="575">
        <f>IF($A793="INSUMO",VLOOKUP($B793,'BANCO DE DADOS JAN-23 INS'!$A:$D,4,FALSE),VLOOKUP($B793,'BANCO DE DADOS JAN-23 SERV'!$B:$E,4,FALSE))</f>
        <v>226.64</v>
      </c>
      <c r="G793" s="573">
        <f t="shared" si="21"/>
        <v>251.11</v>
      </c>
    </row>
    <row r="794" spans="1:8" s="224" customFormat="1" ht="45">
      <c r="A794" s="433" t="s">
        <v>452</v>
      </c>
      <c r="B794" s="562">
        <v>89478</v>
      </c>
      <c r="C794" s="574" t="str">
        <f>IF($A794="INSUMO",VLOOKUP($B794,'BANCO DE DADOS JAN-23 INS'!$A:$D,2,FALSE),VLOOKUP($B794,'BANCO DE DADOS JAN-23 SERV'!$B:$E,2,FALSE))</f>
        <v>ALVENARIA DE BLOCOS DE CONCRETO ESTRUTURAL 14X19X29 CM (ESPESSURA 14 CM), FBK = 4,5 MPA, UTILIZANDO COLHER DE PEDREIRO. AF_10/2022</v>
      </c>
      <c r="D794" s="571" t="str">
        <f>IF($A794="INSUMO",VLOOKUP($B794,'BANCO DE DADOS JAN-23 INS'!$A:$D,3,FALSE),VLOOKUP($B794,'BANCO DE DADOS JAN-23 SERV'!$B:$E,3,FALSE))</f>
        <v>M2</v>
      </c>
      <c r="E794" s="637">
        <v>10.56</v>
      </c>
      <c r="F794" s="575">
        <f>IF($A794="INSUMO",VLOOKUP($B794,'BANCO DE DADOS JAN-23 INS'!$A:$D,4,FALSE),VLOOKUP($B794,'BANCO DE DADOS JAN-23 SERV'!$B:$E,4,FALSE))</f>
        <v>127.14</v>
      </c>
      <c r="G794" s="573">
        <f t="shared" si="21"/>
        <v>1342.59</v>
      </c>
    </row>
    <row r="795" spans="1:8" s="224" customFormat="1" ht="45">
      <c r="A795" s="433" t="s">
        <v>452</v>
      </c>
      <c r="B795" s="562">
        <v>89849</v>
      </c>
      <c r="C795" s="574" t="str">
        <f>IF($A795="INSUMO",VLOOKUP($B795,'BANCO DE DADOS JAN-23 INS'!$A:$D,2,FALSE),VLOOKUP($B795,'BANCO DE DADOS JAN-23 SERV'!$B:$E,2,FALSE))</f>
        <v>TUBO PVC, SERIE NORMAL, ESGOTO PREDIAL, DN 150 MM, FORNECIDO E INSTALADO EM SUBCOLETOR AÉREO DE ESGOTO SANITÁRIO. AF_08/2022</v>
      </c>
      <c r="D795" s="571" t="str">
        <f>IF($A795="INSUMO",VLOOKUP($B795,'BANCO DE DADOS JAN-23 INS'!$A:$D,3,FALSE),VLOOKUP($B795,'BANCO DE DADOS JAN-23 SERV'!$B:$E,3,FALSE))</f>
        <v>M</v>
      </c>
      <c r="E795" s="637">
        <f>G806</f>
        <v>0.5</v>
      </c>
      <c r="F795" s="575">
        <f>IF($A795="INSUMO",VLOOKUP($B795,'BANCO DE DADOS JAN-23 INS'!$A:$D,4,FALSE),VLOOKUP($B795,'BANCO DE DADOS JAN-23 SERV'!$B:$E,4,FALSE))</f>
        <v>62.85</v>
      </c>
      <c r="G795" s="573">
        <f t="shared" si="21"/>
        <v>31.42</v>
      </c>
    </row>
    <row r="796" spans="1:8" s="224" customFormat="1" ht="30.75" thickBot="1">
      <c r="A796" s="433" t="s">
        <v>452</v>
      </c>
      <c r="B796" s="576">
        <v>102719</v>
      </c>
      <c r="C796" s="577" t="str">
        <f>IF($A796="INSUMO",VLOOKUP($B796,'BANCO DE DADOS JAN-23 INS'!$A:$D,2,FALSE),VLOOKUP($B796,'BANCO DE DADOS JAN-23 SERV'!$B:$E,2,FALSE))</f>
        <v>ENCHIMENTO DE BRITA PARA DRENO, LANÇAMENTO MANUAL. AF_07/2021</v>
      </c>
      <c r="D796" s="578" t="str">
        <f>IF($A796="INSUMO",VLOOKUP($B796,'BANCO DE DADOS JAN-23 INS'!$A:$D,3,FALSE),VLOOKUP($B796,'BANCO DE DADOS JAN-23 SERV'!$B:$E,3,FALSE))</f>
        <v>M3</v>
      </c>
      <c r="E796" s="1076">
        <f>G807</f>
        <v>0.29400000000000004</v>
      </c>
      <c r="F796" s="579">
        <f>IF($A796="INSUMO",VLOOKUP($B796,'BANCO DE DADOS JAN-23 INS'!$A:$D,4,FALSE),VLOOKUP($B796,'BANCO DE DADOS JAN-23 SERV'!$B:$E,4,FALSE))</f>
        <v>150.33000000000001</v>
      </c>
      <c r="G796" s="581">
        <f t="shared" si="21"/>
        <v>44.19</v>
      </c>
    </row>
    <row r="797" spans="1:8" s="224" customFormat="1" ht="29.25" customHeight="1" thickBot="1">
      <c r="B797" s="1657" t="s">
        <v>7110</v>
      </c>
      <c r="C797" s="1657"/>
      <c r="D797" s="1657"/>
      <c r="E797" s="1658"/>
      <c r="F797" s="712" t="s">
        <v>190</v>
      </c>
      <c r="G797" s="1045">
        <f>SUM(G790:G796)</f>
        <v>1896.85</v>
      </c>
    </row>
    <row r="798" spans="1:8" s="224" customFormat="1" ht="27.75" customHeight="1" thickBot="1">
      <c r="B798" s="294"/>
      <c r="C798" s="294"/>
      <c r="D798" s="294"/>
      <c r="E798" s="294"/>
      <c r="F798" s="294"/>
      <c r="G798" s="294"/>
    </row>
    <row r="799" spans="1:8" s="224" customFormat="1" ht="27.75" customHeight="1" thickBot="1">
      <c r="B799" s="1659" t="s">
        <v>3000</v>
      </c>
      <c r="C799" s="1660"/>
      <c r="D799" s="1660"/>
      <c r="E799" s="1660"/>
      <c r="F799" s="1660"/>
      <c r="G799" s="1661"/>
    </row>
    <row r="800" spans="1:8" s="224" customFormat="1" ht="27.75" customHeight="1">
      <c r="B800" s="1064" t="s">
        <v>452</v>
      </c>
      <c r="C800" s="1662" t="s">
        <v>634</v>
      </c>
      <c r="D800" s="1662"/>
      <c r="E800" s="1662" t="s">
        <v>7111</v>
      </c>
      <c r="F800" s="1662"/>
      <c r="G800" s="1065" t="s">
        <v>7112</v>
      </c>
    </row>
    <row r="801" spans="1:8" s="224" customFormat="1" ht="27.75" customHeight="1">
      <c r="B801" s="1066" t="s">
        <v>7113</v>
      </c>
      <c r="C801" s="1663" t="s">
        <v>7114</v>
      </c>
      <c r="D801" s="1663"/>
      <c r="E801" s="1663" t="s">
        <v>7115</v>
      </c>
      <c r="F801" s="1663"/>
      <c r="G801" s="1067">
        <f>TRUNC(6.24*1.6,2)</f>
        <v>9.98</v>
      </c>
    </row>
    <row r="802" spans="1:8" s="224" customFormat="1" ht="27.75" customHeight="1">
      <c r="B802" s="1066" t="s">
        <v>7116</v>
      </c>
      <c r="C802" s="1663" t="s">
        <v>7117</v>
      </c>
      <c r="D802" s="1663"/>
      <c r="E802" s="1663" t="s">
        <v>7118</v>
      </c>
      <c r="F802" s="1663"/>
      <c r="G802" s="1067">
        <f>6.24</f>
        <v>6.24</v>
      </c>
    </row>
    <row r="803" spans="1:8" s="224" customFormat="1" ht="27.75" customHeight="1">
      <c r="B803" s="1066" t="s">
        <v>6246</v>
      </c>
      <c r="C803" s="1663" t="s">
        <v>7119</v>
      </c>
      <c r="D803" s="1663"/>
      <c r="E803" s="1663" t="s">
        <v>7120</v>
      </c>
      <c r="F803" s="1663"/>
      <c r="G803" s="1067">
        <f>9.98-6.95</f>
        <v>3.0300000000000002</v>
      </c>
    </row>
    <row r="804" spans="1:8" s="224" customFormat="1" ht="43.5" customHeight="1">
      <c r="B804" s="1068" t="s">
        <v>7121</v>
      </c>
      <c r="C804" s="1663" t="s">
        <v>7122</v>
      </c>
      <c r="D804" s="1663"/>
      <c r="E804" s="1663" t="s">
        <v>7123</v>
      </c>
      <c r="F804" s="1663"/>
      <c r="G804" s="1069">
        <f>(6.24+4.84)*0.1</f>
        <v>1.1080000000000001</v>
      </c>
    </row>
    <row r="805" spans="1:8" s="224" customFormat="1" ht="27.75" customHeight="1">
      <c r="B805" s="1066" t="s">
        <v>7124</v>
      </c>
      <c r="C805" s="1663" t="s">
        <v>7125</v>
      </c>
      <c r="D805" s="1663"/>
      <c r="E805" s="1663" t="s">
        <v>7126</v>
      </c>
      <c r="F805" s="1663"/>
      <c r="G805" s="1067">
        <f>8.8*1.2</f>
        <v>10.56</v>
      </c>
    </row>
    <row r="806" spans="1:8" s="224" customFormat="1" ht="27.75" customHeight="1">
      <c r="B806" s="1066" t="s">
        <v>7127</v>
      </c>
      <c r="C806" s="1663" t="s">
        <v>7128</v>
      </c>
      <c r="D806" s="1663"/>
      <c r="E806" s="1663" t="s">
        <v>7129</v>
      </c>
      <c r="F806" s="1663"/>
      <c r="G806" s="1067">
        <v>0.5</v>
      </c>
    </row>
    <row r="807" spans="1:8" s="224" customFormat="1" ht="27.75" customHeight="1" thickBot="1">
      <c r="B807" s="1070" t="s">
        <v>7130</v>
      </c>
      <c r="C807" s="1656" t="s">
        <v>7131</v>
      </c>
      <c r="D807" s="1656"/>
      <c r="E807" s="1656" t="s">
        <v>7132</v>
      </c>
      <c r="F807" s="1656"/>
      <c r="G807" s="1071">
        <f>0.196*1.5</f>
        <v>0.29400000000000004</v>
      </c>
    </row>
    <row r="808" spans="1:8" s="224" customFormat="1" ht="24.95" customHeight="1" thickBot="1">
      <c r="B808" s="294"/>
      <c r="C808" s="294"/>
      <c r="D808" s="294"/>
      <c r="E808" s="294"/>
      <c r="F808" s="294"/>
      <c r="G808" s="294"/>
    </row>
    <row r="809" spans="1:8" s="224" customFormat="1" ht="15.75">
      <c r="B809" s="333" t="str">
        <f>IF(COUNT($H$13:H809)&lt;10,CONCATENATE("AMM SAA 00",COUNT($H$13:H809)),CONCATENATE("AMM SAA 0",COUNT($H$13:H809)))</f>
        <v>AMM SAA 025</v>
      </c>
      <c r="C809" s="1664" t="s">
        <v>7133</v>
      </c>
      <c r="D809" s="1665"/>
      <c r="E809" s="1665"/>
      <c r="F809" s="1666"/>
      <c r="G809" s="357" t="s">
        <v>23</v>
      </c>
      <c r="H809" s="355">
        <f>G818</f>
        <v>800.46</v>
      </c>
    </row>
    <row r="810" spans="1:8" s="224" customFormat="1" ht="31.5">
      <c r="B810" s="538" t="s">
        <v>206</v>
      </c>
      <c r="C810" s="1125" t="s">
        <v>184</v>
      </c>
      <c r="D810" s="1125" t="s">
        <v>23</v>
      </c>
      <c r="E810" s="1125" t="s">
        <v>185</v>
      </c>
      <c r="F810" s="1126" t="s">
        <v>186</v>
      </c>
      <c r="G810" s="1127" t="s">
        <v>187</v>
      </c>
    </row>
    <row r="811" spans="1:8" s="224" customFormat="1" ht="15.75">
      <c r="B811" s="1667" t="s">
        <v>188</v>
      </c>
      <c r="C811" s="1668"/>
      <c r="D811" s="1668"/>
      <c r="E811" s="1668"/>
      <c r="F811" s="1668"/>
      <c r="G811" s="1669"/>
    </row>
    <row r="812" spans="1:8" s="224" customFormat="1" ht="45">
      <c r="A812" s="433" t="s">
        <v>452</v>
      </c>
      <c r="B812" s="562">
        <v>101159</v>
      </c>
      <c r="C812" s="574" t="str">
        <f>IF($A812="INSUMO",VLOOKUP($B812,'BANCO DE DADOS JAN-23 INS'!$A:$D,2,FALSE),VLOOKUP($B812,'BANCO DE DADOS JAN-23 SERV'!$B:$E,2,FALSE))</f>
        <v>ALVENARIA DE VEDAÇÃO DE BLOCOS CERÂMICOS MACIÇOS DE 5X10X20CM (ESPESSURA 10CM) E ARGAMASSA DE ASSENTAMENTO COM PREPARO EM BETONEIRA. AF_05/2020</v>
      </c>
      <c r="D812" s="571" t="str">
        <f>IF($A812="INSUMO",VLOOKUP($B812,'BANCO DE DADOS JAN-23 INS'!$A:$D,3,FALSE),VLOOKUP($B812,'BANCO DE DADOS JAN-23 SERV'!$B:$E,3,FALSE))</f>
        <v>M2</v>
      </c>
      <c r="E812" s="1044">
        <v>0.189</v>
      </c>
      <c r="F812" s="575">
        <f>IF($A812="INSUMO",VLOOKUP($B812,'BANCO DE DADOS JAN-23 INS'!$A:$D,4,FALSE),VLOOKUP($B812,'BANCO DE DADOS JAN-23 SERV'!$B:$E,4,FALSE))</f>
        <v>142.63</v>
      </c>
      <c r="G812" s="573">
        <f t="shared" ref="G812:G814" si="22">TRUNC(E812*F812,2)</f>
        <v>26.95</v>
      </c>
    </row>
    <row r="813" spans="1:8" s="224" customFormat="1" ht="45">
      <c r="A813" s="433" t="s">
        <v>452</v>
      </c>
      <c r="B813" s="562">
        <v>87322</v>
      </c>
      <c r="C813" s="574" t="str">
        <f>IF($A813="INSUMO",VLOOKUP($B813,'BANCO DE DADOS JAN-23 INS'!$A:$D,2,FALSE),VLOOKUP($B813,'BANCO DE DADOS JAN-23 SERV'!$B:$E,2,FALSE))</f>
        <v>ARGAMASSA TRAÇO 1:3 (EM VOLUME DE CIMENTO E AREIA GROSSA ÚMIDA) COM ADIÇÃO DE EMULSÃO POLIMÉRICA PARA CHAPISCO ROLADO, PREPARO MECÂNICO COM BETONEIRA 400 L. AF_08/2019</v>
      </c>
      <c r="D813" s="571" t="str">
        <f>IF($A813="INSUMO",VLOOKUP($B813,'BANCO DE DADOS JAN-23 INS'!$A:$D,3,FALSE),VLOOKUP($B813,'BANCO DE DADOS JAN-23 SERV'!$B:$E,3,FALSE))</f>
        <v>M3</v>
      </c>
      <c r="E813" s="1044">
        <v>1E-3</v>
      </c>
      <c r="F813" s="575">
        <f>IF($A813="INSUMO",VLOOKUP($B813,'BANCO DE DADOS JAN-23 INS'!$A:$D,4,FALSE),VLOOKUP($B813,'BANCO DE DADOS JAN-23 SERV'!$B:$E,4,FALSE))</f>
        <v>7142.61</v>
      </c>
      <c r="G813" s="573">
        <f t="shared" si="22"/>
        <v>7.14</v>
      </c>
    </row>
    <row r="814" spans="1:8" s="224" customFormat="1" ht="45">
      <c r="A814" s="433" t="s">
        <v>451</v>
      </c>
      <c r="B814" s="562">
        <v>6240</v>
      </c>
      <c r="C814" s="574" t="str">
        <f>IF($A814="INSUMO",VLOOKUP($B814,'BANCO DE DADOS JAN-23 INS'!$A:$D,2,FALSE),VLOOKUP($B814,'BANCO DE DADOS JAN-23 SERV'!$B:$E,2,FALSE))</f>
        <v>TAMPAO FOFO SIMPLES COM BASE, CLASSE D400 CARGA MAX 40 T, REDONDO, TAMPA 600 MM, REDE PLUVIAL/ESGOTO (COM INSCRICAO EM RELEVO DO TIPO DE REDE)</v>
      </c>
      <c r="D814" s="571" t="str">
        <f>IF($A814="INSUMO",VLOOKUP($B814,'BANCO DE DADOS JAN-23 INS'!$A:$D,3,FALSE),VLOOKUP($B814,'BANCO DE DADOS JAN-23 SERV'!$B:$E,3,FALSE))</f>
        <v xml:space="preserve">UN    </v>
      </c>
      <c r="E814" s="1063">
        <v>1</v>
      </c>
      <c r="F814" s="575">
        <f>IF($A814="INSUMO",VLOOKUP($B814,'BANCO DE DADOS JAN-23 INS'!$A:$D,4,FALSE),VLOOKUP($B814,'BANCO DE DADOS JAN-23 SERV'!$B:$E,4,FALSE))</f>
        <v>746.75</v>
      </c>
      <c r="G814" s="573">
        <f t="shared" si="22"/>
        <v>746.75</v>
      </c>
    </row>
    <row r="815" spans="1:8" s="224" customFormat="1" ht="15.75">
      <c r="B815" s="1670" t="s">
        <v>6797</v>
      </c>
      <c r="C815" s="1671"/>
      <c r="D815" s="1671"/>
      <c r="E815" s="1671"/>
      <c r="F815" s="1671"/>
      <c r="G815" s="1672"/>
    </row>
    <row r="816" spans="1:8" s="224" customFormat="1" ht="24" customHeight="1">
      <c r="A816" s="433" t="s">
        <v>452</v>
      </c>
      <c r="B816" s="562">
        <v>88316</v>
      </c>
      <c r="C816" s="574" t="str">
        <f>IF($A816="INSUMO",VLOOKUP($B816,'BANCO DE DADOS JAN-23 INS'!$A:$D,2,FALSE),VLOOKUP($B816,'BANCO DE DADOS JAN-23 SERV'!$B:$E,2,FALSE))</f>
        <v>SERVENTE COM ENCARGOS COMPLEMENTARES</v>
      </c>
      <c r="D816" s="571" t="str">
        <f>IF($A816="INSUMO",VLOOKUP($B816,'BANCO DE DADOS JAN-23 INS'!$A:$D,3,FALSE),VLOOKUP($B816,'BANCO DE DADOS JAN-23 SERV'!$B:$E,3,FALSE))</f>
        <v>H</v>
      </c>
      <c r="E816" s="728">
        <v>0.5</v>
      </c>
      <c r="F816" s="575">
        <f>IF($A816="INSUMO",VLOOKUP($B816,'BANCO DE DADOS JAN-23 INS'!$A:$D,4,FALSE),VLOOKUP($B816,'BANCO DE DADOS JAN-23 SERV'!$B:$E,4,FALSE))</f>
        <v>17.420000000000002</v>
      </c>
      <c r="G816" s="573">
        <f t="shared" ref="G816:G817" si="23">TRUNC(E816*F816,2)</f>
        <v>8.7100000000000009</v>
      </c>
    </row>
    <row r="817" spans="1:8" s="224" customFormat="1" ht="23.25" customHeight="1" thickBot="1">
      <c r="A817" s="433" t="s">
        <v>452</v>
      </c>
      <c r="B817" s="576">
        <v>88309</v>
      </c>
      <c r="C817" s="577" t="str">
        <f>IF($A817="INSUMO",VLOOKUP($B817,'BANCO DE DADOS JAN-23 INS'!$A:$D,2,FALSE),VLOOKUP($B817,'BANCO DE DADOS JAN-23 SERV'!$B:$E,2,FALSE))</f>
        <v>PEDREIRO COM ENCARGOS COMPLEMENTARES</v>
      </c>
      <c r="D817" s="578" t="str">
        <f>IF($A817="INSUMO",VLOOKUP($B817,'BANCO DE DADOS JAN-23 INS'!$A:$D,3,FALSE),VLOOKUP($B817,'BANCO DE DADOS JAN-23 SERV'!$B:$E,3,FALSE))</f>
        <v>H</v>
      </c>
      <c r="E817" s="1047">
        <v>0.5</v>
      </c>
      <c r="F817" s="579">
        <f>IF($A817="INSUMO",VLOOKUP($B817,'BANCO DE DADOS JAN-23 INS'!$A:$D,4,FALSE),VLOOKUP($B817,'BANCO DE DADOS JAN-23 SERV'!$B:$E,4,FALSE))</f>
        <v>21.83</v>
      </c>
      <c r="G817" s="581">
        <f t="shared" si="23"/>
        <v>10.91</v>
      </c>
    </row>
    <row r="818" spans="1:8" s="224" customFormat="1" ht="27" customHeight="1" thickBot="1">
      <c r="B818" s="1657" t="s">
        <v>7134</v>
      </c>
      <c r="C818" s="1657"/>
      <c r="D818" s="1657"/>
      <c r="E818" s="1658"/>
      <c r="F818" s="712" t="s">
        <v>190</v>
      </c>
      <c r="G818" s="1045">
        <f>SUM(G812:G814,G816:G817)</f>
        <v>800.46</v>
      </c>
    </row>
    <row r="819" spans="1:8" s="224" customFormat="1" ht="16.5" thickBot="1">
      <c r="B819" s="1059"/>
      <c r="C819" s="1059"/>
      <c r="D819" s="1059"/>
      <c r="E819" s="1059"/>
      <c r="F819" s="226"/>
      <c r="G819" s="227"/>
    </row>
    <row r="820" spans="1:8" s="224" customFormat="1" ht="24.95" customHeight="1">
      <c r="B820" s="333" t="str">
        <f>IF(COUNT($H$13:H820)&lt;10,CONCATENATE("AMM SAA 00",COUNT($H$13:H820)),CONCATENATE("AMM SAA 0",COUNT($H$13:H820)))</f>
        <v>AMM SAA 026</v>
      </c>
      <c r="C820" s="1673" t="s">
        <v>7136</v>
      </c>
      <c r="D820" s="1673"/>
      <c r="E820" s="1673"/>
      <c r="F820" s="1673"/>
      <c r="G820" s="357" t="s">
        <v>23</v>
      </c>
      <c r="H820" s="355">
        <f>G836</f>
        <v>9079.07</v>
      </c>
    </row>
    <row r="821" spans="1:8" s="224" customFormat="1" ht="31.5">
      <c r="B821" s="538" t="s">
        <v>206</v>
      </c>
      <c r="C821" s="1125" t="s">
        <v>184</v>
      </c>
      <c r="D821" s="1125" t="s">
        <v>23</v>
      </c>
      <c r="E821" s="1125" t="s">
        <v>185</v>
      </c>
      <c r="F821" s="1126" t="s">
        <v>186</v>
      </c>
      <c r="G821" s="1127" t="s">
        <v>187</v>
      </c>
    </row>
    <row r="822" spans="1:8" s="224" customFormat="1" ht="15.75">
      <c r="B822" s="1674" t="s">
        <v>188</v>
      </c>
      <c r="C822" s="1675"/>
      <c r="D822" s="1675"/>
      <c r="E822" s="1675"/>
      <c r="F822" s="1675"/>
      <c r="G822" s="1676"/>
    </row>
    <row r="823" spans="1:8" s="224" customFormat="1" ht="24.75" customHeight="1">
      <c r="B823" s="562" t="str">
        <f>B838</f>
        <v>COTAÇÃO 070</v>
      </c>
      <c r="C823" s="844" t="str">
        <f>C838</f>
        <v>TUBO COM BOLSA E FLANGE PN 10 - DN 150 MM - L: 0,20</v>
      </c>
      <c r="D823" s="1052" t="str">
        <f>G838</f>
        <v>UN</v>
      </c>
      <c r="E823" s="1050">
        <v>2</v>
      </c>
      <c r="F823" s="732">
        <f>D843</f>
        <v>616.20000000000005</v>
      </c>
      <c r="G823" s="573">
        <f>TRUNC(E823*F823,2)</f>
        <v>1232.4000000000001</v>
      </c>
    </row>
    <row r="824" spans="1:8" s="224" customFormat="1" ht="24.95" customHeight="1">
      <c r="A824" s="433"/>
      <c r="B824" s="562" t="str">
        <f>B845</f>
        <v>COTAÇÃO 071</v>
      </c>
      <c r="C824" s="1043" t="str">
        <f>C845</f>
        <v>TÊ FF - PN 10 - DN 150 MM</v>
      </c>
      <c r="D824" s="612" t="str">
        <f>G845</f>
        <v>UN</v>
      </c>
      <c r="E824" s="575">
        <v>1</v>
      </c>
      <c r="F824" s="572">
        <f>D850</f>
        <v>1300</v>
      </c>
      <c r="G824" s="573">
        <f>TRUNC(E824*F824,2)</f>
        <v>1300</v>
      </c>
    </row>
    <row r="825" spans="1:8" s="224" customFormat="1" ht="24.95" customHeight="1">
      <c r="A825" s="433"/>
      <c r="B825" s="562" t="str">
        <f>B852</f>
        <v>COTAÇÃO 072</v>
      </c>
      <c r="C825" s="1043" t="str">
        <f>C852</f>
        <v>CURVA 90º FF PN 10 - DN 150</v>
      </c>
      <c r="D825" s="612" t="str">
        <f>G859</f>
        <v>UN</v>
      </c>
      <c r="E825" s="575">
        <v>1</v>
      </c>
      <c r="F825" s="572">
        <f>D864</f>
        <v>1684.26</v>
      </c>
      <c r="G825" s="573">
        <f t="shared" ref="G825:G831" si="24">TRUNC(E825*F825,2)</f>
        <v>1684.26</v>
      </c>
    </row>
    <row r="826" spans="1:8" s="224" customFormat="1" ht="24.95" customHeight="1">
      <c r="A826" s="433"/>
      <c r="B826" s="562" t="str">
        <f>B859</f>
        <v>COTAÇÃO 073</v>
      </c>
      <c r="C826" s="1043" t="str">
        <f>C859</f>
        <v>VÁLVULA DE GAVETA COM FLANGES E VOLANTE PN 10 - DN 150 MM</v>
      </c>
      <c r="D826" s="612" t="str">
        <f>G866</f>
        <v>UN</v>
      </c>
      <c r="E826" s="575">
        <v>1</v>
      </c>
      <c r="F826" s="572">
        <f>D871</f>
        <v>640</v>
      </c>
      <c r="G826" s="573">
        <f t="shared" si="24"/>
        <v>640</v>
      </c>
    </row>
    <row r="827" spans="1:8" s="224" customFormat="1" ht="24.95" customHeight="1">
      <c r="A827" s="433"/>
      <c r="B827" s="562" t="str">
        <f>B866</f>
        <v>COTAÇÃO 074</v>
      </c>
      <c r="C827" s="1043" t="str">
        <f>C866</f>
        <v>EXTREMIDADE FLANGE E PONTA PN 10 - DN 150 MM - L: 0,35</v>
      </c>
      <c r="D827" s="612" t="str">
        <f>G873</f>
        <v>UN</v>
      </c>
      <c r="E827" s="575">
        <v>2</v>
      </c>
      <c r="F827" s="572">
        <f>D878</f>
        <v>1395</v>
      </c>
      <c r="G827" s="573">
        <f t="shared" si="24"/>
        <v>2790</v>
      </c>
    </row>
    <row r="828" spans="1:8" s="224" customFormat="1" ht="24.95" customHeight="1">
      <c r="A828" s="433"/>
      <c r="B828" s="562" t="str">
        <f>B873</f>
        <v>COTAÇÃO 075</v>
      </c>
      <c r="C828" s="1121" t="str">
        <f>C873</f>
        <v>JUNTA DE DESMONTAGEM FF PN 10 - DN 150 MM</v>
      </c>
      <c r="D828" s="612" t="str">
        <f>G887</f>
        <v>UN</v>
      </c>
      <c r="E828" s="575">
        <v>1</v>
      </c>
      <c r="F828" s="572">
        <f>D892</f>
        <v>17.899999999999999</v>
      </c>
      <c r="G828" s="573">
        <f t="shared" si="24"/>
        <v>17.899999999999999</v>
      </c>
    </row>
    <row r="829" spans="1:8" s="224" customFormat="1" ht="24.95" customHeight="1">
      <c r="A829" s="433"/>
      <c r="B829" s="1058" t="str">
        <f>B880</f>
        <v>COTAÇÃO 076</v>
      </c>
      <c r="C829" s="1121" t="str">
        <f>C880</f>
        <v>TUBO FF PN 10 - D: 150 MM - L: 2,00</v>
      </c>
      <c r="D829" s="612" t="str">
        <f>G894</f>
        <v>UN</v>
      </c>
      <c r="E829" s="575">
        <v>1</v>
      </c>
      <c r="F829" s="572">
        <f>D899</f>
        <v>7</v>
      </c>
      <c r="G829" s="573">
        <f t="shared" si="24"/>
        <v>7</v>
      </c>
    </row>
    <row r="830" spans="1:8" s="224" customFormat="1" ht="24.95" customHeight="1">
      <c r="A830" s="433"/>
      <c r="B830" s="1058" t="str">
        <f>B887</f>
        <v>COTAÇÃO 077</v>
      </c>
      <c r="C830" s="1121" t="str">
        <f>C887</f>
        <v>PARAFUSO/PORCA (20 MM) PARA FLANGE</v>
      </c>
      <c r="D830" s="612" t="str">
        <f>G887</f>
        <v>UN</v>
      </c>
      <c r="E830" s="575">
        <f>7*8</f>
        <v>56</v>
      </c>
      <c r="F830" s="572">
        <f>D892</f>
        <v>17.899999999999999</v>
      </c>
      <c r="G830" s="573">
        <f t="shared" si="24"/>
        <v>1002.4</v>
      </c>
    </row>
    <row r="831" spans="1:8" s="224" customFormat="1" ht="24.95" customHeight="1">
      <c r="A831" s="433"/>
      <c r="B831" s="1058" t="str">
        <f>B894</f>
        <v>COTAÇÃO 078</v>
      </c>
      <c r="C831" s="1121" t="str">
        <f>C894</f>
        <v>ARRUELA DE VEDAÇÃO PARA FLANGE DN 150</v>
      </c>
      <c r="D831" s="612" t="str">
        <f>G894</f>
        <v>UN</v>
      </c>
      <c r="E831" s="575">
        <v>6</v>
      </c>
      <c r="F831" s="572">
        <f>D899</f>
        <v>7</v>
      </c>
      <c r="G831" s="573">
        <f t="shared" si="24"/>
        <v>42</v>
      </c>
    </row>
    <row r="832" spans="1:8" s="224" customFormat="1" ht="15.75">
      <c r="B832" s="1677" t="s">
        <v>6797</v>
      </c>
      <c r="C832" s="1678"/>
      <c r="D832" s="1678"/>
      <c r="E832" s="1678"/>
      <c r="F832" s="1678"/>
      <c r="G832" s="1679"/>
    </row>
    <row r="833" spans="1:9" s="224" customFormat="1" ht="41.25" customHeight="1">
      <c r="A833" s="433" t="s">
        <v>452</v>
      </c>
      <c r="B833" s="562">
        <v>103091</v>
      </c>
      <c r="C833" s="574" t="str">
        <f>IF($A833="INSUMO",VLOOKUP($B833,'BANCO DE DADOS JAN-23 INS'!$A:$D,2,FALSE),VLOOKUP($B833,'BANCO DE DADOS JAN-23 SERV'!$B:$E,2,FALSE))</f>
        <v>ASSENTAMENTO DE TUBO DE FERRO FUNDIDO PARA REDE DE ÁGUA, DN 150 MM, JUNTA FLANGEADA (NÃO INCLUI O FORNECIMENTO). AF_09/2021</v>
      </c>
      <c r="D833" s="571" t="str">
        <f>IF($A833="INSUMO",VLOOKUP($B833,'BANCO DE DADOS JAN-23 INS'!$A:$D,3,FALSE),VLOOKUP($B833,'BANCO DE DADOS JAN-23 SERV'!$B:$E,3,FALSE))</f>
        <v>M</v>
      </c>
      <c r="E833" s="575">
        <f>0.4+0.7+2</f>
        <v>3.1</v>
      </c>
      <c r="F833" s="575">
        <f>IF($A833="INSUMO",VLOOKUP($B833,'BANCO DE DADOS JAN-23 INS'!$A:$D,4,FALSE),VLOOKUP($B833,'BANCO DE DADOS JAN-23 SERV'!$B:$E,4,FALSE))</f>
        <v>16.73</v>
      </c>
      <c r="G833" s="573">
        <f>TRUNC(E833*F833,2)</f>
        <v>51.86</v>
      </c>
    </row>
    <row r="834" spans="1:9" s="224" customFormat="1" ht="48.75" customHeight="1">
      <c r="A834" s="433" t="s">
        <v>452</v>
      </c>
      <c r="B834" s="562">
        <v>103107</v>
      </c>
      <c r="C834" s="574" t="str">
        <f>IF($A834="INSUMO",VLOOKUP($B834,'BANCO DE DADOS JAN-23 INS'!$A:$D,2,FALSE),VLOOKUP($B834,'BANCO DE DADOS JAN-23 SERV'!$B:$E,2,FALSE))</f>
        <v>ASSENTAMENTO DE CONEXÃO COM 2 ACESSOS, FERRO FUNDIDO PARA REDE DE ÁGUA, DN  150 MM, JUNTA FLANGEADA (NÃO INCLUI O FORNECIMENTO). AF_09/2021</v>
      </c>
      <c r="D834" s="571" t="str">
        <f>IF($A834="INSUMO",VLOOKUP($B834,'BANCO DE DADOS JAN-23 INS'!$A:$D,3,FALSE),VLOOKUP($B834,'BANCO DE DADOS JAN-23 SERV'!$B:$E,3,FALSE))</f>
        <v>UN</v>
      </c>
      <c r="E834" s="575">
        <v>3</v>
      </c>
      <c r="F834" s="575">
        <f>IF($A834="INSUMO",VLOOKUP($B834,'BANCO DE DADOS JAN-23 INS'!$A:$D,4,FALSE),VLOOKUP($B834,'BANCO DE DADOS JAN-23 SERV'!$B:$E,4,FALSE))</f>
        <v>70.98</v>
      </c>
      <c r="G834" s="573">
        <f>TRUNC(E834*F834,2)</f>
        <v>212.94</v>
      </c>
    </row>
    <row r="835" spans="1:9" s="224" customFormat="1" ht="49.5" customHeight="1" thickBot="1">
      <c r="A835" s="433" t="s">
        <v>452</v>
      </c>
      <c r="B835" s="576">
        <v>103123</v>
      </c>
      <c r="C835" s="577" t="str">
        <f>IF($A835="INSUMO",VLOOKUP($B835,'BANCO DE DADOS JAN-23 INS'!$A:$D,2,FALSE),VLOOKUP($B835,'BANCO DE DADOS JAN-23 SERV'!$B:$E,2,FALSE))</f>
        <v>ASSENTAMENTO DE CONEXÃO COM 3 ACESSOS, FERRO FUNDIDO PARA REDE DE ÁGUA, DN  150 MM, JUNTA FLANGEADA (NÃO INCLUI O FORNECIMENTO). AF_09/2021</v>
      </c>
      <c r="D835" s="578" t="str">
        <f>IF($A835="INSUMO",VLOOKUP($B835,'BANCO DE DADOS JAN-23 INS'!$A:$D,3,FALSE),VLOOKUP($B835,'BANCO DE DADOS JAN-23 SERV'!$B:$E,3,FALSE))</f>
        <v>UN</v>
      </c>
      <c r="E835" s="579">
        <v>1</v>
      </c>
      <c r="F835" s="579">
        <f>IF($A835="INSUMO",VLOOKUP($B835,'BANCO DE DADOS JAN-23 INS'!$A:$D,4,FALSE),VLOOKUP($B835,'BANCO DE DADOS JAN-23 SERV'!$B:$E,4,FALSE))</f>
        <v>98.31</v>
      </c>
      <c r="G835" s="581">
        <f>TRUNC(E835*F835,2)</f>
        <v>98.31</v>
      </c>
    </row>
    <row r="836" spans="1:9" s="224" customFormat="1" ht="24.95" customHeight="1" thickBot="1">
      <c r="B836" s="1657" t="s">
        <v>7094</v>
      </c>
      <c r="C836" s="1657"/>
      <c r="D836" s="1657"/>
      <c r="E836" s="1658"/>
      <c r="F836" s="712" t="s">
        <v>190</v>
      </c>
      <c r="G836" s="1045">
        <f>SUM(G823:G831,G833:G835)</f>
        <v>9079.07</v>
      </c>
    </row>
    <row r="837" spans="1:9" s="224" customFormat="1" ht="24.95" customHeight="1" thickBot="1">
      <c r="B837" s="1059"/>
      <c r="C837" s="1059"/>
      <c r="D837" s="1059"/>
      <c r="E837" s="1059"/>
      <c r="F837" s="226"/>
      <c r="G837" s="227"/>
    </row>
    <row r="838" spans="1:9" s="224" customFormat="1" ht="15.75">
      <c r="B838" s="422" t="s">
        <v>7292</v>
      </c>
      <c r="C838" s="689" t="s">
        <v>7137</v>
      </c>
      <c r="D838" s="423"/>
      <c r="E838" s="424"/>
      <c r="F838" s="421"/>
      <c r="G838" s="358" t="s">
        <v>23</v>
      </c>
    </row>
    <row r="839" spans="1:9" s="224" customFormat="1" ht="31.5">
      <c r="B839" s="542" t="s">
        <v>195</v>
      </c>
      <c r="C839" s="543" t="s">
        <v>196</v>
      </c>
      <c r="D839" s="544" t="s">
        <v>197</v>
      </c>
      <c r="E839" s="545" t="s">
        <v>198</v>
      </c>
      <c r="F839" s="546" t="s">
        <v>199</v>
      </c>
      <c r="G839" s="547" t="s">
        <v>200</v>
      </c>
    </row>
    <row r="840" spans="1:9" s="1474" customFormat="1">
      <c r="B840" s="1470">
        <v>45014</v>
      </c>
      <c r="C840" s="1471" t="s">
        <v>7097</v>
      </c>
      <c r="D840" s="1472">
        <v>348</v>
      </c>
      <c r="E840" s="1440" t="s">
        <v>7098</v>
      </c>
      <c r="F840" s="681" t="s">
        <v>7099</v>
      </c>
      <c r="G840" s="1473" t="s">
        <v>7100</v>
      </c>
      <c r="I840" s="1475">
        <f>B840+180</f>
        <v>45194</v>
      </c>
    </row>
    <row r="841" spans="1:9" s="1474" customFormat="1">
      <c r="B841" s="1470">
        <v>45015</v>
      </c>
      <c r="C841" s="1471" t="s">
        <v>13981</v>
      </c>
      <c r="D841" s="1472">
        <v>1415</v>
      </c>
      <c r="E841" s="1483" t="s">
        <v>13982</v>
      </c>
      <c r="F841" s="681" t="s">
        <v>13983</v>
      </c>
      <c r="G841" s="1473" t="s">
        <v>7058</v>
      </c>
      <c r="I841" s="1475">
        <f>B841+180</f>
        <v>45195</v>
      </c>
    </row>
    <row r="842" spans="1:9" s="1474" customFormat="1">
      <c r="B842" s="1470">
        <v>45016</v>
      </c>
      <c r="C842" s="1471" t="s">
        <v>7095</v>
      </c>
      <c r="D842" s="1472">
        <v>616.20000000000005</v>
      </c>
      <c r="E842" s="1483" t="s">
        <v>13985</v>
      </c>
      <c r="F842" s="681" t="s">
        <v>13986</v>
      </c>
      <c r="G842" s="1473" t="s">
        <v>7096</v>
      </c>
      <c r="I842" s="1475">
        <f>B842+180</f>
        <v>45196</v>
      </c>
    </row>
    <row r="843" spans="1:9" s="224" customFormat="1" ht="16.5" thickBot="1">
      <c r="B843" s="1046"/>
      <c r="C843" s="549" t="s">
        <v>201</v>
      </c>
      <c r="D843" s="718">
        <f>MEDIAN(D840:D842)</f>
        <v>616.20000000000005</v>
      </c>
      <c r="E843" s="551"/>
      <c r="F843" s="552"/>
      <c r="G843" s="553"/>
    </row>
    <row r="844" spans="1:9" s="224" customFormat="1" ht="15.75" thickBot="1">
      <c r="B844" s="294"/>
      <c r="C844" s="294"/>
      <c r="D844" s="294"/>
      <c r="E844" s="294"/>
      <c r="F844" s="294"/>
      <c r="G844" s="294"/>
    </row>
    <row r="845" spans="1:9" s="224" customFormat="1" ht="15.75">
      <c r="B845" s="422" t="s">
        <v>7293</v>
      </c>
      <c r="C845" s="689" t="s">
        <v>7138</v>
      </c>
      <c r="D845" s="423"/>
      <c r="E845" s="424"/>
      <c r="F845" s="421"/>
      <c r="G845" s="358" t="s">
        <v>23</v>
      </c>
    </row>
    <row r="846" spans="1:9" s="224" customFormat="1" ht="31.5">
      <c r="B846" s="542" t="s">
        <v>195</v>
      </c>
      <c r="C846" s="543" t="s">
        <v>196</v>
      </c>
      <c r="D846" s="544" t="s">
        <v>197</v>
      </c>
      <c r="E846" s="545" t="s">
        <v>198</v>
      </c>
      <c r="F846" s="546" t="s">
        <v>199</v>
      </c>
      <c r="G846" s="547" t="s">
        <v>200</v>
      </c>
    </row>
    <row r="847" spans="1:9" s="1474" customFormat="1">
      <c r="B847" s="1470">
        <v>45014</v>
      </c>
      <c r="C847" s="1471" t="s">
        <v>7097</v>
      </c>
      <c r="D847" s="1472">
        <v>1300</v>
      </c>
      <c r="E847" s="1440" t="s">
        <v>7098</v>
      </c>
      <c r="F847" s="681" t="s">
        <v>7099</v>
      </c>
      <c r="G847" s="1473" t="s">
        <v>7100</v>
      </c>
      <c r="I847" s="1475">
        <f>B847+180</f>
        <v>45194</v>
      </c>
    </row>
    <row r="848" spans="1:9" s="1474" customFormat="1">
      <c r="B848" s="1470">
        <v>45015</v>
      </c>
      <c r="C848" s="1471" t="s">
        <v>13981</v>
      </c>
      <c r="D848" s="1472">
        <v>1120</v>
      </c>
      <c r="E848" s="1483" t="s">
        <v>13982</v>
      </c>
      <c r="F848" s="681" t="s">
        <v>13983</v>
      </c>
      <c r="G848" s="1473" t="s">
        <v>7058</v>
      </c>
      <c r="I848" s="1475">
        <f>B848+180</f>
        <v>45195</v>
      </c>
    </row>
    <row r="849" spans="2:9" s="1474" customFormat="1">
      <c r="B849" s="1470">
        <v>45016</v>
      </c>
      <c r="C849" s="1471" t="s">
        <v>7095</v>
      </c>
      <c r="D849" s="1472">
        <v>1360</v>
      </c>
      <c r="E849" s="1483" t="s">
        <v>13985</v>
      </c>
      <c r="F849" s="681" t="s">
        <v>13986</v>
      </c>
      <c r="G849" s="1473" t="s">
        <v>7096</v>
      </c>
      <c r="I849" s="1475">
        <f>B849+180</f>
        <v>45196</v>
      </c>
    </row>
    <row r="850" spans="2:9" s="224" customFormat="1" ht="16.5" thickBot="1">
      <c r="B850" s="1046"/>
      <c r="C850" s="549" t="s">
        <v>201</v>
      </c>
      <c r="D850" s="718">
        <f>MEDIAN(D847:D849)</f>
        <v>1300</v>
      </c>
      <c r="E850" s="551"/>
      <c r="F850" s="552"/>
      <c r="G850" s="553"/>
    </row>
    <row r="851" spans="2:9" s="224" customFormat="1" ht="15.75" thickBot="1">
      <c r="B851" s="294"/>
      <c r="C851" s="294"/>
      <c r="D851" s="294"/>
      <c r="E851" s="294"/>
      <c r="F851" s="294"/>
      <c r="G851" s="294"/>
    </row>
    <row r="852" spans="2:9" s="224" customFormat="1" ht="15.75">
      <c r="B852" s="422" t="s">
        <v>7294</v>
      </c>
      <c r="C852" s="689" t="s">
        <v>7139</v>
      </c>
      <c r="D852" s="423"/>
      <c r="E852" s="424"/>
      <c r="F852" s="421"/>
      <c r="G852" s="358" t="s">
        <v>23</v>
      </c>
    </row>
    <row r="853" spans="2:9" s="224" customFormat="1" ht="31.5">
      <c r="B853" s="542" t="s">
        <v>195</v>
      </c>
      <c r="C853" s="543" t="s">
        <v>196</v>
      </c>
      <c r="D853" s="544" t="s">
        <v>197</v>
      </c>
      <c r="E853" s="545" t="s">
        <v>198</v>
      </c>
      <c r="F853" s="546" t="s">
        <v>199</v>
      </c>
      <c r="G853" s="547" t="s">
        <v>200</v>
      </c>
    </row>
    <row r="854" spans="2:9" s="1474" customFormat="1">
      <c r="B854" s="1470">
        <v>45014</v>
      </c>
      <c r="C854" s="1471" t="s">
        <v>7097</v>
      </c>
      <c r="D854" s="1472">
        <v>720</v>
      </c>
      <c r="E854" s="1440" t="s">
        <v>7098</v>
      </c>
      <c r="F854" s="681" t="s">
        <v>7099</v>
      </c>
      <c r="G854" s="1473" t="s">
        <v>7100</v>
      </c>
      <c r="I854" s="1475">
        <f>B854+180</f>
        <v>45194</v>
      </c>
    </row>
    <row r="855" spans="2:9" s="1474" customFormat="1">
      <c r="B855" s="1470">
        <v>45015</v>
      </c>
      <c r="C855" s="1471" t="s">
        <v>13981</v>
      </c>
      <c r="D855" s="1472">
        <v>772.4</v>
      </c>
      <c r="E855" s="1483" t="s">
        <v>13982</v>
      </c>
      <c r="F855" s="681" t="s">
        <v>13983</v>
      </c>
      <c r="G855" s="1473" t="s">
        <v>7058</v>
      </c>
      <c r="I855" s="1475">
        <f>B855+180</f>
        <v>45195</v>
      </c>
    </row>
    <row r="856" spans="2:9" s="1474" customFormat="1">
      <c r="B856" s="1470">
        <v>45016</v>
      </c>
      <c r="C856" s="1471" t="s">
        <v>7095</v>
      </c>
      <c r="D856" s="1472">
        <v>799</v>
      </c>
      <c r="E856" s="1483" t="s">
        <v>13985</v>
      </c>
      <c r="F856" s="681" t="s">
        <v>13986</v>
      </c>
      <c r="G856" s="1473" t="s">
        <v>7096</v>
      </c>
      <c r="I856" s="1475">
        <f>B856+180</f>
        <v>45196</v>
      </c>
    </row>
    <row r="857" spans="2:9" s="224" customFormat="1" ht="16.5" thickBot="1">
      <c r="B857" s="1046"/>
      <c r="C857" s="549" t="s">
        <v>201</v>
      </c>
      <c r="D857" s="718">
        <f>MEDIAN(D854:D856)</f>
        <v>772.4</v>
      </c>
      <c r="E857" s="551"/>
      <c r="F857" s="552"/>
      <c r="G857" s="553"/>
    </row>
    <row r="858" spans="2:9" s="224" customFormat="1" ht="15.75" thickBot="1">
      <c r="B858" s="294"/>
      <c r="C858" s="294"/>
      <c r="D858" s="294"/>
      <c r="E858" s="294"/>
      <c r="F858" s="294"/>
      <c r="G858" s="294"/>
    </row>
    <row r="859" spans="2:9" s="224" customFormat="1" ht="15.75">
      <c r="B859" s="422" t="s">
        <v>7295</v>
      </c>
      <c r="C859" s="689" t="s">
        <v>7082</v>
      </c>
      <c r="D859" s="423"/>
      <c r="E859" s="424"/>
      <c r="F859" s="421"/>
      <c r="G859" s="358" t="s">
        <v>23</v>
      </c>
    </row>
    <row r="860" spans="2:9" s="224" customFormat="1" ht="31.5">
      <c r="B860" s="542" t="s">
        <v>195</v>
      </c>
      <c r="C860" s="543" t="s">
        <v>196</v>
      </c>
      <c r="D860" s="544" t="s">
        <v>197</v>
      </c>
      <c r="E860" s="545" t="s">
        <v>198</v>
      </c>
      <c r="F860" s="546" t="s">
        <v>199</v>
      </c>
      <c r="G860" s="547" t="s">
        <v>200</v>
      </c>
    </row>
    <row r="861" spans="2:9" s="1474" customFormat="1">
      <c r="B861" s="1470">
        <v>45014</v>
      </c>
      <c r="C861" s="1471" t="s">
        <v>7097</v>
      </c>
      <c r="D861" s="1472">
        <v>1480</v>
      </c>
      <c r="E861" s="1440" t="s">
        <v>7098</v>
      </c>
      <c r="F861" s="681" t="s">
        <v>7099</v>
      </c>
      <c r="G861" s="1473" t="s">
        <v>7100</v>
      </c>
      <c r="I861" s="1475">
        <f>B861+180</f>
        <v>45194</v>
      </c>
    </row>
    <row r="862" spans="2:9" s="1474" customFormat="1">
      <c r="B862" s="1470">
        <v>45015</v>
      </c>
      <c r="C862" s="1471" t="s">
        <v>13981</v>
      </c>
      <c r="D862" s="1472">
        <v>2698</v>
      </c>
      <c r="E862" s="1483" t="s">
        <v>13982</v>
      </c>
      <c r="F862" s="681" t="s">
        <v>13983</v>
      </c>
      <c r="G862" s="1473" t="s">
        <v>7058</v>
      </c>
      <c r="I862" s="1475">
        <f>B862+180</f>
        <v>45195</v>
      </c>
    </row>
    <row r="863" spans="2:9" s="1474" customFormat="1">
      <c r="B863" s="1470">
        <v>45019</v>
      </c>
      <c r="C863" s="1471" t="s">
        <v>14225</v>
      </c>
      <c r="D863" s="1472">
        <f>1584.67+99.59</f>
        <v>1684.26</v>
      </c>
      <c r="E863" s="1440" t="s">
        <v>14226</v>
      </c>
      <c r="F863" s="681" t="s">
        <v>14227</v>
      </c>
      <c r="G863" s="1473" t="s">
        <v>14228</v>
      </c>
      <c r="I863" s="1487">
        <f>B863+180</f>
        <v>45199</v>
      </c>
    </row>
    <row r="864" spans="2:9" s="224" customFormat="1" ht="16.5" thickBot="1">
      <c r="B864" s="1046"/>
      <c r="C864" s="549" t="s">
        <v>201</v>
      </c>
      <c r="D864" s="718">
        <f>MEDIAN(D861:D863)</f>
        <v>1684.26</v>
      </c>
      <c r="E864" s="551"/>
      <c r="F864" s="552"/>
      <c r="G864" s="553"/>
    </row>
    <row r="865" spans="2:9" s="224" customFormat="1" ht="16.5" thickBot="1">
      <c r="B865" s="1059"/>
      <c r="C865" s="1059"/>
      <c r="D865" s="1059"/>
      <c r="E865" s="1059"/>
      <c r="F865" s="226"/>
      <c r="G865" s="227"/>
    </row>
    <row r="866" spans="2:9" s="224" customFormat="1" ht="15.75">
      <c r="B866" s="422" t="s">
        <v>7296</v>
      </c>
      <c r="C866" s="689" t="s">
        <v>7080</v>
      </c>
      <c r="D866" s="423"/>
      <c r="E866" s="424"/>
      <c r="F866" s="421"/>
      <c r="G866" s="358" t="s">
        <v>23</v>
      </c>
    </row>
    <row r="867" spans="2:9" s="224" customFormat="1" ht="31.5">
      <c r="B867" s="542" t="s">
        <v>195</v>
      </c>
      <c r="C867" s="543" t="s">
        <v>196</v>
      </c>
      <c r="D867" s="544" t="s">
        <v>197</v>
      </c>
      <c r="E867" s="545" t="s">
        <v>198</v>
      </c>
      <c r="F867" s="546" t="s">
        <v>199</v>
      </c>
      <c r="G867" s="547" t="s">
        <v>200</v>
      </c>
    </row>
    <row r="868" spans="2:9" s="1474" customFormat="1" ht="17.25" customHeight="1">
      <c r="B868" s="1470">
        <v>45014</v>
      </c>
      <c r="C868" s="1471" t="s">
        <v>7097</v>
      </c>
      <c r="D868" s="1472">
        <v>640</v>
      </c>
      <c r="E868" s="1440" t="s">
        <v>7098</v>
      </c>
      <c r="F868" s="681" t="s">
        <v>7099</v>
      </c>
      <c r="G868" s="1473" t="s">
        <v>7100</v>
      </c>
      <c r="I868" s="1475">
        <f>B868+180</f>
        <v>45194</v>
      </c>
    </row>
    <row r="869" spans="2:9" s="1474" customFormat="1">
      <c r="B869" s="1470">
        <v>45015</v>
      </c>
      <c r="C869" s="1471" t="s">
        <v>13981</v>
      </c>
      <c r="D869" s="1472">
        <v>816.37</v>
      </c>
      <c r="E869" s="1483" t="s">
        <v>13982</v>
      </c>
      <c r="F869" s="681" t="s">
        <v>13983</v>
      </c>
      <c r="G869" s="1473" t="s">
        <v>7058</v>
      </c>
      <c r="I869" s="1475">
        <f>B869+180</f>
        <v>45195</v>
      </c>
    </row>
    <row r="870" spans="2:9" s="1474" customFormat="1">
      <c r="B870" s="1470">
        <v>45016</v>
      </c>
      <c r="C870" s="1471" t="s">
        <v>7095</v>
      </c>
      <c r="D870" s="1472">
        <v>578</v>
      </c>
      <c r="E870" s="1483" t="s">
        <v>13985</v>
      </c>
      <c r="F870" s="681" t="s">
        <v>13986</v>
      </c>
      <c r="G870" s="1473" t="s">
        <v>7096</v>
      </c>
      <c r="I870" s="1475">
        <f>B870+180</f>
        <v>45196</v>
      </c>
    </row>
    <row r="871" spans="2:9" s="224" customFormat="1" ht="16.5" thickBot="1">
      <c r="B871" s="1046"/>
      <c r="C871" s="549" t="s">
        <v>201</v>
      </c>
      <c r="D871" s="718">
        <f>MEDIAN(D868:D870)</f>
        <v>640</v>
      </c>
      <c r="E871" s="551"/>
      <c r="F871" s="552"/>
      <c r="G871" s="553"/>
    </row>
    <row r="872" spans="2:9" s="224" customFormat="1" ht="24.95" customHeight="1" thickBot="1">
      <c r="B872" s="294"/>
      <c r="C872" s="294"/>
      <c r="D872" s="294"/>
      <c r="E872" s="294"/>
      <c r="F872" s="294"/>
      <c r="G872" s="294"/>
    </row>
    <row r="873" spans="2:9" s="224" customFormat="1" ht="15.75">
      <c r="B873" s="422" t="s">
        <v>7297</v>
      </c>
      <c r="C873" s="689" t="s">
        <v>7081</v>
      </c>
      <c r="D873" s="423"/>
      <c r="E873" s="424"/>
      <c r="F873" s="421"/>
      <c r="G873" s="358" t="s">
        <v>23</v>
      </c>
    </row>
    <row r="874" spans="2:9" s="224" customFormat="1" ht="31.5">
      <c r="B874" s="542" t="s">
        <v>195</v>
      </c>
      <c r="C874" s="543" t="s">
        <v>196</v>
      </c>
      <c r="D874" s="544" t="s">
        <v>197</v>
      </c>
      <c r="E874" s="545" t="s">
        <v>198</v>
      </c>
      <c r="F874" s="546" t="s">
        <v>199</v>
      </c>
      <c r="G874" s="547" t="s">
        <v>200</v>
      </c>
    </row>
    <row r="875" spans="2:9" s="1474" customFormat="1">
      <c r="B875" s="1470">
        <v>45014</v>
      </c>
      <c r="C875" s="1471" t="s">
        <v>7097</v>
      </c>
      <c r="D875" s="1472">
        <v>950</v>
      </c>
      <c r="E875" s="1440" t="s">
        <v>7098</v>
      </c>
      <c r="F875" s="681" t="s">
        <v>7099</v>
      </c>
      <c r="G875" s="1473" t="s">
        <v>7100</v>
      </c>
      <c r="I875" s="1475">
        <f>B875+180</f>
        <v>45194</v>
      </c>
    </row>
    <row r="876" spans="2:9" s="1474" customFormat="1">
      <c r="B876" s="1470">
        <v>45015</v>
      </c>
      <c r="C876" s="1471" t="s">
        <v>13981</v>
      </c>
      <c r="D876" s="1472">
        <v>1400</v>
      </c>
      <c r="E876" s="1483" t="s">
        <v>13982</v>
      </c>
      <c r="F876" s="681" t="s">
        <v>13983</v>
      </c>
      <c r="G876" s="1473" t="s">
        <v>7058</v>
      </c>
      <c r="I876" s="1475">
        <f>B876+180</f>
        <v>45195</v>
      </c>
    </row>
    <row r="877" spans="2:9" s="1474" customFormat="1">
      <c r="B877" s="1470">
        <v>45016</v>
      </c>
      <c r="C877" s="1471" t="s">
        <v>7095</v>
      </c>
      <c r="D877" s="1472">
        <v>1395</v>
      </c>
      <c r="E877" s="1483" t="s">
        <v>13985</v>
      </c>
      <c r="F877" s="681" t="s">
        <v>13986</v>
      </c>
      <c r="G877" s="1473" t="s">
        <v>7096</v>
      </c>
      <c r="I877" s="1475">
        <f>B877+180</f>
        <v>45196</v>
      </c>
    </row>
    <row r="878" spans="2:9" s="224" customFormat="1" ht="16.5" thickBot="1">
      <c r="B878" s="1046"/>
      <c r="C878" s="549" t="s">
        <v>201</v>
      </c>
      <c r="D878" s="718">
        <f>MEDIAN(D875:D877)</f>
        <v>1395</v>
      </c>
      <c r="E878" s="551"/>
      <c r="F878" s="552"/>
      <c r="G878" s="553"/>
    </row>
    <row r="879" spans="2:9" s="224" customFormat="1" ht="16.5" thickBot="1">
      <c r="B879" s="1072"/>
      <c r="C879" s="203"/>
      <c r="D879" s="1073"/>
      <c r="E879" s="204"/>
      <c r="F879" s="293"/>
      <c r="G879" s="205"/>
    </row>
    <row r="880" spans="2:9" s="224" customFormat="1" ht="15.75">
      <c r="B880" s="422" t="s">
        <v>7298</v>
      </c>
      <c r="C880" s="689" t="s">
        <v>7140</v>
      </c>
      <c r="D880" s="423"/>
      <c r="E880" s="424"/>
      <c r="F880" s="421"/>
      <c r="G880" s="358" t="s">
        <v>23</v>
      </c>
    </row>
    <row r="881" spans="2:9" s="224" customFormat="1" ht="31.5">
      <c r="B881" s="542" t="s">
        <v>195</v>
      </c>
      <c r="C881" s="543" t="s">
        <v>196</v>
      </c>
      <c r="D881" s="544" t="s">
        <v>197</v>
      </c>
      <c r="E881" s="545" t="s">
        <v>198</v>
      </c>
      <c r="F881" s="546" t="s">
        <v>199</v>
      </c>
      <c r="G881" s="547" t="s">
        <v>200</v>
      </c>
    </row>
    <row r="882" spans="2:9" s="1474" customFormat="1">
      <c r="B882" s="1470">
        <v>45014</v>
      </c>
      <c r="C882" s="1471" t="s">
        <v>7097</v>
      </c>
      <c r="D882" s="1472">
        <v>1890</v>
      </c>
      <c r="E882" s="1440" t="s">
        <v>7098</v>
      </c>
      <c r="F882" s="681" t="s">
        <v>7099</v>
      </c>
      <c r="G882" s="1473" t="s">
        <v>7100</v>
      </c>
      <c r="I882" s="1475">
        <f>B882+180</f>
        <v>45194</v>
      </c>
    </row>
    <row r="883" spans="2:9" s="1474" customFormat="1">
      <c r="B883" s="1470">
        <v>45015</v>
      </c>
      <c r="C883" s="1471" t="s">
        <v>13981</v>
      </c>
      <c r="D883" s="1472">
        <v>2831</v>
      </c>
      <c r="E883" s="1483" t="s">
        <v>13982</v>
      </c>
      <c r="F883" s="681" t="s">
        <v>13983</v>
      </c>
      <c r="G883" s="1473" t="s">
        <v>7058</v>
      </c>
      <c r="I883" s="1475">
        <f>B883+180</f>
        <v>45195</v>
      </c>
    </row>
    <row r="884" spans="2:9" s="1474" customFormat="1">
      <c r="B884" s="1470">
        <v>45016</v>
      </c>
      <c r="C884" s="1471" t="s">
        <v>7095</v>
      </c>
      <c r="D884" s="1472">
        <v>1852</v>
      </c>
      <c r="E884" s="1483" t="s">
        <v>13985</v>
      </c>
      <c r="F884" s="681" t="s">
        <v>13986</v>
      </c>
      <c r="G884" s="1473" t="s">
        <v>7096</v>
      </c>
      <c r="I884" s="1475">
        <f>B884+180</f>
        <v>45196</v>
      </c>
    </row>
    <row r="885" spans="2:9" s="224" customFormat="1" ht="16.5" thickBot="1">
      <c r="B885" s="1046"/>
      <c r="C885" s="549" t="s">
        <v>201</v>
      </c>
      <c r="D885" s="718">
        <f>MEDIAN(D882:D884)</f>
        <v>1890</v>
      </c>
      <c r="E885" s="551"/>
      <c r="F885" s="552"/>
      <c r="G885" s="553"/>
    </row>
    <row r="886" spans="2:9" s="224" customFormat="1" ht="16.5" thickBot="1">
      <c r="B886" s="1072"/>
      <c r="C886" s="203"/>
      <c r="D886" s="1073"/>
      <c r="E886" s="204"/>
      <c r="F886" s="293"/>
      <c r="G886" s="205"/>
    </row>
    <row r="887" spans="2:9" s="224" customFormat="1" ht="15.75">
      <c r="B887" s="422" t="s">
        <v>7299</v>
      </c>
      <c r="C887" s="689" t="s">
        <v>7089</v>
      </c>
      <c r="D887" s="423"/>
      <c r="E887" s="424"/>
      <c r="F887" s="421"/>
      <c r="G887" s="358" t="s">
        <v>23</v>
      </c>
    </row>
    <row r="888" spans="2:9" s="224" customFormat="1" ht="31.5">
      <c r="B888" s="542" t="s">
        <v>195</v>
      </c>
      <c r="C888" s="543" t="s">
        <v>196</v>
      </c>
      <c r="D888" s="544" t="s">
        <v>197</v>
      </c>
      <c r="E888" s="545" t="s">
        <v>198</v>
      </c>
      <c r="F888" s="546" t="s">
        <v>199</v>
      </c>
      <c r="G888" s="547" t="s">
        <v>200</v>
      </c>
    </row>
    <row r="889" spans="2:9" s="1474" customFormat="1">
      <c r="B889" s="1470">
        <v>45014</v>
      </c>
      <c r="C889" s="1471" t="s">
        <v>7097</v>
      </c>
      <c r="D889" s="1472">
        <v>21</v>
      </c>
      <c r="E889" s="1440" t="s">
        <v>7098</v>
      </c>
      <c r="F889" s="681" t="s">
        <v>7099</v>
      </c>
      <c r="G889" s="1473" t="s">
        <v>7100</v>
      </c>
      <c r="I889" s="1475">
        <f>B889+180</f>
        <v>45194</v>
      </c>
    </row>
    <row r="890" spans="2:9" s="1474" customFormat="1">
      <c r="B890" s="1470">
        <v>45015</v>
      </c>
      <c r="C890" s="1471" t="s">
        <v>13981</v>
      </c>
      <c r="D890" s="1472">
        <v>8.9</v>
      </c>
      <c r="E890" s="1483" t="s">
        <v>13982</v>
      </c>
      <c r="F890" s="681" t="s">
        <v>13983</v>
      </c>
      <c r="G890" s="1473" t="s">
        <v>7058</v>
      </c>
      <c r="I890" s="1475">
        <f>B890+180</f>
        <v>45195</v>
      </c>
    </row>
    <row r="891" spans="2:9" s="1474" customFormat="1">
      <c r="B891" s="1470">
        <v>45016</v>
      </c>
      <c r="C891" s="1471" t="s">
        <v>7095</v>
      </c>
      <c r="D891" s="1472">
        <v>17.899999999999999</v>
      </c>
      <c r="E891" s="1483" t="s">
        <v>13985</v>
      </c>
      <c r="F891" s="681" t="s">
        <v>13986</v>
      </c>
      <c r="G891" s="1473" t="s">
        <v>7096</v>
      </c>
      <c r="I891" s="1475">
        <f>B891+180</f>
        <v>45196</v>
      </c>
    </row>
    <row r="892" spans="2:9" s="224" customFormat="1" ht="16.5" thickBot="1">
      <c r="B892" s="1046"/>
      <c r="C892" s="549" t="s">
        <v>201</v>
      </c>
      <c r="D892" s="718">
        <f>MEDIAN(D889:D891)</f>
        <v>17.899999999999999</v>
      </c>
      <c r="E892" s="551"/>
      <c r="F892" s="552"/>
      <c r="G892" s="553"/>
    </row>
    <row r="893" spans="2:9" s="224" customFormat="1" ht="15.75" thickBot="1">
      <c r="B893" s="294"/>
      <c r="C893" s="294"/>
      <c r="D893" s="294"/>
      <c r="E893" s="294"/>
      <c r="F893" s="294"/>
      <c r="G893" s="294"/>
    </row>
    <row r="894" spans="2:9" s="224" customFormat="1" ht="15.75">
      <c r="B894" s="422" t="s">
        <v>7300</v>
      </c>
      <c r="C894" s="689" t="s">
        <v>7141</v>
      </c>
      <c r="D894" s="423"/>
      <c r="E894" s="424"/>
      <c r="F894" s="421"/>
      <c r="G894" s="358" t="s">
        <v>23</v>
      </c>
    </row>
    <row r="895" spans="2:9" s="224" customFormat="1" ht="31.5">
      <c r="B895" s="542" t="s">
        <v>195</v>
      </c>
      <c r="C895" s="543" t="s">
        <v>196</v>
      </c>
      <c r="D895" s="544" t="s">
        <v>197</v>
      </c>
      <c r="E895" s="545" t="s">
        <v>198</v>
      </c>
      <c r="F895" s="546" t="s">
        <v>199</v>
      </c>
      <c r="G895" s="547" t="s">
        <v>200</v>
      </c>
    </row>
    <row r="896" spans="2:9" s="1474" customFormat="1">
      <c r="B896" s="1470">
        <v>45014</v>
      </c>
      <c r="C896" s="1471" t="s">
        <v>7097</v>
      </c>
      <c r="D896" s="1472">
        <v>7</v>
      </c>
      <c r="E896" s="1440" t="s">
        <v>7098</v>
      </c>
      <c r="F896" s="681" t="s">
        <v>7099</v>
      </c>
      <c r="G896" s="1473" t="s">
        <v>7100</v>
      </c>
      <c r="I896" s="1475">
        <f>B896+180</f>
        <v>45194</v>
      </c>
    </row>
    <row r="897" spans="1:9" s="1474" customFormat="1">
      <c r="B897" s="1470">
        <v>45015</v>
      </c>
      <c r="C897" s="1471" t="s">
        <v>13981</v>
      </c>
      <c r="D897" s="1472">
        <v>3.95</v>
      </c>
      <c r="E897" s="1483" t="s">
        <v>13982</v>
      </c>
      <c r="F897" s="681" t="s">
        <v>13983</v>
      </c>
      <c r="G897" s="1473" t="s">
        <v>7058</v>
      </c>
      <c r="I897" s="1475">
        <f>B897+180</f>
        <v>45195</v>
      </c>
    </row>
    <row r="898" spans="1:9" s="1474" customFormat="1">
      <c r="B898" s="1470">
        <v>45016</v>
      </c>
      <c r="C898" s="1471" t="s">
        <v>7095</v>
      </c>
      <c r="D898" s="1472">
        <v>8</v>
      </c>
      <c r="E898" s="1483" t="s">
        <v>13985</v>
      </c>
      <c r="F898" s="681" t="s">
        <v>13986</v>
      </c>
      <c r="G898" s="1473" t="s">
        <v>7096</v>
      </c>
      <c r="I898" s="1475">
        <f>B898+180</f>
        <v>45196</v>
      </c>
    </row>
    <row r="899" spans="1:9" s="224" customFormat="1" ht="16.5" thickBot="1">
      <c r="B899" s="1046"/>
      <c r="C899" s="549" t="s">
        <v>201</v>
      </c>
      <c r="D899" s="718">
        <f>MEDIAN(D896:D898)</f>
        <v>7</v>
      </c>
      <c r="E899" s="551"/>
      <c r="F899" s="552"/>
      <c r="G899" s="553"/>
    </row>
    <row r="900" spans="1:9" s="224" customFormat="1" ht="27.75" customHeight="1" thickBot="1">
      <c r="B900" s="1074"/>
      <c r="C900" s="294"/>
      <c r="D900" s="294"/>
      <c r="E900" s="294"/>
      <c r="F900" s="294"/>
      <c r="G900" s="294"/>
    </row>
    <row r="901" spans="1:9" s="224" customFormat="1" ht="15.75">
      <c r="B901" s="333" t="str">
        <f>IF(COUNT($H$13:H901)&lt;10,CONCATENATE("AMM SAA 00",COUNT($H$13:H901)),CONCATENATE("AMM SAA 0",COUNT($H$13:H901)))</f>
        <v>AMM SAA 027</v>
      </c>
      <c r="C901" s="1664" t="s">
        <v>7142</v>
      </c>
      <c r="D901" s="1665"/>
      <c r="E901" s="1665"/>
      <c r="F901" s="1666"/>
      <c r="G901" s="357" t="s">
        <v>23</v>
      </c>
      <c r="H901" s="355">
        <f>G911</f>
        <v>2431.0000000000005</v>
      </c>
    </row>
    <row r="902" spans="1:9" s="224" customFormat="1" ht="31.5">
      <c r="B902" s="538" t="s">
        <v>206</v>
      </c>
      <c r="C902" s="1125" t="s">
        <v>184</v>
      </c>
      <c r="D902" s="1125" t="s">
        <v>23</v>
      </c>
      <c r="E902" s="1125" t="s">
        <v>185</v>
      </c>
      <c r="F902" s="1126" t="s">
        <v>186</v>
      </c>
      <c r="G902" s="1127" t="s">
        <v>187</v>
      </c>
    </row>
    <row r="903" spans="1:9" s="224" customFormat="1" ht="15.75">
      <c r="B903" s="1667" t="s">
        <v>188</v>
      </c>
      <c r="C903" s="1668"/>
      <c r="D903" s="1668"/>
      <c r="E903" s="1668"/>
      <c r="F903" s="1668"/>
      <c r="G903" s="1669"/>
    </row>
    <row r="904" spans="1:9" s="224" customFormat="1" ht="75">
      <c r="A904" s="433" t="s">
        <v>452</v>
      </c>
      <c r="B904" s="562">
        <v>101239</v>
      </c>
      <c r="C904" s="574" t="str">
        <f>IF($A904="INSUMO",VLOOKUP($B904,'BANCO DE DADOS JAN-23 INS'!$A:$D,2,FALSE),VLOOKUP($B904,'BANCO DE DADOS JAN-23 SERV'!$B:$E,2,FALSE))</f>
        <v>ESCAVAÇÃO VERTICAL A CÉU ABERTO, EM OBRAS DE INFRAESTRUTURA, INCLUINDO CARGA, DESCARGA E TRANSPORTE, EM SOLO DE 1ª CATEGORIA COM ESCAVADEIRA HIDRÁULICA (CAÇAMBA: 0,8 M³ / 111HP), FROTA DE 4 CAMINHÕES BASCULANTES DE 18 M³, DMT DE 1,5 KM E VELOCIDADE MÉDIA18KM/H. AF_05/2020</v>
      </c>
      <c r="D904" s="571" t="str">
        <f>IF($A904="INSUMO",VLOOKUP($B904,'BANCO DE DADOS JAN-23 INS'!$A:$D,3,FALSE),VLOOKUP($B904,'BANCO DE DADOS JAN-23 SERV'!$B:$E,3,FALSE))</f>
        <v>M3</v>
      </c>
      <c r="E904" s="728">
        <f t="shared" ref="E904:E910" si="25">G915</f>
        <v>12.48</v>
      </c>
      <c r="F904" s="575">
        <f>IF($A904="INSUMO",VLOOKUP($B904,'BANCO DE DADOS JAN-23 INS'!$A:$D,4,FALSE),VLOOKUP($B904,'BANCO DE DADOS JAN-23 SERV'!$B:$E,4,FALSE))</f>
        <v>13.72</v>
      </c>
      <c r="G904" s="573">
        <f t="shared" ref="G904:G910" si="26">TRUNC(E904*F904,2)</f>
        <v>171.22</v>
      </c>
    </row>
    <row r="905" spans="1:9" s="224" customFormat="1" ht="45">
      <c r="A905" s="433" t="s">
        <v>452</v>
      </c>
      <c r="B905" s="562">
        <v>97083</v>
      </c>
      <c r="C905" s="574" t="str">
        <f>IF($A905="INSUMO",VLOOKUP($B905,'BANCO DE DADOS JAN-23 INS'!$A:$D,2,FALSE),VLOOKUP($B905,'BANCO DE DADOS JAN-23 SERV'!$B:$E,2,FALSE))</f>
        <v>COMPACTAÇÃO MECÂNICA DE SOLO PARA EXECUÇÃO DE RADIER, PISO DE CONCRETO OU LAJE SOBRE SOLO, COM COMPACTADOR DE SOLOS A PERCUSSÃO. AF_09/2021</v>
      </c>
      <c r="D905" s="571" t="str">
        <f>IF($A905="INSUMO",VLOOKUP($B905,'BANCO DE DADOS JAN-23 INS'!$A:$D,3,FALSE),VLOOKUP($B905,'BANCO DE DADOS JAN-23 SERV'!$B:$E,3,FALSE))</f>
        <v>M2</v>
      </c>
      <c r="E905" s="728">
        <f t="shared" si="25"/>
        <v>6.24</v>
      </c>
      <c r="F905" s="575">
        <f>IF($A905="INSUMO",VLOOKUP($B905,'BANCO DE DADOS JAN-23 INS'!$A:$D,4,FALSE),VLOOKUP($B905,'BANCO DE DADOS JAN-23 SERV'!$B:$E,4,FALSE))</f>
        <v>2.71</v>
      </c>
      <c r="G905" s="573">
        <f t="shared" si="26"/>
        <v>16.91</v>
      </c>
    </row>
    <row r="906" spans="1:9" s="224" customFormat="1" ht="35.25" customHeight="1">
      <c r="A906" s="433" t="s">
        <v>452</v>
      </c>
      <c r="B906" s="562">
        <v>93382</v>
      </c>
      <c r="C906" s="574" t="str">
        <f>IF($A906="INSUMO",VLOOKUP($B906,'BANCO DE DADOS JAN-23 INS'!$A:$D,2,FALSE),VLOOKUP($B906,'BANCO DE DADOS JAN-23 SERV'!$B:$E,2,FALSE))</f>
        <v>REATERRO MANUAL DE VALAS COM COMPACTAÇÃO MECANIZADA. AF_04/2016</v>
      </c>
      <c r="D906" s="571" t="str">
        <f>IF($A906="INSUMO",VLOOKUP($B906,'BANCO DE DADOS JAN-23 INS'!$A:$D,3,FALSE),VLOOKUP($B906,'BANCO DE DADOS JAN-23 SERV'!$B:$E,3,FALSE))</f>
        <v>M3</v>
      </c>
      <c r="E906" s="728">
        <f t="shared" si="25"/>
        <v>5.1800000000000006</v>
      </c>
      <c r="F906" s="575">
        <f>IF($A906="INSUMO",VLOOKUP($B906,'BANCO DE DADOS JAN-23 INS'!$A:$D,4,FALSE),VLOOKUP($B906,'BANCO DE DADOS JAN-23 SERV'!$B:$E,4,FALSE))</f>
        <v>24.33</v>
      </c>
      <c r="G906" s="573">
        <f t="shared" si="26"/>
        <v>126.02</v>
      </c>
    </row>
    <row r="907" spans="1:9" s="224" customFormat="1" ht="37.5" customHeight="1">
      <c r="A907" s="433" t="s">
        <v>452</v>
      </c>
      <c r="B907" s="562">
        <v>97101</v>
      </c>
      <c r="C907" s="574" t="str">
        <f>IF($A907="INSUMO",VLOOKUP($B907,'BANCO DE DADOS JAN-23 INS'!$A:$D,2,FALSE),VLOOKUP($B907,'BANCO DE DADOS JAN-23 SERV'!$B:$E,2,FALSE))</f>
        <v>EXECUÇÃO DE RADIER, ESPESSURA DE 10 CM, FCK = 30 MPA, COM USO DE FORMAS EM MADEIRA SERRADA. AF_09/2021</v>
      </c>
      <c r="D907" s="571" t="str">
        <f>IF($A907="INSUMO",VLOOKUP($B907,'BANCO DE DADOS JAN-23 INS'!$A:$D,3,FALSE),VLOOKUP($B907,'BANCO DE DADOS JAN-23 SERV'!$B:$E,3,FALSE))</f>
        <v>M2</v>
      </c>
      <c r="E907" s="728">
        <f t="shared" si="25"/>
        <v>1.1080000000000001</v>
      </c>
      <c r="F907" s="575">
        <f>IF($A907="INSUMO",VLOOKUP($B907,'BANCO DE DADOS JAN-23 INS'!$A:$D,4,FALSE),VLOOKUP($B907,'BANCO DE DADOS JAN-23 SERV'!$B:$E,4,FALSE))</f>
        <v>226.64</v>
      </c>
      <c r="G907" s="573">
        <f t="shared" si="26"/>
        <v>251.11</v>
      </c>
    </row>
    <row r="908" spans="1:9" s="224" customFormat="1" ht="45">
      <c r="A908" s="433" t="s">
        <v>452</v>
      </c>
      <c r="B908" s="562">
        <v>89478</v>
      </c>
      <c r="C908" s="574" t="str">
        <f>IF($A908="INSUMO",VLOOKUP($B908,'BANCO DE DADOS JAN-23 INS'!$A:$D,2,FALSE),VLOOKUP($B908,'BANCO DE DADOS JAN-23 SERV'!$B:$E,2,FALSE))</f>
        <v>ALVENARIA DE BLOCOS DE CONCRETO ESTRUTURAL 14X19X29 CM (ESPESSURA 14 CM), FBK = 4,5 MPA, UTILIZANDO COLHER DE PEDREIRO. AF_10/2022</v>
      </c>
      <c r="D908" s="571" t="str">
        <f>IF($A908="INSUMO",VLOOKUP($B908,'BANCO DE DADOS JAN-23 INS'!$A:$D,3,FALSE),VLOOKUP($B908,'BANCO DE DADOS JAN-23 SERV'!$B:$E,3,FALSE))</f>
        <v>M2</v>
      </c>
      <c r="E908" s="728">
        <f t="shared" si="25"/>
        <v>14.080000000000002</v>
      </c>
      <c r="F908" s="575">
        <f>IF($A908="INSUMO",VLOOKUP($B908,'BANCO DE DADOS JAN-23 INS'!$A:$D,4,FALSE),VLOOKUP($B908,'BANCO DE DADOS JAN-23 SERV'!$B:$E,4,FALSE))</f>
        <v>127.14</v>
      </c>
      <c r="G908" s="573">
        <f t="shared" si="26"/>
        <v>1790.13</v>
      </c>
    </row>
    <row r="909" spans="1:9" s="224" customFormat="1" ht="45">
      <c r="A909" s="433" t="s">
        <v>452</v>
      </c>
      <c r="B909" s="562">
        <v>89849</v>
      </c>
      <c r="C909" s="574" t="str">
        <f>IF($A909="INSUMO",VLOOKUP($B909,'BANCO DE DADOS JAN-23 INS'!$A:$D,2,FALSE),VLOOKUP($B909,'BANCO DE DADOS JAN-23 SERV'!$B:$E,2,FALSE))</f>
        <v>TUBO PVC, SERIE NORMAL, ESGOTO PREDIAL, DN 150 MM, FORNECIDO E INSTALADO EM SUBCOLETOR AÉREO DE ESGOTO SANITÁRIO. AF_08/2022</v>
      </c>
      <c r="D909" s="571" t="str">
        <f>IF($A909="INSUMO",VLOOKUP($B909,'BANCO DE DADOS JAN-23 INS'!$A:$D,3,FALSE),VLOOKUP($B909,'BANCO DE DADOS JAN-23 SERV'!$B:$E,3,FALSE))</f>
        <v>M</v>
      </c>
      <c r="E909" s="728">
        <f t="shared" si="25"/>
        <v>0.5</v>
      </c>
      <c r="F909" s="575">
        <f>IF($A909="INSUMO",VLOOKUP($B909,'BANCO DE DADOS JAN-23 INS'!$A:$D,4,FALSE),VLOOKUP($B909,'BANCO DE DADOS JAN-23 SERV'!$B:$E,4,FALSE))</f>
        <v>62.85</v>
      </c>
      <c r="G909" s="573">
        <f t="shared" si="26"/>
        <v>31.42</v>
      </c>
    </row>
    <row r="910" spans="1:9" s="224" customFormat="1" ht="30.75" thickBot="1">
      <c r="A910" s="433" t="s">
        <v>452</v>
      </c>
      <c r="B910" s="576">
        <v>102719</v>
      </c>
      <c r="C910" s="577" t="str">
        <f>IF($A910="INSUMO",VLOOKUP($B910,'BANCO DE DADOS JAN-23 INS'!$A:$D,2,FALSE),VLOOKUP($B910,'BANCO DE DADOS JAN-23 SERV'!$B:$E,2,FALSE))</f>
        <v>ENCHIMENTO DE BRITA PARA DRENO, LANÇAMENTO MANUAL. AF_07/2021</v>
      </c>
      <c r="D910" s="578" t="str">
        <f>IF($A910="INSUMO",VLOOKUP($B910,'BANCO DE DADOS JAN-23 INS'!$A:$D,3,FALSE),VLOOKUP($B910,'BANCO DE DADOS JAN-23 SERV'!$B:$E,3,FALSE))</f>
        <v>M3</v>
      </c>
      <c r="E910" s="1075">
        <f t="shared" si="25"/>
        <v>0.29400000000000004</v>
      </c>
      <c r="F910" s="579">
        <f>IF($A910="INSUMO",VLOOKUP($B910,'BANCO DE DADOS JAN-23 INS'!$A:$D,4,FALSE),VLOOKUP($B910,'BANCO DE DADOS JAN-23 SERV'!$B:$E,4,FALSE))</f>
        <v>150.33000000000001</v>
      </c>
      <c r="G910" s="581">
        <f t="shared" si="26"/>
        <v>44.19</v>
      </c>
    </row>
    <row r="911" spans="1:9" s="224" customFormat="1" ht="30" customHeight="1" thickBot="1">
      <c r="B911" s="1657" t="s">
        <v>7110</v>
      </c>
      <c r="C911" s="1657"/>
      <c r="D911" s="1657"/>
      <c r="E911" s="1658"/>
      <c r="F911" s="712" t="s">
        <v>190</v>
      </c>
      <c r="G911" s="1045">
        <f>SUM(G904:G910)</f>
        <v>2431.0000000000005</v>
      </c>
    </row>
    <row r="912" spans="1:9" s="224" customFormat="1" ht="21" customHeight="1" thickBot="1">
      <c r="B912" s="1059"/>
      <c r="C912" s="1059"/>
      <c r="D912" s="1059"/>
      <c r="E912" s="1059"/>
      <c r="F912" s="226"/>
      <c r="G912" s="227"/>
    </row>
    <row r="913" spans="1:8" s="224" customFormat="1" ht="24.95" customHeight="1" thickBot="1">
      <c r="B913" s="1659" t="s">
        <v>3000</v>
      </c>
      <c r="C913" s="1660"/>
      <c r="D913" s="1660"/>
      <c r="E913" s="1660"/>
      <c r="F913" s="1660"/>
      <c r="G913" s="1661"/>
    </row>
    <row r="914" spans="1:8" s="224" customFormat="1" ht="24.95" customHeight="1">
      <c r="B914" s="1064" t="s">
        <v>452</v>
      </c>
      <c r="C914" s="1662" t="s">
        <v>634</v>
      </c>
      <c r="D914" s="1662"/>
      <c r="E914" s="1662" t="s">
        <v>7111</v>
      </c>
      <c r="F914" s="1662"/>
      <c r="G914" s="1065" t="s">
        <v>7112</v>
      </c>
    </row>
    <row r="915" spans="1:8" s="224" customFormat="1" ht="24.95" customHeight="1">
      <c r="B915" s="1066" t="s">
        <v>7113</v>
      </c>
      <c r="C915" s="1663" t="s">
        <v>7114</v>
      </c>
      <c r="D915" s="1663"/>
      <c r="E915" s="1663" t="s">
        <v>7143</v>
      </c>
      <c r="F915" s="1663"/>
      <c r="G915" s="1067">
        <f>TRUNC(6.24*2,2)</f>
        <v>12.48</v>
      </c>
    </row>
    <row r="916" spans="1:8" s="224" customFormat="1" ht="24.95" customHeight="1">
      <c r="B916" s="1066" t="s">
        <v>7116</v>
      </c>
      <c r="C916" s="1663" t="s">
        <v>7117</v>
      </c>
      <c r="D916" s="1663"/>
      <c r="E916" s="1663" t="s">
        <v>7118</v>
      </c>
      <c r="F916" s="1663"/>
      <c r="G916" s="1067">
        <f>6.24</f>
        <v>6.24</v>
      </c>
    </row>
    <row r="917" spans="1:8" s="224" customFormat="1" ht="24.95" customHeight="1">
      <c r="B917" s="1066" t="s">
        <v>6246</v>
      </c>
      <c r="C917" s="1663" t="s">
        <v>7119</v>
      </c>
      <c r="D917" s="1663"/>
      <c r="E917" s="1663" t="s">
        <v>7144</v>
      </c>
      <c r="F917" s="1663"/>
      <c r="G917" s="1067">
        <f>12.48-7.3</f>
        <v>5.1800000000000006</v>
      </c>
    </row>
    <row r="918" spans="1:8" s="224" customFormat="1" ht="35.25" customHeight="1">
      <c r="B918" s="1068" t="s">
        <v>7121</v>
      </c>
      <c r="C918" s="1663" t="s">
        <v>7122</v>
      </c>
      <c r="D918" s="1663"/>
      <c r="E918" s="1663" t="s">
        <v>7123</v>
      </c>
      <c r="F918" s="1663"/>
      <c r="G918" s="1069">
        <f>(6.24+4.84)*0.1</f>
        <v>1.1080000000000001</v>
      </c>
    </row>
    <row r="919" spans="1:8" s="224" customFormat="1" ht="24.95" customHeight="1">
      <c r="B919" s="1066" t="s">
        <v>7124</v>
      </c>
      <c r="C919" s="1663" t="s">
        <v>7125</v>
      </c>
      <c r="D919" s="1663"/>
      <c r="E919" s="1663" t="s">
        <v>7145</v>
      </c>
      <c r="F919" s="1663"/>
      <c r="G919" s="1067">
        <f>8.8*1.6</f>
        <v>14.080000000000002</v>
      </c>
    </row>
    <row r="920" spans="1:8" s="224" customFormat="1" ht="24.95" customHeight="1">
      <c r="B920" s="1066" t="s">
        <v>7127</v>
      </c>
      <c r="C920" s="1663" t="s">
        <v>7128</v>
      </c>
      <c r="D920" s="1663"/>
      <c r="E920" s="1663" t="s">
        <v>7129</v>
      </c>
      <c r="F920" s="1663"/>
      <c r="G920" s="1067">
        <v>0.5</v>
      </c>
    </row>
    <row r="921" spans="1:8" s="224" customFormat="1" ht="24.95" customHeight="1" thickBot="1">
      <c r="B921" s="1070" t="s">
        <v>7130</v>
      </c>
      <c r="C921" s="1656" t="s">
        <v>7131</v>
      </c>
      <c r="D921" s="1656"/>
      <c r="E921" s="1656" t="s">
        <v>7132</v>
      </c>
      <c r="F921" s="1656"/>
      <c r="G921" s="1071">
        <f>0.196*1.5</f>
        <v>0.29400000000000004</v>
      </c>
    </row>
    <row r="922" spans="1:8" s="224" customFormat="1" ht="15.75" thickBot="1">
      <c r="B922" s="1074"/>
      <c r="C922" s="294"/>
      <c r="D922" s="294"/>
      <c r="E922" s="294"/>
      <c r="F922" s="294"/>
      <c r="G922" s="294"/>
    </row>
    <row r="923" spans="1:8" s="224" customFormat="1" ht="15.75">
      <c r="B923" s="333" t="str">
        <f>IF(COUNT($H$13:H923)&lt;10,CONCATENATE("AMM SAA 00",COUNT($H$13:H923)),CONCATENATE("AMM SAA 0",COUNT($H$13:H923)))</f>
        <v>AMM SAA 028</v>
      </c>
      <c r="C923" s="1664" t="s">
        <v>13740</v>
      </c>
      <c r="D923" s="1665"/>
      <c r="E923" s="1665"/>
      <c r="F923" s="1666"/>
      <c r="G923" s="357" t="s">
        <v>23</v>
      </c>
      <c r="H923" s="355">
        <f>G931</f>
        <v>107.86999999999999</v>
      </c>
    </row>
    <row r="924" spans="1:8" s="1474" customFormat="1" ht="31.5">
      <c r="B924" s="1478" t="s">
        <v>206</v>
      </c>
      <c r="C924" s="1488" t="s">
        <v>184</v>
      </c>
      <c r="D924" s="1488" t="s">
        <v>23</v>
      </c>
      <c r="E924" s="1488" t="s">
        <v>185</v>
      </c>
      <c r="F924" s="1489" t="s">
        <v>186</v>
      </c>
      <c r="G924" s="1490" t="s">
        <v>187</v>
      </c>
    </row>
    <row r="925" spans="1:8" s="224" customFormat="1" ht="15.75">
      <c r="B925" s="1667" t="s">
        <v>188</v>
      </c>
      <c r="C925" s="1668"/>
      <c r="D925" s="1668"/>
      <c r="E925" s="1668"/>
      <c r="F925" s="1668"/>
      <c r="G925" s="1669"/>
    </row>
    <row r="926" spans="1:8" s="224" customFormat="1" ht="15.75">
      <c r="A926" s="433" t="s">
        <v>451</v>
      </c>
      <c r="B926" s="562">
        <v>3148</v>
      </c>
      <c r="C926" s="574" t="str">
        <f>IF($A926="INSUMO",VLOOKUP($B926,'BANCO DE DADOS JAN-23 INS'!$A:$D,2,FALSE),VLOOKUP($B926,'BANCO DE DADOS JAN-23 SERV'!$B:$E,2,FALSE))</f>
        <v>FITA VEDA ROSCA EM ROLOS DE 18 MM X 50 M (L X C)</v>
      </c>
      <c r="D926" s="571" t="str">
        <f>IF($A926="INSUMO",VLOOKUP($B926,'BANCO DE DADOS JAN-23 INS'!$A:$D,3,FALSE),VLOOKUP($B926,'BANCO DE DADOS JAN-23 SERV'!$B:$E,3,FALSE))</f>
        <v xml:space="preserve">UN    </v>
      </c>
      <c r="E926" s="1063">
        <v>1.9800000000000002E-2</v>
      </c>
      <c r="F926" s="575">
        <f>IF($A926="INSUMO",VLOOKUP($B926,'BANCO DE DADOS JAN-23 INS'!$A:$D,4,FALSE),VLOOKUP($B926,'BANCO DE DADOS JAN-23 SERV'!$B:$E,4,FALSE))</f>
        <v>16.59</v>
      </c>
      <c r="G926" s="573">
        <f t="shared" ref="G926:G930" si="27">TRUNC(E926*F926,2)</f>
        <v>0.32</v>
      </c>
    </row>
    <row r="927" spans="1:8" s="224" customFormat="1" ht="45">
      <c r="A927" s="433" t="s">
        <v>452</v>
      </c>
      <c r="B927" s="562" t="str">
        <f>B933</f>
        <v>COTAÇÃO 079</v>
      </c>
      <c r="C927" s="574" t="str">
        <f>C933</f>
        <v>HIDROMETRO UNIJATO / MEDIDOR DE AGUA, DN 3/4", VAZAO MAXIMA DE 5 M3/H, PARA AGUA POTAVEL FRIA, RELOJOARIA INCLINADA, CLASSE B, HORIZONTAL (SEM CONEXOES)</v>
      </c>
      <c r="D927" s="612" t="str">
        <f>G933</f>
        <v>UN</v>
      </c>
      <c r="E927" s="1063">
        <v>1</v>
      </c>
      <c r="F927" s="575">
        <f>D938</f>
        <v>86.77</v>
      </c>
      <c r="G927" s="573">
        <f t="shared" si="27"/>
        <v>86.77</v>
      </c>
    </row>
    <row r="928" spans="1:8" s="224" customFormat="1" ht="15.75">
      <c r="B928" s="1670" t="s">
        <v>6797</v>
      </c>
      <c r="C928" s="1671"/>
      <c r="D928" s="1671"/>
      <c r="E928" s="1671"/>
      <c r="F928" s="1671"/>
      <c r="G928" s="1672"/>
    </row>
    <row r="929" spans="1:9" s="224" customFormat="1" ht="30">
      <c r="A929" s="433" t="s">
        <v>452</v>
      </c>
      <c r="B929" s="562">
        <v>88248</v>
      </c>
      <c r="C929" s="574" t="str">
        <f>IF($A929="INSUMO",VLOOKUP($B929,'BANCO DE DADOS JAN-23 INS'!$A:$D,2,FALSE),VLOOKUP($B929,'BANCO DE DADOS JAN-23 SERV'!$B:$E,2,FALSE))</f>
        <v>AUXILIAR DE ENCANADOR OU BOMBEIRO HIDRÁULICO COM ENCARGOS COMPLEMENTARES</v>
      </c>
      <c r="D929" s="571" t="str">
        <f>IF($A929="INSUMO",VLOOKUP($B929,'BANCO DE DADOS JAN-23 INS'!$A:$D,3,FALSE),VLOOKUP($B929,'BANCO DE DADOS JAN-23 SERV'!$B:$E,3,FALSE))</f>
        <v>H</v>
      </c>
      <c r="E929" s="1063">
        <v>0.52590000000000003</v>
      </c>
      <c r="F929" s="575">
        <f>IF($A929="INSUMO",VLOOKUP($B929,'BANCO DE DADOS JAN-23 INS'!$A:$D,4,FALSE),VLOOKUP($B929,'BANCO DE DADOS JAN-23 SERV'!$B:$E,4,FALSE))</f>
        <v>17.87</v>
      </c>
      <c r="G929" s="573">
        <f t="shared" si="27"/>
        <v>9.39</v>
      </c>
    </row>
    <row r="930" spans="1:9" s="224" customFormat="1" ht="30.75" thickBot="1">
      <c r="A930" s="433" t="s">
        <v>452</v>
      </c>
      <c r="B930" s="576">
        <v>88267</v>
      </c>
      <c r="C930" s="577" t="str">
        <f>IF($A930="INSUMO",VLOOKUP($B930,'BANCO DE DADOS JAN-23 INS'!$A:$D,2,FALSE),VLOOKUP($B930,'BANCO DE DADOS JAN-23 SERV'!$B:$E,2,FALSE))</f>
        <v>ENCANADOR OU BOMBEIRO HIDRÁULICO COM ENCARGOS COMPLEMENTARES</v>
      </c>
      <c r="D930" s="578" t="str">
        <f>IF($A930="INSUMO",VLOOKUP($B930,'BANCO DE DADOS JAN-23 INS'!$A:$D,3,FALSE),VLOOKUP($B930,'BANCO DE DADOS JAN-23 SERV'!$B:$E,3,FALSE))</f>
        <v>H</v>
      </c>
      <c r="E930" s="1075">
        <v>0.52590000000000003</v>
      </c>
      <c r="F930" s="579">
        <f>IF($A930="INSUMO",VLOOKUP($B930,'BANCO DE DADOS JAN-23 INS'!$A:$D,4,FALSE),VLOOKUP($B930,'BANCO DE DADOS JAN-23 SERV'!$B:$E,4,FALSE))</f>
        <v>21.66</v>
      </c>
      <c r="G930" s="581">
        <f t="shared" si="27"/>
        <v>11.39</v>
      </c>
    </row>
    <row r="931" spans="1:9" s="224" customFormat="1" ht="16.5" thickBot="1">
      <c r="B931" s="1657" t="s">
        <v>13742</v>
      </c>
      <c r="C931" s="1657"/>
      <c r="D931" s="1657"/>
      <c r="E931" s="1658"/>
      <c r="F931" s="712" t="s">
        <v>190</v>
      </c>
      <c r="G931" s="1045">
        <f>SUM(G926:G930)</f>
        <v>107.86999999999999</v>
      </c>
    </row>
    <row r="932" spans="1:9" s="224" customFormat="1" ht="15.75" thickBot="1">
      <c r="B932" s="294"/>
      <c r="C932" s="294"/>
      <c r="D932" s="294"/>
      <c r="E932" s="294"/>
      <c r="F932" s="294"/>
      <c r="G932" s="294"/>
    </row>
    <row r="933" spans="1:9" s="224" customFormat="1" ht="47.25">
      <c r="B933" s="422" t="s">
        <v>13741</v>
      </c>
      <c r="C933" s="689" t="s">
        <v>13750</v>
      </c>
      <c r="D933" s="423"/>
      <c r="E933" s="424"/>
      <c r="F933" s="421"/>
      <c r="G933" s="358" t="s">
        <v>23</v>
      </c>
    </row>
    <row r="934" spans="1:9" s="224" customFormat="1" ht="31.5">
      <c r="B934" s="542" t="s">
        <v>195</v>
      </c>
      <c r="C934" s="543" t="s">
        <v>196</v>
      </c>
      <c r="D934" s="544" t="s">
        <v>197</v>
      </c>
      <c r="E934" s="545" t="s">
        <v>198</v>
      </c>
      <c r="F934" s="546" t="s">
        <v>199</v>
      </c>
      <c r="G934" s="547" t="s">
        <v>200</v>
      </c>
    </row>
    <row r="935" spans="1:9" s="1474" customFormat="1">
      <c r="B935" s="1470">
        <v>44972</v>
      </c>
      <c r="C935" s="1471" t="s">
        <v>13743</v>
      </c>
      <c r="D935" s="1472">
        <v>77.44</v>
      </c>
      <c r="E935" s="1440" t="s">
        <v>13744</v>
      </c>
      <c r="F935" s="1123" t="s">
        <v>13745</v>
      </c>
      <c r="G935" s="1473" t="s">
        <v>13746</v>
      </c>
      <c r="I935" s="1475">
        <f>B935+180</f>
        <v>45152</v>
      </c>
    </row>
    <row r="936" spans="1:9" s="1474" customFormat="1">
      <c r="B936" s="1470">
        <v>44959</v>
      </c>
      <c r="C936" s="1471" t="s">
        <v>13987</v>
      </c>
      <c r="D936" s="1472">
        <v>110.9</v>
      </c>
      <c r="E936" s="1440" t="s">
        <v>7056</v>
      </c>
      <c r="F936" s="1123" t="s">
        <v>7057</v>
      </c>
      <c r="G936" s="1473" t="s">
        <v>6444</v>
      </c>
      <c r="I936" s="1475">
        <f>B936+180</f>
        <v>45139</v>
      </c>
    </row>
    <row r="937" spans="1:9" s="1474" customFormat="1">
      <c r="B937" s="1470">
        <v>45014</v>
      </c>
      <c r="C937" s="1471" t="s">
        <v>13988</v>
      </c>
      <c r="D937" s="1472">
        <v>86.77</v>
      </c>
      <c r="E937" s="1440" t="s">
        <v>13989</v>
      </c>
      <c r="F937" s="1123" t="s">
        <v>13990</v>
      </c>
      <c r="G937" s="1473" t="s">
        <v>13991</v>
      </c>
      <c r="I937" s="1475">
        <f>B937+180</f>
        <v>45194</v>
      </c>
    </row>
    <row r="938" spans="1:9" s="224" customFormat="1" ht="16.5" thickBot="1">
      <c r="B938" s="1046"/>
      <c r="C938" s="549" t="s">
        <v>201</v>
      </c>
      <c r="D938" s="718">
        <f>MEDIAN(D935:D937)</f>
        <v>86.77</v>
      </c>
      <c r="E938" s="551"/>
      <c r="F938" s="552"/>
      <c r="G938" s="553"/>
    </row>
    <row r="939" spans="1:9" s="224" customFormat="1" ht="15.75">
      <c r="B939" s="1059"/>
      <c r="C939" s="1059"/>
      <c r="D939" s="1059"/>
      <c r="E939" s="1059"/>
      <c r="F939" s="226"/>
      <c r="G939" s="227"/>
    </row>
    <row r="940" spans="1:9" s="224" customFormat="1" ht="22.5" customHeight="1"/>
  </sheetData>
  <mergeCells count="149">
    <mergeCell ref="C923:F923"/>
    <mergeCell ref="B925:G925"/>
    <mergeCell ref="B931:E931"/>
    <mergeCell ref="B928:G928"/>
    <mergeCell ref="C276:F276"/>
    <mergeCell ref="B244:G244"/>
    <mergeCell ref="B288:G288"/>
    <mergeCell ref="C98:F98"/>
    <mergeCell ref="B100:G100"/>
    <mergeCell ref="B116:G116"/>
    <mergeCell ref="B120:E120"/>
    <mergeCell ref="C227:F227"/>
    <mergeCell ref="B229:G229"/>
    <mergeCell ref="B231:G231"/>
    <mergeCell ref="B235:E235"/>
    <mergeCell ref="B278:G278"/>
    <mergeCell ref="C237:F237"/>
    <mergeCell ref="B239:G239"/>
    <mergeCell ref="B246:E246"/>
    <mergeCell ref="B411:G411"/>
    <mergeCell ref="B428:G428"/>
    <mergeCell ref="B431:E431"/>
    <mergeCell ref="C424:F424"/>
    <mergeCell ref="B426:G426"/>
    <mergeCell ref="C3:E3"/>
    <mergeCell ref="F3:G3"/>
    <mergeCell ref="C4:E4"/>
    <mergeCell ref="C5:E5"/>
    <mergeCell ref="B6:G6"/>
    <mergeCell ref="C8:E8"/>
    <mergeCell ref="C14:F14"/>
    <mergeCell ref="B16:G16"/>
    <mergeCell ref="B18:E18"/>
    <mergeCell ref="B94:G94"/>
    <mergeCell ref="B73:G73"/>
    <mergeCell ref="B75:E75"/>
    <mergeCell ref="C84:F84"/>
    <mergeCell ref="B86:G86"/>
    <mergeCell ref="C9:E9"/>
    <mergeCell ref="B11:G11"/>
    <mergeCell ref="C71:F71"/>
    <mergeCell ref="B31:G31"/>
    <mergeCell ref="B34:E34"/>
    <mergeCell ref="B90:G90"/>
    <mergeCell ref="B91:G91"/>
    <mergeCell ref="B38:G38"/>
    <mergeCell ref="B40:G40"/>
    <mergeCell ref="B43:E43"/>
    <mergeCell ref="B44:G44"/>
    <mergeCell ref="C27:F27"/>
    <mergeCell ref="B29:G29"/>
    <mergeCell ref="B60:G60"/>
    <mergeCell ref="B66:G66"/>
    <mergeCell ref="B69:E69"/>
    <mergeCell ref="C45:F45"/>
    <mergeCell ref="B47:G47"/>
    <mergeCell ref="B53:G53"/>
    <mergeCell ref="B56:E56"/>
    <mergeCell ref="B57:G57"/>
    <mergeCell ref="C58:F58"/>
    <mergeCell ref="C417:F417"/>
    <mergeCell ref="B419:G419"/>
    <mergeCell ref="B422:E422"/>
    <mergeCell ref="C357:F357"/>
    <mergeCell ref="B359:G359"/>
    <mergeCell ref="B362:G362"/>
    <mergeCell ref="B365:E365"/>
    <mergeCell ref="C377:F377"/>
    <mergeCell ref="B379:G379"/>
    <mergeCell ref="B392:E392"/>
    <mergeCell ref="C401:F401"/>
    <mergeCell ref="B403:G403"/>
    <mergeCell ref="B415:E415"/>
    <mergeCell ref="B292:E292"/>
    <mergeCell ref="C367:F367"/>
    <mergeCell ref="B369:G369"/>
    <mergeCell ref="B372:G372"/>
    <mergeCell ref="B375:E375"/>
    <mergeCell ref="C409:F409"/>
    <mergeCell ref="B407:E407"/>
    <mergeCell ref="B389:G389"/>
    <mergeCell ref="C440:F440"/>
    <mergeCell ref="B442:G442"/>
    <mergeCell ref="B445:G445"/>
    <mergeCell ref="B449:E449"/>
    <mergeCell ref="C458:F458"/>
    <mergeCell ref="B460:G460"/>
    <mergeCell ref="B463:G463"/>
    <mergeCell ref="B467:E467"/>
    <mergeCell ref="C476:F476"/>
    <mergeCell ref="B478:G478"/>
    <mergeCell ref="B480:G480"/>
    <mergeCell ref="C493:F493"/>
    <mergeCell ref="B495:G495"/>
    <mergeCell ref="B520:G520"/>
    <mergeCell ref="B527:E527"/>
    <mergeCell ref="C697:F697"/>
    <mergeCell ref="B699:G699"/>
    <mergeCell ref="B484:E484"/>
    <mergeCell ref="B711:G711"/>
    <mergeCell ref="B715:E715"/>
    <mergeCell ref="C787:F787"/>
    <mergeCell ref="B789:G789"/>
    <mergeCell ref="B797:E797"/>
    <mergeCell ref="B799:G799"/>
    <mergeCell ref="C800:D800"/>
    <mergeCell ref="E800:F800"/>
    <mergeCell ref="C801:D801"/>
    <mergeCell ref="E801:F801"/>
    <mergeCell ref="C802:D802"/>
    <mergeCell ref="E802:F802"/>
    <mergeCell ref="C803:D803"/>
    <mergeCell ref="E803:F803"/>
    <mergeCell ref="C804:D804"/>
    <mergeCell ref="E804:F804"/>
    <mergeCell ref="C805:D805"/>
    <mergeCell ref="E805:F805"/>
    <mergeCell ref="C806:D806"/>
    <mergeCell ref="E806:F806"/>
    <mergeCell ref="C807:D807"/>
    <mergeCell ref="E807:F807"/>
    <mergeCell ref="C809:F809"/>
    <mergeCell ref="B811:G811"/>
    <mergeCell ref="B815:G815"/>
    <mergeCell ref="B818:E818"/>
    <mergeCell ref="C820:F820"/>
    <mergeCell ref="B822:G822"/>
    <mergeCell ref="B832:G832"/>
    <mergeCell ref="B836:E836"/>
    <mergeCell ref="C901:F901"/>
    <mergeCell ref="B903:G903"/>
    <mergeCell ref="C918:D918"/>
    <mergeCell ref="E918:F918"/>
    <mergeCell ref="C919:D919"/>
    <mergeCell ref="E919:F919"/>
    <mergeCell ref="C920:D920"/>
    <mergeCell ref="E920:F920"/>
    <mergeCell ref="C921:D921"/>
    <mergeCell ref="E921:F921"/>
    <mergeCell ref="B911:E911"/>
    <mergeCell ref="B913:G913"/>
    <mergeCell ref="C914:D914"/>
    <mergeCell ref="E914:F914"/>
    <mergeCell ref="C915:D915"/>
    <mergeCell ref="E915:F915"/>
    <mergeCell ref="C916:D916"/>
    <mergeCell ref="E916:F916"/>
    <mergeCell ref="C917:D917"/>
    <mergeCell ref="E917:F917"/>
  </mergeCells>
  <conditionalFormatting sqref="E92 E88:E90 E70 E84">
    <cfRule type="expression" dxfId="5" priority="17" stopIfTrue="1">
      <formula>AND(#REF!&lt;&gt;"COMPOSICAO",#REF!&lt;&gt;"INSUMO",#REF!&lt;&gt;"")</formula>
    </cfRule>
    <cfRule type="expression" dxfId="4" priority="18" stopIfTrue="1">
      <formula>AND(OR(#REF!="COMPOSICAO",#REF!="INSUMO",#REF!&lt;&gt;""),#REF!&lt;&gt;"")</formula>
    </cfRule>
  </conditionalFormatting>
  <conditionalFormatting sqref="E93">
    <cfRule type="expression" dxfId="3" priority="15" stopIfTrue="1">
      <formula>AND(#REF!&lt;&gt;"COMPOSICAO",#REF!&lt;&gt;"INSUMO",#REF!&lt;&gt;"")</formula>
    </cfRule>
    <cfRule type="expression" dxfId="2" priority="16" stopIfTrue="1">
      <formula>AND(OR(#REF!="COMPOSICAO",#REF!="INSUMO",#REF!&lt;&gt;""),#REF!&lt;&gt;"")</formula>
    </cfRule>
  </conditionalFormatting>
  <conditionalFormatting sqref="E95">
    <cfRule type="expression" dxfId="1" priority="13" stopIfTrue="1">
      <formula>AND(#REF!&lt;&gt;"COMPOSICAO",#REF!&lt;&gt;"INSUMO",#REF!&lt;&gt;"")</formula>
    </cfRule>
    <cfRule type="expression" dxfId="0" priority="14" stopIfTrue="1">
      <formula>AND(OR(#REF!="COMPOSICAO",#REF!="INSUMO",#REF!&lt;&gt;""),#REF!&lt;&gt;"")</formula>
    </cfRule>
  </conditionalFormatting>
  <dataValidations count="1">
    <dataValidation type="list" allowBlank="1" showInputMessage="1" showErrorMessage="1" sqref="A87 A30 A32:A33 A39 A41:A42 A54:A55 A48:A52 A67:A68 A61:A65 A380:A388 A245 A363:A364 A360:A361 A404:A406 A390:A391 A412:A414 A373:A374 A370:A371 A279:A287 A101:A115 A289:A291 A117:A119 A230 A232:A234 A420:A421 A427 A429:A430 A461:A466 A443:A448 A521:A526 A710 A712:A714 A790:A796 A812:A814 A816:A817 A824:A831 A833:A835 A904:A910 A240:A243 A926:A927 A929:A930">
      <formula1>$A$3:$A$4</formula1>
    </dataValidation>
  </dataValidations>
  <pageMargins left="0.70866141732283472" right="0.19685039370078741" top="0.59055118110236227" bottom="0.78740157480314965" header="0.31496062992125984" footer="0.31496062992125984"/>
  <pageSetup paperSize="9" scale="50" orientation="portrait" r:id="rId1"/>
  <headerFooter>
    <oddHeader>&amp;RPágina &amp;P de &amp;N</oddHeader>
  </headerFooter>
  <rowBreaks count="8" manualBreakCount="8">
    <brk id="115" min="1" max="6" man="1"/>
    <brk id="300" min="1" max="6" man="1"/>
    <brk id="361" min="1" max="6" man="1"/>
    <brk id="408" min="1" max="6" man="1"/>
    <brk id="457" min="1" max="6" man="1"/>
    <brk id="563" min="1" max="6" man="1"/>
    <brk id="633" min="1" max="6" man="1"/>
    <brk id="808" min="1" max="6" man="1"/>
  </rowBreaks>
  <drawing r:id="rId2"/>
  <legacyDrawingHF r:id="rId3"/>
</worksheet>
</file>

<file path=xl/worksheets/sheet7.xml><?xml version="1.0" encoding="utf-8"?>
<worksheet xmlns="http://schemas.openxmlformats.org/spreadsheetml/2006/main" xmlns:r="http://schemas.openxmlformats.org/officeDocument/2006/relationships">
  <sheetPr codeName="Planilha5">
    <tabColor rgb="FFFFCCFF"/>
  </sheetPr>
  <dimension ref="A1:K77"/>
  <sheetViews>
    <sheetView view="pageBreakPreview" topLeftCell="C1" zoomScale="70" zoomScaleSheetLayoutView="70" workbookViewId="0">
      <selection activeCell="B9" sqref="B9:F9"/>
    </sheetView>
  </sheetViews>
  <sheetFormatPr defaultRowHeight="12.75"/>
  <cols>
    <col min="1" max="1" width="28.140625" style="56" customWidth="1"/>
    <col min="2" max="2" width="24.7109375" style="57" customWidth="1"/>
    <col min="3" max="3" width="75.7109375" style="57" customWidth="1"/>
    <col min="4" max="4" width="15.7109375" style="58" customWidth="1"/>
    <col min="5" max="5" width="23.7109375" style="59" customWidth="1"/>
    <col min="6" max="6" width="19.42578125" style="72" bestFit="1" customWidth="1"/>
    <col min="7" max="7" width="20.7109375" style="219" customWidth="1"/>
    <col min="8" max="8" width="20" style="56" bestFit="1" customWidth="1"/>
    <col min="9" max="9" width="19.28515625" style="56" customWidth="1"/>
    <col min="10" max="10" width="17.140625" style="56" customWidth="1"/>
    <col min="11" max="257" width="9.140625" style="56"/>
    <col min="258" max="258" width="21" style="56" customWidth="1"/>
    <col min="259" max="259" width="81.42578125" style="56" customWidth="1"/>
    <col min="260" max="261" width="15.5703125" style="56" customWidth="1"/>
    <col min="262" max="262" width="14.140625" style="56" bestFit="1" customWidth="1"/>
    <col min="263" max="263" width="18" style="56" bestFit="1" customWidth="1"/>
    <col min="264" max="264" width="11" style="56" bestFit="1" customWidth="1"/>
    <col min="265" max="513" width="9.140625" style="56"/>
    <col min="514" max="514" width="21" style="56" customWidth="1"/>
    <col min="515" max="515" width="81.42578125" style="56" customWidth="1"/>
    <col min="516" max="517" width="15.5703125" style="56" customWidth="1"/>
    <col min="518" max="518" width="14.140625" style="56" bestFit="1" customWidth="1"/>
    <col min="519" max="519" width="18" style="56" bestFit="1" customWidth="1"/>
    <col min="520" max="520" width="11" style="56" bestFit="1" customWidth="1"/>
    <col min="521" max="769" width="9.140625" style="56"/>
    <col min="770" max="770" width="21" style="56" customWidth="1"/>
    <col min="771" max="771" width="81.42578125" style="56" customWidth="1"/>
    <col min="772" max="773" width="15.5703125" style="56" customWidth="1"/>
    <col min="774" max="774" width="14.140625" style="56" bestFit="1" customWidth="1"/>
    <col min="775" max="775" width="18" style="56" bestFit="1" customWidth="1"/>
    <col min="776" max="776" width="11" style="56" bestFit="1" customWidth="1"/>
    <col min="777" max="1025" width="9.140625" style="56"/>
    <col min="1026" max="1026" width="21" style="56" customWidth="1"/>
    <col min="1027" max="1027" width="81.42578125" style="56" customWidth="1"/>
    <col min="1028" max="1029" width="15.5703125" style="56" customWidth="1"/>
    <col min="1030" max="1030" width="14.140625" style="56" bestFit="1" customWidth="1"/>
    <col min="1031" max="1031" width="18" style="56" bestFit="1" customWidth="1"/>
    <col min="1032" max="1032" width="11" style="56" bestFit="1" customWidth="1"/>
    <col min="1033" max="1281" width="9.140625" style="56"/>
    <col min="1282" max="1282" width="21" style="56" customWidth="1"/>
    <col min="1283" max="1283" width="81.42578125" style="56" customWidth="1"/>
    <col min="1284" max="1285" width="15.5703125" style="56" customWidth="1"/>
    <col min="1286" max="1286" width="14.140625" style="56" bestFit="1" customWidth="1"/>
    <col min="1287" max="1287" width="18" style="56" bestFit="1" customWidth="1"/>
    <col min="1288" max="1288" width="11" style="56" bestFit="1" customWidth="1"/>
    <col min="1289" max="1537" width="9.140625" style="56"/>
    <col min="1538" max="1538" width="21" style="56" customWidth="1"/>
    <col min="1539" max="1539" width="81.42578125" style="56" customWidth="1"/>
    <col min="1540" max="1541" width="15.5703125" style="56" customWidth="1"/>
    <col min="1542" max="1542" width="14.140625" style="56" bestFit="1" customWidth="1"/>
    <col min="1543" max="1543" width="18" style="56" bestFit="1" customWidth="1"/>
    <col min="1544" max="1544" width="11" style="56" bestFit="1" customWidth="1"/>
    <col min="1545" max="1793" width="9.140625" style="56"/>
    <col min="1794" max="1794" width="21" style="56" customWidth="1"/>
    <col min="1795" max="1795" width="81.42578125" style="56" customWidth="1"/>
    <col min="1796" max="1797" width="15.5703125" style="56" customWidth="1"/>
    <col min="1798" max="1798" width="14.140625" style="56" bestFit="1" customWidth="1"/>
    <col min="1799" max="1799" width="18" style="56" bestFit="1" customWidth="1"/>
    <col min="1800" max="1800" width="11" style="56" bestFit="1" customWidth="1"/>
    <col min="1801" max="2049" width="9.140625" style="56"/>
    <col min="2050" max="2050" width="21" style="56" customWidth="1"/>
    <col min="2051" max="2051" width="81.42578125" style="56" customWidth="1"/>
    <col min="2052" max="2053" width="15.5703125" style="56" customWidth="1"/>
    <col min="2054" max="2054" width="14.140625" style="56" bestFit="1" customWidth="1"/>
    <col min="2055" max="2055" width="18" style="56" bestFit="1" customWidth="1"/>
    <col min="2056" max="2056" width="11" style="56" bestFit="1" customWidth="1"/>
    <col min="2057" max="2305" width="9.140625" style="56"/>
    <col min="2306" max="2306" width="21" style="56" customWidth="1"/>
    <col min="2307" max="2307" width="81.42578125" style="56" customWidth="1"/>
    <col min="2308" max="2309" width="15.5703125" style="56" customWidth="1"/>
    <col min="2310" max="2310" width="14.140625" style="56" bestFit="1" customWidth="1"/>
    <col min="2311" max="2311" width="18" style="56" bestFit="1" customWidth="1"/>
    <col min="2312" max="2312" width="11" style="56" bestFit="1" customWidth="1"/>
    <col min="2313" max="2561" width="9.140625" style="56"/>
    <col min="2562" max="2562" width="21" style="56" customWidth="1"/>
    <col min="2563" max="2563" width="81.42578125" style="56" customWidth="1"/>
    <col min="2564" max="2565" width="15.5703125" style="56" customWidth="1"/>
    <col min="2566" max="2566" width="14.140625" style="56" bestFit="1" customWidth="1"/>
    <col min="2567" max="2567" width="18" style="56" bestFit="1" customWidth="1"/>
    <col min="2568" max="2568" width="11" style="56" bestFit="1" customWidth="1"/>
    <col min="2569" max="2817" width="9.140625" style="56"/>
    <col min="2818" max="2818" width="21" style="56" customWidth="1"/>
    <col min="2819" max="2819" width="81.42578125" style="56" customWidth="1"/>
    <col min="2820" max="2821" width="15.5703125" style="56" customWidth="1"/>
    <col min="2822" max="2822" width="14.140625" style="56" bestFit="1" customWidth="1"/>
    <col min="2823" max="2823" width="18" style="56" bestFit="1" customWidth="1"/>
    <col min="2824" max="2824" width="11" style="56" bestFit="1" customWidth="1"/>
    <col min="2825" max="3073" width="9.140625" style="56"/>
    <col min="3074" max="3074" width="21" style="56" customWidth="1"/>
    <col min="3075" max="3075" width="81.42578125" style="56" customWidth="1"/>
    <col min="3076" max="3077" width="15.5703125" style="56" customWidth="1"/>
    <col min="3078" max="3078" width="14.140625" style="56" bestFit="1" customWidth="1"/>
    <col min="3079" max="3079" width="18" style="56" bestFit="1" customWidth="1"/>
    <col min="3080" max="3080" width="11" style="56" bestFit="1" customWidth="1"/>
    <col min="3081" max="3329" width="9.140625" style="56"/>
    <col min="3330" max="3330" width="21" style="56" customWidth="1"/>
    <col min="3331" max="3331" width="81.42578125" style="56" customWidth="1"/>
    <col min="3332" max="3333" width="15.5703125" style="56" customWidth="1"/>
    <col min="3334" max="3334" width="14.140625" style="56" bestFit="1" customWidth="1"/>
    <col min="3335" max="3335" width="18" style="56" bestFit="1" customWidth="1"/>
    <col min="3336" max="3336" width="11" style="56" bestFit="1" customWidth="1"/>
    <col min="3337" max="3585" width="9.140625" style="56"/>
    <col min="3586" max="3586" width="21" style="56" customWidth="1"/>
    <col min="3587" max="3587" width="81.42578125" style="56" customWidth="1"/>
    <col min="3588" max="3589" width="15.5703125" style="56" customWidth="1"/>
    <col min="3590" max="3590" width="14.140625" style="56" bestFit="1" customWidth="1"/>
    <col min="3591" max="3591" width="18" style="56" bestFit="1" customWidth="1"/>
    <col min="3592" max="3592" width="11" style="56" bestFit="1" customWidth="1"/>
    <col min="3593" max="3841" width="9.140625" style="56"/>
    <col min="3842" max="3842" width="21" style="56" customWidth="1"/>
    <col min="3843" max="3843" width="81.42578125" style="56" customWidth="1"/>
    <col min="3844" max="3845" width="15.5703125" style="56" customWidth="1"/>
    <col min="3846" max="3846" width="14.140625" style="56" bestFit="1" customWidth="1"/>
    <col min="3847" max="3847" width="18" style="56" bestFit="1" customWidth="1"/>
    <col min="3848" max="3848" width="11" style="56" bestFit="1" customWidth="1"/>
    <col min="3849" max="4097" width="9.140625" style="56"/>
    <col min="4098" max="4098" width="21" style="56" customWidth="1"/>
    <col min="4099" max="4099" width="81.42578125" style="56" customWidth="1"/>
    <col min="4100" max="4101" width="15.5703125" style="56" customWidth="1"/>
    <col min="4102" max="4102" width="14.140625" style="56" bestFit="1" customWidth="1"/>
    <col min="4103" max="4103" width="18" style="56" bestFit="1" customWidth="1"/>
    <col min="4104" max="4104" width="11" style="56" bestFit="1" customWidth="1"/>
    <col min="4105" max="4353" width="9.140625" style="56"/>
    <col min="4354" max="4354" width="21" style="56" customWidth="1"/>
    <col min="4355" max="4355" width="81.42578125" style="56" customWidth="1"/>
    <col min="4356" max="4357" width="15.5703125" style="56" customWidth="1"/>
    <col min="4358" max="4358" width="14.140625" style="56" bestFit="1" customWidth="1"/>
    <col min="4359" max="4359" width="18" style="56" bestFit="1" customWidth="1"/>
    <col min="4360" max="4360" width="11" style="56" bestFit="1" customWidth="1"/>
    <col min="4361" max="4609" width="9.140625" style="56"/>
    <col min="4610" max="4610" width="21" style="56" customWidth="1"/>
    <col min="4611" max="4611" width="81.42578125" style="56" customWidth="1"/>
    <col min="4612" max="4613" width="15.5703125" style="56" customWidth="1"/>
    <col min="4614" max="4614" width="14.140625" style="56" bestFit="1" customWidth="1"/>
    <col min="4615" max="4615" width="18" style="56" bestFit="1" customWidth="1"/>
    <col min="4616" max="4616" width="11" style="56" bestFit="1" customWidth="1"/>
    <col min="4617" max="4865" width="9.140625" style="56"/>
    <col min="4866" max="4866" width="21" style="56" customWidth="1"/>
    <col min="4867" max="4867" width="81.42578125" style="56" customWidth="1"/>
    <col min="4868" max="4869" width="15.5703125" style="56" customWidth="1"/>
    <col min="4870" max="4870" width="14.140625" style="56" bestFit="1" customWidth="1"/>
    <col min="4871" max="4871" width="18" style="56" bestFit="1" customWidth="1"/>
    <col min="4872" max="4872" width="11" style="56" bestFit="1" customWidth="1"/>
    <col min="4873" max="5121" width="9.140625" style="56"/>
    <col min="5122" max="5122" width="21" style="56" customWidth="1"/>
    <col min="5123" max="5123" width="81.42578125" style="56" customWidth="1"/>
    <col min="5124" max="5125" width="15.5703125" style="56" customWidth="1"/>
    <col min="5126" max="5126" width="14.140625" style="56" bestFit="1" customWidth="1"/>
    <col min="5127" max="5127" width="18" style="56" bestFit="1" customWidth="1"/>
    <col min="5128" max="5128" width="11" style="56" bestFit="1" customWidth="1"/>
    <col min="5129" max="5377" width="9.140625" style="56"/>
    <col min="5378" max="5378" width="21" style="56" customWidth="1"/>
    <col min="5379" max="5379" width="81.42578125" style="56" customWidth="1"/>
    <col min="5380" max="5381" width="15.5703125" style="56" customWidth="1"/>
    <col min="5382" max="5382" width="14.140625" style="56" bestFit="1" customWidth="1"/>
    <col min="5383" max="5383" width="18" style="56" bestFit="1" customWidth="1"/>
    <col min="5384" max="5384" width="11" style="56" bestFit="1" customWidth="1"/>
    <col min="5385" max="5633" width="9.140625" style="56"/>
    <col min="5634" max="5634" width="21" style="56" customWidth="1"/>
    <col min="5635" max="5635" width="81.42578125" style="56" customWidth="1"/>
    <col min="5636" max="5637" width="15.5703125" style="56" customWidth="1"/>
    <col min="5638" max="5638" width="14.140625" style="56" bestFit="1" customWidth="1"/>
    <col min="5639" max="5639" width="18" style="56" bestFit="1" customWidth="1"/>
    <col min="5640" max="5640" width="11" style="56" bestFit="1" customWidth="1"/>
    <col min="5641" max="5889" width="9.140625" style="56"/>
    <col min="5890" max="5890" width="21" style="56" customWidth="1"/>
    <col min="5891" max="5891" width="81.42578125" style="56" customWidth="1"/>
    <col min="5892" max="5893" width="15.5703125" style="56" customWidth="1"/>
    <col min="5894" max="5894" width="14.140625" style="56" bestFit="1" customWidth="1"/>
    <col min="5895" max="5895" width="18" style="56" bestFit="1" customWidth="1"/>
    <col min="5896" max="5896" width="11" style="56" bestFit="1" customWidth="1"/>
    <col min="5897" max="6145" width="9.140625" style="56"/>
    <col min="6146" max="6146" width="21" style="56" customWidth="1"/>
    <col min="6147" max="6147" width="81.42578125" style="56" customWidth="1"/>
    <col min="6148" max="6149" width="15.5703125" style="56" customWidth="1"/>
    <col min="6150" max="6150" width="14.140625" style="56" bestFit="1" customWidth="1"/>
    <col min="6151" max="6151" width="18" style="56" bestFit="1" customWidth="1"/>
    <col min="6152" max="6152" width="11" style="56" bestFit="1" customWidth="1"/>
    <col min="6153" max="6401" width="9.140625" style="56"/>
    <col min="6402" max="6402" width="21" style="56" customWidth="1"/>
    <col min="6403" max="6403" width="81.42578125" style="56" customWidth="1"/>
    <col min="6404" max="6405" width="15.5703125" style="56" customWidth="1"/>
    <col min="6406" max="6406" width="14.140625" style="56" bestFit="1" customWidth="1"/>
    <col min="6407" max="6407" width="18" style="56" bestFit="1" customWidth="1"/>
    <col min="6408" max="6408" width="11" style="56" bestFit="1" customWidth="1"/>
    <col min="6409" max="6657" width="9.140625" style="56"/>
    <col min="6658" max="6658" width="21" style="56" customWidth="1"/>
    <col min="6659" max="6659" width="81.42578125" style="56" customWidth="1"/>
    <col min="6660" max="6661" width="15.5703125" style="56" customWidth="1"/>
    <col min="6662" max="6662" width="14.140625" style="56" bestFit="1" customWidth="1"/>
    <col min="6663" max="6663" width="18" style="56" bestFit="1" customWidth="1"/>
    <col min="6664" max="6664" width="11" style="56" bestFit="1" customWidth="1"/>
    <col min="6665" max="6913" width="9.140625" style="56"/>
    <col min="6914" max="6914" width="21" style="56" customWidth="1"/>
    <col min="6915" max="6915" width="81.42578125" style="56" customWidth="1"/>
    <col min="6916" max="6917" width="15.5703125" style="56" customWidth="1"/>
    <col min="6918" max="6918" width="14.140625" style="56" bestFit="1" customWidth="1"/>
    <col min="6919" max="6919" width="18" style="56" bestFit="1" customWidth="1"/>
    <col min="6920" max="6920" width="11" style="56" bestFit="1" customWidth="1"/>
    <col min="6921" max="7169" width="9.140625" style="56"/>
    <col min="7170" max="7170" width="21" style="56" customWidth="1"/>
    <col min="7171" max="7171" width="81.42578125" style="56" customWidth="1"/>
    <col min="7172" max="7173" width="15.5703125" style="56" customWidth="1"/>
    <col min="7174" max="7174" width="14.140625" style="56" bestFit="1" customWidth="1"/>
    <col min="7175" max="7175" width="18" style="56" bestFit="1" customWidth="1"/>
    <col min="7176" max="7176" width="11" style="56" bestFit="1" customWidth="1"/>
    <col min="7177" max="7425" width="9.140625" style="56"/>
    <col min="7426" max="7426" width="21" style="56" customWidth="1"/>
    <col min="7427" max="7427" width="81.42578125" style="56" customWidth="1"/>
    <col min="7428" max="7429" width="15.5703125" style="56" customWidth="1"/>
    <col min="7430" max="7430" width="14.140625" style="56" bestFit="1" customWidth="1"/>
    <col min="7431" max="7431" width="18" style="56" bestFit="1" customWidth="1"/>
    <col min="7432" max="7432" width="11" style="56" bestFit="1" customWidth="1"/>
    <col min="7433" max="7681" width="9.140625" style="56"/>
    <col min="7682" max="7682" width="21" style="56" customWidth="1"/>
    <col min="7683" max="7683" width="81.42578125" style="56" customWidth="1"/>
    <col min="7684" max="7685" width="15.5703125" style="56" customWidth="1"/>
    <col min="7686" max="7686" width="14.140625" style="56" bestFit="1" customWidth="1"/>
    <col min="7687" max="7687" width="18" style="56" bestFit="1" customWidth="1"/>
    <col min="7688" max="7688" width="11" style="56" bestFit="1" customWidth="1"/>
    <col min="7689" max="7937" width="9.140625" style="56"/>
    <col min="7938" max="7938" width="21" style="56" customWidth="1"/>
    <col min="7939" max="7939" width="81.42578125" style="56" customWidth="1"/>
    <col min="7940" max="7941" width="15.5703125" style="56" customWidth="1"/>
    <col min="7942" max="7942" width="14.140625" style="56" bestFit="1" customWidth="1"/>
    <col min="7943" max="7943" width="18" style="56" bestFit="1" customWidth="1"/>
    <col min="7944" max="7944" width="11" style="56" bestFit="1" customWidth="1"/>
    <col min="7945" max="8193" width="9.140625" style="56"/>
    <col min="8194" max="8194" width="21" style="56" customWidth="1"/>
    <col min="8195" max="8195" width="81.42578125" style="56" customWidth="1"/>
    <col min="8196" max="8197" width="15.5703125" style="56" customWidth="1"/>
    <col min="8198" max="8198" width="14.140625" style="56" bestFit="1" customWidth="1"/>
    <col min="8199" max="8199" width="18" style="56" bestFit="1" customWidth="1"/>
    <col min="8200" max="8200" width="11" style="56" bestFit="1" customWidth="1"/>
    <col min="8201" max="8449" width="9.140625" style="56"/>
    <col min="8450" max="8450" width="21" style="56" customWidth="1"/>
    <col min="8451" max="8451" width="81.42578125" style="56" customWidth="1"/>
    <col min="8452" max="8453" width="15.5703125" style="56" customWidth="1"/>
    <col min="8454" max="8454" width="14.140625" style="56" bestFit="1" customWidth="1"/>
    <col min="8455" max="8455" width="18" style="56" bestFit="1" customWidth="1"/>
    <col min="8456" max="8456" width="11" style="56" bestFit="1" customWidth="1"/>
    <col min="8457" max="8705" width="9.140625" style="56"/>
    <col min="8706" max="8706" width="21" style="56" customWidth="1"/>
    <col min="8707" max="8707" width="81.42578125" style="56" customWidth="1"/>
    <col min="8708" max="8709" width="15.5703125" style="56" customWidth="1"/>
    <col min="8710" max="8710" width="14.140625" style="56" bestFit="1" customWidth="1"/>
    <col min="8711" max="8711" width="18" style="56" bestFit="1" customWidth="1"/>
    <col min="8712" max="8712" width="11" style="56" bestFit="1" customWidth="1"/>
    <col min="8713" max="8961" width="9.140625" style="56"/>
    <col min="8962" max="8962" width="21" style="56" customWidth="1"/>
    <col min="8963" max="8963" width="81.42578125" style="56" customWidth="1"/>
    <col min="8964" max="8965" width="15.5703125" style="56" customWidth="1"/>
    <col min="8966" max="8966" width="14.140625" style="56" bestFit="1" customWidth="1"/>
    <col min="8967" max="8967" width="18" style="56" bestFit="1" customWidth="1"/>
    <col min="8968" max="8968" width="11" style="56" bestFit="1" customWidth="1"/>
    <col min="8969" max="9217" width="9.140625" style="56"/>
    <col min="9218" max="9218" width="21" style="56" customWidth="1"/>
    <col min="9219" max="9219" width="81.42578125" style="56" customWidth="1"/>
    <col min="9220" max="9221" width="15.5703125" style="56" customWidth="1"/>
    <col min="9222" max="9222" width="14.140625" style="56" bestFit="1" customWidth="1"/>
    <col min="9223" max="9223" width="18" style="56" bestFit="1" customWidth="1"/>
    <col min="9224" max="9224" width="11" style="56" bestFit="1" customWidth="1"/>
    <col min="9225" max="9473" width="9.140625" style="56"/>
    <col min="9474" max="9474" width="21" style="56" customWidth="1"/>
    <col min="9475" max="9475" width="81.42578125" style="56" customWidth="1"/>
    <col min="9476" max="9477" width="15.5703125" style="56" customWidth="1"/>
    <col min="9478" max="9478" width="14.140625" style="56" bestFit="1" customWidth="1"/>
    <col min="9479" max="9479" width="18" style="56" bestFit="1" customWidth="1"/>
    <col min="9480" max="9480" width="11" style="56" bestFit="1" customWidth="1"/>
    <col min="9481" max="9729" width="9.140625" style="56"/>
    <col min="9730" max="9730" width="21" style="56" customWidth="1"/>
    <col min="9731" max="9731" width="81.42578125" style="56" customWidth="1"/>
    <col min="9732" max="9733" width="15.5703125" style="56" customWidth="1"/>
    <col min="9734" max="9734" width="14.140625" style="56" bestFit="1" customWidth="1"/>
    <col min="9735" max="9735" width="18" style="56" bestFit="1" customWidth="1"/>
    <col min="9736" max="9736" width="11" style="56" bestFit="1" customWidth="1"/>
    <col min="9737" max="9985" width="9.140625" style="56"/>
    <col min="9986" max="9986" width="21" style="56" customWidth="1"/>
    <col min="9987" max="9987" width="81.42578125" style="56" customWidth="1"/>
    <col min="9988" max="9989" width="15.5703125" style="56" customWidth="1"/>
    <col min="9990" max="9990" width="14.140625" style="56" bestFit="1" customWidth="1"/>
    <col min="9991" max="9991" width="18" style="56" bestFit="1" customWidth="1"/>
    <col min="9992" max="9992" width="11" style="56" bestFit="1" customWidth="1"/>
    <col min="9993" max="10241" width="9.140625" style="56"/>
    <col min="10242" max="10242" width="21" style="56" customWidth="1"/>
    <col min="10243" max="10243" width="81.42578125" style="56" customWidth="1"/>
    <col min="10244" max="10245" width="15.5703125" style="56" customWidth="1"/>
    <col min="10246" max="10246" width="14.140625" style="56" bestFit="1" customWidth="1"/>
    <col min="10247" max="10247" width="18" style="56" bestFit="1" customWidth="1"/>
    <col min="10248" max="10248" width="11" style="56" bestFit="1" customWidth="1"/>
    <col min="10249" max="10497" width="9.140625" style="56"/>
    <col min="10498" max="10498" width="21" style="56" customWidth="1"/>
    <col min="10499" max="10499" width="81.42578125" style="56" customWidth="1"/>
    <col min="10500" max="10501" width="15.5703125" style="56" customWidth="1"/>
    <col min="10502" max="10502" width="14.140625" style="56" bestFit="1" customWidth="1"/>
    <col min="10503" max="10503" width="18" style="56" bestFit="1" customWidth="1"/>
    <col min="10504" max="10504" width="11" style="56" bestFit="1" customWidth="1"/>
    <col min="10505" max="10753" width="9.140625" style="56"/>
    <col min="10754" max="10754" width="21" style="56" customWidth="1"/>
    <col min="10755" max="10755" width="81.42578125" style="56" customWidth="1"/>
    <col min="10756" max="10757" width="15.5703125" style="56" customWidth="1"/>
    <col min="10758" max="10758" width="14.140625" style="56" bestFit="1" customWidth="1"/>
    <col min="10759" max="10759" width="18" style="56" bestFit="1" customWidth="1"/>
    <col min="10760" max="10760" width="11" style="56" bestFit="1" customWidth="1"/>
    <col min="10761" max="11009" width="9.140625" style="56"/>
    <col min="11010" max="11010" width="21" style="56" customWidth="1"/>
    <col min="11011" max="11011" width="81.42578125" style="56" customWidth="1"/>
    <col min="11012" max="11013" width="15.5703125" style="56" customWidth="1"/>
    <col min="11014" max="11014" width="14.140625" style="56" bestFit="1" customWidth="1"/>
    <col min="11015" max="11015" width="18" style="56" bestFit="1" customWidth="1"/>
    <col min="11016" max="11016" width="11" style="56" bestFit="1" customWidth="1"/>
    <col min="11017" max="11265" width="9.140625" style="56"/>
    <col min="11266" max="11266" width="21" style="56" customWidth="1"/>
    <col min="11267" max="11267" width="81.42578125" style="56" customWidth="1"/>
    <col min="11268" max="11269" width="15.5703125" style="56" customWidth="1"/>
    <col min="11270" max="11270" width="14.140625" style="56" bestFit="1" customWidth="1"/>
    <col min="11271" max="11271" width="18" style="56" bestFit="1" customWidth="1"/>
    <col min="11272" max="11272" width="11" style="56" bestFit="1" customWidth="1"/>
    <col min="11273" max="11521" width="9.140625" style="56"/>
    <col min="11522" max="11522" width="21" style="56" customWidth="1"/>
    <col min="11523" max="11523" width="81.42578125" style="56" customWidth="1"/>
    <col min="11524" max="11525" width="15.5703125" style="56" customWidth="1"/>
    <col min="11526" max="11526" width="14.140625" style="56" bestFit="1" customWidth="1"/>
    <col min="11527" max="11527" width="18" style="56" bestFit="1" customWidth="1"/>
    <col min="11528" max="11528" width="11" style="56" bestFit="1" customWidth="1"/>
    <col min="11529" max="11777" width="9.140625" style="56"/>
    <col min="11778" max="11778" width="21" style="56" customWidth="1"/>
    <col min="11779" max="11779" width="81.42578125" style="56" customWidth="1"/>
    <col min="11780" max="11781" width="15.5703125" style="56" customWidth="1"/>
    <col min="11782" max="11782" width="14.140625" style="56" bestFit="1" customWidth="1"/>
    <col min="11783" max="11783" width="18" style="56" bestFit="1" customWidth="1"/>
    <col min="11784" max="11784" width="11" style="56" bestFit="1" customWidth="1"/>
    <col min="11785" max="12033" width="9.140625" style="56"/>
    <col min="12034" max="12034" width="21" style="56" customWidth="1"/>
    <col min="12035" max="12035" width="81.42578125" style="56" customWidth="1"/>
    <col min="12036" max="12037" width="15.5703125" style="56" customWidth="1"/>
    <col min="12038" max="12038" width="14.140625" style="56" bestFit="1" customWidth="1"/>
    <col min="12039" max="12039" width="18" style="56" bestFit="1" customWidth="1"/>
    <col min="12040" max="12040" width="11" style="56" bestFit="1" customWidth="1"/>
    <col min="12041" max="12289" width="9.140625" style="56"/>
    <col min="12290" max="12290" width="21" style="56" customWidth="1"/>
    <col min="12291" max="12291" width="81.42578125" style="56" customWidth="1"/>
    <col min="12292" max="12293" width="15.5703125" style="56" customWidth="1"/>
    <col min="12294" max="12294" width="14.140625" style="56" bestFit="1" customWidth="1"/>
    <col min="12295" max="12295" width="18" style="56" bestFit="1" customWidth="1"/>
    <col min="12296" max="12296" width="11" style="56" bestFit="1" customWidth="1"/>
    <col min="12297" max="12545" width="9.140625" style="56"/>
    <col min="12546" max="12546" width="21" style="56" customWidth="1"/>
    <col min="12547" max="12547" width="81.42578125" style="56" customWidth="1"/>
    <col min="12548" max="12549" width="15.5703125" style="56" customWidth="1"/>
    <col min="12550" max="12550" width="14.140625" style="56" bestFit="1" customWidth="1"/>
    <col min="12551" max="12551" width="18" style="56" bestFit="1" customWidth="1"/>
    <col min="12552" max="12552" width="11" style="56" bestFit="1" customWidth="1"/>
    <col min="12553" max="12801" width="9.140625" style="56"/>
    <col min="12802" max="12802" width="21" style="56" customWidth="1"/>
    <col min="12803" max="12803" width="81.42578125" style="56" customWidth="1"/>
    <col min="12804" max="12805" width="15.5703125" style="56" customWidth="1"/>
    <col min="12806" max="12806" width="14.140625" style="56" bestFit="1" customWidth="1"/>
    <col min="12807" max="12807" width="18" style="56" bestFit="1" customWidth="1"/>
    <col min="12808" max="12808" width="11" style="56" bestFit="1" customWidth="1"/>
    <col min="12809" max="13057" width="9.140625" style="56"/>
    <col min="13058" max="13058" width="21" style="56" customWidth="1"/>
    <col min="13059" max="13059" width="81.42578125" style="56" customWidth="1"/>
    <col min="13060" max="13061" width="15.5703125" style="56" customWidth="1"/>
    <col min="13062" max="13062" width="14.140625" style="56" bestFit="1" customWidth="1"/>
    <col min="13063" max="13063" width="18" style="56" bestFit="1" customWidth="1"/>
    <col min="13064" max="13064" width="11" style="56" bestFit="1" customWidth="1"/>
    <col min="13065" max="13313" width="9.140625" style="56"/>
    <col min="13314" max="13314" width="21" style="56" customWidth="1"/>
    <col min="13315" max="13315" width="81.42578125" style="56" customWidth="1"/>
    <col min="13316" max="13317" width="15.5703125" style="56" customWidth="1"/>
    <col min="13318" max="13318" width="14.140625" style="56" bestFit="1" customWidth="1"/>
    <col min="13319" max="13319" width="18" style="56" bestFit="1" customWidth="1"/>
    <col min="13320" max="13320" width="11" style="56" bestFit="1" customWidth="1"/>
    <col min="13321" max="13569" width="9.140625" style="56"/>
    <col min="13570" max="13570" width="21" style="56" customWidth="1"/>
    <col min="13571" max="13571" width="81.42578125" style="56" customWidth="1"/>
    <col min="13572" max="13573" width="15.5703125" style="56" customWidth="1"/>
    <col min="13574" max="13574" width="14.140625" style="56" bestFit="1" customWidth="1"/>
    <col min="13575" max="13575" width="18" style="56" bestFit="1" customWidth="1"/>
    <col min="13576" max="13576" width="11" style="56" bestFit="1" customWidth="1"/>
    <col min="13577" max="13825" width="9.140625" style="56"/>
    <col min="13826" max="13826" width="21" style="56" customWidth="1"/>
    <col min="13827" max="13827" width="81.42578125" style="56" customWidth="1"/>
    <col min="13828" max="13829" width="15.5703125" style="56" customWidth="1"/>
    <col min="13830" max="13830" width="14.140625" style="56" bestFit="1" customWidth="1"/>
    <col min="13831" max="13831" width="18" style="56" bestFit="1" customWidth="1"/>
    <col min="13832" max="13832" width="11" style="56" bestFit="1" customWidth="1"/>
    <col min="13833" max="14081" width="9.140625" style="56"/>
    <col min="14082" max="14082" width="21" style="56" customWidth="1"/>
    <col min="14083" max="14083" width="81.42578125" style="56" customWidth="1"/>
    <col min="14084" max="14085" width="15.5703125" style="56" customWidth="1"/>
    <col min="14086" max="14086" width="14.140625" style="56" bestFit="1" customWidth="1"/>
    <col min="14087" max="14087" width="18" style="56" bestFit="1" customWidth="1"/>
    <col min="14088" max="14088" width="11" style="56" bestFit="1" customWidth="1"/>
    <col min="14089" max="14337" width="9.140625" style="56"/>
    <col min="14338" max="14338" width="21" style="56" customWidth="1"/>
    <col min="14339" max="14339" width="81.42578125" style="56" customWidth="1"/>
    <col min="14340" max="14341" width="15.5703125" style="56" customWidth="1"/>
    <col min="14342" max="14342" width="14.140625" style="56" bestFit="1" customWidth="1"/>
    <col min="14343" max="14343" width="18" style="56" bestFit="1" customWidth="1"/>
    <col min="14344" max="14344" width="11" style="56" bestFit="1" customWidth="1"/>
    <col min="14345" max="14593" width="9.140625" style="56"/>
    <col min="14594" max="14594" width="21" style="56" customWidth="1"/>
    <col min="14595" max="14595" width="81.42578125" style="56" customWidth="1"/>
    <col min="14596" max="14597" width="15.5703125" style="56" customWidth="1"/>
    <col min="14598" max="14598" width="14.140625" style="56" bestFit="1" customWidth="1"/>
    <col min="14599" max="14599" width="18" style="56" bestFit="1" customWidth="1"/>
    <col min="14600" max="14600" width="11" style="56" bestFit="1" customWidth="1"/>
    <col min="14601" max="14849" width="9.140625" style="56"/>
    <col min="14850" max="14850" width="21" style="56" customWidth="1"/>
    <col min="14851" max="14851" width="81.42578125" style="56" customWidth="1"/>
    <col min="14852" max="14853" width="15.5703125" style="56" customWidth="1"/>
    <col min="14854" max="14854" width="14.140625" style="56" bestFit="1" customWidth="1"/>
    <col min="14855" max="14855" width="18" style="56" bestFit="1" customWidth="1"/>
    <col min="14856" max="14856" width="11" style="56" bestFit="1" customWidth="1"/>
    <col min="14857" max="15105" width="9.140625" style="56"/>
    <col min="15106" max="15106" width="21" style="56" customWidth="1"/>
    <col min="15107" max="15107" width="81.42578125" style="56" customWidth="1"/>
    <col min="15108" max="15109" width="15.5703125" style="56" customWidth="1"/>
    <col min="15110" max="15110" width="14.140625" style="56" bestFit="1" customWidth="1"/>
    <col min="15111" max="15111" width="18" style="56" bestFit="1" customWidth="1"/>
    <col min="15112" max="15112" width="11" style="56" bestFit="1" customWidth="1"/>
    <col min="15113" max="15361" width="9.140625" style="56"/>
    <col min="15362" max="15362" width="21" style="56" customWidth="1"/>
    <col min="15363" max="15363" width="81.42578125" style="56" customWidth="1"/>
    <col min="15364" max="15365" width="15.5703125" style="56" customWidth="1"/>
    <col min="15366" max="15366" width="14.140625" style="56" bestFit="1" customWidth="1"/>
    <col min="15367" max="15367" width="18" style="56" bestFit="1" customWidth="1"/>
    <col min="15368" max="15368" width="11" style="56" bestFit="1" customWidth="1"/>
    <col min="15369" max="15617" width="9.140625" style="56"/>
    <col min="15618" max="15618" width="21" style="56" customWidth="1"/>
    <col min="15619" max="15619" width="81.42578125" style="56" customWidth="1"/>
    <col min="15620" max="15621" width="15.5703125" style="56" customWidth="1"/>
    <col min="15622" max="15622" width="14.140625" style="56" bestFit="1" customWidth="1"/>
    <col min="15623" max="15623" width="18" style="56" bestFit="1" customWidth="1"/>
    <col min="15624" max="15624" width="11" style="56" bestFit="1" customWidth="1"/>
    <col min="15625" max="15873" width="9.140625" style="56"/>
    <col min="15874" max="15874" width="21" style="56" customWidth="1"/>
    <col min="15875" max="15875" width="81.42578125" style="56" customWidth="1"/>
    <col min="15876" max="15877" width="15.5703125" style="56" customWidth="1"/>
    <col min="15878" max="15878" width="14.140625" style="56" bestFit="1" customWidth="1"/>
    <col min="15879" max="15879" width="18" style="56" bestFit="1" customWidth="1"/>
    <col min="15880" max="15880" width="11" style="56" bestFit="1" customWidth="1"/>
    <col min="15881" max="16129" width="9.140625" style="56"/>
    <col min="16130" max="16130" width="21" style="56" customWidth="1"/>
    <col min="16131" max="16131" width="81.42578125" style="56" customWidth="1"/>
    <col min="16132" max="16133" width="15.5703125" style="56" customWidth="1"/>
    <col min="16134" max="16134" width="14.140625" style="56" bestFit="1" customWidth="1"/>
    <col min="16135" max="16135" width="18" style="56" bestFit="1" customWidth="1"/>
    <col min="16136" max="16136" width="11" style="56" bestFit="1" customWidth="1"/>
    <col min="16137" max="16384" width="9.140625" style="56"/>
  </cols>
  <sheetData>
    <row r="1" spans="1:10" ht="13.5" thickBot="1"/>
    <row r="2" spans="1:10" s="60" customFormat="1" ht="6" thickBot="1">
      <c r="B2" s="61"/>
      <c r="C2" s="654"/>
      <c r="D2" s="62"/>
      <c r="E2" s="63"/>
      <c r="F2" s="63"/>
      <c r="G2" s="64"/>
    </row>
    <row r="3" spans="1:10" ht="60" customHeight="1" thickBot="1">
      <c r="A3" s="206" t="s">
        <v>451</v>
      </c>
      <c r="B3" s="1750"/>
      <c r="C3" s="655" t="s">
        <v>2</v>
      </c>
      <c r="D3" s="1752"/>
      <c r="E3" s="1753"/>
      <c r="F3" s="1599" t="str">
        <f>'ORÇAMENTO '!L5</f>
        <v xml:space="preserve">Ref.: Tabela de Serviços
SINAPI (JAN/2023) 
e/ou composições PiniTCPO                                                                              
</v>
      </c>
      <c r="G3" s="1601"/>
    </row>
    <row r="4" spans="1:10" ht="60" customHeight="1" thickBot="1">
      <c r="A4" s="206" t="s">
        <v>452</v>
      </c>
      <c r="B4" s="1751"/>
      <c r="C4" s="656" t="s">
        <v>3</v>
      </c>
      <c r="D4" s="1754"/>
      <c r="E4" s="1755"/>
      <c r="F4" s="628" t="s">
        <v>5</v>
      </c>
      <c r="G4" s="622">
        <f>'BDI '!G30</f>
        <v>0.26440000000000002</v>
      </c>
    </row>
    <row r="5" spans="1:10" s="65" customFormat="1" ht="15" customHeight="1" thickBot="1">
      <c r="B5" s="1758" t="s">
        <v>467</v>
      </c>
      <c r="C5" s="1759"/>
      <c r="D5" s="1760"/>
      <c r="E5" s="1760"/>
      <c r="F5" s="1760"/>
      <c r="G5" s="1761"/>
    </row>
    <row r="6" spans="1:10" s="60" customFormat="1" ht="27" customHeight="1" thickBot="1">
      <c r="B6" s="61"/>
      <c r="C6" s="143"/>
      <c r="D6" s="62"/>
      <c r="E6" s="63"/>
      <c r="F6" s="63"/>
      <c r="G6" s="64"/>
    </row>
    <row r="7" spans="1:10" ht="18" customHeight="1">
      <c r="B7" s="193" t="s">
        <v>6</v>
      </c>
      <c r="C7" s="1781" t="str">
        <f>'ORÇAMENTO '!G11</f>
        <v xml:space="preserve">SISTEMA DE ABASTECIMENTO DE ÁGUA </v>
      </c>
      <c r="D7" s="1781"/>
      <c r="E7" s="1781"/>
      <c r="F7" s="194" t="s">
        <v>7</v>
      </c>
      <c r="G7" s="195">
        <f ca="1">'ORÇAMENTO '!M11</f>
        <v>45167</v>
      </c>
    </row>
    <row r="8" spans="1:10" ht="18" customHeight="1" thickBot="1">
      <c r="B8" s="196" t="s">
        <v>8</v>
      </c>
      <c r="C8" s="1756" t="str">
        <f>'ORÇAMENTO '!G12</f>
        <v>SETOR PIONEIRO - MUNICÍPIO DE APIACÁS</v>
      </c>
      <c r="D8" s="1756"/>
      <c r="E8" s="1757" t="s">
        <v>9</v>
      </c>
      <c r="F8" s="1757"/>
      <c r="G8" s="197">
        <f>'ORÇAMENTO '!M12</f>
        <v>0.80449999999999999</v>
      </c>
    </row>
    <row r="9" spans="1:10" s="60" customFormat="1" ht="6" thickBot="1">
      <c r="B9" s="66"/>
      <c r="C9" s="67"/>
      <c r="D9" s="68"/>
      <c r="E9" s="69"/>
      <c r="F9" s="69"/>
      <c r="G9" s="70"/>
    </row>
    <row r="10" spans="1:10" ht="18.75" thickBot="1">
      <c r="B10" s="1762" t="s">
        <v>183</v>
      </c>
      <c r="C10" s="1763"/>
      <c r="D10" s="1763"/>
      <c r="E10" s="1763"/>
      <c r="F10" s="1763"/>
      <c r="G10" s="1764"/>
    </row>
    <row r="11" spans="1:10" s="60" customFormat="1" ht="6" thickBot="1">
      <c r="B11" s="66"/>
      <c r="C11" s="67"/>
      <c r="D11" s="68"/>
      <c r="E11" s="69"/>
      <c r="F11" s="69"/>
      <c r="G11" s="70"/>
    </row>
    <row r="12" spans="1:10" ht="13.5" thickBot="1">
      <c r="B12" s="73"/>
      <c r="C12" s="73"/>
      <c r="D12" s="73"/>
      <c r="E12" s="73"/>
      <c r="F12" s="71"/>
      <c r="G12" s="583"/>
    </row>
    <row r="13" spans="1:10" s="206" customFormat="1" ht="15.75">
      <c r="A13" s="218"/>
      <c r="B13" s="198" t="s">
        <v>547</v>
      </c>
      <c r="C13" s="1778" t="s">
        <v>465</v>
      </c>
      <c r="D13" s="1779"/>
      <c r="E13" s="1779"/>
      <c r="F13" s="1780"/>
      <c r="G13" s="199" t="s">
        <v>23</v>
      </c>
      <c r="H13" s="347">
        <f>G19</f>
        <v>125006.39999999999</v>
      </c>
    </row>
    <row r="14" spans="1:10" s="206" customFormat="1" ht="31.5">
      <c r="A14" s="218"/>
      <c r="B14" s="200" t="s">
        <v>206</v>
      </c>
      <c r="C14" s="1132" t="s">
        <v>184</v>
      </c>
      <c r="D14" s="1132" t="s">
        <v>23</v>
      </c>
      <c r="E14" s="1132" t="s">
        <v>185</v>
      </c>
      <c r="F14" s="1133" t="s">
        <v>186</v>
      </c>
      <c r="G14" s="1134" t="s">
        <v>187</v>
      </c>
    </row>
    <row r="15" spans="1:10" s="206" customFormat="1" ht="15.75">
      <c r="A15" s="218"/>
      <c r="B15" s="1727" t="s">
        <v>6797</v>
      </c>
      <c r="C15" s="1728"/>
      <c r="D15" s="1728"/>
      <c r="E15" s="1728"/>
      <c r="F15" s="1728"/>
      <c r="G15" s="1729"/>
      <c r="J15" s="206">
        <v>88326</v>
      </c>
    </row>
    <row r="16" spans="1:10" s="206" customFormat="1" ht="15.75">
      <c r="A16" s="218" t="s">
        <v>452</v>
      </c>
      <c r="B16" s="1205">
        <v>90780</v>
      </c>
      <c r="C16" s="1206" t="str">
        <f>IF($A16="INSUMO",VLOOKUP($B16,'BANCO DE DADOS JAN-23 INS'!$A:$D,2,FALSE),VLOOKUP($B16,'BANCO DE DADOS JAN-23 SERV'!$B:$E,2,FALSE))</f>
        <v>MESTRE DE OBRAS COM ENCARGOS COMPLEMENTARES</v>
      </c>
      <c r="D16" s="1207" t="str">
        <f>IF($A16="INSUMO",VLOOKUP($B16,'BANCO DE DADOS JAN-23 INS'!$A:$D,3,FALSE),VLOOKUP($B16,'BANCO DE DADOS JAN-23 SERV'!$B:$E,3,FALSE))</f>
        <v>H</v>
      </c>
      <c r="E16" s="1208">
        <f>8*5*4*6</f>
        <v>960</v>
      </c>
      <c r="F16" s="1209">
        <f>IF($A16="INSUMO",VLOOKUP($B16,'BANCO DE DADOS JAN-23 INS'!$A:$D,4,FALSE),VLOOKUP($B16,'BANCO DE DADOS JAN-23 SERV'!$B:$E,4,FALSE))</f>
        <v>50.56</v>
      </c>
      <c r="G16" s="1210">
        <f>TRUNC(E16*F16,2)</f>
        <v>48537.599999999999</v>
      </c>
      <c r="J16" s="206">
        <v>90780</v>
      </c>
    </row>
    <row r="17" spans="1:10" s="206" customFormat="1" ht="30">
      <c r="A17" s="218" t="s">
        <v>452</v>
      </c>
      <c r="B17" s="606">
        <v>90777</v>
      </c>
      <c r="C17" s="574" t="str">
        <f>IF($A17="INSUMO",VLOOKUP($B17,'BANCO DE DADOS JAN-23 INS'!$A:$D,2,FALSE),VLOOKUP($B17,'BANCO DE DADOS JAN-23 SERV'!$B:$E,2,FALSE))</f>
        <v>ENGENHEIRO CIVIL DE OBRA JUNIOR COM ENCARGOS COMPLEMENTARES</v>
      </c>
      <c r="D17" s="571" t="str">
        <f>IF($A17="INSUMO",VLOOKUP($B17,'BANCO DE DADOS JAN-23 INS'!$A:$D,3,FALSE),VLOOKUP($B17,'BANCO DE DADOS JAN-23 SERV'!$B:$E,3,FALSE))</f>
        <v>H</v>
      </c>
      <c r="E17" s="1211">
        <f>4*5*4*6</f>
        <v>480</v>
      </c>
      <c r="F17" s="1212">
        <f>IF($A17="INSUMO",VLOOKUP($B17,'BANCO DE DADOS JAN-23 INS'!$A:$D,4,FALSE),VLOOKUP($B17,'BANCO DE DADOS JAN-23 SERV'!$B:$E,4,FALSE))</f>
        <v>94.09</v>
      </c>
      <c r="G17" s="1213">
        <f>TRUNC(E17*F17,2)</f>
        <v>45163.199999999997</v>
      </c>
    </row>
    <row r="18" spans="1:10" s="206" customFormat="1" ht="16.5" thickBot="1">
      <c r="A18" s="218" t="s">
        <v>452</v>
      </c>
      <c r="B18" s="759">
        <v>88326</v>
      </c>
      <c r="C18" s="493" t="str">
        <f>IF($A18="INSUMO",VLOOKUP($B18,'BANCO DE DADOS JAN-23 INS'!$A:$D,2,FALSE),VLOOKUP($B18,'BANCO DE DADOS JAN-23 SERV'!$B:$E,2,FALSE))</f>
        <v>VIGIA NOTURNO COM ENCARGOS COMPLEMENTARES</v>
      </c>
      <c r="D18" s="764" t="str">
        <f>IF($A18="INSUMO",VLOOKUP($B18,'BANCO DE DADOS JAN-23 INS'!$A:$D,3,FALSE),VLOOKUP($B18,'BANCO DE DADOS JAN-23 SERV'!$B:$E,3,FALSE))</f>
        <v>H</v>
      </c>
      <c r="E18" s="1214">
        <f>12*5*4*6</f>
        <v>1440</v>
      </c>
      <c r="F18" s="1215">
        <f>IF($A18="INSUMO",VLOOKUP($B18,'BANCO DE DADOS JAN-23 INS'!$A:$D,4,FALSE),VLOOKUP($B18,'BANCO DE DADOS JAN-23 SERV'!$B:$E,4,FALSE))</f>
        <v>21.74</v>
      </c>
      <c r="G18" s="1216">
        <f>TRUNC(E18*F18,2)</f>
        <v>31305.599999999999</v>
      </c>
    </row>
    <row r="19" spans="1:10" s="206" customFormat="1" ht="16.5" thickBot="1">
      <c r="A19" s="218"/>
      <c r="B19" s="1765"/>
      <c r="C19" s="1765"/>
      <c r="D19" s="1765"/>
      <c r="E19" s="1766"/>
      <c r="F19" s="431" t="s">
        <v>192</v>
      </c>
      <c r="G19" s="144">
        <f>SUM(G16:G18)</f>
        <v>125006.39999999999</v>
      </c>
    </row>
    <row r="20" spans="1:10" s="206" customFormat="1" ht="16.5" thickBot="1">
      <c r="A20" s="218"/>
      <c r="B20" s="201"/>
      <c r="C20" s="201"/>
      <c r="D20" s="201"/>
      <c r="E20" s="201"/>
      <c r="F20" s="202"/>
      <c r="G20" s="202"/>
    </row>
    <row r="21" spans="1:10" s="206" customFormat="1" ht="15.75">
      <c r="A21" s="218"/>
      <c r="B21" s="1775" t="s">
        <v>2243</v>
      </c>
      <c r="C21" s="1776"/>
      <c r="D21" s="1776"/>
      <c r="E21" s="1776"/>
      <c r="F21" s="1776"/>
      <c r="G21" s="1777"/>
    </row>
    <row r="22" spans="1:10" s="206" customFormat="1" ht="15.75">
      <c r="A22" s="218"/>
      <c r="B22" s="1782" t="s">
        <v>184</v>
      </c>
      <c r="C22" s="1783"/>
      <c r="D22" s="341" t="s">
        <v>23</v>
      </c>
      <c r="E22" s="1767" t="s">
        <v>634</v>
      </c>
      <c r="F22" s="1768"/>
      <c r="G22" s="1769"/>
    </row>
    <row r="23" spans="1:10" s="206" customFormat="1" ht="15.75">
      <c r="A23" s="218"/>
      <c r="B23" s="1770" t="s">
        <v>188</v>
      </c>
      <c r="C23" s="1771"/>
      <c r="D23" s="1771"/>
      <c r="E23" s="1771"/>
      <c r="F23" s="1771"/>
      <c r="G23" s="1772"/>
    </row>
    <row r="24" spans="1:10" s="206" customFormat="1" ht="15.75" customHeight="1">
      <c r="A24" s="218"/>
      <c r="B24" s="1773" t="str">
        <f>C16</f>
        <v>MESTRE DE OBRAS COM ENCARGOS COMPLEMENTARES</v>
      </c>
      <c r="C24" s="1774"/>
      <c r="D24" s="342" t="str">
        <f>D16</f>
        <v>H</v>
      </c>
      <c r="E24" s="1784" t="s">
        <v>14229</v>
      </c>
      <c r="F24" s="1785"/>
      <c r="G24" s="1786"/>
      <c r="H24" s="206" t="str">
        <f>CONCATENATE(B24,":"," ",E24," ",B25,":"," ",E25," ",B26,":"," ",E26)</f>
        <v>MESTRE DE OBRAS COM ENCARGOS COMPLEMENTARES: 8HR*5DIAS*4SEMANAS*6MESES ENGENHEIRO CIVIL DE OBRA JUNIOR COM ENCARGOS COMPLEMENTARES: 4HR*5DIAS*4SEMANAS*6MESES VIGIA NOTURNO COM ENCARGOS COMPLEMENTARES: 12HR*5DIAS*4SEMANAS*6MESES</v>
      </c>
    </row>
    <row r="25" spans="1:10" s="206" customFormat="1" ht="16.5" customHeight="1">
      <c r="A25" s="218"/>
      <c r="B25" s="1787" t="str">
        <f>C17</f>
        <v>ENGENHEIRO CIVIL DE OBRA JUNIOR COM ENCARGOS COMPLEMENTARES</v>
      </c>
      <c r="C25" s="1787"/>
      <c r="D25" s="1188" t="str">
        <f>D17</f>
        <v>H</v>
      </c>
      <c r="E25" s="1745" t="s">
        <v>6774</v>
      </c>
      <c r="F25" s="1745"/>
      <c r="G25" s="1745"/>
    </row>
    <row r="26" spans="1:10" s="206" customFormat="1" ht="16.5" customHeight="1" thickBot="1">
      <c r="A26" s="218"/>
      <c r="B26" s="1788" t="str">
        <f>C18</f>
        <v>VIGIA NOTURNO COM ENCARGOS COMPLEMENTARES</v>
      </c>
      <c r="C26" s="1789"/>
      <c r="D26" s="1187" t="str">
        <f>D18</f>
        <v>H</v>
      </c>
      <c r="E26" s="1790" t="s">
        <v>13984</v>
      </c>
      <c r="F26" s="1791"/>
      <c r="G26" s="1792"/>
    </row>
    <row r="27" spans="1:10" s="228" customFormat="1" ht="13.5" thickBot="1">
      <c r="B27" s="319"/>
      <c r="C27" s="319"/>
      <c r="D27" s="320"/>
      <c r="E27" s="321"/>
      <c r="F27" s="322"/>
      <c r="G27" s="323"/>
    </row>
    <row r="28" spans="1:10" s="339" customFormat="1" ht="15.75">
      <c r="B28" s="333" t="str">
        <f>IF(COUNT($H$13:H28)&lt;10,CONCATENATE("AMM CIV 00",COUNT($H$13:H28)),CONCATENATE("AMM CIV 0",COUNT($H$13:H28)))</f>
        <v>AMM CIV 002</v>
      </c>
      <c r="C28" s="1664" t="s">
        <v>212</v>
      </c>
      <c r="D28" s="1665"/>
      <c r="E28" s="1665"/>
      <c r="F28" s="1666"/>
      <c r="G28" s="357" t="s">
        <v>0</v>
      </c>
      <c r="H28" s="346">
        <f>G38</f>
        <v>418.35</v>
      </c>
      <c r="J28" s="442"/>
    </row>
    <row r="29" spans="1:10" s="339" customFormat="1" ht="31.5">
      <c r="B29" s="538" t="s">
        <v>206</v>
      </c>
      <c r="C29" s="543" t="s">
        <v>184</v>
      </c>
      <c r="D29" s="543" t="s">
        <v>23</v>
      </c>
      <c r="E29" s="543" t="s">
        <v>185</v>
      </c>
      <c r="F29" s="544" t="s">
        <v>186</v>
      </c>
      <c r="G29" s="1129" t="s">
        <v>187</v>
      </c>
      <c r="J29" s="442"/>
    </row>
    <row r="30" spans="1:10" s="339" customFormat="1" ht="15.75">
      <c r="B30" s="1746" t="s">
        <v>188</v>
      </c>
      <c r="C30" s="1747"/>
      <c r="D30" s="1747"/>
      <c r="E30" s="1747"/>
      <c r="F30" s="1747"/>
      <c r="G30" s="1748"/>
      <c r="J30" s="442"/>
    </row>
    <row r="31" spans="1:10" s="339" customFormat="1" ht="30">
      <c r="A31" s="433" t="s">
        <v>451</v>
      </c>
      <c r="B31" s="744">
        <v>4491</v>
      </c>
      <c r="C31" s="574" t="str">
        <f>IF($A31="INSUMO",VLOOKUP($B31,'BANCO DE DADOS JAN-23 INS'!$A:$D,2,FALSE),VLOOKUP($B31,'BANCO DE DADOS JAN-23 SERV'!$B:$E,2,FALSE))</f>
        <v>PONTALETE *7,5 X 7,5* CM EM PINUS, MISTA OU EQUIVALENTE DA REGIAO - BRUTA</v>
      </c>
      <c r="D31" s="571" t="str">
        <f>IF($A31="INSUMO",VLOOKUP($B31,'BANCO DE DADOS JAN-23 INS'!$A:$D,3,FALSE),VLOOKUP($B31,'BANCO DE DADOS JAN-23 SERV'!$B:$E,3,FALSE))</f>
        <v xml:space="preserve">M     </v>
      </c>
      <c r="E31" s="847">
        <v>4</v>
      </c>
      <c r="F31" s="1212">
        <f>IF($A31="INSUMO",VLOOKUP($B31,'BANCO DE DADOS JAN-23 INS'!$A:$D,4,FALSE),VLOOKUP($B31,'BANCO DE DADOS JAN-23 SERV'!$B:$E,4,FALSE))</f>
        <v>12.95</v>
      </c>
      <c r="G31" s="859">
        <f>TRUNC(E31*F31,2)</f>
        <v>51.8</v>
      </c>
      <c r="J31" s="442"/>
    </row>
    <row r="32" spans="1:10" s="339" customFormat="1" ht="45">
      <c r="A32" s="433" t="s">
        <v>451</v>
      </c>
      <c r="B32" s="744">
        <v>4813</v>
      </c>
      <c r="C32" s="574" t="str">
        <f>IF($A32="INSUMO",VLOOKUP($B32,'BANCO DE DADOS JAN-23 INS'!$A:$D,2,FALSE),VLOOKUP($B32,'BANCO DE DADOS JAN-23 SERV'!$B:$E,2,FALSE))</f>
        <v>PLACA DE OBRA (PARA CONSTRUCAO CIVIL) EM CHAPA GALVANIZADA *N. 22*, ADESIVADA, DE *2,4 X 1,2* M (SEM POSTES PARA FIXACAO)</v>
      </c>
      <c r="D32" s="571" t="str">
        <f>IF($A32="INSUMO",VLOOKUP($B32,'BANCO DE DADOS JAN-23 INS'!$A:$D,3,FALSE),VLOOKUP($B32,'BANCO DE DADOS JAN-23 SERV'!$B:$E,3,FALSE))</f>
        <v xml:space="preserve">M2    </v>
      </c>
      <c r="E32" s="847">
        <v>1</v>
      </c>
      <c r="F32" s="1212">
        <f>IF($A32="INSUMO",VLOOKUP($B32,'BANCO DE DADOS JAN-23 INS'!$A:$D,4,FALSE),VLOOKUP($B32,'BANCO DE DADOS JAN-23 SERV'!$B:$E,4,FALSE))</f>
        <v>300</v>
      </c>
      <c r="G32" s="859">
        <f>TRUNC(E32*F32,2)</f>
        <v>300</v>
      </c>
      <c r="J32" s="442"/>
    </row>
    <row r="33" spans="1:10" s="339" customFormat="1" ht="30">
      <c r="A33" s="433" t="s">
        <v>451</v>
      </c>
      <c r="B33" s="744">
        <v>4417</v>
      </c>
      <c r="C33" s="574" t="str">
        <f>IF($A33="INSUMO",VLOOKUP($B33,'BANCO DE DADOS JAN-23 INS'!$A:$D,2,FALSE),VLOOKUP($B33,'BANCO DE DADOS JAN-23 SERV'!$B:$E,2,FALSE))</f>
        <v>SARRAFO NAO APARELHADO *2,5 X 7* CM, EM MACARANDUBA, ANGELIM OU EQUIVALENTE DA REGIAO -  BRUTA</v>
      </c>
      <c r="D33" s="571" t="str">
        <f>IF($A33="INSUMO",VLOOKUP($B33,'BANCO DE DADOS JAN-23 INS'!$A:$D,3,FALSE),VLOOKUP($B33,'BANCO DE DADOS JAN-23 SERV'!$B:$E,3,FALSE))</f>
        <v xml:space="preserve">M     </v>
      </c>
      <c r="E33" s="847">
        <v>1</v>
      </c>
      <c r="F33" s="1212">
        <f>IF($A33="INSUMO",VLOOKUP($B33,'BANCO DE DADOS JAN-23 INS'!$A:$D,4,FALSE),VLOOKUP($B33,'BANCO DE DADOS JAN-23 SERV'!$B:$E,4,FALSE))</f>
        <v>6.42</v>
      </c>
      <c r="G33" s="859">
        <f>TRUNC(E33*F33,2)</f>
        <v>6.42</v>
      </c>
      <c r="J33" s="442"/>
    </row>
    <row r="34" spans="1:10" s="339" customFormat="1" ht="15.75">
      <c r="A34" s="433" t="s">
        <v>451</v>
      </c>
      <c r="B34" s="744">
        <v>5075</v>
      </c>
      <c r="C34" s="574" t="str">
        <f>IF($A34="INSUMO",VLOOKUP($B34,'BANCO DE DADOS JAN-23 INS'!$A:$D,2,FALSE),VLOOKUP($B34,'BANCO DE DADOS JAN-23 SERV'!$B:$E,2,FALSE))</f>
        <v>PREGO DE ACO POLIDO COM CABECA 18 X 30 (2 3/4 X 10)</v>
      </c>
      <c r="D34" s="571" t="str">
        <f>IF($A34="INSUMO",VLOOKUP($B34,'BANCO DE DADOS JAN-23 INS'!$A:$D,3,FALSE),VLOOKUP($B34,'BANCO DE DADOS JAN-23 SERV'!$B:$E,3,FALSE))</f>
        <v xml:space="preserve">KG    </v>
      </c>
      <c r="E34" s="847">
        <v>0.15</v>
      </c>
      <c r="F34" s="1212">
        <f>IF($A34="INSUMO",VLOOKUP($B34,'BANCO DE DADOS JAN-23 INS'!$A:$D,4,FALSE),VLOOKUP($B34,'BANCO DE DADOS JAN-23 SERV'!$B:$E,4,FALSE))</f>
        <v>25.41</v>
      </c>
      <c r="G34" s="859">
        <f>TRUNC(E34*F34,2)</f>
        <v>3.81</v>
      </c>
      <c r="J34" s="442"/>
    </row>
    <row r="35" spans="1:10" s="339" customFormat="1" ht="15.75">
      <c r="B35" s="1746" t="s">
        <v>207</v>
      </c>
      <c r="C35" s="1747"/>
      <c r="D35" s="1747"/>
      <c r="E35" s="1747"/>
      <c r="F35" s="1747"/>
      <c r="G35" s="1748"/>
      <c r="J35" s="442"/>
    </row>
    <row r="36" spans="1:10" s="339" customFormat="1" ht="15.75">
      <c r="A36" s="433" t="s">
        <v>452</v>
      </c>
      <c r="B36" s="744">
        <v>88262</v>
      </c>
      <c r="C36" s="574" t="str">
        <f>IF($A36="INSUMO",VLOOKUP($B36,'BANCO DE DADOS JAN-23 INS'!$A:$D,2,FALSE),VLOOKUP($B36,'BANCO DE DADOS JAN-23 SERV'!$B:$E,2,FALSE))</f>
        <v>CARPINTEIRO DE FORMAS COM ENCARGOS COMPLEMENTARES</v>
      </c>
      <c r="D36" s="571" t="str">
        <f>IF($A36="INSUMO",VLOOKUP($B36,'BANCO DE DADOS JAN-23 INS'!$A:$D,3,FALSE),VLOOKUP($B36,'BANCO DE DADOS JAN-23 SERV'!$B:$E,3,FALSE))</f>
        <v>H</v>
      </c>
      <c r="E36" s="847">
        <v>1</v>
      </c>
      <c r="F36" s="1212">
        <f>IF($A36="INSUMO",VLOOKUP($B36,'BANCO DE DADOS JAN-23 INS'!$A:$D,4,FALSE),VLOOKUP($B36,'BANCO DE DADOS JAN-23 SERV'!$B:$E,4,FALSE))</f>
        <v>21.48</v>
      </c>
      <c r="G36" s="859">
        <f>TRUNC(E36*F36,2)</f>
        <v>21.48</v>
      </c>
      <c r="J36" s="442"/>
    </row>
    <row r="37" spans="1:10" s="339" customFormat="1" ht="16.5" thickBot="1">
      <c r="A37" s="433" t="s">
        <v>452</v>
      </c>
      <c r="B37" s="761">
        <v>88316</v>
      </c>
      <c r="C37" s="577" t="str">
        <f>IF($A37="INSUMO",VLOOKUP($B37,'BANCO DE DADOS JAN-23 INS'!$A:$D,2,FALSE),VLOOKUP($B37,'BANCO DE DADOS JAN-23 SERV'!$B:$E,2,FALSE))</f>
        <v>SERVENTE COM ENCARGOS COMPLEMENTARES</v>
      </c>
      <c r="D37" s="578" t="str">
        <f>IF($A37="INSUMO",VLOOKUP($B37,'BANCO DE DADOS JAN-23 INS'!$A:$D,3,FALSE),VLOOKUP($B37,'BANCO DE DADOS JAN-23 SERV'!$B:$E,3,FALSE))</f>
        <v>H</v>
      </c>
      <c r="E37" s="848">
        <v>2</v>
      </c>
      <c r="F37" s="1217">
        <f>IF($A37="INSUMO",VLOOKUP($B37,'BANCO DE DADOS JAN-23 INS'!$A:$D,4,FALSE),VLOOKUP($B37,'BANCO DE DADOS JAN-23 SERV'!$B:$E,4,FALSE))</f>
        <v>17.420000000000002</v>
      </c>
      <c r="G37" s="860">
        <f>TRUNC(E37*F37,2)</f>
        <v>34.840000000000003</v>
      </c>
      <c r="J37" s="442"/>
    </row>
    <row r="38" spans="1:10" s="339" customFormat="1" ht="16.5" customHeight="1" thickBot="1">
      <c r="B38" s="1691" t="s">
        <v>6298</v>
      </c>
      <c r="C38" s="1691"/>
      <c r="D38" s="1691"/>
      <c r="E38" s="1749"/>
      <c r="F38" s="332" t="s">
        <v>190</v>
      </c>
      <c r="G38" s="1024">
        <f>TRUNC(SUM(G31:G37),2)</f>
        <v>418.35</v>
      </c>
      <c r="J38" s="442"/>
    </row>
    <row r="39" spans="1:10" s="228" customFormat="1" ht="13.5" thickBot="1">
      <c r="B39" s="319"/>
      <c r="C39" s="319"/>
      <c r="D39" s="320"/>
      <c r="E39" s="321"/>
      <c r="F39" s="322"/>
      <c r="G39" s="323"/>
    </row>
    <row r="40" spans="1:10" s="339" customFormat="1" ht="15.75">
      <c r="B40" s="333" t="str">
        <f>IF(COUNT($H$13:H40)&lt;10,CONCATENATE("AMM CIV 00",COUNT($H$13:H40)),CONCATENATE("AMM CIV 0",COUNT($H$13:H40)))</f>
        <v>AMM CIV 003</v>
      </c>
      <c r="C40" s="1664" t="s">
        <v>3099</v>
      </c>
      <c r="D40" s="1665"/>
      <c r="E40" s="1665"/>
      <c r="F40" s="1666"/>
      <c r="G40" s="357" t="s">
        <v>20</v>
      </c>
      <c r="H40" s="346">
        <f>G46</f>
        <v>168.14</v>
      </c>
      <c r="J40" s="442"/>
    </row>
    <row r="41" spans="1:10" s="339" customFormat="1" ht="31.5">
      <c r="B41" s="538" t="s">
        <v>206</v>
      </c>
      <c r="C41" s="543" t="s">
        <v>184</v>
      </c>
      <c r="D41" s="543" t="s">
        <v>23</v>
      </c>
      <c r="E41" s="543" t="s">
        <v>185</v>
      </c>
      <c r="F41" s="544" t="s">
        <v>186</v>
      </c>
      <c r="G41" s="1129" t="s">
        <v>187</v>
      </c>
      <c r="J41" s="442"/>
    </row>
    <row r="42" spans="1:10" s="339" customFormat="1" ht="15.75">
      <c r="B42" s="1746" t="s">
        <v>188</v>
      </c>
      <c r="C42" s="1747"/>
      <c r="D42" s="1747"/>
      <c r="E42" s="1747"/>
      <c r="F42" s="1747"/>
      <c r="G42" s="1748"/>
      <c r="J42" s="442"/>
    </row>
    <row r="43" spans="1:10" s="339" customFormat="1" ht="30">
      <c r="A43" s="433" t="s">
        <v>451</v>
      </c>
      <c r="B43" s="744">
        <v>4721</v>
      </c>
      <c r="C43" s="574" t="str">
        <f>IF($A43="INSUMO",VLOOKUP($B43,'BANCO DE DADOS JAN-23 INS'!$A:$D,2,FALSE),VLOOKUP($B43,'BANCO DE DADOS JAN-23 SERV'!$B:$E,2,FALSE))</f>
        <v>PEDRA BRITADA N. 1 (9,5 a 19 MM) POSTO PEDREIRA/FORNECEDOR, SEM FRETE</v>
      </c>
      <c r="D43" s="571" t="str">
        <f>IF($A43="INSUMO",VLOOKUP($B43,'BANCO DE DADOS JAN-23 INS'!$A:$D,3,FALSE),VLOOKUP($B43,'BANCO DE DADOS JAN-23 SERV'!$B:$E,3,FALSE))</f>
        <v xml:space="preserve">M3    </v>
      </c>
      <c r="E43" s="847">
        <v>1.2</v>
      </c>
      <c r="F43" s="1212">
        <f>IF($A43="INSUMO",VLOOKUP($B43,'BANCO DE DADOS JAN-23 INS'!$A:$D,4,FALSE),VLOOKUP($B43,'BANCO DE DADOS JAN-23 SERV'!$B:$E,4,FALSE))</f>
        <v>111.09</v>
      </c>
      <c r="G43" s="859">
        <f>TRUNC(E43*F43,2)</f>
        <v>133.30000000000001</v>
      </c>
      <c r="J43" s="442"/>
    </row>
    <row r="44" spans="1:10" s="339" customFormat="1" ht="15.75">
      <c r="B44" s="1746" t="s">
        <v>207</v>
      </c>
      <c r="C44" s="1747"/>
      <c r="D44" s="1747"/>
      <c r="E44" s="1747"/>
      <c r="F44" s="1747"/>
      <c r="G44" s="1748"/>
      <c r="J44" s="442"/>
    </row>
    <row r="45" spans="1:10" s="339" customFormat="1" ht="16.5" thickBot="1">
      <c r="A45" s="433" t="s">
        <v>452</v>
      </c>
      <c r="B45" s="761">
        <v>88316</v>
      </c>
      <c r="C45" s="577" t="str">
        <f>IF($A45="INSUMO",VLOOKUP($B45,'BANCO DE DADOS JAN-23 INS'!$A:$D,2,FALSE),VLOOKUP($B45,'BANCO DE DADOS JAN-23 SERV'!$B:$E,2,FALSE))</f>
        <v>SERVENTE COM ENCARGOS COMPLEMENTARES</v>
      </c>
      <c r="D45" s="578" t="str">
        <f>IF($A45="INSUMO",VLOOKUP($B45,'BANCO DE DADOS JAN-23 INS'!$A:$D,3,FALSE),VLOOKUP($B45,'BANCO DE DADOS JAN-23 SERV'!$B:$E,3,FALSE))</f>
        <v>H</v>
      </c>
      <c r="E45" s="848">
        <v>2</v>
      </c>
      <c r="F45" s="1217">
        <f>IF($A45="INSUMO",VLOOKUP($B45,'BANCO DE DADOS JAN-23 INS'!$A:$D,4,FALSE),VLOOKUP($B45,'BANCO DE DADOS JAN-23 SERV'!$B:$E,4,FALSE))</f>
        <v>17.420000000000002</v>
      </c>
      <c r="G45" s="860">
        <f>TRUNC(E45*F45,2)</f>
        <v>34.840000000000003</v>
      </c>
      <c r="J45" s="442"/>
    </row>
    <row r="46" spans="1:10" s="339" customFormat="1" ht="16.5" customHeight="1" thickBot="1">
      <c r="B46" s="1691" t="s">
        <v>6298</v>
      </c>
      <c r="C46" s="1691"/>
      <c r="D46" s="1691"/>
      <c r="E46" s="1749"/>
      <c r="F46" s="332" t="s">
        <v>190</v>
      </c>
      <c r="G46" s="1024">
        <f>TRUNC(SUM(G43:G45),2)</f>
        <v>168.14</v>
      </c>
      <c r="J46" s="442"/>
    </row>
    <row r="47" spans="1:10" s="228" customFormat="1" ht="15.75" thickBot="1">
      <c r="B47" s="319"/>
      <c r="C47" s="319"/>
      <c r="D47" s="320"/>
      <c r="E47" s="321"/>
      <c r="F47" s="322"/>
      <c r="G47" s="323"/>
      <c r="J47" s="442"/>
    </row>
    <row r="48" spans="1:10" s="228" customFormat="1" ht="42.75" customHeight="1">
      <c r="A48" s="433"/>
      <c r="B48" s="333" t="str">
        <f>IF(COUNT($H$13:H17)&lt;10,CONCATENATE("AMM CIV 00",COUNT($H$13:H48)),CONCATENATE("AMM CIV 0",COUNT($H17:H$28)))</f>
        <v>AMM CIV 004</v>
      </c>
      <c r="C48" s="1664" t="s">
        <v>6964</v>
      </c>
      <c r="D48" s="1665"/>
      <c r="E48" s="1665"/>
      <c r="F48" s="1666"/>
      <c r="G48" s="217" t="s">
        <v>0</v>
      </c>
      <c r="H48" s="355">
        <f>G57</f>
        <v>2.1</v>
      </c>
      <c r="I48" s="228" t="s">
        <v>6965</v>
      </c>
      <c r="J48" s="442"/>
    </row>
    <row r="49" spans="1:11" s="228" customFormat="1" ht="31.5">
      <c r="A49" s="433"/>
      <c r="B49" s="538" t="s">
        <v>206</v>
      </c>
      <c r="C49" s="543" t="s">
        <v>184</v>
      </c>
      <c r="D49" s="543" t="s">
        <v>23</v>
      </c>
      <c r="E49" s="543" t="s">
        <v>185</v>
      </c>
      <c r="F49" s="544" t="s">
        <v>186</v>
      </c>
      <c r="G49" s="1129" t="s">
        <v>187</v>
      </c>
      <c r="H49" s="224"/>
      <c r="J49" s="442"/>
    </row>
    <row r="50" spans="1:11" s="228" customFormat="1" ht="15.75">
      <c r="A50" s="433"/>
      <c r="B50" s="1746" t="s">
        <v>3993</v>
      </c>
      <c r="C50" s="1747"/>
      <c r="D50" s="1747"/>
      <c r="E50" s="1747"/>
      <c r="F50" s="1747"/>
      <c r="G50" s="1748"/>
      <c r="J50" s="442"/>
    </row>
    <row r="51" spans="1:11" s="228" customFormat="1" ht="60">
      <c r="A51" s="433" t="s">
        <v>452</v>
      </c>
      <c r="B51" s="744">
        <v>53792</v>
      </c>
      <c r="C51" s="574" t="str">
        <f>IF($A51="INSUMO",VLOOKUP($B51,'BANCO DE DADOS JAN-23 INS'!$A:$D,2,FALSE),VLOOKUP($B51,'BANCO DE DADOS JAN-23 SERV'!$B:$E,2,FALSE))</f>
        <v>CAMINHÃO BASCULANTE 6 M3, PESO BRUTO TOTAL 16.000 KG, CARGA ÚTIL MÁXIMA 13.071 KG, DISTÂNCIA ENTRE EIXOS 4,80 M, POTÊNCIA 230 CV INCLUSIVE CAÇAMBA METÁLICA - MATERIAIS NA OPERAÇÃO. AF_06/2014</v>
      </c>
      <c r="D51" s="571" t="str">
        <f>IF($A51="INSUMO",VLOOKUP($B51,'BANCO DE DADOS JAN-23 INS'!$A:$D,3,FALSE),VLOOKUP($B51,'BANCO DE DADOS JAN-23 SERV'!$B:$E,3,FALSE))</f>
        <v>H</v>
      </c>
      <c r="E51" s="1219">
        <v>1.2E-2</v>
      </c>
      <c r="F51" s="572">
        <f>IF($A51="INSUMO",VLOOKUP($B51,'BANCO DE DADOS JAN-23 INS'!$A:$D,4,FALSE),VLOOKUP($B51,'BANCO DE DADOS JAN-23 SERV'!$B:$E,4,FALSE))</f>
        <v>108.52</v>
      </c>
      <c r="G51" s="636">
        <f>TRUNC(E51*F51,2)</f>
        <v>1.3</v>
      </c>
      <c r="J51" s="442"/>
    </row>
    <row r="52" spans="1:11" s="228" customFormat="1" ht="45">
      <c r="A52" s="433" t="s">
        <v>452</v>
      </c>
      <c r="B52" s="744">
        <v>53858</v>
      </c>
      <c r="C52" s="574" t="str">
        <f>IF($A52="INSUMO",VLOOKUP($B52,'BANCO DE DADOS JAN-23 INS'!$A:$D,2,FALSE),VLOOKUP($B52,'BANCO DE DADOS JAN-23 SERV'!$B:$E,2,FALSE))</f>
        <v>PÁ CARREGADEIRA SOBRE RODAS, POTÊNCIA LÍQUIDA 128 HP, CAPACIDADE DA CAÇAMBA 1,7 A 2,8 M3, PESO OPERACIONAL 11632 KG - MATERIAIS NA OPERAÇÃO. AF_06/2014</v>
      </c>
      <c r="D52" s="571" t="str">
        <f>IF($A52="INSUMO",VLOOKUP($B52,'BANCO DE DADOS JAN-23 INS'!$A:$D,3,FALSE),VLOOKUP($B52,'BANCO DE DADOS JAN-23 SERV'!$B:$E,3,FALSE))</f>
        <v>H</v>
      </c>
      <c r="E52" s="1219">
        <v>4.7000000000000002E-3</v>
      </c>
      <c r="F52" s="572">
        <f>IF($A52="INSUMO",VLOOKUP($B52,'BANCO DE DADOS JAN-23 INS'!$A:$D,4,FALSE),VLOOKUP($B52,'BANCO DE DADOS JAN-23 SERV'!$B:$E,4,FALSE))</f>
        <v>48.97</v>
      </c>
      <c r="G52" s="636">
        <f>TRUNC(E52*F52,2)</f>
        <v>0.23</v>
      </c>
      <c r="J52" s="442"/>
    </row>
    <row r="53" spans="1:11" s="228" customFormat="1" ht="75">
      <c r="A53" s="433" t="s">
        <v>452</v>
      </c>
      <c r="B53" s="744">
        <v>53786</v>
      </c>
      <c r="C53" s="574" t="str">
        <f>IF($A53="INSUMO",VLOOKUP($B53,'BANCO DE DADOS JAN-23 INS'!$A:$D,2,FALSE),VLOOKUP($B53,'BANCO DE DADOS JAN-23 SERV'!$B:$E,2,FALSE))</f>
        <v>RETROESCAVADEIRA SOBRE RODAS COM CARREGADEIRA, TRAÇÃO 4X4, POTÊNCIA LÍQ. 88 HP, CAÇAMBA CARREG. CAP. MÍN. 1 M3, CAÇAMBA RETRO CAP. 0,26 M3, PESO OPERACIONAL MÍN. 6.674 KG, PROFUNDIDADE ESCAVAÇÃO MÁX. 4,37 M - MATERIAIS NA OPERAÇÃO. AF_06/2014</v>
      </c>
      <c r="D53" s="571" t="str">
        <f>IF($A53="INSUMO",VLOOKUP($B53,'BANCO DE DADOS JAN-23 INS'!$A:$D,3,FALSE),VLOOKUP($B53,'BANCO DE DADOS JAN-23 SERV'!$B:$E,3,FALSE))</f>
        <v>H</v>
      </c>
      <c r="E53" s="1219">
        <v>3.0000000000000001E-3</v>
      </c>
      <c r="F53" s="572">
        <f>IF($A53="INSUMO",VLOOKUP($B53,'BANCO DE DADOS JAN-23 INS'!$A:$D,4,FALSE),VLOOKUP($B53,'BANCO DE DADOS JAN-23 SERV'!$B:$E,4,FALSE))</f>
        <v>54.67</v>
      </c>
      <c r="G53" s="636">
        <f>TRUNC(E53*F53,2)</f>
        <v>0.16</v>
      </c>
      <c r="J53" s="442"/>
    </row>
    <row r="54" spans="1:11" s="228" customFormat="1" ht="15.75">
      <c r="A54" s="433"/>
      <c r="B54" s="1746" t="s">
        <v>2889</v>
      </c>
      <c r="C54" s="1747"/>
      <c r="D54" s="1747"/>
      <c r="E54" s="1747"/>
      <c r="F54" s="1747"/>
      <c r="G54" s="1748"/>
      <c r="J54" s="442"/>
    </row>
    <row r="55" spans="1:11" s="228" customFormat="1" ht="15.75">
      <c r="A55" s="433" t="s">
        <v>452</v>
      </c>
      <c r="B55" s="744">
        <v>90776</v>
      </c>
      <c r="C55" s="574" t="str">
        <f>IF($A55="INSUMO",VLOOKUP($B55,'BANCO DE DADOS JAN-23 INS'!$A:$D,2,FALSE),VLOOKUP($B55,'BANCO DE DADOS JAN-23 SERV'!$B:$E,2,FALSE))</f>
        <v>ENCARREGADO GERAL COM ENCARGOS COMPLEMENTARES</v>
      </c>
      <c r="D55" s="571" t="str">
        <f>IF($A55="INSUMO",VLOOKUP($B55,'BANCO DE DADOS JAN-23 INS'!$A:$D,3,FALSE),VLOOKUP($B55,'BANCO DE DADOS JAN-23 SERV'!$B:$E,3,FALSE))</f>
        <v>H</v>
      </c>
      <c r="E55" s="1218">
        <v>3.0000000000000001E-3</v>
      </c>
      <c r="F55" s="572">
        <f>IF($A55="INSUMO",VLOOKUP($B55,'BANCO DE DADOS JAN-23 INS'!$A:$D,4,FALSE),VLOOKUP($B55,'BANCO DE DADOS JAN-23 SERV'!$B:$E,4,FALSE))</f>
        <v>24.76</v>
      </c>
      <c r="G55" s="636">
        <f>TRUNC(E55*F55,2)</f>
        <v>7.0000000000000007E-2</v>
      </c>
      <c r="J55" s="442"/>
    </row>
    <row r="56" spans="1:11" s="228" customFormat="1" ht="16.5" thickBot="1">
      <c r="A56" s="433" t="s">
        <v>452</v>
      </c>
      <c r="B56" s="761">
        <v>88316</v>
      </c>
      <c r="C56" s="577" t="str">
        <f>IF($A56="INSUMO",VLOOKUP($B56,'BANCO DE DADOS JAN-23 INS'!$A:$D,2,FALSE),VLOOKUP($B56,'BANCO DE DADOS JAN-23 SERV'!$B:$E,2,FALSE))</f>
        <v>SERVENTE COM ENCARGOS COMPLEMENTARES</v>
      </c>
      <c r="D56" s="578" t="str">
        <f>IF($A56="INSUMO",VLOOKUP($B56,'BANCO DE DADOS JAN-23 INS'!$A:$D,3,FALSE),VLOOKUP($B56,'BANCO DE DADOS JAN-23 SERV'!$B:$E,3,FALSE))</f>
        <v>H</v>
      </c>
      <c r="E56" s="1221">
        <v>0.02</v>
      </c>
      <c r="F56" s="580">
        <f>IF($A56="INSUMO",VLOOKUP($B56,'BANCO DE DADOS JAN-23 INS'!$A:$D,4,FALSE),VLOOKUP($B56,'BANCO DE DADOS JAN-23 SERV'!$B:$E,4,FALSE))</f>
        <v>17.420000000000002</v>
      </c>
      <c r="G56" s="1220">
        <f>TRUNC(E56*F56,2)</f>
        <v>0.34</v>
      </c>
      <c r="J56" s="442"/>
    </row>
    <row r="57" spans="1:11" s="228" customFormat="1" ht="16.5" customHeight="1" thickBot="1">
      <c r="A57" s="433"/>
      <c r="B57" s="1691" t="s">
        <v>6966</v>
      </c>
      <c r="C57" s="1691"/>
      <c r="D57" s="1691"/>
      <c r="E57" s="1749"/>
      <c r="F57" s="431" t="s">
        <v>192</v>
      </c>
      <c r="G57" s="434">
        <f>SUM(G51:G56)</f>
        <v>2.1</v>
      </c>
      <c r="H57" s="224"/>
      <c r="J57" s="442"/>
    </row>
    <row r="58" spans="1:11" ht="13.5" thickBot="1"/>
    <row r="59" spans="1:11" ht="15.75" customHeight="1">
      <c r="A59" s="433"/>
      <c r="B59" s="198" t="str">
        <f>IF(COUNT($H$13:H25)&lt;10,CONCATENATE("AMM CIV 00",COUNT($H$13:H59)),CONCATENATE("AMM CIV 0",COUNT(#REF!)))</f>
        <v>AMM CIV 005</v>
      </c>
      <c r="C59" s="1664" t="s">
        <v>3079</v>
      </c>
      <c r="D59" s="1665"/>
      <c r="E59" s="1665"/>
      <c r="F59" s="1666"/>
      <c r="G59" s="432" t="s">
        <v>2707</v>
      </c>
      <c r="H59" s="436">
        <f>G63</f>
        <v>900.38</v>
      </c>
      <c r="I59" s="228"/>
      <c r="J59" s="228"/>
      <c r="K59" s="228"/>
    </row>
    <row r="60" spans="1:11" s="228" customFormat="1" ht="31.5">
      <c r="B60" s="435" t="s">
        <v>206</v>
      </c>
      <c r="C60" s="1135" t="s">
        <v>184</v>
      </c>
      <c r="D60" s="1135" t="s">
        <v>23</v>
      </c>
      <c r="E60" s="1135" t="s">
        <v>185</v>
      </c>
      <c r="F60" s="1136" t="s">
        <v>186</v>
      </c>
      <c r="G60" s="1137" t="s">
        <v>187</v>
      </c>
    </row>
    <row r="61" spans="1:11" s="228" customFormat="1" ht="15.75">
      <c r="B61" s="1727" t="s">
        <v>188</v>
      </c>
      <c r="C61" s="1728"/>
      <c r="D61" s="1728"/>
      <c r="E61" s="1728"/>
      <c r="F61" s="1728"/>
      <c r="G61" s="1729"/>
    </row>
    <row r="62" spans="1:11" s="229" customFormat="1" ht="45.75" thickBot="1">
      <c r="A62" s="433" t="s">
        <v>451</v>
      </c>
      <c r="B62" s="1222">
        <v>10777</v>
      </c>
      <c r="C62" s="313" t="str">
        <f>IF($A62="INSUMO",VLOOKUP($B62,'BANCO DE DADOS JAN-23 INS'!$A:$D,2,FALSE),VLOOKUP($B62,'BANCO DE DADOS JAN-23 SERV'!$B:$E,2,FALSE))</f>
        <v>LOCACAO DE CONTAINER 2,30 X 4,30 M, ALT. 2,50 M, PARA SANITARIO, COM 3 BACIAS, 4 CHUVEIROS, 1 LAVATORIO E 1 MICTORIO (NAO INCLUI MOBILIZACAO/DESMOBILIZACAO)</v>
      </c>
      <c r="D62" s="295" t="str">
        <f>IF($A62="INSUMO",VLOOKUP($B62,'BANCO DE DADOS JAN-23 INS'!$A:$D,3,FALSE),VLOOKUP($B62,'BANCO DE DADOS JAN-23 SERV'!$B:$E,3,FALSE))</f>
        <v xml:space="preserve">MES   </v>
      </c>
      <c r="E62" s="1223">
        <v>1</v>
      </c>
      <c r="F62" s="315">
        <f>IF($A62="INSUMO",VLOOKUP($B62,'BANCO DE DADOS JAN-23 INS'!$A:$D,4,FALSE),VLOOKUP($B62,'BANCO DE DADOS JAN-23 SERV'!$B:$E,4,FALSE))</f>
        <v>900.38</v>
      </c>
      <c r="G62" s="1224">
        <f>TRUNC(E62*F62,2)</f>
        <v>900.38</v>
      </c>
    </row>
    <row r="63" spans="1:11" s="228" customFormat="1" ht="16.5" customHeight="1" thickBot="1">
      <c r="B63" s="1700" t="s">
        <v>6299</v>
      </c>
      <c r="C63" s="1700"/>
      <c r="D63" s="1700"/>
      <c r="E63" s="1701"/>
      <c r="F63" s="431" t="s">
        <v>192</v>
      </c>
      <c r="G63" s="434">
        <f>TRUNC(SUM(G61:G62),2)</f>
        <v>900.38</v>
      </c>
    </row>
    <row r="64" spans="1:11" s="228" customFormat="1" ht="13.5" thickBot="1">
      <c r="B64" s="319"/>
      <c r="C64" s="319"/>
      <c r="D64" s="320"/>
      <c r="E64" s="321"/>
      <c r="F64" s="322"/>
      <c r="G64" s="323"/>
    </row>
    <row r="65" spans="1:8" s="228" customFormat="1" ht="42.75" customHeight="1">
      <c r="A65" s="339"/>
      <c r="B65" s="333" t="str">
        <f>IF(COUNT($H$13:H65)&lt;10,CONCATENATE("AMM CIV 00",COUNT($H$13:H65)),CONCATENATE("AMM CIV 0",COUNT($H$13:H65)))</f>
        <v>AMM CIV 006</v>
      </c>
      <c r="C65" s="1673" t="s">
        <v>6967</v>
      </c>
      <c r="D65" s="1673"/>
      <c r="E65" s="1673"/>
      <c r="F65" s="1673"/>
      <c r="G65" s="357" t="s">
        <v>0</v>
      </c>
      <c r="H65" s="346">
        <f>G77</f>
        <v>556.53</v>
      </c>
    </row>
    <row r="66" spans="1:8" s="228" customFormat="1" ht="31.5">
      <c r="A66" s="339"/>
      <c r="B66" s="538" t="s">
        <v>206</v>
      </c>
      <c r="C66" s="543" t="s">
        <v>184</v>
      </c>
      <c r="D66" s="543" t="s">
        <v>23</v>
      </c>
      <c r="E66" s="543" t="s">
        <v>185</v>
      </c>
      <c r="F66" s="544" t="s">
        <v>186</v>
      </c>
      <c r="G66" s="1129" t="s">
        <v>187</v>
      </c>
      <c r="H66" s="339"/>
    </row>
    <row r="67" spans="1:8" s="228" customFormat="1" ht="15.75">
      <c r="A67" s="339"/>
      <c r="B67" s="1711" t="s">
        <v>188</v>
      </c>
      <c r="C67" s="1712"/>
      <c r="D67" s="1712"/>
      <c r="E67" s="1712"/>
      <c r="F67" s="1712"/>
      <c r="G67" s="1713"/>
      <c r="H67" s="339"/>
    </row>
    <row r="68" spans="1:8" s="228" customFormat="1" ht="30">
      <c r="A68" s="433" t="s">
        <v>451</v>
      </c>
      <c r="B68" s="744">
        <v>21010</v>
      </c>
      <c r="C68" s="574" t="str">
        <f>IF($A68="INSUMO",VLOOKUP($B68,'BANCO DE DADOS JAN-23 INS'!$A:$D,2,FALSE),VLOOKUP($B68,'BANCO DE DADOS JAN-23 SERV'!$B:$E,2,FALSE))</f>
        <v>TUBO ACO GALVANIZADO COM COSTURA, CLASSE LEVE, DN 25 MM ( 1"),  E = 2,65 MM,  *2,11* KG/M (NBR 5580)</v>
      </c>
      <c r="D68" s="571" t="str">
        <f>IF($A68="INSUMO",VLOOKUP($B68,'BANCO DE DADOS JAN-23 INS'!$A:$D,3,FALSE),VLOOKUP($B68,'BANCO DE DADOS JAN-23 SERV'!$B:$E,3,FALSE))</f>
        <v xml:space="preserve">M     </v>
      </c>
      <c r="E68" s="747">
        <v>9</v>
      </c>
      <c r="F68" s="572">
        <f>IF($A68="INSUMO",VLOOKUP($B68,'BANCO DE DADOS JAN-23 INS'!$A:$D,4,FALSE),VLOOKUP($B68,'BANCO DE DADOS JAN-23 SERV'!$B:$E,4,FALSE))</f>
        <v>35.770000000000003</v>
      </c>
      <c r="G68" s="859">
        <f>TRUNC(E68*F68,2)</f>
        <v>321.93</v>
      </c>
      <c r="H68" s="339"/>
    </row>
    <row r="69" spans="1:8" s="228" customFormat="1" ht="15.75">
      <c r="A69" s="433" t="s">
        <v>451</v>
      </c>
      <c r="B69" s="744">
        <v>10997</v>
      </c>
      <c r="C69" s="574" t="str">
        <f>IF($A69="INSUMO",VLOOKUP($B69,'BANCO DE DADOS JAN-23 INS'!$A:$D,2,FALSE),VLOOKUP($B69,'BANCO DE DADOS JAN-23 SERV'!$B:$E,2,FALSE))</f>
        <v>ELETRODO REVESTIDO AWS - E7018, DIAMETRO IGUAL A 4,00 MM</v>
      </c>
      <c r="D69" s="571" t="str">
        <f>IF($A69="INSUMO",VLOOKUP($B69,'BANCO DE DADOS JAN-23 INS'!$A:$D,3,FALSE),VLOOKUP($B69,'BANCO DE DADOS JAN-23 SERV'!$B:$E,3,FALSE))</f>
        <v xml:space="preserve">KG    </v>
      </c>
      <c r="E69" s="747">
        <v>0.42</v>
      </c>
      <c r="F69" s="572">
        <f>IF($A69="INSUMO",VLOOKUP($B69,'BANCO DE DADOS JAN-23 INS'!$A:$D,4,FALSE),VLOOKUP($B69,'BANCO DE DADOS JAN-23 SERV'!$B:$E,4,FALSE))</f>
        <v>28.79</v>
      </c>
      <c r="G69" s="859">
        <f>TRUNC(E69*F69,2)</f>
        <v>12.09</v>
      </c>
      <c r="H69" s="339"/>
    </row>
    <row r="70" spans="1:8" s="228" customFormat="1" ht="30">
      <c r="A70" s="433" t="s">
        <v>451</v>
      </c>
      <c r="B70" s="744">
        <v>21011</v>
      </c>
      <c r="C70" s="574" t="str">
        <f>IF($A70="INSUMO",VLOOKUP($B70,'BANCO DE DADOS JAN-23 INS'!$A:$D,2,FALSE),VLOOKUP($B70,'BANCO DE DADOS JAN-23 SERV'!$B:$E,2,FALSE))</f>
        <v>TUBO ACO GALVANIZADO COM COSTURA, CLASSE LEVE, DN 32 MM ( 1 1/4"),  E = 2,65 MM,  *2,71* KG/M (NBR 5580)</v>
      </c>
      <c r="D70" s="571" t="str">
        <f>IF($A70="INSUMO",VLOOKUP($B70,'BANCO DE DADOS JAN-23 INS'!$A:$D,3,FALSE),VLOOKUP($B70,'BANCO DE DADOS JAN-23 SERV'!$B:$E,3,FALSE))</f>
        <v xml:space="preserve">M     </v>
      </c>
      <c r="E70" s="747">
        <v>1.98</v>
      </c>
      <c r="F70" s="572">
        <f>IF($A70="INSUMO",VLOOKUP($B70,'BANCO DE DADOS JAN-23 INS'!$A:$D,4,FALSE),VLOOKUP($B70,'BANCO DE DADOS JAN-23 SERV'!$B:$E,4,FALSE))</f>
        <v>52.13</v>
      </c>
      <c r="G70" s="859">
        <f>TRUNC(E70*F70,2)</f>
        <v>103.21</v>
      </c>
      <c r="H70" s="339"/>
    </row>
    <row r="71" spans="1:8" s="228" customFormat="1" ht="45">
      <c r="A71" s="433" t="s">
        <v>452</v>
      </c>
      <c r="B71" s="744">
        <v>100490</v>
      </c>
      <c r="C71" s="574" t="str">
        <f>IF($A71="INSUMO",VLOOKUP($B71,'BANCO DE DADOS JAN-23 INS'!$A:$D,2,FALSE),VLOOKUP($B71,'BANCO DE DADOS JAN-23 SERV'!$B:$E,2,FALSE))</f>
        <v>ARGAMASSA TRAÇO 1:4 (EM VOLUME DE CIMENTO E AREIA MÉDIA ÚMIDA), PREPARO MECÂNICO COM BETONEIRA 600 L. AF_08/2019</v>
      </c>
      <c r="D71" s="571" t="str">
        <f>IF($A71="INSUMO",VLOOKUP($B71,'BANCO DE DADOS JAN-23 INS'!$A:$D,3,FALSE),VLOOKUP($B71,'BANCO DE DADOS JAN-23 SERV'!$B:$E,3,FALSE))</f>
        <v>M3</v>
      </c>
      <c r="E71" s="747">
        <v>8.0000000000000004E-4</v>
      </c>
      <c r="F71" s="572">
        <f>IF($A71="INSUMO",VLOOKUP($B71,'BANCO DE DADOS JAN-23 INS'!$A:$D,4,FALSE),VLOOKUP($B71,'BANCO DE DADOS JAN-23 SERV'!$B:$E,4,FALSE))</f>
        <v>562.02</v>
      </c>
      <c r="G71" s="859">
        <f>TRUNC(E71*F71,2)</f>
        <v>0.44</v>
      </c>
      <c r="H71" s="339"/>
    </row>
    <row r="72" spans="1:8" s="228" customFormat="1" ht="15.75">
      <c r="A72" s="339"/>
      <c r="B72" s="1711" t="s">
        <v>207</v>
      </c>
      <c r="C72" s="1712"/>
      <c r="D72" s="1712"/>
      <c r="E72" s="1712"/>
      <c r="F72" s="1712"/>
      <c r="G72" s="1713"/>
      <c r="H72" s="339"/>
    </row>
    <row r="73" spans="1:8" s="228" customFormat="1" ht="15.75">
      <c r="A73" s="433" t="s">
        <v>452</v>
      </c>
      <c r="B73" s="744">
        <v>88309</v>
      </c>
      <c r="C73" s="574" t="str">
        <f>IF($A73="INSUMO",VLOOKUP($B73,'BANCO DE DADOS JAN-23 INS'!$A:$D,2,FALSE),VLOOKUP($B73,'BANCO DE DADOS JAN-23 SERV'!$B:$E,2,FALSE))</f>
        <v>PEDREIRO COM ENCARGOS COMPLEMENTARES</v>
      </c>
      <c r="D73" s="571" t="str">
        <f>IF($A73="INSUMO",VLOOKUP($B73,'BANCO DE DADOS JAN-23 INS'!$A:$D,3,FALSE),VLOOKUP($B73,'BANCO DE DADOS JAN-23 SERV'!$B:$E,3,FALSE))</f>
        <v>H</v>
      </c>
      <c r="E73" s="1225">
        <v>1</v>
      </c>
      <c r="F73" s="572">
        <f>IF($A73="INSUMO",VLOOKUP($B73,'BANCO DE DADOS JAN-23 INS'!$A:$D,4,FALSE),VLOOKUP($B73,'BANCO DE DADOS JAN-23 SERV'!$B:$E,4,FALSE))</f>
        <v>21.83</v>
      </c>
      <c r="G73" s="859">
        <f>TRUNC(E73*F73,2)</f>
        <v>21.83</v>
      </c>
      <c r="H73" s="339"/>
    </row>
    <row r="74" spans="1:8" s="228" customFormat="1" ht="15.75">
      <c r="A74" s="433" t="s">
        <v>452</v>
      </c>
      <c r="B74" s="744">
        <v>88315</v>
      </c>
      <c r="C74" s="574" t="str">
        <f>IF($A74="INSUMO",VLOOKUP($B74,'BANCO DE DADOS JAN-23 INS'!$A:$D,2,FALSE),VLOOKUP($B74,'BANCO DE DADOS JAN-23 SERV'!$B:$E,2,FALSE))</f>
        <v>SERRALHEIRO COM ENCARGOS COMPLEMENTARES</v>
      </c>
      <c r="D74" s="571" t="str">
        <f>IF($A74="INSUMO",VLOOKUP($B74,'BANCO DE DADOS JAN-23 INS'!$A:$D,3,FALSE),VLOOKUP($B74,'BANCO DE DADOS JAN-23 SERV'!$B:$E,3,FALSE))</f>
        <v>H</v>
      </c>
      <c r="E74" s="1225">
        <v>2</v>
      </c>
      <c r="F74" s="572">
        <f>IF($A74="INSUMO",VLOOKUP($B74,'BANCO DE DADOS JAN-23 INS'!$A:$D,4,FALSE),VLOOKUP($B74,'BANCO DE DADOS JAN-23 SERV'!$B:$E,4,FALSE))</f>
        <v>21.66</v>
      </c>
      <c r="G74" s="859">
        <f>TRUNC(E74*F74,2)</f>
        <v>43.32</v>
      </c>
      <c r="H74" s="339"/>
    </row>
    <row r="75" spans="1:8" s="228" customFormat="1" ht="15.75">
      <c r="A75" s="433" t="s">
        <v>452</v>
      </c>
      <c r="B75" s="744">
        <v>88316</v>
      </c>
      <c r="C75" s="574" t="str">
        <f>IF($A75="INSUMO",VLOOKUP($B75,'BANCO DE DADOS JAN-23 INS'!$A:$D,2,FALSE),VLOOKUP($B75,'BANCO DE DADOS JAN-23 SERV'!$B:$E,2,FALSE))</f>
        <v>SERVENTE COM ENCARGOS COMPLEMENTARES</v>
      </c>
      <c r="D75" s="571" t="str">
        <f>IF($A75="INSUMO",VLOOKUP($B75,'BANCO DE DADOS JAN-23 INS'!$A:$D,3,FALSE),VLOOKUP($B75,'BANCO DE DADOS JAN-23 SERV'!$B:$E,3,FALSE))</f>
        <v>H</v>
      </c>
      <c r="E75" s="1225">
        <v>0.5</v>
      </c>
      <c r="F75" s="572">
        <f>IF($A75="INSUMO",VLOOKUP($B75,'BANCO DE DADOS JAN-23 INS'!$A:$D,4,FALSE),VLOOKUP($B75,'BANCO DE DADOS JAN-23 SERV'!$B:$E,4,FALSE))</f>
        <v>17.420000000000002</v>
      </c>
      <c r="G75" s="859">
        <f>TRUNC(E75*F75,2)</f>
        <v>8.7100000000000009</v>
      </c>
      <c r="H75" s="339"/>
    </row>
    <row r="76" spans="1:8" s="228" customFormat="1" ht="16.5" thickBot="1">
      <c r="A76" s="433" t="s">
        <v>452</v>
      </c>
      <c r="B76" s="761">
        <v>88317</v>
      </c>
      <c r="C76" s="577" t="str">
        <f>IF($A76="INSUMO",VLOOKUP($B76,'BANCO DE DADOS JAN-23 INS'!$A:$D,2,FALSE),VLOOKUP($B76,'BANCO DE DADOS JAN-23 SERV'!$B:$E,2,FALSE))</f>
        <v>SOLDADOR COM ENCARGOS COMPLEMENTARES</v>
      </c>
      <c r="D76" s="578" t="str">
        <f>IF($A76="INSUMO",VLOOKUP($B76,'BANCO DE DADOS JAN-23 INS'!$A:$D,3,FALSE),VLOOKUP($B76,'BANCO DE DADOS JAN-23 SERV'!$B:$E,3,FALSE))</f>
        <v>H</v>
      </c>
      <c r="E76" s="1226">
        <v>2</v>
      </c>
      <c r="F76" s="580">
        <f>IF($A76="INSUMO",VLOOKUP($B76,'BANCO DE DADOS JAN-23 INS'!$A:$D,4,FALSE),VLOOKUP($B76,'BANCO DE DADOS JAN-23 SERV'!$B:$E,4,FALSE))</f>
        <v>22.5</v>
      </c>
      <c r="G76" s="860">
        <f>TRUNC(E76*F76,2)</f>
        <v>45</v>
      </c>
      <c r="H76" s="339"/>
    </row>
    <row r="77" spans="1:8" s="228" customFormat="1" ht="21.75" customHeight="1" thickBot="1">
      <c r="A77" s="339"/>
      <c r="B77" s="1743" t="s">
        <v>6968</v>
      </c>
      <c r="C77" s="1743"/>
      <c r="D77" s="1743"/>
      <c r="E77" s="1744"/>
      <c r="F77" s="332" t="s">
        <v>190</v>
      </c>
      <c r="G77" s="849">
        <f>TRUNC(SUM(G68:G76),2)</f>
        <v>556.53</v>
      </c>
      <c r="H77" s="339"/>
    </row>
  </sheetData>
  <mergeCells count="40">
    <mergeCell ref="B46:E46"/>
    <mergeCell ref="C7:E7"/>
    <mergeCell ref="C28:F28"/>
    <mergeCell ref="B22:C22"/>
    <mergeCell ref="E24:G24"/>
    <mergeCell ref="B25:C25"/>
    <mergeCell ref="B26:C26"/>
    <mergeCell ref="E26:G26"/>
    <mergeCell ref="B3:B4"/>
    <mergeCell ref="D3:E4"/>
    <mergeCell ref="C8:D8"/>
    <mergeCell ref="E8:F8"/>
    <mergeCell ref="C48:F48"/>
    <mergeCell ref="F3:G3"/>
    <mergeCell ref="B5:G5"/>
    <mergeCell ref="B10:G10"/>
    <mergeCell ref="B30:G30"/>
    <mergeCell ref="B19:E19"/>
    <mergeCell ref="B15:G15"/>
    <mergeCell ref="E22:G22"/>
    <mergeCell ref="B23:G23"/>
    <mergeCell ref="B24:C24"/>
    <mergeCell ref="B21:G21"/>
    <mergeCell ref="C13:F13"/>
    <mergeCell ref="C65:F65"/>
    <mergeCell ref="B67:G67"/>
    <mergeCell ref="B72:G72"/>
    <mergeCell ref="B77:E77"/>
    <mergeCell ref="E25:G25"/>
    <mergeCell ref="C59:F59"/>
    <mergeCell ref="B61:G61"/>
    <mergeCell ref="B63:E63"/>
    <mergeCell ref="B50:G50"/>
    <mergeCell ref="B54:G54"/>
    <mergeCell ref="B57:E57"/>
    <mergeCell ref="B35:G35"/>
    <mergeCell ref="B38:E38"/>
    <mergeCell ref="C40:F40"/>
    <mergeCell ref="B42:G42"/>
    <mergeCell ref="B44:G44"/>
  </mergeCells>
  <dataValidations disablePrompts="1" count="2">
    <dataValidation type="list" allowBlank="1" showInputMessage="1" showErrorMessage="1" sqref="A45 A62 A36:A37 A31:A34 A43 A16:A18">
      <formula1>$A$3:$A$4</formula1>
    </dataValidation>
    <dataValidation type="list" allowBlank="1" showInputMessage="1" showErrorMessage="1" sqref="A73:A76 A68:A71">
      <formula1>#REF!</formula1>
    </dataValidation>
  </dataValidations>
  <printOptions horizontalCentered="1"/>
  <pageMargins left="0.78740157480314965" right="0.19685039370078741" top="0.39370078740157483" bottom="0.78740157480314965" header="0.19685039370078741" footer="0.19685039370078741"/>
  <pageSetup paperSize="9" scale="51" fitToHeight="100" orientation="portrait" r:id="rId1"/>
  <headerFooter scaleWithDoc="0" alignWithMargins="0">
    <oddHeader>&amp;RPágina &amp;P de &amp;N</oddHeader>
  </headerFooter>
  <rowBreaks count="1" manualBreakCount="1">
    <brk id="64" min="1" max="6" man="1"/>
  </rowBreaks>
  <drawing r:id="rId2"/>
</worksheet>
</file>

<file path=xl/worksheets/sheet8.xml><?xml version="1.0" encoding="utf-8"?>
<worksheet xmlns="http://schemas.openxmlformats.org/spreadsheetml/2006/main" xmlns:r="http://schemas.openxmlformats.org/officeDocument/2006/relationships">
  <sheetPr codeName="Planilha13">
    <tabColor rgb="FFFFCCFF"/>
  </sheetPr>
  <dimension ref="A1:M186"/>
  <sheetViews>
    <sheetView view="pageBreakPreview" zoomScale="60" workbookViewId="0">
      <selection activeCell="B9" sqref="B9:F9"/>
    </sheetView>
  </sheetViews>
  <sheetFormatPr defaultRowHeight="12.75"/>
  <cols>
    <col min="1" max="1" width="17.42578125" style="224" customWidth="1"/>
    <col min="2" max="2" width="24.7109375" style="224" customWidth="1"/>
    <col min="3" max="3" width="75.7109375" style="224" customWidth="1"/>
    <col min="4" max="4" width="15.7109375" style="224" customWidth="1"/>
    <col min="5" max="5" width="23.7109375" style="224" customWidth="1"/>
    <col min="6" max="6" width="18.7109375" style="224" customWidth="1"/>
    <col min="7" max="7" width="20.7109375" style="224" customWidth="1"/>
    <col min="8" max="8" width="19" style="224" bestFit="1" customWidth="1"/>
    <col min="9" max="9" width="16.5703125" style="224" bestFit="1" customWidth="1"/>
    <col min="10" max="257" width="9.140625" style="224"/>
    <col min="258" max="258" width="24.5703125" style="224" customWidth="1"/>
    <col min="259" max="259" width="71.7109375" style="224" customWidth="1"/>
    <col min="260" max="260" width="17.140625" style="224" bestFit="1" customWidth="1"/>
    <col min="261" max="261" width="16.7109375" style="224" bestFit="1" customWidth="1"/>
    <col min="262" max="262" width="16.85546875" style="224" bestFit="1" customWidth="1"/>
    <col min="263" max="263" width="21.42578125" style="224" customWidth="1"/>
    <col min="264" max="264" width="9.140625" style="224"/>
    <col min="265" max="265" width="16.5703125" style="224" bestFit="1" customWidth="1"/>
    <col min="266" max="513" width="9.140625" style="224"/>
    <col min="514" max="514" width="24.5703125" style="224" customWidth="1"/>
    <col min="515" max="515" width="71.7109375" style="224" customWidth="1"/>
    <col min="516" max="516" width="17.140625" style="224" bestFit="1" customWidth="1"/>
    <col min="517" max="517" width="16.7109375" style="224" bestFit="1" customWidth="1"/>
    <col min="518" max="518" width="16.85546875" style="224" bestFit="1" customWidth="1"/>
    <col min="519" max="519" width="21.42578125" style="224" customWidth="1"/>
    <col min="520" max="520" width="9.140625" style="224"/>
    <col min="521" max="521" width="16.5703125" style="224" bestFit="1" customWidth="1"/>
    <col min="522" max="769" width="9.140625" style="224"/>
    <col min="770" max="770" width="24.5703125" style="224" customWidth="1"/>
    <col min="771" max="771" width="71.7109375" style="224" customWidth="1"/>
    <col min="772" max="772" width="17.140625" style="224" bestFit="1" customWidth="1"/>
    <col min="773" max="773" width="16.7109375" style="224" bestFit="1" customWidth="1"/>
    <col min="774" max="774" width="16.85546875" style="224" bestFit="1" customWidth="1"/>
    <col min="775" max="775" width="21.42578125" style="224" customWidth="1"/>
    <col min="776" max="776" width="9.140625" style="224"/>
    <col min="777" max="777" width="16.5703125" style="224" bestFit="1" customWidth="1"/>
    <col min="778" max="1025" width="9.140625" style="224"/>
    <col min="1026" max="1026" width="24.5703125" style="224" customWidth="1"/>
    <col min="1027" max="1027" width="71.7109375" style="224" customWidth="1"/>
    <col min="1028" max="1028" width="17.140625" style="224" bestFit="1" customWidth="1"/>
    <col min="1029" max="1029" width="16.7109375" style="224" bestFit="1" customWidth="1"/>
    <col min="1030" max="1030" width="16.85546875" style="224" bestFit="1" customWidth="1"/>
    <col min="1031" max="1031" width="21.42578125" style="224" customWidth="1"/>
    <col min="1032" max="1032" width="9.140625" style="224"/>
    <col min="1033" max="1033" width="16.5703125" style="224" bestFit="1" customWidth="1"/>
    <col min="1034" max="1281" width="9.140625" style="224"/>
    <col min="1282" max="1282" width="24.5703125" style="224" customWidth="1"/>
    <col min="1283" max="1283" width="71.7109375" style="224" customWidth="1"/>
    <col min="1284" max="1284" width="17.140625" style="224" bestFit="1" customWidth="1"/>
    <col min="1285" max="1285" width="16.7109375" style="224" bestFit="1" customWidth="1"/>
    <col min="1286" max="1286" width="16.85546875" style="224" bestFit="1" customWidth="1"/>
    <col min="1287" max="1287" width="21.42578125" style="224" customWidth="1"/>
    <col min="1288" max="1288" width="9.140625" style="224"/>
    <col min="1289" max="1289" width="16.5703125" style="224" bestFit="1" customWidth="1"/>
    <col min="1290" max="1537" width="9.140625" style="224"/>
    <col min="1538" max="1538" width="24.5703125" style="224" customWidth="1"/>
    <col min="1539" max="1539" width="71.7109375" style="224" customWidth="1"/>
    <col min="1540" max="1540" width="17.140625" style="224" bestFit="1" customWidth="1"/>
    <col min="1541" max="1541" width="16.7109375" style="224" bestFit="1" customWidth="1"/>
    <col min="1542" max="1542" width="16.85546875" style="224" bestFit="1" customWidth="1"/>
    <col min="1543" max="1543" width="21.42578125" style="224" customWidth="1"/>
    <col min="1544" max="1544" width="9.140625" style="224"/>
    <col min="1545" max="1545" width="16.5703125" style="224" bestFit="1" customWidth="1"/>
    <col min="1546" max="1793" width="9.140625" style="224"/>
    <col min="1794" max="1794" width="24.5703125" style="224" customWidth="1"/>
    <col min="1795" max="1795" width="71.7109375" style="224" customWidth="1"/>
    <col min="1796" max="1796" width="17.140625" style="224" bestFit="1" customWidth="1"/>
    <col min="1797" max="1797" width="16.7109375" style="224" bestFit="1" customWidth="1"/>
    <col min="1798" max="1798" width="16.85546875" style="224" bestFit="1" customWidth="1"/>
    <col min="1799" max="1799" width="21.42578125" style="224" customWidth="1"/>
    <col min="1800" max="1800" width="9.140625" style="224"/>
    <col min="1801" max="1801" width="16.5703125" style="224" bestFit="1" customWidth="1"/>
    <col min="1802" max="2049" width="9.140625" style="224"/>
    <col min="2050" max="2050" width="24.5703125" style="224" customWidth="1"/>
    <col min="2051" max="2051" width="71.7109375" style="224" customWidth="1"/>
    <col min="2052" max="2052" width="17.140625" style="224" bestFit="1" customWidth="1"/>
    <col min="2053" max="2053" width="16.7109375" style="224" bestFit="1" customWidth="1"/>
    <col min="2054" max="2054" width="16.85546875" style="224" bestFit="1" customWidth="1"/>
    <col min="2055" max="2055" width="21.42578125" style="224" customWidth="1"/>
    <col min="2056" max="2056" width="9.140625" style="224"/>
    <col min="2057" max="2057" width="16.5703125" style="224" bestFit="1" customWidth="1"/>
    <col min="2058" max="2305" width="9.140625" style="224"/>
    <col min="2306" max="2306" width="24.5703125" style="224" customWidth="1"/>
    <col min="2307" max="2307" width="71.7109375" style="224" customWidth="1"/>
    <col min="2308" max="2308" width="17.140625" style="224" bestFit="1" customWidth="1"/>
    <col min="2309" max="2309" width="16.7109375" style="224" bestFit="1" customWidth="1"/>
    <col min="2310" max="2310" width="16.85546875" style="224" bestFit="1" customWidth="1"/>
    <col min="2311" max="2311" width="21.42578125" style="224" customWidth="1"/>
    <col min="2312" max="2312" width="9.140625" style="224"/>
    <col min="2313" max="2313" width="16.5703125" style="224" bestFit="1" customWidth="1"/>
    <col min="2314" max="2561" width="9.140625" style="224"/>
    <col min="2562" max="2562" width="24.5703125" style="224" customWidth="1"/>
    <col min="2563" max="2563" width="71.7109375" style="224" customWidth="1"/>
    <col min="2564" max="2564" width="17.140625" style="224" bestFit="1" customWidth="1"/>
    <col min="2565" max="2565" width="16.7109375" style="224" bestFit="1" customWidth="1"/>
    <col min="2566" max="2566" width="16.85546875" style="224" bestFit="1" customWidth="1"/>
    <col min="2567" max="2567" width="21.42578125" style="224" customWidth="1"/>
    <col min="2568" max="2568" width="9.140625" style="224"/>
    <col min="2569" max="2569" width="16.5703125" style="224" bestFit="1" customWidth="1"/>
    <col min="2570" max="2817" width="9.140625" style="224"/>
    <col min="2818" max="2818" width="24.5703125" style="224" customWidth="1"/>
    <col min="2819" max="2819" width="71.7109375" style="224" customWidth="1"/>
    <col min="2820" max="2820" width="17.140625" style="224" bestFit="1" customWidth="1"/>
    <col min="2821" max="2821" width="16.7109375" style="224" bestFit="1" customWidth="1"/>
    <col min="2822" max="2822" width="16.85546875" style="224" bestFit="1" customWidth="1"/>
    <col min="2823" max="2823" width="21.42578125" style="224" customWidth="1"/>
    <col min="2824" max="2824" width="9.140625" style="224"/>
    <col min="2825" max="2825" width="16.5703125" style="224" bestFit="1" customWidth="1"/>
    <col min="2826" max="3073" width="9.140625" style="224"/>
    <col min="3074" max="3074" width="24.5703125" style="224" customWidth="1"/>
    <col min="3075" max="3075" width="71.7109375" style="224" customWidth="1"/>
    <col min="3076" max="3076" width="17.140625" style="224" bestFit="1" customWidth="1"/>
    <col min="3077" max="3077" width="16.7109375" style="224" bestFit="1" customWidth="1"/>
    <col min="3078" max="3078" width="16.85546875" style="224" bestFit="1" customWidth="1"/>
    <col min="3079" max="3079" width="21.42578125" style="224" customWidth="1"/>
    <col min="3080" max="3080" width="9.140625" style="224"/>
    <col min="3081" max="3081" width="16.5703125" style="224" bestFit="1" customWidth="1"/>
    <col min="3082" max="3329" width="9.140625" style="224"/>
    <col min="3330" max="3330" width="24.5703125" style="224" customWidth="1"/>
    <col min="3331" max="3331" width="71.7109375" style="224" customWidth="1"/>
    <col min="3332" max="3332" width="17.140625" style="224" bestFit="1" customWidth="1"/>
    <col min="3333" max="3333" width="16.7109375" style="224" bestFit="1" customWidth="1"/>
    <col min="3334" max="3334" width="16.85546875" style="224" bestFit="1" customWidth="1"/>
    <col min="3335" max="3335" width="21.42578125" style="224" customWidth="1"/>
    <col min="3336" max="3336" width="9.140625" style="224"/>
    <col min="3337" max="3337" width="16.5703125" style="224" bestFit="1" customWidth="1"/>
    <col min="3338" max="3585" width="9.140625" style="224"/>
    <col min="3586" max="3586" width="24.5703125" style="224" customWidth="1"/>
    <col min="3587" max="3587" width="71.7109375" style="224" customWidth="1"/>
    <col min="3588" max="3588" width="17.140625" style="224" bestFit="1" customWidth="1"/>
    <col min="3589" max="3589" width="16.7109375" style="224" bestFit="1" customWidth="1"/>
    <col min="3590" max="3590" width="16.85546875" style="224" bestFit="1" customWidth="1"/>
    <col min="3591" max="3591" width="21.42578125" style="224" customWidth="1"/>
    <col min="3592" max="3592" width="9.140625" style="224"/>
    <col min="3593" max="3593" width="16.5703125" style="224" bestFit="1" customWidth="1"/>
    <col min="3594" max="3841" width="9.140625" style="224"/>
    <col min="3842" max="3842" width="24.5703125" style="224" customWidth="1"/>
    <col min="3843" max="3843" width="71.7109375" style="224" customWidth="1"/>
    <col min="3844" max="3844" width="17.140625" style="224" bestFit="1" customWidth="1"/>
    <col min="3845" max="3845" width="16.7109375" style="224" bestFit="1" customWidth="1"/>
    <col min="3846" max="3846" width="16.85546875" style="224" bestFit="1" customWidth="1"/>
    <col min="3847" max="3847" width="21.42578125" style="224" customWidth="1"/>
    <col min="3848" max="3848" width="9.140625" style="224"/>
    <col min="3849" max="3849" width="16.5703125" style="224" bestFit="1" customWidth="1"/>
    <col min="3850" max="4097" width="9.140625" style="224"/>
    <col min="4098" max="4098" width="24.5703125" style="224" customWidth="1"/>
    <col min="4099" max="4099" width="71.7109375" style="224" customWidth="1"/>
    <col min="4100" max="4100" width="17.140625" style="224" bestFit="1" customWidth="1"/>
    <col min="4101" max="4101" width="16.7109375" style="224" bestFit="1" customWidth="1"/>
    <col min="4102" max="4102" width="16.85546875" style="224" bestFit="1" customWidth="1"/>
    <col min="4103" max="4103" width="21.42578125" style="224" customWidth="1"/>
    <col min="4104" max="4104" width="9.140625" style="224"/>
    <col min="4105" max="4105" width="16.5703125" style="224" bestFit="1" customWidth="1"/>
    <col min="4106" max="4353" width="9.140625" style="224"/>
    <col min="4354" max="4354" width="24.5703125" style="224" customWidth="1"/>
    <col min="4355" max="4355" width="71.7109375" style="224" customWidth="1"/>
    <col min="4356" max="4356" width="17.140625" style="224" bestFit="1" customWidth="1"/>
    <col min="4357" max="4357" width="16.7109375" style="224" bestFit="1" customWidth="1"/>
    <col min="4358" max="4358" width="16.85546875" style="224" bestFit="1" customWidth="1"/>
    <col min="4359" max="4359" width="21.42578125" style="224" customWidth="1"/>
    <col min="4360" max="4360" width="9.140625" style="224"/>
    <col min="4361" max="4361" width="16.5703125" style="224" bestFit="1" customWidth="1"/>
    <col min="4362" max="4609" width="9.140625" style="224"/>
    <col min="4610" max="4610" width="24.5703125" style="224" customWidth="1"/>
    <col min="4611" max="4611" width="71.7109375" style="224" customWidth="1"/>
    <col min="4612" max="4612" width="17.140625" style="224" bestFit="1" customWidth="1"/>
    <col min="4613" max="4613" width="16.7109375" style="224" bestFit="1" customWidth="1"/>
    <col min="4614" max="4614" width="16.85546875" style="224" bestFit="1" customWidth="1"/>
    <col min="4615" max="4615" width="21.42578125" style="224" customWidth="1"/>
    <col min="4616" max="4616" width="9.140625" style="224"/>
    <col min="4617" max="4617" width="16.5703125" style="224" bestFit="1" customWidth="1"/>
    <col min="4618" max="4865" width="9.140625" style="224"/>
    <col min="4866" max="4866" width="24.5703125" style="224" customWidth="1"/>
    <col min="4867" max="4867" width="71.7109375" style="224" customWidth="1"/>
    <col min="4868" max="4868" width="17.140625" style="224" bestFit="1" customWidth="1"/>
    <col min="4869" max="4869" width="16.7109375" style="224" bestFit="1" customWidth="1"/>
    <col min="4870" max="4870" width="16.85546875" style="224" bestFit="1" customWidth="1"/>
    <col min="4871" max="4871" width="21.42578125" style="224" customWidth="1"/>
    <col min="4872" max="4872" width="9.140625" style="224"/>
    <col min="4873" max="4873" width="16.5703125" style="224" bestFit="1" customWidth="1"/>
    <col min="4874" max="5121" width="9.140625" style="224"/>
    <col min="5122" max="5122" width="24.5703125" style="224" customWidth="1"/>
    <col min="5123" max="5123" width="71.7109375" style="224" customWidth="1"/>
    <col min="5124" max="5124" width="17.140625" style="224" bestFit="1" customWidth="1"/>
    <col min="5125" max="5125" width="16.7109375" style="224" bestFit="1" customWidth="1"/>
    <col min="5126" max="5126" width="16.85546875" style="224" bestFit="1" customWidth="1"/>
    <col min="5127" max="5127" width="21.42578125" style="224" customWidth="1"/>
    <col min="5128" max="5128" width="9.140625" style="224"/>
    <col min="5129" max="5129" width="16.5703125" style="224" bestFit="1" customWidth="1"/>
    <col min="5130" max="5377" width="9.140625" style="224"/>
    <col min="5378" max="5378" width="24.5703125" style="224" customWidth="1"/>
    <col min="5379" max="5379" width="71.7109375" style="224" customWidth="1"/>
    <col min="5380" max="5380" width="17.140625" style="224" bestFit="1" customWidth="1"/>
    <col min="5381" max="5381" width="16.7109375" style="224" bestFit="1" customWidth="1"/>
    <col min="5382" max="5382" width="16.85546875" style="224" bestFit="1" customWidth="1"/>
    <col min="5383" max="5383" width="21.42578125" style="224" customWidth="1"/>
    <col min="5384" max="5384" width="9.140625" style="224"/>
    <col min="5385" max="5385" width="16.5703125" style="224" bestFit="1" customWidth="1"/>
    <col min="5386" max="5633" width="9.140625" style="224"/>
    <col min="5634" max="5634" width="24.5703125" style="224" customWidth="1"/>
    <col min="5635" max="5635" width="71.7109375" style="224" customWidth="1"/>
    <col min="5636" max="5636" width="17.140625" style="224" bestFit="1" customWidth="1"/>
    <col min="5637" max="5637" width="16.7109375" style="224" bestFit="1" customWidth="1"/>
    <col min="5638" max="5638" width="16.85546875" style="224" bestFit="1" customWidth="1"/>
    <col min="5639" max="5639" width="21.42578125" style="224" customWidth="1"/>
    <col min="5640" max="5640" width="9.140625" style="224"/>
    <col min="5641" max="5641" width="16.5703125" style="224" bestFit="1" customWidth="1"/>
    <col min="5642" max="5889" width="9.140625" style="224"/>
    <col min="5890" max="5890" width="24.5703125" style="224" customWidth="1"/>
    <col min="5891" max="5891" width="71.7109375" style="224" customWidth="1"/>
    <col min="5892" max="5892" width="17.140625" style="224" bestFit="1" customWidth="1"/>
    <col min="5893" max="5893" width="16.7109375" style="224" bestFit="1" customWidth="1"/>
    <col min="5894" max="5894" width="16.85546875" style="224" bestFit="1" customWidth="1"/>
    <col min="5895" max="5895" width="21.42578125" style="224" customWidth="1"/>
    <col min="5896" max="5896" width="9.140625" style="224"/>
    <col min="5897" max="5897" width="16.5703125" style="224" bestFit="1" customWidth="1"/>
    <col min="5898" max="6145" width="9.140625" style="224"/>
    <col min="6146" max="6146" width="24.5703125" style="224" customWidth="1"/>
    <col min="6147" max="6147" width="71.7109375" style="224" customWidth="1"/>
    <col min="6148" max="6148" width="17.140625" style="224" bestFit="1" customWidth="1"/>
    <col min="6149" max="6149" width="16.7109375" style="224" bestFit="1" customWidth="1"/>
    <col min="6150" max="6150" width="16.85546875" style="224" bestFit="1" customWidth="1"/>
    <col min="6151" max="6151" width="21.42578125" style="224" customWidth="1"/>
    <col min="6152" max="6152" width="9.140625" style="224"/>
    <col min="6153" max="6153" width="16.5703125" style="224" bestFit="1" customWidth="1"/>
    <col min="6154" max="6401" width="9.140625" style="224"/>
    <col min="6402" max="6402" width="24.5703125" style="224" customWidth="1"/>
    <col min="6403" max="6403" width="71.7109375" style="224" customWidth="1"/>
    <col min="6404" max="6404" width="17.140625" style="224" bestFit="1" customWidth="1"/>
    <col min="6405" max="6405" width="16.7109375" style="224" bestFit="1" customWidth="1"/>
    <col min="6406" max="6406" width="16.85546875" style="224" bestFit="1" customWidth="1"/>
    <col min="6407" max="6407" width="21.42578125" style="224" customWidth="1"/>
    <col min="6408" max="6408" width="9.140625" style="224"/>
    <col min="6409" max="6409" width="16.5703125" style="224" bestFit="1" customWidth="1"/>
    <col min="6410" max="6657" width="9.140625" style="224"/>
    <col min="6658" max="6658" width="24.5703125" style="224" customWidth="1"/>
    <col min="6659" max="6659" width="71.7109375" style="224" customWidth="1"/>
    <col min="6660" max="6660" width="17.140625" style="224" bestFit="1" customWidth="1"/>
    <col min="6661" max="6661" width="16.7109375" style="224" bestFit="1" customWidth="1"/>
    <col min="6662" max="6662" width="16.85546875" style="224" bestFit="1" customWidth="1"/>
    <col min="6663" max="6663" width="21.42578125" style="224" customWidth="1"/>
    <col min="6664" max="6664" width="9.140625" style="224"/>
    <col min="6665" max="6665" width="16.5703125" style="224" bestFit="1" customWidth="1"/>
    <col min="6666" max="6913" width="9.140625" style="224"/>
    <col min="6914" max="6914" width="24.5703125" style="224" customWidth="1"/>
    <col min="6915" max="6915" width="71.7109375" style="224" customWidth="1"/>
    <col min="6916" max="6916" width="17.140625" style="224" bestFit="1" customWidth="1"/>
    <col min="6917" max="6917" width="16.7109375" style="224" bestFit="1" customWidth="1"/>
    <col min="6918" max="6918" width="16.85546875" style="224" bestFit="1" customWidth="1"/>
    <col min="6919" max="6919" width="21.42578125" style="224" customWidth="1"/>
    <col min="6920" max="6920" width="9.140625" style="224"/>
    <col min="6921" max="6921" width="16.5703125" style="224" bestFit="1" customWidth="1"/>
    <col min="6922" max="7169" width="9.140625" style="224"/>
    <col min="7170" max="7170" width="24.5703125" style="224" customWidth="1"/>
    <col min="7171" max="7171" width="71.7109375" style="224" customWidth="1"/>
    <col min="7172" max="7172" width="17.140625" style="224" bestFit="1" customWidth="1"/>
    <col min="7173" max="7173" width="16.7109375" style="224" bestFit="1" customWidth="1"/>
    <col min="7174" max="7174" width="16.85546875" style="224" bestFit="1" customWidth="1"/>
    <col min="7175" max="7175" width="21.42578125" style="224" customWidth="1"/>
    <col min="7176" max="7176" width="9.140625" style="224"/>
    <col min="7177" max="7177" width="16.5703125" style="224" bestFit="1" customWidth="1"/>
    <col min="7178" max="7425" width="9.140625" style="224"/>
    <col min="7426" max="7426" width="24.5703125" style="224" customWidth="1"/>
    <col min="7427" max="7427" width="71.7109375" style="224" customWidth="1"/>
    <col min="7428" max="7428" width="17.140625" style="224" bestFit="1" customWidth="1"/>
    <col min="7429" max="7429" width="16.7109375" style="224" bestFit="1" customWidth="1"/>
    <col min="7430" max="7430" width="16.85546875" style="224" bestFit="1" customWidth="1"/>
    <col min="7431" max="7431" width="21.42578125" style="224" customWidth="1"/>
    <col min="7432" max="7432" width="9.140625" style="224"/>
    <col min="7433" max="7433" width="16.5703125" style="224" bestFit="1" customWidth="1"/>
    <col min="7434" max="7681" width="9.140625" style="224"/>
    <col min="7682" max="7682" width="24.5703125" style="224" customWidth="1"/>
    <col min="7683" max="7683" width="71.7109375" style="224" customWidth="1"/>
    <col min="7684" max="7684" width="17.140625" style="224" bestFit="1" customWidth="1"/>
    <col min="7685" max="7685" width="16.7109375" style="224" bestFit="1" customWidth="1"/>
    <col min="7686" max="7686" width="16.85546875" style="224" bestFit="1" customWidth="1"/>
    <col min="7687" max="7687" width="21.42578125" style="224" customWidth="1"/>
    <col min="7688" max="7688" width="9.140625" style="224"/>
    <col min="7689" max="7689" width="16.5703125" style="224" bestFit="1" customWidth="1"/>
    <col min="7690" max="7937" width="9.140625" style="224"/>
    <col min="7938" max="7938" width="24.5703125" style="224" customWidth="1"/>
    <col min="7939" max="7939" width="71.7109375" style="224" customWidth="1"/>
    <col min="7940" max="7940" width="17.140625" style="224" bestFit="1" customWidth="1"/>
    <col min="7941" max="7941" width="16.7109375" style="224" bestFit="1" customWidth="1"/>
    <col min="7942" max="7942" width="16.85546875" style="224" bestFit="1" customWidth="1"/>
    <col min="7943" max="7943" width="21.42578125" style="224" customWidth="1"/>
    <col min="7944" max="7944" width="9.140625" style="224"/>
    <col min="7945" max="7945" width="16.5703125" style="224" bestFit="1" customWidth="1"/>
    <col min="7946" max="8193" width="9.140625" style="224"/>
    <col min="8194" max="8194" width="24.5703125" style="224" customWidth="1"/>
    <col min="8195" max="8195" width="71.7109375" style="224" customWidth="1"/>
    <col min="8196" max="8196" width="17.140625" style="224" bestFit="1" customWidth="1"/>
    <col min="8197" max="8197" width="16.7109375" style="224" bestFit="1" customWidth="1"/>
    <col min="8198" max="8198" width="16.85546875" style="224" bestFit="1" customWidth="1"/>
    <col min="8199" max="8199" width="21.42578125" style="224" customWidth="1"/>
    <col min="8200" max="8200" width="9.140625" style="224"/>
    <col min="8201" max="8201" width="16.5703125" style="224" bestFit="1" customWidth="1"/>
    <col min="8202" max="8449" width="9.140625" style="224"/>
    <col min="8450" max="8450" width="24.5703125" style="224" customWidth="1"/>
    <col min="8451" max="8451" width="71.7109375" style="224" customWidth="1"/>
    <col min="8452" max="8452" width="17.140625" style="224" bestFit="1" customWidth="1"/>
    <col min="8453" max="8453" width="16.7109375" style="224" bestFit="1" customWidth="1"/>
    <col min="8454" max="8454" width="16.85546875" style="224" bestFit="1" customWidth="1"/>
    <col min="8455" max="8455" width="21.42578125" style="224" customWidth="1"/>
    <col min="8456" max="8456" width="9.140625" style="224"/>
    <col min="8457" max="8457" width="16.5703125" style="224" bestFit="1" customWidth="1"/>
    <col min="8458" max="8705" width="9.140625" style="224"/>
    <col min="8706" max="8706" width="24.5703125" style="224" customWidth="1"/>
    <col min="8707" max="8707" width="71.7109375" style="224" customWidth="1"/>
    <col min="8708" max="8708" width="17.140625" style="224" bestFit="1" customWidth="1"/>
    <col min="8709" max="8709" width="16.7109375" style="224" bestFit="1" customWidth="1"/>
    <col min="8710" max="8710" width="16.85546875" style="224" bestFit="1" customWidth="1"/>
    <col min="8711" max="8711" width="21.42578125" style="224" customWidth="1"/>
    <col min="8712" max="8712" width="9.140625" style="224"/>
    <col min="8713" max="8713" width="16.5703125" style="224" bestFit="1" customWidth="1"/>
    <col min="8714" max="8961" width="9.140625" style="224"/>
    <col min="8962" max="8962" width="24.5703125" style="224" customWidth="1"/>
    <col min="8963" max="8963" width="71.7109375" style="224" customWidth="1"/>
    <col min="8964" max="8964" width="17.140625" style="224" bestFit="1" customWidth="1"/>
    <col min="8965" max="8965" width="16.7109375" style="224" bestFit="1" customWidth="1"/>
    <col min="8966" max="8966" width="16.85546875" style="224" bestFit="1" customWidth="1"/>
    <col min="8967" max="8967" width="21.42578125" style="224" customWidth="1"/>
    <col min="8968" max="8968" width="9.140625" style="224"/>
    <col min="8969" max="8969" width="16.5703125" style="224" bestFit="1" customWidth="1"/>
    <col min="8970" max="9217" width="9.140625" style="224"/>
    <col min="9218" max="9218" width="24.5703125" style="224" customWidth="1"/>
    <col min="9219" max="9219" width="71.7109375" style="224" customWidth="1"/>
    <col min="9220" max="9220" width="17.140625" style="224" bestFit="1" customWidth="1"/>
    <col min="9221" max="9221" width="16.7109375" style="224" bestFit="1" customWidth="1"/>
    <col min="9222" max="9222" width="16.85546875" style="224" bestFit="1" customWidth="1"/>
    <col min="9223" max="9223" width="21.42578125" style="224" customWidth="1"/>
    <col min="9224" max="9224" width="9.140625" style="224"/>
    <col min="9225" max="9225" width="16.5703125" style="224" bestFit="1" customWidth="1"/>
    <col min="9226" max="9473" width="9.140625" style="224"/>
    <col min="9474" max="9474" width="24.5703125" style="224" customWidth="1"/>
    <col min="9475" max="9475" width="71.7109375" style="224" customWidth="1"/>
    <col min="9476" max="9476" width="17.140625" style="224" bestFit="1" customWidth="1"/>
    <col min="9477" max="9477" width="16.7109375" style="224" bestFit="1" customWidth="1"/>
    <col min="9478" max="9478" width="16.85546875" style="224" bestFit="1" customWidth="1"/>
    <col min="9479" max="9479" width="21.42578125" style="224" customWidth="1"/>
    <col min="9480" max="9480" width="9.140625" style="224"/>
    <col min="9481" max="9481" width="16.5703125" style="224" bestFit="1" customWidth="1"/>
    <col min="9482" max="9729" width="9.140625" style="224"/>
    <col min="9730" max="9730" width="24.5703125" style="224" customWidth="1"/>
    <col min="9731" max="9731" width="71.7109375" style="224" customWidth="1"/>
    <col min="9732" max="9732" width="17.140625" style="224" bestFit="1" customWidth="1"/>
    <col min="9733" max="9733" width="16.7109375" style="224" bestFit="1" customWidth="1"/>
    <col min="9734" max="9734" width="16.85546875" style="224" bestFit="1" customWidth="1"/>
    <col min="9735" max="9735" width="21.42578125" style="224" customWidth="1"/>
    <col min="9736" max="9736" width="9.140625" style="224"/>
    <col min="9737" max="9737" width="16.5703125" style="224" bestFit="1" customWidth="1"/>
    <col min="9738" max="9985" width="9.140625" style="224"/>
    <col min="9986" max="9986" width="24.5703125" style="224" customWidth="1"/>
    <col min="9987" max="9987" width="71.7109375" style="224" customWidth="1"/>
    <col min="9988" max="9988" width="17.140625" style="224" bestFit="1" customWidth="1"/>
    <col min="9989" max="9989" width="16.7109375" style="224" bestFit="1" customWidth="1"/>
    <col min="9990" max="9990" width="16.85546875" style="224" bestFit="1" customWidth="1"/>
    <col min="9991" max="9991" width="21.42578125" style="224" customWidth="1"/>
    <col min="9992" max="9992" width="9.140625" style="224"/>
    <col min="9993" max="9993" width="16.5703125" style="224" bestFit="1" customWidth="1"/>
    <col min="9994" max="10241" width="9.140625" style="224"/>
    <col min="10242" max="10242" width="24.5703125" style="224" customWidth="1"/>
    <col min="10243" max="10243" width="71.7109375" style="224" customWidth="1"/>
    <col min="10244" max="10244" width="17.140625" style="224" bestFit="1" customWidth="1"/>
    <col min="10245" max="10245" width="16.7109375" style="224" bestFit="1" customWidth="1"/>
    <col min="10246" max="10246" width="16.85546875" style="224" bestFit="1" customWidth="1"/>
    <col min="10247" max="10247" width="21.42578125" style="224" customWidth="1"/>
    <col min="10248" max="10248" width="9.140625" style="224"/>
    <col min="10249" max="10249" width="16.5703125" style="224" bestFit="1" customWidth="1"/>
    <col min="10250" max="10497" width="9.140625" style="224"/>
    <col min="10498" max="10498" width="24.5703125" style="224" customWidth="1"/>
    <col min="10499" max="10499" width="71.7109375" style="224" customWidth="1"/>
    <col min="10500" max="10500" width="17.140625" style="224" bestFit="1" customWidth="1"/>
    <col min="10501" max="10501" width="16.7109375" style="224" bestFit="1" customWidth="1"/>
    <col min="10502" max="10502" width="16.85546875" style="224" bestFit="1" customWidth="1"/>
    <col min="10503" max="10503" width="21.42578125" style="224" customWidth="1"/>
    <col min="10504" max="10504" width="9.140625" style="224"/>
    <col min="10505" max="10505" width="16.5703125" style="224" bestFit="1" customWidth="1"/>
    <col min="10506" max="10753" width="9.140625" style="224"/>
    <col min="10754" max="10754" width="24.5703125" style="224" customWidth="1"/>
    <col min="10755" max="10755" width="71.7109375" style="224" customWidth="1"/>
    <col min="10756" max="10756" width="17.140625" style="224" bestFit="1" customWidth="1"/>
    <col min="10757" max="10757" width="16.7109375" style="224" bestFit="1" customWidth="1"/>
    <col min="10758" max="10758" width="16.85546875" style="224" bestFit="1" customWidth="1"/>
    <col min="10759" max="10759" width="21.42578125" style="224" customWidth="1"/>
    <col min="10760" max="10760" width="9.140625" style="224"/>
    <col min="10761" max="10761" width="16.5703125" style="224" bestFit="1" customWidth="1"/>
    <col min="10762" max="11009" width="9.140625" style="224"/>
    <col min="11010" max="11010" width="24.5703125" style="224" customWidth="1"/>
    <col min="11011" max="11011" width="71.7109375" style="224" customWidth="1"/>
    <col min="11012" max="11012" width="17.140625" style="224" bestFit="1" customWidth="1"/>
    <col min="11013" max="11013" width="16.7109375" style="224" bestFit="1" customWidth="1"/>
    <col min="11014" max="11014" width="16.85546875" style="224" bestFit="1" customWidth="1"/>
    <col min="11015" max="11015" width="21.42578125" style="224" customWidth="1"/>
    <col min="11016" max="11016" width="9.140625" style="224"/>
    <col min="11017" max="11017" width="16.5703125" style="224" bestFit="1" customWidth="1"/>
    <col min="11018" max="11265" width="9.140625" style="224"/>
    <col min="11266" max="11266" width="24.5703125" style="224" customWidth="1"/>
    <col min="11267" max="11267" width="71.7109375" style="224" customWidth="1"/>
    <col min="11268" max="11268" width="17.140625" style="224" bestFit="1" customWidth="1"/>
    <col min="11269" max="11269" width="16.7109375" style="224" bestFit="1" customWidth="1"/>
    <col min="11270" max="11270" width="16.85546875" style="224" bestFit="1" customWidth="1"/>
    <col min="11271" max="11271" width="21.42578125" style="224" customWidth="1"/>
    <col min="11272" max="11272" width="9.140625" style="224"/>
    <col min="11273" max="11273" width="16.5703125" style="224" bestFit="1" customWidth="1"/>
    <col min="11274" max="11521" width="9.140625" style="224"/>
    <col min="11522" max="11522" width="24.5703125" style="224" customWidth="1"/>
    <col min="11523" max="11523" width="71.7109375" style="224" customWidth="1"/>
    <col min="11524" max="11524" width="17.140625" style="224" bestFit="1" customWidth="1"/>
    <col min="11525" max="11525" width="16.7109375" style="224" bestFit="1" customWidth="1"/>
    <col min="11526" max="11526" width="16.85546875" style="224" bestFit="1" customWidth="1"/>
    <col min="11527" max="11527" width="21.42578125" style="224" customWidth="1"/>
    <col min="11528" max="11528" width="9.140625" style="224"/>
    <col min="11529" max="11529" width="16.5703125" style="224" bestFit="1" customWidth="1"/>
    <col min="11530" max="11777" width="9.140625" style="224"/>
    <col min="11778" max="11778" width="24.5703125" style="224" customWidth="1"/>
    <col min="11779" max="11779" width="71.7109375" style="224" customWidth="1"/>
    <col min="11780" max="11780" width="17.140625" style="224" bestFit="1" customWidth="1"/>
    <col min="11781" max="11781" width="16.7109375" style="224" bestFit="1" customWidth="1"/>
    <col min="11782" max="11782" width="16.85546875" style="224" bestFit="1" customWidth="1"/>
    <col min="11783" max="11783" width="21.42578125" style="224" customWidth="1"/>
    <col min="11784" max="11784" width="9.140625" style="224"/>
    <col min="11785" max="11785" width="16.5703125" style="224" bestFit="1" customWidth="1"/>
    <col min="11786" max="12033" width="9.140625" style="224"/>
    <col min="12034" max="12034" width="24.5703125" style="224" customWidth="1"/>
    <col min="12035" max="12035" width="71.7109375" style="224" customWidth="1"/>
    <col min="12036" max="12036" width="17.140625" style="224" bestFit="1" customWidth="1"/>
    <col min="12037" max="12037" width="16.7109375" style="224" bestFit="1" customWidth="1"/>
    <col min="12038" max="12038" width="16.85546875" style="224" bestFit="1" customWidth="1"/>
    <col min="12039" max="12039" width="21.42578125" style="224" customWidth="1"/>
    <col min="12040" max="12040" width="9.140625" style="224"/>
    <col min="12041" max="12041" width="16.5703125" style="224" bestFit="1" customWidth="1"/>
    <col min="12042" max="12289" width="9.140625" style="224"/>
    <col min="12290" max="12290" width="24.5703125" style="224" customWidth="1"/>
    <col min="12291" max="12291" width="71.7109375" style="224" customWidth="1"/>
    <col min="12292" max="12292" width="17.140625" style="224" bestFit="1" customWidth="1"/>
    <col min="12293" max="12293" width="16.7109375" style="224" bestFit="1" customWidth="1"/>
    <col min="12294" max="12294" width="16.85546875" style="224" bestFit="1" customWidth="1"/>
    <col min="12295" max="12295" width="21.42578125" style="224" customWidth="1"/>
    <col min="12296" max="12296" width="9.140625" style="224"/>
    <col min="12297" max="12297" width="16.5703125" style="224" bestFit="1" customWidth="1"/>
    <col min="12298" max="12545" width="9.140625" style="224"/>
    <col min="12546" max="12546" width="24.5703125" style="224" customWidth="1"/>
    <col min="12547" max="12547" width="71.7109375" style="224" customWidth="1"/>
    <col min="12548" max="12548" width="17.140625" style="224" bestFit="1" customWidth="1"/>
    <col min="12549" max="12549" width="16.7109375" style="224" bestFit="1" customWidth="1"/>
    <col min="12550" max="12550" width="16.85546875" style="224" bestFit="1" customWidth="1"/>
    <col min="12551" max="12551" width="21.42578125" style="224" customWidth="1"/>
    <col min="12552" max="12552" width="9.140625" style="224"/>
    <col min="12553" max="12553" width="16.5703125" style="224" bestFit="1" customWidth="1"/>
    <col min="12554" max="12801" width="9.140625" style="224"/>
    <col min="12802" max="12802" width="24.5703125" style="224" customWidth="1"/>
    <col min="12803" max="12803" width="71.7109375" style="224" customWidth="1"/>
    <col min="12804" max="12804" width="17.140625" style="224" bestFit="1" customWidth="1"/>
    <col min="12805" max="12805" width="16.7109375" style="224" bestFit="1" customWidth="1"/>
    <col min="12806" max="12806" width="16.85546875" style="224" bestFit="1" customWidth="1"/>
    <col min="12807" max="12807" width="21.42578125" style="224" customWidth="1"/>
    <col min="12808" max="12808" width="9.140625" style="224"/>
    <col min="12809" max="12809" width="16.5703125" style="224" bestFit="1" customWidth="1"/>
    <col min="12810" max="13057" width="9.140625" style="224"/>
    <col min="13058" max="13058" width="24.5703125" style="224" customWidth="1"/>
    <col min="13059" max="13059" width="71.7109375" style="224" customWidth="1"/>
    <col min="13060" max="13060" width="17.140625" style="224" bestFit="1" customWidth="1"/>
    <col min="13061" max="13061" width="16.7109375" style="224" bestFit="1" customWidth="1"/>
    <col min="13062" max="13062" width="16.85546875" style="224" bestFit="1" customWidth="1"/>
    <col min="13063" max="13063" width="21.42578125" style="224" customWidth="1"/>
    <col min="13064" max="13064" width="9.140625" style="224"/>
    <col min="13065" max="13065" width="16.5703125" style="224" bestFit="1" customWidth="1"/>
    <col min="13066" max="13313" width="9.140625" style="224"/>
    <col min="13314" max="13314" width="24.5703125" style="224" customWidth="1"/>
    <col min="13315" max="13315" width="71.7109375" style="224" customWidth="1"/>
    <col min="13316" max="13316" width="17.140625" style="224" bestFit="1" customWidth="1"/>
    <col min="13317" max="13317" width="16.7109375" style="224" bestFit="1" customWidth="1"/>
    <col min="13318" max="13318" width="16.85546875" style="224" bestFit="1" customWidth="1"/>
    <col min="13319" max="13319" width="21.42578125" style="224" customWidth="1"/>
    <col min="13320" max="13320" width="9.140625" style="224"/>
    <col min="13321" max="13321" width="16.5703125" style="224" bestFit="1" customWidth="1"/>
    <col min="13322" max="13569" width="9.140625" style="224"/>
    <col min="13570" max="13570" width="24.5703125" style="224" customWidth="1"/>
    <col min="13571" max="13571" width="71.7109375" style="224" customWidth="1"/>
    <col min="13572" max="13572" width="17.140625" style="224" bestFit="1" customWidth="1"/>
    <col min="13573" max="13573" width="16.7109375" style="224" bestFit="1" customWidth="1"/>
    <col min="13574" max="13574" width="16.85546875" style="224" bestFit="1" customWidth="1"/>
    <col min="13575" max="13575" width="21.42578125" style="224" customWidth="1"/>
    <col min="13576" max="13576" width="9.140625" style="224"/>
    <col min="13577" max="13577" width="16.5703125" style="224" bestFit="1" customWidth="1"/>
    <col min="13578" max="13825" width="9.140625" style="224"/>
    <col min="13826" max="13826" width="24.5703125" style="224" customWidth="1"/>
    <col min="13827" max="13827" width="71.7109375" style="224" customWidth="1"/>
    <col min="13828" max="13828" width="17.140625" style="224" bestFit="1" customWidth="1"/>
    <col min="13829" max="13829" width="16.7109375" style="224" bestFit="1" customWidth="1"/>
    <col min="13830" max="13830" width="16.85546875" style="224" bestFit="1" customWidth="1"/>
    <col min="13831" max="13831" width="21.42578125" style="224" customWidth="1"/>
    <col min="13832" max="13832" width="9.140625" style="224"/>
    <col min="13833" max="13833" width="16.5703125" style="224" bestFit="1" customWidth="1"/>
    <col min="13834" max="14081" width="9.140625" style="224"/>
    <col min="14082" max="14082" width="24.5703125" style="224" customWidth="1"/>
    <col min="14083" max="14083" width="71.7109375" style="224" customWidth="1"/>
    <col min="14084" max="14084" width="17.140625" style="224" bestFit="1" customWidth="1"/>
    <col min="14085" max="14085" width="16.7109375" style="224" bestFit="1" customWidth="1"/>
    <col min="14086" max="14086" width="16.85546875" style="224" bestFit="1" customWidth="1"/>
    <col min="14087" max="14087" width="21.42578125" style="224" customWidth="1"/>
    <col min="14088" max="14088" width="9.140625" style="224"/>
    <col min="14089" max="14089" width="16.5703125" style="224" bestFit="1" customWidth="1"/>
    <col min="14090" max="14337" width="9.140625" style="224"/>
    <col min="14338" max="14338" width="24.5703125" style="224" customWidth="1"/>
    <col min="14339" max="14339" width="71.7109375" style="224" customWidth="1"/>
    <col min="14340" max="14340" width="17.140625" style="224" bestFit="1" customWidth="1"/>
    <col min="14341" max="14341" width="16.7109375" style="224" bestFit="1" customWidth="1"/>
    <col min="14342" max="14342" width="16.85546875" style="224" bestFit="1" customWidth="1"/>
    <col min="14343" max="14343" width="21.42578125" style="224" customWidth="1"/>
    <col min="14344" max="14344" width="9.140625" style="224"/>
    <col min="14345" max="14345" width="16.5703125" style="224" bestFit="1" customWidth="1"/>
    <col min="14346" max="14593" width="9.140625" style="224"/>
    <col min="14594" max="14594" width="24.5703125" style="224" customWidth="1"/>
    <col min="14595" max="14595" width="71.7109375" style="224" customWidth="1"/>
    <col min="14596" max="14596" width="17.140625" style="224" bestFit="1" customWidth="1"/>
    <col min="14597" max="14597" width="16.7109375" style="224" bestFit="1" customWidth="1"/>
    <col min="14598" max="14598" width="16.85546875" style="224" bestFit="1" customWidth="1"/>
    <col min="14599" max="14599" width="21.42578125" style="224" customWidth="1"/>
    <col min="14600" max="14600" width="9.140625" style="224"/>
    <col min="14601" max="14601" width="16.5703125" style="224" bestFit="1" customWidth="1"/>
    <col min="14602" max="14849" width="9.140625" style="224"/>
    <col min="14850" max="14850" width="24.5703125" style="224" customWidth="1"/>
    <col min="14851" max="14851" width="71.7109375" style="224" customWidth="1"/>
    <col min="14852" max="14852" width="17.140625" style="224" bestFit="1" customWidth="1"/>
    <col min="14853" max="14853" width="16.7109375" style="224" bestFit="1" customWidth="1"/>
    <col min="14854" max="14854" width="16.85546875" style="224" bestFit="1" customWidth="1"/>
    <col min="14855" max="14855" width="21.42578125" style="224" customWidth="1"/>
    <col min="14856" max="14856" width="9.140625" style="224"/>
    <col min="14857" max="14857" width="16.5703125" style="224" bestFit="1" customWidth="1"/>
    <col min="14858" max="15105" width="9.140625" style="224"/>
    <col min="15106" max="15106" width="24.5703125" style="224" customWidth="1"/>
    <col min="15107" max="15107" width="71.7109375" style="224" customWidth="1"/>
    <col min="15108" max="15108" width="17.140625" style="224" bestFit="1" customWidth="1"/>
    <col min="15109" max="15109" width="16.7109375" style="224" bestFit="1" customWidth="1"/>
    <col min="15110" max="15110" width="16.85546875" style="224" bestFit="1" customWidth="1"/>
    <col min="15111" max="15111" width="21.42578125" style="224" customWidth="1"/>
    <col min="15112" max="15112" width="9.140625" style="224"/>
    <col min="15113" max="15113" width="16.5703125" style="224" bestFit="1" customWidth="1"/>
    <col min="15114" max="15361" width="9.140625" style="224"/>
    <col min="15362" max="15362" width="24.5703125" style="224" customWidth="1"/>
    <col min="15363" max="15363" width="71.7109375" style="224" customWidth="1"/>
    <col min="15364" max="15364" width="17.140625" style="224" bestFit="1" customWidth="1"/>
    <col min="15365" max="15365" width="16.7109375" style="224" bestFit="1" customWidth="1"/>
    <col min="15366" max="15366" width="16.85546875" style="224" bestFit="1" customWidth="1"/>
    <col min="15367" max="15367" width="21.42578125" style="224" customWidth="1"/>
    <col min="15368" max="15368" width="9.140625" style="224"/>
    <col min="15369" max="15369" width="16.5703125" style="224" bestFit="1" customWidth="1"/>
    <col min="15370" max="15617" width="9.140625" style="224"/>
    <col min="15618" max="15618" width="24.5703125" style="224" customWidth="1"/>
    <col min="15619" max="15619" width="71.7109375" style="224" customWidth="1"/>
    <col min="15620" max="15620" width="17.140625" style="224" bestFit="1" customWidth="1"/>
    <col min="15621" max="15621" width="16.7109375" style="224" bestFit="1" customWidth="1"/>
    <col min="15622" max="15622" width="16.85546875" style="224" bestFit="1" customWidth="1"/>
    <col min="15623" max="15623" width="21.42578125" style="224" customWidth="1"/>
    <col min="15624" max="15624" width="9.140625" style="224"/>
    <col min="15625" max="15625" width="16.5703125" style="224" bestFit="1" customWidth="1"/>
    <col min="15626" max="15873" width="9.140625" style="224"/>
    <col min="15874" max="15874" width="24.5703125" style="224" customWidth="1"/>
    <col min="15875" max="15875" width="71.7109375" style="224" customWidth="1"/>
    <col min="15876" max="15876" width="17.140625" style="224" bestFit="1" customWidth="1"/>
    <col min="15877" max="15877" width="16.7109375" style="224" bestFit="1" customWidth="1"/>
    <col min="15878" max="15878" width="16.85546875" style="224" bestFit="1" customWidth="1"/>
    <col min="15879" max="15879" width="21.42578125" style="224" customWidth="1"/>
    <col min="15880" max="15880" width="9.140625" style="224"/>
    <col min="15881" max="15881" width="16.5703125" style="224" bestFit="1" customWidth="1"/>
    <col min="15882" max="16129" width="9.140625" style="224"/>
    <col min="16130" max="16130" width="24.5703125" style="224" customWidth="1"/>
    <col min="16131" max="16131" width="71.7109375" style="224" customWidth="1"/>
    <col min="16132" max="16132" width="17.140625" style="224" bestFit="1" customWidth="1"/>
    <col min="16133" max="16133" width="16.7109375" style="224" bestFit="1" customWidth="1"/>
    <col min="16134" max="16134" width="16.85546875" style="224" bestFit="1" customWidth="1"/>
    <col min="16135" max="16135" width="21.42578125" style="224" customWidth="1"/>
    <col min="16136" max="16136" width="9.140625" style="224"/>
    <col min="16137" max="16137" width="16.5703125" style="224" bestFit="1" customWidth="1"/>
    <col min="16138" max="16384" width="9.140625" style="224"/>
  </cols>
  <sheetData>
    <row r="1" spans="1:13" ht="13.5" thickBot="1">
      <c r="A1" s="224" t="s">
        <v>6447</v>
      </c>
    </row>
    <row r="2" spans="1:13" s="235" customFormat="1" ht="6" thickBot="1">
      <c r="B2" s="230"/>
      <c r="C2" s="625"/>
      <c r="D2" s="232"/>
      <c r="E2" s="233"/>
      <c r="F2" s="233"/>
      <c r="G2" s="234"/>
    </row>
    <row r="3" spans="1:13" s="228" customFormat="1" ht="60" customHeight="1" thickBot="1">
      <c r="A3" s="229" t="s">
        <v>451</v>
      </c>
      <c r="B3" s="1806"/>
      <c r="C3" s="658" t="s">
        <v>2</v>
      </c>
      <c r="D3" s="1802"/>
      <c r="E3" s="1803"/>
      <c r="F3" s="1796" t="str">
        <f>'ORÇAMENTO '!L5</f>
        <v xml:space="preserve">Ref.: Tabela de Serviços
SINAPI (JAN/2023) 
e/ou composições PiniTCPO                                                                              
</v>
      </c>
      <c r="G3" s="1797"/>
    </row>
    <row r="4" spans="1:13" s="228" customFormat="1" ht="60" customHeight="1" thickBot="1">
      <c r="A4" s="229" t="s">
        <v>452</v>
      </c>
      <c r="B4" s="1807"/>
      <c r="C4" s="657" t="s">
        <v>3</v>
      </c>
      <c r="D4" s="1804"/>
      <c r="E4" s="1805"/>
      <c r="F4" s="628" t="s">
        <v>5</v>
      </c>
      <c r="G4" s="629">
        <f>'BDI '!G30</f>
        <v>0.26440000000000002</v>
      </c>
    </row>
    <row r="5" spans="1:13" s="238" customFormat="1" ht="15" customHeight="1" thickBot="1">
      <c r="B5" s="1798" t="s">
        <v>467</v>
      </c>
      <c r="C5" s="1740"/>
      <c r="D5" s="1799"/>
      <c r="E5" s="1799"/>
      <c r="F5" s="1740"/>
      <c r="G5" s="1741"/>
    </row>
    <row r="6" spans="1:13" s="235" customFormat="1" ht="6" thickBot="1">
      <c r="B6" s="230"/>
      <c r="C6" s="231"/>
      <c r="D6" s="232"/>
      <c r="E6" s="233"/>
      <c r="F6" s="233"/>
      <c r="G6" s="234"/>
    </row>
    <row r="7" spans="1:13" s="228" customFormat="1" ht="15" customHeight="1">
      <c r="B7" s="239" t="s">
        <v>6</v>
      </c>
      <c r="C7" s="1742" t="str">
        <f>'ORÇAMENTO '!G11</f>
        <v xml:space="preserve">SISTEMA DE ABASTECIMENTO DE ÁGUA </v>
      </c>
      <c r="D7" s="1742"/>
      <c r="E7" s="1742"/>
      <c r="F7" s="241" t="s">
        <v>7</v>
      </c>
      <c r="G7" s="242">
        <f ca="1">'ORÇAMENTO '!M11</f>
        <v>45167</v>
      </c>
    </row>
    <row r="8" spans="1:13" s="228" customFormat="1" ht="15.75">
      <c r="B8" s="487" t="s">
        <v>8</v>
      </c>
      <c r="C8" s="1801" t="str">
        <f>'ORÇAMENTO '!G12</f>
        <v>SETOR PIONEIRO - MUNICÍPIO DE APIACÁS</v>
      </c>
      <c r="D8" s="1801"/>
      <c r="E8" s="1800" t="s">
        <v>9</v>
      </c>
      <c r="F8" s="1800"/>
      <c r="G8" s="488">
        <f>'ORÇAMENTO '!M12</f>
        <v>0.80449999999999999</v>
      </c>
    </row>
    <row r="9" spans="1:13" s="235" customFormat="1" ht="6" thickBot="1">
      <c r="B9" s="246"/>
      <c r="C9" s="247"/>
      <c r="D9" s="248"/>
      <c r="E9" s="249"/>
      <c r="F9" s="249"/>
      <c r="G9" s="250"/>
    </row>
    <row r="10" spans="1:13" s="228" customFormat="1" ht="18.75" thickBot="1">
      <c r="B10" s="1716" t="s">
        <v>204</v>
      </c>
      <c r="C10" s="1717"/>
      <c r="D10" s="1717"/>
      <c r="E10" s="1717"/>
      <c r="F10" s="1717"/>
      <c r="G10" s="1718"/>
    </row>
    <row r="11" spans="1:13" s="235" customFormat="1" ht="6" thickBot="1">
      <c r="B11" s="251"/>
      <c r="C11" s="252"/>
      <c r="D11" s="253"/>
      <c r="E11" s="254"/>
      <c r="F11" s="254"/>
      <c r="G11" s="255"/>
    </row>
    <row r="12" spans="1:13" s="225" customFormat="1" ht="9.9499999999999993" customHeight="1">
      <c r="B12" s="489"/>
      <c r="C12" s="256"/>
      <c r="D12" s="256"/>
      <c r="E12" s="256"/>
      <c r="F12" s="256"/>
      <c r="G12" s="490"/>
    </row>
    <row r="13" spans="1:13" ht="15" customHeight="1" thickBot="1"/>
    <row r="14" spans="1:13" s="294" customFormat="1" ht="32.25" customHeight="1">
      <c r="B14" s="356" t="str">
        <f>IF(COUNT($H$13:H14)&lt;10,CONCATENATE("AMM ELE 00",COUNT($H$13:H14)),CONCATENATE("AMM ELE 0",COUNT($H$13:H14)))</f>
        <v>AMM ELE 001</v>
      </c>
      <c r="C14" s="1673" t="str">
        <f>CONCATENATE("FORNECIMENTO E INSTALAÇÃO DE ",C17)</f>
        <v>FORNECIMENTO E INSTALAÇÃO DE DISPOSITIVO DPS CLASSE II, 1 POLO, TENSAO MAXIMA DE 175 V, CORRENTE MAXIMA DE *45* KA (TIPO AC)</v>
      </c>
      <c r="D14" s="1673"/>
      <c r="E14" s="1673"/>
      <c r="F14" s="1673"/>
      <c r="G14" s="357" t="s">
        <v>23</v>
      </c>
      <c r="H14" s="351">
        <f>G21</f>
        <v>122.17999999999999</v>
      </c>
      <c r="L14" s="294" t="s">
        <v>7159</v>
      </c>
      <c r="M14" s="294" t="s">
        <v>7160</v>
      </c>
    </row>
    <row r="15" spans="1:13" s="294" customFormat="1" ht="31.5">
      <c r="B15" s="538" t="s">
        <v>206</v>
      </c>
      <c r="C15" s="1125" t="s">
        <v>184</v>
      </c>
      <c r="D15" s="1125" t="s">
        <v>23</v>
      </c>
      <c r="E15" s="1125" t="s">
        <v>185</v>
      </c>
      <c r="F15" s="1126" t="s">
        <v>186</v>
      </c>
      <c r="G15" s="1127" t="s">
        <v>187</v>
      </c>
    </row>
    <row r="16" spans="1:13" s="294" customFormat="1" ht="15.75">
      <c r="B16" s="1793" t="s">
        <v>188</v>
      </c>
      <c r="C16" s="1794"/>
      <c r="D16" s="1794"/>
      <c r="E16" s="1794"/>
      <c r="F16" s="1794"/>
      <c r="G16" s="1795"/>
    </row>
    <row r="17" spans="1:8" s="229" customFormat="1" ht="30">
      <c r="A17" s="433" t="s">
        <v>451</v>
      </c>
      <c r="B17" s="562">
        <v>39467</v>
      </c>
      <c r="C17" s="574" t="str">
        <f>IF($A17="INSUMO",VLOOKUP($B17,'BANCO DE DADOS JAN-23 INS'!$A:$D,2,FALSE),VLOOKUP($B17,'BANCO DE DADOS JAN-23 SERV'!$B:$E,2,FALSE))</f>
        <v>DISPOSITIVO DPS CLASSE II, 1 POLO, TENSAO MAXIMA DE 175 V, CORRENTE MAXIMA DE *45* KA (TIPO AC)</v>
      </c>
      <c r="D17" s="571" t="str">
        <f>IF($A17="INSUMO",VLOOKUP($B17,'BANCO DE DADOS JAN-23 INS'!$A:$D,3,FALSE),VLOOKUP($B17,'BANCO DE DADOS JAN-23 SERV'!$B:$E,3,FALSE))</f>
        <v xml:space="preserve">UN    </v>
      </c>
      <c r="E17" s="1196">
        <v>1</v>
      </c>
      <c r="F17" s="572">
        <f>IF($A17="INSUMO",VLOOKUP($B17,'BANCO DE DADOS JAN-23 INS'!$A:$D,4,FALSE),VLOOKUP($B17,'BANCO DE DADOS JAN-23 SERV'!$B:$E,4,FALSE))</f>
        <v>110.16</v>
      </c>
      <c r="G17" s="573">
        <f>TRUNC(F17*E17,2)</f>
        <v>110.16</v>
      </c>
    </row>
    <row r="18" spans="1:8" s="229" customFormat="1" ht="15.75">
      <c r="B18" s="1677" t="s">
        <v>189</v>
      </c>
      <c r="C18" s="1678"/>
      <c r="D18" s="1678"/>
      <c r="E18" s="1678"/>
      <c r="F18" s="1678"/>
      <c r="G18" s="1679"/>
    </row>
    <row r="19" spans="1:8" s="229" customFormat="1" ht="15.75">
      <c r="A19" s="433" t="s">
        <v>452</v>
      </c>
      <c r="B19" s="562">
        <v>88264</v>
      </c>
      <c r="C19" s="574" t="str">
        <f>IF($A19="INSUMO",VLOOKUP($B19,'BANCO DE DADOS JAN-23 INS'!$A:$D,2,FALSE),VLOOKUP($B19,'BANCO DE DADOS JAN-23 SERV'!$B:$E,2,FALSE))</f>
        <v>ELETRICISTA COM ENCARGOS COMPLEMENTARES</v>
      </c>
      <c r="D19" s="571" t="str">
        <f>IF($A19="INSUMO",VLOOKUP($B19,'BANCO DE DADOS JAN-23 INS'!$A:$D,3,FALSE),VLOOKUP($B19,'BANCO DE DADOS JAN-23 SERV'!$B:$E,3,FALSE))</f>
        <v>H</v>
      </c>
      <c r="E19" s="575">
        <v>0.3</v>
      </c>
      <c r="F19" s="572">
        <f>IF($A19="INSUMO",VLOOKUP($B19,'BANCO DE DADOS JAN-23 INS'!$A:$D,4,FALSE),VLOOKUP($B19,'BANCO DE DADOS JAN-23 SERV'!$B:$E,4,FALSE))</f>
        <v>22.67</v>
      </c>
      <c r="G19" s="573">
        <f>TRUNC(F19*E19,2)</f>
        <v>6.8</v>
      </c>
    </row>
    <row r="20" spans="1:8" s="229" customFormat="1" ht="16.5" thickBot="1">
      <c r="A20" s="433" t="s">
        <v>452</v>
      </c>
      <c r="B20" s="576">
        <v>88316</v>
      </c>
      <c r="C20" s="577" t="str">
        <f>IF($A20="INSUMO",VLOOKUP($B20,'BANCO DE DADOS JAN-23 INS'!$A:$D,2,FALSE),VLOOKUP($B20,'BANCO DE DADOS JAN-23 SERV'!$B:$E,2,FALSE))</f>
        <v>SERVENTE COM ENCARGOS COMPLEMENTARES</v>
      </c>
      <c r="D20" s="578" t="str">
        <f>IF($A20="INSUMO",VLOOKUP($B20,'BANCO DE DADOS JAN-23 INS'!$A:$D,3,FALSE),VLOOKUP($B20,'BANCO DE DADOS JAN-23 SERV'!$B:$E,3,FALSE))</f>
        <v>H</v>
      </c>
      <c r="E20" s="579">
        <v>0.3</v>
      </c>
      <c r="F20" s="580">
        <f>IF($A20="INSUMO",VLOOKUP($B20,'BANCO DE DADOS JAN-23 INS'!$A:$D,4,FALSE),VLOOKUP($B20,'BANCO DE DADOS JAN-23 SERV'!$B:$E,4,FALSE))</f>
        <v>17.420000000000002</v>
      </c>
      <c r="G20" s="581">
        <f>TRUNC(F20*E20,2)</f>
        <v>5.22</v>
      </c>
    </row>
    <row r="21" spans="1:8" s="294" customFormat="1" ht="16.5" customHeight="1" thickBot="1">
      <c r="B21" s="1813" t="s">
        <v>7160</v>
      </c>
      <c r="C21" s="1813"/>
      <c r="D21" s="1813"/>
      <c r="E21" s="1813"/>
      <c r="F21" s="298" t="s">
        <v>190</v>
      </c>
      <c r="G21" s="299">
        <f>SUM(G16:G20)</f>
        <v>122.17999999999999</v>
      </c>
    </row>
    <row r="22" spans="1:8" s="229" customFormat="1" ht="16.5" thickBot="1">
      <c r="B22" s="289"/>
      <c r="C22" s="223"/>
      <c r="D22" s="223"/>
      <c r="E22" s="223"/>
      <c r="F22" s="226"/>
      <c r="G22" s="227"/>
    </row>
    <row r="23" spans="1:8" s="294" customFormat="1" ht="15.75">
      <c r="B23" s="356" t="str">
        <f>IF(COUNT($H$13:H23)&lt;10,CONCATENATE("AMM ELE 00",COUNT($H$13:H23)),CONCATENATE("AMM ELE 0",COUNT($H$13:H23)))</f>
        <v>AMM ELE 002</v>
      </c>
      <c r="C23" s="1673" t="s">
        <v>2428</v>
      </c>
      <c r="D23" s="1673"/>
      <c r="E23" s="1673"/>
      <c r="F23" s="1673"/>
      <c r="G23" s="357" t="s">
        <v>23</v>
      </c>
      <c r="H23" s="351">
        <f>G31</f>
        <v>42.15</v>
      </c>
    </row>
    <row r="24" spans="1:8" s="294" customFormat="1" ht="31.5">
      <c r="B24" s="538" t="s">
        <v>206</v>
      </c>
      <c r="C24" s="1125" t="s">
        <v>184</v>
      </c>
      <c r="D24" s="1125" t="s">
        <v>23</v>
      </c>
      <c r="E24" s="1125" t="s">
        <v>185</v>
      </c>
      <c r="F24" s="1126" t="s">
        <v>186</v>
      </c>
      <c r="G24" s="1127" t="s">
        <v>187</v>
      </c>
    </row>
    <row r="25" spans="1:8" s="294" customFormat="1" ht="15.75">
      <c r="B25" s="1793" t="s">
        <v>188</v>
      </c>
      <c r="C25" s="1794"/>
      <c r="D25" s="1794"/>
      <c r="E25" s="1794"/>
      <c r="F25" s="1794"/>
      <c r="G25" s="1795"/>
    </row>
    <row r="26" spans="1:8" s="229" customFormat="1" ht="60">
      <c r="A26" s="433" t="s">
        <v>451</v>
      </c>
      <c r="B26" s="562">
        <v>37556</v>
      </c>
      <c r="C26" s="574" t="str">
        <f>IF($A26="INSUMO",VLOOKUP($B26,'BANCO DE DADOS JAN-23 INS'!$A:$D,2,FALSE),VLOOKUP($B26,'BANCO DE DADOS JAN-23 SERV'!$B:$E,2,FALSE))</f>
        <v>PLACA DE SINALIZACAO DE SEGURANCA CONTRA INCENDIO, FOTOLUMINESCENTE, QUADRADA, *20 X 20* CM, EM PVC *2* MM ANTI-CHAMAS (SIMBOLOS, CORES E PICTOGRAMAS CONFORME NBR 16820)</v>
      </c>
      <c r="D26" s="571" t="str">
        <f>IF($A26="INSUMO",VLOOKUP($B26,'BANCO DE DADOS JAN-23 INS'!$A:$D,3,FALSE),VLOOKUP($B26,'BANCO DE DADOS JAN-23 SERV'!$B:$E,3,FALSE))</f>
        <v xml:space="preserve">UN    </v>
      </c>
      <c r="E26" s="1196">
        <v>1</v>
      </c>
      <c r="F26" s="572">
        <f>IF($A26="INSUMO",VLOOKUP($B26,'BANCO DE DADOS JAN-23 INS'!$A:$D,4,FALSE),VLOOKUP($B26,'BANCO DE DADOS JAN-23 SERV'!$B:$E,4,FALSE))</f>
        <v>29.95</v>
      </c>
      <c r="G26" s="573">
        <f>TRUNC(F26*E26,2)</f>
        <v>29.95</v>
      </c>
    </row>
    <row r="27" spans="1:8" s="229" customFormat="1" ht="45">
      <c r="A27" s="433" t="s">
        <v>451</v>
      </c>
      <c r="B27" s="562">
        <v>11950</v>
      </c>
      <c r="C27" s="574" t="str">
        <f>IF($A27="INSUMO",VLOOKUP($B27,'BANCO DE DADOS JAN-23 INS'!$A:$D,2,FALSE),VLOOKUP($B27,'BANCO DE DADOS JAN-23 SERV'!$B:$E,2,FALSE))</f>
        <v>BUCHA DE NYLON SEM ABA S6, COM PARAFUSO DE 4,20 X 40 MM EM ACO ZINCADO COM ROSCA SOBERBA, CABECA CHATA E FENDA PHILLIPS</v>
      </c>
      <c r="D27" s="571" t="str">
        <f>IF($A27="INSUMO",VLOOKUP($B27,'BANCO DE DADOS JAN-23 INS'!$A:$D,3,FALSE),VLOOKUP($B27,'BANCO DE DADOS JAN-23 SERV'!$B:$E,3,FALSE))</f>
        <v xml:space="preserve">UN    </v>
      </c>
      <c r="E27" s="1196">
        <v>2</v>
      </c>
      <c r="F27" s="572">
        <f>IF($A27="INSUMO",VLOOKUP($B27,'BANCO DE DADOS JAN-23 INS'!$A:$D,4,FALSE),VLOOKUP($B27,'BANCO DE DADOS JAN-23 SERV'!$B:$E,4,FALSE))</f>
        <v>0.22</v>
      </c>
      <c r="G27" s="573">
        <f>TRUNC(F27*E27,2)</f>
        <v>0.44</v>
      </c>
    </row>
    <row r="28" spans="1:8" s="229" customFormat="1" ht="15.75">
      <c r="B28" s="1677" t="s">
        <v>189</v>
      </c>
      <c r="C28" s="1678"/>
      <c r="D28" s="1678"/>
      <c r="E28" s="1678"/>
      <c r="F28" s="1678"/>
      <c r="G28" s="1679"/>
    </row>
    <row r="29" spans="1:8" s="229" customFormat="1" ht="15.75">
      <c r="A29" s="433" t="s">
        <v>452</v>
      </c>
      <c r="B29" s="562">
        <v>88309</v>
      </c>
      <c r="C29" s="574" t="str">
        <f>IF($A29="INSUMO",VLOOKUP($B29,'BANCO DE DADOS JAN-23 INS'!$A:$D,2,FALSE),VLOOKUP($B29,'BANCO DE DADOS JAN-23 SERV'!$B:$E,2,FALSE))</f>
        <v>PEDREIRO COM ENCARGOS COMPLEMENTARES</v>
      </c>
      <c r="D29" s="571" t="str">
        <f>IF($A29="INSUMO",VLOOKUP($B29,'BANCO DE DADOS JAN-23 INS'!$A:$D,3,FALSE),VLOOKUP($B29,'BANCO DE DADOS JAN-23 SERV'!$B:$E,3,FALSE))</f>
        <v>H</v>
      </c>
      <c r="E29" s="1196">
        <v>0.3</v>
      </c>
      <c r="F29" s="572">
        <f>IF($A29="INSUMO",VLOOKUP($B29,'BANCO DE DADOS JAN-23 INS'!$A:$D,4,FALSE),VLOOKUP($B29,'BANCO DE DADOS JAN-23 SERV'!$B:$E,4,FALSE))</f>
        <v>21.83</v>
      </c>
      <c r="G29" s="573">
        <f>TRUNC(F29*E29,2)</f>
        <v>6.54</v>
      </c>
    </row>
    <row r="30" spans="1:8" s="229" customFormat="1" ht="16.5" thickBot="1">
      <c r="A30" s="433" t="s">
        <v>452</v>
      </c>
      <c r="B30" s="576">
        <v>88316</v>
      </c>
      <c r="C30" s="577" t="str">
        <f>IF($A30="INSUMO",VLOOKUP($B30,'BANCO DE DADOS JAN-23 INS'!$A:$D,2,FALSE),VLOOKUP($B30,'BANCO DE DADOS JAN-23 SERV'!$B:$E,2,FALSE))</f>
        <v>SERVENTE COM ENCARGOS COMPLEMENTARES</v>
      </c>
      <c r="D30" s="578" t="str">
        <f>IF($A30="INSUMO",VLOOKUP($B30,'BANCO DE DADOS JAN-23 INS'!$A:$D,3,FALSE),VLOOKUP($B30,'BANCO DE DADOS JAN-23 SERV'!$B:$E,3,FALSE))</f>
        <v>H</v>
      </c>
      <c r="E30" s="579">
        <v>0.3</v>
      </c>
      <c r="F30" s="580">
        <f>IF($A30="INSUMO",VLOOKUP($B30,'BANCO DE DADOS JAN-23 INS'!$A:$D,4,FALSE),VLOOKUP($B30,'BANCO DE DADOS JAN-23 SERV'!$B:$E,4,FALSE))</f>
        <v>17.420000000000002</v>
      </c>
      <c r="G30" s="581">
        <f>TRUNC(F30*E30,2)</f>
        <v>5.22</v>
      </c>
    </row>
    <row r="31" spans="1:8" s="229" customFormat="1" ht="16.5" customHeight="1" thickBot="1">
      <c r="B31" s="1808" t="s">
        <v>7161</v>
      </c>
      <c r="C31" s="1808"/>
      <c r="D31" s="1808"/>
      <c r="E31" s="1808"/>
      <c r="F31" s="298" t="s">
        <v>190</v>
      </c>
      <c r="G31" s="299">
        <f>SUM(G25:G30)</f>
        <v>42.15</v>
      </c>
    </row>
    <row r="32" spans="1:8" s="294" customFormat="1" ht="15.75" thickBot="1">
      <c r="B32" s="1032"/>
      <c r="C32" s="1032"/>
      <c r="D32" s="1032"/>
      <c r="E32" s="1032"/>
    </row>
    <row r="33" spans="1:8" s="294" customFormat="1" ht="15.75">
      <c r="B33" s="356" t="str">
        <f>IF(COUNT($H$13:H33)&lt;10,CONCATENATE("AMM ELE 00",COUNT($H$13:H33)),CONCATENATE("AMM ELE 0",COUNT($H$13:H33)))</f>
        <v>AMM ELE 003</v>
      </c>
      <c r="C33" s="1673" t="s">
        <v>3674</v>
      </c>
      <c r="D33" s="1809"/>
      <c r="E33" s="1809"/>
      <c r="F33" s="1809"/>
      <c r="G33" s="357" t="s">
        <v>22</v>
      </c>
      <c r="H33" s="351">
        <f>G40</f>
        <v>2.8</v>
      </c>
    </row>
    <row r="34" spans="1:8" s="294" customFormat="1" ht="31.5">
      <c r="B34" s="538" t="s">
        <v>206</v>
      </c>
      <c r="C34" s="543" t="s">
        <v>184</v>
      </c>
      <c r="D34" s="1125" t="s">
        <v>23</v>
      </c>
      <c r="E34" s="543" t="s">
        <v>185</v>
      </c>
      <c r="F34" s="544" t="s">
        <v>186</v>
      </c>
      <c r="G34" s="1129" t="s">
        <v>187</v>
      </c>
    </row>
    <row r="35" spans="1:8" s="294" customFormat="1" ht="15.75">
      <c r="B35" s="1810" t="s">
        <v>188</v>
      </c>
      <c r="C35" s="1811"/>
      <c r="D35" s="1811"/>
      <c r="E35" s="1811"/>
      <c r="F35" s="1811"/>
      <c r="G35" s="1812"/>
    </row>
    <row r="36" spans="1:8" s="229" customFormat="1" ht="30">
      <c r="A36" s="433" t="s">
        <v>451</v>
      </c>
      <c r="B36" s="744">
        <v>43130</v>
      </c>
      <c r="C36" s="574" t="str">
        <f>IF($A36="INSUMO",VLOOKUP($B36,'BANCO DE DADOS JAN-23 INS'!$A:$D,2,FALSE),VLOOKUP($B36,'BANCO DE DADOS JAN-23 SERV'!$B:$E,2,FALSE))</f>
        <v>ARAME GALVANIZADO 12 BWG, D = 2,76 MM (0,048 KG/M) OU 14 BWG, D = 2,11 MM (0,026 KG/M)</v>
      </c>
      <c r="D36" s="571" t="str">
        <f>IF($A36="INSUMO",VLOOKUP($B36,'BANCO DE DADOS JAN-23 INS'!$A:$D,3,FALSE),VLOOKUP($B36,'BANCO DE DADOS JAN-23 SERV'!$B:$E,3,FALSE))</f>
        <v xml:space="preserve">KG    </v>
      </c>
      <c r="E36" s="741">
        <v>4.4999999999999998E-2</v>
      </c>
      <c r="F36" s="572">
        <f>IF($A36="INSUMO",VLOOKUP($B36,'BANCO DE DADOS JAN-23 INS'!$A:$D,4,FALSE),VLOOKUP($B36,'BANCO DE DADOS JAN-23 SERV'!$B:$E,4,FALSE))</f>
        <v>24.98</v>
      </c>
      <c r="G36" s="636">
        <f>TRUNC(F36*E36,2)</f>
        <v>1.1200000000000001</v>
      </c>
    </row>
    <row r="37" spans="1:8" s="229" customFormat="1" ht="15.75">
      <c r="B37" s="1711" t="s">
        <v>189</v>
      </c>
      <c r="C37" s="1712"/>
      <c r="D37" s="1712"/>
      <c r="E37" s="1712"/>
      <c r="F37" s="1712"/>
      <c r="G37" s="1713"/>
    </row>
    <row r="38" spans="1:8" s="229" customFormat="1" ht="15.75">
      <c r="A38" s="433" t="s">
        <v>452</v>
      </c>
      <c r="B38" s="562">
        <v>88264</v>
      </c>
      <c r="C38" s="574" t="str">
        <f>IF($A38="INSUMO",VLOOKUP($B38,'BANCO DE DADOS JAN-23 INS'!$A:$D,2,FALSE),VLOOKUP($B38,'BANCO DE DADOS JAN-23 SERV'!$B:$E,2,FALSE))</f>
        <v>ELETRICISTA COM ENCARGOS COMPLEMENTARES</v>
      </c>
      <c r="D38" s="571" t="str">
        <f>IF($A38="INSUMO",VLOOKUP($B38,'BANCO DE DADOS JAN-23 INS'!$A:$D,3,FALSE),VLOOKUP($B38,'BANCO DE DADOS JAN-23 SERV'!$B:$E,3,FALSE))</f>
        <v>H</v>
      </c>
      <c r="E38" s="1197">
        <v>4.0800000000000003E-2</v>
      </c>
      <c r="F38" s="572">
        <f>IF($A38="INSUMO",VLOOKUP($B38,'BANCO DE DADOS JAN-23 INS'!$A:$D,4,FALSE),VLOOKUP($B38,'BANCO DE DADOS JAN-23 SERV'!$B:$E,4,FALSE))</f>
        <v>22.67</v>
      </c>
      <c r="G38" s="573">
        <f>TRUNC(F38*E38,2)</f>
        <v>0.92</v>
      </c>
    </row>
    <row r="39" spans="1:8" s="229" customFormat="1" ht="16.5" thickBot="1">
      <c r="A39" s="433" t="s">
        <v>452</v>
      </c>
      <c r="B39" s="576">
        <v>88247</v>
      </c>
      <c r="C39" s="577" t="str">
        <f>IF($A39="INSUMO",VLOOKUP($B39,'BANCO DE DADOS JAN-23 INS'!$A:$D,2,FALSE),VLOOKUP($B39,'BANCO DE DADOS JAN-23 SERV'!$B:$E,2,FALSE))</f>
        <v>AUXILIAR DE ELETRICISTA COM ENCARGOS COMPLEMENTARES</v>
      </c>
      <c r="D39" s="578" t="str">
        <f>IF($A39="INSUMO",VLOOKUP($B39,'BANCO DE DADOS JAN-23 INS'!$A:$D,3,FALSE),VLOOKUP($B39,'BANCO DE DADOS JAN-23 SERV'!$B:$E,3,FALSE))</f>
        <v>H</v>
      </c>
      <c r="E39" s="1198">
        <v>4.0800000000000003E-2</v>
      </c>
      <c r="F39" s="580">
        <f>IF($A39="INSUMO",VLOOKUP($B39,'BANCO DE DADOS JAN-23 INS'!$A:$D,4,FALSE),VLOOKUP($B39,'BANCO DE DADOS JAN-23 SERV'!$B:$E,4,FALSE))</f>
        <v>18.809999999999999</v>
      </c>
      <c r="G39" s="581">
        <f>TRUNC(F39*E39,2)</f>
        <v>0.76</v>
      </c>
    </row>
    <row r="40" spans="1:8" s="294" customFormat="1" ht="16.5" customHeight="1" thickBot="1">
      <c r="B40" s="1814" t="s">
        <v>6961</v>
      </c>
      <c r="C40" s="1814"/>
      <c r="D40" s="1814"/>
      <c r="E40" s="1814"/>
      <c r="F40" s="298" t="s">
        <v>190</v>
      </c>
      <c r="G40" s="299">
        <f>SUM(G35:G39)</f>
        <v>2.8</v>
      </c>
    </row>
    <row r="41" spans="1:8" s="294" customFormat="1" ht="16.5" thickBot="1">
      <c r="B41" s="300"/>
      <c r="C41" s="279"/>
      <c r="D41" s="279"/>
      <c r="E41" s="279"/>
      <c r="F41" s="279"/>
      <c r="G41" s="279"/>
    </row>
    <row r="42" spans="1:8" s="229" customFormat="1" ht="15.75" customHeight="1">
      <c r="B42" s="356" t="str">
        <f>IF(COUNT($H$13:H42)&lt;10,CONCATENATE("AMM ELE 00",COUNT($H$13:H42)),CONCATENATE("AMM ELE 0",COUNT($H$13:H42)))</f>
        <v>AMM ELE 004</v>
      </c>
      <c r="C42" s="1673" t="str">
        <f>CONCATENATE("FORNECIMENTO E INSTALAÇAO DE ",C45)</f>
        <v>FORNECIMENTO E INSTALAÇAO DE PADRÃO DE ENTRADA DE ENERGIA CATEGORIA "T5" (ENERGISA)</v>
      </c>
      <c r="D42" s="1809"/>
      <c r="E42" s="1809"/>
      <c r="F42" s="1809"/>
      <c r="G42" s="217" t="str">
        <f>G51</f>
        <v>UN</v>
      </c>
      <c r="H42" s="348">
        <f>G49</f>
        <v>11627.55</v>
      </c>
    </row>
    <row r="43" spans="1:8" s="229" customFormat="1" ht="31.5">
      <c r="B43" s="538" t="s">
        <v>206</v>
      </c>
      <c r="C43" s="543" t="s">
        <v>184</v>
      </c>
      <c r="D43" s="1125" t="s">
        <v>23</v>
      </c>
      <c r="E43" s="543" t="s">
        <v>185</v>
      </c>
      <c r="F43" s="544" t="s">
        <v>186</v>
      </c>
      <c r="G43" s="1129" t="s">
        <v>187</v>
      </c>
    </row>
    <row r="44" spans="1:8" s="229" customFormat="1" ht="15.75">
      <c r="B44" s="1711" t="s">
        <v>188</v>
      </c>
      <c r="C44" s="1712"/>
      <c r="D44" s="1712"/>
      <c r="E44" s="1712"/>
      <c r="F44" s="1712"/>
      <c r="G44" s="1713"/>
    </row>
    <row r="45" spans="1:8" s="229" customFormat="1" ht="15">
      <c r="B45" s="570" t="s">
        <v>202</v>
      </c>
      <c r="C45" s="1078" t="str">
        <f>C51</f>
        <v>PADRÃO DE ENTRADA DE ENERGIA CATEGORIA "T5" (ENERGISA)</v>
      </c>
      <c r="D45" s="633" t="str">
        <f>G51</f>
        <v>UN</v>
      </c>
      <c r="E45" s="635">
        <v>1</v>
      </c>
      <c r="F45" s="1199">
        <f>D56</f>
        <v>11461.63</v>
      </c>
      <c r="G45" s="636">
        <f>TRUNC(F45*E45,2)</f>
        <v>11461.63</v>
      </c>
    </row>
    <row r="46" spans="1:8" s="229" customFormat="1" ht="15.75">
      <c r="B46" s="1711" t="s">
        <v>189</v>
      </c>
      <c r="C46" s="1712"/>
      <c r="D46" s="1712"/>
      <c r="E46" s="1712"/>
      <c r="F46" s="1712"/>
      <c r="G46" s="1713"/>
    </row>
    <row r="47" spans="1:8" s="229" customFormat="1" ht="15.75">
      <c r="A47" s="433" t="s">
        <v>452</v>
      </c>
      <c r="B47" s="562">
        <v>88264</v>
      </c>
      <c r="C47" s="574" t="str">
        <f>IF($A47="INSUMO",VLOOKUP($B47,'BANCO DE DADOS JAN-23 INS'!$A:$D,2,FALSE),VLOOKUP($B47,'BANCO DE DADOS JAN-23 SERV'!$B:$E,2,FALSE))</f>
        <v>ELETRICISTA COM ENCARGOS COMPLEMENTARES</v>
      </c>
      <c r="D47" s="571" t="str">
        <f>IF($A47="INSUMO",VLOOKUP($B47,'BANCO DE DADOS JAN-23 INS'!$A:$D,3,FALSE),VLOOKUP($B47,'BANCO DE DADOS JAN-23 SERV'!$B:$E,3,FALSE))</f>
        <v>H</v>
      </c>
      <c r="E47" s="575">
        <v>4</v>
      </c>
      <c r="F47" s="572">
        <f>IF($A47="INSUMO",VLOOKUP($B47,'BANCO DE DADOS JAN-23 INS'!$A:$D,4,FALSE),VLOOKUP($B47,'BANCO DE DADOS JAN-23 SERV'!$B:$E,4,FALSE))</f>
        <v>22.67</v>
      </c>
      <c r="G47" s="573">
        <f>TRUNC(F47*E47,2)</f>
        <v>90.68</v>
      </c>
    </row>
    <row r="48" spans="1:8" s="229" customFormat="1" ht="16.5" thickBot="1">
      <c r="A48" s="433" t="s">
        <v>452</v>
      </c>
      <c r="B48" s="576">
        <v>88247</v>
      </c>
      <c r="C48" s="577" t="str">
        <f>IF($A48="INSUMO",VLOOKUP($B48,'BANCO DE DADOS JAN-23 INS'!$A:$D,2,FALSE),VLOOKUP($B48,'BANCO DE DADOS JAN-23 SERV'!$B:$E,2,FALSE))</f>
        <v>AUXILIAR DE ELETRICISTA COM ENCARGOS COMPLEMENTARES</v>
      </c>
      <c r="D48" s="578" t="str">
        <f>IF($A48="INSUMO",VLOOKUP($B48,'BANCO DE DADOS JAN-23 INS'!$A:$D,3,FALSE),VLOOKUP($B48,'BANCO DE DADOS JAN-23 SERV'!$B:$E,3,FALSE))</f>
        <v>H</v>
      </c>
      <c r="E48" s="579">
        <v>4</v>
      </c>
      <c r="F48" s="580">
        <f>IF($A48="INSUMO",VLOOKUP($B48,'BANCO DE DADOS JAN-23 INS'!$A:$D,4,FALSE),VLOOKUP($B48,'BANCO DE DADOS JAN-23 SERV'!$B:$E,4,FALSE))</f>
        <v>18.809999999999999</v>
      </c>
      <c r="G48" s="581">
        <f>TRUNC(F48*E48,2)</f>
        <v>75.239999999999995</v>
      </c>
    </row>
    <row r="49" spans="1:9" s="294" customFormat="1" ht="16.5" customHeight="1" thickBot="1">
      <c r="B49" s="1814" t="s">
        <v>7162</v>
      </c>
      <c r="C49" s="1814"/>
      <c r="D49" s="1814"/>
      <c r="E49" s="1814"/>
      <c r="F49" s="298" t="s">
        <v>190</v>
      </c>
      <c r="G49" s="299">
        <f>SUM(G44:G48)</f>
        <v>11627.55</v>
      </c>
    </row>
    <row r="50" spans="1:9" s="294" customFormat="1" ht="16.5" thickBot="1">
      <c r="B50" s="300"/>
      <c r="C50" s="279"/>
      <c r="D50" s="279"/>
      <c r="E50" s="279"/>
      <c r="F50" s="279"/>
      <c r="G50" s="279"/>
    </row>
    <row r="51" spans="1:9" s="325" customFormat="1" ht="18">
      <c r="A51" s="324"/>
      <c r="B51" s="422" t="s">
        <v>202</v>
      </c>
      <c r="C51" s="1815" t="s">
        <v>7163</v>
      </c>
      <c r="D51" s="1816"/>
      <c r="E51" s="1816"/>
      <c r="F51" s="1817"/>
      <c r="G51" s="358" t="s">
        <v>23</v>
      </c>
      <c r="H51" s="398" t="s">
        <v>2559</v>
      </c>
    </row>
    <row r="52" spans="1:9" ht="31.5">
      <c r="A52" s="294"/>
      <c r="B52" s="543" t="s">
        <v>195</v>
      </c>
      <c r="C52" s="543" t="s">
        <v>196</v>
      </c>
      <c r="D52" s="544" t="s">
        <v>197</v>
      </c>
      <c r="E52" s="545" t="s">
        <v>198</v>
      </c>
      <c r="F52" s="557" t="s">
        <v>199</v>
      </c>
      <c r="G52" s="604" t="s">
        <v>200</v>
      </c>
    </row>
    <row r="53" spans="1:9" s="1474" customFormat="1" ht="15">
      <c r="A53" s="1469"/>
      <c r="B53" s="1470">
        <v>44939</v>
      </c>
      <c r="C53" s="1471" t="s">
        <v>3544</v>
      </c>
      <c r="D53" s="1443">
        <v>11461.63</v>
      </c>
      <c r="E53" s="1440" t="s">
        <v>588</v>
      </c>
      <c r="F53" s="607" t="s">
        <v>2230</v>
      </c>
      <c r="G53" s="1491" t="s">
        <v>590</v>
      </c>
      <c r="H53" s="1492"/>
      <c r="I53" s="1493">
        <f>B53+180</f>
        <v>45119</v>
      </c>
    </row>
    <row r="54" spans="1:9" s="1474" customFormat="1" ht="15">
      <c r="A54" s="1469"/>
      <c r="B54" s="1470">
        <v>44930</v>
      </c>
      <c r="C54" s="1471" t="s">
        <v>7175</v>
      </c>
      <c r="D54" s="1443">
        <v>8877.52</v>
      </c>
      <c r="E54" s="1494" t="s">
        <v>7176</v>
      </c>
      <c r="F54" s="607" t="s">
        <v>7177</v>
      </c>
      <c r="G54" s="1491" t="s">
        <v>13751</v>
      </c>
      <c r="H54" s="1492"/>
      <c r="I54" s="1493">
        <f>B54+180</f>
        <v>45110</v>
      </c>
    </row>
    <row r="55" spans="1:9" s="1474" customFormat="1" ht="15.75" thickBot="1">
      <c r="A55" s="1469"/>
      <c r="B55" s="1470">
        <v>45005</v>
      </c>
      <c r="C55" s="1471" t="s">
        <v>4289</v>
      </c>
      <c r="D55" s="1443">
        <v>14319.17</v>
      </c>
      <c r="E55" s="1494" t="s">
        <v>591</v>
      </c>
      <c r="F55" s="607" t="s">
        <v>2770</v>
      </c>
      <c r="G55" s="1491" t="s">
        <v>13752</v>
      </c>
      <c r="H55" s="1492"/>
      <c r="I55" s="1495">
        <f>B55+180</f>
        <v>45185</v>
      </c>
    </row>
    <row r="56" spans="1:9" ht="16.5" thickBot="1">
      <c r="A56" s="294"/>
      <c r="B56" s="548"/>
      <c r="C56" s="549" t="s">
        <v>201</v>
      </c>
      <c r="D56" s="550">
        <f>IF(COUNT(D52:D55)=3,MEDIAN(D53:D55),SMALL(D53:D55,1))</f>
        <v>11461.63</v>
      </c>
      <c r="E56" s="551"/>
      <c r="F56" s="552"/>
      <c r="G56" s="553"/>
    </row>
    <row r="57" spans="1:9" ht="13.5" thickBot="1"/>
    <row r="58" spans="1:9" ht="54.75" customHeight="1">
      <c r="A58" s="294"/>
      <c r="B58" s="356" t="str">
        <f>IF(COUNT($H$13:H58)&lt;10,CONCATENATE("AMM ELE 00",COUNT($H$13:H58)),CONCATENATE("AMM ELE 0",COUNT($H$13:H58)))</f>
        <v>AMM ELE 005</v>
      </c>
      <c r="C58" s="1673" t="s">
        <v>2771</v>
      </c>
      <c r="D58" s="1673"/>
      <c r="E58" s="1673"/>
      <c r="F58" s="1673"/>
      <c r="G58" s="357" t="s">
        <v>0</v>
      </c>
      <c r="H58" s="355">
        <f>G89</f>
        <v>593.91</v>
      </c>
    </row>
    <row r="59" spans="1:9" ht="31.5">
      <c r="A59" s="294"/>
      <c r="B59" s="538" t="s">
        <v>206</v>
      </c>
      <c r="C59" s="1125" t="s">
        <v>184</v>
      </c>
      <c r="D59" s="1125" t="s">
        <v>23</v>
      </c>
      <c r="E59" s="1125" t="s">
        <v>185</v>
      </c>
      <c r="F59" s="1126" t="s">
        <v>186</v>
      </c>
      <c r="G59" s="1127" t="s">
        <v>187</v>
      </c>
    </row>
    <row r="60" spans="1:9" ht="15.75">
      <c r="A60" s="294"/>
      <c r="B60" s="1793" t="s">
        <v>188</v>
      </c>
      <c r="C60" s="1794"/>
      <c r="D60" s="1794"/>
      <c r="E60" s="1794"/>
      <c r="F60" s="1794"/>
      <c r="G60" s="1795"/>
    </row>
    <row r="61" spans="1:9" ht="15.75">
      <c r="A61" s="433" t="s">
        <v>451</v>
      </c>
      <c r="B61" s="562">
        <v>7258</v>
      </c>
      <c r="C61" s="574" t="str">
        <f>IF($A61="INSUMO",VLOOKUP($B61,'BANCO DE DADOS JAN-23 INS'!$A:$D,2,FALSE),VLOOKUP($B61,'BANCO DE DADOS JAN-23 SERV'!$B:$E,2,FALSE))</f>
        <v>TIJOLO CERAMICO MACICO COMUM *5 X 10 X 20* CM (L X A X C)</v>
      </c>
      <c r="D61" s="571" t="str">
        <f>IF($A61="INSUMO",VLOOKUP($B61,'BANCO DE DADOS JAN-23 INS'!$A:$D,3,FALSE),VLOOKUP($B61,'BANCO DE DADOS JAN-23 SERV'!$B:$E,3,FALSE))</f>
        <v xml:space="preserve">UN    </v>
      </c>
      <c r="E61" s="639">
        <v>183.02</v>
      </c>
      <c r="F61" s="572">
        <f>IF($A61="INSUMO",VLOOKUP($B61,'BANCO DE DADOS JAN-23 INS'!$A:$D,4,FALSE),VLOOKUP($B61,'BANCO DE DADOS JAN-23 SERV'!$B:$E,4,FALSE))</f>
        <v>0.92</v>
      </c>
      <c r="G61" s="573">
        <f t="shared" ref="G61:G80" si="0">TRUNC(F61*E61,2)</f>
        <v>168.37</v>
      </c>
    </row>
    <row r="62" spans="1:9" ht="15.75">
      <c r="A62" s="433" t="s">
        <v>451</v>
      </c>
      <c r="B62" s="562">
        <v>35693</v>
      </c>
      <c r="C62" s="574" t="str">
        <f>IF($A62="INSUMO",VLOOKUP($B62,'BANCO DE DADOS JAN-23 INS'!$A:$D,2,FALSE),VLOOKUP($B62,'BANCO DE DADOS JAN-23 SERV'!$B:$E,2,FALSE))</f>
        <v>TINTA LATEX ACRILICA ECONOMICA, COR BRANCA</v>
      </c>
      <c r="D62" s="571" t="str">
        <f>IF($A62="INSUMO",VLOOKUP($B62,'BANCO DE DADOS JAN-23 INS'!$A:$D,3,FALSE),VLOOKUP($B62,'BANCO DE DADOS JAN-23 SERV'!$B:$E,3,FALSE))</f>
        <v xml:space="preserve">L     </v>
      </c>
      <c r="E62" s="639">
        <v>0.49</v>
      </c>
      <c r="F62" s="572">
        <f>IF($A62="INSUMO",VLOOKUP($B62,'BANCO DE DADOS JAN-23 INS'!$A:$D,4,FALSE),VLOOKUP($B62,'BANCO DE DADOS JAN-23 SERV'!$B:$E,4,FALSE))</f>
        <v>11.21</v>
      </c>
      <c r="G62" s="573">
        <f t="shared" si="0"/>
        <v>5.49</v>
      </c>
    </row>
    <row r="63" spans="1:9" ht="15.75">
      <c r="A63" s="433" t="s">
        <v>451</v>
      </c>
      <c r="B63" s="562">
        <v>38383</v>
      </c>
      <c r="C63" s="574" t="str">
        <f>IF($A63="INSUMO",VLOOKUP($B63,'BANCO DE DADOS JAN-23 INS'!$A:$D,2,FALSE),VLOOKUP($B63,'BANCO DE DADOS JAN-23 SERV'!$B:$E,2,FALSE))</f>
        <v>LIXA D'AGUA EM FOLHA, GRAO 100</v>
      </c>
      <c r="D63" s="571" t="str">
        <f>IF($A63="INSUMO",VLOOKUP($B63,'BANCO DE DADOS JAN-23 INS'!$A:$D,3,FALSE),VLOOKUP($B63,'BANCO DE DADOS JAN-23 SERV'!$B:$E,3,FALSE))</f>
        <v xml:space="preserve">UN    </v>
      </c>
      <c r="E63" s="639">
        <v>0.22</v>
      </c>
      <c r="F63" s="572">
        <f>IF($A63="INSUMO",VLOOKUP($B63,'BANCO DE DADOS JAN-23 INS'!$A:$D,4,FALSE),VLOOKUP($B63,'BANCO DE DADOS JAN-23 SERV'!$B:$E,4,FALSE))</f>
        <v>2.7</v>
      </c>
      <c r="G63" s="573">
        <f t="shared" si="0"/>
        <v>0.59</v>
      </c>
    </row>
    <row r="64" spans="1:9" ht="45">
      <c r="A64" s="433" t="s">
        <v>451</v>
      </c>
      <c r="B64" s="562">
        <v>2745</v>
      </c>
      <c r="C64" s="574" t="str">
        <f>IF($A64="INSUMO",VLOOKUP($B64,'BANCO DE DADOS JAN-23 INS'!$A:$D,2,FALSE),VLOOKUP($B64,'BANCO DE DADOS JAN-23 SERV'!$B:$E,2,FALSE))</f>
        <v>PONTALETE ROLIÇO SEM TRATAMENTO, D = 8 A 11 CM, H = 3 M, EM EUCALIPTO OU EQUIVALENTE DA REGIAO - BRUTA (PARA ESCORAMENTO)</v>
      </c>
      <c r="D64" s="571" t="str">
        <f>IF($A64="INSUMO",VLOOKUP($B64,'BANCO DE DADOS JAN-23 INS'!$A:$D,3,FALSE),VLOOKUP($B64,'BANCO DE DADOS JAN-23 SERV'!$B:$E,3,FALSE))</f>
        <v xml:space="preserve">M     </v>
      </c>
      <c r="E64" s="639">
        <v>1.0900000000000001</v>
      </c>
      <c r="F64" s="572">
        <f>IF($A64="INSUMO",VLOOKUP($B64,'BANCO DE DADOS JAN-23 INS'!$A:$D,4,FALSE),VLOOKUP($B64,'BANCO DE DADOS JAN-23 SERV'!$B:$E,4,FALSE))</f>
        <v>4.03</v>
      </c>
      <c r="G64" s="573">
        <f t="shared" si="0"/>
        <v>4.3899999999999997</v>
      </c>
    </row>
    <row r="65" spans="1:8" ht="30">
      <c r="A65" s="433" t="s">
        <v>451</v>
      </c>
      <c r="B65" s="562">
        <v>6189</v>
      </c>
      <c r="C65" s="574" t="str">
        <f>IF($A65="INSUMO",VLOOKUP($B65,'BANCO DE DADOS JAN-23 INS'!$A:$D,2,FALSE),VLOOKUP($B65,'BANCO DE DADOS JAN-23 SERV'!$B:$E,2,FALSE))</f>
        <v>TABUA NAO APARELHADA *2,5 X 30* CM, EM MACARANDUBA, ANGELIM OU EQUIVALENTE DA REGIAO - BRUTA</v>
      </c>
      <c r="D65" s="571" t="str">
        <f>IF($A65="INSUMO",VLOOKUP($B65,'BANCO DE DADOS JAN-23 INS'!$A:$D,3,FALSE),VLOOKUP($B65,'BANCO DE DADOS JAN-23 SERV'!$B:$E,3,FALSE))</f>
        <v xml:space="preserve">M     </v>
      </c>
      <c r="E65" s="639">
        <v>0.84</v>
      </c>
      <c r="F65" s="572">
        <f>IF($A65="INSUMO",VLOOKUP($B65,'BANCO DE DADOS JAN-23 INS'!$A:$D,4,FALSE),VLOOKUP($B65,'BANCO DE DADOS JAN-23 SERV'!$B:$E,4,FALSE))</f>
        <v>24.33</v>
      </c>
      <c r="G65" s="573">
        <f t="shared" si="0"/>
        <v>20.43</v>
      </c>
    </row>
    <row r="66" spans="1:8" ht="30">
      <c r="A66" s="433" t="s">
        <v>451</v>
      </c>
      <c r="B66" s="562">
        <v>43618</v>
      </c>
      <c r="C66" s="574" t="str">
        <f>IF($A66="INSUMO",VLOOKUP($B66,'BANCO DE DADOS JAN-23 INS'!$A:$D,2,FALSE),VLOOKUP($B66,'BANCO DE DADOS JAN-23 SERV'!$B:$E,2,FALSE))</f>
        <v>ADITIVO SUPERPLASTIFICANTE DE PEGA NORMAL PARA CONCRETO, LIQUIDO E ISENTO DE CLORETOS</v>
      </c>
      <c r="D66" s="571" t="str">
        <f>IF($A66="INSUMO",VLOOKUP($B66,'BANCO DE DADOS JAN-23 INS'!$A:$D,3,FALSE),VLOOKUP($B66,'BANCO DE DADOS JAN-23 SERV'!$B:$E,3,FALSE))</f>
        <v xml:space="preserve">KG    </v>
      </c>
      <c r="E66" s="639">
        <v>0.1</v>
      </c>
      <c r="F66" s="572">
        <f>IF($A66="INSUMO",VLOOKUP($B66,'BANCO DE DADOS JAN-23 INS'!$A:$D,4,FALSE),VLOOKUP($B66,'BANCO DE DADOS JAN-23 SERV'!$B:$E,4,FALSE))</f>
        <v>21.71</v>
      </c>
      <c r="G66" s="573">
        <f t="shared" si="0"/>
        <v>2.17</v>
      </c>
      <c r="H66" s="294"/>
    </row>
    <row r="67" spans="1:8" ht="30">
      <c r="A67" s="433" t="s">
        <v>451</v>
      </c>
      <c r="B67" s="562">
        <v>4500</v>
      </c>
      <c r="C67" s="574" t="str">
        <f>IF($A67="INSUMO",VLOOKUP($B67,'BANCO DE DADOS JAN-23 INS'!$A:$D,2,FALSE),VLOOKUP($B67,'BANCO DE DADOS JAN-23 SERV'!$B:$E,2,FALSE))</f>
        <v>VIGA *7,5 X 10* CM EM PINUS, MISTA OU EQUIVALENTE DA REGIAO - BRUTA</v>
      </c>
      <c r="D67" s="571" t="str">
        <f>IF($A67="INSUMO",VLOOKUP($B67,'BANCO DE DADOS JAN-23 INS'!$A:$D,3,FALSE),VLOOKUP($B67,'BANCO DE DADOS JAN-23 SERV'!$B:$E,3,FALSE))</f>
        <v xml:space="preserve">M     </v>
      </c>
      <c r="E67" s="639">
        <v>0.6</v>
      </c>
      <c r="F67" s="572">
        <f>IF($A67="INSUMO",VLOOKUP($B67,'BANCO DE DADOS JAN-23 INS'!$A:$D,4,FALSE),VLOOKUP($B67,'BANCO DE DADOS JAN-23 SERV'!$B:$E,4,FALSE))</f>
        <v>24.96</v>
      </c>
      <c r="G67" s="573">
        <f t="shared" si="0"/>
        <v>14.97</v>
      </c>
    </row>
    <row r="68" spans="1:8" ht="15.75">
      <c r="A68" s="433" t="s">
        <v>451</v>
      </c>
      <c r="B68" s="562">
        <v>6085</v>
      </c>
      <c r="C68" s="574" t="str">
        <f>IF($A68="INSUMO",VLOOKUP($B68,'BANCO DE DADOS JAN-23 INS'!$A:$D,2,FALSE),VLOOKUP($B68,'BANCO DE DADOS JAN-23 SERV'!$B:$E,2,FALSE))</f>
        <v>SELADOR ACRILICO OPACO PREMIUM INTERIOR/EXTERIOR</v>
      </c>
      <c r="D68" s="571" t="str">
        <f>IF($A68="INSUMO",VLOOKUP($B68,'BANCO DE DADOS JAN-23 INS'!$A:$D,3,FALSE),VLOOKUP($B68,'BANCO DE DADOS JAN-23 SERV'!$B:$E,3,FALSE))</f>
        <v xml:space="preserve">L     </v>
      </c>
      <c r="E68" s="639">
        <v>0.26</v>
      </c>
      <c r="F68" s="572">
        <f>IF($A68="INSUMO",VLOOKUP($B68,'BANCO DE DADOS JAN-23 INS'!$A:$D,4,FALSE),VLOOKUP($B68,'BANCO DE DADOS JAN-23 SERV'!$B:$E,4,FALSE))</f>
        <v>6.06</v>
      </c>
      <c r="G68" s="573">
        <f t="shared" si="0"/>
        <v>1.57</v>
      </c>
    </row>
    <row r="69" spans="1:8" ht="30">
      <c r="A69" s="433" t="s">
        <v>451</v>
      </c>
      <c r="B69" s="562">
        <v>4491</v>
      </c>
      <c r="C69" s="574" t="str">
        <f>IF($A69="INSUMO",VLOOKUP($B69,'BANCO DE DADOS JAN-23 INS'!$A:$D,2,FALSE),VLOOKUP($B69,'BANCO DE DADOS JAN-23 SERV'!$B:$E,2,FALSE))</f>
        <v>PONTALETE *7,5 X 7,5* CM EM PINUS, MISTA OU EQUIVALENTE DA REGIAO - BRUTA</v>
      </c>
      <c r="D69" s="571" t="str">
        <f>IF($A69="INSUMO",VLOOKUP($B69,'BANCO DE DADOS JAN-23 INS'!$A:$D,3,FALSE),VLOOKUP($B69,'BANCO DE DADOS JAN-23 SERV'!$B:$E,3,FALSE))</f>
        <v xml:space="preserve">M     </v>
      </c>
      <c r="E69" s="639">
        <v>0.01</v>
      </c>
      <c r="F69" s="572">
        <f>IF($A69="INSUMO",VLOOKUP($B69,'BANCO DE DADOS JAN-23 INS'!$A:$D,4,FALSE),VLOOKUP($B69,'BANCO DE DADOS JAN-23 SERV'!$B:$E,4,FALSE))</f>
        <v>12.95</v>
      </c>
      <c r="G69" s="573">
        <f t="shared" si="0"/>
        <v>0.12</v>
      </c>
    </row>
    <row r="70" spans="1:8" ht="15.75">
      <c r="A70" s="433" t="s">
        <v>451</v>
      </c>
      <c r="B70" s="562">
        <v>5071</v>
      </c>
      <c r="C70" s="574" t="str">
        <f>IF($A70="INSUMO",VLOOKUP($B70,'BANCO DE DADOS JAN-23 INS'!$A:$D,2,FALSE),VLOOKUP($B70,'BANCO DE DADOS JAN-23 SERV'!$B:$E,2,FALSE))</f>
        <v>PREGO DE ACO POLIDO COM CABECA 18 X 24 (2 1/4 X 10)</v>
      </c>
      <c r="D70" s="571" t="str">
        <f>IF($A70="INSUMO",VLOOKUP($B70,'BANCO DE DADOS JAN-23 INS'!$A:$D,3,FALSE),VLOOKUP($B70,'BANCO DE DADOS JAN-23 SERV'!$B:$E,3,FALSE))</f>
        <v xml:space="preserve">KG    </v>
      </c>
      <c r="E70" s="639">
        <v>0.14000000000000001</v>
      </c>
      <c r="F70" s="572">
        <f>IF($A70="INSUMO",VLOOKUP($B70,'BANCO DE DADOS JAN-23 INS'!$A:$D,4,FALSE),VLOOKUP($B70,'BANCO DE DADOS JAN-23 SERV'!$B:$E,4,FALSE))</f>
        <v>25.41</v>
      </c>
      <c r="G70" s="573">
        <f t="shared" si="0"/>
        <v>3.55</v>
      </c>
    </row>
    <row r="71" spans="1:8" ht="15.75">
      <c r="A71" s="433" t="s">
        <v>451</v>
      </c>
      <c r="B71" s="562">
        <v>1379</v>
      </c>
      <c r="C71" s="574" t="str">
        <f>IF($A71="INSUMO",VLOOKUP($B71,'BANCO DE DADOS JAN-23 INS'!$A:$D,2,FALSE),VLOOKUP($B71,'BANCO DE DADOS JAN-23 SERV'!$B:$E,2,FALSE))</f>
        <v>CIMENTO PORTLAND COMPOSTO CP II-32</v>
      </c>
      <c r="D71" s="571" t="str">
        <f>IF($A71="INSUMO",VLOOKUP($B71,'BANCO DE DADOS JAN-23 INS'!$A:$D,3,FALSE),VLOOKUP($B71,'BANCO DE DADOS JAN-23 SERV'!$B:$E,3,FALSE))</f>
        <v xml:space="preserve">KG    </v>
      </c>
      <c r="E71" s="639">
        <v>38.299999999999997</v>
      </c>
      <c r="F71" s="572">
        <f>IF($A71="INSUMO",VLOOKUP($B71,'BANCO DE DADOS JAN-23 INS'!$A:$D,4,FALSE),VLOOKUP($B71,'BANCO DE DADOS JAN-23 SERV'!$B:$E,4,FALSE))</f>
        <v>0.92</v>
      </c>
      <c r="G71" s="573">
        <f t="shared" si="0"/>
        <v>35.229999999999997</v>
      </c>
    </row>
    <row r="72" spans="1:8" ht="45">
      <c r="A72" s="433" t="s">
        <v>451</v>
      </c>
      <c r="B72" s="562">
        <v>1355</v>
      </c>
      <c r="C72" s="574" t="str">
        <f>IF($A72="INSUMO",VLOOKUP($B72,'BANCO DE DADOS JAN-23 INS'!$A:$D,2,FALSE),VLOOKUP($B72,'BANCO DE DADOS JAN-23 SERV'!$B:$E,2,FALSE))</f>
        <v>CHAPA/PAINEL DE MADEIRA COMPENSADA RESINADA (MADEIRITE RESINADO ROSA) PARA FORMA DE CONCRETO, DE 2200 x 1100 MM, E = 14 MM</v>
      </c>
      <c r="D72" s="571" t="str">
        <f>IF($A72="INSUMO",VLOOKUP($B72,'BANCO DE DADOS JAN-23 INS'!$A:$D,3,FALSE),VLOOKUP($B72,'BANCO DE DADOS JAN-23 SERV'!$B:$E,3,FALSE))</f>
        <v xml:space="preserve">M2    </v>
      </c>
      <c r="E72" s="639">
        <v>0.23</v>
      </c>
      <c r="F72" s="572">
        <f>IF($A72="INSUMO",VLOOKUP($B72,'BANCO DE DADOS JAN-23 INS'!$A:$D,4,FALSE),VLOOKUP($B72,'BANCO DE DADOS JAN-23 SERV'!$B:$E,4,FALSE))</f>
        <v>58.76</v>
      </c>
      <c r="G72" s="573">
        <f t="shared" si="0"/>
        <v>13.51</v>
      </c>
    </row>
    <row r="73" spans="1:8" ht="30">
      <c r="A73" s="433" t="s">
        <v>451</v>
      </c>
      <c r="B73" s="562">
        <v>2692</v>
      </c>
      <c r="C73" s="574" t="str">
        <f>IF($A73="INSUMO",VLOOKUP($B73,'BANCO DE DADOS JAN-23 INS'!$A:$D,2,FALSE),VLOOKUP($B73,'BANCO DE DADOS JAN-23 SERV'!$B:$E,2,FALSE))</f>
        <v>DESMOLDANTE PROTETOR PARA FORMAS DE MADEIRA, DE BASE OLEOSA EMULSIONADA EM AGUA</v>
      </c>
      <c r="D73" s="571" t="str">
        <f>IF($A73="INSUMO",VLOOKUP($B73,'BANCO DE DADOS JAN-23 INS'!$A:$D,3,FALSE),VLOOKUP($B73,'BANCO DE DADOS JAN-23 SERV'!$B:$E,3,FALSE))</f>
        <v xml:space="preserve">L     </v>
      </c>
      <c r="E73" s="639">
        <v>0.05</v>
      </c>
      <c r="F73" s="572">
        <f>IF($A73="INSUMO",VLOOKUP($B73,'BANCO DE DADOS JAN-23 INS'!$A:$D,4,FALSE),VLOOKUP($B73,'BANCO DE DADOS JAN-23 SERV'!$B:$E,4,FALSE))</f>
        <v>8.06</v>
      </c>
      <c r="G73" s="573">
        <f t="shared" si="0"/>
        <v>0.4</v>
      </c>
    </row>
    <row r="74" spans="1:8" ht="15.75">
      <c r="A74" s="433" t="s">
        <v>451</v>
      </c>
      <c r="B74" s="562">
        <v>1106</v>
      </c>
      <c r="C74" s="574" t="str">
        <f>IF($A74="INSUMO",VLOOKUP($B74,'BANCO DE DADOS JAN-23 INS'!$A:$D,2,FALSE),VLOOKUP($B74,'BANCO DE DADOS JAN-23 SERV'!$B:$E,2,FALSE))</f>
        <v>CAL HIDRATADA CH-I PARA ARGAMASSAS</v>
      </c>
      <c r="D74" s="571" t="str">
        <f>IF($A74="INSUMO",VLOOKUP($B74,'BANCO DE DADOS JAN-23 INS'!$A:$D,3,FALSE),VLOOKUP($B74,'BANCO DE DADOS JAN-23 SERV'!$B:$E,3,FALSE))</f>
        <v xml:space="preserve">KG    </v>
      </c>
      <c r="E74" s="639">
        <v>17.95</v>
      </c>
      <c r="F74" s="572">
        <f>IF($A74="INSUMO",VLOOKUP($B74,'BANCO DE DADOS JAN-23 INS'!$A:$D,4,FALSE),VLOOKUP($B74,'BANCO DE DADOS JAN-23 SERV'!$B:$E,4,FALSE))</f>
        <v>0.93</v>
      </c>
      <c r="G74" s="573">
        <f t="shared" si="0"/>
        <v>16.690000000000001</v>
      </c>
    </row>
    <row r="75" spans="1:8" ht="30">
      <c r="A75" s="433" t="s">
        <v>451</v>
      </c>
      <c r="B75" s="562">
        <v>4721</v>
      </c>
      <c r="C75" s="574" t="str">
        <f>IF($A75="INSUMO",VLOOKUP($B75,'BANCO DE DADOS JAN-23 INS'!$A:$D,2,FALSE),VLOOKUP($B75,'BANCO DE DADOS JAN-23 SERV'!$B:$E,2,FALSE))</f>
        <v>PEDRA BRITADA N. 1 (9,5 a 19 MM) POSTO PEDREIRA/FORNECEDOR, SEM FRETE</v>
      </c>
      <c r="D75" s="571" t="str">
        <f>IF($A75="INSUMO",VLOOKUP($B75,'BANCO DE DADOS JAN-23 INS'!$A:$D,3,FALSE),VLOOKUP($B75,'BANCO DE DADOS JAN-23 SERV'!$B:$E,3,FALSE))</f>
        <v xml:space="preserve">M3    </v>
      </c>
      <c r="E75" s="639">
        <v>0.03</v>
      </c>
      <c r="F75" s="572">
        <f>IF($A75="INSUMO",VLOOKUP($B75,'BANCO DE DADOS JAN-23 INS'!$A:$D,4,FALSE),VLOOKUP($B75,'BANCO DE DADOS JAN-23 SERV'!$B:$E,4,FALSE))</f>
        <v>111.09</v>
      </c>
      <c r="G75" s="573">
        <f t="shared" si="0"/>
        <v>3.33</v>
      </c>
    </row>
    <row r="76" spans="1:8" ht="30">
      <c r="A76" s="433" t="s">
        <v>451</v>
      </c>
      <c r="B76" s="562">
        <v>4718</v>
      </c>
      <c r="C76" s="574" t="str">
        <f>IF($A76="INSUMO",VLOOKUP($B76,'BANCO DE DADOS JAN-23 INS'!$A:$D,2,FALSE),VLOOKUP($B76,'BANCO DE DADOS JAN-23 SERV'!$B:$E,2,FALSE))</f>
        <v>PEDRA BRITADA N. 2 (19 A 38 MM) POSTO PEDREIRA/FORNECEDOR, SEM FRETE</v>
      </c>
      <c r="D76" s="571" t="str">
        <f>IF($A76="INSUMO",VLOOKUP($B76,'BANCO DE DADOS JAN-23 INS'!$A:$D,3,FALSE),VLOOKUP($B76,'BANCO DE DADOS JAN-23 SERV'!$B:$E,3,FALSE))</f>
        <v xml:space="preserve">M3    </v>
      </c>
      <c r="E76" s="639">
        <v>0.03</v>
      </c>
      <c r="F76" s="572">
        <f>IF($A76="INSUMO",VLOOKUP($B76,'BANCO DE DADOS JAN-23 INS'!$A:$D,4,FALSE),VLOOKUP($B76,'BANCO DE DADOS JAN-23 SERV'!$B:$E,4,FALSE))</f>
        <v>111.68</v>
      </c>
      <c r="G76" s="573">
        <f t="shared" si="0"/>
        <v>3.35</v>
      </c>
    </row>
    <row r="77" spans="1:8" ht="15.75">
      <c r="A77" s="433" t="s">
        <v>451</v>
      </c>
      <c r="B77" s="562">
        <v>33</v>
      </c>
      <c r="C77" s="574" t="str">
        <f>IF($A77="INSUMO",VLOOKUP($B77,'BANCO DE DADOS JAN-23 INS'!$A:$D,2,FALSE),VLOOKUP($B77,'BANCO DE DADOS JAN-23 SERV'!$B:$E,2,FALSE))</f>
        <v>ACO CA-50, 8,0 MM, VERGALHAO</v>
      </c>
      <c r="D77" s="571" t="str">
        <f>IF($A77="INSUMO",VLOOKUP($B77,'BANCO DE DADOS JAN-23 INS'!$A:$D,3,FALSE),VLOOKUP($B77,'BANCO DE DADOS JAN-23 SERV'!$B:$E,3,FALSE))</f>
        <v xml:space="preserve">KG    </v>
      </c>
      <c r="E77" s="639">
        <v>4.32</v>
      </c>
      <c r="F77" s="572">
        <f>IF($A77="INSUMO",VLOOKUP($B77,'BANCO DE DADOS JAN-23 INS'!$A:$D,4,FALSE),VLOOKUP($B77,'BANCO DE DADOS JAN-23 SERV'!$B:$E,4,FALSE))</f>
        <v>11.92</v>
      </c>
      <c r="G77" s="573">
        <f t="shared" si="0"/>
        <v>51.49</v>
      </c>
    </row>
    <row r="78" spans="1:8" ht="30">
      <c r="A78" s="433" t="s">
        <v>451</v>
      </c>
      <c r="B78" s="562">
        <v>43132</v>
      </c>
      <c r="C78" s="574" t="str">
        <f>IF($A78="INSUMO",VLOOKUP($B78,'BANCO DE DADOS JAN-23 INS'!$A:$D,2,FALSE),VLOOKUP($B78,'BANCO DE DADOS JAN-23 SERV'!$B:$E,2,FALSE))</f>
        <v>ARAME RECOZIDO 16 BWG, D = 1,65 MM (0,016 KG/M) OU 18 BWG, D = 1,25 MM (0,01 KG/M)</v>
      </c>
      <c r="D78" s="571" t="str">
        <f>IF($A78="INSUMO",VLOOKUP($B78,'BANCO DE DADOS JAN-23 INS'!$A:$D,3,FALSE),VLOOKUP($B78,'BANCO DE DADOS JAN-23 SERV'!$B:$E,3,FALSE))</f>
        <v xml:space="preserve">KG    </v>
      </c>
      <c r="E78" s="639">
        <v>0.08</v>
      </c>
      <c r="F78" s="572">
        <f>IF($A78="INSUMO",VLOOKUP($B78,'BANCO DE DADOS JAN-23 INS'!$A:$D,4,FALSE),VLOOKUP($B78,'BANCO DE DADOS JAN-23 SERV'!$B:$E,4,FALSE))</f>
        <v>24.98</v>
      </c>
      <c r="G78" s="573">
        <f t="shared" si="0"/>
        <v>1.99</v>
      </c>
    </row>
    <row r="79" spans="1:8" ht="30">
      <c r="A79" s="433" t="s">
        <v>451</v>
      </c>
      <c r="B79" s="562">
        <v>43130</v>
      </c>
      <c r="C79" s="574" t="str">
        <f>IF($A79="INSUMO",VLOOKUP($B79,'BANCO DE DADOS JAN-23 INS'!$A:$D,2,FALSE),VLOOKUP($B79,'BANCO DE DADOS JAN-23 SERV'!$B:$E,2,FALSE))</f>
        <v>ARAME GALVANIZADO 12 BWG, D = 2,76 MM (0,048 KG/M) OU 14 BWG, D = 2,11 MM (0,026 KG/M)</v>
      </c>
      <c r="D79" s="571" t="str">
        <f>IF($A79="INSUMO",VLOOKUP($B79,'BANCO DE DADOS JAN-23 INS'!$A:$D,3,FALSE),VLOOKUP($B79,'BANCO DE DADOS JAN-23 SERV'!$B:$E,3,FALSE))</f>
        <v xml:space="preserve">KG    </v>
      </c>
      <c r="E79" s="639">
        <v>4.4000000000000003E-3</v>
      </c>
      <c r="F79" s="572">
        <f>IF($A79="INSUMO",VLOOKUP($B79,'BANCO DE DADOS JAN-23 INS'!$A:$D,4,FALSE),VLOOKUP($B79,'BANCO DE DADOS JAN-23 SERV'!$B:$E,4,FALSE))</f>
        <v>24.98</v>
      </c>
      <c r="G79" s="573">
        <f t="shared" si="0"/>
        <v>0.1</v>
      </c>
    </row>
    <row r="80" spans="1:8" ht="30">
      <c r="A80" s="433" t="s">
        <v>451</v>
      </c>
      <c r="B80" s="562">
        <v>370</v>
      </c>
      <c r="C80" s="574" t="str">
        <f>IF($A80="INSUMO",VLOOKUP($B80,'BANCO DE DADOS JAN-23 INS'!$A:$D,2,FALSE),VLOOKUP($B80,'BANCO DE DADOS JAN-23 SERV'!$B:$E,2,FALSE))</f>
        <v>AREIA MEDIA - POSTO JAZIDA/FORNECEDOR (RETIRADO NA JAZIDA, SEM TRANSPORTE)</v>
      </c>
      <c r="D80" s="571" t="str">
        <f>IF($A80="INSUMO",VLOOKUP($B80,'BANCO DE DADOS JAN-23 INS'!$A:$D,3,FALSE),VLOOKUP($B80,'BANCO DE DADOS JAN-23 SERV'!$B:$E,3,FALSE))</f>
        <v xml:space="preserve">M3    </v>
      </c>
      <c r="E80" s="639">
        <v>0.2</v>
      </c>
      <c r="F80" s="572">
        <f>IF($A80="INSUMO",VLOOKUP($B80,'BANCO DE DADOS JAN-23 INS'!$A:$D,4,FALSE),VLOOKUP($B80,'BANCO DE DADOS JAN-23 SERV'!$B:$E,4,FALSE))</f>
        <v>127.95</v>
      </c>
      <c r="G80" s="573">
        <f t="shared" si="0"/>
        <v>25.59</v>
      </c>
    </row>
    <row r="81" spans="1:8" ht="15.75">
      <c r="A81" s="294"/>
      <c r="B81" s="1793" t="s">
        <v>189</v>
      </c>
      <c r="C81" s="1794"/>
      <c r="D81" s="1794"/>
      <c r="E81" s="1794"/>
      <c r="F81" s="1794"/>
      <c r="G81" s="1795"/>
    </row>
    <row r="82" spans="1:8" ht="15.75">
      <c r="A82" s="433" t="s">
        <v>452</v>
      </c>
      <c r="B82" s="562">
        <v>88316</v>
      </c>
      <c r="C82" s="574" t="str">
        <f>IF($A82="INSUMO",VLOOKUP($B82,'BANCO DE DADOS JAN-23 INS'!$A:$D,2,FALSE),VLOOKUP($B82,'BANCO DE DADOS JAN-23 SERV'!$B:$E,2,FALSE))</f>
        <v>SERVENTE COM ENCARGOS COMPLEMENTARES</v>
      </c>
      <c r="D82" s="571" t="str">
        <f>IF($A82="INSUMO",VLOOKUP($B82,'BANCO DE DADOS JAN-23 INS'!$A:$D,3,FALSE),VLOOKUP($B82,'BANCO DE DADOS JAN-23 SERV'!$B:$E,3,FALSE))</f>
        <v>H</v>
      </c>
      <c r="E82" s="637">
        <v>5.7</v>
      </c>
      <c r="F82" s="572">
        <f>IF($A82="INSUMO",VLOOKUP($B82,'BANCO DE DADOS JAN-23 INS'!$A:$D,4,FALSE),VLOOKUP($B82,'BANCO DE DADOS JAN-23 SERV'!$B:$E,4,FALSE))</f>
        <v>17.420000000000002</v>
      </c>
      <c r="G82" s="573">
        <f t="shared" ref="G82:G88" si="1">TRUNC(F82*E82,2)</f>
        <v>99.29</v>
      </c>
    </row>
    <row r="83" spans="1:8" ht="15.75">
      <c r="A83" s="433" t="s">
        <v>452</v>
      </c>
      <c r="B83" s="562">
        <v>88309</v>
      </c>
      <c r="C83" s="574" t="str">
        <f>IF($A83="INSUMO",VLOOKUP($B83,'BANCO DE DADOS JAN-23 INS'!$A:$D,2,FALSE),VLOOKUP($B83,'BANCO DE DADOS JAN-23 SERV'!$B:$E,2,FALSE))</f>
        <v>PEDREIRO COM ENCARGOS COMPLEMENTARES</v>
      </c>
      <c r="D83" s="571" t="str">
        <f>IF($A83="INSUMO",VLOOKUP($B83,'BANCO DE DADOS JAN-23 INS'!$A:$D,3,FALSE),VLOOKUP($B83,'BANCO DE DADOS JAN-23 SERV'!$B:$E,3,FALSE))</f>
        <v>H</v>
      </c>
      <c r="E83" s="637">
        <v>3.26</v>
      </c>
      <c r="F83" s="572">
        <f>IF($A83="INSUMO",VLOOKUP($B83,'BANCO DE DADOS JAN-23 INS'!$A:$D,4,FALSE),VLOOKUP($B83,'BANCO DE DADOS JAN-23 SERV'!$B:$E,4,FALSE))</f>
        <v>21.83</v>
      </c>
      <c r="G83" s="573">
        <f t="shared" si="1"/>
        <v>71.16</v>
      </c>
    </row>
    <row r="84" spans="1:8" ht="15.75">
      <c r="A84" s="433" t="s">
        <v>452</v>
      </c>
      <c r="B84" s="562">
        <v>88310</v>
      </c>
      <c r="C84" s="574" t="str">
        <f>IF($A84="INSUMO",VLOOKUP($B84,'BANCO DE DADOS JAN-23 INS'!$A:$D,2,FALSE),VLOOKUP($B84,'BANCO DE DADOS JAN-23 SERV'!$B:$E,2,FALSE))</f>
        <v>PINTOR COM ENCARGOS COMPLEMENTARES</v>
      </c>
      <c r="D84" s="571" t="str">
        <f>IF($A84="INSUMO",VLOOKUP($B84,'BANCO DE DADOS JAN-23 INS'!$A:$D,3,FALSE),VLOOKUP($B84,'BANCO DE DADOS JAN-23 SERV'!$B:$E,3,FALSE))</f>
        <v>H</v>
      </c>
      <c r="E84" s="637">
        <v>0.76</v>
      </c>
      <c r="F84" s="572">
        <f>IF($A84="INSUMO",VLOOKUP($B84,'BANCO DE DADOS JAN-23 INS'!$A:$D,4,FALSE),VLOOKUP($B84,'BANCO DE DADOS JAN-23 SERV'!$B:$E,4,FALSE))</f>
        <v>23.07</v>
      </c>
      <c r="G84" s="573">
        <f t="shared" si="1"/>
        <v>17.53</v>
      </c>
    </row>
    <row r="85" spans="1:8" ht="30">
      <c r="A85" s="433" t="s">
        <v>452</v>
      </c>
      <c r="B85" s="562">
        <v>88377</v>
      </c>
      <c r="C85" s="574" t="str">
        <f>IF($A85="INSUMO",VLOOKUP($B85,'BANCO DE DADOS JAN-23 INS'!$A:$D,2,FALSE),VLOOKUP($B85,'BANCO DE DADOS JAN-23 SERV'!$B:$E,2,FALSE))</f>
        <v>OPERADOR DE BETONEIRA ESTACIONÁRIA/MISTURADOR COM ENCARGOS COMPLEMENTARES</v>
      </c>
      <c r="D85" s="571" t="str">
        <f>IF($A85="INSUMO",VLOOKUP($B85,'BANCO DE DADOS JAN-23 INS'!$A:$D,3,FALSE),VLOOKUP($B85,'BANCO DE DADOS JAN-23 SERV'!$B:$E,3,FALSE))</f>
        <v>H</v>
      </c>
      <c r="E85" s="637">
        <v>0.16</v>
      </c>
      <c r="F85" s="572">
        <f>IF($A85="INSUMO",VLOOKUP($B85,'BANCO DE DADOS JAN-23 INS'!$A:$D,4,FALSE),VLOOKUP($B85,'BANCO DE DADOS JAN-23 SERV'!$B:$E,4,FALSE))</f>
        <v>15.75</v>
      </c>
      <c r="G85" s="573">
        <f t="shared" si="1"/>
        <v>2.52</v>
      </c>
    </row>
    <row r="86" spans="1:8" ht="15.75">
      <c r="A86" s="433" t="s">
        <v>452</v>
      </c>
      <c r="B86" s="562">
        <v>88262</v>
      </c>
      <c r="C86" s="574" t="str">
        <f>IF($A86="INSUMO",VLOOKUP($B86,'BANCO DE DADOS JAN-23 INS'!$A:$D,2,FALSE),VLOOKUP($B86,'BANCO DE DADOS JAN-23 SERV'!$B:$E,2,FALSE))</f>
        <v>CARPINTEIRO DE FORMAS COM ENCARGOS COMPLEMENTARES</v>
      </c>
      <c r="D86" s="571" t="str">
        <f>IF($A86="INSUMO",VLOOKUP($B86,'BANCO DE DADOS JAN-23 INS'!$A:$D,3,FALSE),VLOOKUP($B86,'BANCO DE DADOS JAN-23 SERV'!$B:$E,3,FALSE))</f>
        <v>H</v>
      </c>
      <c r="E86" s="637">
        <v>0.69</v>
      </c>
      <c r="F86" s="572">
        <f>IF($A86="INSUMO",VLOOKUP($B86,'BANCO DE DADOS JAN-23 INS'!$A:$D,4,FALSE),VLOOKUP($B86,'BANCO DE DADOS JAN-23 SERV'!$B:$E,4,FALSE))</f>
        <v>21.48</v>
      </c>
      <c r="G86" s="573">
        <f t="shared" si="1"/>
        <v>14.82</v>
      </c>
    </row>
    <row r="87" spans="1:8" ht="15.75">
      <c r="A87" s="433" t="s">
        <v>452</v>
      </c>
      <c r="B87" s="562">
        <v>88245</v>
      </c>
      <c r="C87" s="574" t="str">
        <f>IF($A87="INSUMO",VLOOKUP($B87,'BANCO DE DADOS JAN-23 INS'!$A:$D,2,FALSE),VLOOKUP($B87,'BANCO DE DADOS JAN-23 SERV'!$B:$E,2,FALSE))</f>
        <v>ARMADOR COM ENCARGOS COMPLEMENTARES</v>
      </c>
      <c r="D87" s="571" t="str">
        <f>IF($A87="INSUMO",VLOOKUP($B87,'BANCO DE DADOS JAN-23 INS'!$A:$D,3,FALSE),VLOOKUP($B87,'BANCO DE DADOS JAN-23 SERV'!$B:$E,3,FALSE))</f>
        <v>H</v>
      </c>
      <c r="E87" s="637">
        <v>0.31</v>
      </c>
      <c r="F87" s="572">
        <f>IF($A87="INSUMO",VLOOKUP($B87,'BANCO DE DADOS JAN-23 INS'!$A:$D,4,FALSE),VLOOKUP($B87,'BANCO DE DADOS JAN-23 SERV'!$B:$E,4,FALSE))</f>
        <v>21.66</v>
      </c>
      <c r="G87" s="573">
        <f t="shared" si="1"/>
        <v>6.71</v>
      </c>
    </row>
    <row r="88" spans="1:8" ht="16.5" thickBot="1">
      <c r="A88" s="433" t="s">
        <v>452</v>
      </c>
      <c r="B88" s="576">
        <v>88242</v>
      </c>
      <c r="C88" s="577" t="str">
        <f>IF($A88="INSUMO",VLOOKUP($B88,'BANCO DE DADOS JAN-23 INS'!$A:$D,2,FALSE),VLOOKUP($B88,'BANCO DE DADOS JAN-23 SERV'!$B:$E,2,FALSE))</f>
        <v>AJUDANTE DE PEDREIRO COM ENCARGOS COMPLEMENTARES</v>
      </c>
      <c r="D88" s="578" t="str">
        <f>IF($A88="INSUMO",VLOOKUP($B88,'BANCO DE DADOS JAN-23 INS'!$A:$D,3,FALSE),VLOOKUP($B88,'BANCO DE DADOS JAN-23 SERV'!$B:$E,3,FALSE))</f>
        <v>H</v>
      </c>
      <c r="E88" s="1076">
        <v>0.49</v>
      </c>
      <c r="F88" s="580">
        <f>IF($A88="INSUMO",VLOOKUP($B88,'BANCO DE DADOS JAN-23 INS'!$A:$D,4,FALSE),VLOOKUP($B88,'BANCO DE DADOS JAN-23 SERV'!$B:$E,4,FALSE))</f>
        <v>17.46</v>
      </c>
      <c r="G88" s="581">
        <f t="shared" si="1"/>
        <v>8.5500000000000007</v>
      </c>
    </row>
    <row r="89" spans="1:8" ht="16.5" customHeight="1" thickBot="1">
      <c r="A89" s="294"/>
      <c r="B89" s="1818" t="s">
        <v>6962</v>
      </c>
      <c r="C89" s="1818"/>
      <c r="D89" s="1818"/>
      <c r="E89" s="1818"/>
      <c r="F89" s="298" t="s">
        <v>190</v>
      </c>
      <c r="G89" s="299">
        <f>SUM(G61:G88)</f>
        <v>593.91</v>
      </c>
    </row>
    <row r="90" spans="1:8" ht="13.5" thickBot="1"/>
    <row r="91" spans="1:8" ht="15.75">
      <c r="A91" s="294"/>
      <c r="B91" s="356" t="str">
        <f>IF(COUNT($H$13:H91)&lt;10,CONCATENATE("AMM ELE 00",COUNT($H$13:H91)),CONCATENATE("AMM ELE 0",COUNT($H$13:H91)))</f>
        <v>AMM ELE 006</v>
      </c>
      <c r="C91" s="1673" t="s">
        <v>2941</v>
      </c>
      <c r="D91" s="1673"/>
      <c r="E91" s="1673"/>
      <c r="F91" s="1673"/>
      <c r="G91" s="357" t="s">
        <v>22</v>
      </c>
      <c r="H91" s="355">
        <f>G98</f>
        <v>42.64</v>
      </c>
    </row>
    <row r="92" spans="1:8" ht="31.5">
      <c r="A92" s="294"/>
      <c r="B92" s="538" t="s">
        <v>206</v>
      </c>
      <c r="C92" s="1125" t="s">
        <v>184</v>
      </c>
      <c r="D92" s="1125" t="s">
        <v>23</v>
      </c>
      <c r="E92" s="1125" t="s">
        <v>185</v>
      </c>
      <c r="F92" s="1126" t="s">
        <v>186</v>
      </c>
      <c r="G92" s="1127" t="s">
        <v>187</v>
      </c>
    </row>
    <row r="93" spans="1:8" ht="15.75">
      <c r="A93" s="294"/>
      <c r="B93" s="1793" t="s">
        <v>188</v>
      </c>
      <c r="C93" s="1794"/>
      <c r="D93" s="1794"/>
      <c r="E93" s="1794"/>
      <c r="F93" s="1794"/>
      <c r="G93" s="1795"/>
    </row>
    <row r="94" spans="1:8" ht="15.75">
      <c r="A94" s="433" t="s">
        <v>451</v>
      </c>
      <c r="B94" s="564">
        <v>863</v>
      </c>
      <c r="C94" s="574" t="str">
        <f>IF($A94="INSUMO",VLOOKUP($B94,'BANCO DE DADOS JAN-23 INS'!$A:$D,2,FALSE),VLOOKUP($B94,'BANCO DE DADOS JAN-23 SERV'!$B:$E,2,FALSE))</f>
        <v>CABO DE COBRE NU 35 MM2 MEIO-DURO</v>
      </c>
      <c r="D94" s="571" t="str">
        <f>IF($A94="INSUMO",VLOOKUP($B94,'BANCO DE DADOS JAN-23 INS'!$A:$D,3,FALSE),VLOOKUP($B94,'BANCO DE DADOS JAN-23 SERV'!$B:$E,3,FALSE))</f>
        <v xml:space="preserve">M     </v>
      </c>
      <c r="E94" s="565">
        <v>1.02</v>
      </c>
      <c r="F94" s="572">
        <f>IF($A94="INSUMO",VLOOKUP($B94,'BANCO DE DADOS JAN-23 INS'!$A:$D,4,FALSE),VLOOKUP($B94,'BANCO DE DADOS JAN-23 SERV'!$B:$E,4,FALSE))</f>
        <v>35.71</v>
      </c>
      <c r="G94" s="563">
        <f>TRUNC(F94*E94,2)</f>
        <v>36.42</v>
      </c>
    </row>
    <row r="95" spans="1:8" ht="15.75">
      <c r="A95" s="294"/>
      <c r="B95" s="1793" t="s">
        <v>189</v>
      </c>
      <c r="C95" s="1794"/>
      <c r="D95" s="1794"/>
      <c r="E95" s="1794"/>
      <c r="F95" s="1794"/>
      <c r="G95" s="1795"/>
    </row>
    <row r="96" spans="1:8" ht="15.75">
      <c r="A96" s="433" t="s">
        <v>452</v>
      </c>
      <c r="B96" s="564">
        <v>88247</v>
      </c>
      <c r="C96" s="574" t="str">
        <f>IF($A96="INSUMO",VLOOKUP($B96,'BANCO DE DADOS JAN-23 INS'!$A:$D,2,FALSE),VLOOKUP($B96,'BANCO DE DADOS JAN-23 SERV'!$B:$E,2,FALSE))</f>
        <v>AUXILIAR DE ELETRICISTA COM ENCARGOS COMPLEMENTARES</v>
      </c>
      <c r="D96" s="571" t="str">
        <f>IF($A96="INSUMO",VLOOKUP($B96,'BANCO DE DADOS JAN-23 INS'!$A:$D,3,FALSE),VLOOKUP($B96,'BANCO DE DADOS JAN-23 SERV'!$B:$E,3,FALSE))</f>
        <v>H</v>
      </c>
      <c r="E96" s="565">
        <v>0.15</v>
      </c>
      <c r="F96" s="572">
        <f>IF($A96="INSUMO",VLOOKUP($B96,'BANCO DE DADOS JAN-23 INS'!$A:$D,4,FALSE),VLOOKUP($B96,'BANCO DE DADOS JAN-23 SERV'!$B:$E,4,FALSE))</f>
        <v>18.809999999999999</v>
      </c>
      <c r="G96" s="563">
        <f>TRUNC(F96*E96,2)</f>
        <v>2.82</v>
      </c>
    </row>
    <row r="97" spans="1:8" ht="16.5" thickBot="1">
      <c r="A97" s="433" t="s">
        <v>452</v>
      </c>
      <c r="B97" s="566">
        <v>88264</v>
      </c>
      <c r="C97" s="577" t="str">
        <f>IF($A97="INSUMO",VLOOKUP($B97,'BANCO DE DADOS JAN-23 INS'!$A:$D,2,FALSE),VLOOKUP($B97,'BANCO DE DADOS JAN-23 SERV'!$B:$E,2,FALSE))</f>
        <v>ELETRICISTA COM ENCARGOS COMPLEMENTARES</v>
      </c>
      <c r="D97" s="578" t="str">
        <f>IF($A97="INSUMO",VLOOKUP($B97,'BANCO DE DADOS JAN-23 INS'!$A:$D,3,FALSE),VLOOKUP($B97,'BANCO DE DADOS JAN-23 SERV'!$B:$E,3,FALSE))</f>
        <v>H</v>
      </c>
      <c r="E97" s="558">
        <v>0.15</v>
      </c>
      <c r="F97" s="580">
        <f>IF($A97="INSUMO",VLOOKUP($B97,'BANCO DE DADOS JAN-23 INS'!$A:$D,4,FALSE),VLOOKUP($B97,'BANCO DE DADOS JAN-23 SERV'!$B:$E,4,FALSE))</f>
        <v>22.67</v>
      </c>
      <c r="G97" s="567">
        <f>TRUNC(F97*E97,2)</f>
        <v>3.4</v>
      </c>
    </row>
    <row r="98" spans="1:8" ht="16.5" customHeight="1" thickBot="1">
      <c r="A98" s="294"/>
      <c r="B98" s="1808" t="s">
        <v>7164</v>
      </c>
      <c r="C98" s="1808"/>
      <c r="D98" s="1808"/>
      <c r="E98" s="1819"/>
      <c r="F98" s="298" t="s">
        <v>190</v>
      </c>
      <c r="G98" s="299">
        <f>SUM(G94:G97)</f>
        <v>42.64</v>
      </c>
    </row>
    <row r="99" spans="1:8" ht="13.5" thickBot="1"/>
    <row r="100" spans="1:8" ht="15.75">
      <c r="A100" s="294"/>
      <c r="B100" s="356" t="str">
        <f>IF(COUNT($H$13:H100)&lt;10,CONCATENATE("AMM ELE 00",COUNT($H$13:H100)),CONCATENATE("AMM ELE 0",COUNT($H$13:H100)))</f>
        <v>AMM ELE 007</v>
      </c>
      <c r="C100" s="1673" t="s">
        <v>1442</v>
      </c>
      <c r="D100" s="1673"/>
      <c r="E100" s="1673"/>
      <c r="F100" s="1673"/>
      <c r="G100" s="357" t="s">
        <v>23</v>
      </c>
      <c r="H100" s="355">
        <f>G107</f>
        <v>11.53</v>
      </c>
    </row>
    <row r="101" spans="1:8" ht="31.5">
      <c r="A101" s="294"/>
      <c r="B101" s="538" t="s">
        <v>206</v>
      </c>
      <c r="C101" s="1125" t="s">
        <v>184</v>
      </c>
      <c r="D101" s="1125" t="s">
        <v>23</v>
      </c>
      <c r="E101" s="1125" t="s">
        <v>185</v>
      </c>
      <c r="F101" s="1126" t="s">
        <v>186</v>
      </c>
      <c r="G101" s="1127" t="s">
        <v>187</v>
      </c>
    </row>
    <row r="102" spans="1:8" ht="15.75">
      <c r="A102" s="294"/>
      <c r="B102" s="1793" t="s">
        <v>188</v>
      </c>
      <c r="C102" s="1794"/>
      <c r="D102" s="1794"/>
      <c r="E102" s="1794"/>
      <c r="F102" s="1794"/>
      <c r="G102" s="1795"/>
    </row>
    <row r="103" spans="1:8" s="228" customFormat="1" ht="30">
      <c r="A103" s="433" t="s">
        <v>451</v>
      </c>
      <c r="B103" s="562">
        <v>1535</v>
      </c>
      <c r="C103" s="574" t="str">
        <f>IF($A103="INSUMO",VLOOKUP($B103,'BANCO DE DADOS JAN-23 INS'!$A:$D,2,FALSE),VLOOKUP($B103,'BANCO DE DADOS JAN-23 SERV'!$B:$E,2,FALSE))</f>
        <v>TERMINAL METALICO A PRESSAO PARA 1 CABO DE 6 A 10 MM2, COM 1 FURO DE FIXACAO</v>
      </c>
      <c r="D103" s="571" t="str">
        <f>IF($A103="INSUMO",VLOOKUP($B103,'BANCO DE DADOS JAN-23 INS'!$A:$D,3,FALSE),VLOOKUP($B103,'BANCO DE DADOS JAN-23 SERV'!$B:$E,3,FALSE))</f>
        <v xml:space="preserve">UN    </v>
      </c>
      <c r="E103" s="575">
        <v>1</v>
      </c>
      <c r="F103" s="572">
        <f>IF($A103="INSUMO",VLOOKUP($B103,'BANCO DE DADOS JAN-23 INS'!$A:$D,4,FALSE),VLOOKUP($B103,'BANCO DE DADOS JAN-23 SERV'!$B:$E,4,FALSE))</f>
        <v>5.31</v>
      </c>
      <c r="G103" s="573">
        <f>TRUNC(F103*E103,2)</f>
        <v>5.31</v>
      </c>
    </row>
    <row r="104" spans="1:8" ht="15.75">
      <c r="A104" s="294"/>
      <c r="B104" s="1793" t="s">
        <v>189</v>
      </c>
      <c r="C104" s="1794"/>
      <c r="D104" s="1794"/>
      <c r="E104" s="1794"/>
      <c r="F104" s="1794"/>
      <c r="G104" s="1795"/>
    </row>
    <row r="105" spans="1:8" s="228" customFormat="1" ht="15.75">
      <c r="A105" s="433" t="s">
        <v>452</v>
      </c>
      <c r="B105" s="562">
        <v>88247</v>
      </c>
      <c r="C105" s="574" t="str">
        <f>IF($A105="INSUMO",VLOOKUP($B105,'BANCO DE DADOS JAN-23 INS'!$A:$D,2,FALSE),VLOOKUP($B105,'BANCO DE DADOS JAN-23 SERV'!$B:$E,2,FALSE))</f>
        <v>AUXILIAR DE ELETRICISTA COM ENCARGOS COMPLEMENTARES</v>
      </c>
      <c r="D105" s="571" t="str">
        <f>IF($A105="INSUMO",VLOOKUP($B105,'BANCO DE DADOS JAN-23 INS'!$A:$D,3,FALSE),VLOOKUP($B105,'BANCO DE DADOS JAN-23 SERV'!$B:$E,3,FALSE))</f>
        <v>H</v>
      </c>
      <c r="E105" s="575">
        <v>0.15</v>
      </c>
      <c r="F105" s="572">
        <f>IF($A105="INSUMO",VLOOKUP($B105,'BANCO DE DADOS JAN-23 INS'!$A:$D,4,FALSE),VLOOKUP($B105,'BANCO DE DADOS JAN-23 SERV'!$B:$E,4,FALSE))</f>
        <v>18.809999999999999</v>
      </c>
      <c r="G105" s="573">
        <f>TRUNC(F105*E105,2)</f>
        <v>2.82</v>
      </c>
    </row>
    <row r="106" spans="1:8" s="228" customFormat="1" ht="16.5" thickBot="1">
      <c r="A106" s="433" t="s">
        <v>452</v>
      </c>
      <c r="B106" s="576">
        <v>88264</v>
      </c>
      <c r="C106" s="577" t="str">
        <f>IF($A106="INSUMO",VLOOKUP($B106,'BANCO DE DADOS JAN-23 INS'!$A:$D,2,FALSE),VLOOKUP($B106,'BANCO DE DADOS JAN-23 SERV'!$B:$E,2,FALSE))</f>
        <v>ELETRICISTA COM ENCARGOS COMPLEMENTARES</v>
      </c>
      <c r="D106" s="578" t="str">
        <f>IF($A106="INSUMO",VLOOKUP($B106,'BANCO DE DADOS JAN-23 INS'!$A:$D,3,FALSE),VLOOKUP($B106,'BANCO DE DADOS JAN-23 SERV'!$B:$E,3,FALSE))</f>
        <v>H</v>
      </c>
      <c r="E106" s="579">
        <v>0.15</v>
      </c>
      <c r="F106" s="580">
        <f>IF($A106="INSUMO",VLOOKUP($B106,'BANCO DE DADOS JAN-23 INS'!$A:$D,4,FALSE),VLOOKUP($B106,'BANCO DE DADOS JAN-23 SERV'!$B:$E,4,FALSE))</f>
        <v>22.67</v>
      </c>
      <c r="G106" s="581">
        <f>TRUNC(F106*E106,2)</f>
        <v>3.4</v>
      </c>
    </row>
    <row r="107" spans="1:8" ht="16.5" customHeight="1" thickBot="1">
      <c r="A107" s="294"/>
      <c r="B107" s="1818" t="s">
        <v>6494</v>
      </c>
      <c r="C107" s="1818"/>
      <c r="D107" s="1818"/>
      <c r="E107" s="1818"/>
      <c r="F107" s="298" t="s">
        <v>190</v>
      </c>
      <c r="G107" s="299">
        <f>SUM(G103:G106)</f>
        <v>11.53</v>
      </c>
    </row>
    <row r="108" spans="1:8" ht="13.5" thickBot="1"/>
    <row r="109" spans="1:8" ht="15.75">
      <c r="A109" s="294"/>
      <c r="B109" s="356" t="str">
        <f>IF(COUNT($H$13:H109)&lt;10,CONCATENATE("AMM ELE 00",COUNT($H$13:H109)),CONCATENATE("AMM ELE 0",COUNT($H$13:H109)))</f>
        <v>AMM ELE 008</v>
      </c>
      <c r="C109" s="1673" t="s">
        <v>1443</v>
      </c>
      <c r="D109" s="1673"/>
      <c r="E109" s="1673"/>
      <c r="F109" s="1673"/>
      <c r="G109" s="357" t="s">
        <v>23</v>
      </c>
      <c r="H109" s="355">
        <f>G116</f>
        <v>12.94</v>
      </c>
    </row>
    <row r="110" spans="1:8" ht="31.5">
      <c r="A110" s="294"/>
      <c r="B110" s="538" t="s">
        <v>206</v>
      </c>
      <c r="C110" s="1125" t="s">
        <v>184</v>
      </c>
      <c r="D110" s="1125" t="s">
        <v>23</v>
      </c>
      <c r="E110" s="1125" t="s">
        <v>185</v>
      </c>
      <c r="F110" s="1126" t="s">
        <v>186</v>
      </c>
      <c r="G110" s="1127" t="s">
        <v>187</v>
      </c>
    </row>
    <row r="111" spans="1:8" s="228" customFormat="1" ht="15.75">
      <c r="A111" s="229"/>
      <c r="B111" s="1677" t="s">
        <v>188</v>
      </c>
      <c r="C111" s="1678"/>
      <c r="D111" s="1678"/>
      <c r="E111" s="1678"/>
      <c r="F111" s="1678"/>
      <c r="G111" s="1679"/>
    </row>
    <row r="112" spans="1:8" s="228" customFormat="1" ht="30">
      <c r="A112" s="433" t="s">
        <v>451</v>
      </c>
      <c r="B112" s="562">
        <v>1587</v>
      </c>
      <c r="C112" s="574" t="str">
        <f>IF($A112="INSUMO",VLOOKUP($B112,'BANCO DE DADOS JAN-23 INS'!$A:$D,2,FALSE),VLOOKUP($B112,'BANCO DE DADOS JAN-23 SERV'!$B:$E,2,FALSE))</f>
        <v>TERMINAL METALICO A PRESSAO PARA 1 CABO DE 35 MM2, COM 1 FURO DE FIXACAO</v>
      </c>
      <c r="D112" s="571" t="str">
        <f>IF($A112="INSUMO",VLOOKUP($B112,'BANCO DE DADOS JAN-23 INS'!$A:$D,3,FALSE),VLOOKUP($B112,'BANCO DE DADOS JAN-23 SERV'!$B:$E,3,FALSE))</f>
        <v xml:space="preserve">UN    </v>
      </c>
      <c r="E112" s="575">
        <v>1</v>
      </c>
      <c r="F112" s="572">
        <f>IF($A112="INSUMO",VLOOKUP($B112,'BANCO DE DADOS JAN-23 INS'!$A:$D,4,FALSE),VLOOKUP($B112,'BANCO DE DADOS JAN-23 SERV'!$B:$E,4,FALSE))</f>
        <v>6.72</v>
      </c>
      <c r="G112" s="573">
        <f>TRUNC(F112*E112,2)</f>
        <v>6.72</v>
      </c>
    </row>
    <row r="113" spans="1:8" s="228" customFormat="1" ht="15.75">
      <c r="A113" s="229"/>
      <c r="B113" s="1677" t="s">
        <v>189</v>
      </c>
      <c r="C113" s="1678"/>
      <c r="D113" s="1678"/>
      <c r="E113" s="1678"/>
      <c r="F113" s="1678"/>
      <c r="G113" s="1679"/>
    </row>
    <row r="114" spans="1:8" s="228" customFormat="1" ht="15.75">
      <c r="A114" s="433" t="s">
        <v>452</v>
      </c>
      <c r="B114" s="562">
        <v>88247</v>
      </c>
      <c r="C114" s="574" t="str">
        <f>IF($A114="INSUMO",VLOOKUP($B114,'BANCO DE DADOS JAN-23 INS'!$A:$D,2,FALSE),VLOOKUP($B114,'BANCO DE DADOS JAN-23 SERV'!$B:$E,2,FALSE))</f>
        <v>AUXILIAR DE ELETRICISTA COM ENCARGOS COMPLEMENTARES</v>
      </c>
      <c r="D114" s="571" t="str">
        <f>IF($A114="INSUMO",VLOOKUP($B114,'BANCO DE DADOS JAN-23 INS'!$A:$D,3,FALSE),VLOOKUP($B114,'BANCO DE DADOS JAN-23 SERV'!$B:$E,3,FALSE))</f>
        <v>H</v>
      </c>
      <c r="E114" s="575">
        <v>0.15</v>
      </c>
      <c r="F114" s="572">
        <f>IF($A114="INSUMO",VLOOKUP($B114,'BANCO DE DADOS JAN-23 INS'!$A:$D,4,FALSE),VLOOKUP($B114,'BANCO DE DADOS JAN-23 SERV'!$B:$E,4,FALSE))</f>
        <v>18.809999999999999</v>
      </c>
      <c r="G114" s="573">
        <f>TRUNC(F114*E114,2)</f>
        <v>2.82</v>
      </c>
    </row>
    <row r="115" spans="1:8" s="228" customFormat="1" ht="16.5" thickBot="1">
      <c r="A115" s="433" t="s">
        <v>452</v>
      </c>
      <c r="B115" s="576">
        <v>88264</v>
      </c>
      <c r="C115" s="577" t="str">
        <f>IF($A115="INSUMO",VLOOKUP($B115,'BANCO DE DADOS JAN-23 INS'!$A:$D,2,FALSE),VLOOKUP($B115,'BANCO DE DADOS JAN-23 SERV'!$B:$E,2,FALSE))</f>
        <v>ELETRICISTA COM ENCARGOS COMPLEMENTARES</v>
      </c>
      <c r="D115" s="578" t="str">
        <f>IF($A115="INSUMO",VLOOKUP($B115,'BANCO DE DADOS JAN-23 INS'!$A:$D,3,FALSE),VLOOKUP($B115,'BANCO DE DADOS JAN-23 SERV'!$B:$E,3,FALSE))</f>
        <v>H</v>
      </c>
      <c r="E115" s="579">
        <v>0.15</v>
      </c>
      <c r="F115" s="580">
        <f>IF($A115="INSUMO",VLOOKUP($B115,'BANCO DE DADOS JAN-23 INS'!$A:$D,4,FALSE),VLOOKUP($B115,'BANCO DE DADOS JAN-23 SERV'!$B:$E,4,FALSE))</f>
        <v>22.67</v>
      </c>
      <c r="G115" s="581">
        <f>TRUNC(F115*E115,2)</f>
        <v>3.4</v>
      </c>
    </row>
    <row r="116" spans="1:8" ht="16.5" customHeight="1" thickBot="1">
      <c r="A116" s="294"/>
      <c r="B116" s="1818" t="s">
        <v>7165</v>
      </c>
      <c r="C116" s="1818"/>
      <c r="D116" s="1818"/>
      <c r="E116" s="1818"/>
      <c r="F116" s="298" t="s">
        <v>190</v>
      </c>
      <c r="G116" s="299">
        <f>SUM(G112:G115)</f>
        <v>12.94</v>
      </c>
    </row>
    <row r="117" spans="1:8" ht="13.5" thickBot="1"/>
    <row r="118" spans="1:8" ht="15.75">
      <c r="A118" s="294"/>
      <c r="B118" s="356" t="str">
        <f>IF(COUNT($H$13:H118)&lt;10,CONCATENATE("AMM ELE 00",COUNT($H$13:H118)),CONCATENATE("AMM ELE 0",COUNT($H$13:H118)))</f>
        <v>AMM ELE 009</v>
      </c>
      <c r="C118" s="1673" t="s">
        <v>7166</v>
      </c>
      <c r="D118" s="1673"/>
      <c r="E118" s="1673"/>
      <c r="F118" s="1673"/>
      <c r="G118" s="357" t="s">
        <v>23</v>
      </c>
      <c r="H118" s="355">
        <f>G125</f>
        <v>15.73</v>
      </c>
    </row>
    <row r="119" spans="1:8" ht="31.5">
      <c r="A119" s="294"/>
      <c r="B119" s="538" t="s">
        <v>206</v>
      </c>
      <c r="C119" s="1125" t="s">
        <v>184</v>
      </c>
      <c r="D119" s="1125" t="s">
        <v>23</v>
      </c>
      <c r="E119" s="1125" t="s">
        <v>185</v>
      </c>
      <c r="F119" s="1126" t="s">
        <v>186</v>
      </c>
      <c r="G119" s="1127" t="s">
        <v>187</v>
      </c>
    </row>
    <row r="120" spans="1:8" s="228" customFormat="1" ht="15.75">
      <c r="A120" s="229"/>
      <c r="B120" s="1677" t="s">
        <v>188</v>
      </c>
      <c r="C120" s="1678"/>
      <c r="D120" s="1678"/>
      <c r="E120" s="1678"/>
      <c r="F120" s="1678"/>
      <c r="G120" s="1679"/>
    </row>
    <row r="121" spans="1:8" s="228" customFormat="1" ht="30">
      <c r="A121" s="433" t="s">
        <v>451</v>
      </c>
      <c r="B121" s="562">
        <v>1589</v>
      </c>
      <c r="C121" s="574" t="str">
        <f>IF($A121="INSUMO",VLOOKUP($B121,'BANCO DE DADOS JAN-23 INS'!$A:$D,2,FALSE),VLOOKUP($B121,'BANCO DE DADOS JAN-23 SERV'!$B:$E,2,FALSE))</f>
        <v>TERMINAL METALICO A PRESSAO PARA 1 CABO DE 70 MM2, COM 1 FURO DE FIXACAO</v>
      </c>
      <c r="D121" s="571" t="str">
        <f>IF($A121="INSUMO",VLOOKUP($B121,'BANCO DE DADOS JAN-23 INS'!$A:$D,3,FALSE),VLOOKUP($B121,'BANCO DE DADOS JAN-23 SERV'!$B:$E,3,FALSE))</f>
        <v xml:space="preserve">UN    </v>
      </c>
      <c r="E121" s="575">
        <v>1</v>
      </c>
      <c r="F121" s="572">
        <f>IF($A121="INSUMO",VLOOKUP($B121,'BANCO DE DADOS JAN-23 INS'!$A:$D,4,FALSE),VLOOKUP($B121,'BANCO DE DADOS JAN-23 SERV'!$B:$E,4,FALSE))</f>
        <v>9.51</v>
      </c>
      <c r="G121" s="573">
        <f>TRUNC(F121*E121,2)</f>
        <v>9.51</v>
      </c>
    </row>
    <row r="122" spans="1:8" s="228" customFormat="1" ht="15.75">
      <c r="A122" s="229"/>
      <c r="B122" s="1677" t="s">
        <v>189</v>
      </c>
      <c r="C122" s="1678"/>
      <c r="D122" s="1678"/>
      <c r="E122" s="1678"/>
      <c r="F122" s="1678"/>
      <c r="G122" s="1679"/>
    </row>
    <row r="123" spans="1:8" s="228" customFormat="1" ht="15.75">
      <c r="A123" s="433" t="s">
        <v>452</v>
      </c>
      <c r="B123" s="562">
        <v>88247</v>
      </c>
      <c r="C123" s="574" t="str">
        <f>IF($A123="INSUMO",VLOOKUP($B123,'BANCO DE DADOS JAN-23 INS'!$A:$D,2,FALSE),VLOOKUP($B123,'BANCO DE DADOS JAN-23 SERV'!$B:$E,2,FALSE))</f>
        <v>AUXILIAR DE ELETRICISTA COM ENCARGOS COMPLEMENTARES</v>
      </c>
      <c r="D123" s="571" t="str">
        <f>IF($A123="INSUMO",VLOOKUP($B123,'BANCO DE DADOS JAN-23 INS'!$A:$D,3,FALSE),VLOOKUP($B123,'BANCO DE DADOS JAN-23 SERV'!$B:$E,3,FALSE))</f>
        <v>H</v>
      </c>
      <c r="E123" s="575">
        <v>0.15</v>
      </c>
      <c r="F123" s="572">
        <f>IF($A123="INSUMO",VLOOKUP($B123,'BANCO DE DADOS JAN-23 INS'!$A:$D,4,FALSE),VLOOKUP($B123,'BANCO DE DADOS JAN-23 SERV'!$B:$E,4,FALSE))</f>
        <v>18.809999999999999</v>
      </c>
      <c r="G123" s="573">
        <f>TRUNC(F123*E123,2)</f>
        <v>2.82</v>
      </c>
    </row>
    <row r="124" spans="1:8" s="228" customFormat="1" ht="16.5" thickBot="1">
      <c r="A124" s="433" t="s">
        <v>452</v>
      </c>
      <c r="B124" s="576">
        <v>88264</v>
      </c>
      <c r="C124" s="577" t="str">
        <f>IF($A124="INSUMO",VLOOKUP($B124,'BANCO DE DADOS JAN-23 INS'!$A:$D,2,FALSE),VLOOKUP($B124,'BANCO DE DADOS JAN-23 SERV'!$B:$E,2,FALSE))</f>
        <v>ELETRICISTA COM ENCARGOS COMPLEMENTARES</v>
      </c>
      <c r="D124" s="578" t="str">
        <f>IF($A124="INSUMO",VLOOKUP($B124,'BANCO DE DADOS JAN-23 INS'!$A:$D,3,FALSE),VLOOKUP($B124,'BANCO DE DADOS JAN-23 SERV'!$B:$E,3,FALSE))</f>
        <v>H</v>
      </c>
      <c r="E124" s="579">
        <v>0.15</v>
      </c>
      <c r="F124" s="580">
        <f>IF($A124="INSUMO",VLOOKUP($B124,'BANCO DE DADOS JAN-23 INS'!$A:$D,4,FALSE),VLOOKUP($B124,'BANCO DE DADOS JAN-23 SERV'!$B:$E,4,FALSE))</f>
        <v>22.67</v>
      </c>
      <c r="G124" s="581">
        <f>TRUNC(F124*E124,2)</f>
        <v>3.4</v>
      </c>
    </row>
    <row r="125" spans="1:8" ht="16.5" customHeight="1" thickBot="1">
      <c r="A125" s="294"/>
      <c r="B125" s="1818" t="s">
        <v>7167</v>
      </c>
      <c r="C125" s="1818"/>
      <c r="D125" s="1818"/>
      <c r="E125" s="1818"/>
      <c r="F125" s="298" t="s">
        <v>190</v>
      </c>
      <c r="G125" s="299">
        <f>SUM(G121:G124)</f>
        <v>15.73</v>
      </c>
    </row>
    <row r="126" spans="1:8" ht="13.5" thickBot="1"/>
    <row r="127" spans="1:8" ht="42" customHeight="1">
      <c r="A127" s="294"/>
      <c r="B127" s="356" t="str">
        <f>IF(COUNT($H$13:H127)&lt;10,CONCATENATE("AMM ELE 00",COUNT($H$13:H127)),CONCATENATE("AMM ELE 0",COUNT($H$13:H127)))</f>
        <v>AMM ELE 010</v>
      </c>
      <c r="C127" s="1673" t="str">
        <f>CONCATENATE("FORNECIMENTO E INSTALAÇÃO DE ",C130)</f>
        <v>FORNECIMENTO E INSTALAÇÃO DE DISJUNTOR TERMOMAGNETICO TRIPOLAR 150 A / 600 V, TIPO FXD / ICC - 35 KA</v>
      </c>
      <c r="D127" s="1809"/>
      <c r="E127" s="1809"/>
      <c r="F127" s="1809"/>
      <c r="G127" s="357" t="str">
        <f>D131</f>
        <v xml:space="preserve">UN    </v>
      </c>
      <c r="H127" s="355">
        <f>G135</f>
        <v>505.6</v>
      </c>
    </row>
    <row r="128" spans="1:8" ht="31.5">
      <c r="B128" s="538" t="s">
        <v>7169</v>
      </c>
      <c r="C128" s="1125" t="s">
        <v>184</v>
      </c>
      <c r="D128" s="1125" t="s">
        <v>23</v>
      </c>
      <c r="E128" s="1125" t="s">
        <v>185</v>
      </c>
      <c r="F128" s="1126" t="s">
        <v>186</v>
      </c>
      <c r="G128" s="1127" t="s">
        <v>187</v>
      </c>
    </row>
    <row r="129" spans="1:8" s="228" customFormat="1" ht="15.75">
      <c r="B129" s="1677" t="s">
        <v>188</v>
      </c>
      <c r="C129" s="1678"/>
      <c r="D129" s="1678"/>
      <c r="E129" s="1678"/>
      <c r="F129" s="1678"/>
      <c r="G129" s="1679"/>
    </row>
    <row r="130" spans="1:8" s="228" customFormat="1" ht="45" customHeight="1">
      <c r="A130" s="433" t="s">
        <v>451</v>
      </c>
      <c r="B130" s="562">
        <v>2374</v>
      </c>
      <c r="C130" s="574" t="str">
        <f>IF($A130="INSUMO",VLOOKUP($B130,'BANCO DE DADOS JAN-23 INS'!$A:$D,2,FALSE),VLOOKUP($B130,'BANCO DE DADOS JAN-23 SERV'!$B:$E,2,FALSE))</f>
        <v>DISJUNTOR TERMOMAGNETICO TRIPOLAR 150 A / 600 V, TIPO FXD / ICC - 35 KA</v>
      </c>
      <c r="D130" s="571" t="str">
        <f>IF($A130="INSUMO",VLOOKUP($B130,'BANCO DE DADOS JAN-23 INS'!$A:$D,3,FALSE),VLOOKUP($B130,'BANCO DE DADOS JAN-23 SERV'!$B:$E,3,FALSE))</f>
        <v xml:space="preserve">UN    </v>
      </c>
      <c r="E130" s="637">
        <v>1</v>
      </c>
      <c r="F130" s="572">
        <f>IF($A130="INSUMO",VLOOKUP($B130,'BANCO DE DADOS JAN-23 INS'!$A:$D,4,FALSE),VLOOKUP($B130,'BANCO DE DADOS JAN-23 SERV'!$B:$E,4,FALSE))</f>
        <v>444.6</v>
      </c>
      <c r="G130" s="573">
        <f>TRUNC(F130*E130,2)</f>
        <v>444.6</v>
      </c>
    </row>
    <row r="131" spans="1:8" s="228" customFormat="1" ht="45" customHeight="1">
      <c r="A131" s="433" t="s">
        <v>451</v>
      </c>
      <c r="B131" s="562">
        <v>1589</v>
      </c>
      <c r="C131" s="574" t="str">
        <f>IF($A131="INSUMO",VLOOKUP($B131,'BANCO DE DADOS JAN-23 INS'!$A:$D,2,FALSE),VLOOKUP($B131,'BANCO DE DADOS JAN-23 SERV'!$B:$E,2,FALSE))</f>
        <v>TERMINAL METALICO A PRESSAO PARA 1 CABO DE 70 MM2, COM 1 FURO DE FIXACAO</v>
      </c>
      <c r="D131" s="571" t="str">
        <f>IF($A131="INSUMO",VLOOKUP($B131,'BANCO DE DADOS JAN-23 INS'!$A:$D,3,FALSE),VLOOKUP($B131,'BANCO DE DADOS JAN-23 SERV'!$B:$E,3,FALSE))</f>
        <v xml:space="preserve">UN    </v>
      </c>
      <c r="E131" s="637">
        <v>3</v>
      </c>
      <c r="F131" s="572">
        <f>IF($A131="INSUMO",VLOOKUP($B131,'BANCO DE DADOS JAN-23 INS'!$A:$D,4,FALSE),VLOOKUP($B131,'BANCO DE DADOS JAN-23 SERV'!$B:$E,4,FALSE))</f>
        <v>9.51</v>
      </c>
      <c r="G131" s="573">
        <f>TRUNC(F131*E131,2)</f>
        <v>28.53</v>
      </c>
    </row>
    <row r="132" spans="1:8" s="228" customFormat="1" ht="15.75">
      <c r="B132" s="1677" t="s">
        <v>189</v>
      </c>
      <c r="C132" s="1678"/>
      <c r="D132" s="1678"/>
      <c r="E132" s="1678"/>
      <c r="F132" s="1678"/>
      <c r="G132" s="1679"/>
    </row>
    <row r="133" spans="1:8" s="228" customFormat="1" ht="15.75">
      <c r="A133" s="433" t="s">
        <v>452</v>
      </c>
      <c r="B133" s="562">
        <v>88247</v>
      </c>
      <c r="C133" s="574" t="str">
        <f>IF($A133="INSUMO",VLOOKUP($B133,'BANCO DE DADOS JAN-23 INS'!$A:$D,2,FALSE),VLOOKUP($B133,'BANCO DE DADOS JAN-23 SERV'!$B:$E,2,FALSE))</f>
        <v>AUXILIAR DE ELETRICISTA COM ENCARGOS COMPLEMENTARES</v>
      </c>
      <c r="D133" s="571" t="str">
        <f>IF($A133="INSUMO",VLOOKUP($B133,'BANCO DE DADOS JAN-23 INS'!$A:$D,3,FALSE),VLOOKUP($B133,'BANCO DE DADOS JAN-23 SERV'!$B:$E,3,FALSE))</f>
        <v>H</v>
      </c>
      <c r="E133" s="1200">
        <v>0.78300000000000003</v>
      </c>
      <c r="F133" s="572">
        <f>IF($A133="INSUMO",VLOOKUP($B133,'BANCO DE DADOS JAN-23 INS'!$A:$D,4,FALSE),VLOOKUP($B133,'BANCO DE DADOS JAN-23 SERV'!$B:$E,4,FALSE))</f>
        <v>18.809999999999999</v>
      </c>
      <c r="G133" s="573">
        <f>TRUNC(F133*E133,2)</f>
        <v>14.72</v>
      </c>
      <c r="H133" s="229"/>
    </row>
    <row r="134" spans="1:8" s="228" customFormat="1" ht="16.5" thickBot="1">
      <c r="A134" s="433" t="s">
        <v>452</v>
      </c>
      <c r="B134" s="576">
        <v>88264</v>
      </c>
      <c r="C134" s="577" t="str">
        <f>IF($A134="INSUMO",VLOOKUP($B134,'BANCO DE DADOS JAN-23 INS'!$A:$D,2,FALSE),VLOOKUP($B134,'BANCO DE DADOS JAN-23 SERV'!$B:$E,2,FALSE))</f>
        <v>ELETRICISTA COM ENCARGOS COMPLEMENTARES</v>
      </c>
      <c r="D134" s="578" t="str">
        <f>IF($A134="INSUMO",VLOOKUP($B134,'BANCO DE DADOS JAN-23 INS'!$A:$D,3,FALSE),VLOOKUP($B134,'BANCO DE DADOS JAN-23 SERV'!$B:$E,3,FALSE))</f>
        <v>H</v>
      </c>
      <c r="E134" s="1201">
        <v>0.78300000000000003</v>
      </c>
      <c r="F134" s="580">
        <f>IF($A134="INSUMO",VLOOKUP($B134,'BANCO DE DADOS JAN-23 INS'!$A:$D,4,FALSE),VLOOKUP($B134,'BANCO DE DADOS JAN-23 SERV'!$B:$E,4,FALSE))</f>
        <v>22.67</v>
      </c>
      <c r="G134" s="581">
        <f>TRUNC(F134*E134,2)</f>
        <v>17.75</v>
      </c>
      <c r="H134" s="229"/>
    </row>
    <row r="135" spans="1:8" ht="34.5" customHeight="1" thickBot="1">
      <c r="B135" s="1820" t="s">
        <v>7168</v>
      </c>
      <c r="C135" s="1820"/>
      <c r="D135" s="1820"/>
      <c r="E135" s="1821"/>
      <c r="F135" s="298" t="s">
        <v>190</v>
      </c>
      <c r="G135" s="299">
        <f>SUM(G129:G134)</f>
        <v>505.6</v>
      </c>
    </row>
    <row r="136" spans="1:8" ht="13.5" thickBot="1"/>
    <row r="137" spans="1:8" ht="42" customHeight="1">
      <c r="A137" s="294"/>
      <c r="B137" s="356" t="str">
        <f>IF(COUNT($H$13:H137)&lt;10,CONCATENATE("AMM ELE 00",COUNT($H$13:H137)),CONCATENATE("AMM ELE 0",COUNT($H$13:H137)))</f>
        <v>AMM ELE 011</v>
      </c>
      <c r="C137" s="1673" t="s">
        <v>7171</v>
      </c>
      <c r="D137" s="1673"/>
      <c r="E137" s="1673"/>
      <c r="F137" s="1673"/>
      <c r="G137" s="357" t="str">
        <f>D141</f>
        <v xml:space="preserve">UN    </v>
      </c>
      <c r="H137" s="355">
        <f>G148</f>
        <v>3514.3100000000004</v>
      </c>
    </row>
    <row r="138" spans="1:8" ht="47.25">
      <c r="B138" s="538" t="s">
        <v>2429</v>
      </c>
      <c r="C138" s="1125" t="s">
        <v>184</v>
      </c>
      <c r="D138" s="1125" t="s">
        <v>23</v>
      </c>
      <c r="E138" s="1125" t="s">
        <v>185</v>
      </c>
      <c r="F138" s="1126" t="s">
        <v>186</v>
      </c>
      <c r="G138" s="1127" t="s">
        <v>187</v>
      </c>
    </row>
    <row r="139" spans="1:8" s="228" customFormat="1" ht="15.75">
      <c r="B139" s="1677" t="s">
        <v>188</v>
      </c>
      <c r="C139" s="1678"/>
      <c r="D139" s="1678"/>
      <c r="E139" s="1678"/>
      <c r="F139" s="1678"/>
      <c r="G139" s="1679"/>
    </row>
    <row r="140" spans="1:8" s="228" customFormat="1" ht="15.75">
      <c r="A140" s="433" t="s">
        <v>451</v>
      </c>
      <c r="B140" s="562">
        <v>863</v>
      </c>
      <c r="C140" s="574" t="str">
        <f>IF($A140="INSUMO",VLOOKUP($B140,'BANCO DE DADOS JAN-23 INS'!$A:$D,2,FALSE),VLOOKUP($B140,'BANCO DE DADOS JAN-23 SERV'!$B:$E,2,FALSE))</f>
        <v>CABO DE COBRE NU 35 MM2 MEIO-DURO</v>
      </c>
      <c r="D140" s="571" t="str">
        <f>IF($A140="INSUMO",VLOOKUP($B140,'BANCO DE DADOS JAN-23 INS'!$A:$D,3,FALSE),VLOOKUP($B140,'BANCO DE DADOS JAN-23 SERV'!$B:$E,3,FALSE))</f>
        <v xml:space="preserve">M     </v>
      </c>
      <c r="E140" s="637">
        <v>9</v>
      </c>
      <c r="F140" s="572">
        <f>IF($A140="INSUMO",VLOOKUP($B140,'BANCO DE DADOS JAN-23 INS'!$A:$D,4,FALSE),VLOOKUP($B140,'BANCO DE DADOS JAN-23 SERV'!$B:$E,4,FALSE))</f>
        <v>35.71</v>
      </c>
      <c r="G140" s="573">
        <f>TRUNC(F140*E140,2)</f>
        <v>321.39</v>
      </c>
    </row>
    <row r="141" spans="1:8" s="228" customFormat="1" ht="45">
      <c r="A141" s="433" t="s">
        <v>451</v>
      </c>
      <c r="B141" s="562">
        <v>14162</v>
      </c>
      <c r="C141" s="574" t="str">
        <f>IF($A141="INSUMO",VLOOKUP($B141,'BANCO DE DADOS JAN-23 INS'!$A:$D,2,FALSE),VLOOKUP($B141,'BANCO DE DADOS JAN-23 SERV'!$B:$E,2,FALSE))</f>
        <v>POSTE CONICO CONTINUO EM ACO GALVANIZADO, CURVO, BRACO SIMPLES, FLANGEADO,  H = 9 M, DIAMETRO INFERIOR = *135* MM</v>
      </c>
      <c r="D141" s="571" t="str">
        <f>IF($A141="INSUMO",VLOOKUP($B141,'BANCO DE DADOS JAN-23 INS'!$A:$D,3,FALSE),VLOOKUP($B141,'BANCO DE DADOS JAN-23 SERV'!$B:$E,3,FALSE))</f>
        <v xml:space="preserve">UN    </v>
      </c>
      <c r="E141" s="637">
        <v>1</v>
      </c>
      <c r="F141" s="572">
        <f>IF($A141="INSUMO",VLOOKUP($B141,'BANCO DE DADOS JAN-23 INS'!$A:$D,4,FALSE),VLOOKUP($B141,'BANCO DE DADOS JAN-23 SERV'!$B:$E,4,FALSE))</f>
        <v>1973.49</v>
      </c>
      <c r="G141" s="573">
        <f>TRUNC(F141*E141,2)</f>
        <v>1973.49</v>
      </c>
    </row>
    <row r="142" spans="1:8" s="228" customFormat="1" ht="30">
      <c r="A142" s="433" t="s">
        <v>451</v>
      </c>
      <c r="B142" s="562">
        <v>39746</v>
      </c>
      <c r="C142" s="574" t="str">
        <f>IF($A142="INSUMO",VLOOKUP($B142,'BANCO DE DADOS JAN-23 INS'!$A:$D,2,FALSE),VLOOKUP($B142,'BANCO DE DADOS JAN-23 SERV'!$B:$E,2,FALSE))</f>
        <v>CHUMBADOR DE ACO, 1" X 600 MM, PARA POSTES DE ACO COM BASE, INCLUSO PORCA E ARRUELA</v>
      </c>
      <c r="D142" s="571" t="str">
        <f>IF($A142="INSUMO",VLOOKUP($B142,'BANCO DE DADOS JAN-23 INS'!$A:$D,3,FALSE),VLOOKUP($B142,'BANCO DE DADOS JAN-23 SERV'!$B:$E,3,FALSE))</f>
        <v xml:space="preserve">UN    </v>
      </c>
      <c r="E142" s="637">
        <v>4</v>
      </c>
      <c r="F142" s="572">
        <f>IF($A142="INSUMO",VLOOKUP($B142,'BANCO DE DADOS JAN-23 INS'!$A:$D,4,FALSE),VLOOKUP($B142,'BANCO DE DADOS JAN-23 SERV'!$B:$E,4,FALSE))</f>
        <v>277.95</v>
      </c>
      <c r="G142" s="573">
        <f>TRUNC(F142*E142,2)</f>
        <v>1111.8</v>
      </c>
    </row>
    <row r="143" spans="1:8" s="228" customFormat="1" ht="15.75">
      <c r="B143" s="1677" t="s">
        <v>7172</v>
      </c>
      <c r="C143" s="1678"/>
      <c r="D143" s="1678"/>
      <c r="E143" s="1678"/>
      <c r="F143" s="1678"/>
      <c r="G143" s="1679"/>
    </row>
    <row r="144" spans="1:8" s="228" customFormat="1" ht="60">
      <c r="A144" s="433" t="s">
        <v>452</v>
      </c>
      <c r="B144" s="562">
        <v>5928</v>
      </c>
      <c r="C144" s="574" t="str">
        <f>IF($A144="INSUMO",VLOOKUP($B144,'BANCO DE DADOS JAN-23 INS'!$A:$D,2,FALSE),VLOOKUP($B144,'BANCO DE DADOS JAN-23 SERV'!$B:$E,2,FALSE))</f>
        <v>GUINDAUTO HIDRÁULICO, CAPACIDADE MÁXIMA DE CARGA 6200 KG, MOMENTO MÁXIMO DE CARGA 11,7 TM, ALCANCE MÁXIMO HORIZONTAL 9,70 M, INCLUSIVE CAMINHÃO TOCO PBT 16.000 KG, POTÊNCIA DE 189 CV - CHP DIURNO. AF_06/2014</v>
      </c>
      <c r="D144" s="571" t="str">
        <f>IF($A144="INSUMO",VLOOKUP($B144,'BANCO DE DADOS JAN-23 INS'!$A:$D,3,FALSE),VLOOKUP($B144,'BANCO DE DADOS JAN-23 SERV'!$B:$E,3,FALSE))</f>
        <v>CHP</v>
      </c>
      <c r="E144" s="637">
        <v>0.18</v>
      </c>
      <c r="F144" s="572">
        <f>IF($A144="INSUMO",VLOOKUP($B144,'BANCO DE DADOS JAN-23 INS'!$A:$D,4,FALSE),VLOOKUP($B144,'BANCO DE DADOS JAN-23 SERV'!$B:$E,4,FALSE))</f>
        <v>268.56</v>
      </c>
      <c r="G144" s="573">
        <f>TRUNC(F144*E144,2)</f>
        <v>48.34</v>
      </c>
    </row>
    <row r="145" spans="1:8" s="228" customFormat="1" ht="15.75">
      <c r="B145" s="1677" t="s">
        <v>189</v>
      </c>
      <c r="C145" s="1678"/>
      <c r="D145" s="1678"/>
      <c r="E145" s="1678"/>
      <c r="F145" s="1678"/>
      <c r="G145" s="1679"/>
    </row>
    <row r="146" spans="1:8" s="228" customFormat="1" ht="15.75">
      <c r="A146" s="433" t="s">
        <v>452</v>
      </c>
      <c r="B146" s="562">
        <v>88247</v>
      </c>
      <c r="C146" s="574" t="str">
        <f>IF($A146="INSUMO",VLOOKUP($B146,'BANCO DE DADOS JAN-23 INS'!$A:$D,2,FALSE),VLOOKUP($B146,'BANCO DE DADOS JAN-23 SERV'!$B:$E,2,FALSE))</f>
        <v>AUXILIAR DE ELETRICISTA COM ENCARGOS COMPLEMENTARES</v>
      </c>
      <c r="D146" s="571" t="str">
        <f>IF($A146="INSUMO",VLOOKUP($B146,'BANCO DE DADOS JAN-23 INS'!$A:$D,3,FALSE),VLOOKUP($B146,'BANCO DE DADOS JAN-23 SERV'!$B:$E,3,FALSE))</f>
        <v>H</v>
      </c>
      <c r="E146" s="637">
        <v>0.64100000000000001</v>
      </c>
      <c r="F146" s="572">
        <f>IF($A146="INSUMO",VLOOKUP($B146,'BANCO DE DADOS JAN-23 INS'!$A:$D,4,FALSE),VLOOKUP($B146,'BANCO DE DADOS JAN-23 SERV'!$B:$E,4,FALSE))</f>
        <v>18.809999999999999</v>
      </c>
      <c r="G146" s="573">
        <f>TRUNC(F146*E146,2)</f>
        <v>12.05</v>
      </c>
      <c r="H146" s="229"/>
    </row>
    <row r="147" spans="1:8" s="228" customFormat="1" ht="16.5" thickBot="1">
      <c r="A147" s="433" t="s">
        <v>452</v>
      </c>
      <c r="B147" s="576">
        <v>88264</v>
      </c>
      <c r="C147" s="577" t="str">
        <f>IF($A147="INSUMO",VLOOKUP($B147,'BANCO DE DADOS JAN-23 INS'!$A:$D,2,FALSE),VLOOKUP($B147,'BANCO DE DADOS JAN-23 SERV'!$B:$E,2,FALSE))</f>
        <v>ELETRICISTA COM ENCARGOS COMPLEMENTARES</v>
      </c>
      <c r="D147" s="578" t="str">
        <f>IF($A147="INSUMO",VLOOKUP($B147,'BANCO DE DADOS JAN-23 INS'!$A:$D,3,FALSE),VLOOKUP($B147,'BANCO DE DADOS JAN-23 SERV'!$B:$E,3,FALSE))</f>
        <v>H</v>
      </c>
      <c r="E147" s="1076">
        <v>2.0840000000000001</v>
      </c>
      <c r="F147" s="580">
        <f>IF($A147="INSUMO",VLOOKUP($B147,'BANCO DE DADOS JAN-23 INS'!$A:$D,4,FALSE),VLOOKUP($B147,'BANCO DE DADOS JAN-23 SERV'!$B:$E,4,FALSE))</f>
        <v>22.67</v>
      </c>
      <c r="G147" s="581">
        <f>TRUNC(F147*E147,2)</f>
        <v>47.24</v>
      </c>
      <c r="H147" s="229"/>
    </row>
    <row r="148" spans="1:8" ht="16.5" customHeight="1" thickBot="1">
      <c r="B148" s="1814" t="s">
        <v>7173</v>
      </c>
      <c r="C148" s="1814"/>
      <c r="D148" s="1814"/>
      <c r="E148" s="1814"/>
      <c r="F148" s="298" t="s">
        <v>190</v>
      </c>
      <c r="G148" s="299">
        <f>SUM(G139:G147)</f>
        <v>3514.3100000000004</v>
      </c>
    </row>
    <row r="149" spans="1:8" ht="12.75" customHeight="1">
      <c r="B149" s="1814"/>
      <c r="C149" s="1814"/>
      <c r="D149" s="1814"/>
      <c r="E149" s="1814"/>
    </row>
    <row r="150" spans="1:8" ht="16.5" thickBot="1">
      <c r="B150" s="1077"/>
      <c r="C150" s="1077"/>
      <c r="D150" s="1077"/>
      <c r="E150" s="1077"/>
      <c r="F150" s="226"/>
      <c r="G150" s="1081"/>
    </row>
    <row r="151" spans="1:8" s="294" customFormat="1" ht="15.75">
      <c r="B151" s="356" t="str">
        <f>IF(COUNT($H$13:H151)&lt;10,CONCATENATE("AMM ELE 00",COUNT($H$13:H151)),CONCATENATE("AMM ELE 0",COUNT($H$13:H151)))</f>
        <v>AMM ELE 012</v>
      </c>
      <c r="C151" s="1673" t="str">
        <f>CONCATENATE("FORNECIMENTO E INSTALAÇAO DE ",C154)</f>
        <v>FORNECIMENTO E INSTALAÇAO DE PADRÃO DE ENTRADA DE ENERGIA CATEGORIA "M1" (ENERGISA)</v>
      </c>
      <c r="D151" s="1809"/>
      <c r="E151" s="1809"/>
      <c r="F151" s="1809"/>
      <c r="G151" s="217" t="str">
        <f>G160</f>
        <v>UN</v>
      </c>
      <c r="H151" s="351">
        <f>G158</f>
        <v>1515.92</v>
      </c>
    </row>
    <row r="152" spans="1:8" s="294" customFormat="1" ht="31.5">
      <c r="B152" s="538" t="s">
        <v>206</v>
      </c>
      <c r="C152" s="543" t="s">
        <v>184</v>
      </c>
      <c r="D152" s="1125" t="s">
        <v>23</v>
      </c>
      <c r="E152" s="543" t="s">
        <v>185</v>
      </c>
      <c r="F152" s="544" t="s">
        <v>186</v>
      </c>
      <c r="G152" s="1129" t="s">
        <v>187</v>
      </c>
    </row>
    <row r="153" spans="1:8" s="229" customFormat="1" ht="15.75">
      <c r="B153" s="1711" t="s">
        <v>188</v>
      </c>
      <c r="C153" s="1712"/>
      <c r="D153" s="1712"/>
      <c r="E153" s="1712"/>
      <c r="F153" s="1712"/>
      <c r="G153" s="1713"/>
    </row>
    <row r="154" spans="1:8" s="229" customFormat="1" ht="15">
      <c r="B154" s="570" t="s">
        <v>202</v>
      </c>
      <c r="C154" s="1078" t="str">
        <f>C160</f>
        <v>PADRÃO DE ENTRADA DE ENERGIA CATEGORIA "M1" (ENERGISA)</v>
      </c>
      <c r="D154" s="633" t="str">
        <f>G160</f>
        <v>UN</v>
      </c>
      <c r="E154" s="635">
        <v>1</v>
      </c>
      <c r="F154" s="1199">
        <f>D165</f>
        <v>1350</v>
      </c>
      <c r="G154" s="636">
        <f>TRUNC(F154*E154,2)</f>
        <v>1350</v>
      </c>
    </row>
    <row r="155" spans="1:8" s="229" customFormat="1" ht="15.75">
      <c r="B155" s="1711" t="s">
        <v>189</v>
      </c>
      <c r="C155" s="1712"/>
      <c r="D155" s="1712"/>
      <c r="E155" s="1712"/>
      <c r="F155" s="1712"/>
      <c r="G155" s="1713"/>
    </row>
    <row r="156" spans="1:8" s="229" customFormat="1" ht="15.75">
      <c r="A156" s="433" t="s">
        <v>452</v>
      </c>
      <c r="B156" s="562">
        <v>88264</v>
      </c>
      <c r="C156" s="574" t="str">
        <f>IF($A156="INSUMO",VLOOKUP($B156,'BANCO DE DADOS JAN-23 INS'!$A:$D,2,FALSE),VLOOKUP($B156,'BANCO DE DADOS JAN-23 SERV'!$B:$E,2,FALSE))</f>
        <v>ELETRICISTA COM ENCARGOS COMPLEMENTARES</v>
      </c>
      <c r="D156" s="571" t="str">
        <f>IF($A156="INSUMO",VLOOKUP($B156,'BANCO DE DADOS JAN-23 INS'!$A:$D,3,FALSE),VLOOKUP($B156,'BANCO DE DADOS JAN-23 SERV'!$B:$E,3,FALSE))</f>
        <v>H</v>
      </c>
      <c r="E156" s="575">
        <v>4</v>
      </c>
      <c r="F156" s="572">
        <f>IF($A156="INSUMO",VLOOKUP($B156,'BANCO DE DADOS JAN-23 INS'!$A:$D,4,FALSE),VLOOKUP($B156,'BANCO DE DADOS JAN-23 SERV'!$B:$E,4,FALSE))</f>
        <v>22.67</v>
      </c>
      <c r="G156" s="573">
        <f>TRUNC(F156*E156,2)</f>
        <v>90.68</v>
      </c>
    </row>
    <row r="157" spans="1:8" s="229" customFormat="1" ht="16.5" thickBot="1">
      <c r="A157" s="433" t="s">
        <v>452</v>
      </c>
      <c r="B157" s="576">
        <v>88247</v>
      </c>
      <c r="C157" s="577" t="str">
        <f>IF($A157="INSUMO",VLOOKUP($B157,'BANCO DE DADOS JAN-23 INS'!$A:$D,2,FALSE),VLOOKUP($B157,'BANCO DE DADOS JAN-23 SERV'!$B:$E,2,FALSE))</f>
        <v>AUXILIAR DE ELETRICISTA COM ENCARGOS COMPLEMENTARES</v>
      </c>
      <c r="D157" s="578" t="str">
        <f>IF($A157="INSUMO",VLOOKUP($B157,'BANCO DE DADOS JAN-23 INS'!$A:$D,3,FALSE),VLOOKUP($B157,'BANCO DE DADOS JAN-23 SERV'!$B:$E,3,FALSE))</f>
        <v>H</v>
      </c>
      <c r="E157" s="579">
        <v>4</v>
      </c>
      <c r="F157" s="580">
        <f>IF($A157="INSUMO",VLOOKUP($B157,'BANCO DE DADOS JAN-23 INS'!$A:$D,4,FALSE),VLOOKUP($B157,'BANCO DE DADOS JAN-23 SERV'!$B:$E,4,FALSE))</f>
        <v>18.809999999999999</v>
      </c>
      <c r="G157" s="581">
        <f>TRUNC(F157*E157,2)</f>
        <v>75.239999999999995</v>
      </c>
    </row>
    <row r="158" spans="1:8" s="294" customFormat="1" ht="16.5" customHeight="1" thickBot="1">
      <c r="B158" s="1813" t="s">
        <v>7162</v>
      </c>
      <c r="C158" s="1813"/>
      <c r="D158" s="1813"/>
      <c r="E158" s="1813"/>
      <c r="F158" s="298" t="s">
        <v>190</v>
      </c>
      <c r="G158" s="299">
        <f>SUM(G153:G157)</f>
        <v>1515.92</v>
      </c>
    </row>
    <row r="159" spans="1:8" s="294" customFormat="1" ht="16.5" thickBot="1">
      <c r="B159" s="300"/>
      <c r="C159" s="279"/>
      <c r="D159" s="279"/>
      <c r="E159" s="279"/>
      <c r="F159" s="279"/>
      <c r="G159" s="279"/>
    </row>
    <row r="160" spans="1:8" s="325" customFormat="1" ht="15.75">
      <c r="A160" s="324"/>
      <c r="B160" s="422" t="s">
        <v>202</v>
      </c>
      <c r="C160" s="1815" t="s">
        <v>7174</v>
      </c>
      <c r="D160" s="1816"/>
      <c r="E160" s="1816"/>
      <c r="F160" s="1817"/>
      <c r="G160" s="358" t="s">
        <v>23</v>
      </c>
      <c r="H160" s="397" t="s">
        <v>2559</v>
      </c>
    </row>
    <row r="161" spans="1:9" ht="31.5">
      <c r="A161" s="294"/>
      <c r="B161" s="542" t="s">
        <v>195</v>
      </c>
      <c r="C161" s="543" t="s">
        <v>196</v>
      </c>
      <c r="D161" s="544" t="s">
        <v>197</v>
      </c>
      <c r="E161" s="545" t="s">
        <v>198</v>
      </c>
      <c r="F161" s="557" t="s">
        <v>199</v>
      </c>
      <c r="G161" s="547" t="s">
        <v>200</v>
      </c>
    </row>
    <row r="162" spans="1:9" ht="15">
      <c r="A162" s="294"/>
      <c r="B162" s="584">
        <v>44645</v>
      </c>
      <c r="C162" s="609" t="s">
        <v>7175</v>
      </c>
      <c r="D162" s="554">
        <v>1584.62</v>
      </c>
      <c r="E162" s="614" t="s">
        <v>7176</v>
      </c>
      <c r="F162" s="610" t="s">
        <v>7177</v>
      </c>
      <c r="G162" s="615" t="s">
        <v>4150</v>
      </c>
      <c r="H162" s="394"/>
      <c r="I162" s="568">
        <f>B162+180</f>
        <v>44825</v>
      </c>
    </row>
    <row r="163" spans="1:9" ht="15">
      <c r="A163" s="294"/>
      <c r="B163" s="584">
        <v>44648</v>
      </c>
      <c r="C163" s="609" t="s">
        <v>7178</v>
      </c>
      <c r="D163" s="554">
        <v>1350</v>
      </c>
      <c r="E163" s="1079" t="s">
        <v>7179</v>
      </c>
      <c r="F163" s="1080" t="s">
        <v>7180</v>
      </c>
      <c r="G163" s="615" t="s">
        <v>5519</v>
      </c>
      <c r="H163" s="394"/>
      <c r="I163" s="568">
        <f>B163+180</f>
        <v>44828</v>
      </c>
    </row>
    <row r="164" spans="1:9" ht="15.75" thickBot="1">
      <c r="A164" s="294"/>
      <c r="B164" s="556">
        <v>44596</v>
      </c>
      <c r="C164" s="606" t="s">
        <v>7181</v>
      </c>
      <c r="D164" s="632">
        <v>1150</v>
      </c>
      <c r="E164" s="606" t="s">
        <v>7182</v>
      </c>
      <c r="F164" s="607" t="s">
        <v>7183</v>
      </c>
      <c r="G164" s="640" t="s">
        <v>5528</v>
      </c>
      <c r="H164" s="394"/>
      <c r="I164" s="569">
        <f>B164+180</f>
        <v>44776</v>
      </c>
    </row>
    <row r="165" spans="1:9" ht="16.5" thickBot="1">
      <c r="A165" s="294"/>
      <c r="B165" s="548"/>
      <c r="C165" s="549" t="s">
        <v>201</v>
      </c>
      <c r="D165" s="550">
        <f>IF(COUNT(D161:D164)=3,MEDIAN(D162:D164),SMALL(D162:D164,1))</f>
        <v>1350</v>
      </c>
      <c r="E165" s="551"/>
      <c r="F165" s="552"/>
      <c r="G165" s="553"/>
    </row>
    <row r="166" spans="1:9" ht="13.5" thickBot="1"/>
    <row r="167" spans="1:9" ht="42" customHeight="1">
      <c r="A167" s="294"/>
      <c r="B167" s="356" t="str">
        <f>IF(COUNT($H$13:H167)&lt;10,CONCATENATE("AMM ELE 00",COUNT($H$13:H167)),CONCATENATE("AMM ELE 0",COUNT($H$13:H167)))</f>
        <v>AMM ELE 013</v>
      </c>
      <c r="C167" s="1673" t="s">
        <v>13669</v>
      </c>
      <c r="D167" s="1673"/>
      <c r="E167" s="1673"/>
      <c r="F167" s="1673"/>
      <c r="G167" s="357" t="s">
        <v>6798</v>
      </c>
      <c r="H167" s="355">
        <f>G176</f>
        <v>28.39</v>
      </c>
    </row>
    <row r="168" spans="1:9" s="1474" customFormat="1" ht="47.25">
      <c r="B168" s="1478" t="s">
        <v>2429</v>
      </c>
      <c r="C168" s="1488" t="s">
        <v>184</v>
      </c>
      <c r="D168" s="1488" t="s">
        <v>23</v>
      </c>
      <c r="E168" s="1488" t="s">
        <v>185</v>
      </c>
      <c r="F168" s="1489" t="s">
        <v>186</v>
      </c>
      <c r="G168" s="1490" t="s">
        <v>187</v>
      </c>
    </row>
    <row r="169" spans="1:9" ht="15.75">
      <c r="B169" s="1793" t="s">
        <v>188</v>
      </c>
      <c r="C169" s="1794"/>
      <c r="D169" s="1794"/>
      <c r="E169" s="1794"/>
      <c r="F169" s="1794"/>
      <c r="G169" s="1795"/>
    </row>
    <row r="170" spans="1:9" s="228" customFormat="1" ht="30">
      <c r="A170" s="433" t="s">
        <v>451</v>
      </c>
      <c r="B170" s="562">
        <v>21136</v>
      </c>
      <c r="C170" s="574" t="str">
        <f>IF($A170="INSUMO",VLOOKUP($B170,'BANCO DE DADOS JAN-23 INS'!$A:$D,2,FALSE),VLOOKUP($B170,'BANCO DE DADOS JAN-23 SERV'!$B:$E,2,FALSE))</f>
        <v>ELETRODUTO EM ACO GALVANIZADO ELETROLITICO, LEVE, DIAMETRO 1", PAREDE DE 0,90 MM</v>
      </c>
      <c r="D170" s="571" t="str">
        <f>IF($A170="INSUMO",VLOOKUP($B170,'BANCO DE DADOS JAN-23 INS'!$A:$D,3,FALSE),VLOOKUP($B170,'BANCO DE DADOS JAN-23 SERV'!$B:$E,3,FALSE))</f>
        <v xml:space="preserve">M     </v>
      </c>
      <c r="E170" s="639">
        <v>1.05</v>
      </c>
      <c r="F170" s="572">
        <f>IF($A170="INSUMO",VLOOKUP($B170,'BANCO DE DADOS JAN-23 INS'!$A:$D,4,FALSE),VLOOKUP($B170,'BANCO DE DADOS JAN-23 SERV'!$B:$E,4,FALSE))</f>
        <v>14.86</v>
      </c>
      <c r="G170" s="573">
        <f>TRUNC(F170*E170,2)</f>
        <v>15.6</v>
      </c>
    </row>
    <row r="171" spans="1:9" s="228" customFormat="1" ht="45">
      <c r="A171" s="433" t="s">
        <v>452</v>
      </c>
      <c r="B171" s="562">
        <v>91173</v>
      </c>
      <c r="C171" s="574" t="str">
        <f>IF($A171="INSUMO",VLOOKUP($B171,'BANCO DE DADOS JAN-23 INS'!$A:$D,2,FALSE),VLOOKUP($B171,'BANCO DE DADOS JAN-23 SERV'!$B:$E,2,FALSE))</f>
        <v>FIXAÇÃO DE TUBOS VERTICAIS DE PPR DIÂMETROS MENORES OU IGUAIS A 40 MM COM ABRAÇADEIRA METÁLICA RÍGIDA TIPO D 1/2", FIXADA EM PERFILADO EM ALVENARIA. AF_05/2015</v>
      </c>
      <c r="D171" s="571" t="str">
        <f>IF($A171="INSUMO",VLOOKUP($B171,'BANCO DE DADOS JAN-23 INS'!$A:$D,3,FALSE),VLOOKUP($B171,'BANCO DE DADOS JAN-23 SERV'!$B:$E,3,FALSE))</f>
        <v>M</v>
      </c>
      <c r="E171" s="639">
        <v>2</v>
      </c>
      <c r="F171" s="572">
        <f>IF($A171="INSUMO",VLOOKUP($B171,'BANCO DE DADOS JAN-23 INS'!$A:$D,4,FALSE),VLOOKUP($B171,'BANCO DE DADOS JAN-23 SERV'!$B:$E,4,FALSE))</f>
        <v>1.51</v>
      </c>
      <c r="G171" s="573">
        <f>TRUNC(F171*E171,2)</f>
        <v>3.02</v>
      </c>
    </row>
    <row r="172" spans="1:9" s="228" customFormat="1" ht="30">
      <c r="A172" s="433" t="s">
        <v>451</v>
      </c>
      <c r="B172" s="562">
        <v>2638</v>
      </c>
      <c r="C172" s="574" t="str">
        <f>IF($A172="INSUMO",VLOOKUP($B172,'BANCO DE DADOS JAN-23 INS'!$A:$D,2,FALSE),VLOOKUP($B172,'BANCO DE DADOS JAN-23 SERV'!$B:$E,2,FALSE))</f>
        <v>LUVA PARA ELETRODUTO, EM ACO GALVANIZADO ELETROLITICO, DIAMETRO DE 25 MM (1")</v>
      </c>
      <c r="D172" s="571" t="str">
        <f>IF($A172="INSUMO",VLOOKUP($B172,'BANCO DE DADOS JAN-23 INS'!$A:$D,3,FALSE),VLOOKUP($B172,'BANCO DE DADOS JAN-23 SERV'!$B:$E,3,FALSE))</f>
        <v xml:space="preserve">UN    </v>
      </c>
      <c r="E172" s="639">
        <v>0.33329999999999999</v>
      </c>
      <c r="F172" s="572">
        <f>IF($A172="INSUMO",VLOOKUP($B172,'BANCO DE DADOS JAN-23 INS'!$A:$D,4,FALSE),VLOOKUP($B172,'BANCO DE DADOS JAN-23 SERV'!$B:$E,4,FALSE))</f>
        <v>2.46</v>
      </c>
      <c r="G172" s="573">
        <f>TRUNC(F172*E172,2)</f>
        <v>0.81</v>
      </c>
    </row>
    <row r="173" spans="1:9" s="228" customFormat="1" ht="15.75">
      <c r="B173" s="1677" t="s">
        <v>189</v>
      </c>
      <c r="C173" s="1678"/>
      <c r="D173" s="1678"/>
      <c r="E173" s="1678"/>
      <c r="F173" s="1678"/>
      <c r="G173" s="1679"/>
    </row>
    <row r="174" spans="1:9" s="228" customFormat="1" ht="15.75">
      <c r="A174" s="433" t="s">
        <v>452</v>
      </c>
      <c r="B174" s="562">
        <v>88247</v>
      </c>
      <c r="C174" s="574" t="str">
        <f>IF($A174="INSUMO",VLOOKUP($B174,'BANCO DE DADOS JAN-23 INS'!$A:$D,2,FALSE),VLOOKUP($B174,'BANCO DE DADOS JAN-23 SERV'!$B:$E,2,FALSE))</f>
        <v>AUXILIAR DE ELETRICISTA COM ENCARGOS COMPLEMENTARES</v>
      </c>
      <c r="D174" s="571" t="str">
        <f>IF($A174="INSUMO",VLOOKUP($B174,'BANCO DE DADOS JAN-23 INS'!$A:$D,3,FALSE),VLOOKUP($B174,'BANCO DE DADOS JAN-23 SERV'!$B:$E,3,FALSE))</f>
        <v>H</v>
      </c>
      <c r="E174" s="639">
        <v>0.21629999999999999</v>
      </c>
      <c r="F174" s="572">
        <f>IF($A174="INSUMO",VLOOKUP($B174,'BANCO DE DADOS JAN-23 INS'!$A:$D,4,FALSE),VLOOKUP($B174,'BANCO DE DADOS JAN-23 SERV'!$B:$E,4,FALSE))</f>
        <v>18.809999999999999</v>
      </c>
      <c r="G174" s="573">
        <f>TRUNC(F174*E174,2)</f>
        <v>4.0599999999999996</v>
      </c>
      <c r="H174" s="229"/>
    </row>
    <row r="175" spans="1:9" s="228" customFormat="1" ht="16.5" thickBot="1">
      <c r="A175" s="433" t="s">
        <v>452</v>
      </c>
      <c r="B175" s="576">
        <v>88264</v>
      </c>
      <c r="C175" s="577" t="str">
        <f>IF($A175="INSUMO",VLOOKUP($B175,'BANCO DE DADOS JAN-23 INS'!$A:$D,2,FALSE),VLOOKUP($B175,'BANCO DE DADOS JAN-23 SERV'!$B:$E,2,FALSE))</f>
        <v>ELETRICISTA COM ENCARGOS COMPLEMENTARES</v>
      </c>
      <c r="D175" s="578" t="str">
        <f>IF($A175="INSUMO",VLOOKUP($B175,'BANCO DE DADOS JAN-23 INS'!$A:$D,3,FALSE),VLOOKUP($B175,'BANCO DE DADOS JAN-23 SERV'!$B:$E,3,FALSE))</f>
        <v>H</v>
      </c>
      <c r="E175" s="638">
        <v>0.21629999999999999</v>
      </c>
      <c r="F175" s="580">
        <f>IF($A175="INSUMO",VLOOKUP($B175,'BANCO DE DADOS JAN-23 INS'!$A:$D,4,FALSE),VLOOKUP($B175,'BANCO DE DADOS JAN-23 SERV'!$B:$E,4,FALSE))</f>
        <v>22.67</v>
      </c>
      <c r="G175" s="581">
        <f>TRUNC(F175*E175,2)</f>
        <v>4.9000000000000004</v>
      </c>
      <c r="H175" s="229"/>
    </row>
    <row r="176" spans="1:9" ht="16.5" customHeight="1" thickBot="1">
      <c r="B176" s="1141" t="s">
        <v>13668</v>
      </c>
      <c r="C176" s="208"/>
      <c r="D176" s="208"/>
      <c r="E176" s="208"/>
      <c r="F176" s="298" t="s">
        <v>190</v>
      </c>
      <c r="G176" s="299">
        <f>SUM(G169:G175)</f>
        <v>28.39</v>
      </c>
    </row>
    <row r="177" spans="1:8" ht="13.5" thickBot="1"/>
    <row r="178" spans="1:8" ht="42" customHeight="1">
      <c r="A178" s="294"/>
      <c r="B178" s="356" t="str">
        <f>IF(COUNT($H$13:H178)&lt;10,CONCATENATE("AMM ELE 00",COUNT($H$13:H178)),CONCATENATE("AMM ELE 0",COUNT($H$13:H178)))</f>
        <v>AMM ELE 014</v>
      </c>
      <c r="C178" s="1673" t="s">
        <v>13670</v>
      </c>
      <c r="D178" s="1673"/>
      <c r="E178" s="1673"/>
      <c r="F178" s="1673"/>
      <c r="G178" s="357" t="s">
        <v>6798</v>
      </c>
      <c r="H178" s="355">
        <f>G185</f>
        <v>9.6900000000000013</v>
      </c>
    </row>
    <row r="179" spans="1:8" s="1474" customFormat="1" ht="47.25">
      <c r="B179" s="1478" t="s">
        <v>2429</v>
      </c>
      <c r="C179" s="1488" t="s">
        <v>184</v>
      </c>
      <c r="D179" s="1488" t="s">
        <v>23</v>
      </c>
      <c r="E179" s="1488" t="s">
        <v>185</v>
      </c>
      <c r="F179" s="1489" t="s">
        <v>186</v>
      </c>
      <c r="G179" s="1490" t="s">
        <v>187</v>
      </c>
    </row>
    <row r="180" spans="1:8" s="228" customFormat="1" ht="15.75">
      <c r="B180" s="1677" t="s">
        <v>188</v>
      </c>
      <c r="C180" s="1678"/>
      <c r="D180" s="1678"/>
      <c r="E180" s="1678"/>
      <c r="F180" s="1678"/>
      <c r="G180" s="1679"/>
    </row>
    <row r="181" spans="1:8" s="228" customFormat="1" ht="30">
      <c r="A181" s="433" t="s">
        <v>451</v>
      </c>
      <c r="B181" s="562">
        <v>2637</v>
      </c>
      <c r="C181" s="574" t="str">
        <f>IF($A181="INSUMO",VLOOKUP($B181,'BANCO DE DADOS JAN-23 INS'!$A:$D,2,FALSE),VLOOKUP($B181,'BANCO DE DADOS JAN-23 SERV'!$B:$E,2,FALSE))</f>
        <v>LUVA PARA ELETRODUTO, EM ACO GALVANIZADO ELETROLITICO, DIAMETRO DE 20 MM (3/4")</v>
      </c>
      <c r="D181" s="571" t="str">
        <f>IF($A181="INSUMO",VLOOKUP($B181,'BANCO DE DADOS JAN-23 INS'!$A:$D,3,FALSE),VLOOKUP($B181,'BANCO DE DADOS JAN-23 SERV'!$B:$E,3,FALSE))</f>
        <v xml:space="preserve">UN    </v>
      </c>
      <c r="E181" s="637">
        <v>1</v>
      </c>
      <c r="F181" s="572">
        <f>IF($A181="INSUMO",VLOOKUP($B181,'BANCO DE DADOS JAN-23 INS'!$A:$D,4,FALSE),VLOOKUP($B181,'BANCO DE DADOS JAN-23 SERV'!$B:$E,4,FALSE))</f>
        <v>2.12</v>
      </c>
      <c r="G181" s="573">
        <f>TRUNC(F181*E181,2)</f>
        <v>2.12</v>
      </c>
    </row>
    <row r="182" spans="1:8" s="228" customFormat="1" ht="15.75">
      <c r="B182" s="1677" t="s">
        <v>189</v>
      </c>
      <c r="C182" s="1678"/>
      <c r="D182" s="1678"/>
      <c r="E182" s="1678"/>
      <c r="F182" s="1678"/>
      <c r="G182" s="1679"/>
    </row>
    <row r="183" spans="1:8" s="228" customFormat="1" ht="15.75">
      <c r="A183" s="433" t="s">
        <v>452</v>
      </c>
      <c r="B183" s="562">
        <v>88247</v>
      </c>
      <c r="C183" s="574" t="str">
        <f>IF($A183="INSUMO",VLOOKUP($B183,'BANCO DE DADOS JAN-23 INS'!$A:$D,2,FALSE),VLOOKUP($B183,'BANCO DE DADOS JAN-23 SERV'!$B:$E,2,FALSE))</f>
        <v>AUXILIAR DE ELETRICISTA COM ENCARGOS COMPLEMENTARES</v>
      </c>
      <c r="D183" s="571" t="str">
        <f>IF($A183="INSUMO",VLOOKUP($B183,'BANCO DE DADOS JAN-23 INS'!$A:$D,3,FALSE),VLOOKUP($B183,'BANCO DE DADOS JAN-23 SERV'!$B:$E,3,FALSE))</f>
        <v>H</v>
      </c>
      <c r="E183" s="1200">
        <v>0.1827</v>
      </c>
      <c r="F183" s="572">
        <f>IF($A183="INSUMO",VLOOKUP($B183,'BANCO DE DADOS JAN-23 INS'!$A:$D,4,FALSE),VLOOKUP($B183,'BANCO DE DADOS JAN-23 SERV'!$B:$E,4,FALSE))</f>
        <v>18.809999999999999</v>
      </c>
      <c r="G183" s="573">
        <f>TRUNC(F183*E183,2)</f>
        <v>3.43</v>
      </c>
      <c r="H183" s="229"/>
    </row>
    <row r="184" spans="1:8" s="228" customFormat="1" ht="16.5" thickBot="1">
      <c r="A184" s="433" t="s">
        <v>452</v>
      </c>
      <c r="B184" s="576">
        <v>88264</v>
      </c>
      <c r="C184" s="577" t="str">
        <f>IF($A184="INSUMO",VLOOKUP($B184,'BANCO DE DADOS JAN-23 INS'!$A:$D,2,FALSE),VLOOKUP($B184,'BANCO DE DADOS JAN-23 SERV'!$B:$E,2,FALSE))</f>
        <v>ELETRICISTA COM ENCARGOS COMPLEMENTARES</v>
      </c>
      <c r="D184" s="578" t="str">
        <f>IF($A184="INSUMO",VLOOKUP($B184,'BANCO DE DADOS JAN-23 INS'!$A:$D,3,FALSE),VLOOKUP($B184,'BANCO DE DADOS JAN-23 SERV'!$B:$E,3,FALSE))</f>
        <v>H</v>
      </c>
      <c r="E184" s="1201">
        <v>0.1827</v>
      </c>
      <c r="F184" s="580">
        <f>IF($A184="INSUMO",VLOOKUP($B184,'BANCO DE DADOS JAN-23 INS'!$A:$D,4,FALSE),VLOOKUP($B184,'BANCO DE DADOS JAN-23 SERV'!$B:$E,4,FALSE))</f>
        <v>22.67</v>
      </c>
      <c r="G184" s="581">
        <f>TRUNC(F184*E184,2)</f>
        <v>4.1399999999999997</v>
      </c>
      <c r="H184" s="229"/>
    </row>
    <row r="185" spans="1:8" ht="16.5" customHeight="1" thickBot="1">
      <c r="B185" s="1141" t="s">
        <v>13671</v>
      </c>
      <c r="C185" s="208"/>
      <c r="D185" s="208"/>
      <c r="E185" s="208"/>
      <c r="F185" s="298" t="s">
        <v>190</v>
      </c>
      <c r="G185" s="299">
        <f>SUM(G180:G184)</f>
        <v>9.6900000000000013</v>
      </c>
    </row>
    <row r="186" spans="1:8" ht="12.75" customHeight="1">
      <c r="B186" s="208"/>
      <c r="C186" s="208"/>
      <c r="D186" s="208"/>
      <c r="E186" s="208"/>
    </row>
  </sheetData>
  <mergeCells count="65">
    <mergeCell ref="B135:E135"/>
    <mergeCell ref="C137:F137"/>
    <mergeCell ref="B139:G139"/>
    <mergeCell ref="B143:G143"/>
    <mergeCell ref="B145:G145"/>
    <mergeCell ref="C160:F160"/>
    <mergeCell ref="B148:E149"/>
    <mergeCell ref="C151:F151"/>
    <mergeCell ref="B153:G153"/>
    <mergeCell ref="B155:G155"/>
    <mergeCell ref="B158:E158"/>
    <mergeCell ref="B111:G111"/>
    <mergeCell ref="B113:G113"/>
    <mergeCell ref="B116:E116"/>
    <mergeCell ref="C118:F118"/>
    <mergeCell ref="B120:G120"/>
    <mergeCell ref="B122:G122"/>
    <mergeCell ref="B125:E125"/>
    <mergeCell ref="C127:F127"/>
    <mergeCell ref="B129:G129"/>
    <mergeCell ref="B132:G132"/>
    <mergeCell ref="B89:E89"/>
    <mergeCell ref="C91:F91"/>
    <mergeCell ref="B93:G93"/>
    <mergeCell ref="B95:G95"/>
    <mergeCell ref="B98:E98"/>
    <mergeCell ref="C100:F100"/>
    <mergeCell ref="B102:G102"/>
    <mergeCell ref="B104:G104"/>
    <mergeCell ref="B107:E107"/>
    <mergeCell ref="C109:F109"/>
    <mergeCell ref="B37:G37"/>
    <mergeCell ref="B40:E40"/>
    <mergeCell ref="C42:F42"/>
    <mergeCell ref="B44:G44"/>
    <mergeCell ref="B46:G46"/>
    <mergeCell ref="B49:E49"/>
    <mergeCell ref="C51:F51"/>
    <mergeCell ref="C58:F58"/>
    <mergeCell ref="B60:G60"/>
    <mergeCell ref="B81:G81"/>
    <mergeCell ref="C14:F14"/>
    <mergeCell ref="B16:G16"/>
    <mergeCell ref="B18:G18"/>
    <mergeCell ref="B21:E21"/>
    <mergeCell ref="C23:F23"/>
    <mergeCell ref="B25:G25"/>
    <mergeCell ref="B28:G28"/>
    <mergeCell ref="B31:E31"/>
    <mergeCell ref="C33:F33"/>
    <mergeCell ref="B35:G35"/>
    <mergeCell ref="F3:G3"/>
    <mergeCell ref="B5:G5"/>
    <mergeCell ref="B10:G10"/>
    <mergeCell ref="E8:F8"/>
    <mergeCell ref="C8:D8"/>
    <mergeCell ref="C7:E7"/>
    <mergeCell ref="D3:E4"/>
    <mergeCell ref="B3:B4"/>
    <mergeCell ref="C178:F178"/>
    <mergeCell ref="B180:G180"/>
    <mergeCell ref="B182:G182"/>
    <mergeCell ref="C167:F167"/>
    <mergeCell ref="B169:G169"/>
    <mergeCell ref="B173:G173"/>
  </mergeCells>
  <dataValidations count="1">
    <dataValidation type="list" allowBlank="1" showInputMessage="1" showErrorMessage="1" sqref="A19:A20 A17 A26:A27 A29:A30 A36 A38:A39 A47:A48 A82:A88 A61:A80 A96:A97 A94 A105:A106 A103 A114:A115 A112 A123:A124 A121 A133:A134 A130:A131 A146:A147 A144 A140:A142 A156:A157 A174:A175 A170:A172 A183:A184 A181">
      <formula1>$A$3:$A$4</formula1>
    </dataValidation>
  </dataValidations>
  <printOptions horizontalCentered="1"/>
  <pageMargins left="0.78740157480314965" right="0.19685039370078741" top="0.39370078740157483" bottom="0.78740157480314965" header="0.19685039370078741" footer="0.19685039370078741"/>
  <pageSetup paperSize="9" scale="50" fitToHeight="100" orientation="portrait" r:id="rId1"/>
  <headerFooter scaleWithDoc="0">
    <oddHeader>&amp;RPágina &amp;P de &amp;N</oddHeader>
  </headerFooter>
  <drawing r:id="rId2"/>
</worksheet>
</file>

<file path=xl/worksheets/sheet9.xml><?xml version="1.0" encoding="utf-8"?>
<worksheet xmlns="http://schemas.openxmlformats.org/spreadsheetml/2006/main" xmlns:r="http://schemas.openxmlformats.org/officeDocument/2006/relationships">
  <sheetPr codeName="Planilha14">
    <tabColor rgb="FFFFCCFF"/>
  </sheetPr>
  <dimension ref="A3:I38"/>
  <sheetViews>
    <sheetView view="pageBreakPreview" zoomScale="70" zoomScaleSheetLayoutView="70" workbookViewId="0">
      <selection activeCell="B9" sqref="B9:F9"/>
    </sheetView>
  </sheetViews>
  <sheetFormatPr defaultRowHeight="12.75"/>
  <cols>
    <col min="1" max="1" width="19.5703125" style="224" customWidth="1"/>
    <col min="2" max="2" width="24.7109375" style="224" customWidth="1"/>
    <col min="3" max="3" width="75.7109375" style="224" customWidth="1"/>
    <col min="4" max="4" width="15.7109375" style="224" customWidth="1"/>
    <col min="5" max="5" width="23.7109375" style="224" customWidth="1"/>
    <col min="6" max="6" width="18.7109375" style="224" customWidth="1"/>
    <col min="7" max="7" width="20.7109375" style="224" customWidth="1"/>
    <col min="8" max="8" width="22.5703125" style="224" bestFit="1" customWidth="1"/>
    <col min="9" max="9" width="16.5703125" style="224" bestFit="1" customWidth="1"/>
    <col min="10" max="257" width="9.140625" style="224"/>
    <col min="258" max="258" width="24.5703125" style="224" customWidth="1"/>
    <col min="259" max="259" width="71.7109375" style="224" customWidth="1"/>
    <col min="260" max="260" width="17.140625" style="224" bestFit="1" customWidth="1"/>
    <col min="261" max="261" width="16.7109375" style="224" bestFit="1" customWidth="1"/>
    <col min="262" max="262" width="16.85546875" style="224" bestFit="1" customWidth="1"/>
    <col min="263" max="263" width="21.42578125" style="224" customWidth="1"/>
    <col min="264" max="264" width="9.140625" style="224"/>
    <col min="265" max="265" width="16.5703125" style="224" bestFit="1" customWidth="1"/>
    <col min="266" max="513" width="9.140625" style="224"/>
    <col min="514" max="514" width="24.5703125" style="224" customWidth="1"/>
    <col min="515" max="515" width="71.7109375" style="224" customWidth="1"/>
    <col min="516" max="516" width="17.140625" style="224" bestFit="1" customWidth="1"/>
    <col min="517" max="517" width="16.7109375" style="224" bestFit="1" customWidth="1"/>
    <col min="518" max="518" width="16.85546875" style="224" bestFit="1" customWidth="1"/>
    <col min="519" max="519" width="21.42578125" style="224" customWidth="1"/>
    <col min="520" max="520" width="9.140625" style="224"/>
    <col min="521" max="521" width="16.5703125" style="224" bestFit="1" customWidth="1"/>
    <col min="522" max="769" width="9.140625" style="224"/>
    <col min="770" max="770" width="24.5703125" style="224" customWidth="1"/>
    <col min="771" max="771" width="71.7109375" style="224" customWidth="1"/>
    <col min="772" max="772" width="17.140625" style="224" bestFit="1" customWidth="1"/>
    <col min="773" max="773" width="16.7109375" style="224" bestFit="1" customWidth="1"/>
    <col min="774" max="774" width="16.85546875" style="224" bestFit="1" customWidth="1"/>
    <col min="775" max="775" width="21.42578125" style="224" customWidth="1"/>
    <col min="776" max="776" width="9.140625" style="224"/>
    <col min="777" max="777" width="16.5703125" style="224" bestFit="1" customWidth="1"/>
    <col min="778" max="1025" width="9.140625" style="224"/>
    <col min="1026" max="1026" width="24.5703125" style="224" customWidth="1"/>
    <col min="1027" max="1027" width="71.7109375" style="224" customWidth="1"/>
    <col min="1028" max="1028" width="17.140625" style="224" bestFit="1" customWidth="1"/>
    <col min="1029" max="1029" width="16.7109375" style="224" bestFit="1" customWidth="1"/>
    <col min="1030" max="1030" width="16.85546875" style="224" bestFit="1" customWidth="1"/>
    <col min="1031" max="1031" width="21.42578125" style="224" customWidth="1"/>
    <col min="1032" max="1032" width="9.140625" style="224"/>
    <col min="1033" max="1033" width="16.5703125" style="224" bestFit="1" customWidth="1"/>
    <col min="1034" max="1281" width="9.140625" style="224"/>
    <col min="1282" max="1282" width="24.5703125" style="224" customWidth="1"/>
    <col min="1283" max="1283" width="71.7109375" style="224" customWidth="1"/>
    <col min="1284" max="1284" width="17.140625" style="224" bestFit="1" customWidth="1"/>
    <col min="1285" max="1285" width="16.7109375" style="224" bestFit="1" customWidth="1"/>
    <col min="1286" max="1286" width="16.85546875" style="224" bestFit="1" customWidth="1"/>
    <col min="1287" max="1287" width="21.42578125" style="224" customWidth="1"/>
    <col min="1288" max="1288" width="9.140625" style="224"/>
    <col min="1289" max="1289" width="16.5703125" style="224" bestFit="1" customWidth="1"/>
    <col min="1290" max="1537" width="9.140625" style="224"/>
    <col min="1538" max="1538" width="24.5703125" style="224" customWidth="1"/>
    <col min="1539" max="1539" width="71.7109375" style="224" customWidth="1"/>
    <col min="1540" max="1540" width="17.140625" style="224" bestFit="1" customWidth="1"/>
    <col min="1541" max="1541" width="16.7109375" style="224" bestFit="1" customWidth="1"/>
    <col min="1542" max="1542" width="16.85546875" style="224" bestFit="1" customWidth="1"/>
    <col min="1543" max="1543" width="21.42578125" style="224" customWidth="1"/>
    <col min="1544" max="1544" width="9.140625" style="224"/>
    <col min="1545" max="1545" width="16.5703125" style="224" bestFit="1" customWidth="1"/>
    <col min="1546" max="1793" width="9.140625" style="224"/>
    <col min="1794" max="1794" width="24.5703125" style="224" customWidth="1"/>
    <col min="1795" max="1795" width="71.7109375" style="224" customWidth="1"/>
    <col min="1796" max="1796" width="17.140625" style="224" bestFit="1" customWidth="1"/>
    <col min="1797" max="1797" width="16.7109375" style="224" bestFit="1" customWidth="1"/>
    <col min="1798" max="1798" width="16.85546875" style="224" bestFit="1" customWidth="1"/>
    <col min="1799" max="1799" width="21.42578125" style="224" customWidth="1"/>
    <col min="1800" max="1800" width="9.140625" style="224"/>
    <col min="1801" max="1801" width="16.5703125" style="224" bestFit="1" customWidth="1"/>
    <col min="1802" max="2049" width="9.140625" style="224"/>
    <col min="2050" max="2050" width="24.5703125" style="224" customWidth="1"/>
    <col min="2051" max="2051" width="71.7109375" style="224" customWidth="1"/>
    <col min="2052" max="2052" width="17.140625" style="224" bestFit="1" customWidth="1"/>
    <col min="2053" max="2053" width="16.7109375" style="224" bestFit="1" customWidth="1"/>
    <col min="2054" max="2054" width="16.85546875" style="224" bestFit="1" customWidth="1"/>
    <col min="2055" max="2055" width="21.42578125" style="224" customWidth="1"/>
    <col min="2056" max="2056" width="9.140625" style="224"/>
    <col min="2057" max="2057" width="16.5703125" style="224" bestFit="1" customWidth="1"/>
    <col min="2058" max="2305" width="9.140625" style="224"/>
    <col min="2306" max="2306" width="24.5703125" style="224" customWidth="1"/>
    <col min="2307" max="2307" width="71.7109375" style="224" customWidth="1"/>
    <col min="2308" max="2308" width="17.140625" style="224" bestFit="1" customWidth="1"/>
    <col min="2309" max="2309" width="16.7109375" style="224" bestFit="1" customWidth="1"/>
    <col min="2310" max="2310" width="16.85546875" style="224" bestFit="1" customWidth="1"/>
    <col min="2311" max="2311" width="21.42578125" style="224" customWidth="1"/>
    <col min="2312" max="2312" width="9.140625" style="224"/>
    <col min="2313" max="2313" width="16.5703125" style="224" bestFit="1" customWidth="1"/>
    <col min="2314" max="2561" width="9.140625" style="224"/>
    <col min="2562" max="2562" width="24.5703125" style="224" customWidth="1"/>
    <col min="2563" max="2563" width="71.7109375" style="224" customWidth="1"/>
    <col min="2564" max="2564" width="17.140625" style="224" bestFit="1" customWidth="1"/>
    <col min="2565" max="2565" width="16.7109375" style="224" bestFit="1" customWidth="1"/>
    <col min="2566" max="2566" width="16.85546875" style="224" bestFit="1" customWidth="1"/>
    <col min="2567" max="2567" width="21.42578125" style="224" customWidth="1"/>
    <col min="2568" max="2568" width="9.140625" style="224"/>
    <col min="2569" max="2569" width="16.5703125" style="224" bestFit="1" customWidth="1"/>
    <col min="2570" max="2817" width="9.140625" style="224"/>
    <col min="2818" max="2818" width="24.5703125" style="224" customWidth="1"/>
    <col min="2819" max="2819" width="71.7109375" style="224" customWidth="1"/>
    <col min="2820" max="2820" width="17.140625" style="224" bestFit="1" customWidth="1"/>
    <col min="2821" max="2821" width="16.7109375" style="224" bestFit="1" customWidth="1"/>
    <col min="2822" max="2822" width="16.85546875" style="224" bestFit="1" customWidth="1"/>
    <col min="2823" max="2823" width="21.42578125" style="224" customWidth="1"/>
    <col min="2824" max="2824" width="9.140625" style="224"/>
    <col min="2825" max="2825" width="16.5703125" style="224" bestFit="1" customWidth="1"/>
    <col min="2826" max="3073" width="9.140625" style="224"/>
    <col min="3074" max="3074" width="24.5703125" style="224" customWidth="1"/>
    <col min="3075" max="3075" width="71.7109375" style="224" customWidth="1"/>
    <col min="3076" max="3076" width="17.140625" style="224" bestFit="1" customWidth="1"/>
    <col min="3077" max="3077" width="16.7109375" style="224" bestFit="1" customWidth="1"/>
    <col min="3078" max="3078" width="16.85546875" style="224" bestFit="1" customWidth="1"/>
    <col min="3079" max="3079" width="21.42578125" style="224" customWidth="1"/>
    <col min="3080" max="3080" width="9.140625" style="224"/>
    <col min="3081" max="3081" width="16.5703125" style="224" bestFit="1" customWidth="1"/>
    <col min="3082" max="3329" width="9.140625" style="224"/>
    <col min="3330" max="3330" width="24.5703125" style="224" customWidth="1"/>
    <col min="3331" max="3331" width="71.7109375" style="224" customWidth="1"/>
    <col min="3332" max="3332" width="17.140625" style="224" bestFit="1" customWidth="1"/>
    <col min="3333" max="3333" width="16.7109375" style="224" bestFit="1" customWidth="1"/>
    <col min="3334" max="3334" width="16.85546875" style="224" bestFit="1" customWidth="1"/>
    <col min="3335" max="3335" width="21.42578125" style="224" customWidth="1"/>
    <col min="3336" max="3336" width="9.140625" style="224"/>
    <col min="3337" max="3337" width="16.5703125" style="224" bestFit="1" customWidth="1"/>
    <col min="3338" max="3585" width="9.140625" style="224"/>
    <col min="3586" max="3586" width="24.5703125" style="224" customWidth="1"/>
    <col min="3587" max="3587" width="71.7109375" style="224" customWidth="1"/>
    <col min="3588" max="3588" width="17.140625" style="224" bestFit="1" customWidth="1"/>
    <col min="3589" max="3589" width="16.7109375" style="224" bestFit="1" customWidth="1"/>
    <col min="3590" max="3590" width="16.85546875" style="224" bestFit="1" customWidth="1"/>
    <col min="3591" max="3591" width="21.42578125" style="224" customWidth="1"/>
    <col min="3592" max="3592" width="9.140625" style="224"/>
    <col min="3593" max="3593" width="16.5703125" style="224" bestFit="1" customWidth="1"/>
    <col min="3594" max="3841" width="9.140625" style="224"/>
    <col min="3842" max="3842" width="24.5703125" style="224" customWidth="1"/>
    <col min="3843" max="3843" width="71.7109375" style="224" customWidth="1"/>
    <col min="3844" max="3844" width="17.140625" style="224" bestFit="1" customWidth="1"/>
    <col min="3845" max="3845" width="16.7109375" style="224" bestFit="1" customWidth="1"/>
    <col min="3846" max="3846" width="16.85546875" style="224" bestFit="1" customWidth="1"/>
    <col min="3847" max="3847" width="21.42578125" style="224" customWidth="1"/>
    <col min="3848" max="3848" width="9.140625" style="224"/>
    <col min="3849" max="3849" width="16.5703125" style="224" bestFit="1" customWidth="1"/>
    <col min="3850" max="4097" width="9.140625" style="224"/>
    <col min="4098" max="4098" width="24.5703125" style="224" customWidth="1"/>
    <col min="4099" max="4099" width="71.7109375" style="224" customWidth="1"/>
    <col min="4100" max="4100" width="17.140625" style="224" bestFit="1" customWidth="1"/>
    <col min="4101" max="4101" width="16.7109375" style="224" bestFit="1" customWidth="1"/>
    <col min="4102" max="4102" width="16.85546875" style="224" bestFit="1" customWidth="1"/>
    <col min="4103" max="4103" width="21.42578125" style="224" customWidth="1"/>
    <col min="4104" max="4104" width="9.140625" style="224"/>
    <col min="4105" max="4105" width="16.5703125" style="224" bestFit="1" customWidth="1"/>
    <col min="4106" max="4353" width="9.140625" style="224"/>
    <col min="4354" max="4354" width="24.5703125" style="224" customWidth="1"/>
    <col min="4355" max="4355" width="71.7109375" style="224" customWidth="1"/>
    <col min="4356" max="4356" width="17.140625" style="224" bestFit="1" customWidth="1"/>
    <col min="4357" max="4357" width="16.7109375" style="224" bestFit="1" customWidth="1"/>
    <col min="4358" max="4358" width="16.85546875" style="224" bestFit="1" customWidth="1"/>
    <col min="4359" max="4359" width="21.42578125" style="224" customWidth="1"/>
    <col min="4360" max="4360" width="9.140625" style="224"/>
    <col min="4361" max="4361" width="16.5703125" style="224" bestFit="1" customWidth="1"/>
    <col min="4362" max="4609" width="9.140625" style="224"/>
    <col min="4610" max="4610" width="24.5703125" style="224" customWidth="1"/>
    <col min="4611" max="4611" width="71.7109375" style="224" customWidth="1"/>
    <col min="4612" max="4612" width="17.140625" style="224" bestFit="1" customWidth="1"/>
    <col min="4613" max="4613" width="16.7109375" style="224" bestFit="1" customWidth="1"/>
    <col min="4614" max="4614" width="16.85546875" style="224" bestFit="1" customWidth="1"/>
    <col min="4615" max="4615" width="21.42578125" style="224" customWidth="1"/>
    <col min="4616" max="4616" width="9.140625" style="224"/>
    <col min="4617" max="4617" width="16.5703125" style="224" bestFit="1" customWidth="1"/>
    <col min="4618" max="4865" width="9.140625" style="224"/>
    <col min="4866" max="4866" width="24.5703125" style="224" customWidth="1"/>
    <col min="4867" max="4867" width="71.7109375" style="224" customWidth="1"/>
    <col min="4868" max="4868" width="17.140625" style="224" bestFit="1" customWidth="1"/>
    <col min="4869" max="4869" width="16.7109375" style="224" bestFit="1" customWidth="1"/>
    <col min="4870" max="4870" width="16.85546875" style="224" bestFit="1" customWidth="1"/>
    <col min="4871" max="4871" width="21.42578125" style="224" customWidth="1"/>
    <col min="4872" max="4872" width="9.140625" style="224"/>
    <col min="4873" max="4873" width="16.5703125" style="224" bestFit="1" customWidth="1"/>
    <col min="4874" max="5121" width="9.140625" style="224"/>
    <col min="5122" max="5122" width="24.5703125" style="224" customWidth="1"/>
    <col min="5123" max="5123" width="71.7109375" style="224" customWidth="1"/>
    <col min="5124" max="5124" width="17.140625" style="224" bestFit="1" customWidth="1"/>
    <col min="5125" max="5125" width="16.7109375" style="224" bestFit="1" customWidth="1"/>
    <col min="5126" max="5126" width="16.85546875" style="224" bestFit="1" customWidth="1"/>
    <col min="5127" max="5127" width="21.42578125" style="224" customWidth="1"/>
    <col min="5128" max="5128" width="9.140625" style="224"/>
    <col min="5129" max="5129" width="16.5703125" style="224" bestFit="1" customWidth="1"/>
    <col min="5130" max="5377" width="9.140625" style="224"/>
    <col min="5378" max="5378" width="24.5703125" style="224" customWidth="1"/>
    <col min="5379" max="5379" width="71.7109375" style="224" customWidth="1"/>
    <col min="5380" max="5380" width="17.140625" style="224" bestFit="1" customWidth="1"/>
    <col min="5381" max="5381" width="16.7109375" style="224" bestFit="1" customWidth="1"/>
    <col min="5382" max="5382" width="16.85546875" style="224" bestFit="1" customWidth="1"/>
    <col min="5383" max="5383" width="21.42578125" style="224" customWidth="1"/>
    <col min="5384" max="5384" width="9.140625" style="224"/>
    <col min="5385" max="5385" width="16.5703125" style="224" bestFit="1" customWidth="1"/>
    <col min="5386" max="5633" width="9.140625" style="224"/>
    <col min="5634" max="5634" width="24.5703125" style="224" customWidth="1"/>
    <col min="5635" max="5635" width="71.7109375" style="224" customWidth="1"/>
    <col min="5636" max="5636" width="17.140625" style="224" bestFit="1" customWidth="1"/>
    <col min="5637" max="5637" width="16.7109375" style="224" bestFit="1" customWidth="1"/>
    <col min="5638" max="5638" width="16.85546875" style="224" bestFit="1" customWidth="1"/>
    <col min="5639" max="5639" width="21.42578125" style="224" customWidth="1"/>
    <col min="5640" max="5640" width="9.140625" style="224"/>
    <col min="5641" max="5641" width="16.5703125" style="224" bestFit="1" customWidth="1"/>
    <col min="5642" max="5889" width="9.140625" style="224"/>
    <col min="5890" max="5890" width="24.5703125" style="224" customWidth="1"/>
    <col min="5891" max="5891" width="71.7109375" style="224" customWidth="1"/>
    <col min="5892" max="5892" width="17.140625" style="224" bestFit="1" customWidth="1"/>
    <col min="5893" max="5893" width="16.7109375" style="224" bestFit="1" customWidth="1"/>
    <col min="5894" max="5894" width="16.85546875" style="224" bestFit="1" customWidth="1"/>
    <col min="5895" max="5895" width="21.42578125" style="224" customWidth="1"/>
    <col min="5896" max="5896" width="9.140625" style="224"/>
    <col min="5897" max="5897" width="16.5703125" style="224" bestFit="1" customWidth="1"/>
    <col min="5898" max="6145" width="9.140625" style="224"/>
    <col min="6146" max="6146" width="24.5703125" style="224" customWidth="1"/>
    <col min="6147" max="6147" width="71.7109375" style="224" customWidth="1"/>
    <col min="6148" max="6148" width="17.140625" style="224" bestFit="1" customWidth="1"/>
    <col min="6149" max="6149" width="16.7109375" style="224" bestFit="1" customWidth="1"/>
    <col min="6150" max="6150" width="16.85546875" style="224" bestFit="1" customWidth="1"/>
    <col min="6151" max="6151" width="21.42578125" style="224" customWidth="1"/>
    <col min="6152" max="6152" width="9.140625" style="224"/>
    <col min="6153" max="6153" width="16.5703125" style="224" bestFit="1" customWidth="1"/>
    <col min="6154" max="6401" width="9.140625" style="224"/>
    <col min="6402" max="6402" width="24.5703125" style="224" customWidth="1"/>
    <col min="6403" max="6403" width="71.7109375" style="224" customWidth="1"/>
    <col min="6404" max="6404" width="17.140625" style="224" bestFit="1" customWidth="1"/>
    <col min="6405" max="6405" width="16.7109375" style="224" bestFit="1" customWidth="1"/>
    <col min="6406" max="6406" width="16.85546875" style="224" bestFit="1" customWidth="1"/>
    <col min="6407" max="6407" width="21.42578125" style="224" customWidth="1"/>
    <col min="6408" max="6408" width="9.140625" style="224"/>
    <col min="6409" max="6409" width="16.5703125" style="224" bestFit="1" customWidth="1"/>
    <col min="6410" max="6657" width="9.140625" style="224"/>
    <col min="6658" max="6658" width="24.5703125" style="224" customWidth="1"/>
    <col min="6659" max="6659" width="71.7109375" style="224" customWidth="1"/>
    <col min="6660" max="6660" width="17.140625" style="224" bestFit="1" customWidth="1"/>
    <col min="6661" max="6661" width="16.7109375" style="224" bestFit="1" customWidth="1"/>
    <col min="6662" max="6662" width="16.85546875" style="224" bestFit="1" customWidth="1"/>
    <col min="6663" max="6663" width="21.42578125" style="224" customWidth="1"/>
    <col min="6664" max="6664" width="9.140625" style="224"/>
    <col min="6665" max="6665" width="16.5703125" style="224" bestFit="1" customWidth="1"/>
    <col min="6666" max="6913" width="9.140625" style="224"/>
    <col min="6914" max="6914" width="24.5703125" style="224" customWidth="1"/>
    <col min="6915" max="6915" width="71.7109375" style="224" customWidth="1"/>
    <col min="6916" max="6916" width="17.140625" style="224" bestFit="1" customWidth="1"/>
    <col min="6917" max="6917" width="16.7109375" style="224" bestFit="1" customWidth="1"/>
    <col min="6918" max="6918" width="16.85546875" style="224" bestFit="1" customWidth="1"/>
    <col min="6919" max="6919" width="21.42578125" style="224" customWidth="1"/>
    <col min="6920" max="6920" width="9.140625" style="224"/>
    <col min="6921" max="6921" width="16.5703125" style="224" bestFit="1" customWidth="1"/>
    <col min="6922" max="7169" width="9.140625" style="224"/>
    <col min="7170" max="7170" width="24.5703125" style="224" customWidth="1"/>
    <col min="7171" max="7171" width="71.7109375" style="224" customWidth="1"/>
    <col min="7172" max="7172" width="17.140625" style="224" bestFit="1" customWidth="1"/>
    <col min="7173" max="7173" width="16.7109375" style="224" bestFit="1" customWidth="1"/>
    <col min="7174" max="7174" width="16.85546875" style="224" bestFit="1" customWidth="1"/>
    <col min="7175" max="7175" width="21.42578125" style="224" customWidth="1"/>
    <col min="7176" max="7176" width="9.140625" style="224"/>
    <col min="7177" max="7177" width="16.5703125" style="224" bestFit="1" customWidth="1"/>
    <col min="7178" max="7425" width="9.140625" style="224"/>
    <col min="7426" max="7426" width="24.5703125" style="224" customWidth="1"/>
    <col min="7427" max="7427" width="71.7109375" style="224" customWidth="1"/>
    <col min="7428" max="7428" width="17.140625" style="224" bestFit="1" customWidth="1"/>
    <col min="7429" max="7429" width="16.7109375" style="224" bestFit="1" customWidth="1"/>
    <col min="7430" max="7430" width="16.85546875" style="224" bestFit="1" customWidth="1"/>
    <col min="7431" max="7431" width="21.42578125" style="224" customWidth="1"/>
    <col min="7432" max="7432" width="9.140625" style="224"/>
    <col min="7433" max="7433" width="16.5703125" style="224" bestFit="1" customWidth="1"/>
    <col min="7434" max="7681" width="9.140625" style="224"/>
    <col min="7682" max="7682" width="24.5703125" style="224" customWidth="1"/>
    <col min="7683" max="7683" width="71.7109375" style="224" customWidth="1"/>
    <col min="7684" max="7684" width="17.140625" style="224" bestFit="1" customWidth="1"/>
    <col min="7685" max="7685" width="16.7109375" style="224" bestFit="1" customWidth="1"/>
    <col min="7686" max="7686" width="16.85546875" style="224" bestFit="1" customWidth="1"/>
    <col min="7687" max="7687" width="21.42578125" style="224" customWidth="1"/>
    <col min="7688" max="7688" width="9.140625" style="224"/>
    <col min="7689" max="7689" width="16.5703125" style="224" bestFit="1" customWidth="1"/>
    <col min="7690" max="7937" width="9.140625" style="224"/>
    <col min="7938" max="7938" width="24.5703125" style="224" customWidth="1"/>
    <col min="7939" max="7939" width="71.7109375" style="224" customWidth="1"/>
    <col min="7940" max="7940" width="17.140625" style="224" bestFit="1" customWidth="1"/>
    <col min="7941" max="7941" width="16.7109375" style="224" bestFit="1" customWidth="1"/>
    <col min="7942" max="7942" width="16.85546875" style="224" bestFit="1" customWidth="1"/>
    <col min="7943" max="7943" width="21.42578125" style="224" customWidth="1"/>
    <col min="7944" max="7944" width="9.140625" style="224"/>
    <col min="7945" max="7945" width="16.5703125" style="224" bestFit="1" customWidth="1"/>
    <col min="7946" max="8193" width="9.140625" style="224"/>
    <col min="8194" max="8194" width="24.5703125" style="224" customWidth="1"/>
    <col min="8195" max="8195" width="71.7109375" style="224" customWidth="1"/>
    <col min="8196" max="8196" width="17.140625" style="224" bestFit="1" customWidth="1"/>
    <col min="8197" max="8197" width="16.7109375" style="224" bestFit="1" customWidth="1"/>
    <col min="8198" max="8198" width="16.85546875" style="224" bestFit="1" customWidth="1"/>
    <col min="8199" max="8199" width="21.42578125" style="224" customWidth="1"/>
    <col min="8200" max="8200" width="9.140625" style="224"/>
    <col min="8201" max="8201" width="16.5703125" style="224" bestFit="1" customWidth="1"/>
    <col min="8202" max="8449" width="9.140625" style="224"/>
    <col min="8450" max="8450" width="24.5703125" style="224" customWidth="1"/>
    <col min="8451" max="8451" width="71.7109375" style="224" customWidth="1"/>
    <col min="8452" max="8452" width="17.140625" style="224" bestFit="1" customWidth="1"/>
    <col min="8453" max="8453" width="16.7109375" style="224" bestFit="1" customWidth="1"/>
    <col min="8454" max="8454" width="16.85546875" style="224" bestFit="1" customWidth="1"/>
    <col min="8455" max="8455" width="21.42578125" style="224" customWidth="1"/>
    <col min="8456" max="8456" width="9.140625" style="224"/>
    <col min="8457" max="8457" width="16.5703125" style="224" bestFit="1" customWidth="1"/>
    <col min="8458" max="8705" width="9.140625" style="224"/>
    <col min="8706" max="8706" width="24.5703125" style="224" customWidth="1"/>
    <col min="8707" max="8707" width="71.7109375" style="224" customWidth="1"/>
    <col min="8708" max="8708" width="17.140625" style="224" bestFit="1" customWidth="1"/>
    <col min="8709" max="8709" width="16.7109375" style="224" bestFit="1" customWidth="1"/>
    <col min="8710" max="8710" width="16.85546875" style="224" bestFit="1" customWidth="1"/>
    <col min="8711" max="8711" width="21.42578125" style="224" customWidth="1"/>
    <col min="8712" max="8712" width="9.140625" style="224"/>
    <col min="8713" max="8713" width="16.5703125" style="224" bestFit="1" customWidth="1"/>
    <col min="8714" max="8961" width="9.140625" style="224"/>
    <col min="8962" max="8962" width="24.5703125" style="224" customWidth="1"/>
    <col min="8963" max="8963" width="71.7109375" style="224" customWidth="1"/>
    <col min="8964" max="8964" width="17.140625" style="224" bestFit="1" customWidth="1"/>
    <col min="8965" max="8965" width="16.7109375" style="224" bestFit="1" customWidth="1"/>
    <col min="8966" max="8966" width="16.85546875" style="224" bestFit="1" customWidth="1"/>
    <col min="8967" max="8967" width="21.42578125" style="224" customWidth="1"/>
    <col min="8968" max="8968" width="9.140625" style="224"/>
    <col min="8969" max="8969" width="16.5703125" style="224" bestFit="1" customWidth="1"/>
    <col min="8970" max="9217" width="9.140625" style="224"/>
    <col min="9218" max="9218" width="24.5703125" style="224" customWidth="1"/>
    <col min="9219" max="9219" width="71.7109375" style="224" customWidth="1"/>
    <col min="9220" max="9220" width="17.140625" style="224" bestFit="1" customWidth="1"/>
    <col min="9221" max="9221" width="16.7109375" style="224" bestFit="1" customWidth="1"/>
    <col min="9222" max="9222" width="16.85546875" style="224" bestFit="1" customWidth="1"/>
    <col min="9223" max="9223" width="21.42578125" style="224" customWidth="1"/>
    <col min="9224" max="9224" width="9.140625" style="224"/>
    <col min="9225" max="9225" width="16.5703125" style="224" bestFit="1" customWidth="1"/>
    <col min="9226" max="9473" width="9.140625" style="224"/>
    <col min="9474" max="9474" width="24.5703125" style="224" customWidth="1"/>
    <col min="9475" max="9475" width="71.7109375" style="224" customWidth="1"/>
    <col min="9476" max="9476" width="17.140625" style="224" bestFit="1" customWidth="1"/>
    <col min="9477" max="9477" width="16.7109375" style="224" bestFit="1" customWidth="1"/>
    <col min="9478" max="9478" width="16.85546875" style="224" bestFit="1" customWidth="1"/>
    <col min="9479" max="9479" width="21.42578125" style="224" customWidth="1"/>
    <col min="9480" max="9480" width="9.140625" style="224"/>
    <col min="9481" max="9481" width="16.5703125" style="224" bestFit="1" customWidth="1"/>
    <col min="9482" max="9729" width="9.140625" style="224"/>
    <col min="9730" max="9730" width="24.5703125" style="224" customWidth="1"/>
    <col min="9731" max="9731" width="71.7109375" style="224" customWidth="1"/>
    <col min="9732" max="9732" width="17.140625" style="224" bestFit="1" customWidth="1"/>
    <col min="9733" max="9733" width="16.7109375" style="224" bestFit="1" customWidth="1"/>
    <col min="9734" max="9734" width="16.85546875" style="224" bestFit="1" customWidth="1"/>
    <col min="9735" max="9735" width="21.42578125" style="224" customWidth="1"/>
    <col min="9736" max="9736" width="9.140625" style="224"/>
    <col min="9737" max="9737" width="16.5703125" style="224" bestFit="1" customWidth="1"/>
    <col min="9738" max="9985" width="9.140625" style="224"/>
    <col min="9986" max="9986" width="24.5703125" style="224" customWidth="1"/>
    <col min="9987" max="9987" width="71.7109375" style="224" customWidth="1"/>
    <col min="9988" max="9988" width="17.140625" style="224" bestFit="1" customWidth="1"/>
    <col min="9989" max="9989" width="16.7109375" style="224" bestFit="1" customWidth="1"/>
    <col min="9990" max="9990" width="16.85546875" style="224" bestFit="1" customWidth="1"/>
    <col min="9991" max="9991" width="21.42578125" style="224" customWidth="1"/>
    <col min="9992" max="9992" width="9.140625" style="224"/>
    <col min="9993" max="9993" width="16.5703125" style="224" bestFit="1" customWidth="1"/>
    <col min="9994" max="10241" width="9.140625" style="224"/>
    <col min="10242" max="10242" width="24.5703125" style="224" customWidth="1"/>
    <col min="10243" max="10243" width="71.7109375" style="224" customWidth="1"/>
    <col min="10244" max="10244" width="17.140625" style="224" bestFit="1" customWidth="1"/>
    <col min="10245" max="10245" width="16.7109375" style="224" bestFit="1" customWidth="1"/>
    <col min="10246" max="10246" width="16.85546875" style="224" bestFit="1" customWidth="1"/>
    <col min="10247" max="10247" width="21.42578125" style="224" customWidth="1"/>
    <col min="10248" max="10248" width="9.140625" style="224"/>
    <col min="10249" max="10249" width="16.5703125" style="224" bestFit="1" customWidth="1"/>
    <col min="10250" max="10497" width="9.140625" style="224"/>
    <col min="10498" max="10498" width="24.5703125" style="224" customWidth="1"/>
    <col min="10499" max="10499" width="71.7109375" style="224" customWidth="1"/>
    <col min="10500" max="10500" width="17.140625" style="224" bestFit="1" customWidth="1"/>
    <col min="10501" max="10501" width="16.7109375" style="224" bestFit="1" customWidth="1"/>
    <col min="10502" max="10502" width="16.85546875" style="224" bestFit="1" customWidth="1"/>
    <col min="10503" max="10503" width="21.42578125" style="224" customWidth="1"/>
    <col min="10504" max="10504" width="9.140625" style="224"/>
    <col min="10505" max="10505" width="16.5703125" style="224" bestFit="1" customWidth="1"/>
    <col min="10506" max="10753" width="9.140625" style="224"/>
    <col min="10754" max="10754" width="24.5703125" style="224" customWidth="1"/>
    <col min="10755" max="10755" width="71.7109375" style="224" customWidth="1"/>
    <col min="10756" max="10756" width="17.140625" style="224" bestFit="1" customWidth="1"/>
    <col min="10757" max="10757" width="16.7109375" style="224" bestFit="1" customWidth="1"/>
    <col min="10758" max="10758" width="16.85546875" style="224" bestFit="1" customWidth="1"/>
    <col min="10759" max="10759" width="21.42578125" style="224" customWidth="1"/>
    <col min="10760" max="10760" width="9.140625" style="224"/>
    <col min="10761" max="10761" width="16.5703125" style="224" bestFit="1" customWidth="1"/>
    <col min="10762" max="11009" width="9.140625" style="224"/>
    <col min="11010" max="11010" width="24.5703125" style="224" customWidth="1"/>
    <col min="11011" max="11011" width="71.7109375" style="224" customWidth="1"/>
    <col min="11012" max="11012" width="17.140625" style="224" bestFit="1" customWidth="1"/>
    <col min="11013" max="11013" width="16.7109375" style="224" bestFit="1" customWidth="1"/>
    <col min="11014" max="11014" width="16.85546875" style="224" bestFit="1" customWidth="1"/>
    <col min="11015" max="11015" width="21.42578125" style="224" customWidth="1"/>
    <col min="11016" max="11016" width="9.140625" style="224"/>
    <col min="11017" max="11017" width="16.5703125" style="224" bestFit="1" customWidth="1"/>
    <col min="11018" max="11265" width="9.140625" style="224"/>
    <col min="11266" max="11266" width="24.5703125" style="224" customWidth="1"/>
    <col min="11267" max="11267" width="71.7109375" style="224" customWidth="1"/>
    <col min="11268" max="11268" width="17.140625" style="224" bestFit="1" customWidth="1"/>
    <col min="11269" max="11269" width="16.7109375" style="224" bestFit="1" customWidth="1"/>
    <col min="11270" max="11270" width="16.85546875" style="224" bestFit="1" customWidth="1"/>
    <col min="11271" max="11271" width="21.42578125" style="224" customWidth="1"/>
    <col min="11272" max="11272" width="9.140625" style="224"/>
    <col min="11273" max="11273" width="16.5703125" style="224" bestFit="1" customWidth="1"/>
    <col min="11274" max="11521" width="9.140625" style="224"/>
    <col min="11522" max="11522" width="24.5703125" style="224" customWidth="1"/>
    <col min="11523" max="11523" width="71.7109375" style="224" customWidth="1"/>
    <col min="11524" max="11524" width="17.140625" style="224" bestFit="1" customWidth="1"/>
    <col min="11525" max="11525" width="16.7109375" style="224" bestFit="1" customWidth="1"/>
    <col min="11526" max="11526" width="16.85546875" style="224" bestFit="1" customWidth="1"/>
    <col min="11527" max="11527" width="21.42578125" style="224" customWidth="1"/>
    <col min="11528" max="11528" width="9.140625" style="224"/>
    <col min="11529" max="11529" width="16.5703125" style="224" bestFit="1" customWidth="1"/>
    <col min="11530" max="11777" width="9.140625" style="224"/>
    <col min="11778" max="11778" width="24.5703125" style="224" customWidth="1"/>
    <col min="11779" max="11779" width="71.7109375" style="224" customWidth="1"/>
    <col min="11780" max="11780" width="17.140625" style="224" bestFit="1" customWidth="1"/>
    <col min="11781" max="11781" width="16.7109375" style="224" bestFit="1" customWidth="1"/>
    <col min="11782" max="11782" width="16.85546875" style="224" bestFit="1" customWidth="1"/>
    <col min="11783" max="11783" width="21.42578125" style="224" customWidth="1"/>
    <col min="11784" max="11784" width="9.140625" style="224"/>
    <col min="11785" max="11785" width="16.5703125" style="224" bestFit="1" customWidth="1"/>
    <col min="11786" max="12033" width="9.140625" style="224"/>
    <col min="12034" max="12034" width="24.5703125" style="224" customWidth="1"/>
    <col min="12035" max="12035" width="71.7109375" style="224" customWidth="1"/>
    <col min="12036" max="12036" width="17.140625" style="224" bestFit="1" customWidth="1"/>
    <col min="12037" max="12037" width="16.7109375" style="224" bestFit="1" customWidth="1"/>
    <col min="12038" max="12038" width="16.85546875" style="224" bestFit="1" customWidth="1"/>
    <col min="12039" max="12039" width="21.42578125" style="224" customWidth="1"/>
    <col min="12040" max="12040" width="9.140625" style="224"/>
    <col min="12041" max="12041" width="16.5703125" style="224" bestFit="1" customWidth="1"/>
    <col min="12042" max="12289" width="9.140625" style="224"/>
    <col min="12290" max="12290" width="24.5703125" style="224" customWidth="1"/>
    <col min="12291" max="12291" width="71.7109375" style="224" customWidth="1"/>
    <col min="12292" max="12292" width="17.140625" style="224" bestFit="1" customWidth="1"/>
    <col min="12293" max="12293" width="16.7109375" style="224" bestFit="1" customWidth="1"/>
    <col min="12294" max="12294" width="16.85546875" style="224" bestFit="1" customWidth="1"/>
    <col min="12295" max="12295" width="21.42578125" style="224" customWidth="1"/>
    <col min="12296" max="12296" width="9.140625" style="224"/>
    <col min="12297" max="12297" width="16.5703125" style="224" bestFit="1" customWidth="1"/>
    <col min="12298" max="12545" width="9.140625" style="224"/>
    <col min="12546" max="12546" width="24.5703125" style="224" customWidth="1"/>
    <col min="12547" max="12547" width="71.7109375" style="224" customWidth="1"/>
    <col min="12548" max="12548" width="17.140625" style="224" bestFit="1" customWidth="1"/>
    <col min="12549" max="12549" width="16.7109375" style="224" bestFit="1" customWidth="1"/>
    <col min="12550" max="12550" width="16.85546875" style="224" bestFit="1" customWidth="1"/>
    <col min="12551" max="12551" width="21.42578125" style="224" customWidth="1"/>
    <col min="12552" max="12552" width="9.140625" style="224"/>
    <col min="12553" max="12553" width="16.5703125" style="224" bestFit="1" customWidth="1"/>
    <col min="12554" max="12801" width="9.140625" style="224"/>
    <col min="12802" max="12802" width="24.5703125" style="224" customWidth="1"/>
    <col min="12803" max="12803" width="71.7109375" style="224" customWidth="1"/>
    <col min="12804" max="12804" width="17.140625" style="224" bestFit="1" customWidth="1"/>
    <col min="12805" max="12805" width="16.7109375" style="224" bestFit="1" customWidth="1"/>
    <col min="12806" max="12806" width="16.85546875" style="224" bestFit="1" customWidth="1"/>
    <col min="12807" max="12807" width="21.42578125" style="224" customWidth="1"/>
    <col min="12808" max="12808" width="9.140625" style="224"/>
    <col min="12809" max="12809" width="16.5703125" style="224" bestFit="1" customWidth="1"/>
    <col min="12810" max="13057" width="9.140625" style="224"/>
    <col min="13058" max="13058" width="24.5703125" style="224" customWidth="1"/>
    <col min="13059" max="13059" width="71.7109375" style="224" customWidth="1"/>
    <col min="13060" max="13060" width="17.140625" style="224" bestFit="1" customWidth="1"/>
    <col min="13061" max="13061" width="16.7109375" style="224" bestFit="1" customWidth="1"/>
    <col min="13062" max="13062" width="16.85546875" style="224" bestFit="1" customWidth="1"/>
    <col min="13063" max="13063" width="21.42578125" style="224" customWidth="1"/>
    <col min="13064" max="13064" width="9.140625" style="224"/>
    <col min="13065" max="13065" width="16.5703125" style="224" bestFit="1" customWidth="1"/>
    <col min="13066" max="13313" width="9.140625" style="224"/>
    <col min="13314" max="13314" width="24.5703125" style="224" customWidth="1"/>
    <col min="13315" max="13315" width="71.7109375" style="224" customWidth="1"/>
    <col min="13316" max="13316" width="17.140625" style="224" bestFit="1" customWidth="1"/>
    <col min="13317" max="13317" width="16.7109375" style="224" bestFit="1" customWidth="1"/>
    <col min="13318" max="13318" width="16.85546875" style="224" bestFit="1" customWidth="1"/>
    <col min="13319" max="13319" width="21.42578125" style="224" customWidth="1"/>
    <col min="13320" max="13320" width="9.140625" style="224"/>
    <col min="13321" max="13321" width="16.5703125" style="224" bestFit="1" customWidth="1"/>
    <col min="13322" max="13569" width="9.140625" style="224"/>
    <col min="13570" max="13570" width="24.5703125" style="224" customWidth="1"/>
    <col min="13571" max="13571" width="71.7109375" style="224" customWidth="1"/>
    <col min="13572" max="13572" width="17.140625" style="224" bestFit="1" customWidth="1"/>
    <col min="13573" max="13573" width="16.7109375" style="224" bestFit="1" customWidth="1"/>
    <col min="13574" max="13574" width="16.85546875" style="224" bestFit="1" customWidth="1"/>
    <col min="13575" max="13575" width="21.42578125" style="224" customWidth="1"/>
    <col min="13576" max="13576" width="9.140625" style="224"/>
    <col min="13577" max="13577" width="16.5703125" style="224" bestFit="1" customWidth="1"/>
    <col min="13578" max="13825" width="9.140625" style="224"/>
    <col min="13826" max="13826" width="24.5703125" style="224" customWidth="1"/>
    <col min="13827" max="13827" width="71.7109375" style="224" customWidth="1"/>
    <col min="13828" max="13828" width="17.140625" style="224" bestFit="1" customWidth="1"/>
    <col min="13829" max="13829" width="16.7109375" style="224" bestFit="1" customWidth="1"/>
    <col min="13830" max="13830" width="16.85546875" style="224" bestFit="1" customWidth="1"/>
    <col min="13831" max="13831" width="21.42578125" style="224" customWidth="1"/>
    <col min="13832" max="13832" width="9.140625" style="224"/>
    <col min="13833" max="13833" width="16.5703125" style="224" bestFit="1" customWidth="1"/>
    <col min="13834" max="14081" width="9.140625" style="224"/>
    <col min="14082" max="14082" width="24.5703125" style="224" customWidth="1"/>
    <col min="14083" max="14083" width="71.7109375" style="224" customWidth="1"/>
    <col min="14084" max="14084" width="17.140625" style="224" bestFit="1" customWidth="1"/>
    <col min="14085" max="14085" width="16.7109375" style="224" bestFit="1" customWidth="1"/>
    <col min="14086" max="14086" width="16.85546875" style="224" bestFit="1" customWidth="1"/>
    <col min="14087" max="14087" width="21.42578125" style="224" customWidth="1"/>
    <col min="14088" max="14088" width="9.140625" style="224"/>
    <col min="14089" max="14089" width="16.5703125" style="224" bestFit="1" customWidth="1"/>
    <col min="14090" max="14337" width="9.140625" style="224"/>
    <col min="14338" max="14338" width="24.5703125" style="224" customWidth="1"/>
    <col min="14339" max="14339" width="71.7109375" style="224" customWidth="1"/>
    <col min="14340" max="14340" width="17.140625" style="224" bestFit="1" customWidth="1"/>
    <col min="14341" max="14341" width="16.7109375" style="224" bestFit="1" customWidth="1"/>
    <col min="14342" max="14342" width="16.85546875" style="224" bestFit="1" customWidth="1"/>
    <col min="14343" max="14343" width="21.42578125" style="224" customWidth="1"/>
    <col min="14344" max="14344" width="9.140625" style="224"/>
    <col min="14345" max="14345" width="16.5703125" style="224" bestFit="1" customWidth="1"/>
    <col min="14346" max="14593" width="9.140625" style="224"/>
    <col min="14594" max="14594" width="24.5703125" style="224" customWidth="1"/>
    <col min="14595" max="14595" width="71.7109375" style="224" customWidth="1"/>
    <col min="14596" max="14596" width="17.140625" style="224" bestFit="1" customWidth="1"/>
    <col min="14597" max="14597" width="16.7109375" style="224" bestFit="1" customWidth="1"/>
    <col min="14598" max="14598" width="16.85546875" style="224" bestFit="1" customWidth="1"/>
    <col min="14599" max="14599" width="21.42578125" style="224" customWidth="1"/>
    <col min="14600" max="14600" width="9.140625" style="224"/>
    <col min="14601" max="14601" width="16.5703125" style="224" bestFit="1" customWidth="1"/>
    <col min="14602" max="14849" width="9.140625" style="224"/>
    <col min="14850" max="14850" width="24.5703125" style="224" customWidth="1"/>
    <col min="14851" max="14851" width="71.7109375" style="224" customWidth="1"/>
    <col min="14852" max="14852" width="17.140625" style="224" bestFit="1" customWidth="1"/>
    <col min="14853" max="14853" width="16.7109375" style="224" bestFit="1" customWidth="1"/>
    <col min="14854" max="14854" width="16.85546875" style="224" bestFit="1" customWidth="1"/>
    <col min="14855" max="14855" width="21.42578125" style="224" customWidth="1"/>
    <col min="14856" max="14856" width="9.140625" style="224"/>
    <col min="14857" max="14857" width="16.5703125" style="224" bestFit="1" customWidth="1"/>
    <col min="14858" max="15105" width="9.140625" style="224"/>
    <col min="15106" max="15106" width="24.5703125" style="224" customWidth="1"/>
    <col min="15107" max="15107" width="71.7109375" style="224" customWidth="1"/>
    <col min="15108" max="15108" width="17.140625" style="224" bestFit="1" customWidth="1"/>
    <col min="15109" max="15109" width="16.7109375" style="224" bestFit="1" customWidth="1"/>
    <col min="15110" max="15110" width="16.85546875" style="224" bestFit="1" customWidth="1"/>
    <col min="15111" max="15111" width="21.42578125" style="224" customWidth="1"/>
    <col min="15112" max="15112" width="9.140625" style="224"/>
    <col min="15113" max="15113" width="16.5703125" style="224" bestFit="1" customWidth="1"/>
    <col min="15114" max="15361" width="9.140625" style="224"/>
    <col min="15362" max="15362" width="24.5703125" style="224" customWidth="1"/>
    <col min="15363" max="15363" width="71.7109375" style="224" customWidth="1"/>
    <col min="15364" max="15364" width="17.140625" style="224" bestFit="1" customWidth="1"/>
    <col min="15365" max="15365" width="16.7109375" style="224" bestFit="1" customWidth="1"/>
    <col min="15366" max="15366" width="16.85546875" style="224" bestFit="1" customWidth="1"/>
    <col min="15367" max="15367" width="21.42578125" style="224" customWidth="1"/>
    <col min="15368" max="15368" width="9.140625" style="224"/>
    <col min="15369" max="15369" width="16.5703125" style="224" bestFit="1" customWidth="1"/>
    <col min="15370" max="15617" width="9.140625" style="224"/>
    <col min="15618" max="15618" width="24.5703125" style="224" customWidth="1"/>
    <col min="15619" max="15619" width="71.7109375" style="224" customWidth="1"/>
    <col min="15620" max="15620" width="17.140625" style="224" bestFit="1" customWidth="1"/>
    <col min="15621" max="15621" width="16.7109375" style="224" bestFit="1" customWidth="1"/>
    <col min="15622" max="15622" width="16.85546875" style="224" bestFit="1" customWidth="1"/>
    <col min="15623" max="15623" width="21.42578125" style="224" customWidth="1"/>
    <col min="15624" max="15624" width="9.140625" style="224"/>
    <col min="15625" max="15625" width="16.5703125" style="224" bestFit="1" customWidth="1"/>
    <col min="15626" max="15873" width="9.140625" style="224"/>
    <col min="15874" max="15874" width="24.5703125" style="224" customWidth="1"/>
    <col min="15875" max="15875" width="71.7109375" style="224" customWidth="1"/>
    <col min="15876" max="15876" width="17.140625" style="224" bestFit="1" customWidth="1"/>
    <col min="15877" max="15877" width="16.7109375" style="224" bestFit="1" customWidth="1"/>
    <col min="15878" max="15878" width="16.85546875" style="224" bestFit="1" customWidth="1"/>
    <col min="15879" max="15879" width="21.42578125" style="224" customWidth="1"/>
    <col min="15880" max="15880" width="9.140625" style="224"/>
    <col min="15881" max="15881" width="16.5703125" style="224" bestFit="1" customWidth="1"/>
    <col min="15882" max="16129" width="9.140625" style="224"/>
    <col min="16130" max="16130" width="24.5703125" style="224" customWidth="1"/>
    <col min="16131" max="16131" width="71.7109375" style="224" customWidth="1"/>
    <col min="16132" max="16132" width="17.140625" style="224" bestFit="1" customWidth="1"/>
    <col min="16133" max="16133" width="16.7109375" style="224" bestFit="1" customWidth="1"/>
    <col min="16134" max="16134" width="16.85546875" style="224" bestFit="1" customWidth="1"/>
    <col min="16135" max="16135" width="21.42578125" style="224" customWidth="1"/>
    <col min="16136" max="16136" width="9.140625" style="224"/>
    <col min="16137" max="16137" width="16.5703125" style="224" bestFit="1" customWidth="1"/>
    <col min="16138" max="16384" width="9.140625" style="224"/>
  </cols>
  <sheetData>
    <row r="3" spans="1:8" ht="15">
      <c r="A3" s="229" t="s">
        <v>451</v>
      </c>
    </row>
    <row r="4" spans="1:8" ht="15.75" thickBot="1">
      <c r="A4" s="229" t="s">
        <v>452</v>
      </c>
    </row>
    <row r="5" spans="1:8" s="235" customFormat="1" ht="7.5" customHeight="1" thickBot="1">
      <c r="B5" s="230"/>
      <c r="C5" s="659"/>
      <c r="D5" s="232"/>
      <c r="E5" s="233"/>
      <c r="F5" s="233"/>
      <c r="G5" s="234"/>
    </row>
    <row r="6" spans="1:8" s="228" customFormat="1" ht="60" customHeight="1" thickBot="1">
      <c r="A6" s="236"/>
      <c r="B6" s="1806"/>
      <c r="C6" s="658" t="s">
        <v>2</v>
      </c>
      <c r="D6" s="1802"/>
      <c r="E6" s="1803"/>
      <c r="F6" s="1796" t="str">
        <f>'ORÇAMENTO '!L5</f>
        <v xml:space="preserve">Ref.: Tabela de Serviços
SINAPI (JAN/2023) 
e/ou composições PiniTCPO                                                                              
</v>
      </c>
      <c r="G6" s="1797"/>
    </row>
    <row r="7" spans="1:8" s="228" customFormat="1" ht="60" customHeight="1" thickBot="1">
      <c r="A7" s="236"/>
      <c r="B7" s="1807"/>
      <c r="C7" s="657" t="s">
        <v>3</v>
      </c>
      <c r="D7" s="1804"/>
      <c r="E7" s="1805"/>
      <c r="F7" s="628" t="s">
        <v>5</v>
      </c>
      <c r="G7" s="629">
        <f>'BDI '!G30</f>
        <v>0.26440000000000002</v>
      </c>
    </row>
    <row r="8" spans="1:8" s="238" customFormat="1" ht="15" customHeight="1" thickBot="1">
      <c r="B8" s="1798" t="s">
        <v>467</v>
      </c>
      <c r="C8" s="1740"/>
      <c r="D8" s="1799"/>
      <c r="E8" s="1799"/>
      <c r="F8" s="1740"/>
      <c r="G8" s="1741"/>
    </row>
    <row r="9" spans="1:8" s="235" customFormat="1" ht="6" thickBot="1">
      <c r="B9" s="230"/>
      <c r="C9" s="231"/>
      <c r="D9" s="232"/>
      <c r="E9" s="233"/>
      <c r="F9" s="233"/>
      <c r="G9" s="234"/>
    </row>
    <row r="10" spans="1:8" s="228" customFormat="1" ht="15" customHeight="1">
      <c r="B10" s="290" t="s">
        <v>6</v>
      </c>
      <c r="C10" s="240" t="str">
        <f>'ORÇAMENTO '!G11</f>
        <v xml:space="preserve">SISTEMA DE ABASTECIMENTO DE ÁGUA </v>
      </c>
      <c r="D10" s="240"/>
      <c r="E10" s="240"/>
      <c r="F10" s="291" t="s">
        <v>7</v>
      </c>
      <c r="G10" s="292">
        <f ca="1">'ORÇAMENTO '!M11</f>
        <v>45167</v>
      </c>
    </row>
    <row r="11" spans="1:8" s="228" customFormat="1" ht="16.5" thickBot="1">
      <c r="B11" s="284" t="s">
        <v>8</v>
      </c>
      <c r="C11" s="244" t="str">
        <f>'ORÇAMENTO '!G12</f>
        <v>SETOR PIONEIRO - MUNICÍPIO DE APIACÁS</v>
      </c>
      <c r="D11" s="244"/>
      <c r="E11" s="244"/>
      <c r="F11" s="285" t="s">
        <v>9</v>
      </c>
      <c r="G11" s="286">
        <f>'ORÇAMENTO '!M12</f>
        <v>0.80449999999999999</v>
      </c>
    </row>
    <row r="12" spans="1:8" s="235" customFormat="1" ht="6" thickBot="1">
      <c r="B12" s="287"/>
      <c r="C12" s="252"/>
      <c r="D12" s="253"/>
      <c r="E12" s="254"/>
      <c r="F12" s="254"/>
      <c r="G12" s="288"/>
    </row>
    <row r="13" spans="1:8" s="228" customFormat="1" ht="18.75" thickBot="1">
      <c r="B13" s="1822" t="s">
        <v>433</v>
      </c>
      <c r="C13" s="1717"/>
      <c r="D13" s="1717"/>
      <c r="E13" s="1717"/>
      <c r="F13" s="1717"/>
      <c r="G13" s="1823"/>
    </row>
    <row r="14" spans="1:8" s="235" customFormat="1" ht="6" thickBot="1">
      <c r="B14" s="287"/>
      <c r="C14" s="252"/>
      <c r="D14" s="253"/>
      <c r="E14" s="254"/>
      <c r="F14" s="254"/>
      <c r="G14" s="288"/>
    </row>
    <row r="15" spans="1:8" ht="13.5" thickBot="1"/>
    <row r="16" spans="1:8" ht="21.75" customHeight="1">
      <c r="A16" s="294"/>
      <c r="B16" s="356" t="str">
        <f>IF(COUNT($H$15:H16)&lt;10,CONCATENATE("AMM SPDA 00",COUNT($H$15:H16)),CONCATENATE("AMM SPDA 0",COUNT($H$15:H16)))</f>
        <v>AMM SPDA 001</v>
      </c>
      <c r="C16" s="1673" t="str">
        <f>CONCATENATE("FORNECIMENTO E INSTALAÇÃO DE ",C19)</f>
        <v>FORNECIMENTO E INSTALAÇÃO DE CONECTOR EM LATÃO TIPO MINI-GAR PARA CABOS DE 16 A 50MM²</v>
      </c>
      <c r="D16" s="1809"/>
      <c r="E16" s="1809"/>
      <c r="F16" s="1809"/>
      <c r="G16" s="357" t="s">
        <v>23</v>
      </c>
      <c r="H16" s="351">
        <f>G22</f>
        <v>21.83</v>
      </c>
    </row>
    <row r="17" spans="1:9" ht="31.5">
      <c r="A17" s="294"/>
      <c r="B17" s="538" t="s">
        <v>206</v>
      </c>
      <c r="C17" s="543" t="s">
        <v>184</v>
      </c>
      <c r="D17" s="1125" t="s">
        <v>23</v>
      </c>
      <c r="E17" s="543" t="s">
        <v>185</v>
      </c>
      <c r="F17" s="544" t="s">
        <v>186</v>
      </c>
      <c r="G17" s="1129" t="s">
        <v>187</v>
      </c>
      <c r="H17" s="294"/>
    </row>
    <row r="18" spans="1:9" s="228" customFormat="1" ht="15.75">
      <c r="A18" s="229"/>
      <c r="B18" s="1711" t="s">
        <v>188</v>
      </c>
      <c r="C18" s="1712"/>
      <c r="D18" s="1712"/>
      <c r="E18" s="1712"/>
      <c r="F18" s="1712"/>
      <c r="G18" s="1713"/>
      <c r="H18" s="229"/>
    </row>
    <row r="19" spans="1:9" s="228" customFormat="1" ht="30">
      <c r="A19" s="229"/>
      <c r="B19" s="570" t="s">
        <v>202</v>
      </c>
      <c r="C19" s="1078" t="str">
        <f>C24</f>
        <v>CONECTOR EM LATÃO TIPO MINI-GAR PARA CABOS DE 16 A 50MM²</v>
      </c>
      <c r="D19" s="606" t="s">
        <v>23</v>
      </c>
      <c r="E19" s="635">
        <v>1</v>
      </c>
      <c r="F19" s="635">
        <f>D29</f>
        <v>20.02</v>
      </c>
      <c r="G19" s="636">
        <f>TRUNC(F19*E19,2)</f>
        <v>20.02</v>
      </c>
      <c r="H19" s="229"/>
    </row>
    <row r="20" spans="1:9" s="228" customFormat="1" ht="15.75">
      <c r="A20" s="229"/>
      <c r="B20" s="1677" t="s">
        <v>189</v>
      </c>
      <c r="C20" s="1678"/>
      <c r="D20" s="1678"/>
      <c r="E20" s="1678"/>
      <c r="F20" s="1678"/>
      <c r="G20" s="1679"/>
      <c r="H20" s="229"/>
    </row>
    <row r="21" spans="1:9" s="228" customFormat="1" ht="16.5" thickBot="1">
      <c r="A21" s="433" t="s">
        <v>452</v>
      </c>
      <c r="B21" s="576">
        <v>88264</v>
      </c>
      <c r="C21" s="577" t="str">
        <f>IF($A21="INSUMO",VLOOKUP($B21,'BANCO DE DADOS JAN-23 INS'!$A:$D,2,FALSE),VLOOKUP($B21,'BANCO DE DADOS JAN-23 SERV'!$B:$E,2,FALSE))</f>
        <v>ELETRICISTA COM ENCARGOS COMPLEMENTARES</v>
      </c>
      <c r="D21" s="578" t="str">
        <f>IF($A21="INSUMO",VLOOKUP($B21,'BANCO DE DADOS JAN-23 INS'!$A:$D,3,FALSE),VLOOKUP($B21,'BANCO DE DADOS JAN-23 SERV'!$B:$E,3,FALSE))</f>
        <v>H</v>
      </c>
      <c r="E21" s="579">
        <v>0.08</v>
      </c>
      <c r="F21" s="580">
        <f>IF($A21="INSUMO",VLOOKUP($B21,'BANCO DE DADOS JAN-23 INS'!$A:$D,4,FALSE),VLOOKUP($B21,'BANCO DE DADOS JAN-23 SERV'!$B:$E,4,FALSE))</f>
        <v>22.67</v>
      </c>
      <c r="G21" s="581">
        <f>TRUNC(F21*E21,2)</f>
        <v>1.81</v>
      </c>
      <c r="H21" s="229"/>
    </row>
    <row r="22" spans="1:9" ht="16.5" thickBot="1">
      <c r="A22" s="294"/>
      <c r="B22" s="1814" t="s">
        <v>4724</v>
      </c>
      <c r="C22" s="1814"/>
      <c r="D22" s="1814"/>
      <c r="E22" s="1814"/>
      <c r="F22" s="298" t="s">
        <v>190</v>
      </c>
      <c r="G22" s="299">
        <f>SUM(G18:G21)</f>
        <v>21.83</v>
      </c>
      <c r="H22" s="294"/>
    </row>
    <row r="23" spans="1:9" ht="15.75" thickBot="1">
      <c r="A23" s="294"/>
      <c r="B23" s="208"/>
      <c r="C23" s="208"/>
      <c r="D23" s="208"/>
      <c r="E23" s="208"/>
      <c r="F23" s="208"/>
      <c r="G23" s="208"/>
      <c r="H23" s="294"/>
    </row>
    <row r="24" spans="1:9" ht="15.75">
      <c r="A24" s="294"/>
      <c r="B24" s="209" t="s">
        <v>202</v>
      </c>
      <c r="C24" s="1815" t="s">
        <v>589</v>
      </c>
      <c r="D24" s="1816"/>
      <c r="E24" s="1816"/>
      <c r="F24" s="1817"/>
      <c r="G24" s="210" t="s">
        <v>23</v>
      </c>
      <c r="H24" s="397" t="s">
        <v>2559</v>
      </c>
    </row>
    <row r="25" spans="1:9" ht="31.5">
      <c r="A25" s="294"/>
      <c r="B25" s="542" t="s">
        <v>195</v>
      </c>
      <c r="C25" s="543" t="s">
        <v>196</v>
      </c>
      <c r="D25" s="544" t="s">
        <v>197</v>
      </c>
      <c r="E25" s="545" t="s">
        <v>198</v>
      </c>
      <c r="F25" s="557" t="s">
        <v>199</v>
      </c>
      <c r="G25" s="547" t="s">
        <v>200</v>
      </c>
      <c r="H25" s="294"/>
    </row>
    <row r="26" spans="1:9" ht="15.75">
      <c r="A26" s="294"/>
      <c r="B26" s="556">
        <v>44600</v>
      </c>
      <c r="C26" s="606" t="s">
        <v>4289</v>
      </c>
      <c r="D26" s="632">
        <v>32.619999999999997</v>
      </c>
      <c r="E26" s="561" t="s">
        <v>591</v>
      </c>
      <c r="F26" s="607" t="s">
        <v>592</v>
      </c>
      <c r="G26" s="640" t="s">
        <v>6443</v>
      </c>
      <c r="H26"/>
      <c r="I26" s="568">
        <f>B26+180</f>
        <v>44780</v>
      </c>
    </row>
    <row r="27" spans="1:9" ht="15.75">
      <c r="A27" s="294"/>
      <c r="B27" s="608">
        <v>44600</v>
      </c>
      <c r="C27" s="606" t="s">
        <v>2635</v>
      </c>
      <c r="D27" s="632">
        <v>18.02</v>
      </c>
      <c r="E27" s="561" t="s">
        <v>5986</v>
      </c>
      <c r="F27" s="607" t="s">
        <v>2560</v>
      </c>
      <c r="G27" s="640" t="s">
        <v>6493</v>
      </c>
      <c r="H27"/>
      <c r="I27" s="568">
        <f>B27+180</f>
        <v>44780</v>
      </c>
    </row>
    <row r="28" spans="1:9" ht="16.5" thickBot="1">
      <c r="A28" s="294"/>
      <c r="B28" s="556">
        <v>44600</v>
      </c>
      <c r="C28" s="606" t="s">
        <v>3544</v>
      </c>
      <c r="D28" s="632">
        <v>20.02</v>
      </c>
      <c r="E28" s="561" t="s">
        <v>588</v>
      </c>
      <c r="F28" s="607" t="s">
        <v>2230</v>
      </c>
      <c r="G28" s="640" t="s">
        <v>5987</v>
      </c>
      <c r="H28"/>
      <c r="I28" s="569">
        <f>B28+180</f>
        <v>44780</v>
      </c>
    </row>
    <row r="29" spans="1:9" ht="16.5" thickBot="1">
      <c r="A29" s="294"/>
      <c r="B29" s="548"/>
      <c r="C29" s="549" t="s">
        <v>201</v>
      </c>
      <c r="D29" s="550">
        <f>IF(COUNT(D25:D28)=3,MEDIAN(D25:D28),SMALL(D26:D28,1))</f>
        <v>20.02</v>
      </c>
      <c r="E29" s="551"/>
      <c r="F29" s="552"/>
      <c r="G29" s="553"/>
      <c r="H29" s="294"/>
    </row>
    <row r="30" spans="1:9" ht="13.5" thickBot="1"/>
    <row r="31" spans="1:9" ht="15.75">
      <c r="A31" s="294"/>
      <c r="B31" s="356" t="str">
        <f>IF(COUNT($H$15:H31)&lt;10,CONCATENATE("AMM SPDA 00",COUNT($H$15:H31)),CONCATENATE("AMM SPDA 0",COUNT($H$15:H31)))</f>
        <v>AMM SPDA 002</v>
      </c>
      <c r="C31" s="1673" t="s">
        <v>1443</v>
      </c>
      <c r="D31" s="1673"/>
      <c r="E31" s="1673"/>
      <c r="F31" s="1673"/>
      <c r="G31" s="357" t="s">
        <v>23</v>
      </c>
      <c r="H31" s="355">
        <f>G38</f>
        <v>12.94</v>
      </c>
    </row>
    <row r="32" spans="1:9" ht="31.5">
      <c r="A32" s="294"/>
      <c r="B32" s="538" t="s">
        <v>206</v>
      </c>
      <c r="C32" s="1125" t="s">
        <v>184</v>
      </c>
      <c r="D32" s="1125" t="s">
        <v>23</v>
      </c>
      <c r="E32" s="1125" t="s">
        <v>185</v>
      </c>
      <c r="F32" s="1126" t="s">
        <v>186</v>
      </c>
      <c r="G32" s="1127" t="s">
        <v>187</v>
      </c>
    </row>
    <row r="33" spans="1:7" s="228" customFormat="1" ht="15.75">
      <c r="A33" s="229"/>
      <c r="B33" s="1677" t="s">
        <v>188</v>
      </c>
      <c r="C33" s="1678"/>
      <c r="D33" s="1678"/>
      <c r="E33" s="1678"/>
      <c r="F33" s="1678"/>
      <c r="G33" s="1679"/>
    </row>
    <row r="34" spans="1:7" s="228" customFormat="1" ht="30">
      <c r="A34" s="433" t="s">
        <v>451</v>
      </c>
      <c r="B34" s="562">
        <v>1587</v>
      </c>
      <c r="C34" s="574" t="str">
        <f>IF($A34="INSUMO",VLOOKUP($B34,'BANCO DE DADOS JAN-23 INS'!$A:$D,2,FALSE),VLOOKUP($B34,'BANCO DE DADOS JAN-23 SERV'!$B:$E,2,FALSE))</f>
        <v>TERMINAL METALICO A PRESSAO PARA 1 CABO DE 35 MM2, COM 1 FURO DE FIXACAO</v>
      </c>
      <c r="D34" s="571" t="str">
        <f>IF($A34="INSUMO",VLOOKUP($B34,'BANCO DE DADOS JAN-23 INS'!$A:$D,3,FALSE),VLOOKUP($B34,'BANCO DE DADOS JAN-23 SERV'!$B:$E,3,FALSE))</f>
        <v xml:space="preserve">UN    </v>
      </c>
      <c r="E34" s="575">
        <v>1</v>
      </c>
      <c r="F34" s="572">
        <f>IF($A34="INSUMO",VLOOKUP($B34,'BANCO DE DADOS JAN-23 INS'!$A:$D,4,FALSE),VLOOKUP($B34,'BANCO DE DADOS JAN-23 SERV'!$B:$E,4,FALSE))</f>
        <v>6.72</v>
      </c>
      <c r="G34" s="573">
        <f>TRUNC(F34*E34,2)</f>
        <v>6.72</v>
      </c>
    </row>
    <row r="35" spans="1:7" s="228" customFormat="1" ht="15.75">
      <c r="A35" s="229"/>
      <c r="B35" s="1824" t="s">
        <v>189</v>
      </c>
      <c r="C35" s="1825"/>
      <c r="D35" s="1825"/>
      <c r="E35" s="1825"/>
      <c r="F35" s="1825"/>
      <c r="G35" s="1826"/>
    </row>
    <row r="36" spans="1:7" s="228" customFormat="1" ht="15.75">
      <c r="A36" s="433" t="s">
        <v>452</v>
      </c>
      <c r="B36" s="562">
        <v>88247</v>
      </c>
      <c r="C36" s="574" t="str">
        <f>IF($A36="INSUMO",VLOOKUP($B36,'BANCO DE DADOS JAN-23 INS'!$A:$D,2,FALSE),VLOOKUP($B36,'BANCO DE DADOS JAN-23 SERV'!$B:$E,2,FALSE))</f>
        <v>AUXILIAR DE ELETRICISTA COM ENCARGOS COMPLEMENTARES</v>
      </c>
      <c r="D36" s="571" t="str">
        <f>IF($A36="INSUMO",VLOOKUP($B36,'BANCO DE DADOS JAN-23 INS'!$A:$D,3,FALSE),VLOOKUP($B36,'BANCO DE DADOS JAN-23 SERV'!$B:$E,3,FALSE))</f>
        <v>H</v>
      </c>
      <c r="E36" s="575">
        <v>0.15</v>
      </c>
      <c r="F36" s="572">
        <f>IF($A36="INSUMO",VLOOKUP($B36,'BANCO DE DADOS JAN-23 INS'!$A:$D,4,FALSE),VLOOKUP($B36,'BANCO DE DADOS JAN-23 SERV'!$B:$E,4,FALSE))</f>
        <v>18.809999999999999</v>
      </c>
      <c r="G36" s="573">
        <f>TRUNC(F36*E36,2)</f>
        <v>2.82</v>
      </c>
    </row>
    <row r="37" spans="1:7" s="228" customFormat="1" ht="16.5" thickBot="1">
      <c r="A37" s="433" t="s">
        <v>452</v>
      </c>
      <c r="B37" s="1202">
        <v>88264</v>
      </c>
      <c r="C37" s="493" t="str">
        <f>IF($A37="INSUMO",VLOOKUP($B37,'BANCO DE DADOS JAN-23 INS'!$A:$D,2,FALSE),VLOOKUP($B37,'BANCO DE DADOS JAN-23 SERV'!$B:$E,2,FALSE))</f>
        <v>ELETRICISTA COM ENCARGOS COMPLEMENTARES</v>
      </c>
      <c r="D37" s="764" t="str">
        <f>IF($A37="INSUMO",VLOOKUP($B37,'BANCO DE DADOS JAN-23 INS'!$A:$D,3,FALSE),VLOOKUP($B37,'BANCO DE DADOS JAN-23 SERV'!$B:$E,3,FALSE))</f>
        <v>H</v>
      </c>
      <c r="E37" s="765">
        <v>0.15</v>
      </c>
      <c r="F37" s="1203">
        <f>IF($A37="INSUMO",VLOOKUP($B37,'BANCO DE DADOS JAN-23 INS'!$A:$D,4,FALSE),VLOOKUP($B37,'BANCO DE DADOS JAN-23 SERV'!$B:$E,4,FALSE))</f>
        <v>22.67</v>
      </c>
      <c r="G37" s="1204">
        <f>TRUNC(F37*E37,2)</f>
        <v>3.4</v>
      </c>
    </row>
    <row r="38" spans="1:7" ht="16.5" customHeight="1" thickBot="1">
      <c r="A38" s="294"/>
      <c r="B38" s="1818" t="s">
        <v>7165</v>
      </c>
      <c r="C38" s="1818"/>
      <c r="D38" s="1818"/>
      <c r="E38" s="1818"/>
      <c r="F38" s="298" t="s">
        <v>190</v>
      </c>
      <c r="G38" s="299">
        <f>SUM(G34:G37)</f>
        <v>12.94</v>
      </c>
    </row>
  </sheetData>
  <mergeCells count="14">
    <mergeCell ref="C31:F31"/>
    <mergeCell ref="B33:G33"/>
    <mergeCell ref="B35:G35"/>
    <mergeCell ref="B38:E38"/>
    <mergeCell ref="C16:F16"/>
    <mergeCell ref="B18:G18"/>
    <mergeCell ref="B20:G20"/>
    <mergeCell ref="B22:E22"/>
    <mergeCell ref="C24:F24"/>
    <mergeCell ref="D6:E7"/>
    <mergeCell ref="F6:G6"/>
    <mergeCell ref="B8:G8"/>
    <mergeCell ref="B13:G13"/>
    <mergeCell ref="B6:B7"/>
  </mergeCells>
  <dataValidations disablePrompts="1" count="1">
    <dataValidation type="list" allowBlank="1" showInputMessage="1" showErrorMessage="1" sqref="A21 A36:A37 A34">
      <formula1>$A$3:$A$4</formula1>
    </dataValidation>
  </dataValidations>
  <printOptions horizontalCentered="1"/>
  <pageMargins left="0.78740157480314965" right="0.19685039370078741" top="0.39370078740157483" bottom="0.78740157480314965" header="0.19685039370078741" footer="0.19685039370078741"/>
  <pageSetup paperSize="9" scale="51" orientation="portrait" r:id="rId1"/>
  <headerFooter scaleWithDoc="0" alignWithMargins="0">
    <oddHeader>&amp;RPágina &amp;P de &amp;N</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38</vt:i4>
      </vt:variant>
      <vt:variant>
        <vt:lpstr>Intervalos nomeados</vt:lpstr>
      </vt:variant>
      <vt:variant>
        <vt:i4>27</vt:i4>
      </vt:variant>
    </vt:vector>
  </HeadingPairs>
  <TitlesOfParts>
    <vt:vector size="65" baseType="lpstr">
      <vt:lpstr>Dimensionamento</vt:lpstr>
      <vt:lpstr>RESUMO</vt:lpstr>
      <vt:lpstr>ORÇAMENTO </vt:lpstr>
      <vt:lpstr>MEM. DE CALCULO</vt:lpstr>
      <vt:lpstr>CRONOGRAMA</vt:lpstr>
      <vt:lpstr>COMP SAA</vt:lpstr>
      <vt:lpstr>COMPOSIÇÃO CIVIL</vt:lpstr>
      <vt:lpstr>COMP. ELETRICO </vt:lpstr>
      <vt:lpstr>COMP. SPDA </vt:lpstr>
      <vt:lpstr>COMPOSIÇÃO ESTRUTURAL</vt:lpstr>
      <vt:lpstr>M.C. FUNDAÇÃO RES. 150M3</vt:lpstr>
      <vt:lpstr>REMOÇÃO DE PAV. ADUTORA</vt:lpstr>
      <vt:lpstr>BASE ADUTORA</vt:lpstr>
      <vt:lpstr>SUB BASE ADUTORA</vt:lpstr>
      <vt:lpstr>IMPRIMAÇÃO ADUTORA</vt:lpstr>
      <vt:lpstr>TSD ADUTORA</vt:lpstr>
      <vt:lpstr>TRANSP. BRITA (PAV) ADUTORA</vt:lpstr>
      <vt:lpstr>TRANSP. EMULSÃO PAV ADUTORA</vt:lpstr>
      <vt:lpstr>CM30</vt:lpstr>
      <vt:lpstr>RR2C</vt:lpstr>
      <vt:lpstr>COMP. IMPRIMAÇÃO</vt:lpstr>
      <vt:lpstr>COMP. TSD</vt:lpstr>
      <vt:lpstr>COTAÇÃO PEDRA BRITADA N.0</vt:lpstr>
      <vt:lpstr>COTAÇÃO PEDRA BRITADA N.1</vt:lpstr>
      <vt:lpstr>CUSTO BRITA</vt:lpstr>
      <vt:lpstr>REMOÇÃO DE PAV. REDE</vt:lpstr>
      <vt:lpstr>BASE REDE</vt:lpstr>
      <vt:lpstr>SUB BASE REDE</vt:lpstr>
      <vt:lpstr>IMPRIMAÇÃO REDE</vt:lpstr>
      <vt:lpstr>TSD REDE</vt:lpstr>
      <vt:lpstr>TRANSP. BRITA (PAV) REDE</vt:lpstr>
      <vt:lpstr>TRANSP. EMULSÃO PAV REDE</vt:lpstr>
      <vt:lpstr>BANCO DE DADOS JAN-23 SERV</vt:lpstr>
      <vt:lpstr>BANCO DE DADOS JAN-23 INS</vt:lpstr>
      <vt:lpstr>BDI </vt:lpstr>
      <vt:lpstr>BDI DIF</vt:lpstr>
      <vt:lpstr>ENCARGOS SOCIAIS</vt:lpstr>
      <vt:lpstr>COMPOSIÇÕES</vt:lpstr>
      <vt:lpstr>'BANCO DE DADOS JAN-23 SERV'!Area_de_impressao</vt:lpstr>
      <vt:lpstr>'BASE ADUTORA'!Area_de_impressao</vt:lpstr>
      <vt:lpstr>'BASE REDE'!Area_de_impressao</vt:lpstr>
      <vt:lpstr>'BDI '!Area_de_impressao</vt:lpstr>
      <vt:lpstr>'BDI DIF'!Area_de_impressao</vt:lpstr>
      <vt:lpstr>'COMP SAA'!Area_de_impressao</vt:lpstr>
      <vt:lpstr>'COMP. ELETRICO '!Area_de_impressao</vt:lpstr>
      <vt:lpstr>'COMP. SPDA '!Area_de_impressao</vt:lpstr>
      <vt:lpstr>'COMPOSIÇÃO CIVIL'!Area_de_impressao</vt:lpstr>
      <vt:lpstr>'COMPOSIÇÃO ESTRUTURAL'!Area_de_impressao</vt:lpstr>
      <vt:lpstr>CRONOGRAMA!Area_de_impressao</vt:lpstr>
      <vt:lpstr>Dimensionamento!Area_de_impressao</vt:lpstr>
      <vt:lpstr>'ENCARGOS SOCIAIS'!Area_de_impressao</vt:lpstr>
      <vt:lpstr>'M.C. FUNDAÇÃO RES. 150M3'!Area_de_impressao</vt:lpstr>
      <vt:lpstr>'MEM. DE CALCULO'!Area_de_impressao</vt:lpstr>
      <vt:lpstr>'ORÇAMENTO '!Area_de_impressao</vt:lpstr>
      <vt:lpstr>RESUMO!Area_de_impressao</vt:lpstr>
      <vt:lpstr>'SUB BASE ADUTORA'!Area_de_impressao</vt:lpstr>
      <vt:lpstr>'SUB BASE REDE'!Area_de_impressao</vt:lpstr>
      <vt:lpstr>'COMP SAA'!Titulos_de_impressao</vt:lpstr>
      <vt:lpstr>'COMP. ELETRICO '!Titulos_de_impressao</vt:lpstr>
      <vt:lpstr>'COMP. SPDA '!Titulos_de_impressao</vt:lpstr>
      <vt:lpstr>'COMPOSIÇÃO CIVIL'!Titulos_de_impressao</vt:lpstr>
      <vt:lpstr>'COMPOSIÇÃO ESTRUTURAL'!Titulos_de_impressao</vt:lpstr>
      <vt:lpstr>'MEM. DE CALCULO'!Titulos_de_impressao</vt:lpstr>
      <vt:lpstr>'ORÇAMENTO '!Titulos_de_impressao</vt:lpstr>
      <vt:lpstr>RESUMO!Titulos_de_impressao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Convidado</dc:creator>
  <cp:lastModifiedBy>silvia.krizanowski</cp:lastModifiedBy>
  <cp:lastPrinted>2023-04-04T12:55:13Z</cp:lastPrinted>
  <dcterms:created xsi:type="dcterms:W3CDTF">2015-11-27T14:02:44Z</dcterms:created>
  <dcterms:modified xsi:type="dcterms:W3CDTF">2023-08-29T17:32:31Z</dcterms:modified>
</cp:coreProperties>
</file>